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4.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codeName="ThisWorkbook"/>
  <mc:AlternateContent xmlns:mc="http://schemas.openxmlformats.org/markup-compatibility/2006">
    <mc:Choice Requires="x15">
      <x15ac:absPath xmlns:x15ac="http://schemas.microsoft.com/office/spreadsheetml/2010/11/ac" url="\\1839bu-fp01\1839-HON\TRM\PY23\"/>
    </mc:Choice>
  </mc:AlternateContent>
  <xr:revisionPtr revIDLastSave="0" documentId="8_{49301E6E-AA35-4FCD-8159-AC9EDF7296DC}" xr6:coauthVersionLast="47" xr6:coauthVersionMax="47" xr10:uidLastSave="{00000000-0000-0000-0000-000000000000}"/>
  <bookViews>
    <workbookView xWindow="-108" yWindow="-108" windowWidth="23256" windowHeight="12576" tabRatio="805" firstSheet="1" activeTab="1" xr2:uid="{00000000-000D-0000-FFFF-FFFF00000000}"/>
  </bookViews>
  <sheets>
    <sheet name="Issues Log" sheetId="128" state="hidden" r:id="rId1"/>
    <sheet name="Cover Page" sheetId="135" r:id="rId2"/>
    <sheet name="TOC" sheetId="124" r:id="rId3"/>
    <sheet name="Changes from PY22" sheetId="118" r:id="rId4"/>
    <sheet name="Introduction" sheetId="104" r:id="rId5"/>
    <sheet name="Signatures" sheetId="110" r:id="rId6"/>
    <sheet name="Glossary" sheetId="81" r:id="rId7"/>
    <sheet name="C&amp;S Tracking" sheetId="146" r:id="rId8"/>
    <sheet name="Key Metrics" sheetId="105" r:id="rId9"/>
    <sheet name="Master EUL" sheetId="109" r:id="rId10"/>
    <sheet name="Savings Factors" sheetId="106" r:id="rId11"/>
    <sheet name="EFLH &amp; CF" sheetId="112" r:id="rId12"/>
    <sheet name="Custom" sheetId="114" r:id="rId13"/>
    <sheet name="---------------------------" sheetId="123" r:id="rId14"/>
    <sheet name="C_Appliance_Refrigerator" sheetId="5" r:id="rId15"/>
    <sheet name="C_BEnvelope_Cool Roof" sheetId="4" r:id="rId16"/>
    <sheet name="C_BEnvelope_Window Film" sheetId="3" r:id="rId17"/>
    <sheet name="C_Kitchen_Combination Oven" sheetId="93" r:id="rId18"/>
    <sheet name="C_Kitchen_Convection Oven" sheetId="14" r:id="rId19"/>
    <sheet name="C_Kitchen_DCV" sheetId="94" r:id="rId20"/>
    <sheet name="C_Kitchen_Electric Griddle" sheetId="95" r:id="rId21"/>
    <sheet name="C_Kitchen_Electric Steam Cooker" sheetId="92" r:id="rId22"/>
    <sheet name="C_Kitchen_Fryer" sheetId="97" r:id="rId23"/>
    <sheet name="C_Kitchen_HF Holding Cabinet" sheetId="96" r:id="rId24"/>
    <sheet name="C_Kitchen_Ice Machine" sheetId="98" r:id="rId25"/>
    <sheet name="C_Kitchen_LF Spray Nozzle" sheetId="99" r:id="rId26"/>
    <sheet name="C_Kitchen_Freezer" sheetId="100" r:id="rId27"/>
    <sheet name="C_Kitchen_Refrigerator" sheetId="101" r:id="rId28"/>
    <sheet name="C_Kitchen_Dishwasher" sheetId="154" r:id="rId29"/>
    <sheet name="C_ESG_Design Assistance" sheetId="15" r:id="rId30"/>
    <sheet name="C_ESG_Energy Study" sheetId="16" r:id="rId31"/>
    <sheet name="C_HVAC_Chiller" sheetId="17" r:id="rId32"/>
    <sheet name="C_HVAC_Chiller_WKST" sheetId="115" r:id="rId33"/>
    <sheet name="C_HVAC_AC &amp; Heat Pump" sheetId="18" r:id="rId34"/>
    <sheet name="C_HVAC_AC_HP_WKST" sheetId="116" r:id="rId35"/>
    <sheet name="C_HVAC_Window AC" sheetId="144" r:id="rId36"/>
    <sheet name="C_HVAC_WindowAC_WKST" sheetId="145" r:id="rId37"/>
    <sheet name="C_HVAC_VFD Water Pump" sheetId="20" r:id="rId38"/>
    <sheet name="C_HVAC_VFD Water Pump Reference" sheetId="127" r:id="rId39"/>
    <sheet name="C_HVAC_VRF" sheetId="21" r:id="rId40"/>
    <sheet name="C_HVAC_VRF_WKST" sheetId="133" r:id="rId41"/>
    <sheet name="C_HVAC_EMS" sheetId="19" r:id="rId42"/>
    <sheet name="C_Light_General" sheetId="113" r:id="rId43"/>
    <sheet name="C_Light_Downlight Retrofit" sheetId="155" r:id="rId44"/>
    <sheet name="C_Light_Exterior" sheetId="132" r:id="rId45"/>
    <sheet name="C_Light_Dimmable(Nonlinear LED)" sheetId="57" r:id="rId46"/>
    <sheet name="C_Lighting_Refrigerated Case" sheetId="87" r:id="rId47"/>
    <sheet name="C_Light_Occupancy Sensor" sheetId="23" r:id="rId48"/>
    <sheet name="C_Light_Stairwell Bi-Level" sheetId="24" r:id="rId49"/>
    <sheet name="C_Light_Energy Advantage" sheetId="119" r:id="rId50"/>
    <sheet name="C_PlugProcess_ASH Control" sheetId="32" r:id="rId51"/>
    <sheet name="C_PlugProcess_Vending Miser" sheetId="30" r:id="rId52"/>
    <sheet name="C_PlugProcess_Water Cooler Tmr" sheetId="29" r:id="rId53"/>
    <sheet name="C_PlugProcess_Case Night Cover" sheetId="76" r:id="rId54"/>
    <sheet name="C_PumpMotor_VFD Booster Pump" sheetId="25" r:id="rId55"/>
    <sheet name="C_PumpMotor_ECM" sheetId="31" r:id="rId56"/>
    <sheet name="C_PumpMotor_PE Motor" sheetId="126" r:id="rId57"/>
    <sheet name="C_PumpMotor_VFD Pool Pump" sheetId="26" r:id="rId58"/>
    <sheet name="C_Refrig_Evap Motor Control" sheetId="147" r:id="rId59"/>
    <sheet name="C_Refrig_Add Case Doors" sheetId="148" r:id="rId60"/>
    <sheet name="C_Refrig_FHP Control" sheetId="149" r:id="rId61"/>
    <sheet name="C_SubMeter_Condominium" sheetId="27" r:id="rId62"/>
    <sheet name="C_SubMeter_Small Business" sheetId="58" r:id="rId63"/>
    <sheet name="Dropdown" sheetId="131" state="hidden" r:id="rId64"/>
    <sheet name="C_WH_Solar" sheetId="35" r:id="rId65"/>
    <sheet name="C_WH_Heat Pump" sheetId="153" r:id="rId66"/>
    <sheet name="C_Other_Re|Retro-Commissioning" sheetId="59" r:id="rId67"/>
    <sheet name="-------------------------------" sheetId="37" r:id="rId68"/>
    <sheet name="R_Appliance_Clothes Washer" sheetId="60" r:id="rId69"/>
    <sheet name="R_Appliance_Heat Pump Dryer" sheetId="161" r:id="rId70"/>
    <sheet name="R_Appliance_Clothes Dryer" sheetId="61" r:id="rId71"/>
    <sheet name="R_Appliance_Refrigerator" sheetId="62" r:id="rId72"/>
    <sheet name="R_Appliance_Dishwasher" sheetId="140" r:id="rId73"/>
    <sheet name="R_Appliance_Air Purifier" sheetId="136" r:id="rId74"/>
    <sheet name="R_Appliance_Induction Cooktop" sheetId="162" r:id="rId75"/>
    <sheet name="R_BEnvelope_Cool Wall" sheetId="151" r:id="rId76"/>
    <sheet name="R_Electronics_Television" sheetId="41" r:id="rId77"/>
    <sheet name="R_Electronics_Soundbar" sheetId="1" r:id="rId78"/>
    <sheet name="R_HVAC_Window AC" sheetId="43" r:id="rId79"/>
    <sheet name="R_HVAC_Ductless" sheetId="156" r:id="rId80"/>
    <sheet name="R_HVAC_Central AC Retrofit" sheetId="160" r:id="rId81"/>
    <sheet name="R_HVAC_AC_WKST" sheetId="159" r:id="rId82"/>
    <sheet name="R_HVAC_Central AC Tune Up" sheetId="64" r:id="rId83"/>
    <sheet name="R_HVAC_Ceiling Fan" sheetId="46" r:id="rId84"/>
    <sheet name="R_HVAC_Smart Thermostat" sheetId="102" r:id="rId85"/>
    <sheet name="R_HVAC_Solar Attic Fan" sheetId="47" r:id="rId86"/>
    <sheet name="R_HVAC_Whole House Fan" sheetId="48" r:id="rId87"/>
    <sheet name="R_HVAC_Dehumidifier" sheetId="137" r:id="rId88"/>
    <sheet name="R_Light_LED" sheetId="50" r:id="rId89"/>
    <sheet name="R_Light_Occupancy Sensor" sheetId="91" r:id="rId90"/>
    <sheet name="R_Light_Linear LED" sheetId="141" r:id="rId91"/>
    <sheet name="R_Light_Security Light" sheetId="142" r:id="rId92"/>
    <sheet name="R_Light_Holiday String Light" sheetId="143" r:id="rId93"/>
    <sheet name="R_Light_Solar Tube" sheetId="152" r:id="rId94"/>
    <sheet name="R_PlugProcess_Adv Power Strip" sheetId="51" r:id="rId95"/>
    <sheet name="R_PlugProcess_Switch Plug" sheetId="138" r:id="rId96"/>
    <sheet name="R_PlugProcess_Switch_Plug_CALC" sheetId="139" r:id="rId97"/>
    <sheet name="R_PlugProcess_EV Charger" sheetId="163" r:id="rId98"/>
    <sheet name="R_PumpMotor_VFD Pool Pump" sheetId="65" r:id="rId99"/>
    <sheet name="R_WH_Heat Pump" sheetId="53" r:id="rId100"/>
    <sheet name="R_WH_SWH" sheetId="66" r:id="rId101"/>
    <sheet name="R_WH_SWH Tune Up" sheetId="67" r:id="rId102"/>
    <sheet name="R_WH_Faucet Aerator" sheetId="108" r:id="rId103"/>
    <sheet name="R_WH_LFShowerhead" sheetId="83" r:id="rId104"/>
  </sheets>
  <externalReferences>
    <externalReference r:id="rId105"/>
    <externalReference r:id="rId106"/>
    <externalReference r:id="rId107"/>
    <externalReference r:id="rId108"/>
  </externalReferences>
  <definedNames>
    <definedName name="_xlnm._FilterDatabase" localSheetId="44" hidden="1">C_Light_Exterior!$B$79:$B$86</definedName>
    <definedName name="_xlnm._FilterDatabase" localSheetId="42" hidden="1">C_Light_General!$B$674:$B$699</definedName>
    <definedName name="_xlnm._FilterDatabase" localSheetId="47" hidden="1">'C_Light_Occupancy Sensor'!$B$114:$B$137</definedName>
    <definedName name="_xlnm._FilterDatabase" localSheetId="48" hidden="1">'C_Light_Stairwell Bi-Level'!$B$85:$AF$93</definedName>
    <definedName name="_xlnm._FilterDatabase" localSheetId="46" hidden="1">'C_Lighting_Refrigerated Case'!$B$151:$B$163</definedName>
    <definedName name="_xlnm._FilterDatabase" localSheetId="3" hidden="1">'Changes from PY22'!$A$6:$O$30</definedName>
    <definedName name="_xlnm._FilterDatabase" localSheetId="0" hidden="1">'Issues Log'!$A$2:$G$243</definedName>
    <definedName name="_xlnm._FilterDatabase" localSheetId="100" hidden="1">R_WH_SWH!$B$122:$B$143</definedName>
    <definedName name="_Toc513412350" localSheetId="12">Custom!$A$1</definedName>
    <definedName name="_Toc513412351" localSheetId="12">Custom!$A$22</definedName>
    <definedName name="_Toc513412352" localSheetId="12">Custom!$A$71</definedName>
    <definedName name="_Toc513412353" localSheetId="12">Custom!#REF!</definedName>
    <definedName name="_Toc513412354" localSheetId="12">Custom!$A$74</definedName>
    <definedName name="_Toc513412355" localSheetId="12">Custom!$A$83</definedName>
    <definedName name="IF" localSheetId="44">C_Light_Exterior!#REF!</definedName>
    <definedName name="IF" localSheetId="42">C_Light_General!#REF!</definedName>
    <definedName name="IntEff" localSheetId="38">#REF!</definedName>
    <definedName name="IntEff" localSheetId="44">C_Light_Exterior!#REF!</definedName>
    <definedName name="IntEff" localSheetId="42">C_Light_General!#REF!</definedName>
    <definedName name="IntEff" localSheetId="0">#REF!</definedName>
    <definedName name="IntEff">#REF!</definedName>
    <definedName name="IntEff2">#REF!</definedName>
    <definedName name="LgtOpHrs" localSheetId="38">#REF!</definedName>
    <definedName name="LgtOpHrs" localSheetId="44">C_Light_Exterior!#REF!</definedName>
    <definedName name="LgtOpHrs" localSheetId="42">C_Light_General!#REF!</definedName>
    <definedName name="LgtOpHrs" localSheetId="0">#REF!</definedName>
    <definedName name="LgtOpHrs">#REF!</definedName>
    <definedName name="LgtOpHrs2">#REF!</definedName>
    <definedName name="LgtOpHrsCF" localSheetId="44">C_Light_Exterior!#REF!</definedName>
    <definedName name="LgtOpHrsCF" localSheetId="42">C_Light_General!#REF!</definedName>
    <definedName name="PF" localSheetId="44">C_Light_Exterior!#REF!</definedName>
    <definedName name="PF" localSheetId="42">C_Light_General!#REF!</definedName>
    <definedName name="_xlnm.Print_Area" localSheetId="7">'C&amp;S Tracking'!$A$1:$G$111</definedName>
    <definedName name="_xlnm.Print_Area" localSheetId="34">C_HVAC_AC_HP_WKST!$A$1:$L$114</definedName>
    <definedName name="_xlnm.Print_Area" localSheetId="32">C_HVAC_Chiller_WKST!$A$1:$K$72</definedName>
    <definedName name="_xlnm.Print_Area" localSheetId="38">'C_HVAC_VFD Water Pump Reference'!$A$1:$H$341</definedName>
    <definedName name="_xlnm.Print_Area" localSheetId="40">C_HVAC_VRF_WKST!$A$1:$O$97</definedName>
    <definedName name="_xlnm.Print_Area" localSheetId="36">C_HVAC_WindowAC_WKST!$A$1:$P$37</definedName>
    <definedName name="_xlnm.Print_Area" localSheetId="45">'C_Light_Dimmable(Nonlinear LED)'!$A$1:$AJ$210</definedName>
    <definedName name="_xlnm.Print_Area" localSheetId="44">C_Light_Exterior!$A$1:$AF$86</definedName>
    <definedName name="_xlnm.Print_Area" localSheetId="42">C_Light_General!$A$1:$AO$699</definedName>
    <definedName name="_xlnm.Print_Area" localSheetId="59">'C_Refrig_Add Case Doors'!$A:$AF</definedName>
    <definedName name="_xlnm.Print_Area" localSheetId="58">'C_Refrig_Evap Motor Control'!$A:$AF</definedName>
    <definedName name="_xlnm.Print_Area" localSheetId="60">'C_Refrig_FHP Control'!$A:$AF</definedName>
    <definedName name="_xlnm.Print_Area" localSheetId="12">Custom!$A$1:$AF$98</definedName>
    <definedName name="_xlnm.Print_Area" localSheetId="6">Glossary!$A$1:$AF$160</definedName>
    <definedName name="_xlnm.Print_Area" localSheetId="8">'Key Metrics'!$A$1:$AP$302</definedName>
    <definedName name="_xlnm.Print_Area" localSheetId="96">R_PlugProcess_Switch_Plug_CALC!$A$1:$F$106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9" i="163" l="1"/>
  <c r="AA90" i="163"/>
  <c r="P81" i="163" l="1"/>
  <c r="I98" i="163" l="1"/>
  <c r="I97" i="163"/>
  <c r="P69" i="163"/>
  <c r="Q97" i="163" l="1"/>
  <c r="Y97" i="163" s="1"/>
  <c r="Q98" i="163"/>
  <c r="Y98" i="163" s="1"/>
  <c r="P57" i="162"/>
  <c r="Q66" i="162"/>
  <c r="I66" i="162"/>
  <c r="Y66" i="162" l="1"/>
  <c r="P71" i="161"/>
  <c r="Q83" i="161" l="1"/>
  <c r="Y83" i="161" s="1"/>
  <c r="Q82" i="161"/>
  <c r="Y82" i="161" s="1"/>
  <c r="I82" i="161"/>
  <c r="Q81" i="161"/>
  <c r="Y81" i="161" s="1"/>
  <c r="Q80" i="161"/>
  <c r="Y80" i="161" s="1"/>
  <c r="I80" i="161" l="1"/>
  <c r="I81" i="161"/>
  <c r="I83" i="161"/>
  <c r="G9" i="116" l="1"/>
  <c r="C13" i="116" l="1"/>
  <c r="F14" i="159"/>
  <c r="F13" i="159"/>
  <c r="F12" i="159"/>
  <c r="F11" i="159"/>
  <c r="F10" i="159"/>
  <c r="J9" i="159"/>
  <c r="F9" i="159"/>
  <c r="J8" i="159"/>
  <c r="E8" i="159"/>
  <c r="F8" i="159" s="1"/>
  <c r="G8" i="159" s="1"/>
  <c r="D8" i="159"/>
  <c r="J7" i="159"/>
  <c r="Q83" i="160"/>
  <c r="Q82" i="160" s="1"/>
  <c r="J10" i="159" l="1"/>
  <c r="J13" i="159"/>
  <c r="J12" i="159"/>
  <c r="J14" i="159" s="1"/>
  <c r="J11" i="159"/>
  <c r="J15" i="159" l="1"/>
  <c r="P83" i="60" l="1"/>
  <c r="S42" i="60"/>
  <c r="S41" i="60"/>
  <c r="S40" i="60"/>
  <c r="Z25" i="60"/>
  <c r="S25" i="60"/>
  <c r="L25" i="60"/>
  <c r="P70" i="60" s="1"/>
  <c r="Q99" i="60" l="1"/>
  <c r="Q97" i="60"/>
  <c r="Q98" i="60"/>
  <c r="Y99" i="60" l="1"/>
  <c r="I99" i="60"/>
  <c r="Y98" i="60"/>
  <c r="I98" i="60"/>
  <c r="I97" i="60"/>
  <c r="Y97" i="60"/>
  <c r="D144" i="116" l="1"/>
  <c r="D143" i="116"/>
  <c r="D142" i="116"/>
  <c r="D141" i="116"/>
  <c r="D140" i="116"/>
  <c r="D139" i="116"/>
  <c r="D138" i="116"/>
  <c r="D137" i="116"/>
  <c r="D136" i="116"/>
  <c r="D135" i="116"/>
  <c r="D134" i="116"/>
  <c r="C144" i="116"/>
  <c r="C143" i="116"/>
  <c r="C142" i="116"/>
  <c r="C141" i="116"/>
  <c r="C140" i="116"/>
  <c r="C139" i="116"/>
  <c r="C138" i="116"/>
  <c r="C137" i="116"/>
  <c r="C136" i="116"/>
  <c r="C135" i="116"/>
  <c r="C134" i="116"/>
  <c r="F126" i="116"/>
  <c r="E126" i="116"/>
  <c r="F125" i="116"/>
  <c r="D125" i="116" s="1"/>
  <c r="F124" i="116"/>
  <c r="D124" i="116" s="1"/>
  <c r="F122" i="116"/>
  <c r="D122" i="116"/>
  <c r="F121" i="116"/>
  <c r="D121" i="116" s="1"/>
  <c r="F119" i="116"/>
  <c r="D119" i="116"/>
  <c r="F118" i="116"/>
  <c r="D118" i="116"/>
  <c r="F116" i="116"/>
  <c r="D116" i="116" s="1"/>
  <c r="F115" i="116"/>
  <c r="D115" i="116"/>
  <c r="F113" i="116"/>
  <c r="D113" i="116" s="1"/>
  <c r="F112" i="116"/>
  <c r="E112" i="116" s="1"/>
  <c r="F111" i="116"/>
  <c r="D111" i="116"/>
  <c r="F110" i="116"/>
  <c r="D110" i="116"/>
  <c r="E109" i="116"/>
  <c r="E108" i="116"/>
  <c r="E107" i="116"/>
  <c r="D106" i="116"/>
  <c r="D105" i="116"/>
  <c r="D104" i="116"/>
  <c r="D103" i="116"/>
  <c r="E102" i="116"/>
  <c r="E101" i="116"/>
  <c r="E100" i="116"/>
  <c r="D99" i="116"/>
  <c r="D98" i="116"/>
  <c r="D97" i="116"/>
  <c r="D96" i="116"/>
  <c r="D95" i="116"/>
  <c r="F88" i="116"/>
  <c r="E88" i="116" s="1"/>
  <c r="F87" i="116"/>
  <c r="D87" i="116"/>
  <c r="F86" i="116"/>
  <c r="D86" i="116" s="1"/>
  <c r="F84" i="116"/>
  <c r="D84" i="116" s="1"/>
  <c r="F83" i="116"/>
  <c r="D83" i="116"/>
  <c r="F81" i="116"/>
  <c r="D81" i="116" s="1"/>
  <c r="F80" i="116"/>
  <c r="D80" i="116" s="1"/>
  <c r="F78" i="116"/>
  <c r="D78" i="116" s="1"/>
  <c r="F77" i="116"/>
  <c r="D77" i="116" s="1"/>
  <c r="F75" i="116"/>
  <c r="D75" i="116"/>
  <c r="F74" i="116"/>
  <c r="E74" i="116" s="1"/>
  <c r="F73" i="116"/>
  <c r="D73" i="116" s="1"/>
  <c r="F72" i="116"/>
  <c r="D72" i="116" s="1"/>
  <c r="E71" i="116"/>
  <c r="E70" i="116"/>
  <c r="E69" i="116"/>
  <c r="D68" i="116"/>
  <c r="D67" i="116"/>
  <c r="E64" i="116"/>
  <c r="E63" i="116"/>
  <c r="E62" i="116"/>
  <c r="D61" i="116"/>
  <c r="D60" i="116"/>
  <c r="G50" i="116"/>
  <c r="E50" i="116"/>
  <c r="G49" i="116"/>
  <c r="D49" i="116"/>
  <c r="G48" i="116"/>
  <c r="D48" i="116"/>
  <c r="G47" i="116"/>
  <c r="F47" i="116"/>
  <c r="F123" i="116" s="1"/>
  <c r="D123" i="116" s="1"/>
  <c r="G46" i="116"/>
  <c r="D46" i="116"/>
  <c r="G45" i="116"/>
  <c r="D45" i="116"/>
  <c r="G44" i="116"/>
  <c r="F44" i="116"/>
  <c r="F120" i="116" s="1"/>
  <c r="D120" i="116" s="1"/>
  <c r="G43" i="116"/>
  <c r="D43" i="116"/>
  <c r="G42" i="116"/>
  <c r="D42" i="116"/>
  <c r="G41" i="116"/>
  <c r="F41" i="116"/>
  <c r="F117" i="116" s="1"/>
  <c r="D117" i="116" s="1"/>
  <c r="G40" i="116"/>
  <c r="D40" i="116"/>
  <c r="G39" i="116"/>
  <c r="D39" i="116"/>
  <c r="G38" i="116"/>
  <c r="F38" i="116"/>
  <c r="F114" i="116" s="1"/>
  <c r="D114" i="116" s="1"/>
  <c r="G37" i="116"/>
  <c r="D37" i="116"/>
  <c r="G36" i="116"/>
  <c r="E36" i="116"/>
  <c r="G35" i="116"/>
  <c r="D35" i="116"/>
  <c r="G34" i="116"/>
  <c r="D34" i="116"/>
  <c r="G33" i="116"/>
  <c r="G32" i="116"/>
  <c r="G31" i="116"/>
  <c r="G30" i="116"/>
  <c r="G29" i="116"/>
  <c r="G28" i="116"/>
  <c r="G27" i="116"/>
  <c r="G26" i="116"/>
  <c r="G25" i="116"/>
  <c r="G24" i="116"/>
  <c r="G23" i="116"/>
  <c r="G22" i="116"/>
  <c r="G21" i="116"/>
  <c r="G20" i="116"/>
  <c r="G19" i="116"/>
  <c r="C14" i="116"/>
  <c r="C12" i="116"/>
  <c r="H11" i="116"/>
  <c r="C11" i="116"/>
  <c r="D10" i="116"/>
  <c r="H6" i="116" s="1"/>
  <c r="G10" i="116"/>
  <c r="K7" i="116"/>
  <c r="G7" i="116"/>
  <c r="K6" i="116"/>
  <c r="G6" i="116"/>
  <c r="Q80" i="18"/>
  <c r="F85" i="116" l="1"/>
  <c r="D85" i="116" s="1"/>
  <c r="D47" i="116"/>
  <c r="F76" i="116"/>
  <c r="D76" i="116" s="1"/>
  <c r="G11" i="116"/>
  <c r="F82" i="116"/>
  <c r="D82" i="116" s="1"/>
  <c r="D44" i="116"/>
  <c r="H7" i="116"/>
  <c r="K11" i="116" s="1"/>
  <c r="D41" i="116"/>
  <c r="F79" i="116"/>
  <c r="D79" i="116" s="1"/>
  <c r="D38" i="116"/>
  <c r="K9" i="116" l="1"/>
  <c r="K10" i="116" s="1"/>
  <c r="K8" i="116"/>
  <c r="Q47" i="101" l="1"/>
  <c r="W76" i="101"/>
  <c r="T76" i="101"/>
  <c r="W75" i="101"/>
  <c r="T75" i="101"/>
  <c r="W74" i="101"/>
  <c r="T74" i="101"/>
  <c r="Z74" i="101" s="1"/>
  <c r="W73" i="101"/>
  <c r="T73" i="101"/>
  <c r="Z73" i="101" s="1"/>
  <c r="W71" i="101"/>
  <c r="T71" i="101"/>
  <c r="W70" i="101"/>
  <c r="T70" i="101"/>
  <c r="W69" i="101"/>
  <c r="T69" i="101"/>
  <c r="Z69" i="101" s="1"/>
  <c r="W68" i="101"/>
  <c r="T68" i="101"/>
  <c r="Z68" i="101" s="1"/>
  <c r="W65" i="101"/>
  <c r="T65" i="101"/>
  <c r="W64" i="101"/>
  <c r="T64" i="101"/>
  <c r="W63" i="101"/>
  <c r="T63" i="101"/>
  <c r="Z63" i="101" s="1"/>
  <c r="W62" i="101"/>
  <c r="T62" i="101"/>
  <c r="Z62" i="101" s="1"/>
  <c r="W60" i="101"/>
  <c r="T60" i="101"/>
  <c r="W59" i="101"/>
  <c r="T59" i="101"/>
  <c r="W58" i="101"/>
  <c r="T58" i="101"/>
  <c r="Z58" i="101" s="1"/>
  <c r="W57" i="101"/>
  <c r="T57" i="101"/>
  <c r="Z57" i="101" s="1"/>
  <c r="Z59" i="101" l="1"/>
  <c r="Q82" i="101" s="1"/>
  <c r="Y82" i="101" s="1"/>
  <c r="Z64" i="101"/>
  <c r="Z70" i="101"/>
  <c r="Z75" i="101"/>
  <c r="AD75" i="101" s="1"/>
  <c r="I94" i="101" s="1"/>
  <c r="Z60" i="101"/>
  <c r="Z65" i="101"/>
  <c r="AD65" i="101" s="1"/>
  <c r="I87" i="101" s="1"/>
  <c r="Z71" i="101"/>
  <c r="Z76" i="101"/>
  <c r="AD76" i="101" s="1"/>
  <c r="I95" i="101" s="1"/>
  <c r="AD68" i="101"/>
  <c r="I88" i="101" s="1"/>
  <c r="Q88" i="101"/>
  <c r="Y88" i="101" s="1"/>
  <c r="AD74" i="101"/>
  <c r="I93" i="101" s="1"/>
  <c r="Q93" i="101"/>
  <c r="Y93" i="101" s="1"/>
  <c r="AD57" i="101"/>
  <c r="I80" i="101" s="1"/>
  <c r="Q80" i="101"/>
  <c r="Y80" i="101" s="1"/>
  <c r="AD58" i="101"/>
  <c r="I81" i="101" s="1"/>
  <c r="Q81" i="101"/>
  <c r="Y81" i="101" s="1"/>
  <c r="Q90" i="101"/>
  <c r="Y90" i="101" s="1"/>
  <c r="AD70" i="101"/>
  <c r="I90" i="101" s="1"/>
  <c r="AD73" i="101"/>
  <c r="I92" i="101" s="1"/>
  <c r="Q92" i="101"/>
  <c r="Y92" i="101" s="1"/>
  <c r="AD69" i="101"/>
  <c r="I89" i="101" s="1"/>
  <c r="Q89" i="101"/>
  <c r="Y89" i="101" s="1"/>
  <c r="Q94" i="101"/>
  <c r="Y94" i="101" s="1"/>
  <c r="AD60" i="101"/>
  <c r="I83" i="101" s="1"/>
  <c r="Q83" i="101"/>
  <c r="Y83" i="101" s="1"/>
  <c r="AD71" i="101"/>
  <c r="I91" i="101" s="1"/>
  <c r="Q91" i="101"/>
  <c r="Y91" i="101" s="1"/>
  <c r="AD62" i="101"/>
  <c r="I84" i="101" s="1"/>
  <c r="Q84" i="101"/>
  <c r="Y84" i="101" s="1"/>
  <c r="AD63" i="101"/>
  <c r="I85" i="101" s="1"/>
  <c r="Q85" i="101"/>
  <c r="Y85" i="101" s="1"/>
  <c r="Q86" i="101"/>
  <c r="Y86" i="101" s="1"/>
  <c r="AD64" i="101"/>
  <c r="I86" i="101" s="1"/>
  <c r="Q87" i="101"/>
  <c r="Y87" i="101" s="1"/>
  <c r="Q95" i="101"/>
  <c r="Y95" i="101" s="1"/>
  <c r="AD59" i="101" l="1"/>
  <c r="I82" i="101" s="1"/>
  <c r="Q47" i="100" l="1"/>
  <c r="Q92" i="100"/>
  <c r="W76" i="100"/>
  <c r="T76" i="100"/>
  <c r="Z76" i="100" s="1"/>
  <c r="AD76" i="100" s="1"/>
  <c r="I94" i="100" s="1"/>
  <c r="W75" i="100"/>
  <c r="T75" i="100"/>
  <c r="Z75" i="100" s="1"/>
  <c r="Z74" i="100"/>
  <c r="AD74" i="100" s="1"/>
  <c r="I92" i="100" s="1"/>
  <c r="W74" i="100"/>
  <c r="T74" i="100"/>
  <c r="W73" i="100"/>
  <c r="T73" i="100"/>
  <c r="Z73" i="100" s="1"/>
  <c r="W71" i="100"/>
  <c r="T71" i="100"/>
  <c r="Z71" i="100" s="1"/>
  <c r="W70" i="100"/>
  <c r="T70" i="100"/>
  <c r="Z69" i="100"/>
  <c r="AD69" i="100" s="1"/>
  <c r="I88" i="100" s="1"/>
  <c r="W69" i="100"/>
  <c r="T69" i="100"/>
  <c r="W68" i="100"/>
  <c r="T68" i="100"/>
  <c r="Z68" i="100" s="1"/>
  <c r="W65" i="100"/>
  <c r="Z65" i="100" s="1"/>
  <c r="AD65" i="100" s="1"/>
  <c r="I86" i="100" s="1"/>
  <c r="T65" i="100"/>
  <c r="W64" i="100"/>
  <c r="T64" i="100"/>
  <c r="W63" i="100"/>
  <c r="T63" i="100"/>
  <c r="Z63" i="100" s="1"/>
  <c r="W62" i="100"/>
  <c r="T62" i="100"/>
  <c r="Z62" i="100" s="1"/>
  <c r="W60" i="100"/>
  <c r="T60" i="100"/>
  <c r="Z60" i="100" s="1"/>
  <c r="AD60" i="100" s="1"/>
  <c r="I82" i="100" s="1"/>
  <c r="W59" i="100"/>
  <c r="T59" i="100"/>
  <c r="Z59" i="100" s="1"/>
  <c r="W58" i="100"/>
  <c r="T58" i="100"/>
  <c r="Z58" i="100" s="1"/>
  <c r="AD58" i="100" s="1"/>
  <c r="I80" i="100" s="1"/>
  <c r="W57" i="100"/>
  <c r="T57" i="100"/>
  <c r="Z57" i="100" s="1"/>
  <c r="Y92" i="100" l="1"/>
  <c r="AD63" i="100"/>
  <c r="I84" i="100" s="1"/>
  <c r="Q84" i="100"/>
  <c r="Y84" i="100" s="1"/>
  <c r="AD71" i="100"/>
  <c r="I90" i="100" s="1"/>
  <c r="Q90" i="100"/>
  <c r="Y90" i="100" s="1"/>
  <c r="Z64" i="100"/>
  <c r="Q85" i="100" s="1"/>
  <c r="Y85" i="100" s="1"/>
  <c r="Z70" i="100"/>
  <c r="Q89" i="100" s="1"/>
  <c r="Y89" i="100" s="1"/>
  <c r="Q83" i="100"/>
  <c r="Y83" i="100" s="1"/>
  <c r="AD62" i="100"/>
  <c r="I83" i="100" s="1"/>
  <c r="Q93" i="100"/>
  <c r="Y93" i="100" s="1"/>
  <c r="AD75" i="100"/>
  <c r="I93" i="100" s="1"/>
  <c r="Q91" i="100"/>
  <c r="Y91" i="100" s="1"/>
  <c r="AD73" i="100"/>
  <c r="I91" i="100" s="1"/>
  <c r="AD64" i="100"/>
  <c r="I85" i="100" s="1"/>
  <c r="AD57" i="100"/>
  <c r="I79" i="100" s="1"/>
  <c r="Q79" i="100"/>
  <c r="Y79" i="100" s="1"/>
  <c r="AD68" i="100"/>
  <c r="I87" i="100" s="1"/>
  <c r="Q87" i="100"/>
  <c r="Y87" i="100" s="1"/>
  <c r="Q81" i="100"/>
  <c r="Y81" i="100" s="1"/>
  <c r="AD59" i="100"/>
  <c r="I81" i="100" s="1"/>
  <c r="AD70" i="100"/>
  <c r="I89" i="100" s="1"/>
  <c r="Q82" i="100"/>
  <c r="Y82" i="100" s="1"/>
  <c r="Q80" i="100"/>
  <c r="Y80" i="100" s="1"/>
  <c r="Q88" i="100"/>
  <c r="Y88" i="100" s="1"/>
  <c r="Q86" i="100"/>
  <c r="Y86" i="100" s="1"/>
  <c r="Q94" i="100"/>
  <c r="Y94" i="100" s="1"/>
  <c r="Q62" i="99" l="1"/>
  <c r="Q88" i="99"/>
  <c r="U76" i="99"/>
  <c r="Q89" i="99" s="1"/>
  <c r="M76" i="99"/>
  <c r="Q86" i="99" s="1"/>
  <c r="U75" i="99"/>
  <c r="M75" i="99"/>
  <c r="Q85" i="99" s="1"/>
  <c r="U74" i="99"/>
  <c r="Q87" i="99" s="1"/>
  <c r="M74" i="99"/>
  <c r="Q84" i="99" s="1"/>
  <c r="Y85" i="99" l="1"/>
  <c r="Y86" i="99"/>
  <c r="Y88" i="99"/>
  <c r="I84" i="99"/>
  <c r="Y84" i="99"/>
  <c r="Y89" i="99"/>
  <c r="I89" i="99"/>
  <c r="I87" i="99"/>
  <c r="Y87" i="99"/>
  <c r="I85" i="99"/>
  <c r="I88" i="99"/>
  <c r="I86" i="99"/>
  <c r="Q49" i="98" l="1"/>
  <c r="G104" i="98"/>
  <c r="U104" i="98" s="1"/>
  <c r="AC104" i="98" s="1"/>
  <c r="G103" i="98"/>
  <c r="M103" i="98" s="1"/>
  <c r="U103" i="98" s="1"/>
  <c r="AC103" i="98" s="1"/>
  <c r="G102" i="98"/>
  <c r="M102" i="98" s="1"/>
  <c r="U102" i="98" s="1"/>
  <c r="AC102" i="98" s="1"/>
  <c r="G101" i="98"/>
  <c r="U101" i="98" s="1"/>
  <c r="AC101" i="98" s="1"/>
  <c r="G100" i="98"/>
  <c r="I100" i="98" s="1"/>
  <c r="Q100" i="98" s="1"/>
  <c r="Y100" i="98" s="1"/>
  <c r="G99" i="98"/>
  <c r="U99" i="98" s="1"/>
  <c r="AC99" i="98" s="1"/>
  <c r="G98" i="98"/>
  <c r="M98" i="98" s="1"/>
  <c r="U98" i="98" s="1"/>
  <c r="AC98" i="98" s="1"/>
  <c r="G97" i="98"/>
  <c r="I97" i="98" s="1"/>
  <c r="Q97" i="98" s="1"/>
  <c r="Y97" i="98" s="1"/>
  <c r="U93" i="98"/>
  <c r="AC93" i="98" s="1"/>
  <c r="G93" i="98"/>
  <c r="Q93" i="98" s="1"/>
  <c r="Y93" i="98" s="1"/>
  <c r="M92" i="98"/>
  <c r="U92" i="98" s="1"/>
  <c r="AC92" i="98" s="1"/>
  <c r="G92" i="98"/>
  <c r="I92" i="98" s="1"/>
  <c r="Q92" i="98" s="1"/>
  <c r="Y92" i="98" s="1"/>
  <c r="Q115" i="98" s="1"/>
  <c r="G91" i="98"/>
  <c r="M91" i="98" s="1"/>
  <c r="U91" i="98" s="1"/>
  <c r="AC91" i="98" s="1"/>
  <c r="G90" i="98"/>
  <c r="Q90" i="98" s="1"/>
  <c r="Y90" i="98" s="1"/>
  <c r="G89" i="98"/>
  <c r="M89" i="98" s="1"/>
  <c r="U89" i="98" s="1"/>
  <c r="AC89" i="98" s="1"/>
  <c r="G88" i="98"/>
  <c r="U88" i="98" s="1"/>
  <c r="AC88" i="98" s="1"/>
  <c r="G87" i="98"/>
  <c r="M87" i="98" s="1"/>
  <c r="U87" i="98" s="1"/>
  <c r="AC87" i="98" s="1"/>
  <c r="G86" i="98"/>
  <c r="M86" i="98" s="1"/>
  <c r="U86" i="98" s="1"/>
  <c r="AC86" i="98" s="1"/>
  <c r="G85" i="98"/>
  <c r="M85" i="98" s="1"/>
  <c r="U85" i="98" s="1"/>
  <c r="AC85" i="98" s="1"/>
  <c r="I89" i="98" l="1"/>
  <c r="Q89" i="98" s="1"/>
  <c r="Y89" i="98" s="1"/>
  <c r="Q116" i="98"/>
  <c r="Y116" i="98" s="1"/>
  <c r="M100" i="98"/>
  <c r="U100" i="98" s="1"/>
  <c r="AC100" i="98" s="1"/>
  <c r="I86" i="98"/>
  <c r="Q86" i="98" s="1"/>
  <c r="Y86" i="98" s="1"/>
  <c r="Q109" i="98" s="1"/>
  <c r="U90" i="98"/>
  <c r="AC90" i="98" s="1"/>
  <c r="Q113" i="98" s="1"/>
  <c r="M97" i="98"/>
  <c r="U97" i="98" s="1"/>
  <c r="AC97" i="98" s="1"/>
  <c r="Q117" i="98" s="1"/>
  <c r="I103" i="98"/>
  <c r="Q103" i="98" s="1"/>
  <c r="Y103" i="98" s="1"/>
  <c r="Q88" i="98"/>
  <c r="Y88" i="98" s="1"/>
  <c r="Q111" i="98" s="1"/>
  <c r="I111" i="98" s="1"/>
  <c r="Q99" i="98"/>
  <c r="Y99" i="98" s="1"/>
  <c r="Q119" i="98" s="1"/>
  <c r="Q112" i="98"/>
  <c r="Y112" i="98" s="1"/>
  <c r="Q120" i="98"/>
  <c r="Y115" i="98"/>
  <c r="I115" i="98"/>
  <c r="I116" i="98"/>
  <c r="I119" i="98"/>
  <c r="Y119" i="98"/>
  <c r="Q123" i="98"/>
  <c r="I87" i="98"/>
  <c r="Q87" i="98" s="1"/>
  <c r="Y87" i="98" s="1"/>
  <c r="Q110" i="98" s="1"/>
  <c r="I91" i="98"/>
  <c r="Q91" i="98" s="1"/>
  <c r="Y91" i="98" s="1"/>
  <c r="Q114" i="98" s="1"/>
  <c r="Q104" i="98"/>
  <c r="Y104" i="98" s="1"/>
  <c r="Q124" i="98" s="1"/>
  <c r="I85" i="98"/>
  <c r="Q85" i="98" s="1"/>
  <c r="Y85" i="98" s="1"/>
  <c r="Q108" i="98" s="1"/>
  <c r="I98" i="98"/>
  <c r="Q98" i="98" s="1"/>
  <c r="Y98" i="98" s="1"/>
  <c r="Q118" i="98" s="1"/>
  <c r="I102" i="98"/>
  <c r="Q102" i="98" s="1"/>
  <c r="Y102" i="98" s="1"/>
  <c r="Q122" i="98" s="1"/>
  <c r="Q101" i="98"/>
  <c r="Y101" i="98" s="1"/>
  <c r="Q121" i="98" s="1"/>
  <c r="Y113" i="98" l="1"/>
  <c r="I113" i="98"/>
  <c r="I112" i="98"/>
  <c r="Y111" i="98"/>
  <c r="Y117" i="98"/>
  <c r="I117" i="98"/>
  <c r="Y121" i="98"/>
  <c r="I121" i="98"/>
  <c r="Y118" i="98"/>
  <c r="I118" i="98"/>
  <c r="Y123" i="98"/>
  <c r="I123" i="98"/>
  <c r="I122" i="98"/>
  <c r="Y122" i="98"/>
  <c r="Y109" i="98"/>
  <c r="I109" i="98"/>
  <c r="Y108" i="98"/>
  <c r="I108" i="98"/>
  <c r="Y110" i="98"/>
  <c r="I110" i="98"/>
  <c r="Y124" i="98"/>
  <c r="I124" i="98"/>
  <c r="Y120" i="98"/>
  <c r="I120" i="98"/>
  <c r="I114" i="98"/>
  <c r="Y114" i="98"/>
  <c r="Q71" i="14" l="1"/>
  <c r="Q88" i="14"/>
  <c r="AC87" i="14"/>
  <c r="AC88" i="14" s="1"/>
  <c r="Y87" i="14"/>
  <c r="Y88" i="14" s="1"/>
  <c r="Y89" i="14" s="1"/>
  <c r="U87" i="14"/>
  <c r="U88" i="14" s="1"/>
  <c r="Q87" i="14"/>
  <c r="M87" i="14"/>
  <c r="M88" i="14" s="1"/>
  <c r="I87" i="14"/>
  <c r="I88" i="14" s="1"/>
  <c r="AC86" i="14"/>
  <c r="AC89" i="14" s="1"/>
  <c r="Y86" i="14"/>
  <c r="U86" i="14"/>
  <c r="Q86" i="14"/>
  <c r="Q89" i="14" s="1"/>
  <c r="M86" i="14"/>
  <c r="I86" i="14"/>
  <c r="Q69" i="14"/>
  <c r="I89" i="14" l="1"/>
  <c r="Q98" i="14"/>
  <c r="M89" i="14"/>
  <c r="U89" i="14"/>
  <c r="Q97" i="14" s="1"/>
  <c r="Q96" i="14" l="1"/>
  <c r="Y97" i="14"/>
  <c r="I97" i="14"/>
  <c r="I96" i="14"/>
  <c r="Y96" i="14"/>
  <c r="Y98" i="14"/>
  <c r="I98" i="14"/>
  <c r="Q90" i="93" l="1"/>
  <c r="AA156" i="93"/>
  <c r="AA157" i="93" s="1"/>
  <c r="U156" i="93"/>
  <c r="U157" i="93" s="1"/>
  <c r="O156" i="93"/>
  <c r="O157" i="93" s="1"/>
  <c r="I156" i="93"/>
  <c r="I157" i="93" s="1"/>
  <c r="AA155" i="93"/>
  <c r="U155" i="93"/>
  <c r="O155" i="93"/>
  <c r="I155" i="93"/>
  <c r="AA152" i="93"/>
  <c r="U152" i="93"/>
  <c r="AA140" i="93"/>
  <c r="AA141" i="93" s="1"/>
  <c r="U140" i="93"/>
  <c r="U141" i="93" s="1"/>
  <c r="O140" i="93"/>
  <c r="O141" i="93" s="1"/>
  <c r="I140" i="93"/>
  <c r="I141" i="93" s="1"/>
  <c r="AA139" i="93"/>
  <c r="U139" i="93"/>
  <c r="O139" i="93"/>
  <c r="I139" i="93"/>
  <c r="AA136" i="93"/>
  <c r="U136" i="93"/>
  <c r="AA124" i="93"/>
  <c r="AA125" i="93" s="1"/>
  <c r="U124" i="93"/>
  <c r="U125" i="93" s="1"/>
  <c r="O124" i="93"/>
  <c r="O125" i="93" s="1"/>
  <c r="I124" i="93"/>
  <c r="I125" i="93" s="1"/>
  <c r="AA123" i="93"/>
  <c r="U123" i="93"/>
  <c r="O123" i="93"/>
  <c r="I123" i="93"/>
  <c r="AA120" i="93"/>
  <c r="U120" i="93"/>
  <c r="AA108" i="93"/>
  <c r="AA109" i="93" s="1"/>
  <c r="U108" i="93"/>
  <c r="U109" i="93" s="1"/>
  <c r="O108" i="93"/>
  <c r="O109" i="93" s="1"/>
  <c r="I108" i="93"/>
  <c r="I109" i="93" s="1"/>
  <c r="AA107" i="93"/>
  <c r="U107" i="93"/>
  <c r="O107" i="93"/>
  <c r="I107" i="93"/>
  <c r="AA104" i="93"/>
  <c r="U104" i="93"/>
  <c r="Q88" i="93"/>
  <c r="I126" i="93" l="1"/>
  <c r="I158" i="93"/>
  <c r="U158" i="93"/>
  <c r="U142" i="93"/>
  <c r="U126" i="93"/>
  <c r="U110" i="93"/>
  <c r="I110" i="93"/>
  <c r="I142" i="93"/>
  <c r="Q169" i="93" l="1"/>
  <c r="I169" i="93" s="1"/>
  <c r="Q170" i="93"/>
  <c r="I170" i="93" s="1"/>
  <c r="Q171" i="93"/>
  <c r="I171" i="93" s="1"/>
  <c r="Q168" i="93"/>
  <c r="Y168" i="93"/>
  <c r="I168" i="93"/>
  <c r="Y169" i="93" l="1"/>
  <c r="Y171" i="93"/>
  <c r="Y170" i="93"/>
  <c r="P271" i="105" l="1"/>
  <c r="P270" i="105"/>
  <c r="P269" i="105"/>
  <c r="P268" i="105"/>
  <c r="P267" i="105"/>
  <c r="P266" i="105"/>
  <c r="P265" i="105"/>
  <c r="AA28" i="156" l="1"/>
  <c r="U28" i="156"/>
  <c r="AA27" i="156"/>
  <c r="U27" i="156"/>
  <c r="O26" i="156"/>
  <c r="O25" i="156"/>
  <c r="O24" i="156"/>
  <c r="W118" i="53" l="1"/>
  <c r="Q130" i="53" s="1"/>
  <c r="Q61" i="156" l="1"/>
  <c r="D77" i="133" l="1"/>
  <c r="D56" i="133"/>
  <c r="A112" i="105" l="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A132" i="105" s="1"/>
  <c r="A133" i="105" s="1"/>
  <c r="A134" i="105" s="1"/>
  <c r="A135" i="105" s="1"/>
  <c r="U97" i="155" l="1"/>
  <c r="U96" i="155"/>
  <c r="U95" i="155"/>
  <c r="U94" i="155"/>
  <c r="U93" i="155"/>
  <c r="U92" i="155"/>
  <c r="U91" i="155"/>
  <c r="U90" i="155"/>
  <c r="Y90" i="155" s="1"/>
  <c r="U89" i="155"/>
  <c r="U88" i="155"/>
  <c r="U87" i="155"/>
  <c r="Y87" i="155" s="1"/>
  <c r="Q97" i="155"/>
  <c r="Q96" i="155"/>
  <c r="Q95" i="155"/>
  <c r="Q94" i="155"/>
  <c r="Q131" i="155" s="1"/>
  <c r="Q93" i="155"/>
  <c r="Q130" i="155" s="1"/>
  <c r="Q92" i="155"/>
  <c r="Q91" i="155"/>
  <c r="Q90" i="155"/>
  <c r="Q89" i="155"/>
  <c r="Q88" i="155"/>
  <c r="Q125" i="155" s="1"/>
  <c r="Q87" i="155"/>
  <c r="M97" i="155"/>
  <c r="I134" i="155" s="1"/>
  <c r="M96" i="155"/>
  <c r="M95" i="155"/>
  <c r="M94" i="155"/>
  <c r="M93" i="155"/>
  <c r="I130" i="155" s="1"/>
  <c r="M92" i="155"/>
  <c r="M91" i="155"/>
  <c r="M90" i="155"/>
  <c r="M89" i="155"/>
  <c r="I126" i="155" s="1"/>
  <c r="M88" i="155"/>
  <c r="M87" i="155"/>
  <c r="I97" i="155"/>
  <c r="I96" i="155"/>
  <c r="I95" i="155"/>
  <c r="I132" i="155" s="1"/>
  <c r="I94" i="155"/>
  <c r="I93" i="155"/>
  <c r="I92" i="155"/>
  <c r="I129" i="155" s="1"/>
  <c r="I91" i="155"/>
  <c r="I128" i="155" s="1"/>
  <c r="I90" i="155"/>
  <c r="I89" i="155"/>
  <c r="I88" i="155"/>
  <c r="I87" i="155"/>
  <c r="Q134" i="155"/>
  <c r="Q133" i="155"/>
  <c r="Y133" i="155" s="1"/>
  <c r="Q132" i="155"/>
  <c r="Y132" i="155" s="1"/>
  <c r="Q129" i="155"/>
  <c r="Y129" i="155" s="1"/>
  <c r="Q128" i="155"/>
  <c r="Q126" i="155"/>
  <c r="Q124" i="155"/>
  <c r="I124" i="155"/>
  <c r="Y97" i="155"/>
  <c r="Y96" i="155"/>
  <c r="Y95" i="155"/>
  <c r="Y94" i="155"/>
  <c r="Y93" i="155"/>
  <c r="Y92" i="155"/>
  <c r="Y91" i="155"/>
  <c r="Y89" i="155"/>
  <c r="Y88" i="155"/>
  <c r="Q70" i="155"/>
  <c r="Q69" i="155"/>
  <c r="Q68" i="155"/>
  <c r="Q67" i="155"/>
  <c r="I114" i="155" s="1"/>
  <c r="Q127" i="155" l="1"/>
  <c r="I125" i="155"/>
  <c r="I133" i="155"/>
  <c r="Y131" i="155"/>
  <c r="Y125" i="155"/>
  <c r="Y126" i="155"/>
  <c r="Y128" i="155"/>
  <c r="Y130" i="155"/>
  <c r="Y124" i="155"/>
  <c r="Y127" i="155"/>
  <c r="Y134" i="155"/>
  <c r="I131" i="155"/>
  <c r="I149" i="155"/>
  <c r="I127" i="155"/>
  <c r="M152" i="155"/>
  <c r="Q144" i="155"/>
  <c r="I146" i="155"/>
  <c r="U147" i="155"/>
  <c r="M149" i="155"/>
  <c r="Q152" i="155"/>
  <c r="Q109" i="155"/>
  <c r="Y109" i="155" s="1"/>
  <c r="I112" i="155"/>
  <c r="I143" i="155"/>
  <c r="U144" i="155"/>
  <c r="M146" i="155"/>
  <c r="Q149" i="155"/>
  <c r="I151" i="155"/>
  <c r="U152" i="155"/>
  <c r="I107" i="155"/>
  <c r="Q112" i="155"/>
  <c r="Y112" i="155" s="1"/>
  <c r="I115" i="155"/>
  <c r="M143" i="155"/>
  <c r="Q146" i="155"/>
  <c r="I148" i="155"/>
  <c r="U149" i="155"/>
  <c r="M151" i="155"/>
  <c r="I109" i="155"/>
  <c r="Q114" i="155"/>
  <c r="Y114" i="155" s="1"/>
  <c r="Q107" i="155"/>
  <c r="Y107" i="155" s="1"/>
  <c r="I110" i="155"/>
  <c r="Q115" i="155"/>
  <c r="Y115" i="155" s="1"/>
  <c r="Q143" i="155"/>
  <c r="I145" i="155"/>
  <c r="U146" i="155"/>
  <c r="M148" i="155"/>
  <c r="Q151" i="155"/>
  <c r="I153" i="155"/>
  <c r="Q110" i="155"/>
  <c r="Y110" i="155" s="1"/>
  <c r="I113" i="155"/>
  <c r="U143" i="155"/>
  <c r="M145" i="155"/>
  <c r="Q148" i="155"/>
  <c r="I150" i="155"/>
  <c r="U151" i="155"/>
  <c r="M153" i="155"/>
  <c r="I108" i="155"/>
  <c r="Q113" i="155"/>
  <c r="Y113" i="155" s="1"/>
  <c r="I116" i="155"/>
  <c r="Q145" i="155"/>
  <c r="I147" i="155"/>
  <c r="U148" i="155"/>
  <c r="M150" i="155"/>
  <c r="Q153" i="155"/>
  <c r="Q106" i="155"/>
  <c r="Y106" i="155" s="1"/>
  <c r="Q108" i="155"/>
  <c r="Y108" i="155" s="1"/>
  <c r="I111" i="155"/>
  <c r="Q116" i="155"/>
  <c r="Y116" i="155" s="1"/>
  <c r="I144" i="155"/>
  <c r="U145" i="155"/>
  <c r="M147" i="155"/>
  <c r="Q150" i="155"/>
  <c r="Y150" i="155" s="1"/>
  <c r="I152" i="155"/>
  <c r="U153" i="155"/>
  <c r="I106" i="155"/>
  <c r="Q111" i="155"/>
  <c r="Y111" i="155" s="1"/>
  <c r="M144" i="155"/>
  <c r="Q147" i="155"/>
  <c r="U150" i="155"/>
  <c r="Y146" i="155" l="1"/>
  <c r="Y151" i="155"/>
  <c r="Y148" i="155"/>
  <c r="Y145" i="155"/>
  <c r="Y153" i="155"/>
  <c r="Y147" i="155"/>
  <c r="Y152" i="155"/>
  <c r="Y143" i="155"/>
  <c r="Y149" i="155"/>
  <c r="Y144" i="155"/>
  <c r="B231" i="154" l="1"/>
  <c r="C231" i="154" s="1"/>
  <c r="D231" i="154" s="1"/>
  <c r="E231" i="154" s="1"/>
  <c r="F231" i="154" s="1"/>
  <c r="G231" i="154" s="1"/>
  <c r="H231" i="154" s="1"/>
  <c r="I231" i="154" s="1"/>
  <c r="J231" i="154" s="1"/>
  <c r="K231" i="154" s="1"/>
  <c r="L231" i="154" s="1"/>
  <c r="M231" i="154" s="1"/>
  <c r="N231" i="154" s="1"/>
  <c r="O231" i="154" s="1"/>
  <c r="P231" i="154" s="1"/>
  <c r="Q231" i="154" s="1"/>
  <c r="R231" i="154" s="1"/>
  <c r="S231" i="154" s="1"/>
  <c r="T231" i="154" s="1"/>
  <c r="U231" i="154" s="1"/>
  <c r="V231" i="154" s="1"/>
  <c r="W231" i="154" s="1"/>
  <c r="X231" i="154" s="1"/>
  <c r="Y231" i="154" s="1"/>
  <c r="Z231" i="154" s="1"/>
  <c r="AA231" i="154" s="1"/>
  <c r="AB231" i="154" s="1"/>
  <c r="AC231" i="154" s="1"/>
  <c r="AD231" i="154" s="1"/>
  <c r="AE231" i="154" s="1"/>
  <c r="AF231" i="154" s="1"/>
  <c r="A229" i="154"/>
  <c r="Z206" i="154"/>
  <c r="Q264" i="154" s="1"/>
  <c r="Y264" i="154" s="1"/>
  <c r="Z205" i="154"/>
  <c r="Q263" i="154" s="1"/>
  <c r="Y263" i="154" s="1"/>
  <c r="Z204" i="154"/>
  <c r="Q262" i="154" s="1"/>
  <c r="Y262" i="154" s="1"/>
  <c r="Z203" i="154"/>
  <c r="AD203" i="154" s="1"/>
  <c r="I261" i="154" s="1"/>
  <c r="Z202" i="154"/>
  <c r="Q260" i="154" s="1"/>
  <c r="Y260" i="154" s="1"/>
  <c r="Z201" i="154"/>
  <c r="AD201" i="154" s="1"/>
  <c r="Z200" i="154"/>
  <c r="AD200" i="154" s="1"/>
  <c r="Z199" i="154"/>
  <c r="AD199" i="154" s="1"/>
  <c r="Z198" i="154"/>
  <c r="AD198" i="154" s="1"/>
  <c r="Z193" i="154"/>
  <c r="Q259" i="154" s="1"/>
  <c r="Y259" i="154" s="1"/>
  <c r="Z192" i="154"/>
  <c r="Q258" i="154" s="1"/>
  <c r="Y258" i="154" s="1"/>
  <c r="Z191" i="154"/>
  <c r="AD191" i="154" s="1"/>
  <c r="I257" i="154" s="1"/>
  <c r="Z190" i="154"/>
  <c r="AD190" i="154" s="1"/>
  <c r="I256" i="154" s="1"/>
  <c r="Z189" i="154"/>
  <c r="Q255" i="154" s="1"/>
  <c r="Y255" i="154" s="1"/>
  <c r="Z188" i="154"/>
  <c r="Q240" i="154" s="1"/>
  <c r="Y240" i="154" s="1"/>
  <c r="Z187" i="154"/>
  <c r="AD187" i="154" s="1"/>
  <c r="I239" i="154" s="1"/>
  <c r="Z186" i="154"/>
  <c r="Q238" i="154" s="1"/>
  <c r="Y238" i="154" s="1"/>
  <c r="Z185" i="154"/>
  <c r="AD185" i="154" s="1"/>
  <c r="I237" i="154" s="1"/>
  <c r="Z180" i="154"/>
  <c r="Q254" i="154" s="1"/>
  <c r="Y254" i="154" s="1"/>
  <c r="Z179" i="154"/>
  <c r="AD179" i="154" s="1"/>
  <c r="I253" i="154" s="1"/>
  <c r="Z178" i="154"/>
  <c r="Q252" i="154" s="1"/>
  <c r="Y252" i="154" s="1"/>
  <c r="Z177" i="154"/>
  <c r="Q251" i="154" s="1"/>
  <c r="Y251" i="154" s="1"/>
  <c r="Z176" i="154"/>
  <c r="Q250" i="154" s="1"/>
  <c r="Y250" i="154" s="1"/>
  <c r="Z175" i="154"/>
  <c r="AD175" i="154" s="1"/>
  <c r="Z174" i="154"/>
  <c r="AD174" i="154" s="1"/>
  <c r="Z173" i="154"/>
  <c r="AD173" i="154" s="1"/>
  <c r="Z172" i="154"/>
  <c r="AD172" i="154" s="1"/>
  <c r="Z167" i="154"/>
  <c r="Z166" i="154"/>
  <c r="Z165" i="154"/>
  <c r="Z164" i="154"/>
  <c r="AD164" i="154" s="1"/>
  <c r="I246" i="154" s="1"/>
  <c r="Z163" i="154"/>
  <c r="Z162" i="154"/>
  <c r="Z161" i="154"/>
  <c r="Q243" i="154" s="1"/>
  <c r="Y243" i="154" s="1"/>
  <c r="Z160" i="154"/>
  <c r="Q242" i="154" s="1"/>
  <c r="Y242" i="154" s="1"/>
  <c r="Z159" i="154"/>
  <c r="Q274" i="154" s="1"/>
  <c r="Y274" i="154" s="1"/>
  <c r="AD192" i="154" l="1"/>
  <c r="I258" i="154" s="1"/>
  <c r="Q244" i="154"/>
  <c r="Y244" i="154" s="1"/>
  <c r="Q267" i="154"/>
  <c r="Y267" i="154" s="1"/>
  <c r="AD186" i="154"/>
  <c r="I238" i="154" s="1"/>
  <c r="AD188" i="154"/>
  <c r="I240" i="154" s="1"/>
  <c r="AD162" i="154"/>
  <c r="I236" i="154" s="1"/>
  <c r="Q236" i="154"/>
  <c r="Y236" i="154" s="1"/>
  <c r="AD202" i="154"/>
  <c r="I260" i="154" s="1"/>
  <c r="Q237" i="154"/>
  <c r="Y237" i="154" s="1"/>
  <c r="Q265" i="154"/>
  <c r="Y265" i="154" s="1"/>
  <c r="AD204" i="154"/>
  <c r="I262" i="154" s="1"/>
  <c r="Q279" i="154"/>
  <c r="Y279" i="154" s="1"/>
  <c r="AD178" i="154"/>
  <c r="I252" i="154" s="1"/>
  <c r="Q246" i="154"/>
  <c r="Y246" i="154" s="1"/>
  <c r="Q256" i="154"/>
  <c r="Y256" i="154" s="1"/>
  <c r="Q281" i="154"/>
  <c r="Y281" i="154" s="1"/>
  <c r="AD180" i="154"/>
  <c r="I254" i="154" s="1"/>
  <c r="AD166" i="154"/>
  <c r="I248" i="154" s="1"/>
  <c r="Q277" i="154"/>
  <c r="Y277" i="154" s="1"/>
  <c r="Q282" i="154"/>
  <c r="Y282" i="154" s="1"/>
  <c r="AD176" i="154"/>
  <c r="I250" i="154" s="1"/>
  <c r="AD160" i="154"/>
  <c r="I242" i="154" s="1"/>
  <c r="Q248" i="154"/>
  <c r="Y248" i="154" s="1"/>
  <c r="AD206" i="154"/>
  <c r="I264" i="154" s="1"/>
  <c r="AD159" i="154"/>
  <c r="Q241" i="154"/>
  <c r="Y241" i="154" s="1"/>
  <c r="AD161" i="154"/>
  <c r="Q257" i="154"/>
  <c r="Y257" i="154" s="1"/>
  <c r="AD177" i="154"/>
  <c r="I251" i="154" s="1"/>
  <c r="AD189" i="154"/>
  <c r="I255" i="154" s="1"/>
  <c r="AD193" i="154"/>
  <c r="I259" i="154" s="1"/>
  <c r="AD205" i="154"/>
  <c r="I263" i="154" s="1"/>
  <c r="Q268" i="154"/>
  <c r="Y268" i="154" s="1"/>
  <c r="Q280" i="154"/>
  <c r="Y280" i="154" s="1"/>
  <c r="Q239" i="154"/>
  <c r="Y239" i="154" s="1"/>
  <c r="Q247" i="154"/>
  <c r="Y247" i="154" s="1"/>
  <c r="Q275" i="154"/>
  <c r="Y275" i="154" s="1"/>
  <c r="Q233" i="154"/>
  <c r="Y233" i="154" s="1"/>
  <c r="Q249" i="154"/>
  <c r="Y249" i="154" s="1"/>
  <c r="AD165" i="154"/>
  <c r="Q234" i="154"/>
  <c r="Y234" i="154" s="1"/>
  <c r="Q266" i="154"/>
  <c r="Y266" i="154" s="1"/>
  <c r="Q278" i="154"/>
  <c r="Y278" i="154" s="1"/>
  <c r="Q261" i="154"/>
  <c r="Y261" i="154" s="1"/>
  <c r="Q269" i="154"/>
  <c r="Y269" i="154" s="1"/>
  <c r="Y229" i="154" s="1"/>
  <c r="Q253" i="154"/>
  <c r="Y253" i="154" s="1"/>
  <c r="AD163" i="154"/>
  <c r="AD167" i="154"/>
  <c r="Q276" i="154"/>
  <c r="Y276" i="154" s="1"/>
  <c r="Q229" i="154"/>
  <c r="Q235" i="154"/>
  <c r="Y235" i="154" s="1"/>
  <c r="Q245" i="154"/>
  <c r="Y245" i="154" s="1"/>
  <c r="I277" i="154" l="1"/>
  <c r="I234" i="154"/>
  <c r="I244" i="154"/>
  <c r="I275" i="154"/>
  <c r="I241" i="154"/>
  <c r="I229" i="154" s="1"/>
  <c r="I233" i="154"/>
  <c r="I274" i="154"/>
  <c r="I249" i="154"/>
  <c r="I282" i="154"/>
  <c r="I269" i="154"/>
  <c r="I265" i="154"/>
  <c r="I245" i="154"/>
  <c r="I278" i="154"/>
  <c r="I280" i="154"/>
  <c r="I267" i="154"/>
  <c r="I247" i="154"/>
  <c r="I243" i="154"/>
  <c r="I235" i="154"/>
  <c r="I276" i="154"/>
  <c r="I268" i="154"/>
  <c r="I279" i="154"/>
  <c r="I281" i="154"/>
  <c r="I266" i="154"/>
  <c r="P76" i="53" l="1"/>
  <c r="AD126" i="53"/>
  <c r="V126" i="53"/>
  <c r="O126" i="53"/>
  <c r="N122" i="53"/>
  <c r="Q113" i="53"/>
  <c r="Q112" i="53"/>
  <c r="Y113" i="53" l="1"/>
  <c r="Y112" i="53"/>
  <c r="Y130" i="53"/>
  <c r="I113" i="53"/>
  <c r="I112" i="53"/>
  <c r="I130" i="53" l="1"/>
  <c r="P53" i="102"/>
  <c r="I65" i="102"/>
  <c r="I64" i="102"/>
  <c r="P47" i="102"/>
  <c r="Q65" i="102" s="1"/>
  <c r="Q64" i="102" l="1"/>
  <c r="Y64" i="102" s="1"/>
  <c r="Y65" i="102"/>
  <c r="AC94" i="153" l="1"/>
  <c r="Y94" i="153"/>
  <c r="AC93" i="153"/>
  <c r="Y93" i="153"/>
  <c r="AC92" i="153"/>
  <c r="U114" i="153" s="1"/>
  <c r="Y92" i="153"/>
  <c r="N114" i="153" s="1"/>
  <c r="P59" i="153"/>
  <c r="A118" i="153"/>
  <c r="G114" i="153"/>
  <c r="Q118" i="153" s="1"/>
  <c r="Q104" i="153"/>
  <c r="Q103" i="153"/>
  <c r="Q102" i="153"/>
  <c r="I102" i="153" s="1"/>
  <c r="I104" i="153" l="1"/>
  <c r="Y103" i="153"/>
  <c r="Y102" i="153"/>
  <c r="I118" i="153"/>
  <c r="Y118" i="153"/>
  <c r="Y104" i="153"/>
  <c r="I103" i="153"/>
  <c r="C13" i="115" l="1"/>
  <c r="Q47" i="94" l="1"/>
  <c r="Q60" i="94"/>
  <c r="I60" i="94"/>
  <c r="Y60" i="94" l="1"/>
  <c r="Q90" i="5" l="1"/>
  <c r="Q89" i="5"/>
  <c r="Q88" i="5"/>
  <c r="Q87" i="5"/>
  <c r="W218" i="5"/>
  <c r="W203" i="5"/>
  <c r="R203" i="5" s="1"/>
  <c r="S198" i="5"/>
  <c r="W217" i="5" s="1"/>
  <c r="D198" i="5"/>
  <c r="W205" i="5" s="1"/>
  <c r="W188" i="5"/>
  <c r="W187" i="5"/>
  <c r="R187" i="5" s="1"/>
  <c r="Y178" i="5"/>
  <c r="S178" i="5" s="1"/>
  <c r="W151" i="5"/>
  <c r="R151" i="5" s="1"/>
  <c r="W150" i="5"/>
  <c r="V178" i="5" s="1"/>
  <c r="P178" i="5" s="1"/>
  <c r="R150" i="5"/>
  <c r="W149" i="5"/>
  <c r="R149" i="5" s="1"/>
  <c r="W148" i="5"/>
  <c r="Y176" i="5" s="1"/>
  <c r="S176" i="5" s="1"/>
  <c r="W147" i="5"/>
  <c r="Y175" i="5" s="1"/>
  <c r="S175" i="5" s="1"/>
  <c r="R147" i="5"/>
  <c r="W146" i="5"/>
  <c r="V174" i="5" s="1"/>
  <c r="P174" i="5" s="1"/>
  <c r="W145" i="5"/>
  <c r="V173" i="5" s="1"/>
  <c r="P173" i="5" s="1"/>
  <c r="R145" i="5"/>
  <c r="W139" i="5"/>
  <c r="R139" i="5" s="1"/>
  <c r="W138" i="5"/>
  <c r="Y163" i="5" s="1"/>
  <c r="S163" i="5" s="1"/>
  <c r="R138" i="5"/>
  <c r="W137" i="5"/>
  <c r="R137" i="5" s="1"/>
  <c r="W136" i="5"/>
  <c r="Y161" i="5" s="1"/>
  <c r="S161" i="5" s="1"/>
  <c r="R136" i="5"/>
  <c r="W135" i="5"/>
  <c r="Y160" i="5" s="1"/>
  <c r="S160" i="5" s="1"/>
  <c r="R135" i="5"/>
  <c r="W134" i="5"/>
  <c r="V159" i="5" s="1"/>
  <c r="P159" i="5" s="1"/>
  <c r="W133" i="5"/>
  <c r="V158" i="5" s="1"/>
  <c r="P158" i="5" s="1"/>
  <c r="R133" i="5"/>
  <c r="AC123" i="5"/>
  <c r="Y123" i="5"/>
  <c r="U123" i="5"/>
  <c r="Q123" i="5"/>
  <c r="AC108" i="5"/>
  <c r="Y108" i="5"/>
  <c r="U108" i="5"/>
  <c r="Q108" i="5"/>
  <c r="W140" i="5" s="1"/>
  <c r="V165" i="5" s="1"/>
  <c r="P165" i="5" s="1"/>
  <c r="Y158" i="5" l="1"/>
  <c r="S158" i="5" s="1"/>
  <c r="AB203" i="5"/>
  <c r="R148" i="5"/>
  <c r="V162" i="5"/>
  <c r="P162" i="5" s="1"/>
  <c r="AB148" i="5"/>
  <c r="Y177" i="5"/>
  <c r="S177" i="5" s="1"/>
  <c r="Y162" i="5"/>
  <c r="S162" i="5" s="1"/>
  <c r="W152" i="5"/>
  <c r="AB152" i="5" s="1"/>
  <c r="Y173" i="5"/>
  <c r="S173" i="5" s="1"/>
  <c r="W216" i="5"/>
  <c r="V244" i="5" s="1"/>
  <c r="P244" i="5" s="1"/>
  <c r="AB188" i="5"/>
  <c r="AB187" i="5"/>
  <c r="AB149" i="5"/>
  <c r="AB151" i="5"/>
  <c r="AB136" i="5"/>
  <c r="AB137" i="5"/>
  <c r="AB139" i="5"/>
  <c r="R205" i="5"/>
  <c r="Y230" i="5"/>
  <c r="S230" i="5" s="1"/>
  <c r="V230" i="5"/>
  <c r="P230" i="5" s="1"/>
  <c r="AB205" i="5"/>
  <c r="R217" i="5"/>
  <c r="Y245" i="5"/>
  <c r="S245" i="5" s="1"/>
  <c r="V245" i="5"/>
  <c r="P245" i="5" s="1"/>
  <c r="AB217" i="5"/>
  <c r="AB140" i="5"/>
  <c r="Y159" i="5"/>
  <c r="S159" i="5" s="1"/>
  <c r="V164" i="5"/>
  <c r="P164" i="5" s="1"/>
  <c r="Y174" i="5"/>
  <c r="S174" i="5" s="1"/>
  <c r="V179" i="5"/>
  <c r="P179" i="5" s="1"/>
  <c r="W208" i="5"/>
  <c r="W220" i="5"/>
  <c r="Y244" i="5"/>
  <c r="S244" i="5" s="1"/>
  <c r="AB138" i="5"/>
  <c r="AB150" i="5"/>
  <c r="V161" i="5"/>
  <c r="P161" i="5" s="1"/>
  <c r="Y164" i="5"/>
  <c r="S164" i="5" s="1"/>
  <c r="V176" i="5"/>
  <c r="P176" i="5" s="1"/>
  <c r="Y179" i="5"/>
  <c r="S179" i="5" s="1"/>
  <c r="W215" i="5"/>
  <c r="Y165" i="5"/>
  <c r="S165" i="5" s="1"/>
  <c r="V177" i="5"/>
  <c r="P177" i="5" s="1"/>
  <c r="AB135" i="5"/>
  <c r="AB147" i="5"/>
  <c r="AB133" i="5"/>
  <c r="AB145" i="5"/>
  <c r="W206" i="5"/>
  <c r="R134" i="5"/>
  <c r="R146" i="5"/>
  <c r="V163" i="5"/>
  <c r="P163" i="5" s="1"/>
  <c r="R188" i="5"/>
  <c r="W209" i="5"/>
  <c r="R216" i="5"/>
  <c r="W221" i="5"/>
  <c r="V160" i="5"/>
  <c r="P160" i="5" s="1"/>
  <c r="V175" i="5"/>
  <c r="P175" i="5" s="1"/>
  <c r="W204" i="5"/>
  <c r="AB134" i="5"/>
  <c r="R140" i="5"/>
  <c r="AB146" i="5"/>
  <c r="W207" i="5"/>
  <c r="AB216" i="5"/>
  <c r="W219" i="5"/>
  <c r="W210" i="5"/>
  <c r="W222" i="5"/>
  <c r="V250" i="5" s="1"/>
  <c r="Y180" i="5" l="1"/>
  <c r="S180" i="5" s="1"/>
  <c r="R152" i="5"/>
  <c r="AB222" i="5"/>
  <c r="AB250" i="5" s="1"/>
  <c r="V180" i="5"/>
  <c r="P180" i="5" s="1"/>
  <c r="AB177" i="5"/>
  <c r="AB175" i="5"/>
  <c r="AB174" i="5"/>
  <c r="AB176" i="5"/>
  <c r="AB178" i="5"/>
  <c r="AB180" i="5"/>
  <c r="AB245" i="5"/>
  <c r="AB179" i="5"/>
  <c r="AB244" i="5"/>
  <c r="AB173" i="5"/>
  <c r="AB230" i="5"/>
  <c r="AB164" i="5"/>
  <c r="AB160" i="5"/>
  <c r="AB162" i="5"/>
  <c r="AB158" i="5"/>
  <c r="AB159" i="5"/>
  <c r="AB163" i="5"/>
  <c r="AB165" i="5"/>
  <c r="AB161" i="5"/>
  <c r="Y247" i="5"/>
  <c r="S247" i="5" s="1"/>
  <c r="V247" i="5"/>
  <c r="P247" i="5" s="1"/>
  <c r="AB219" i="5"/>
  <c r="AB247" i="5" s="1"/>
  <c r="R219" i="5"/>
  <c r="AB218" i="5"/>
  <c r="AB246" i="5" s="1"/>
  <c r="Y246" i="5"/>
  <c r="S246" i="5" s="1"/>
  <c r="V246" i="5"/>
  <c r="P246" i="5" s="1"/>
  <c r="R218" i="5"/>
  <c r="Y243" i="5"/>
  <c r="S243" i="5" s="1"/>
  <c r="V243" i="5"/>
  <c r="P243" i="5" s="1"/>
  <c r="AB215" i="5"/>
  <c r="AB243" i="5" s="1"/>
  <c r="R215" i="5"/>
  <c r="Y250" i="5"/>
  <c r="S250" i="5" s="1"/>
  <c r="P250" i="5"/>
  <c r="R222" i="5"/>
  <c r="AB210" i="5"/>
  <c r="AB235" i="5" s="1"/>
  <c r="Y235" i="5"/>
  <c r="S235" i="5" s="1"/>
  <c r="V235" i="5"/>
  <c r="P235" i="5" s="1"/>
  <c r="R210" i="5"/>
  <c r="AB221" i="5"/>
  <c r="AB249" i="5" s="1"/>
  <c r="R221" i="5"/>
  <c r="Y249" i="5"/>
  <c r="S249" i="5" s="1"/>
  <c r="V249" i="5"/>
  <c r="P249" i="5" s="1"/>
  <c r="AB206" i="5"/>
  <c r="AB231" i="5" s="1"/>
  <c r="Y231" i="5"/>
  <c r="S231" i="5" s="1"/>
  <c r="V231" i="5"/>
  <c r="P231" i="5" s="1"/>
  <c r="R206" i="5"/>
  <c r="Y228" i="5"/>
  <c r="S228" i="5" s="1"/>
  <c r="V228" i="5"/>
  <c r="P228" i="5" s="1"/>
  <c r="AB228" i="5"/>
  <c r="R220" i="5"/>
  <c r="Y248" i="5"/>
  <c r="S248" i="5" s="1"/>
  <c r="V248" i="5"/>
  <c r="P248" i="5" s="1"/>
  <c r="AB220" i="5"/>
  <c r="AB248" i="5" s="1"/>
  <c r="Y232" i="5"/>
  <c r="S232" i="5" s="1"/>
  <c r="V232" i="5"/>
  <c r="P232" i="5" s="1"/>
  <c r="AB207" i="5"/>
  <c r="AB232" i="5" s="1"/>
  <c r="R207" i="5"/>
  <c r="R208" i="5"/>
  <c r="Y233" i="5"/>
  <c r="S233" i="5" s="1"/>
  <c r="V233" i="5"/>
  <c r="P233" i="5" s="1"/>
  <c r="AB208" i="5"/>
  <c r="AB233" i="5" s="1"/>
  <c r="AB209" i="5"/>
  <c r="AB234" i="5" s="1"/>
  <c r="R209" i="5"/>
  <c r="Y234" i="5"/>
  <c r="S234" i="5" s="1"/>
  <c r="V234" i="5"/>
  <c r="P234" i="5" s="1"/>
  <c r="V229" i="5"/>
  <c r="P229" i="5" s="1"/>
  <c r="AB204" i="5"/>
  <c r="AB229" i="5" s="1"/>
  <c r="R204" i="5"/>
  <c r="Y229" i="5"/>
  <c r="S229" i="5" s="1"/>
  <c r="Q59" i="41"/>
  <c r="A166" i="41"/>
  <c r="H123" i="41"/>
  <c r="H148" i="41" s="1"/>
  <c r="H147" i="41"/>
  <c r="H122" i="41"/>
  <c r="H141" i="41" s="1"/>
  <c r="H142" i="41"/>
  <c r="O101" i="41"/>
  <c r="H101" i="41"/>
  <c r="O97" i="41"/>
  <c r="H97" i="41"/>
  <c r="O104" i="41"/>
  <c r="O103" i="41"/>
  <c r="O100" i="41"/>
  <c r="O99" i="41"/>
  <c r="O96" i="41"/>
  <c r="O95" i="41"/>
  <c r="O102" i="41"/>
  <c r="O98" i="41"/>
  <c r="O94" i="41"/>
  <c r="Q56" i="41"/>
  <c r="O111" i="41" s="1"/>
  <c r="O115" i="41"/>
  <c r="H94" i="41"/>
  <c r="H98" i="41"/>
  <c r="Q166" i="41" s="1"/>
  <c r="H102" i="41"/>
  <c r="H95" i="41"/>
  <c r="H99" i="41"/>
  <c r="H103" i="41"/>
  <c r="H145" i="41"/>
  <c r="H96" i="41"/>
  <c r="H100" i="41"/>
  <c r="H104" i="41"/>
  <c r="H139" i="41"/>
  <c r="H140" i="41"/>
  <c r="Q71" i="152"/>
  <c r="Q89" i="152"/>
  <c r="Q185" i="152" s="1"/>
  <c r="Q192" i="152"/>
  <c r="Q159" i="152" s="1"/>
  <c r="Y159" i="152" s="1"/>
  <c r="Y192" i="152"/>
  <c r="Q168" i="152"/>
  <c r="Q135" i="152"/>
  <c r="Q129" i="152"/>
  <c r="Q128" i="152"/>
  <c r="Y128" i="152" s="1"/>
  <c r="AA88" i="152"/>
  <c r="Y129" i="152" s="1"/>
  <c r="Q179" i="152"/>
  <c r="Y179" i="152" s="1"/>
  <c r="Q118" i="152"/>
  <c r="AA89" i="152"/>
  <c r="Q193" i="152"/>
  <c r="Y193" i="152" s="1"/>
  <c r="Q181" i="152"/>
  <c r="Y181" i="152"/>
  <c r="Q169" i="152"/>
  <c r="Q180" i="152"/>
  <c r="Y180" i="152"/>
  <c r="Q174" i="152"/>
  <c r="Y174" i="152"/>
  <c r="Q191" i="152"/>
  <c r="Y191" i="152"/>
  <c r="Q167" i="152"/>
  <c r="Y167" i="152" s="1"/>
  <c r="Q148" i="152"/>
  <c r="Q130" i="152"/>
  <c r="Q124" i="152"/>
  <c r="Q141" i="152"/>
  <c r="Y141" i="152" s="1"/>
  <c r="Q117" i="152"/>
  <c r="Y117" i="152" s="1"/>
  <c r="Q140" i="152"/>
  <c r="Q134" i="152"/>
  <c r="Q116" i="152"/>
  <c r="Y118" i="152"/>
  <c r="Y116" i="152"/>
  <c r="Y140" i="152"/>
  <c r="Q122" i="152"/>
  <c r="Q142" i="152"/>
  <c r="Y142" i="152" s="1"/>
  <c r="Q175" i="152"/>
  <c r="Y175" i="152"/>
  <c r="Y168" i="152"/>
  <c r="Q136" i="152"/>
  <c r="Y136" i="152" s="1"/>
  <c r="Q187" i="152"/>
  <c r="Y187" i="152" s="1"/>
  <c r="Q146" i="152"/>
  <c r="Q186" i="152"/>
  <c r="Y186" i="152" s="1"/>
  <c r="Q123" i="152"/>
  <c r="Y123" i="152"/>
  <c r="Q147" i="152"/>
  <c r="Q197" i="152"/>
  <c r="Y197" i="152"/>
  <c r="J96" i="152"/>
  <c r="Y135" i="152"/>
  <c r="Y146" i="152"/>
  <c r="Q109" i="152"/>
  <c r="Y124" i="152"/>
  <c r="P299" i="105"/>
  <c r="I299" i="105"/>
  <c r="I298" i="105"/>
  <c r="I297" i="105"/>
  <c r="P296" i="105"/>
  <c r="I296" i="105"/>
  <c r="P295" i="105"/>
  <c r="I295" i="105"/>
  <c r="I294" i="105"/>
  <c r="I289" i="105"/>
  <c r="P298" i="105"/>
  <c r="P297" i="105"/>
  <c r="P289" i="105"/>
  <c r="P294" i="105"/>
  <c r="I302" i="105" s="1"/>
  <c r="N56" i="151"/>
  <c r="U91" i="151"/>
  <c r="K70" i="151"/>
  <c r="K71" i="151" s="1"/>
  <c r="U88" i="151"/>
  <c r="I62" i="151"/>
  <c r="Q62" i="151"/>
  <c r="Y64" i="151"/>
  <c r="Q64" i="151"/>
  <c r="I64" i="151"/>
  <c r="Y63" i="151"/>
  <c r="Q63" i="151"/>
  <c r="I63" i="151"/>
  <c r="Y62" i="151"/>
  <c r="N55" i="151"/>
  <c r="S53" i="51"/>
  <c r="S54" i="51"/>
  <c r="V53" i="51"/>
  <c r="I73" i="51" s="1"/>
  <c r="V54" i="51"/>
  <c r="Q47" i="51"/>
  <c r="V60" i="51"/>
  <c r="S59" i="51"/>
  <c r="Q76" i="51" s="1"/>
  <c r="S57" i="51"/>
  <c r="Q75" i="51" s="1"/>
  <c r="V56" i="51"/>
  <c r="V55" i="51"/>
  <c r="I74" i="51" s="1"/>
  <c r="V58" i="51"/>
  <c r="S55" i="51"/>
  <c r="V57" i="51"/>
  <c r="V59" i="51"/>
  <c r="I76" i="51"/>
  <c r="S56" i="51"/>
  <c r="S58" i="51"/>
  <c r="S60" i="51"/>
  <c r="I75" i="51"/>
  <c r="Q74" i="51"/>
  <c r="Q115" i="3"/>
  <c r="I115" i="3"/>
  <c r="Q56" i="3"/>
  <c r="Q82" i="142"/>
  <c r="M82" i="142"/>
  <c r="I82" i="142"/>
  <c r="Q71" i="91"/>
  <c r="O47" i="149"/>
  <c r="V67" i="149" s="1"/>
  <c r="Q56" i="148"/>
  <c r="Y73" i="148" s="1"/>
  <c r="Q55" i="147"/>
  <c r="N75" i="147" s="1"/>
  <c r="X92" i="109"/>
  <c r="N55" i="147" s="1"/>
  <c r="Z69" i="149"/>
  <c r="R69" i="149"/>
  <c r="N69" i="149"/>
  <c r="Z68" i="149"/>
  <c r="R68" i="149"/>
  <c r="N68" i="149"/>
  <c r="Z67" i="149"/>
  <c r="R67" i="149"/>
  <c r="N67" i="149"/>
  <c r="Z66" i="149"/>
  <c r="R66" i="149"/>
  <c r="N66" i="149"/>
  <c r="N70" i="149" s="1"/>
  <c r="I83" i="149" s="1"/>
  <c r="Q44" i="148"/>
  <c r="Q73" i="148"/>
  <c r="D73" i="147"/>
  <c r="I97" i="147" s="1"/>
  <c r="A97" i="147"/>
  <c r="S78" i="147"/>
  <c r="X78" i="147" s="1"/>
  <c r="D78" i="147"/>
  <c r="I78" i="147" s="1"/>
  <c r="S77" i="147"/>
  <c r="X77" i="147" s="1"/>
  <c r="D77" i="147"/>
  <c r="I77" i="147"/>
  <c r="S76" i="147"/>
  <c r="X76" i="147" s="1"/>
  <c r="D76" i="147"/>
  <c r="I76" i="147" s="1"/>
  <c r="N76" i="147" s="1"/>
  <c r="S75" i="147"/>
  <c r="X75" i="147" s="1"/>
  <c r="AC75" i="147" s="1"/>
  <c r="D75" i="147"/>
  <c r="I75" i="147"/>
  <c r="S74" i="147"/>
  <c r="X74" i="147"/>
  <c r="D74" i="147"/>
  <c r="I74" i="147" s="1"/>
  <c r="S73" i="147"/>
  <c r="X73" i="147" s="1"/>
  <c r="AC73" i="147" s="1"/>
  <c r="S68" i="147"/>
  <c r="X68" i="147"/>
  <c r="D68" i="147"/>
  <c r="I68" i="147" s="1"/>
  <c r="S67" i="147"/>
  <c r="X67" i="147"/>
  <c r="D67" i="147"/>
  <c r="I67" i="147" s="1"/>
  <c r="S66" i="147"/>
  <c r="X66" i="147"/>
  <c r="D66" i="147"/>
  <c r="I66" i="147" s="1"/>
  <c r="S65" i="147"/>
  <c r="X65" i="147"/>
  <c r="D65" i="147"/>
  <c r="I65" i="147" s="1"/>
  <c r="S64" i="147"/>
  <c r="X64" i="147"/>
  <c r="D64" i="147"/>
  <c r="I64" i="147" s="1"/>
  <c r="S63" i="147"/>
  <c r="X63" i="147"/>
  <c r="D63" i="147"/>
  <c r="I63" i="147" s="1"/>
  <c r="I73" i="148"/>
  <c r="Q76" i="48"/>
  <c r="A138" i="128"/>
  <c r="Y122" i="83"/>
  <c r="U122" i="83"/>
  <c r="Q122" i="83"/>
  <c r="M122" i="83" s="1"/>
  <c r="Y121" i="83"/>
  <c r="U121" i="83"/>
  <c r="Q121" i="83"/>
  <c r="Y118" i="83"/>
  <c r="U118" i="83" s="1"/>
  <c r="Q118" i="83"/>
  <c r="Y117" i="83"/>
  <c r="U117" i="83" s="1"/>
  <c r="Q117" i="83"/>
  <c r="M117" i="83"/>
  <c r="Y116" i="83"/>
  <c r="U116" i="83" s="1"/>
  <c r="Q116" i="83"/>
  <c r="M116" i="83"/>
  <c r="Y115" i="83"/>
  <c r="Q115" i="83"/>
  <c r="M115" i="83"/>
  <c r="Q86" i="83"/>
  <c r="Q80" i="83"/>
  <c r="M86" i="108"/>
  <c r="M85" i="108" s="1"/>
  <c r="Y130" i="108"/>
  <c r="U130" i="108" s="1"/>
  <c r="Q130" i="108"/>
  <c r="M130" i="108"/>
  <c r="Y129" i="108"/>
  <c r="U129" i="108" s="1"/>
  <c r="Q129" i="108"/>
  <c r="M129" i="108" s="1"/>
  <c r="Y128" i="108"/>
  <c r="U128" i="108" s="1"/>
  <c r="Q128" i="108"/>
  <c r="M128" i="108"/>
  <c r="Y127" i="108"/>
  <c r="U127" i="108" s="1"/>
  <c r="Q127" i="108"/>
  <c r="M127" i="108" s="1"/>
  <c r="Y122" i="108"/>
  <c r="U122" i="108" s="1"/>
  <c r="Q122" i="108"/>
  <c r="M122" i="108"/>
  <c r="Y121" i="108"/>
  <c r="Q121" i="108"/>
  <c r="M121" i="108"/>
  <c r="Y120" i="108"/>
  <c r="U120" i="108"/>
  <c r="Q120" i="108"/>
  <c r="M120" i="108" s="1"/>
  <c r="Y119" i="108"/>
  <c r="U119" i="108"/>
  <c r="Q119" i="108"/>
  <c r="Y118" i="108"/>
  <c r="U118" i="108"/>
  <c r="Q118" i="108"/>
  <c r="Y117" i="108"/>
  <c r="U117" i="108"/>
  <c r="Q117" i="108"/>
  <c r="M117" i="108"/>
  <c r="Y116" i="108"/>
  <c r="Q116" i="108"/>
  <c r="M116" i="108"/>
  <c r="Y115" i="108"/>
  <c r="U115" i="108" s="1"/>
  <c r="Q115" i="108"/>
  <c r="M115" i="108"/>
  <c r="M79" i="108"/>
  <c r="Q123" i="108" s="1"/>
  <c r="M123" i="108" s="1"/>
  <c r="Q125" i="108"/>
  <c r="M125" i="108" s="1"/>
  <c r="Y119" i="83"/>
  <c r="AC122" i="83"/>
  <c r="M118" i="83"/>
  <c r="U115" i="83"/>
  <c r="M118" i="108"/>
  <c r="U121" i="108"/>
  <c r="Q54" i="47"/>
  <c r="Y77" i="47" s="1"/>
  <c r="Q94" i="47"/>
  <c r="I94" i="47"/>
  <c r="Q78" i="47"/>
  <c r="I79" i="47"/>
  <c r="Q77" i="47"/>
  <c r="Q56" i="48"/>
  <c r="I73" i="48"/>
  <c r="I89" i="48"/>
  <c r="I80" i="47"/>
  <c r="I77" i="47"/>
  <c r="Q80" i="47"/>
  <c r="Q79" i="47"/>
  <c r="I78" i="47"/>
  <c r="Q74" i="48"/>
  <c r="I74" i="48"/>
  <c r="I72" i="48"/>
  <c r="Q89" i="48"/>
  <c r="Q72" i="48"/>
  <c r="I75" i="48"/>
  <c r="Q75" i="48"/>
  <c r="Q73" i="48"/>
  <c r="I76" i="48"/>
  <c r="Q100" i="66"/>
  <c r="Q47" i="140"/>
  <c r="Q88" i="62"/>
  <c r="Q87" i="62"/>
  <c r="Q86" i="62"/>
  <c r="AB149" i="62" s="1"/>
  <c r="Q85" i="62"/>
  <c r="AB131" i="62" s="1"/>
  <c r="S196" i="62"/>
  <c r="W215" i="62" s="1"/>
  <c r="R215" i="62" s="1"/>
  <c r="D196" i="62"/>
  <c r="W204" i="62" s="1"/>
  <c r="W186" i="62"/>
  <c r="W185" i="62"/>
  <c r="R185" i="62" s="1"/>
  <c r="W149" i="62"/>
  <c r="Y177" i="62"/>
  <c r="S177" i="62" s="1"/>
  <c r="W148" i="62"/>
  <c r="Y176" i="62"/>
  <c r="S176" i="62" s="1"/>
  <c r="W147" i="62"/>
  <c r="Y175" i="62" s="1"/>
  <c r="S175" i="62" s="1"/>
  <c r="W146" i="62"/>
  <c r="W145" i="62"/>
  <c r="R145" i="62"/>
  <c r="W144" i="62"/>
  <c r="R144" i="62" s="1"/>
  <c r="W143" i="62"/>
  <c r="W137" i="62"/>
  <c r="W136" i="62"/>
  <c r="W135" i="62"/>
  <c r="W134" i="62"/>
  <c r="Y159" i="62"/>
  <c r="S159" i="62" s="1"/>
  <c r="W133" i="62"/>
  <c r="W132" i="62"/>
  <c r="W131" i="62"/>
  <c r="Y156" i="62" s="1"/>
  <c r="S156" i="62" s="1"/>
  <c r="AC121" i="62"/>
  <c r="Y121" i="62"/>
  <c r="U121" i="62"/>
  <c r="W150" i="62" s="1"/>
  <c r="Q121" i="62"/>
  <c r="AC106" i="62"/>
  <c r="Y106" i="62"/>
  <c r="U106" i="62"/>
  <c r="Q106" i="62"/>
  <c r="R148" i="62"/>
  <c r="V171" i="62"/>
  <c r="P171" i="62" s="1"/>
  <c r="R134" i="62"/>
  <c r="V172" i="62"/>
  <c r="P172" i="62" s="1"/>
  <c r="W201" i="62"/>
  <c r="V226" i="62" s="1"/>
  <c r="P226" i="62" s="1"/>
  <c r="V159" i="62"/>
  <c r="P159" i="62"/>
  <c r="W216" i="62"/>
  <c r="R216" i="62" s="1"/>
  <c r="V156" i="62"/>
  <c r="P156" i="62" s="1"/>
  <c r="R149" i="62"/>
  <c r="R131" i="62"/>
  <c r="R143" i="62"/>
  <c r="V162" i="62"/>
  <c r="P162" i="62" s="1"/>
  <c r="Y172" i="62"/>
  <c r="S172" i="62" s="1"/>
  <c r="V177" i="62"/>
  <c r="P177" i="62"/>
  <c r="Y171" i="62"/>
  <c r="S171" i="62" s="1"/>
  <c r="V176" i="62"/>
  <c r="P176" i="62" s="1"/>
  <c r="R186" i="62"/>
  <c r="W207" i="62"/>
  <c r="V232" i="62" s="1"/>
  <c r="P232" i="62" s="1"/>
  <c r="R147" i="62"/>
  <c r="V173" i="62"/>
  <c r="P173" i="62" s="1"/>
  <c r="W202" i="62"/>
  <c r="Y173" i="62"/>
  <c r="S173" i="62" s="1"/>
  <c r="W205" i="62"/>
  <c r="W138" i="62"/>
  <c r="V175" i="62"/>
  <c r="P175" i="62" s="1"/>
  <c r="Y244" i="62"/>
  <c r="S244" i="62" s="1"/>
  <c r="V244" i="62"/>
  <c r="P244" i="62" s="1"/>
  <c r="R207" i="62"/>
  <c r="D97" i="133"/>
  <c r="D96" i="133"/>
  <c r="D95" i="133"/>
  <c r="D94" i="133"/>
  <c r="D93" i="133"/>
  <c r="D92" i="133"/>
  <c r="D91" i="133"/>
  <c r="D90" i="133"/>
  <c r="K6" i="133"/>
  <c r="D89" i="133"/>
  <c r="D88" i="133"/>
  <c r="D87" i="133"/>
  <c r="C97" i="133"/>
  <c r="C96" i="133"/>
  <c r="C95" i="133"/>
  <c r="C94" i="133"/>
  <c r="C93" i="133"/>
  <c r="C92" i="133"/>
  <c r="C91" i="133"/>
  <c r="C90" i="133"/>
  <c r="K7" i="133" s="1"/>
  <c r="C89" i="133"/>
  <c r="C88" i="133"/>
  <c r="C87" i="133"/>
  <c r="F79" i="133"/>
  <c r="E79" i="133"/>
  <c r="F78" i="133"/>
  <c r="D78" i="133"/>
  <c r="F77" i="133"/>
  <c r="F76" i="133"/>
  <c r="E76" i="133"/>
  <c r="F75" i="133"/>
  <c r="E75" i="133"/>
  <c r="F74" i="133"/>
  <c r="E74" i="133"/>
  <c r="D73" i="133"/>
  <c r="F72" i="133"/>
  <c r="E72" i="133"/>
  <c r="F71" i="133"/>
  <c r="E71" i="133"/>
  <c r="F70" i="133"/>
  <c r="E70" i="133"/>
  <c r="F69" i="133"/>
  <c r="E69" i="133"/>
  <c r="F68" i="133"/>
  <c r="E68" i="133"/>
  <c r="F67" i="133"/>
  <c r="E67" i="133"/>
  <c r="D66" i="133"/>
  <c r="D65" i="133"/>
  <c r="F58" i="133"/>
  <c r="E58" i="133"/>
  <c r="F57" i="133"/>
  <c r="D57" i="133"/>
  <c r="F56" i="133"/>
  <c r="F55" i="133"/>
  <c r="E55" i="133"/>
  <c r="F54" i="133"/>
  <c r="E54" i="133"/>
  <c r="F53" i="133"/>
  <c r="E53" i="133"/>
  <c r="D52" i="133"/>
  <c r="F51" i="133"/>
  <c r="E51" i="133"/>
  <c r="F50" i="133"/>
  <c r="E50" i="133"/>
  <c r="F49" i="133"/>
  <c r="E49" i="133"/>
  <c r="F48" i="133"/>
  <c r="E48" i="133"/>
  <c r="F47" i="133"/>
  <c r="E47" i="133"/>
  <c r="F46" i="133"/>
  <c r="E46" i="133"/>
  <c r="D45" i="133"/>
  <c r="D44" i="133"/>
  <c r="G37" i="133"/>
  <c r="G36" i="133"/>
  <c r="G35" i="133"/>
  <c r="G34" i="133"/>
  <c r="G33" i="133"/>
  <c r="G32" i="133"/>
  <c r="G31" i="133"/>
  <c r="G30" i="133"/>
  <c r="G29" i="133"/>
  <c r="G28" i="133"/>
  <c r="G27" i="133"/>
  <c r="G26" i="133"/>
  <c r="G25" i="133"/>
  <c r="G24" i="133"/>
  <c r="G23" i="133"/>
  <c r="C13" i="133"/>
  <c r="C12" i="133"/>
  <c r="H11" i="133"/>
  <c r="C11" i="133"/>
  <c r="D10" i="133"/>
  <c r="G9" i="133"/>
  <c r="T108" i="21"/>
  <c r="T107" i="21"/>
  <c r="T106" i="21"/>
  <c r="T105" i="21"/>
  <c r="T104" i="21"/>
  <c r="T103" i="21"/>
  <c r="T102" i="21"/>
  <c r="T101" i="21"/>
  <c r="T100" i="21"/>
  <c r="T99" i="21"/>
  <c r="T98" i="21"/>
  <c r="K108" i="21"/>
  <c r="K107" i="21"/>
  <c r="K106" i="21"/>
  <c r="K105" i="21"/>
  <c r="K104" i="21"/>
  <c r="K103" i="21"/>
  <c r="K102" i="21"/>
  <c r="K101" i="21"/>
  <c r="K100" i="21"/>
  <c r="K99" i="21"/>
  <c r="K98" i="21"/>
  <c r="Q67" i="21"/>
  <c r="Q44" i="143"/>
  <c r="I57" i="143"/>
  <c r="I66" i="143" s="1"/>
  <c r="Q45" i="143"/>
  <c r="Q57" i="143"/>
  <c r="E8" i="145"/>
  <c r="F8" i="145"/>
  <c r="E7" i="145"/>
  <c r="F7" i="145" s="1"/>
  <c r="G7" i="145" s="1"/>
  <c r="I83" i="141"/>
  <c r="I82" i="141"/>
  <c r="R76" i="141"/>
  <c r="J76" i="141"/>
  <c r="I84" i="141" s="1"/>
  <c r="R75" i="141"/>
  <c r="Q83" i="141" s="1"/>
  <c r="Y83" i="141" s="1"/>
  <c r="R74" i="141"/>
  <c r="Q47" i="143"/>
  <c r="Q66" i="143"/>
  <c r="Q71" i="142"/>
  <c r="Q97" i="142" s="1"/>
  <c r="Q70" i="142"/>
  <c r="Q92" i="142"/>
  <c r="W82" i="142"/>
  <c r="U82" i="142"/>
  <c r="AC83" i="142"/>
  <c r="Y97" i="142" s="1"/>
  <c r="U83" i="142"/>
  <c r="Y83" i="142" s="1"/>
  <c r="AC82" i="142"/>
  <c r="AA82" i="142" s="1"/>
  <c r="Q91" i="142"/>
  <c r="M92" i="142"/>
  <c r="M91" i="142"/>
  <c r="I91" i="142"/>
  <c r="I92" i="142"/>
  <c r="U92" i="142"/>
  <c r="I97" i="142"/>
  <c r="U91" i="142"/>
  <c r="Q96" i="142"/>
  <c r="I96" i="142"/>
  <c r="G35" i="145"/>
  <c r="G34" i="145"/>
  <c r="G33" i="145"/>
  <c r="G32" i="145"/>
  <c r="G31" i="145"/>
  <c r="G30" i="145"/>
  <c r="G29" i="145"/>
  <c r="G28" i="145"/>
  <c r="AA38" i="43"/>
  <c r="AD38" i="43" s="1"/>
  <c r="X38" i="43"/>
  <c r="R38" i="43"/>
  <c r="I38" i="43"/>
  <c r="AA37" i="43"/>
  <c r="AD37" i="43" s="1"/>
  <c r="X37" i="43"/>
  <c r="R37" i="43"/>
  <c r="I37" i="43"/>
  <c r="AA36" i="43"/>
  <c r="AD36" i="43" s="1"/>
  <c r="X36" i="43"/>
  <c r="R36" i="43"/>
  <c r="I36" i="43"/>
  <c r="AA35" i="43"/>
  <c r="AD35" i="43"/>
  <c r="X35" i="43"/>
  <c r="R35" i="43"/>
  <c r="I35" i="43"/>
  <c r="L107" i="144"/>
  <c r="J8" i="145"/>
  <c r="U107" i="144"/>
  <c r="J7" i="145" s="1"/>
  <c r="D6" i="145" s="1"/>
  <c r="U106" i="144"/>
  <c r="L106" i="144"/>
  <c r="U105" i="144"/>
  <c r="L105" i="144"/>
  <c r="U103" i="144"/>
  <c r="L103" i="144"/>
  <c r="U101" i="144"/>
  <c r="L101" i="144"/>
  <c r="U100" i="144"/>
  <c r="L100" i="144"/>
  <c r="Q84" i="144"/>
  <c r="H33" i="145" s="1"/>
  <c r="P8" i="115"/>
  <c r="P7" i="115"/>
  <c r="K14" i="145"/>
  <c r="K12" i="145"/>
  <c r="F12" i="145"/>
  <c r="F11" i="145"/>
  <c r="K10" i="145"/>
  <c r="F10" i="145"/>
  <c r="J9" i="145"/>
  <c r="F9" i="145"/>
  <c r="G8" i="145"/>
  <c r="D8" i="145"/>
  <c r="AA38" i="144"/>
  <c r="AD38" i="144"/>
  <c r="X38" i="144"/>
  <c r="R38" i="144"/>
  <c r="I38" i="144"/>
  <c r="AA37" i="144"/>
  <c r="AD37" i="144" s="1"/>
  <c r="X37" i="144"/>
  <c r="R37" i="144"/>
  <c r="I37" i="144"/>
  <c r="AA36" i="144"/>
  <c r="AD36" i="144"/>
  <c r="X36" i="144"/>
  <c r="R36" i="144"/>
  <c r="I36" i="144"/>
  <c r="AA35" i="144"/>
  <c r="AD35" i="144"/>
  <c r="X35" i="144"/>
  <c r="R35" i="144"/>
  <c r="I35" i="144"/>
  <c r="A178" i="105"/>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98" i="105" s="1"/>
  <c r="A199" i="105" s="1"/>
  <c r="A200" i="105" s="1"/>
  <c r="A201" i="105" s="1"/>
  <c r="A145" i="105"/>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A165" i="105" s="1"/>
  <c r="A166" i="105" s="1"/>
  <c r="A167" i="105" s="1"/>
  <c r="A168" i="105" s="1"/>
  <c r="P41" i="140"/>
  <c r="P40" i="140"/>
  <c r="I47" i="140" s="1"/>
  <c r="P37" i="138"/>
  <c r="Q44" i="138"/>
  <c r="I44" i="138"/>
  <c r="F103" i="139"/>
  <c r="F102" i="139"/>
  <c r="F101" i="139"/>
  <c r="F100" i="139"/>
  <c r="F99" i="139"/>
  <c r="F98" i="139"/>
  <c r="F97" i="139"/>
  <c r="F96" i="139"/>
  <c r="F95" i="139"/>
  <c r="F94" i="139"/>
  <c r="F93" i="139"/>
  <c r="F92" i="139"/>
  <c r="F91" i="139"/>
  <c r="F90" i="139"/>
  <c r="F89" i="139"/>
  <c r="F88" i="139"/>
  <c r="F87" i="139"/>
  <c r="F86" i="139"/>
  <c r="F85" i="139"/>
  <c r="F84" i="139"/>
  <c r="F83" i="139"/>
  <c r="F82" i="139"/>
  <c r="F81" i="139"/>
  <c r="F80" i="139"/>
  <c r="F79" i="139"/>
  <c r="F78" i="139"/>
  <c r="F77" i="139"/>
  <c r="F76" i="139"/>
  <c r="F75" i="139"/>
  <c r="F74" i="139"/>
  <c r="F73" i="139"/>
  <c r="F72" i="139"/>
  <c r="F71" i="139"/>
  <c r="F70" i="139"/>
  <c r="F69" i="139"/>
  <c r="F68" i="139"/>
  <c r="F67" i="139"/>
  <c r="F66" i="139"/>
  <c r="F65" i="139"/>
  <c r="F64" i="139"/>
  <c r="F63" i="139"/>
  <c r="F62" i="139"/>
  <c r="F61" i="139"/>
  <c r="F60" i="139"/>
  <c r="F59" i="139"/>
  <c r="F58" i="139"/>
  <c r="F57" i="139"/>
  <c r="F56" i="139"/>
  <c r="F55" i="139"/>
  <c r="F54" i="139"/>
  <c r="F53" i="139"/>
  <c r="F52" i="139"/>
  <c r="F51" i="139"/>
  <c r="F50" i="139"/>
  <c r="F49" i="139"/>
  <c r="F48" i="139"/>
  <c r="F47" i="139"/>
  <c r="F46" i="139"/>
  <c r="F45" i="139"/>
  <c r="F44" i="139"/>
  <c r="F43" i="139"/>
  <c r="F42" i="139"/>
  <c r="F41" i="139"/>
  <c r="F40" i="139"/>
  <c r="F39" i="139"/>
  <c r="F38" i="139"/>
  <c r="F37" i="139"/>
  <c r="F36" i="139"/>
  <c r="F35" i="139"/>
  <c r="F34" i="139"/>
  <c r="F33" i="139"/>
  <c r="F32" i="139"/>
  <c r="F31" i="139"/>
  <c r="F30" i="139"/>
  <c r="F29" i="139"/>
  <c r="F28" i="139"/>
  <c r="F27" i="139"/>
  <c r="F26" i="139"/>
  <c r="F25" i="139"/>
  <c r="F24" i="139"/>
  <c r="F23" i="139"/>
  <c r="F22" i="139"/>
  <c r="F21" i="139"/>
  <c r="F20" i="139"/>
  <c r="F19" i="139"/>
  <c r="F18" i="139"/>
  <c r="F17" i="139"/>
  <c r="F16" i="139"/>
  <c r="F15" i="139"/>
  <c r="F14" i="139"/>
  <c r="F13" i="139"/>
  <c r="F12" i="139"/>
  <c r="F11" i="139"/>
  <c r="F10" i="139"/>
  <c r="F9" i="139"/>
  <c r="F8" i="139"/>
  <c r="F7" i="139"/>
  <c r="F6" i="139"/>
  <c r="F5" i="139"/>
  <c r="F4" i="139"/>
  <c r="F3" i="139"/>
  <c r="E1" i="139" s="1"/>
  <c r="Q39" i="137"/>
  <c r="Y50" i="137"/>
  <c r="U50" i="137"/>
  <c r="AC50" i="137"/>
  <c r="I50" i="137"/>
  <c r="Y49" i="137"/>
  <c r="AC49" i="137" s="1"/>
  <c r="U49" i="137"/>
  <c r="I49" i="137"/>
  <c r="Q51" i="137" s="1"/>
  <c r="Y48" i="137"/>
  <c r="U48" i="137"/>
  <c r="I48" i="137"/>
  <c r="Y47" i="137"/>
  <c r="U47" i="137"/>
  <c r="AC47" i="137"/>
  <c r="I47" i="137"/>
  <c r="Y46" i="137"/>
  <c r="U46" i="137"/>
  <c r="AC46" i="137" s="1"/>
  <c r="I46" i="137"/>
  <c r="Y45" i="137"/>
  <c r="AC45" i="137" s="1"/>
  <c r="U45" i="137"/>
  <c r="I45" i="137"/>
  <c r="E51" i="137"/>
  <c r="Q36" i="137"/>
  <c r="Q41" i="136"/>
  <c r="K47" i="136"/>
  <c r="K48" i="136" s="1"/>
  <c r="K50" i="136" s="1"/>
  <c r="H47" i="136"/>
  <c r="Q39" i="136"/>
  <c r="K49" i="136"/>
  <c r="Q38" i="136"/>
  <c r="Q84" i="43"/>
  <c r="AC48" i="137"/>
  <c r="H49" i="136"/>
  <c r="U96" i="35"/>
  <c r="U95" i="35"/>
  <c r="U94" i="35"/>
  <c r="U93" i="35"/>
  <c r="U92" i="35"/>
  <c r="U91" i="35"/>
  <c r="U90" i="35"/>
  <c r="U89" i="35"/>
  <c r="AD111" i="35" s="1"/>
  <c r="U88" i="35"/>
  <c r="U87" i="35"/>
  <c r="U86" i="35"/>
  <c r="P96" i="35"/>
  <c r="P95" i="35"/>
  <c r="P94" i="35"/>
  <c r="P93" i="35"/>
  <c r="P92" i="35"/>
  <c r="P91" i="35"/>
  <c r="P90" i="35"/>
  <c r="P89" i="35"/>
  <c r="X111" i="35" s="1"/>
  <c r="P88" i="35"/>
  <c r="P87" i="35"/>
  <c r="P86" i="35"/>
  <c r="S105" i="35"/>
  <c r="Q111" i="35"/>
  <c r="L105" i="35"/>
  <c r="P75" i="66"/>
  <c r="Y100" i="66" s="1"/>
  <c r="I100" i="66"/>
  <c r="O114" i="66"/>
  <c r="V114" i="66"/>
  <c r="AD114" i="66"/>
  <c r="Q124" i="35"/>
  <c r="N105" i="66"/>
  <c r="Q118" i="66" s="1"/>
  <c r="I118" i="66" s="1"/>
  <c r="Q42" i="19"/>
  <c r="X50" i="19" s="1"/>
  <c r="Q55" i="25"/>
  <c r="Q61" i="25"/>
  <c r="I61" i="25"/>
  <c r="I62" i="25"/>
  <c r="Q62" i="25"/>
  <c r="Q87" i="87"/>
  <c r="X71" i="109" s="1"/>
  <c r="Q96" i="26"/>
  <c r="Y109" i="26" s="1"/>
  <c r="Q108" i="26"/>
  <c r="Q94" i="26"/>
  <c r="Q83" i="26"/>
  <c r="Q95" i="26"/>
  <c r="Q93" i="26"/>
  <c r="Q92" i="26"/>
  <c r="Q86" i="26"/>
  <c r="I107" i="26" s="1"/>
  <c r="Q89" i="26"/>
  <c r="Q88" i="26"/>
  <c r="Q87" i="26"/>
  <c r="Q84" i="26"/>
  <c r="I106" i="26" s="1"/>
  <c r="Q82" i="26"/>
  <c r="Q81" i="26"/>
  <c r="I103" i="26" s="1"/>
  <c r="Q109" i="26"/>
  <c r="Q110" i="26"/>
  <c r="Y110" i="26" s="1"/>
  <c r="Q106" i="26"/>
  <c r="Q105" i="26"/>
  <c r="Q104" i="26"/>
  <c r="Q103" i="26"/>
  <c r="Q107" i="26"/>
  <c r="I110" i="26"/>
  <c r="I109" i="26"/>
  <c r="I105" i="26"/>
  <c r="Q95" i="65"/>
  <c r="Q94" i="65"/>
  <c r="Q93" i="65"/>
  <c r="I108" i="65" s="1"/>
  <c r="Q92" i="65"/>
  <c r="Q91" i="65"/>
  <c r="Q88" i="65"/>
  <c r="I109" i="65" s="1"/>
  <c r="Q87" i="65"/>
  <c r="Q86" i="65"/>
  <c r="Q85" i="65"/>
  <c r="Q83" i="65"/>
  <c r="I105" i="65" s="1"/>
  <c r="Q82" i="65"/>
  <c r="I104" i="65" s="1"/>
  <c r="Q81" i="65"/>
  <c r="Q80" i="65"/>
  <c r="Q106" i="65"/>
  <c r="Q105" i="65"/>
  <c r="Q104" i="65"/>
  <c r="Q103" i="65"/>
  <c r="Q102" i="65"/>
  <c r="I103" i="65"/>
  <c r="I107" i="65"/>
  <c r="I102" i="65"/>
  <c r="Q108" i="65"/>
  <c r="Q109" i="65"/>
  <c r="I106" i="65"/>
  <c r="Q107" i="65"/>
  <c r="Z65" i="20"/>
  <c r="U65" i="20"/>
  <c r="P65" i="20"/>
  <c r="K65" i="20"/>
  <c r="I112" i="20" s="1"/>
  <c r="G118" i="20"/>
  <c r="G117" i="20"/>
  <c r="G116" i="20"/>
  <c r="U116" i="20" s="1"/>
  <c r="AC116" i="20" s="1"/>
  <c r="G115" i="20"/>
  <c r="G114" i="20"/>
  <c r="G113" i="20"/>
  <c r="M113" i="20" s="1"/>
  <c r="G112" i="20"/>
  <c r="U112" i="20" s="1"/>
  <c r="AC112" i="20" s="1"/>
  <c r="G111" i="20"/>
  <c r="U111" i="20" s="1"/>
  <c r="AC111" i="20" s="1"/>
  <c r="G110" i="20"/>
  <c r="G109" i="20"/>
  <c r="G108" i="20"/>
  <c r="Q112" i="20"/>
  <c r="Y112" i="20"/>
  <c r="Q115" i="20"/>
  <c r="Y115" i="20"/>
  <c r="Q116" i="20"/>
  <c r="Y116" i="20" s="1"/>
  <c r="I108" i="20"/>
  <c r="Q117" i="20"/>
  <c r="Y117" i="20"/>
  <c r="I110" i="20"/>
  <c r="Q108" i="20"/>
  <c r="Y108" i="20"/>
  <c r="Q118" i="20"/>
  <c r="Y118" i="20"/>
  <c r="Q111" i="20"/>
  <c r="Y111" i="20"/>
  <c r="M112" i="20"/>
  <c r="M116" i="20"/>
  <c r="M115" i="20"/>
  <c r="V80" i="20"/>
  <c r="Q100" i="20"/>
  <c r="N80" i="20"/>
  <c r="I100" i="20" s="1"/>
  <c r="A100" i="20"/>
  <c r="U74" i="17"/>
  <c r="U73" i="17"/>
  <c r="U72" i="17"/>
  <c r="U71" i="17"/>
  <c r="U70" i="17"/>
  <c r="U69" i="17"/>
  <c r="U68" i="17"/>
  <c r="U67" i="17"/>
  <c r="U66" i="17"/>
  <c r="U65" i="17"/>
  <c r="U64" i="17"/>
  <c r="L74" i="17"/>
  <c r="L73" i="17"/>
  <c r="L72" i="17"/>
  <c r="L71" i="17"/>
  <c r="L70" i="17"/>
  <c r="L69" i="17"/>
  <c r="L68" i="17"/>
  <c r="L67" i="17"/>
  <c r="L66" i="17"/>
  <c r="L65" i="17"/>
  <c r="L64" i="17"/>
  <c r="K69" i="132"/>
  <c r="I52" i="67"/>
  <c r="Q52" i="67"/>
  <c r="AD156" i="113"/>
  <c r="AD155" i="113"/>
  <c r="AD154" i="113"/>
  <c r="AD153" i="113"/>
  <c r="AD152" i="113"/>
  <c r="Q66" i="23" s="1"/>
  <c r="AD151" i="113"/>
  <c r="AY514" i="113" s="1"/>
  <c r="AA532" i="113" s="1"/>
  <c r="AD150" i="113"/>
  <c r="AI549" i="113" s="1"/>
  <c r="S567" i="113" s="1"/>
  <c r="AD149" i="113"/>
  <c r="AA548" i="113" s="1"/>
  <c r="K566" i="113" s="1"/>
  <c r="AD148" i="113"/>
  <c r="AD147" i="113"/>
  <c r="AE237" i="113" s="1"/>
  <c r="O255" i="113" s="1"/>
  <c r="Z156" i="113"/>
  <c r="M70" i="23" s="1"/>
  <c r="Z155" i="113"/>
  <c r="Z154" i="113"/>
  <c r="Z153" i="113"/>
  <c r="Z152" i="113"/>
  <c r="Z151" i="113"/>
  <c r="Z150" i="113"/>
  <c r="Z149" i="113"/>
  <c r="Q80" i="87" s="1"/>
  <c r="Q78" i="87" s="1"/>
  <c r="Z148" i="113"/>
  <c r="M62" i="23" s="1"/>
  <c r="Z147" i="113"/>
  <c r="W384" i="113" s="1"/>
  <c r="W450" i="113" s="1"/>
  <c r="V156" i="113"/>
  <c r="S309" i="113" s="1"/>
  <c r="V155" i="113"/>
  <c r="K293" i="113" s="1"/>
  <c r="V154" i="113"/>
  <c r="V153" i="113"/>
  <c r="V152" i="113"/>
  <c r="V151" i="113"/>
  <c r="V150" i="113"/>
  <c r="V149" i="113"/>
  <c r="S287" i="113" s="1"/>
  <c r="V148" i="113"/>
  <c r="V147" i="113"/>
  <c r="AD146" i="113"/>
  <c r="Z146" i="113"/>
  <c r="AI383" i="113" s="1"/>
  <c r="AI449" i="113" s="1"/>
  <c r="V146" i="113"/>
  <c r="R156" i="113"/>
  <c r="O294" i="113" s="1"/>
  <c r="R155" i="113"/>
  <c r="R154" i="113"/>
  <c r="R153" i="113"/>
  <c r="R152" i="113"/>
  <c r="R151" i="113"/>
  <c r="R150" i="113"/>
  <c r="R149" i="113"/>
  <c r="R148" i="113"/>
  <c r="R147" i="113"/>
  <c r="R146" i="113"/>
  <c r="O177" i="113"/>
  <c r="O176" i="113"/>
  <c r="O175" i="113"/>
  <c r="O174" i="113"/>
  <c r="O173" i="113"/>
  <c r="O172" i="113"/>
  <c r="O171" i="113"/>
  <c r="O170" i="113"/>
  <c r="O169" i="113"/>
  <c r="O168" i="113"/>
  <c r="O167" i="113"/>
  <c r="S349" i="113" s="1"/>
  <c r="G366" i="113" s="1"/>
  <c r="L177" i="113"/>
  <c r="L176" i="113"/>
  <c r="L175" i="113"/>
  <c r="AA553" i="113" s="1"/>
  <c r="K571" i="113" s="1"/>
  <c r="L174" i="113"/>
  <c r="AA552" i="113" s="1"/>
  <c r="K570" i="113" s="1"/>
  <c r="L173" i="113"/>
  <c r="AI551" i="113" s="1"/>
  <c r="S569" i="113" s="1"/>
  <c r="L172" i="113"/>
  <c r="L171" i="113"/>
  <c r="L170" i="113"/>
  <c r="L169" i="113"/>
  <c r="L168" i="113"/>
  <c r="L167" i="113"/>
  <c r="H177" i="113"/>
  <c r="H176" i="113"/>
  <c r="H175" i="113"/>
  <c r="H174" i="113"/>
  <c r="H173" i="113"/>
  <c r="H172" i="113"/>
  <c r="H171" i="113"/>
  <c r="H170" i="113"/>
  <c r="H169" i="113"/>
  <c r="H168" i="113"/>
  <c r="H167" i="113"/>
  <c r="E177" i="113"/>
  <c r="E176" i="113"/>
  <c r="E175" i="113"/>
  <c r="E174" i="113"/>
  <c r="E173" i="113"/>
  <c r="E172" i="113"/>
  <c r="E171" i="113"/>
  <c r="E170" i="113"/>
  <c r="E169" i="113"/>
  <c r="E168" i="113"/>
  <c r="E167" i="113"/>
  <c r="S271" i="113" s="1"/>
  <c r="G277" i="113" s="1"/>
  <c r="AD133" i="113"/>
  <c r="AD132" i="113"/>
  <c r="AD131" i="113"/>
  <c r="AD130" i="113"/>
  <c r="AD129" i="113"/>
  <c r="AD128" i="113"/>
  <c r="AD127" i="113"/>
  <c r="AD126" i="113"/>
  <c r="AD125" i="113"/>
  <c r="AD124" i="113"/>
  <c r="AD123" i="113"/>
  <c r="Z133" i="113"/>
  <c r="Z132" i="113"/>
  <c r="Z131" i="113"/>
  <c r="Z130" i="113"/>
  <c r="G552" i="113" s="1"/>
  <c r="Z129" i="113"/>
  <c r="Z128" i="113"/>
  <c r="Z127" i="113"/>
  <c r="Z126" i="113"/>
  <c r="Z125" i="113"/>
  <c r="Z124" i="113"/>
  <c r="Z123" i="113"/>
  <c r="V133" i="113"/>
  <c r="V132" i="113"/>
  <c r="V131" i="113"/>
  <c r="V130" i="113"/>
  <c r="V129" i="113"/>
  <c r="AE305" i="113" s="1"/>
  <c r="V128" i="113"/>
  <c r="G289" i="113" s="1"/>
  <c r="V127" i="113"/>
  <c r="AE288" i="113" s="1"/>
  <c r="V126" i="113"/>
  <c r="V125" i="113"/>
  <c r="W301" i="113" s="1"/>
  <c r="V124" i="113"/>
  <c r="V123" i="113"/>
  <c r="R133" i="113"/>
  <c r="R132" i="113"/>
  <c r="R131" i="113"/>
  <c r="R130" i="113"/>
  <c r="R129" i="113"/>
  <c r="R128" i="113"/>
  <c r="R127" i="113"/>
  <c r="R126" i="113"/>
  <c r="R125" i="113"/>
  <c r="R124" i="113"/>
  <c r="R123" i="113"/>
  <c r="G271" i="113" s="1"/>
  <c r="AA95" i="50"/>
  <c r="X67" i="109"/>
  <c r="X64" i="109"/>
  <c r="X63" i="109"/>
  <c r="P78" i="35" s="1"/>
  <c r="Y124" i="35" s="1"/>
  <c r="X56" i="109"/>
  <c r="Q67" i="91"/>
  <c r="Q73" i="91"/>
  <c r="Q72" i="91"/>
  <c r="Q65" i="91"/>
  <c r="Q66" i="91"/>
  <c r="Q62" i="91"/>
  <c r="Q63" i="91"/>
  <c r="Q77" i="91"/>
  <c r="Q46" i="23"/>
  <c r="Q69" i="23"/>
  <c r="Q68" i="23"/>
  <c r="Q67" i="23"/>
  <c r="M66" i="23"/>
  <c r="M65" i="23"/>
  <c r="M64" i="23"/>
  <c r="M63" i="23"/>
  <c r="I65" i="23"/>
  <c r="I64" i="23"/>
  <c r="Q54" i="17"/>
  <c r="G72" i="115"/>
  <c r="J72" i="115" s="1"/>
  <c r="Q66" i="115" s="1"/>
  <c r="F72" i="115"/>
  <c r="I72" i="115" s="1"/>
  <c r="G71" i="115"/>
  <c r="J71" i="115" s="1"/>
  <c r="F71" i="115"/>
  <c r="I71" i="115"/>
  <c r="G70" i="115"/>
  <c r="J70" i="115" s="1"/>
  <c r="Q65" i="115" s="1"/>
  <c r="F70" i="115"/>
  <c r="I70" i="115" s="1"/>
  <c r="G69" i="115"/>
  <c r="J69" i="115" s="1"/>
  <c r="F69" i="115"/>
  <c r="I69" i="115"/>
  <c r="J66" i="115"/>
  <c r="I66" i="115"/>
  <c r="H66" i="115"/>
  <c r="G66" i="115"/>
  <c r="F66" i="115"/>
  <c r="J65" i="115"/>
  <c r="I65" i="115"/>
  <c r="H65" i="115"/>
  <c r="G65" i="115"/>
  <c r="F65" i="115"/>
  <c r="J64" i="115"/>
  <c r="I64" i="115"/>
  <c r="H64" i="115"/>
  <c r="G64" i="115"/>
  <c r="F64" i="115"/>
  <c r="J63" i="115"/>
  <c r="I63" i="115"/>
  <c r="H63" i="115"/>
  <c r="G63" i="115"/>
  <c r="F63" i="115"/>
  <c r="J60" i="115"/>
  <c r="I60" i="115"/>
  <c r="H60" i="115"/>
  <c r="G60" i="115"/>
  <c r="F60" i="115"/>
  <c r="J59" i="115"/>
  <c r="I59" i="115"/>
  <c r="H59" i="115"/>
  <c r="G59" i="115"/>
  <c r="F59" i="115"/>
  <c r="J58" i="115"/>
  <c r="I58" i="115"/>
  <c r="H58" i="115"/>
  <c r="G58" i="115"/>
  <c r="F58" i="115"/>
  <c r="J57" i="115"/>
  <c r="I57" i="115"/>
  <c r="H57" i="115"/>
  <c r="G57" i="115"/>
  <c r="F57" i="115"/>
  <c r="J49" i="115"/>
  <c r="I49" i="115"/>
  <c r="J48" i="115"/>
  <c r="I48" i="115"/>
  <c r="J47" i="115"/>
  <c r="I47" i="115"/>
  <c r="J46" i="115"/>
  <c r="I46" i="115"/>
  <c r="G30" i="115"/>
  <c r="J30" i="115" s="1"/>
  <c r="Q24" i="115" s="1"/>
  <c r="F30" i="115"/>
  <c r="I30" i="115" s="1"/>
  <c r="G29" i="115"/>
  <c r="J29" i="115" s="1"/>
  <c r="F29" i="115"/>
  <c r="I29" i="115"/>
  <c r="G28" i="115"/>
  <c r="J28" i="115" s="1"/>
  <c r="Q23" i="115" s="1"/>
  <c r="F28" i="115"/>
  <c r="I28" i="115" s="1"/>
  <c r="G27" i="115"/>
  <c r="J27" i="115" s="1"/>
  <c r="F27" i="115"/>
  <c r="I27" i="115"/>
  <c r="J24" i="115"/>
  <c r="I24" i="115"/>
  <c r="H24" i="115"/>
  <c r="G24" i="115"/>
  <c r="F24" i="115"/>
  <c r="J23" i="115"/>
  <c r="I23" i="115"/>
  <c r="H23" i="115"/>
  <c r="G23" i="115"/>
  <c r="F23" i="115"/>
  <c r="J22" i="115"/>
  <c r="I22" i="115"/>
  <c r="H22" i="115"/>
  <c r="G22" i="115"/>
  <c r="F22" i="115"/>
  <c r="J21" i="115"/>
  <c r="I21" i="115"/>
  <c r="H21" i="115"/>
  <c r="G21" i="115"/>
  <c r="F21" i="115"/>
  <c r="J18" i="115"/>
  <c r="I18" i="115"/>
  <c r="H18" i="115"/>
  <c r="G18" i="115"/>
  <c r="F18" i="115"/>
  <c r="J17" i="115"/>
  <c r="I17" i="115"/>
  <c r="H17" i="115"/>
  <c r="G17" i="115"/>
  <c r="F17" i="115"/>
  <c r="J16" i="115"/>
  <c r="I16" i="115"/>
  <c r="H16" i="115"/>
  <c r="G16" i="115"/>
  <c r="F16" i="115"/>
  <c r="J15" i="115"/>
  <c r="I15" i="115"/>
  <c r="H15" i="115"/>
  <c r="G15" i="115"/>
  <c r="F15" i="115"/>
  <c r="P9" i="115"/>
  <c r="O9" i="115"/>
  <c r="O8" i="115"/>
  <c r="O7" i="115"/>
  <c r="J5" i="115"/>
  <c r="J6" i="115"/>
  <c r="AB76" i="24"/>
  <c r="AB74" i="24"/>
  <c r="AB67" i="24"/>
  <c r="Q56" i="24"/>
  <c r="I81" i="24"/>
  <c r="Q81" i="24"/>
  <c r="Q37" i="92"/>
  <c r="K103" i="87"/>
  <c r="O103" i="87"/>
  <c r="O102" i="87"/>
  <c r="K102" i="87"/>
  <c r="O97" i="87"/>
  <c r="O96" i="87"/>
  <c r="O95" i="87"/>
  <c r="K97" i="87"/>
  <c r="K96" i="87"/>
  <c r="K95" i="87"/>
  <c r="G97" i="87"/>
  <c r="G96" i="87"/>
  <c r="G95" i="87"/>
  <c r="Q86" i="87"/>
  <c r="Q85" i="87" s="1"/>
  <c r="X70" i="109"/>
  <c r="AG103" i="113"/>
  <c r="AG102" i="113"/>
  <c r="AG101" i="113"/>
  <c r="AG100" i="113"/>
  <c r="U103" i="113"/>
  <c r="U102" i="113"/>
  <c r="U101" i="113"/>
  <c r="U100" i="113"/>
  <c r="U99" i="113"/>
  <c r="S69" i="132"/>
  <c r="O69" i="132"/>
  <c r="O76" i="132" s="1"/>
  <c r="G69" i="132"/>
  <c r="Q43" i="132"/>
  <c r="O64" i="132" s="1"/>
  <c r="Q46" i="132"/>
  <c r="K76" i="132"/>
  <c r="AA480" i="113"/>
  <c r="K497" i="113" s="1"/>
  <c r="W480" i="113"/>
  <c r="G497" i="113" s="1"/>
  <c r="AU514" i="113"/>
  <c r="W532" i="113" s="1"/>
  <c r="AU513" i="113"/>
  <c r="W531" i="113" s="1"/>
  <c r="AI302" i="113"/>
  <c r="AE335" i="113" s="1"/>
  <c r="AI287" i="113"/>
  <c r="V95" i="50"/>
  <c r="Q96" i="50"/>
  <c r="AA96" i="50" s="1"/>
  <c r="P112" i="50"/>
  <c r="Q116" i="50" s="1"/>
  <c r="AD112" i="50"/>
  <c r="W112" i="50"/>
  <c r="Y132" i="50"/>
  <c r="Q132" i="50"/>
  <c r="Q89" i="50"/>
  <c r="L89" i="50"/>
  <c r="V89" i="50"/>
  <c r="M86" i="57" s="1"/>
  <c r="Q40" i="1"/>
  <c r="Q56" i="46"/>
  <c r="I56" i="46"/>
  <c r="I47" i="64"/>
  <c r="Q48" i="61"/>
  <c r="I48" i="61"/>
  <c r="I64" i="126"/>
  <c r="Q53" i="31"/>
  <c r="Q52" i="31"/>
  <c r="I53" i="31"/>
  <c r="I52" i="31"/>
  <c r="I47" i="76"/>
  <c r="Q80" i="29"/>
  <c r="I80" i="29"/>
  <c r="Q42" i="30"/>
  <c r="Q41" i="30"/>
  <c r="Q40" i="30"/>
  <c r="I42" i="30"/>
  <c r="I41" i="30"/>
  <c r="I40" i="30"/>
  <c r="I43" i="30" s="1"/>
  <c r="Q38" i="4"/>
  <c r="I38" i="4"/>
  <c r="Q43" i="30"/>
  <c r="Q33" i="126"/>
  <c r="Q64" i="126"/>
  <c r="Q34" i="126"/>
  <c r="Q45" i="67"/>
  <c r="Y52" i="67" s="1"/>
  <c r="Y118" i="66"/>
  <c r="Q49" i="46"/>
  <c r="Q39" i="64"/>
  <c r="Q38" i="61"/>
  <c r="Q37" i="31"/>
  <c r="Q34" i="30"/>
  <c r="Q32" i="76"/>
  <c r="P41" i="32"/>
  <c r="Q52" i="23"/>
  <c r="Q50" i="20"/>
  <c r="Y100" i="20" s="1"/>
  <c r="L54" i="92"/>
  <c r="Q47" i="97"/>
  <c r="Q34" i="96"/>
  <c r="Q47" i="95"/>
  <c r="Q32" i="4"/>
  <c r="Q47" i="1"/>
  <c r="I47" i="1"/>
  <c r="J38" i="76"/>
  <c r="Q47" i="76" s="1"/>
  <c r="K63" i="97"/>
  <c r="K64" i="97"/>
  <c r="K66" i="97" s="1"/>
  <c r="K65" i="97"/>
  <c r="AC63" i="97"/>
  <c r="AC64" i="97"/>
  <c r="AC65" i="97"/>
  <c r="G63" i="97"/>
  <c r="G64" i="97"/>
  <c r="G65" i="97"/>
  <c r="Y63" i="97"/>
  <c r="Y66" i="97" s="1"/>
  <c r="Y64" i="97"/>
  <c r="Y65" i="97"/>
  <c r="S44" i="96"/>
  <c r="X44" i="96"/>
  <c r="S45" i="96"/>
  <c r="I56" i="96"/>
  <c r="I44" i="96"/>
  <c r="N44" i="96"/>
  <c r="I45" i="96"/>
  <c r="I55" i="96" s="1"/>
  <c r="I62" i="95"/>
  <c r="I65" i="95" s="1"/>
  <c r="I63" i="95"/>
  <c r="I64" i="95"/>
  <c r="Y62" i="95"/>
  <c r="Y63" i="95"/>
  <c r="Y64" i="95"/>
  <c r="L60" i="92"/>
  <c r="L61" i="92"/>
  <c r="L62" i="92" s="1"/>
  <c r="L63" i="92" s="1"/>
  <c r="L66" i="92" s="1"/>
  <c r="Q60" i="92"/>
  <c r="Q52" i="92"/>
  <c r="Q61" i="92"/>
  <c r="L58" i="92"/>
  <c r="O59" i="32"/>
  <c r="O47" i="32"/>
  <c r="O46" i="32"/>
  <c r="P35" i="32"/>
  <c r="O48" i="32"/>
  <c r="O49" i="32" s="1"/>
  <c r="S87" i="57"/>
  <c r="V87" i="57" s="1"/>
  <c r="K131" i="113" s="1"/>
  <c r="S88" i="57"/>
  <c r="V88" i="57" s="1"/>
  <c r="K132" i="113" s="1"/>
  <c r="S89" i="57"/>
  <c r="V89" i="57" s="1"/>
  <c r="K133" i="113" s="1"/>
  <c r="S90" i="57"/>
  <c r="V90" i="57" s="1"/>
  <c r="K134" i="113" s="1"/>
  <c r="S91" i="57"/>
  <c r="V91" i="57" s="1"/>
  <c r="K135" i="113" s="1"/>
  <c r="S86" i="57"/>
  <c r="Q31" i="64"/>
  <c r="Q47" i="64" s="1"/>
  <c r="S46" i="96"/>
  <c r="Q56" i="96" s="1"/>
  <c r="Y65" i="95"/>
  <c r="Y66" i="95" s="1"/>
  <c r="G66" i="97"/>
  <c r="G67" i="97"/>
  <c r="AC66" i="97"/>
  <c r="Q71" i="97" s="1"/>
  <c r="Y67" i="97"/>
  <c r="O52" i="32"/>
  <c r="O50" i="32"/>
  <c r="O54" i="32" s="1"/>
  <c r="O62" i="32" s="1"/>
  <c r="Q65" i="32" s="1"/>
  <c r="I46" i="96"/>
  <c r="Q55" i="96"/>
  <c r="Q62" i="92"/>
  <c r="Q63" i="92" s="1"/>
  <c r="Q66" i="92"/>
  <c r="V66" i="92" s="1"/>
  <c r="Q69" i="92" s="1"/>
  <c r="I69" i="92" s="1"/>
  <c r="Q69" i="95"/>
  <c r="I66" i="95"/>
  <c r="I69" i="95" s="1"/>
  <c r="I70" i="97"/>
  <c r="K67" i="97"/>
  <c r="Q70" i="97"/>
  <c r="G9" i="115"/>
  <c r="H10" i="115"/>
  <c r="G10" i="115"/>
  <c r="H9" i="115"/>
  <c r="Y81" i="24" l="1"/>
  <c r="O118" i="41"/>
  <c r="H118" i="41"/>
  <c r="W545" i="113"/>
  <c r="G563" i="113" s="1"/>
  <c r="S511" i="113"/>
  <c r="O511" i="113"/>
  <c r="S404" i="113"/>
  <c r="S421" i="113" s="1"/>
  <c r="AQ515" i="113"/>
  <c r="S533" i="113" s="1"/>
  <c r="AM515" i="113"/>
  <c r="O533" i="113" s="1"/>
  <c r="AI514" i="113"/>
  <c r="K532" i="113" s="1"/>
  <c r="S512" i="113"/>
  <c r="O512" i="113"/>
  <c r="AE405" i="113"/>
  <c r="AE422" i="113" s="1"/>
  <c r="AQ516" i="113"/>
  <c r="S534" i="113" s="1"/>
  <c r="AM516" i="113"/>
  <c r="O534" i="113" s="1"/>
  <c r="S513" i="113"/>
  <c r="O513" i="113"/>
  <c r="AI406" i="113"/>
  <c r="AI423" i="113" s="1"/>
  <c r="AQ517" i="113"/>
  <c r="S535" i="113" s="1"/>
  <c r="AM517" i="113"/>
  <c r="O535" i="113" s="1"/>
  <c r="AA437" i="113"/>
  <c r="O514" i="113"/>
  <c r="S514" i="113"/>
  <c r="S242" i="113"/>
  <c r="S515" i="113"/>
  <c r="O515" i="113"/>
  <c r="AQ519" i="113"/>
  <c r="S537" i="113" s="1"/>
  <c r="AM519" i="113"/>
  <c r="O537" i="113" s="1"/>
  <c r="K482" i="113"/>
  <c r="S516" i="113"/>
  <c r="O516" i="113"/>
  <c r="S517" i="113"/>
  <c r="O517" i="113"/>
  <c r="S519" i="113"/>
  <c r="O519" i="113"/>
  <c r="AQ511" i="113"/>
  <c r="S529" i="113" s="1"/>
  <c r="AM511" i="113"/>
  <c r="O529" i="113" s="1"/>
  <c r="S518" i="113"/>
  <c r="O518" i="113"/>
  <c r="W402" i="113"/>
  <c r="W419" i="113" s="1"/>
  <c r="I63" i="23"/>
  <c r="AQ512" i="113"/>
  <c r="S530" i="113" s="1"/>
  <c r="AM512" i="113"/>
  <c r="O530" i="113" s="1"/>
  <c r="AA245" i="113"/>
  <c r="K263" i="113" s="1"/>
  <c r="AQ518" i="113"/>
  <c r="S536" i="113" s="1"/>
  <c r="AM518" i="113"/>
  <c r="O536" i="113" s="1"/>
  <c r="AI475" i="113"/>
  <c r="S492" i="113" s="1"/>
  <c r="AQ509" i="113"/>
  <c r="S527" i="113" s="1"/>
  <c r="AM509" i="113"/>
  <c r="O527" i="113" s="1"/>
  <c r="W403" i="113"/>
  <c r="W420" i="113" s="1"/>
  <c r="S509" i="113"/>
  <c r="O509" i="113"/>
  <c r="AQ513" i="113"/>
  <c r="S531" i="113" s="1"/>
  <c r="AM513" i="113"/>
  <c r="O531" i="113" s="1"/>
  <c r="AQ510" i="113"/>
  <c r="S528" i="113" s="1"/>
  <c r="AM510" i="113"/>
  <c r="O528" i="113" s="1"/>
  <c r="S510" i="113"/>
  <c r="O510" i="113"/>
  <c r="AQ514" i="113"/>
  <c r="S532" i="113" s="1"/>
  <c r="AM514" i="113"/>
  <c r="O532" i="113" s="1"/>
  <c r="W290" i="113"/>
  <c r="AY509" i="113"/>
  <c r="AA527" i="113" s="1"/>
  <c r="AI513" i="113"/>
  <c r="K531" i="113" s="1"/>
  <c r="W479" i="113"/>
  <c r="G496" i="113" s="1"/>
  <c r="W483" i="113"/>
  <c r="G500" i="113" s="1"/>
  <c r="G350" i="113"/>
  <c r="AI552" i="113"/>
  <c r="S570" i="113" s="1"/>
  <c r="G356" i="113"/>
  <c r="AI301" i="113"/>
  <c r="AE334" i="113" s="1"/>
  <c r="O356" i="113"/>
  <c r="O389" i="113"/>
  <c r="O455" i="113" s="1"/>
  <c r="AI292" i="113"/>
  <c r="AA349" i="113"/>
  <c r="O366" i="113" s="1"/>
  <c r="K484" i="113"/>
  <c r="AI545" i="113"/>
  <c r="S563" i="113" s="1"/>
  <c r="K552" i="113"/>
  <c r="O390" i="113"/>
  <c r="O456" i="113" s="1"/>
  <c r="O552" i="113"/>
  <c r="O482" i="113"/>
  <c r="K402" i="113"/>
  <c r="K419" i="113" s="1"/>
  <c r="W549" i="113"/>
  <c r="G567" i="113" s="1"/>
  <c r="S476" i="113"/>
  <c r="AI240" i="113"/>
  <c r="S258" i="113" s="1"/>
  <c r="S402" i="113"/>
  <c r="S419" i="113" s="1"/>
  <c r="AE549" i="113"/>
  <c r="O567" i="113" s="1"/>
  <c r="W241" i="113"/>
  <c r="G259" i="113" s="1"/>
  <c r="S433" i="113"/>
  <c r="AA302" i="113"/>
  <c r="W335" i="113" s="1"/>
  <c r="K241" i="113"/>
  <c r="O289" i="113"/>
  <c r="W299" i="113"/>
  <c r="G384" i="113"/>
  <c r="G450" i="113" s="1"/>
  <c r="G402" i="113"/>
  <c r="G419" i="113" s="1"/>
  <c r="O290" i="113"/>
  <c r="W304" i="113"/>
  <c r="AE513" i="113"/>
  <c r="G531" i="113" s="1"/>
  <c r="G476" i="113"/>
  <c r="M61" i="23"/>
  <c r="K547" i="113"/>
  <c r="AB618" i="113"/>
  <c r="AB140" i="57" s="1"/>
  <c r="G390" i="113"/>
  <c r="G456" i="113" s="1"/>
  <c r="G407" i="113"/>
  <c r="G424" i="113" s="1"/>
  <c r="W289" i="113"/>
  <c r="W305" i="113"/>
  <c r="AE514" i="113"/>
  <c r="G532" i="113" s="1"/>
  <c r="M637" i="113"/>
  <c r="M159" i="57" s="1"/>
  <c r="AA240" i="113"/>
  <c r="K258" i="113" s="1"/>
  <c r="W286" i="113"/>
  <c r="S548" i="113"/>
  <c r="G387" i="113"/>
  <c r="G453" i="113" s="1"/>
  <c r="AA292" i="113"/>
  <c r="G241" i="113"/>
  <c r="AI293" i="113"/>
  <c r="AA309" i="113"/>
  <c r="W342" i="113" s="1"/>
  <c r="AU509" i="113"/>
  <c r="W527" i="113" s="1"/>
  <c r="S292" i="113"/>
  <c r="G510" i="113"/>
  <c r="Q61" i="23"/>
  <c r="AA237" i="113"/>
  <c r="K255" i="113" s="1"/>
  <c r="AI384" i="113"/>
  <c r="AI450" i="113" s="1"/>
  <c r="AA545" i="113"/>
  <c r="K563" i="113" s="1"/>
  <c r="AI245" i="113"/>
  <c r="S263" i="113" s="1"/>
  <c r="W349" i="113"/>
  <c r="K366" i="113" s="1"/>
  <c r="G398" i="113"/>
  <c r="G415" i="113" s="1"/>
  <c r="AE404" i="113"/>
  <c r="AE421" i="113" s="1"/>
  <c r="S294" i="113"/>
  <c r="O327" i="113" s="1"/>
  <c r="AA510" i="113"/>
  <c r="AA475" i="113"/>
  <c r="K492" i="113" s="1"/>
  <c r="Q65" i="23"/>
  <c r="Q106" i="23" s="1"/>
  <c r="Y106" i="23" s="1"/>
  <c r="O433" i="113"/>
  <c r="S399" i="113"/>
  <c r="S416" i="113" s="1"/>
  <c r="W389" i="113"/>
  <c r="W455" i="113" s="1"/>
  <c r="AI553" i="113"/>
  <c r="S571" i="113" s="1"/>
  <c r="S353" i="113"/>
  <c r="G370" i="113" s="1"/>
  <c r="G243" i="113"/>
  <c r="AE403" i="113"/>
  <c r="AE420" i="113" s="1"/>
  <c r="W484" i="113"/>
  <c r="G501" i="113" s="1"/>
  <c r="Q64" i="23"/>
  <c r="Q105" i="23" s="1"/>
  <c r="AA354" i="113"/>
  <c r="O371" i="113" s="1"/>
  <c r="K398" i="113"/>
  <c r="K415" i="113" s="1"/>
  <c r="AE407" i="113"/>
  <c r="AE424" i="113" s="1"/>
  <c r="G304" i="113"/>
  <c r="AE545" i="113"/>
  <c r="O563" i="113" s="1"/>
  <c r="AA515" i="113"/>
  <c r="W475" i="113"/>
  <c r="G492" i="113" s="1"/>
  <c r="AA479" i="113"/>
  <c r="K496" i="113" s="1"/>
  <c r="I61" i="23"/>
  <c r="AI294" i="113"/>
  <c r="AA384" i="113"/>
  <c r="AA450" i="113" s="1"/>
  <c r="S354" i="113"/>
  <c r="G371" i="113" s="1"/>
  <c r="S293" i="113"/>
  <c r="W516" i="113"/>
  <c r="AA358" i="113"/>
  <c r="O375" i="113" s="1"/>
  <c r="O398" i="113"/>
  <c r="O415" i="113" s="1"/>
  <c r="AI402" i="113"/>
  <c r="AI419" i="113" s="1"/>
  <c r="G305" i="113"/>
  <c r="AA516" i="113"/>
  <c r="AE475" i="113"/>
  <c r="O492" i="113" s="1"/>
  <c r="AA433" i="113"/>
  <c r="K546" i="113"/>
  <c r="S546" i="113"/>
  <c r="G546" i="113"/>
  <c r="O546" i="113"/>
  <c r="S434" i="113"/>
  <c r="S477" i="113"/>
  <c r="AE550" i="113"/>
  <c r="O568" i="113" s="1"/>
  <c r="W550" i="113"/>
  <c r="G568" i="113" s="1"/>
  <c r="O291" i="113"/>
  <c r="W291" i="113"/>
  <c r="G306" i="113"/>
  <c r="W306" i="113"/>
  <c r="AA517" i="113"/>
  <c r="AA391" i="113"/>
  <c r="AA457" i="113" s="1"/>
  <c r="G517" i="113"/>
  <c r="AI391" i="113"/>
  <c r="AI457" i="113" s="1"/>
  <c r="O553" i="113"/>
  <c r="O391" i="113"/>
  <c r="O457" i="113" s="1"/>
  <c r="G357" i="113"/>
  <c r="O483" i="113"/>
  <c r="K553" i="113"/>
  <c r="M69" i="23"/>
  <c r="AA518" i="113"/>
  <c r="G518" i="113"/>
  <c r="O392" i="113"/>
  <c r="O458" i="113" s="1"/>
  <c r="O484" i="113"/>
  <c r="W518" i="113"/>
  <c r="AA392" i="113"/>
  <c r="AA458" i="113" s="1"/>
  <c r="G358" i="113"/>
  <c r="AI392" i="113"/>
  <c r="AI458" i="113" s="1"/>
  <c r="W392" i="113"/>
  <c r="W458" i="113" s="1"/>
  <c r="K392" i="113"/>
  <c r="K458" i="113" s="1"/>
  <c r="O306" i="113"/>
  <c r="AB620" i="113"/>
  <c r="AB142" i="57" s="1"/>
  <c r="W517" i="113"/>
  <c r="AE291" i="113"/>
  <c r="G553" i="113"/>
  <c r="AA550" i="113"/>
  <c r="K568" i="113" s="1"/>
  <c r="AE392" i="113"/>
  <c r="AE458" i="113" s="1"/>
  <c r="O357" i="113"/>
  <c r="G405" i="113"/>
  <c r="G422" i="113" s="1"/>
  <c r="O245" i="113"/>
  <c r="K391" i="113"/>
  <c r="K457" i="113" s="1"/>
  <c r="G547" i="113"/>
  <c r="O547" i="113"/>
  <c r="S547" i="113"/>
  <c r="S478" i="113"/>
  <c r="G352" i="113"/>
  <c r="W551" i="113"/>
  <c r="G569" i="113" s="1"/>
  <c r="AE551" i="113"/>
  <c r="O569" i="113" s="1"/>
  <c r="AA551" i="113"/>
  <c r="K569" i="113" s="1"/>
  <c r="O358" i="113"/>
  <c r="AE391" i="113"/>
  <c r="AE457" i="113" s="1"/>
  <c r="W391" i="113"/>
  <c r="W457" i="113" s="1"/>
  <c r="AE306" i="113"/>
  <c r="S245" i="113"/>
  <c r="S441" i="113"/>
  <c r="AA355" i="113"/>
  <c r="O372" i="113" s="1"/>
  <c r="G351" i="113"/>
  <c r="AI550" i="113"/>
  <c r="S568" i="113" s="1"/>
  <c r="K483" i="113"/>
  <c r="S406" i="113"/>
  <c r="S423" i="113" s="1"/>
  <c r="I68" i="23"/>
  <c r="Q90" i="23" s="1"/>
  <c r="Y90" i="23" s="1"/>
  <c r="S407" i="113"/>
  <c r="S424" i="113" s="1"/>
  <c r="AI308" i="113"/>
  <c r="AE341" i="113" s="1"/>
  <c r="I69" i="23"/>
  <c r="Q110" i="23" s="1"/>
  <c r="Y110" i="23" s="1"/>
  <c r="AA389" i="113"/>
  <c r="AA455" i="113" s="1"/>
  <c r="AI309" i="113"/>
  <c r="AE342" i="113" s="1"/>
  <c r="S389" i="113"/>
  <c r="S455" i="113" s="1"/>
  <c r="AI407" i="113"/>
  <c r="AI424" i="113" s="1"/>
  <c r="AE289" i="113"/>
  <c r="AA307" i="113"/>
  <c r="W340" i="113" s="1"/>
  <c r="G590" i="113"/>
  <c r="G112" i="57" s="1"/>
  <c r="S438" i="113"/>
  <c r="K407" i="113"/>
  <c r="K424" i="113" s="1"/>
  <c r="AA438" i="113"/>
  <c r="W353" i="113"/>
  <c r="K370" i="113" s="1"/>
  <c r="S390" i="113"/>
  <c r="S456" i="113" s="1"/>
  <c r="W398" i="113"/>
  <c r="W415" i="113" s="1"/>
  <c r="W407" i="113"/>
  <c r="W424" i="113" s="1"/>
  <c r="G309" i="113"/>
  <c r="AE509" i="113"/>
  <c r="G527" i="113" s="1"/>
  <c r="G483" i="113"/>
  <c r="AE479" i="113"/>
  <c r="O496" i="113" s="1"/>
  <c r="AI236" i="113"/>
  <c r="S254" i="113" s="1"/>
  <c r="AA440" i="113"/>
  <c r="K554" i="113"/>
  <c r="S436" i="113"/>
  <c r="K356" i="113"/>
  <c r="W354" i="113"/>
  <c r="K371" i="113" s="1"/>
  <c r="K383" i="113"/>
  <c r="K449" i="113" s="1"/>
  <c r="S391" i="113"/>
  <c r="S457" i="113" s="1"/>
  <c r="AE384" i="113"/>
  <c r="AE450" i="113" s="1"/>
  <c r="AA398" i="113"/>
  <c r="AA415" i="113" s="1"/>
  <c r="O402" i="113"/>
  <c r="O419" i="113" s="1"/>
  <c r="AA402" i="113"/>
  <c r="AA419" i="113" s="1"/>
  <c r="G290" i="113"/>
  <c r="AE320" i="113"/>
  <c r="O301" i="113"/>
  <c r="S553" i="113"/>
  <c r="W552" i="113"/>
  <c r="G570" i="113" s="1"/>
  <c r="K518" i="113"/>
  <c r="AI509" i="113"/>
  <c r="K527" i="113" s="1"/>
  <c r="G484" i="113"/>
  <c r="S482" i="113"/>
  <c r="AE480" i="113"/>
  <c r="O497" i="113" s="1"/>
  <c r="M619" i="113"/>
  <c r="M141" i="57" s="1"/>
  <c r="E67" i="23"/>
  <c r="S237" i="113"/>
  <c r="S244" i="113"/>
  <c r="AI440" i="113"/>
  <c r="W308" i="113"/>
  <c r="K555" i="113"/>
  <c r="AI300" i="113"/>
  <c r="AE333" i="113" s="1"/>
  <c r="S302" i="113"/>
  <c r="O335" i="113" s="1"/>
  <c r="O480" i="113"/>
  <c r="AI306" i="113"/>
  <c r="AE339" i="113" s="1"/>
  <c r="AI399" i="113"/>
  <c r="AI416" i="113" s="1"/>
  <c r="AA236" i="113"/>
  <c r="K254" i="113" s="1"/>
  <c r="K357" i="113"/>
  <c r="AA350" i="113"/>
  <c r="O367" i="113" s="1"/>
  <c r="K389" i="113"/>
  <c r="K455" i="113" s="1"/>
  <c r="S392" i="113"/>
  <c r="S458" i="113" s="1"/>
  <c r="AE398" i="113"/>
  <c r="AE415" i="113" s="1"/>
  <c r="AA403" i="113"/>
  <c r="AA420" i="113" s="1"/>
  <c r="G291" i="113"/>
  <c r="O304" i="113"/>
  <c r="AE304" i="113"/>
  <c r="S554" i="113"/>
  <c r="AE553" i="113"/>
  <c r="O571" i="113" s="1"/>
  <c r="W510" i="113"/>
  <c r="K481" i="113"/>
  <c r="S483" i="113"/>
  <c r="AE483" i="113"/>
  <c r="O500" i="113" s="1"/>
  <c r="E68" i="23"/>
  <c r="W237" i="113"/>
  <c r="G255" i="113" s="1"/>
  <c r="AI244" i="113"/>
  <c r="S262" i="113" s="1"/>
  <c r="S307" i="113"/>
  <c r="O340" i="113" s="1"/>
  <c r="K399" i="113"/>
  <c r="K416" i="113" s="1"/>
  <c r="W309" i="113"/>
  <c r="G481" i="113"/>
  <c r="K243" i="113"/>
  <c r="AB621" i="113"/>
  <c r="AB143" i="57" s="1"/>
  <c r="K349" i="113"/>
  <c r="G391" i="113"/>
  <c r="G457" i="113" s="1"/>
  <c r="S398" i="113"/>
  <c r="S415" i="113" s="1"/>
  <c r="W406" i="113"/>
  <c r="W423" i="113" s="1"/>
  <c r="G286" i="113"/>
  <c r="AE290" i="113"/>
  <c r="AA308" i="113"/>
  <c r="W341" i="113" s="1"/>
  <c r="K510" i="113"/>
  <c r="G482" i="113"/>
  <c r="O243" i="113"/>
  <c r="W441" i="113"/>
  <c r="K355" i="113"/>
  <c r="G392" i="113"/>
  <c r="G458" i="113" s="1"/>
  <c r="O399" i="113"/>
  <c r="O416" i="113" s="1"/>
  <c r="G548" i="113"/>
  <c r="K517" i="113"/>
  <c r="AY513" i="113"/>
  <c r="AA531" i="113" s="1"/>
  <c r="S481" i="113"/>
  <c r="S243" i="113"/>
  <c r="W307" i="113"/>
  <c r="G359" i="113"/>
  <c r="K358" i="113"/>
  <c r="AA353" i="113"/>
  <c r="O370" i="113" s="1"/>
  <c r="K390" i="113"/>
  <c r="K456" i="113" s="1"/>
  <c r="AI398" i="113"/>
  <c r="AI415" i="113" s="1"/>
  <c r="O407" i="113"/>
  <c r="O424" i="113" s="1"/>
  <c r="AE402" i="113"/>
  <c r="AE419" i="113" s="1"/>
  <c r="O286" i="113"/>
  <c r="O305" i="113"/>
  <c r="S555" i="113"/>
  <c r="W553" i="113"/>
  <c r="G571" i="113" s="1"/>
  <c r="W515" i="113"/>
  <c r="S475" i="113"/>
  <c r="S484" i="113"/>
  <c r="AE484" i="113"/>
  <c r="O501" i="113" s="1"/>
  <c r="E69" i="23"/>
  <c r="G245" i="113"/>
  <c r="AA441" i="113"/>
  <c r="O545" i="113"/>
  <c r="W433" i="113"/>
  <c r="AA549" i="113"/>
  <c r="K567" i="113" s="1"/>
  <c r="AE241" i="113"/>
  <c r="O259" i="113" s="1"/>
  <c r="S439" i="113"/>
  <c r="AE245" i="113"/>
  <c r="O263" i="113" s="1"/>
  <c r="O342" i="113"/>
  <c r="AB630" i="113"/>
  <c r="AI320" i="113"/>
  <c r="AA387" i="113"/>
  <c r="AA453" i="113" s="1"/>
  <c r="AB633" i="113"/>
  <c r="AB155" i="57" s="1"/>
  <c r="G554" i="113"/>
  <c r="AY517" i="113"/>
  <c r="AA535" i="113" s="1"/>
  <c r="AA476" i="113"/>
  <c r="K493" i="113" s="1"/>
  <c r="AB631" i="113"/>
  <c r="S664" i="113" s="1"/>
  <c r="S186" i="57" s="1"/>
  <c r="S350" i="113"/>
  <c r="G367" i="113" s="1"/>
  <c r="W357" i="113"/>
  <c r="K374" i="113" s="1"/>
  <c r="G388" i="113"/>
  <c r="G454" i="113" s="1"/>
  <c r="O384" i="113"/>
  <c r="O450" i="113" s="1"/>
  <c r="AA390" i="113"/>
  <c r="AA456" i="113" s="1"/>
  <c r="AI389" i="113"/>
  <c r="AI455" i="113" s="1"/>
  <c r="K403" i="113"/>
  <c r="K420" i="113" s="1"/>
  <c r="S403" i="113"/>
  <c r="S420" i="113" s="1"/>
  <c r="AE406" i="113"/>
  <c r="AE423" i="113" s="1"/>
  <c r="AE286" i="113"/>
  <c r="AA285" i="113"/>
  <c r="K285" i="113"/>
  <c r="K300" i="113"/>
  <c r="G333" i="113" s="1"/>
  <c r="O309" i="113"/>
  <c r="AE301" i="113"/>
  <c r="G555" i="113"/>
  <c r="G515" i="113"/>
  <c r="AE510" i="113"/>
  <c r="G528" i="113" s="1"/>
  <c r="AI518" i="113"/>
  <c r="K536" i="113" s="1"/>
  <c r="AI480" i="113"/>
  <c r="S497" i="113" s="1"/>
  <c r="E61" i="23"/>
  <c r="AI433" i="113"/>
  <c r="AI290" i="113"/>
  <c r="W359" i="113"/>
  <c r="K376" i="113" s="1"/>
  <c r="O548" i="113"/>
  <c r="AI517" i="113"/>
  <c r="K535" i="113" s="1"/>
  <c r="AA399" i="113"/>
  <c r="AA416" i="113" s="1"/>
  <c r="W294" i="113"/>
  <c r="G514" i="113"/>
  <c r="AI476" i="113"/>
  <c r="S493" i="113" s="1"/>
  <c r="AI237" i="113"/>
  <c r="S255" i="113" s="1"/>
  <c r="AB613" i="113"/>
  <c r="AB135" i="57" s="1"/>
  <c r="K350" i="113"/>
  <c r="W358" i="113"/>
  <c r="K375" i="113" s="1"/>
  <c r="G389" i="113"/>
  <c r="G455" i="113" s="1"/>
  <c r="AI390" i="113"/>
  <c r="AI456" i="113" s="1"/>
  <c r="G399" i="113"/>
  <c r="G416" i="113" s="1"/>
  <c r="K406" i="113"/>
  <c r="K423" i="113" s="1"/>
  <c r="G294" i="113"/>
  <c r="AA286" i="113"/>
  <c r="K286" i="113"/>
  <c r="S300" i="113"/>
  <c r="O333" i="113" s="1"/>
  <c r="AI307" i="113"/>
  <c r="AE340" i="113" s="1"/>
  <c r="O554" i="113"/>
  <c r="AE552" i="113"/>
  <c r="O570" i="113" s="1"/>
  <c r="G516" i="113"/>
  <c r="AU510" i="113"/>
  <c r="W528" i="113" s="1"/>
  <c r="AY518" i="113"/>
  <c r="AA536" i="113" s="1"/>
  <c r="K476" i="113"/>
  <c r="AI484" i="113"/>
  <c r="S501" i="113" s="1"/>
  <c r="G629" i="113"/>
  <c r="G151" i="57" s="1"/>
  <c r="E65" i="23"/>
  <c r="I106" i="23" s="1"/>
  <c r="AA244" i="113"/>
  <c r="K262" i="113" s="1"/>
  <c r="AA287" i="113"/>
  <c r="K301" i="113"/>
  <c r="G334" i="113" s="1"/>
  <c r="K292" i="113"/>
  <c r="S301" i="113"/>
  <c r="O334" i="113" s="1"/>
  <c r="AA300" i="113"/>
  <c r="W333" i="113" s="1"/>
  <c r="K548" i="113"/>
  <c r="AE517" i="113"/>
  <c r="G535" i="113" s="1"/>
  <c r="G582" i="113"/>
  <c r="G104" i="57" s="1"/>
  <c r="S358" i="113"/>
  <c r="G375" i="113" s="1"/>
  <c r="K307" i="113"/>
  <c r="G340" i="113" s="1"/>
  <c r="AE518" i="113"/>
  <c r="G536" i="113" s="1"/>
  <c r="AA483" i="113"/>
  <c r="K500" i="113" s="1"/>
  <c r="AI438" i="113"/>
  <c r="AA299" i="113"/>
  <c r="W332" i="113" s="1"/>
  <c r="S589" i="113"/>
  <c r="G605" i="113" s="1"/>
  <c r="G127" i="57" s="1"/>
  <c r="M633" i="113"/>
  <c r="M155" i="57" s="1"/>
  <c r="G403" i="113"/>
  <c r="G420" i="113" s="1"/>
  <c r="O403" i="113"/>
  <c r="O420" i="113" s="1"/>
  <c r="W399" i="113"/>
  <c r="W416" i="113" s="1"/>
  <c r="AE294" i="113"/>
  <c r="AA294" i="113"/>
  <c r="K294" i="113"/>
  <c r="AA301" i="113"/>
  <c r="W334" i="113" s="1"/>
  <c r="K515" i="113"/>
  <c r="AU518" i="113"/>
  <c r="W536" i="113" s="1"/>
  <c r="AA484" i="113"/>
  <c r="K501" i="113" s="1"/>
  <c r="M67" i="23"/>
  <c r="G237" i="113"/>
  <c r="AA241" i="113"/>
  <c r="K259" i="113" s="1"/>
  <c r="G439" i="113"/>
  <c r="W439" i="113"/>
  <c r="S357" i="113"/>
  <c r="G374" i="113" s="1"/>
  <c r="AA407" i="113"/>
  <c r="AA424" i="113" s="1"/>
  <c r="AA293" i="113"/>
  <c r="AE309" i="113"/>
  <c r="AB636" i="113"/>
  <c r="S669" i="113" s="1"/>
  <c r="S191" i="57" s="1"/>
  <c r="O350" i="113"/>
  <c r="W390" i="113"/>
  <c r="W456" i="113" s="1"/>
  <c r="AE389" i="113"/>
  <c r="AE455" i="113" s="1"/>
  <c r="AE399" i="113"/>
  <c r="AE416" i="113" s="1"/>
  <c r="AI403" i="113"/>
  <c r="AI420" i="113" s="1"/>
  <c r="AI285" i="113"/>
  <c r="S285" i="113"/>
  <c r="G301" i="113"/>
  <c r="K308" i="113"/>
  <c r="G341" i="113" s="1"/>
  <c r="S308" i="113"/>
  <c r="O341" i="113" s="1"/>
  <c r="S552" i="113"/>
  <c r="K516" i="113"/>
  <c r="AI510" i="113"/>
  <c r="K528" i="113" s="1"/>
  <c r="O476" i="113"/>
  <c r="W476" i="113"/>
  <c r="G493" i="113" s="1"/>
  <c r="AE476" i="113"/>
  <c r="O493" i="113" s="1"/>
  <c r="K237" i="113"/>
  <c r="AI241" i="113"/>
  <c r="S259" i="113" s="1"/>
  <c r="W245" i="113"/>
  <c r="G263" i="113" s="1"/>
  <c r="O439" i="113"/>
  <c r="AE440" i="113"/>
  <c r="AB615" i="113"/>
  <c r="AB137" i="57" s="1"/>
  <c r="K287" i="113"/>
  <c r="O555" i="113"/>
  <c r="AA406" i="113"/>
  <c r="AA423" i="113" s="1"/>
  <c r="K302" i="113"/>
  <c r="G335" i="113" s="1"/>
  <c r="AU517" i="113"/>
  <c r="W535" i="113" s="1"/>
  <c r="V622" i="113"/>
  <c r="V144" i="57" s="1"/>
  <c r="G355" i="113"/>
  <c r="O355" i="113"/>
  <c r="W350" i="113"/>
  <c r="K367" i="113" s="1"/>
  <c r="AA357" i="113"/>
  <c r="O374" i="113" s="1"/>
  <c r="K384" i="113"/>
  <c r="K450" i="113" s="1"/>
  <c r="S384" i="113"/>
  <c r="S450" i="113" s="1"/>
  <c r="AE390" i="113"/>
  <c r="AE456" i="113" s="1"/>
  <c r="G406" i="113"/>
  <c r="G423" i="113" s="1"/>
  <c r="O406" i="113"/>
  <c r="O423" i="113" s="1"/>
  <c r="AI286" i="113"/>
  <c r="S286" i="113"/>
  <c r="K309" i="113"/>
  <c r="G342" i="113" s="1"/>
  <c r="AY510" i="113"/>
  <c r="AA528" i="113" s="1"/>
  <c r="O481" i="113"/>
  <c r="O237" i="113"/>
  <c r="Y106" i="26"/>
  <c r="H114" i="41"/>
  <c r="O109" i="41"/>
  <c r="H117" i="41"/>
  <c r="H109" i="41"/>
  <c r="AB144" i="62"/>
  <c r="Y108" i="26"/>
  <c r="Y107" i="26"/>
  <c r="AC74" i="147"/>
  <c r="N77" i="147"/>
  <c r="N74" i="147"/>
  <c r="AC77" i="147"/>
  <c r="AC78" i="147"/>
  <c r="AC117" i="108"/>
  <c r="AC129" i="108"/>
  <c r="AC130" i="108"/>
  <c r="Y62" i="25"/>
  <c r="Y80" i="47"/>
  <c r="AC115" i="108"/>
  <c r="X49" i="19"/>
  <c r="AC119" i="108"/>
  <c r="Y96" i="142"/>
  <c r="Q84" i="141"/>
  <c r="Y84" i="141" s="1"/>
  <c r="P620" i="113"/>
  <c r="P142" i="57" s="1"/>
  <c r="AE632" i="113"/>
  <c r="AE154" i="57" s="1"/>
  <c r="AE621" i="113"/>
  <c r="AE143" i="57" s="1"/>
  <c r="AE622" i="113"/>
  <c r="AE144" i="57" s="1"/>
  <c r="P623" i="113"/>
  <c r="P145" i="57" s="1"/>
  <c r="Y619" i="113"/>
  <c r="Y141" i="57" s="1"/>
  <c r="J614" i="113"/>
  <c r="J136" i="57" s="1"/>
  <c r="J635" i="113"/>
  <c r="J157" i="57" s="1"/>
  <c r="Y620" i="113"/>
  <c r="Y142" i="57" s="1"/>
  <c r="V636" i="113"/>
  <c r="G669" i="113" s="1"/>
  <c r="G191" i="57" s="1"/>
  <c r="G633" i="113"/>
  <c r="G155" i="57" s="1"/>
  <c r="V86" i="57"/>
  <c r="K130" i="113" s="1"/>
  <c r="S64" i="132"/>
  <c r="G550" i="113"/>
  <c r="S550" i="113"/>
  <c r="O550" i="113"/>
  <c r="W242" i="113"/>
  <c r="G260" i="113" s="1"/>
  <c r="W481" i="113"/>
  <c r="G498" i="113" s="1"/>
  <c r="AA481" i="113"/>
  <c r="K498" i="113" s="1"/>
  <c r="AI404" i="113"/>
  <c r="AI421" i="113" s="1"/>
  <c r="W404" i="113"/>
  <c r="W421" i="113" s="1"/>
  <c r="AY515" i="113"/>
  <c r="AA533" i="113" s="1"/>
  <c r="AI515" i="113"/>
  <c r="K533" i="113" s="1"/>
  <c r="K404" i="113"/>
  <c r="K421" i="113" s="1"/>
  <c r="W355" i="113"/>
  <c r="K372" i="113" s="1"/>
  <c r="AE481" i="113"/>
  <c r="O498" i="113" s="1"/>
  <c r="AA404" i="113"/>
  <c r="AA421" i="113" s="1"/>
  <c r="AI481" i="113"/>
  <c r="S498" i="113" s="1"/>
  <c r="Q62" i="23"/>
  <c r="AA477" i="113"/>
  <c r="K494" i="113" s="1"/>
  <c r="W351" i="113"/>
  <c r="K368" i="113" s="1"/>
  <c r="AA400" i="113"/>
  <c r="AA417" i="113" s="1"/>
  <c r="AI238" i="113"/>
  <c r="S256" i="113" s="1"/>
  <c r="AI477" i="113"/>
  <c r="S494" i="113" s="1"/>
  <c r="AE477" i="113"/>
  <c r="O494" i="113" s="1"/>
  <c r="AA238" i="113"/>
  <c r="K256" i="113" s="1"/>
  <c r="AY511" i="113"/>
  <c r="AA529" i="113" s="1"/>
  <c r="AI511" i="113"/>
  <c r="K529" i="113" s="1"/>
  <c r="O400" i="113"/>
  <c r="O417" i="113" s="1"/>
  <c r="AA351" i="113"/>
  <c r="O368" i="113" s="1"/>
  <c r="AE400" i="113"/>
  <c r="AE417" i="113" s="1"/>
  <c r="S400" i="113"/>
  <c r="S417" i="113" s="1"/>
  <c r="W477" i="113"/>
  <c r="G494" i="113" s="1"/>
  <c r="G400" i="113"/>
  <c r="G417" i="113" s="1"/>
  <c r="S351" i="113"/>
  <c r="G368" i="113" s="1"/>
  <c r="Y635" i="113"/>
  <c r="Y628" i="113"/>
  <c r="AE619" i="113"/>
  <c r="O479" i="113"/>
  <c r="O293" i="113"/>
  <c r="O308" i="113"/>
  <c r="AE293" i="113"/>
  <c r="AE308" i="113"/>
  <c r="G308" i="113"/>
  <c r="G293" i="113"/>
  <c r="W293" i="113"/>
  <c r="AA435" i="113"/>
  <c r="K239" i="113"/>
  <c r="E63" i="23"/>
  <c r="I85" i="23" s="1"/>
  <c r="O478" i="113"/>
  <c r="G512" i="113"/>
  <c r="W386" i="113"/>
  <c r="W452" i="113" s="1"/>
  <c r="S435" i="113"/>
  <c r="G239" i="113"/>
  <c r="O435" i="113"/>
  <c r="Q75" i="87"/>
  <c r="Q117" i="87" s="1"/>
  <c r="K478" i="113"/>
  <c r="AA512" i="113"/>
  <c r="K352" i="113"/>
  <c r="G435" i="113"/>
  <c r="K386" i="113"/>
  <c r="K452" i="113" s="1"/>
  <c r="G478" i="113"/>
  <c r="W512" i="113"/>
  <c r="AI386" i="113"/>
  <c r="AI452" i="113" s="1"/>
  <c r="S386" i="113"/>
  <c r="S452" i="113" s="1"/>
  <c r="O386" i="113"/>
  <c r="O452" i="113" s="1"/>
  <c r="AE547" i="113"/>
  <c r="O565" i="113" s="1"/>
  <c r="AA547" i="113"/>
  <c r="K565" i="113" s="1"/>
  <c r="W547" i="113"/>
  <c r="G565" i="113" s="1"/>
  <c r="AA243" i="113"/>
  <c r="K261" i="113" s="1"/>
  <c r="AA482" i="113"/>
  <c r="K499" i="113" s="1"/>
  <c r="AI405" i="113"/>
  <c r="AI422" i="113" s="1"/>
  <c r="W405" i="113"/>
  <c r="W422" i="113" s="1"/>
  <c r="W243" i="113"/>
  <c r="G261" i="113" s="1"/>
  <c r="AY516" i="113"/>
  <c r="AA534" i="113" s="1"/>
  <c r="AI516" i="113"/>
  <c r="K534" i="113" s="1"/>
  <c r="AE482" i="113"/>
  <c r="O499" i="113" s="1"/>
  <c r="K405" i="113"/>
  <c r="K422" i="113" s="1"/>
  <c r="W356" i="113"/>
  <c r="K373" i="113" s="1"/>
  <c r="AA405" i="113"/>
  <c r="AA422" i="113" s="1"/>
  <c r="AI482" i="113"/>
  <c r="S499" i="113" s="1"/>
  <c r="O405" i="113"/>
  <c r="O422" i="113" s="1"/>
  <c r="AA356" i="113"/>
  <c r="O373" i="113" s="1"/>
  <c r="I67" i="23"/>
  <c r="Q108" i="23" s="1"/>
  <c r="Y108" i="23" s="1"/>
  <c r="AU516" i="113"/>
  <c r="W534" i="113" s="1"/>
  <c r="AE516" i="113"/>
  <c r="G534" i="113" s="1"/>
  <c r="S405" i="113"/>
  <c r="S422" i="113" s="1"/>
  <c r="AE303" i="113"/>
  <c r="G303" i="113"/>
  <c r="G288" i="113"/>
  <c r="W288" i="113"/>
  <c r="W303" i="113"/>
  <c r="O288" i="113"/>
  <c r="Q81" i="87"/>
  <c r="Q79" i="87" s="1"/>
  <c r="Y116" i="87" s="1"/>
  <c r="AE478" i="113"/>
  <c r="O495" i="113" s="1"/>
  <c r="AA401" i="113"/>
  <c r="AA418" i="113" s="1"/>
  <c r="AI478" i="113"/>
  <c r="S495" i="113" s="1"/>
  <c r="AY512" i="113"/>
  <c r="AA530" i="113" s="1"/>
  <c r="AI512" i="113"/>
  <c r="K530" i="113" s="1"/>
  <c r="W548" i="113"/>
  <c r="G566" i="113" s="1"/>
  <c r="O401" i="113"/>
  <c r="O418" i="113" s="1"/>
  <c r="AA352" i="113"/>
  <c r="O369" i="113" s="1"/>
  <c r="AI239" i="113"/>
  <c r="S257" i="113" s="1"/>
  <c r="AE401" i="113"/>
  <c r="AE418" i="113" s="1"/>
  <c r="S401" i="113"/>
  <c r="S418" i="113" s="1"/>
  <c r="AA239" i="113"/>
  <c r="K257" i="113" s="1"/>
  <c r="W478" i="113"/>
  <c r="G495" i="113" s="1"/>
  <c r="AI548" i="113"/>
  <c r="S566" i="113" s="1"/>
  <c r="G401" i="113"/>
  <c r="G418" i="113" s="1"/>
  <c r="S352" i="113"/>
  <c r="G369" i="113" s="1"/>
  <c r="W239" i="113"/>
  <c r="G257" i="113" s="1"/>
  <c r="AU512" i="113"/>
  <c r="W530" i="113" s="1"/>
  <c r="AE512" i="113"/>
  <c r="G530" i="113" s="1"/>
  <c r="AI401" i="113"/>
  <c r="AI418" i="113" s="1"/>
  <c r="W401" i="113"/>
  <c r="W418" i="113" s="1"/>
  <c r="G589" i="113"/>
  <c r="G111" i="57" s="1"/>
  <c r="J620" i="113"/>
  <c r="J142" i="57" s="1"/>
  <c r="J628" i="113"/>
  <c r="J150" i="57" s="1"/>
  <c r="J613" i="113"/>
  <c r="J135" i="57" s="1"/>
  <c r="M616" i="113"/>
  <c r="M138" i="57" s="1"/>
  <c r="AB623" i="113"/>
  <c r="AB145" i="57" s="1"/>
  <c r="P613" i="113"/>
  <c r="P135" i="57" s="1"/>
  <c r="P631" i="113"/>
  <c r="P153" i="57" s="1"/>
  <c r="AE616" i="113"/>
  <c r="AE138" i="57" s="1"/>
  <c r="G614" i="113"/>
  <c r="G136" i="57" s="1"/>
  <c r="G353" i="113"/>
  <c r="O352" i="113"/>
  <c r="K388" i="113"/>
  <c r="K454" i="113" s="1"/>
  <c r="O385" i="113"/>
  <c r="O451" i="113" s="1"/>
  <c r="S385" i="113"/>
  <c r="S451" i="113" s="1"/>
  <c r="AE386" i="113"/>
  <c r="AE452" i="113" s="1"/>
  <c r="I66" i="23"/>
  <c r="Q88" i="23" s="1"/>
  <c r="Y88" i="23" s="1"/>
  <c r="O292" i="113"/>
  <c r="O307" i="113"/>
  <c r="AE292" i="113"/>
  <c r="AE307" i="113"/>
  <c r="G307" i="113"/>
  <c r="G292" i="113"/>
  <c r="AE442" i="113"/>
  <c r="AE393" i="113"/>
  <c r="AE459" i="113" s="1"/>
  <c r="O359" i="113"/>
  <c r="O485" i="113"/>
  <c r="G519" i="113"/>
  <c r="AI393" i="113"/>
  <c r="AI459" i="113" s="1"/>
  <c r="K393" i="113"/>
  <c r="K459" i="113" s="1"/>
  <c r="E70" i="23"/>
  <c r="K485" i="113"/>
  <c r="AA519" i="113"/>
  <c r="O393" i="113"/>
  <c r="O459" i="113" s="1"/>
  <c r="K359" i="113"/>
  <c r="AI442" i="113"/>
  <c r="S393" i="113"/>
  <c r="S459" i="113" s="1"/>
  <c r="W442" i="113"/>
  <c r="S246" i="113"/>
  <c r="G485" i="113"/>
  <c r="W519" i="113"/>
  <c r="AI288" i="113"/>
  <c r="S303" i="113"/>
  <c r="O336" i="113" s="1"/>
  <c r="AI303" i="113"/>
  <c r="AE336" i="113" s="1"/>
  <c r="K288" i="113"/>
  <c r="K303" i="113"/>
  <c r="G336" i="113" s="1"/>
  <c r="S288" i="113"/>
  <c r="O302" i="113"/>
  <c r="AE287" i="113"/>
  <c r="AE302" i="113"/>
  <c r="G302" i="113"/>
  <c r="G287" i="113"/>
  <c r="W287" i="113"/>
  <c r="W302" i="113"/>
  <c r="AI485" i="113"/>
  <c r="S502" i="113" s="1"/>
  <c r="AA359" i="113"/>
  <c r="O376" i="113" s="1"/>
  <c r="Q70" i="23"/>
  <c r="AE408" i="113"/>
  <c r="AE425" i="113" s="1"/>
  <c r="W485" i="113"/>
  <c r="G502" i="113" s="1"/>
  <c r="S408" i="113"/>
  <c r="S425" i="113" s="1"/>
  <c r="G408" i="113"/>
  <c r="G425" i="113" s="1"/>
  <c r="AI246" i="113"/>
  <c r="S264" i="113" s="1"/>
  <c r="AY519" i="113"/>
  <c r="AA537" i="113" s="1"/>
  <c r="AI519" i="113"/>
  <c r="K537" i="113" s="1"/>
  <c r="AA246" i="113"/>
  <c r="K264" i="113" s="1"/>
  <c r="S359" i="113"/>
  <c r="G376" i="113" s="1"/>
  <c r="AA485" i="113"/>
  <c r="K502" i="113" s="1"/>
  <c r="AI408" i="113"/>
  <c r="AI425" i="113" s="1"/>
  <c r="W408" i="113"/>
  <c r="W425" i="113" s="1"/>
  <c r="K408" i="113"/>
  <c r="K425" i="113" s="1"/>
  <c r="S584" i="113"/>
  <c r="G600" i="113" s="1"/>
  <c r="G122" i="57" s="1"/>
  <c r="J622" i="113"/>
  <c r="J144" i="57" s="1"/>
  <c r="W284" i="113"/>
  <c r="AE515" i="113"/>
  <c r="G533" i="113" s="1"/>
  <c r="O285" i="113"/>
  <c r="O300" i="113"/>
  <c r="AE285" i="113"/>
  <c r="AE300" i="113"/>
  <c r="G300" i="113"/>
  <c r="G285" i="113"/>
  <c r="W285" i="113"/>
  <c r="S551" i="113"/>
  <c r="O551" i="113"/>
  <c r="K551" i="113"/>
  <c r="S304" i="113"/>
  <c r="O337" i="113" s="1"/>
  <c r="AI289" i="113"/>
  <c r="AI304" i="113"/>
  <c r="AE337" i="113" s="1"/>
  <c r="K304" i="113"/>
  <c r="G337" i="113" s="1"/>
  <c r="K289" i="113"/>
  <c r="S289" i="113"/>
  <c r="AA304" i="113"/>
  <c r="W337" i="113" s="1"/>
  <c r="AE555" i="113"/>
  <c r="O573" i="113" s="1"/>
  <c r="AA555" i="113"/>
  <c r="K573" i="113" s="1"/>
  <c r="W555" i="113"/>
  <c r="G573" i="113" s="1"/>
  <c r="O432" i="113"/>
  <c r="S236" i="113"/>
  <c r="O475" i="113"/>
  <c r="G545" i="113"/>
  <c r="O383" i="113"/>
  <c r="O449" i="113" s="1"/>
  <c r="G349" i="113"/>
  <c r="K432" i="113"/>
  <c r="O236" i="113"/>
  <c r="K475" i="113"/>
  <c r="G432" i="113"/>
  <c r="K236" i="113"/>
  <c r="G475" i="113"/>
  <c r="S383" i="113"/>
  <c r="S449" i="113" s="1"/>
  <c r="O349" i="113"/>
  <c r="G236" i="113"/>
  <c r="AA509" i="113"/>
  <c r="W383" i="113"/>
  <c r="W449" i="113" s="1"/>
  <c r="AI432" i="113"/>
  <c r="W509" i="113"/>
  <c r="AA432" i="113"/>
  <c r="K509" i="113"/>
  <c r="S545" i="113"/>
  <c r="AA383" i="113"/>
  <c r="AA449" i="113" s="1"/>
  <c r="G383" i="113"/>
  <c r="G449" i="113" s="1"/>
  <c r="S437" i="113"/>
  <c r="K480" i="113"/>
  <c r="AA514" i="113"/>
  <c r="K354" i="113"/>
  <c r="O437" i="113"/>
  <c r="K437" i="113"/>
  <c r="G480" i="113"/>
  <c r="W514" i="113"/>
  <c r="O388" i="113"/>
  <c r="O454" i="113" s="1"/>
  <c r="G437" i="113"/>
  <c r="S388" i="113"/>
  <c r="S454" i="113" s="1"/>
  <c r="AI437" i="113"/>
  <c r="S241" i="113"/>
  <c r="S480" i="113"/>
  <c r="K514" i="113"/>
  <c r="AE437" i="113"/>
  <c r="O241" i="113"/>
  <c r="AA388" i="113"/>
  <c r="AA454" i="113" s="1"/>
  <c r="Y621" i="113"/>
  <c r="Y143" i="57" s="1"/>
  <c r="J634" i="113"/>
  <c r="J156" i="57" s="1"/>
  <c r="J631" i="113"/>
  <c r="J153" i="57" s="1"/>
  <c r="M631" i="113"/>
  <c r="M153" i="57" s="1"/>
  <c r="AB622" i="113"/>
  <c r="AB144" i="57" s="1"/>
  <c r="M615" i="113"/>
  <c r="M137" i="57" s="1"/>
  <c r="G354" i="113"/>
  <c r="K351" i="113"/>
  <c r="O353" i="113"/>
  <c r="W385" i="113"/>
  <c r="W451" i="113" s="1"/>
  <c r="AE388" i="113"/>
  <c r="AE454" i="113" s="1"/>
  <c r="AA408" i="113"/>
  <c r="AA425" i="113" s="1"/>
  <c r="AA288" i="113"/>
  <c r="W300" i="113"/>
  <c r="AE548" i="113"/>
  <c r="O566" i="113" s="1"/>
  <c r="AU515" i="113"/>
  <c r="W533" i="113" s="1"/>
  <c r="W482" i="113"/>
  <c r="G499" i="113" s="1"/>
  <c r="G238" i="113"/>
  <c r="G442" i="113"/>
  <c r="K306" i="113"/>
  <c r="G339" i="113" s="1"/>
  <c r="K291" i="113"/>
  <c r="AA306" i="113"/>
  <c r="W339" i="113" s="1"/>
  <c r="S291" i="113"/>
  <c r="S306" i="113"/>
  <c r="O339" i="113" s="1"/>
  <c r="AA291" i="113"/>
  <c r="V613" i="113"/>
  <c r="V135" i="57" s="1"/>
  <c r="Y638" i="113"/>
  <c r="Y632" i="113"/>
  <c r="J616" i="113"/>
  <c r="J138" i="57" s="1"/>
  <c r="AB619" i="113"/>
  <c r="AB141" i="57" s="1"/>
  <c r="AB616" i="113"/>
  <c r="M628" i="113"/>
  <c r="M150" i="57" s="1"/>
  <c r="M635" i="113"/>
  <c r="M157" i="57" s="1"/>
  <c r="P636" i="113"/>
  <c r="P158" i="57" s="1"/>
  <c r="K353" i="113"/>
  <c r="O354" i="113"/>
  <c r="W352" i="113"/>
  <c r="K369" i="113" s="1"/>
  <c r="W387" i="113"/>
  <c r="W453" i="113" s="1"/>
  <c r="AI388" i="113"/>
  <c r="AI454" i="113" s="1"/>
  <c r="O408" i="113"/>
  <c r="O425" i="113" s="1"/>
  <c r="O287" i="113"/>
  <c r="AI291" i="113"/>
  <c r="AA289" i="113"/>
  <c r="G551" i="113"/>
  <c r="K549" i="113"/>
  <c r="AI555" i="113"/>
  <c r="S573" i="113" s="1"/>
  <c r="K519" i="113"/>
  <c r="O239" i="113"/>
  <c r="AI243" i="113"/>
  <c r="S261" i="113" s="1"/>
  <c r="W434" i="113"/>
  <c r="O351" i="113"/>
  <c r="E62" i="23"/>
  <c r="O477" i="113"/>
  <c r="G511" i="113"/>
  <c r="AE385" i="113"/>
  <c r="AE451" i="113" s="1"/>
  <c r="K477" i="113"/>
  <c r="AA511" i="113"/>
  <c r="AA385" i="113"/>
  <c r="AA451" i="113" s="1"/>
  <c r="G385" i="113"/>
  <c r="G451" i="113" s="1"/>
  <c r="AI434" i="113"/>
  <c r="S238" i="113"/>
  <c r="K385" i="113"/>
  <c r="K451" i="113" s="1"/>
  <c r="AA434" i="113"/>
  <c r="O238" i="113"/>
  <c r="G477" i="113"/>
  <c r="W511" i="113"/>
  <c r="AI385" i="113"/>
  <c r="AI451" i="113" s="1"/>
  <c r="AI554" i="113"/>
  <c r="S572" i="113" s="1"/>
  <c r="AE554" i="113"/>
  <c r="O572" i="113" s="1"/>
  <c r="AA554" i="113"/>
  <c r="K572" i="113" s="1"/>
  <c r="AI305" i="113"/>
  <c r="AE338" i="113" s="1"/>
  <c r="K305" i="113"/>
  <c r="G338" i="113" s="1"/>
  <c r="K290" i="113"/>
  <c r="AA305" i="113"/>
  <c r="W338" i="113" s="1"/>
  <c r="S290" i="113"/>
  <c r="AA290" i="113"/>
  <c r="AA303" i="113"/>
  <c r="W336" i="113" s="1"/>
  <c r="AB628" i="113"/>
  <c r="M636" i="113"/>
  <c r="M158" i="57" s="1"/>
  <c r="S355" i="113"/>
  <c r="G372" i="113" s="1"/>
  <c r="W388" i="113"/>
  <c r="W454" i="113" s="1"/>
  <c r="W393" i="113"/>
  <c r="W459" i="113" s="1"/>
  <c r="K400" i="113"/>
  <c r="K417" i="113" s="1"/>
  <c r="O303" i="113"/>
  <c r="K550" i="113"/>
  <c r="AI547" i="113"/>
  <c r="S565" i="113" s="1"/>
  <c r="G509" i="113"/>
  <c r="AE511" i="113"/>
  <c r="G529" i="113" s="1"/>
  <c r="AE519" i="113"/>
  <c r="G537" i="113" s="1"/>
  <c r="AE485" i="113"/>
  <c r="O502" i="113" s="1"/>
  <c r="S239" i="113"/>
  <c r="AI435" i="113"/>
  <c r="S299" i="113"/>
  <c r="O332" i="113" s="1"/>
  <c r="K284" i="113"/>
  <c r="K299" i="113"/>
  <c r="G332" i="113" s="1"/>
  <c r="AI299" i="113"/>
  <c r="AE332" i="113" s="1"/>
  <c r="AI284" i="113"/>
  <c r="J621" i="113"/>
  <c r="J143" i="57" s="1"/>
  <c r="J637" i="113"/>
  <c r="J159" i="57" s="1"/>
  <c r="J636" i="113"/>
  <c r="J158" i="57" s="1"/>
  <c r="AE634" i="113"/>
  <c r="P614" i="113"/>
  <c r="P136" i="57" s="1"/>
  <c r="V635" i="113"/>
  <c r="Y614" i="113"/>
  <c r="Y136" i="57" s="1"/>
  <c r="Y613" i="113"/>
  <c r="J618" i="113"/>
  <c r="J140" i="57" s="1"/>
  <c r="M630" i="113"/>
  <c r="M152" i="57" s="1"/>
  <c r="M620" i="113"/>
  <c r="M142" i="57" s="1"/>
  <c r="P637" i="113"/>
  <c r="P159" i="57" s="1"/>
  <c r="P633" i="113"/>
  <c r="P155" i="57" s="1"/>
  <c r="S356" i="113"/>
  <c r="G373" i="113" s="1"/>
  <c r="AA393" i="113"/>
  <c r="AA459" i="113" s="1"/>
  <c r="K401" i="113"/>
  <c r="K418" i="113" s="1"/>
  <c r="W400" i="113"/>
  <c r="W417" i="113" s="1"/>
  <c r="W292" i="113"/>
  <c r="S284" i="113"/>
  <c r="K511" i="113"/>
  <c r="S485" i="113"/>
  <c r="AA242" i="113"/>
  <c r="K260" i="113" s="1"/>
  <c r="S432" i="113"/>
  <c r="O284" i="113"/>
  <c r="O299" i="113"/>
  <c r="AE284" i="113"/>
  <c r="G299" i="113"/>
  <c r="G284" i="113"/>
  <c r="AE299" i="113"/>
  <c r="AI546" i="113"/>
  <c r="S564" i="113" s="1"/>
  <c r="AE546" i="113"/>
  <c r="O564" i="113" s="1"/>
  <c r="AA546" i="113"/>
  <c r="K564" i="113" s="1"/>
  <c r="W546" i="113"/>
  <c r="G564" i="113" s="1"/>
  <c r="AE387" i="113"/>
  <c r="AE453" i="113" s="1"/>
  <c r="K479" i="113"/>
  <c r="AA513" i="113"/>
  <c r="G549" i="113"/>
  <c r="S240" i="113"/>
  <c r="K387" i="113"/>
  <c r="K453" i="113" s="1"/>
  <c r="G479" i="113"/>
  <c r="W513" i="113"/>
  <c r="S549" i="113"/>
  <c r="AI387" i="113"/>
  <c r="AI453" i="113" s="1"/>
  <c r="AI436" i="113"/>
  <c r="S387" i="113"/>
  <c r="S453" i="113" s="1"/>
  <c r="O387" i="113"/>
  <c r="O453" i="113" s="1"/>
  <c r="AA436" i="113"/>
  <c r="S479" i="113"/>
  <c r="K513" i="113"/>
  <c r="O549" i="113"/>
  <c r="Y622" i="113"/>
  <c r="Y144" i="57" s="1"/>
  <c r="Y616" i="113"/>
  <c r="Y138" i="57" s="1"/>
  <c r="M617" i="113"/>
  <c r="M139" i="57" s="1"/>
  <c r="P638" i="113"/>
  <c r="P160" i="57" s="1"/>
  <c r="G386" i="113"/>
  <c r="G452" i="113" s="1"/>
  <c r="G393" i="113"/>
  <c r="G459" i="113" s="1"/>
  <c r="AA386" i="113"/>
  <c r="AA452" i="113" s="1"/>
  <c r="AE383" i="113"/>
  <c r="AE449" i="113" s="1"/>
  <c r="G404" i="113"/>
  <c r="G421" i="113" s="1"/>
  <c r="O404" i="113"/>
  <c r="O421" i="113" s="1"/>
  <c r="AI400" i="113"/>
  <c r="AI417" i="113" s="1"/>
  <c r="AA284" i="113"/>
  <c r="S305" i="113"/>
  <c r="O338" i="113" s="1"/>
  <c r="K545" i="113"/>
  <c r="W554" i="113"/>
  <c r="G572" i="113" s="1"/>
  <c r="G513" i="113"/>
  <c r="K512" i="113"/>
  <c r="AU511" i="113"/>
  <c r="W529" i="113" s="1"/>
  <c r="AU519" i="113"/>
  <c r="W537" i="113" s="1"/>
  <c r="AA478" i="113"/>
  <c r="K495" i="113" s="1"/>
  <c r="Q63" i="23"/>
  <c r="Q85" i="23" s="1"/>
  <c r="Y85" i="23" s="1"/>
  <c r="AI242" i="113"/>
  <c r="S260" i="113" s="1"/>
  <c r="W432" i="113"/>
  <c r="W437" i="113"/>
  <c r="AA439" i="113"/>
  <c r="AI439" i="113"/>
  <c r="G433" i="113"/>
  <c r="AE239" i="113"/>
  <c r="O257" i="113" s="1"/>
  <c r="AE243" i="113"/>
  <c r="O261" i="113" s="1"/>
  <c r="O441" i="113"/>
  <c r="AE432" i="113"/>
  <c r="W435" i="113"/>
  <c r="I105" i="50"/>
  <c r="Q96" i="91"/>
  <c r="I116" i="50"/>
  <c r="U105" i="50"/>
  <c r="M105" i="50"/>
  <c r="I113" i="91"/>
  <c r="J86" i="57"/>
  <c r="AG98" i="113" s="1"/>
  <c r="I106" i="50"/>
  <c r="I125" i="50"/>
  <c r="I117" i="50"/>
  <c r="Q89" i="91"/>
  <c r="M106" i="50"/>
  <c r="U89" i="91"/>
  <c r="V614" i="113"/>
  <c r="G620" i="113"/>
  <c r="G142" i="57" s="1"/>
  <c r="G630" i="113"/>
  <c r="G152" i="57" s="1"/>
  <c r="G619" i="113"/>
  <c r="G141" i="57" s="1"/>
  <c r="V616" i="113"/>
  <c r="V623" i="113"/>
  <c r="V629" i="113"/>
  <c r="V619" i="113"/>
  <c r="V634" i="113"/>
  <c r="G622" i="113"/>
  <c r="G144" i="57" s="1"/>
  <c r="V638" i="113"/>
  <c r="G636" i="113"/>
  <c r="G158" i="57" s="1"/>
  <c r="V637" i="113"/>
  <c r="G618" i="113"/>
  <c r="G140" i="57" s="1"/>
  <c r="V618" i="113"/>
  <c r="V633" i="113"/>
  <c r="G615" i="113"/>
  <c r="G137" i="57" s="1"/>
  <c r="G621" i="113"/>
  <c r="G143" i="57" s="1"/>
  <c r="G638" i="113"/>
  <c r="G160" i="57" s="1"/>
  <c r="G617" i="113"/>
  <c r="G139" i="57" s="1"/>
  <c r="G616" i="113"/>
  <c r="G138" i="57" s="1"/>
  <c r="V632" i="113"/>
  <c r="V630" i="113"/>
  <c r="G631" i="113"/>
  <c r="G153" i="57" s="1"/>
  <c r="G634" i="113"/>
  <c r="G156" i="57" s="1"/>
  <c r="G632" i="113"/>
  <c r="G154" i="57" s="1"/>
  <c r="G613" i="113"/>
  <c r="G135" i="57" s="1"/>
  <c r="G635" i="113"/>
  <c r="G157" i="57" s="1"/>
  <c r="V615" i="113"/>
  <c r="V631" i="113"/>
  <c r="V621" i="113"/>
  <c r="V628" i="113"/>
  <c r="G628" i="113"/>
  <c r="G150" i="57" s="1"/>
  <c r="V620" i="113"/>
  <c r="G637" i="113"/>
  <c r="G159" i="57" s="1"/>
  <c r="V617" i="113"/>
  <c r="G623" i="113"/>
  <c r="G145" i="57" s="1"/>
  <c r="AC67" i="97"/>
  <c r="I71" i="97" s="1"/>
  <c r="G584" i="113"/>
  <c r="G106" i="57" s="1"/>
  <c r="G581" i="113"/>
  <c r="G103" i="57" s="1"/>
  <c r="G583" i="113"/>
  <c r="G105" i="57" s="1"/>
  <c r="G587" i="113"/>
  <c r="G109" i="57" s="1"/>
  <c r="G585" i="113"/>
  <c r="G107" i="57" s="1"/>
  <c r="S582" i="113"/>
  <c r="S581" i="113"/>
  <c r="S585" i="113"/>
  <c r="S583" i="113"/>
  <c r="G588" i="113"/>
  <c r="G110" i="57" s="1"/>
  <c r="G586" i="113"/>
  <c r="G108" i="57" s="1"/>
  <c r="S587" i="113"/>
  <c r="S590" i="113"/>
  <c r="S586" i="113"/>
  <c r="G580" i="113"/>
  <c r="G102" i="57" s="1"/>
  <c r="S588" i="113"/>
  <c r="S580" i="113"/>
  <c r="P616" i="113"/>
  <c r="P138" i="57" s="1"/>
  <c r="P618" i="113"/>
  <c r="P140" i="57" s="1"/>
  <c r="AE637" i="113"/>
  <c r="Y105" i="23"/>
  <c r="AE631" i="113"/>
  <c r="P628" i="113"/>
  <c r="P150" i="57" s="1"/>
  <c r="P621" i="113"/>
  <c r="P143" i="57" s="1"/>
  <c r="P615" i="113"/>
  <c r="P137" i="57" s="1"/>
  <c r="AE613" i="113"/>
  <c r="AE620" i="113"/>
  <c r="AE635" i="113"/>
  <c r="AE638" i="113"/>
  <c r="AE629" i="113"/>
  <c r="AE636" i="113"/>
  <c r="P629" i="113"/>
  <c r="P151" i="57" s="1"/>
  <c r="AE617" i="113"/>
  <c r="AE623" i="113"/>
  <c r="P632" i="113"/>
  <c r="P154" i="57" s="1"/>
  <c r="P619" i="113"/>
  <c r="P141" i="57" s="1"/>
  <c r="AE628" i="113"/>
  <c r="AE618" i="113"/>
  <c r="AE633" i="113"/>
  <c r="AE615" i="113"/>
  <c r="P630" i="113"/>
  <c r="P152" i="57" s="1"/>
  <c r="P622" i="113"/>
  <c r="P144" i="57" s="1"/>
  <c r="U116" i="50"/>
  <c r="Y116" i="50" s="1"/>
  <c r="U117" i="50"/>
  <c r="M116" i="50"/>
  <c r="M117" i="50"/>
  <c r="AE614" i="113"/>
  <c r="P617" i="113"/>
  <c r="P139" i="57" s="1"/>
  <c r="AE630" i="113"/>
  <c r="AB635" i="113"/>
  <c r="AB634" i="113"/>
  <c r="M613" i="113"/>
  <c r="M135" i="57" s="1"/>
  <c r="M622" i="113"/>
  <c r="M144" i="57" s="1"/>
  <c r="AB638" i="113"/>
  <c r="M623" i="113"/>
  <c r="M145" i="57" s="1"/>
  <c r="M618" i="113"/>
  <c r="M140" i="57" s="1"/>
  <c r="AB632" i="113"/>
  <c r="M614" i="113"/>
  <c r="M136" i="57" s="1"/>
  <c r="AB614" i="113"/>
  <c r="M632" i="113"/>
  <c r="M154" i="57" s="1"/>
  <c r="AB637" i="113"/>
  <c r="M638" i="113"/>
  <c r="M160" i="57" s="1"/>
  <c r="M629" i="113"/>
  <c r="M151" i="57" s="1"/>
  <c r="AB617" i="113"/>
  <c r="M634" i="113"/>
  <c r="M156" i="57" s="1"/>
  <c r="M621" i="113"/>
  <c r="M143" i="57" s="1"/>
  <c r="AB629" i="113"/>
  <c r="P634" i="113"/>
  <c r="P156" i="57" s="1"/>
  <c r="P635" i="113"/>
  <c r="P157" i="57" s="1"/>
  <c r="J619" i="113"/>
  <c r="J141" i="57" s="1"/>
  <c r="Y634" i="113"/>
  <c r="Y623" i="113"/>
  <c r="J623" i="113"/>
  <c r="J145" i="57" s="1"/>
  <c r="J630" i="113"/>
  <c r="J152" i="57" s="1"/>
  <c r="J629" i="113"/>
  <c r="J151" i="57" s="1"/>
  <c r="Y637" i="113"/>
  <c r="Y636" i="113"/>
  <c r="Y618" i="113"/>
  <c r="J615" i="113"/>
  <c r="J137" i="57" s="1"/>
  <c r="Y631" i="113"/>
  <c r="Y630" i="113"/>
  <c r="J617" i="113"/>
  <c r="J139" i="57" s="1"/>
  <c r="Y629" i="113"/>
  <c r="J638" i="113"/>
  <c r="J160" i="57" s="1"/>
  <c r="Y617" i="113"/>
  <c r="Y633" i="113"/>
  <c r="Y615" i="113"/>
  <c r="J633" i="113"/>
  <c r="J155" i="57" s="1"/>
  <c r="J632" i="113"/>
  <c r="J154" i="57" s="1"/>
  <c r="O53" i="32"/>
  <c r="O61" i="32" s="1"/>
  <c r="I65" i="32" s="1"/>
  <c r="I136" i="50"/>
  <c r="I135" i="50"/>
  <c r="Y148" i="152"/>
  <c r="Y169" i="152"/>
  <c r="Q160" i="152"/>
  <c r="Y160" i="152" s="1"/>
  <c r="Q135" i="50"/>
  <c r="Y135" i="50" s="1"/>
  <c r="Q136" i="50"/>
  <c r="Q106" i="50"/>
  <c r="G86" i="57"/>
  <c r="U98" i="113" s="1"/>
  <c r="V96" i="50"/>
  <c r="Q117" i="50"/>
  <c r="Q105" i="50"/>
  <c r="Q125" i="50"/>
  <c r="Y125" i="50" s="1"/>
  <c r="U106" i="50"/>
  <c r="Q126" i="50"/>
  <c r="I126" i="50"/>
  <c r="M110" i="20"/>
  <c r="U110" i="20"/>
  <c r="AC110" i="20" s="1"/>
  <c r="R70" i="149"/>
  <c r="V68" i="149"/>
  <c r="AC121" i="83"/>
  <c r="M121" i="83"/>
  <c r="J12" i="145"/>
  <c r="J11" i="145"/>
  <c r="J10" i="145"/>
  <c r="J13" i="145"/>
  <c r="AB138" i="62"/>
  <c r="Y163" i="62"/>
  <c r="S163" i="62" s="1"/>
  <c r="V163" i="62"/>
  <c r="P163" i="62" s="1"/>
  <c r="R138" i="62"/>
  <c r="V174" i="62"/>
  <c r="P174" i="62" s="1"/>
  <c r="R146" i="62"/>
  <c r="Y174" i="62"/>
  <c r="S174" i="62" s="1"/>
  <c r="V229" i="62"/>
  <c r="P229" i="62" s="1"/>
  <c r="R204" i="62"/>
  <c r="AB204" i="62"/>
  <c r="Y229" i="62"/>
  <c r="S229" i="62" s="1"/>
  <c r="Y178" i="62"/>
  <c r="S178" i="62" s="1"/>
  <c r="V178" i="62"/>
  <c r="P178" i="62" s="1"/>
  <c r="R150" i="62"/>
  <c r="Q76" i="91"/>
  <c r="S76" i="91"/>
  <c r="Q113" i="91"/>
  <c r="Y113" i="91" s="1"/>
  <c r="Z74" i="141"/>
  <c r="Q82" i="141"/>
  <c r="X72" i="109"/>
  <c r="S76" i="132"/>
  <c r="Y51" i="137"/>
  <c r="Y230" i="62"/>
  <c r="S230" i="62" s="1"/>
  <c r="V230" i="62"/>
  <c r="P230" i="62" s="1"/>
  <c r="R205" i="62"/>
  <c r="V161" i="62"/>
  <c r="P161" i="62" s="1"/>
  <c r="Y161" i="62"/>
  <c r="S161" i="62" s="1"/>
  <c r="R136" i="62"/>
  <c r="K64" i="132"/>
  <c r="G64" i="132"/>
  <c r="P24" i="115"/>
  <c r="P66" i="115"/>
  <c r="R66" i="115" s="1"/>
  <c r="H6" i="115" s="1"/>
  <c r="M89" i="91"/>
  <c r="I96" i="91"/>
  <c r="AB137" i="62"/>
  <c r="R137" i="62"/>
  <c r="Y162" i="62"/>
  <c r="S162" i="62" s="1"/>
  <c r="AB202" i="62"/>
  <c r="AB132" i="62"/>
  <c r="AB207" i="62"/>
  <c r="W436" i="113"/>
  <c r="E64" i="23"/>
  <c r="O436" i="113"/>
  <c r="O240" i="113"/>
  <c r="K436" i="113"/>
  <c r="K240" i="113"/>
  <c r="G436" i="113"/>
  <c r="G240" i="113"/>
  <c r="AE436" i="113"/>
  <c r="W236" i="113"/>
  <c r="G254" i="113" s="1"/>
  <c r="AE236" i="113"/>
  <c r="O254" i="113" s="1"/>
  <c r="W244" i="113"/>
  <c r="G262" i="113" s="1"/>
  <c r="AI483" i="113"/>
  <c r="S500" i="113" s="1"/>
  <c r="AE244" i="113"/>
  <c r="O262" i="113" s="1"/>
  <c r="W240" i="113"/>
  <c r="G258" i="113" s="1"/>
  <c r="AI479" i="113"/>
  <c r="S496" i="113" s="1"/>
  <c r="AE240" i="113"/>
  <c r="O258" i="113" s="1"/>
  <c r="U118" i="20"/>
  <c r="AC118" i="20" s="1"/>
  <c r="U113" i="20"/>
  <c r="AC113" i="20" s="1"/>
  <c r="U115" i="20"/>
  <c r="AC115" i="20" s="1"/>
  <c r="Y92" i="142"/>
  <c r="AC91" i="142"/>
  <c r="AB134" i="62"/>
  <c r="V243" i="62"/>
  <c r="P243" i="62" s="1"/>
  <c r="W208" i="62"/>
  <c r="U119" i="83"/>
  <c r="U108" i="20"/>
  <c r="AC108" i="20" s="1"/>
  <c r="M108" i="20"/>
  <c r="V227" i="62"/>
  <c r="P227" i="62" s="1"/>
  <c r="R202" i="62"/>
  <c r="Y227" i="62"/>
  <c r="S227" i="62" s="1"/>
  <c r="Y243" i="62"/>
  <c r="S243" i="62" s="1"/>
  <c r="G76" i="132"/>
  <c r="I89" i="91"/>
  <c r="W438" i="113"/>
  <c r="O438" i="113"/>
  <c r="O242" i="113"/>
  <c r="K438" i="113"/>
  <c r="K242" i="113"/>
  <c r="G438" i="113"/>
  <c r="G242" i="113"/>
  <c r="AE438" i="113"/>
  <c r="E66" i="23"/>
  <c r="I107" i="23" s="1"/>
  <c r="W238" i="113"/>
  <c r="G256" i="113" s="1"/>
  <c r="I62" i="23"/>
  <c r="AE238" i="113"/>
  <c r="O256" i="113" s="1"/>
  <c r="W246" i="113"/>
  <c r="G264" i="113" s="1"/>
  <c r="I70" i="23"/>
  <c r="AE246" i="113"/>
  <c r="O264" i="113" s="1"/>
  <c r="W440" i="113"/>
  <c r="M68" i="23"/>
  <c r="S440" i="113"/>
  <c r="O440" i="113"/>
  <c r="O244" i="113"/>
  <c r="K440" i="113"/>
  <c r="K244" i="113"/>
  <c r="G440" i="113"/>
  <c r="G244" i="113"/>
  <c r="I108" i="26"/>
  <c r="H48" i="136"/>
  <c r="H50" i="136" s="1"/>
  <c r="Q53" i="136" s="1"/>
  <c r="Y53" i="136" s="1"/>
  <c r="I53" i="136"/>
  <c r="R133" i="62"/>
  <c r="Y158" i="62"/>
  <c r="S158" i="62" s="1"/>
  <c r="V158" i="62"/>
  <c r="P158" i="62" s="1"/>
  <c r="AE242" i="113"/>
  <c r="O260" i="113" s="1"/>
  <c r="AE433" i="113"/>
  <c r="AE434" i="113"/>
  <c r="AE435" i="113"/>
  <c r="AE439" i="113"/>
  <c r="AE441" i="113"/>
  <c r="AI441" i="113"/>
  <c r="Q110" i="20"/>
  <c r="Y110" i="20" s="1"/>
  <c r="Q113" i="20"/>
  <c r="Y113" i="20" s="1"/>
  <c r="Y105" i="26"/>
  <c r="Y82" i="142"/>
  <c r="Y91" i="142" s="1"/>
  <c r="Y232" i="62"/>
  <c r="S232" i="62" s="1"/>
  <c r="W217" i="62"/>
  <c r="W218" i="62"/>
  <c r="Q107" i="152"/>
  <c r="G246" i="113"/>
  <c r="G434" i="113"/>
  <c r="G441" i="113"/>
  <c r="K442" i="113"/>
  <c r="M111" i="20"/>
  <c r="I115" i="20"/>
  <c r="U117" i="20"/>
  <c r="AC117" i="20" s="1"/>
  <c r="I104" i="26"/>
  <c r="Y57" i="143"/>
  <c r="Y66" i="143" s="1"/>
  <c r="W206" i="62"/>
  <c r="W220" i="62"/>
  <c r="U116" i="108"/>
  <c r="M119" i="108"/>
  <c r="AC116" i="83"/>
  <c r="Q73" i="51"/>
  <c r="Y73" i="51" s="1"/>
  <c r="P23" i="115"/>
  <c r="P65" i="115"/>
  <c r="R65" i="115" s="1"/>
  <c r="H5" i="115" s="1"/>
  <c r="K238" i="113"/>
  <c r="K245" i="113"/>
  <c r="K246" i="113"/>
  <c r="K433" i="113"/>
  <c r="K434" i="113"/>
  <c r="K435" i="113"/>
  <c r="K439" i="113"/>
  <c r="K441" i="113"/>
  <c r="O442" i="113"/>
  <c r="I116" i="20"/>
  <c r="M118" i="20"/>
  <c r="W83" i="142"/>
  <c r="AA83" i="142" s="1"/>
  <c r="R201" i="62"/>
  <c r="Y226" i="62"/>
  <c r="S226" i="62" s="1"/>
  <c r="W203" i="62"/>
  <c r="O246" i="113"/>
  <c r="O434" i="113"/>
  <c r="S442" i="113"/>
  <c r="I111" i="20"/>
  <c r="I117" i="20"/>
  <c r="Y160" i="62"/>
  <c r="S160" i="62" s="1"/>
  <c r="AB135" i="62"/>
  <c r="Y125" i="108"/>
  <c r="U125" i="108" s="1"/>
  <c r="Y124" i="108"/>
  <c r="U124" i="108" s="1"/>
  <c r="Q126" i="108"/>
  <c r="M126" i="108" s="1"/>
  <c r="Y126" i="108"/>
  <c r="U126" i="108" s="1"/>
  <c r="Q124" i="108"/>
  <c r="AC124" i="108" s="1"/>
  <c r="Y123" i="108"/>
  <c r="Q120" i="83"/>
  <c r="Q119" i="83"/>
  <c r="Y120" i="83"/>
  <c r="U120" i="83" s="1"/>
  <c r="I124" i="35"/>
  <c r="Q83" i="43"/>
  <c r="D1" i="139"/>
  <c r="H7" i="133"/>
  <c r="V160" i="62"/>
  <c r="P160" i="62" s="1"/>
  <c r="R135" i="62"/>
  <c r="W213" i="62"/>
  <c r="R132" i="62"/>
  <c r="V157" i="62"/>
  <c r="P157" i="62" s="1"/>
  <c r="Y157" i="62"/>
  <c r="S157" i="62" s="1"/>
  <c r="J137" i="108"/>
  <c r="AC118" i="83"/>
  <c r="AC117" i="83"/>
  <c r="AC115" i="83"/>
  <c r="Q94" i="151"/>
  <c r="Y94" i="151" s="1"/>
  <c r="I94" i="151"/>
  <c r="Y185" i="152"/>
  <c r="Y134" i="152"/>
  <c r="AA442" i="113"/>
  <c r="M117" i="20"/>
  <c r="I118" i="20"/>
  <c r="I113" i="20"/>
  <c r="Y103" i="65"/>
  <c r="M51" i="137"/>
  <c r="I55" i="137" s="1"/>
  <c r="Y44" i="138"/>
  <c r="W219" i="62"/>
  <c r="W214" i="62"/>
  <c r="Y61" i="25"/>
  <c r="Y47" i="140"/>
  <c r="AB147" i="62"/>
  <c r="Y89" i="48"/>
  <c r="I73" i="147"/>
  <c r="Y130" i="152"/>
  <c r="AB185" i="62"/>
  <c r="Y74" i="51"/>
  <c r="Q199" i="152"/>
  <c r="Y199" i="152" s="1"/>
  <c r="AB186" i="62"/>
  <c r="AB177" i="62" s="1"/>
  <c r="AC116" i="108"/>
  <c r="Y115" i="3"/>
  <c r="Q108" i="152"/>
  <c r="Y108" i="152" s="1"/>
  <c r="AC76" i="147"/>
  <c r="H146" i="41"/>
  <c r="H144" i="41"/>
  <c r="Q173" i="152"/>
  <c r="Y122" i="152" s="1"/>
  <c r="Q198" i="152"/>
  <c r="H138" i="41"/>
  <c r="H143" i="41"/>
  <c r="G10" i="133"/>
  <c r="H6" i="133"/>
  <c r="G11" i="133"/>
  <c r="O108" i="41"/>
  <c r="H115" i="41"/>
  <c r="H110" i="41"/>
  <c r="Y96" i="91"/>
  <c r="O116" i="41"/>
  <c r="H116" i="41"/>
  <c r="H113" i="41"/>
  <c r="H112" i="41"/>
  <c r="I166" i="41" s="1"/>
  <c r="O112" i="41"/>
  <c r="O114" i="41"/>
  <c r="H111" i="41"/>
  <c r="O110" i="41"/>
  <c r="O117" i="41"/>
  <c r="H108" i="41"/>
  <c r="O113" i="41"/>
  <c r="R24" i="115"/>
  <c r="G6" i="115" s="1"/>
  <c r="R23" i="115"/>
  <c r="G5" i="115" s="1"/>
  <c r="AB201" i="62"/>
  <c r="AB133" i="62"/>
  <c r="AB203" i="62"/>
  <c r="Y74" i="48"/>
  <c r="Y94" i="47"/>
  <c r="AC128" i="108"/>
  <c r="AC122" i="108"/>
  <c r="AC120" i="108"/>
  <c r="Y76" i="51"/>
  <c r="Y166" i="41"/>
  <c r="AC127" i="108"/>
  <c r="AC118" i="108"/>
  <c r="Y73" i="48"/>
  <c r="Y75" i="48"/>
  <c r="AC121" i="108"/>
  <c r="N66" i="147"/>
  <c r="N63" i="147"/>
  <c r="N64" i="147"/>
  <c r="N67" i="147"/>
  <c r="N65" i="147"/>
  <c r="AC65" i="147"/>
  <c r="AC63" i="147"/>
  <c r="AC66" i="147"/>
  <c r="N68" i="147"/>
  <c r="AC64" i="147"/>
  <c r="AC68" i="147"/>
  <c r="AC67" i="147"/>
  <c r="Y107" i="65"/>
  <c r="Y105" i="65"/>
  <c r="H32" i="145"/>
  <c r="AB145" i="62"/>
  <c r="AB213" i="62"/>
  <c r="Y104" i="65"/>
  <c r="AB146" i="62"/>
  <c r="AB148" i="62"/>
  <c r="H31" i="145"/>
  <c r="V66" i="149"/>
  <c r="H29" i="145"/>
  <c r="H35" i="145"/>
  <c r="Y75" i="51"/>
  <c r="Y109" i="65"/>
  <c r="Y106" i="65"/>
  <c r="Y104" i="26"/>
  <c r="Q83" i="144"/>
  <c r="H34" i="145"/>
  <c r="AB143" i="62"/>
  <c r="AB215" i="62"/>
  <c r="AB208" i="62"/>
  <c r="Y72" i="48"/>
  <c r="Y78" i="47"/>
  <c r="V69" i="149"/>
  <c r="Y102" i="65"/>
  <c r="Y103" i="26"/>
  <c r="H30" i="145"/>
  <c r="AB205" i="62"/>
  <c r="AB217" i="62"/>
  <c r="AB136" i="62"/>
  <c r="Y79" i="47"/>
  <c r="AC125" i="108"/>
  <c r="N78" i="147"/>
  <c r="H28" i="145"/>
  <c r="Y108" i="65"/>
  <c r="AB150" i="62"/>
  <c r="AB216" i="62"/>
  <c r="Y76" i="48"/>
  <c r="H12" i="115"/>
  <c r="G11" i="115"/>
  <c r="H11" i="115"/>
  <c r="G12" i="115"/>
  <c r="Q89" i="23" l="1"/>
  <c r="Y89" i="23" s="1"/>
  <c r="AB153" i="57"/>
  <c r="AI327" i="113"/>
  <c r="I108" i="23"/>
  <c r="Q102" i="23"/>
  <c r="Y102" i="23" s="1"/>
  <c r="W325" i="113"/>
  <c r="AI319" i="113"/>
  <c r="AE325" i="113"/>
  <c r="S320" i="113"/>
  <c r="O320" i="113"/>
  <c r="I102" i="23"/>
  <c r="Q86" i="23"/>
  <c r="Y86" i="23" s="1"/>
  <c r="AA325" i="113"/>
  <c r="I109" i="23"/>
  <c r="S327" i="113"/>
  <c r="Q83" i="23"/>
  <c r="Y83" i="23" s="1"/>
  <c r="S655" i="113"/>
  <c r="S177" i="57" s="1"/>
  <c r="AE319" i="113"/>
  <c r="AE327" i="113"/>
  <c r="AE326" i="113"/>
  <c r="Y124" i="87"/>
  <c r="Q144" i="87" s="1"/>
  <c r="Q87" i="23"/>
  <c r="Y87" i="23" s="1"/>
  <c r="I89" i="23"/>
  <c r="Q60" i="23"/>
  <c r="I91" i="23"/>
  <c r="V653" i="113"/>
  <c r="V175" i="57" s="1"/>
  <c r="Q104" i="23"/>
  <c r="Y104" i="23" s="1"/>
  <c r="Y114" i="87"/>
  <c r="Q126" i="87"/>
  <c r="U116" i="87" s="1"/>
  <c r="S646" i="113"/>
  <c r="S168" i="57" s="1"/>
  <c r="Q103" i="23"/>
  <c r="Y103" i="23" s="1"/>
  <c r="Q128" i="87"/>
  <c r="U118" i="87" s="1"/>
  <c r="S106" i="57"/>
  <c r="Q109" i="23"/>
  <c r="Y109" i="23" s="1"/>
  <c r="S111" i="57"/>
  <c r="O325" i="113"/>
  <c r="Q84" i="23"/>
  <c r="Y84" i="23" s="1"/>
  <c r="I83" i="23"/>
  <c r="Q107" i="23"/>
  <c r="Y107" i="23" s="1"/>
  <c r="M653" i="113"/>
  <c r="M175" i="57" s="1"/>
  <c r="S326" i="113"/>
  <c r="AI325" i="113"/>
  <c r="S325" i="113"/>
  <c r="Q91" i="23"/>
  <c r="Y91" i="23" s="1"/>
  <c r="AB652" i="113"/>
  <c r="AB174" i="57" s="1"/>
  <c r="V648" i="113"/>
  <c r="V170" i="57" s="1"/>
  <c r="AB158" i="57"/>
  <c r="I110" i="23"/>
  <c r="S654" i="113"/>
  <c r="S176" i="57" s="1"/>
  <c r="V654" i="113"/>
  <c r="V176" i="57" s="1"/>
  <c r="Y123" i="87"/>
  <c r="Q143" i="87" s="1"/>
  <c r="AI326" i="113"/>
  <c r="AA326" i="113"/>
  <c r="W326" i="113"/>
  <c r="K327" i="113"/>
  <c r="G327" i="113"/>
  <c r="AA320" i="113"/>
  <c r="W320" i="113"/>
  <c r="Y654" i="113"/>
  <c r="Y176" i="57" s="1"/>
  <c r="S318" i="113"/>
  <c r="O318" i="113"/>
  <c r="P647" i="113"/>
  <c r="P169" i="57" s="1"/>
  <c r="S635" i="113"/>
  <c r="S157" i="57" s="1"/>
  <c r="O319" i="113"/>
  <c r="S319" i="113"/>
  <c r="K318" i="113"/>
  <c r="G318" i="113"/>
  <c r="I88" i="23"/>
  <c r="V651" i="113"/>
  <c r="V173" i="57" s="1"/>
  <c r="W318" i="113"/>
  <c r="AA318" i="113"/>
  <c r="V158" i="57"/>
  <c r="I87" i="23"/>
  <c r="G319" i="113"/>
  <c r="K319" i="113"/>
  <c r="I104" i="23"/>
  <c r="P653" i="113"/>
  <c r="P175" i="57" s="1"/>
  <c r="K325" i="113"/>
  <c r="G326" i="113"/>
  <c r="AA319" i="113"/>
  <c r="W319" i="113"/>
  <c r="Y125" i="87"/>
  <c r="Q145" i="87" s="1"/>
  <c r="G320" i="113"/>
  <c r="K320" i="113"/>
  <c r="S651" i="113"/>
  <c r="S173" i="57" s="1"/>
  <c r="K326" i="113"/>
  <c r="AA327" i="113"/>
  <c r="W327" i="113"/>
  <c r="G317" i="113"/>
  <c r="AE318" i="113"/>
  <c r="AI318" i="113"/>
  <c r="S663" i="113"/>
  <c r="S185" i="57" s="1"/>
  <c r="AB152" i="57"/>
  <c r="S666" i="113"/>
  <c r="S188" i="57" s="1"/>
  <c r="G325" i="113"/>
  <c r="Y115" i="87"/>
  <c r="O323" i="113"/>
  <c r="S323" i="113"/>
  <c r="S648" i="113"/>
  <c r="S170" i="57" s="1"/>
  <c r="G655" i="113"/>
  <c r="G177" i="57" s="1"/>
  <c r="O326" i="113"/>
  <c r="AB161" i="62"/>
  <c r="AB158" i="62"/>
  <c r="AB160" i="62"/>
  <c r="AB174" i="62"/>
  <c r="AB228" i="62"/>
  <c r="AB244" i="62"/>
  <c r="AB233" i="62"/>
  <c r="AB230" i="62"/>
  <c r="AB243" i="62"/>
  <c r="AB162" i="62"/>
  <c r="AB229" i="62"/>
  <c r="AB241" i="62"/>
  <c r="AB163" i="62"/>
  <c r="AB173" i="62"/>
  <c r="AB172" i="62"/>
  <c r="AB226" i="62"/>
  <c r="AB227" i="62"/>
  <c r="AB157" i="62"/>
  <c r="AB232" i="62"/>
  <c r="AB159" i="62"/>
  <c r="Y113" i="87"/>
  <c r="Y126" i="87"/>
  <c r="Q136" i="87" s="1"/>
  <c r="Y127" i="87"/>
  <c r="Q147" i="87" s="1"/>
  <c r="Y665" i="113"/>
  <c r="Y187" i="57" s="1"/>
  <c r="Q125" i="87"/>
  <c r="U115" i="87" s="1"/>
  <c r="Q113" i="87"/>
  <c r="Q123" i="87"/>
  <c r="U113" i="87" s="1"/>
  <c r="Y667" i="113"/>
  <c r="Y189" i="57" s="1"/>
  <c r="AE156" i="57"/>
  <c r="S649" i="113"/>
  <c r="S171" i="57" s="1"/>
  <c r="V649" i="113"/>
  <c r="V171" i="57" s="1"/>
  <c r="AB138" i="57"/>
  <c r="K322" i="113"/>
  <c r="G322" i="113"/>
  <c r="Y117" i="87"/>
  <c r="Q137" i="87" s="1"/>
  <c r="Y118" i="87"/>
  <c r="Y128" i="87"/>
  <c r="AE141" i="57"/>
  <c r="Y652" i="113"/>
  <c r="Y174" i="57" s="1"/>
  <c r="K323" i="113"/>
  <c r="G323" i="113"/>
  <c r="S317" i="113"/>
  <c r="O317" i="113"/>
  <c r="Q124" i="87"/>
  <c r="U114" i="87" s="1"/>
  <c r="AB150" i="57"/>
  <c r="S661" i="113"/>
  <c r="S183" i="57" s="1"/>
  <c r="S324" i="113"/>
  <c r="O324" i="113"/>
  <c r="Y150" i="57"/>
  <c r="M661" i="113"/>
  <c r="M183" i="57" s="1"/>
  <c r="Q114" i="87"/>
  <c r="K317" i="113"/>
  <c r="Q127" i="87"/>
  <c r="U117" i="87" s="1"/>
  <c r="M646" i="113"/>
  <c r="M168" i="57" s="1"/>
  <c r="Y135" i="57"/>
  <c r="P646" i="113"/>
  <c r="P168" i="57" s="1"/>
  <c r="S321" i="113"/>
  <c r="O321" i="113"/>
  <c r="I111" i="23"/>
  <c r="I92" i="23"/>
  <c r="Y157" i="57"/>
  <c r="M668" i="113"/>
  <c r="M190" i="57" s="1"/>
  <c r="AA324" i="113"/>
  <c r="W324" i="113"/>
  <c r="O322" i="113"/>
  <c r="S322" i="113"/>
  <c r="Q116" i="87"/>
  <c r="Q118" i="87"/>
  <c r="AA317" i="113"/>
  <c r="W317" i="113"/>
  <c r="AA323" i="113"/>
  <c r="W323" i="113"/>
  <c r="I84" i="23"/>
  <c r="I103" i="23"/>
  <c r="Y154" i="57"/>
  <c r="M665" i="113"/>
  <c r="M187" i="57" s="1"/>
  <c r="G324" i="113"/>
  <c r="K324" i="113"/>
  <c r="AA321" i="113"/>
  <c r="W321" i="113"/>
  <c r="AE322" i="113"/>
  <c r="AI322" i="113"/>
  <c r="V646" i="113"/>
  <c r="V168" i="57" s="1"/>
  <c r="AI321" i="113"/>
  <c r="AE321" i="113"/>
  <c r="Q115" i="87"/>
  <c r="M60" i="23"/>
  <c r="V157" i="57"/>
  <c r="G668" i="113"/>
  <c r="G190" i="57" s="1"/>
  <c r="AE317" i="113"/>
  <c r="AI317" i="113"/>
  <c r="W322" i="113"/>
  <c r="AA322" i="113"/>
  <c r="M671" i="113"/>
  <c r="M193" i="57" s="1"/>
  <c r="Y160" i="57"/>
  <c r="G321" i="113"/>
  <c r="K321" i="113"/>
  <c r="AE323" i="113"/>
  <c r="AE324" i="113"/>
  <c r="AI324" i="113"/>
  <c r="AI323" i="113"/>
  <c r="AH637" i="113"/>
  <c r="AH159" i="57" s="1"/>
  <c r="S631" i="113"/>
  <c r="S153" i="57" s="1"/>
  <c r="AC89" i="91"/>
  <c r="Y105" i="50"/>
  <c r="S629" i="113"/>
  <c r="S151" i="57" s="1"/>
  <c r="Y89" i="91"/>
  <c r="S638" i="113"/>
  <c r="S160" i="57" s="1"/>
  <c r="Y117" i="50"/>
  <c r="AH632" i="113"/>
  <c r="AH154" i="57" s="1"/>
  <c r="AH631" i="113"/>
  <c r="AE664" i="113" s="1"/>
  <c r="AE186" i="57" s="1"/>
  <c r="S634" i="113"/>
  <c r="S156" i="57" s="1"/>
  <c r="AH635" i="113"/>
  <c r="AH157" i="57" s="1"/>
  <c r="S632" i="113"/>
  <c r="S154" i="57" s="1"/>
  <c r="S637" i="113"/>
  <c r="S159" i="57" s="1"/>
  <c r="Y126" i="50"/>
  <c r="S633" i="113"/>
  <c r="S155" i="57" s="1"/>
  <c r="AH634" i="113"/>
  <c r="AH156" i="57" s="1"/>
  <c r="Y136" i="50"/>
  <c r="S628" i="113"/>
  <c r="S150" i="57" s="1"/>
  <c r="AH636" i="113"/>
  <c r="AH630" i="113"/>
  <c r="S630" i="113"/>
  <c r="S152" i="57" s="1"/>
  <c r="AH633" i="113"/>
  <c r="AH638" i="113"/>
  <c r="AH629" i="113"/>
  <c r="AH628" i="113"/>
  <c r="AH150" i="57" s="1"/>
  <c r="S636" i="113"/>
  <c r="S158" i="57" s="1"/>
  <c r="R214" i="62"/>
  <c r="V242" i="62"/>
  <c r="P242" i="62" s="1"/>
  <c r="Y242" i="62"/>
  <c r="S242" i="62" s="1"/>
  <c r="AB214" i="62"/>
  <c r="AB242" i="62" s="1"/>
  <c r="AE139" i="57"/>
  <c r="AB650" i="113"/>
  <c r="AB172" i="57" s="1"/>
  <c r="Y650" i="113"/>
  <c r="Y172" i="57" s="1"/>
  <c r="G603" i="113"/>
  <c r="G125" i="57" s="1"/>
  <c r="S109" i="57"/>
  <c r="G661" i="113"/>
  <c r="G183" i="57" s="1"/>
  <c r="V150" i="57"/>
  <c r="V155" i="57"/>
  <c r="G666" i="113"/>
  <c r="G188" i="57" s="1"/>
  <c r="V141" i="57"/>
  <c r="J652" i="113"/>
  <c r="J174" i="57" s="1"/>
  <c r="G652" i="113"/>
  <c r="G174" i="57" s="1"/>
  <c r="R219" i="62"/>
  <c r="Y247" i="62"/>
  <c r="S247" i="62" s="1"/>
  <c r="V247" i="62"/>
  <c r="P247" i="62" s="1"/>
  <c r="N137" i="108"/>
  <c r="F137" i="108"/>
  <c r="J145" i="108"/>
  <c r="U123" i="108"/>
  <c r="AC123" i="108"/>
  <c r="U51" i="137"/>
  <c r="AC51" i="137" s="1"/>
  <c r="Q55" i="137" s="1"/>
  <c r="Y55" i="137" s="1"/>
  <c r="Y109" i="152"/>
  <c r="Y82" i="141"/>
  <c r="M664" i="113"/>
  <c r="M186" i="57" s="1"/>
  <c r="Y153" i="57"/>
  <c r="M656" i="113"/>
  <c r="M178" i="57" s="1"/>
  <c r="P656" i="113"/>
  <c r="P178" i="57" s="1"/>
  <c r="Y145" i="57"/>
  <c r="AB160" i="57"/>
  <c r="S671" i="113"/>
  <c r="S193" i="57" s="1"/>
  <c r="Y647" i="113"/>
  <c r="Y169" i="57" s="1"/>
  <c r="AB647" i="113"/>
  <c r="AB169" i="57" s="1"/>
  <c r="AE136" i="57"/>
  <c r="Y648" i="113"/>
  <c r="Y170" i="57" s="1"/>
  <c r="AE137" i="57"/>
  <c r="AB648" i="113"/>
  <c r="AB170" i="57" s="1"/>
  <c r="G654" i="113"/>
  <c r="G176" i="57" s="1"/>
  <c r="V143" i="57"/>
  <c r="J654" i="113"/>
  <c r="J176" i="57" s="1"/>
  <c r="V152" i="57"/>
  <c r="G663" i="113"/>
  <c r="G185" i="57" s="1"/>
  <c r="G651" i="113"/>
  <c r="G173" i="57" s="1"/>
  <c r="J651" i="113"/>
  <c r="J173" i="57" s="1"/>
  <c r="V140" i="57"/>
  <c r="G662" i="113"/>
  <c r="G184" i="57" s="1"/>
  <c r="V151" i="57"/>
  <c r="M667" i="113"/>
  <c r="M189" i="57" s="1"/>
  <c r="Y156" i="57"/>
  <c r="M652" i="113"/>
  <c r="M174" i="57" s="1"/>
  <c r="P652" i="113"/>
  <c r="P174" i="57" s="1"/>
  <c r="J656" i="113"/>
  <c r="J178" i="57" s="1"/>
  <c r="G656" i="113"/>
  <c r="G178" i="57" s="1"/>
  <c r="V145" i="57"/>
  <c r="AC114" i="87"/>
  <c r="Y155" i="57"/>
  <c r="M666" i="113"/>
  <c r="M188" i="57" s="1"/>
  <c r="M651" i="113"/>
  <c r="M173" i="57" s="1"/>
  <c r="Y140" i="57"/>
  <c r="P651" i="113"/>
  <c r="P173" i="57" s="1"/>
  <c r="Y651" i="113"/>
  <c r="Y173" i="57" s="1"/>
  <c r="AE140" i="57"/>
  <c r="AB651" i="113"/>
  <c r="AB173" i="57" s="1"/>
  <c r="Y662" i="113"/>
  <c r="Y184" i="57" s="1"/>
  <c r="AE151" i="57"/>
  <c r="Y664" i="113"/>
  <c r="Y186" i="57" s="1"/>
  <c r="AE153" i="57"/>
  <c r="Y649" i="113"/>
  <c r="Y171" i="57" s="1"/>
  <c r="G596" i="113"/>
  <c r="G118" i="57" s="1"/>
  <c r="S102" i="57"/>
  <c r="G599" i="113"/>
  <c r="G121" i="57" s="1"/>
  <c r="S105" i="57"/>
  <c r="V137" i="57"/>
  <c r="J648" i="113"/>
  <c r="J170" i="57" s="1"/>
  <c r="G648" i="113"/>
  <c r="G170" i="57" s="1"/>
  <c r="G670" i="113"/>
  <c r="G192" i="57" s="1"/>
  <c r="J655" i="113"/>
  <c r="J177" i="57" s="1"/>
  <c r="V159" i="57"/>
  <c r="G649" i="113"/>
  <c r="G171" i="57" s="1"/>
  <c r="J649" i="113"/>
  <c r="J171" i="57" s="1"/>
  <c r="V138" i="57"/>
  <c r="AB649" i="113"/>
  <c r="AB171" i="57" s="1"/>
  <c r="J646" i="113"/>
  <c r="J168" i="57" s="1"/>
  <c r="S670" i="113"/>
  <c r="S192" i="57" s="1"/>
  <c r="AB159" i="57"/>
  <c r="Q97" i="147"/>
  <c r="N73" i="147"/>
  <c r="Y97" i="147" s="1"/>
  <c r="AB178" i="62"/>
  <c r="AB245" i="62"/>
  <c r="AB176" i="62"/>
  <c r="AB175" i="62"/>
  <c r="AB156" i="62"/>
  <c r="Q158" i="41"/>
  <c r="Y158" i="41" s="1"/>
  <c r="Q159" i="41"/>
  <c r="Y159" i="41" s="1"/>
  <c r="AB218" i="62"/>
  <c r="AB246" i="62" s="1"/>
  <c r="V246" i="62"/>
  <c r="P246" i="62" s="1"/>
  <c r="R218" i="62"/>
  <c r="Y246" i="62"/>
  <c r="S246" i="62" s="1"/>
  <c r="I60" i="23"/>
  <c r="AH621" i="113"/>
  <c r="S615" i="113"/>
  <c r="S137" i="57" s="1"/>
  <c r="AH619" i="113"/>
  <c r="S623" i="113"/>
  <c r="S145" i="57" s="1"/>
  <c r="AH614" i="113"/>
  <c r="S619" i="113"/>
  <c r="S141" i="57" s="1"/>
  <c r="AH623" i="113"/>
  <c r="AH620" i="113"/>
  <c r="S621" i="113"/>
  <c r="S143" i="57" s="1"/>
  <c r="AH622" i="113"/>
  <c r="AH615" i="113"/>
  <c r="S620" i="113"/>
  <c r="S142" i="57" s="1"/>
  <c r="AH618" i="113"/>
  <c r="AH617" i="113"/>
  <c r="S622" i="113"/>
  <c r="S144" i="57" s="1"/>
  <c r="AH613" i="113"/>
  <c r="S618" i="113"/>
  <c r="S140" i="57" s="1"/>
  <c r="AH616" i="113"/>
  <c r="S613" i="113"/>
  <c r="S135" i="57" s="1"/>
  <c r="S614" i="113"/>
  <c r="S136" i="57" s="1"/>
  <c r="S616" i="113"/>
  <c r="S138" i="57" s="1"/>
  <c r="S617" i="113"/>
  <c r="S139" i="57" s="1"/>
  <c r="M650" i="113"/>
  <c r="M172" i="57" s="1"/>
  <c r="Y139" i="57"/>
  <c r="P650" i="113"/>
  <c r="P172" i="57" s="1"/>
  <c r="Y158" i="57"/>
  <c r="M654" i="113"/>
  <c r="M176" i="57" s="1"/>
  <c r="M669" i="113"/>
  <c r="M191" i="57" s="1"/>
  <c r="AB151" i="57"/>
  <c r="S662" i="113"/>
  <c r="S184" i="57" s="1"/>
  <c r="S647" i="113"/>
  <c r="S169" i="57" s="1"/>
  <c r="V647" i="113"/>
  <c r="V169" i="57" s="1"/>
  <c r="AB136" i="57"/>
  <c r="V652" i="113"/>
  <c r="V174" i="57" s="1"/>
  <c r="S667" i="113"/>
  <c r="S189" i="57" s="1"/>
  <c r="S652" i="113"/>
  <c r="S174" i="57" s="1"/>
  <c r="AB156" i="57"/>
  <c r="Y661" i="113"/>
  <c r="Y183" i="57" s="1"/>
  <c r="AE150" i="57"/>
  <c r="AE160" i="57"/>
  <c r="Y671" i="113"/>
  <c r="Y193" i="57" s="1"/>
  <c r="AE159" i="57"/>
  <c r="AB655" i="113"/>
  <c r="AB177" i="57" s="1"/>
  <c r="Y655" i="113"/>
  <c r="Y177" i="57" s="1"/>
  <c r="Y670" i="113"/>
  <c r="Y192" i="57" s="1"/>
  <c r="S110" i="57"/>
  <c r="G604" i="113"/>
  <c r="G126" i="57" s="1"/>
  <c r="G601" i="113"/>
  <c r="G123" i="57" s="1"/>
  <c r="S107" i="57"/>
  <c r="G650" i="113"/>
  <c r="G172" i="57" s="1"/>
  <c r="V139" i="57"/>
  <c r="J650" i="113"/>
  <c r="J172" i="57" s="1"/>
  <c r="G646" i="113"/>
  <c r="G168" i="57" s="1"/>
  <c r="R206" i="62"/>
  <c r="Y231" i="62"/>
  <c r="S231" i="62" s="1"/>
  <c r="V231" i="62"/>
  <c r="P231" i="62" s="1"/>
  <c r="AE155" i="57"/>
  <c r="Y666" i="113"/>
  <c r="Y188" i="57" s="1"/>
  <c r="G665" i="113"/>
  <c r="G187" i="57" s="1"/>
  <c r="V154" i="57"/>
  <c r="AB206" i="62"/>
  <c r="AB231" i="62" s="1"/>
  <c r="I158" i="41"/>
  <c r="Y198" i="152"/>
  <c r="Y147" i="152"/>
  <c r="V241" i="62"/>
  <c r="P241" i="62" s="1"/>
  <c r="Y241" i="62"/>
  <c r="S241" i="62" s="1"/>
  <c r="R213" i="62"/>
  <c r="R217" i="62"/>
  <c r="V245" i="62"/>
  <c r="P245" i="62" s="1"/>
  <c r="Y245" i="62"/>
  <c r="S245" i="62" s="1"/>
  <c r="K136" i="83"/>
  <c r="I105" i="23"/>
  <c r="E60" i="23"/>
  <c r="I86" i="23"/>
  <c r="Y106" i="50"/>
  <c r="Y159" i="57"/>
  <c r="M670" i="113"/>
  <c r="M192" i="57" s="1"/>
  <c r="P655" i="113"/>
  <c r="P177" i="57" s="1"/>
  <c r="M655" i="113"/>
  <c r="M177" i="57" s="1"/>
  <c r="AB157" i="57"/>
  <c r="S653" i="113"/>
  <c r="S175" i="57" s="1"/>
  <c r="S668" i="113"/>
  <c r="S190" i="57" s="1"/>
  <c r="AE157" i="57"/>
  <c r="Y668" i="113"/>
  <c r="Y190" i="57" s="1"/>
  <c r="G597" i="113"/>
  <c r="G119" i="57" s="1"/>
  <c r="S103" i="57"/>
  <c r="G671" i="113"/>
  <c r="G193" i="57" s="1"/>
  <c r="V160" i="57"/>
  <c r="Q83" i="149"/>
  <c r="V70" i="149"/>
  <c r="Y83" i="149" s="1"/>
  <c r="Y173" i="152"/>
  <c r="Q158" i="152"/>
  <c r="Y158" i="152" s="1"/>
  <c r="R203" i="62"/>
  <c r="Y228" i="62"/>
  <c r="S228" i="62" s="1"/>
  <c r="V228" i="62"/>
  <c r="P228" i="62" s="1"/>
  <c r="J146" i="108"/>
  <c r="R208" i="62"/>
  <c r="Y233" i="62"/>
  <c r="S233" i="62" s="1"/>
  <c r="V233" i="62"/>
  <c r="P233" i="62" s="1"/>
  <c r="AC92" i="142"/>
  <c r="M662" i="113"/>
  <c r="M184" i="57" s="1"/>
  <c r="M647" i="113"/>
  <c r="M169" i="57" s="1"/>
  <c r="Y151" i="57"/>
  <c r="AB154" i="57"/>
  <c r="S665" i="113"/>
  <c r="S187" i="57" s="1"/>
  <c r="AE142" i="57"/>
  <c r="AB653" i="113"/>
  <c r="AB175" i="57" s="1"/>
  <c r="Y653" i="113"/>
  <c r="Y175" i="57" s="1"/>
  <c r="G602" i="113"/>
  <c r="G124" i="57" s="1"/>
  <c r="S108" i="57"/>
  <c r="S104" i="57"/>
  <c r="G598" i="113"/>
  <c r="G120" i="57" s="1"/>
  <c r="M649" i="113"/>
  <c r="M171" i="57" s="1"/>
  <c r="G653" i="113"/>
  <c r="G175" i="57" s="1"/>
  <c r="V142" i="57"/>
  <c r="J653" i="113"/>
  <c r="J175" i="57" s="1"/>
  <c r="V655" i="113"/>
  <c r="V177" i="57" s="1"/>
  <c r="V656" i="113"/>
  <c r="V178" i="57" s="1"/>
  <c r="M120" i="83"/>
  <c r="AC120" i="83"/>
  <c r="Q111" i="23"/>
  <c r="Y111" i="23" s="1"/>
  <c r="Q92" i="23"/>
  <c r="Y92" i="23" s="1"/>
  <c r="Y152" i="57"/>
  <c r="M663" i="113"/>
  <c r="M185" i="57" s="1"/>
  <c r="J138" i="108"/>
  <c r="M124" i="108"/>
  <c r="M648" i="113"/>
  <c r="M170" i="57" s="1"/>
  <c r="Y137" i="57"/>
  <c r="P648" i="113"/>
  <c r="P170" i="57" s="1"/>
  <c r="AE158" i="57"/>
  <c r="AB654" i="113"/>
  <c r="AB176" i="57" s="1"/>
  <c r="Y669" i="113"/>
  <c r="Y191" i="57" s="1"/>
  <c r="V153" i="57"/>
  <c r="G664" i="113"/>
  <c r="G186" i="57" s="1"/>
  <c r="AC126" i="108"/>
  <c r="J14" i="145"/>
  <c r="AB171" i="62"/>
  <c r="AB219" i="62"/>
  <c r="AB247" i="62" s="1"/>
  <c r="K129" i="83"/>
  <c r="AC119" i="83"/>
  <c r="M119" i="83"/>
  <c r="Y248" i="62"/>
  <c r="S248" i="62" s="1"/>
  <c r="AB220" i="62"/>
  <c r="AB248" i="62" s="1"/>
  <c r="R220" i="62"/>
  <c r="V248" i="62"/>
  <c r="P248" i="62" s="1"/>
  <c r="I90" i="23"/>
  <c r="S650" i="113"/>
  <c r="S172" i="57" s="1"/>
  <c r="AB139" i="57"/>
  <c r="V650" i="113"/>
  <c r="V172" i="57" s="1"/>
  <c r="Y663" i="113"/>
  <c r="Y185" i="57" s="1"/>
  <c r="AE152" i="57"/>
  <c r="AE145" i="57"/>
  <c r="Y656" i="113"/>
  <c r="Y178" i="57" s="1"/>
  <c r="AB656" i="113"/>
  <c r="AB178" i="57" s="1"/>
  <c r="AE135" i="57"/>
  <c r="AB646" i="113"/>
  <c r="AB168" i="57" s="1"/>
  <c r="Y646" i="113"/>
  <c r="Y168" i="57" s="1"/>
  <c r="G606" i="113"/>
  <c r="G128" i="57" s="1"/>
  <c r="S112" i="57"/>
  <c r="P649" i="113"/>
  <c r="P171" i="57" s="1"/>
  <c r="V156" i="57"/>
  <c r="G667" i="113"/>
  <c r="G189" i="57" s="1"/>
  <c r="V136" i="57"/>
  <c r="J647" i="113"/>
  <c r="J169" i="57" s="1"/>
  <c r="G647" i="113"/>
  <c r="G169" i="57" s="1"/>
  <c r="S656" i="113"/>
  <c r="S178" i="57" s="1"/>
  <c r="P654" i="113"/>
  <c r="P176" i="57" s="1"/>
  <c r="I159" i="41"/>
  <c r="J7" i="115"/>
  <c r="J11" i="115" s="1"/>
  <c r="AC115" i="87" l="1"/>
  <c r="Q134" i="87"/>
  <c r="Q135" i="87"/>
  <c r="AC117" i="87"/>
  <c r="Q133" i="87"/>
  <c r="AC113" i="87"/>
  <c r="AE667" i="113"/>
  <c r="AE189" i="57" s="1"/>
  <c r="AC116" i="87"/>
  <c r="Q146" i="87"/>
  <c r="Q138" i="87"/>
  <c r="AE670" i="113"/>
  <c r="AE192" i="57" s="1"/>
  <c r="AE665" i="113"/>
  <c r="AE187" i="57" s="1"/>
  <c r="AC118" i="87"/>
  <c r="Q148" i="87"/>
  <c r="AH153" i="57"/>
  <c r="AE661" i="113"/>
  <c r="AE183" i="57" s="1"/>
  <c r="AE668" i="113"/>
  <c r="AE190" i="57" s="1"/>
  <c r="AH158" i="57"/>
  <c r="AE669" i="113"/>
  <c r="AE191" i="57" s="1"/>
  <c r="AH151" i="57"/>
  <c r="AE662" i="113"/>
  <c r="AE184" i="57" s="1"/>
  <c r="AE666" i="113"/>
  <c r="AE188" i="57" s="1"/>
  <c r="AH155" i="57"/>
  <c r="AH160" i="57"/>
  <c r="AE671" i="113"/>
  <c r="AE193" i="57" s="1"/>
  <c r="AH152" i="57"/>
  <c r="AE663" i="113"/>
  <c r="AE185" i="57" s="1"/>
  <c r="AH655" i="113"/>
  <c r="AH177" i="57" s="1"/>
  <c r="AH144" i="57"/>
  <c r="AE655" i="113"/>
  <c r="AE177" i="57" s="1"/>
  <c r="N146" i="108"/>
  <c r="F146" i="108"/>
  <c r="AE646" i="113"/>
  <c r="AE168" i="57" s="1"/>
  <c r="AH646" i="113"/>
  <c r="AH168" i="57" s="1"/>
  <c r="AH135" i="57"/>
  <c r="AE653" i="113"/>
  <c r="AE175" i="57" s="1"/>
  <c r="AH142" i="57"/>
  <c r="AH653" i="113"/>
  <c r="AH175" i="57" s="1"/>
  <c r="AH652" i="113"/>
  <c r="AH174" i="57" s="1"/>
  <c r="AH141" i="57"/>
  <c r="AE652" i="113"/>
  <c r="AE174" i="57" s="1"/>
  <c r="O129" i="83"/>
  <c r="G129" i="83"/>
  <c r="N138" i="108"/>
  <c r="F138" i="108"/>
  <c r="O136" i="83"/>
  <c r="G136" i="83"/>
  <c r="AH145" i="57"/>
  <c r="AH656" i="113"/>
  <c r="AH178" i="57" s="1"/>
  <c r="AE656" i="113"/>
  <c r="AE178" i="57" s="1"/>
  <c r="Q82" i="23"/>
  <c r="Y82" i="23" s="1"/>
  <c r="Q101" i="23"/>
  <c r="Y101" i="23" s="1"/>
  <c r="I101" i="23"/>
  <c r="I82" i="23"/>
  <c r="AH143" i="57"/>
  <c r="AE654" i="113"/>
  <c r="AE176" i="57" s="1"/>
  <c r="AH654" i="113"/>
  <c r="AH176" i="57" s="1"/>
  <c r="AH139" i="57"/>
  <c r="AE650" i="113"/>
  <c r="AE172" i="57" s="1"/>
  <c r="AH650" i="113"/>
  <c r="AH172" i="57" s="1"/>
  <c r="AH648" i="113"/>
  <c r="AH170" i="57" s="1"/>
  <c r="AH137" i="57"/>
  <c r="AE648" i="113"/>
  <c r="AE170" i="57" s="1"/>
  <c r="AH138" i="57"/>
  <c r="AE649" i="113"/>
  <c r="AE171" i="57" s="1"/>
  <c r="AH649" i="113"/>
  <c r="AH171" i="57" s="1"/>
  <c r="AH140" i="57"/>
  <c r="AH651" i="113"/>
  <c r="AH173" i="57" s="1"/>
  <c r="AE651" i="113"/>
  <c r="AE173" i="57" s="1"/>
  <c r="AE647" i="113"/>
  <c r="AE169" i="57" s="1"/>
  <c r="AH136" i="57"/>
  <c r="AH647" i="113"/>
  <c r="AH169" i="57" s="1"/>
  <c r="Y107" i="152"/>
  <c r="N145" i="108"/>
  <c r="F145" i="108"/>
  <c r="K11" i="133"/>
  <c r="J8" i="115"/>
  <c r="J9" i="115"/>
  <c r="J10" i="115" s="1"/>
  <c r="K8" i="133" l="1"/>
  <c r="K9" i="133"/>
  <c r="K10" i="1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Ngo, Vinh-Phong N.</author>
  </authors>
  <commentList>
    <comment ref="F4" authorId="0" shapeId="0" xr:uid="{00000000-0006-0000-2000-000001000000}">
      <text>
        <r>
          <rPr>
            <b/>
            <sz val="9"/>
            <color indexed="81"/>
            <rFont val="Tahoma"/>
            <family val="2"/>
          </rPr>
          <t>Parmenter, Kelly:</t>
        </r>
        <r>
          <rPr>
            <sz val="9"/>
            <color indexed="81"/>
            <rFont val="Tahoma"/>
            <family val="2"/>
          </rPr>
          <t xml:space="preserve">
Full-load requirement was removed for PY22-24 but will be reinstated/reevaluated in PY25. See hidden cells P23, P24, P65, and P66.</t>
        </r>
      </text>
    </comment>
    <comment ref="C8" authorId="1" shapeId="0" xr:uid="{00000000-0006-0000-2000-000002000000}">
      <text>
        <r>
          <rPr>
            <b/>
            <sz val="9"/>
            <color indexed="81"/>
            <rFont val="Tahoma"/>
            <family val="2"/>
          </rPr>
          <t>Please enter your full-load efficiency rating here, in kW/ton</t>
        </r>
      </text>
    </comment>
    <comment ref="J8" authorId="2" shapeId="0" xr:uid="{00000000-0006-0000-2000-000003000000}">
      <text>
        <r>
          <rPr>
            <sz val="9"/>
            <color indexed="81"/>
            <rFont val="Tahoma"/>
            <family val="2"/>
          </rPr>
          <t>delta * tonnage * CF</t>
        </r>
      </text>
    </comment>
    <comment ref="C9" authorId="1" shapeId="0" xr:uid="{00000000-0006-0000-2000-000004000000}">
      <text>
        <r>
          <rPr>
            <b/>
            <sz val="9"/>
            <color indexed="81"/>
            <rFont val="Tahoma"/>
            <family val="2"/>
          </rPr>
          <t>Please enter your IPLV (part load) efficiency rating here, in kW/ton</t>
        </r>
      </text>
    </comment>
    <comment ref="J9" authorId="2" shapeId="0" xr:uid="{00000000-0006-0000-2000-000005000000}">
      <text>
        <r>
          <rPr>
            <sz val="9"/>
            <color indexed="81"/>
            <rFont val="Tahoma"/>
            <family val="2"/>
          </rPr>
          <t>delta * tonnage * EFLH</t>
        </r>
      </text>
    </comment>
    <comment ref="P23" authorId="0" shapeId="0" xr:uid="{00000000-0006-0000-2000-000006000000}">
      <text>
        <r>
          <rPr>
            <b/>
            <sz val="9"/>
            <color indexed="81"/>
            <rFont val="Tahoma"/>
            <family val="2"/>
          </rPr>
          <t>Parmenter, Kelly:</t>
        </r>
        <r>
          <rPr>
            <sz val="9"/>
            <color indexed="81"/>
            <rFont val="Tahoma"/>
            <family val="2"/>
          </rPr>
          <t xml:space="preserve">
Change back to following eq'n in PY25: =IF($D$5="PD",
IF(AND($D$6&gt;=600,$D$8&lt;=J$15),$M15,
IF(AND($D$6&gt;=300,$D$6&lt;600,$D$8&lt;=$I15),$M15,
IF(AND($D$6&gt;=150,$D$6&lt;300,$D$8&lt;=$H15),$M15,
IF(AND($D$6&gt;=75,$D$6&lt;150,$D$8&lt;=$G15),$M15,
IF(AND($D$6&lt;75,$D$8&lt;=F15),$M15,0))))),
IF($D$5="centrifugal",
IF(AND($D$6&gt;=600,$D$8&lt;=J21),M21,
IF(AND($D$6&gt;=400,$D$6&lt;600,$D$8&lt;=I21),M21,
IF(AND($D$6&gt;=300,$D$6&lt;400,$D$8&lt;=H21),M21,
IF(AND($D$6&gt;=150,$D$6&lt;300,$D$8&lt;=G21),M21,
IF(AND($D$6&lt;150,$D$8&lt;=F21),M21,0))))),
IF($D$5="air-cooled",
IF(AND($D$6&gt;=150,$D$8&lt;=J27),M27,
IF(AND($D$6&lt;150,$D$8&lt;=I27),M27,0)))))</t>
        </r>
      </text>
    </comment>
    <comment ref="P24" authorId="0" shapeId="0" xr:uid="{00000000-0006-0000-2000-000007000000}">
      <text>
        <r>
          <rPr>
            <b/>
            <sz val="9"/>
            <color indexed="81"/>
            <rFont val="Tahoma"/>
            <family val="2"/>
          </rPr>
          <t>Parmenter, Kelly:</t>
        </r>
        <r>
          <rPr>
            <sz val="9"/>
            <color indexed="81"/>
            <rFont val="Tahoma"/>
            <family val="2"/>
          </rPr>
          <t xml:space="preserve">
Change back to following eq'n in PY25:
=IF($D$5="PD",
IF(AND($D$6&gt;=600,$D$8&lt;=$J17),$M17,
IF(AND($D$6&gt;=300,$D$6&lt;600,$D$8&lt;=$I17),$M17,
IF(AND($D$6&gt;=150,$D$6&lt;300,$D$8&lt;=$H17),$M17,
IF(AND($D$6&gt;=75,$D$6&lt;150,$D$8&lt;=$G17),$M17,
IF(AND($D$6&lt;75,$D$8&lt;=F17),$M17,0))))),
IF($D$5="centrifugal",
IF(AND($D$6&gt;=600,$D$8&lt;=J23),M23,
IF(AND($D$6&gt;=400,$D$6&lt;600,$D$8&lt;=I23),M23,
IF(AND($D$6&gt;=300,$D$6&lt;400,$D$8&lt;=H23),M23,
IF(AND($D$6&gt;=150,$D$6&lt;300,$D$8&lt;=G23),M23,
IF(AND($D$6&lt;150,$D$8&lt;=F23),M23,0))))),
IF($D$5="air-cooled",
IF(AND($D$6&gt;=150,$D$8&lt;=J29),M29,
IF(AND($D$6&lt;150,$D$8&lt;=I29),M29,0)))))</t>
        </r>
      </text>
    </comment>
    <comment ref="P65" authorId="0" shapeId="0" xr:uid="{00000000-0006-0000-2000-000008000000}">
      <text>
        <r>
          <rPr>
            <b/>
            <sz val="9"/>
            <color indexed="81"/>
            <rFont val="Tahoma"/>
            <family val="2"/>
          </rPr>
          <t>Parmenter, Kelly:</t>
        </r>
        <r>
          <rPr>
            <sz val="9"/>
            <color indexed="81"/>
            <rFont val="Tahoma"/>
            <family val="2"/>
          </rPr>
          <t xml:space="preserve">
Change back to following eq'n in PY25:
=IF($D$5="PD",
IF(AND($D$6&gt;=600,$D$8&lt;=J$57),$M57,
IF(AND($D$6&gt;=300,$D$6&lt;600,$D$8&lt;=$I57),$M57,
IF(AND($D$6&gt;=150,$D$6&lt;300,$D$8&lt;=$H57),$M57,
IF(AND($D$6&gt;=75,$D$6&lt;150,$D$8&lt;=$G57),$M57,
IF(AND($D$6&lt;75,$D$8&lt;=F57),$M57,0))))),
IF($D$5="centrifugal",
IF(AND($D$6&gt;=600,$D$8&lt;=J63),M63,
IF(AND($D$6&gt;=400,$D$6&lt;600,$D$8&lt;=I63),M63,
IF(AND($D$6&gt;=300,$D$6&lt;400,$D$8&lt;=H63),M63,
IF(AND($D$6&gt;=150,$D$6&lt;300,$D$8&lt;=G63),M63,
IF(AND($D$6&lt;150,$D$8&lt;=F63),M63,0))))),
IF($D$5="air-cooled",
IF(AND($D$6&gt;=150,$D$8&lt;=J69),M69,
IF(AND($D$6&lt;150,$D$8&lt;=I69),M69,0)))))</t>
        </r>
      </text>
    </comment>
    <comment ref="P66" authorId="0" shapeId="0" xr:uid="{00000000-0006-0000-2000-000009000000}">
      <text>
        <r>
          <rPr>
            <b/>
            <sz val="9"/>
            <color indexed="81"/>
            <rFont val="Tahoma"/>
            <family val="2"/>
          </rPr>
          <t>Parmenter, Kelly:</t>
        </r>
        <r>
          <rPr>
            <sz val="9"/>
            <color indexed="81"/>
            <rFont val="Tahoma"/>
            <family val="2"/>
          </rPr>
          <t xml:space="preserve">
Change back to following eq'n in PY25:
=IF($D$5="PD",
IF(AND($D$6&gt;=600,$D$8&lt;=$J59),$M59,
IF(AND($D$6&gt;=300,$D$6&lt;600,$D$8&lt;=$I59),$M59,
IF(AND($D$6&gt;=150,$D$6&lt;300,$D$8&lt;=$H59),$M59,
IF(AND($D$6&gt;=75,$D$6&lt;150,$D$8&lt;=$G59),$M59,
IF(AND($D$6&lt;75,$D$8&lt;=F59),$M59,0))))),
IF($D$5="centrifugal",
IF(AND($D$6&gt;=600,$D$8&lt;=J65),M65,
IF(AND($D$6&gt;=400,$D$6&lt;600,$D$8&lt;=I65),M65,
IF(AND($D$6&gt;=300,$D$6&lt;400,$D$8&lt;=H65),M65,
IF(AND($D$6&gt;=150,$D$6&lt;300,$D$8&lt;=G65),M65,
IF(AND($D$6&lt;150,$D$8&lt;=F65),M65,0))))),
IF($D$5="air-cooled",
IF(AND($D$6&gt;=150,$D$8&lt;=J71),M71,
IF(AND($D$6&lt;150,$D$8&lt;=I71),M71,0)))))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B5D91039-C6ED-44DE-AF99-C3E8828AAFF9}">
      <text>
        <r>
          <rPr>
            <sz val="9"/>
            <color indexed="81"/>
            <rFont val="Tahoma"/>
            <family val="2"/>
          </rPr>
          <t>Reinstate/reevaluate requirement in PY25.</t>
        </r>
      </text>
    </comment>
    <comment ref="G7" authorId="0" shapeId="0" xr:uid="{928E70B8-5EDA-416A-8778-0AE381B8F219}">
      <text>
        <r>
          <rPr>
            <sz val="9"/>
            <color indexed="81"/>
            <rFont val="Tahoma"/>
            <family val="2"/>
          </rPr>
          <t>Reinstate/reevaluate requirement in PY25.</t>
        </r>
      </text>
    </comment>
    <comment ref="D10" authorId="1" shapeId="0" xr:uid="{7D4F0C2B-AA4E-4A49-8531-DB97AECD69AE}">
      <text>
        <r>
          <rPr>
            <sz val="9"/>
            <color indexed="81"/>
            <rFont val="Tahoma"/>
            <family val="2"/>
          </rPr>
          <t>Will change according to AC size</t>
        </r>
      </text>
    </comment>
    <comment ref="H11" authorId="1" shapeId="0" xr:uid="{827BE71D-0903-41E9-9241-40F023B21626}">
      <text>
        <r>
          <rPr>
            <sz val="9"/>
            <color indexed="81"/>
            <rFont val="Tahoma"/>
            <family val="2"/>
          </rPr>
          <t>Will change according to AC size</t>
        </r>
      </text>
    </comment>
    <comment ref="F19" authorId="1" shapeId="0" xr:uid="{6E59A10D-0D2D-49E9-B73D-44340FAE6649}">
      <text>
        <r>
          <rPr>
            <sz val="9"/>
            <color indexed="81"/>
            <rFont val="Tahoma"/>
            <family val="2"/>
          </rPr>
          <t>There is no federal or state minimum EER2 requirement for Hawaii. AEG's research of the AHRI database (Nov 2022 extracts) showed that each EER2 value in Table 1 represents the most common EER2 value for the given SEER2 minimum requirement. Refer to AEG's Analysis File named "PY23 TRM - Commercial AC and HP - Analysis File" for more information.</t>
        </r>
      </text>
    </comment>
    <comment ref="F24" authorId="0" shapeId="0" xr:uid="{460DAF32-E37C-49E7-826B-14F840033FD5}">
      <text>
        <r>
          <rPr>
            <sz val="9"/>
            <color indexed="81"/>
            <rFont val="Tahoma"/>
            <family val="2"/>
          </rPr>
          <t>There are no longer federal or ASHRAE minimum EER requirements for larger commercial unitary AC and Air-Source HP equipment (≥ 65,000 Btu/h). AEG's research of the AHRI database (Sep 2022 extract) showed that each EER value in Table 1 represents the most common EER value for the given IEER minimum requirement. Refer to AEG's Analysis File named "PY23 TRM - Commercial AC and HP - Analysis File" for more information.</t>
        </r>
      </text>
    </comment>
    <comment ref="C26" authorId="1" shapeId="0" xr:uid="{6512BD20-F391-4CC6-94F7-306E67257F08}">
      <text>
        <r>
          <rPr>
            <sz val="9"/>
            <color indexed="81"/>
            <rFont val="Tahoma"/>
            <family val="2"/>
          </rPr>
          <t>All units greater than 240 kBtu/h are recommended for custom evaluation</t>
        </r>
      </text>
    </comment>
    <comment ref="R29" authorId="1" shapeId="0" xr:uid="{F5CBFE9C-545A-4098-BE17-D915165A08AD}">
      <text>
        <r>
          <rPr>
            <sz val="9"/>
            <color indexed="81"/>
            <rFont val="Tahoma"/>
            <family val="2"/>
          </rPr>
          <t>All units greater than 240 kBtu/h are recommended for custom evaluation</t>
        </r>
      </text>
    </comment>
    <comment ref="D34" authorId="0" shapeId="0" xr:uid="{37487C84-6C82-45ED-9277-74CB7704CB32}">
      <text>
        <r>
          <rPr>
            <sz val="9"/>
            <color indexed="81"/>
            <rFont val="Tahoma"/>
            <family val="2"/>
          </rPr>
          <t>No ASHRAE requirement for water-source HP SEER; set equal to EER</t>
        </r>
      </text>
    </comment>
    <comment ref="E36" authorId="0" shapeId="0" xr:uid="{3DB9569C-0018-4D37-A745-22B66359C436}">
      <text>
        <r>
          <rPr>
            <sz val="9"/>
            <color indexed="81"/>
            <rFont val="Tahoma"/>
            <family val="2"/>
          </rPr>
          <t xml:space="preserve">No ASHRAE requirement for water-source HP IEER; set equal to EER
</t>
        </r>
      </text>
    </comment>
    <comment ref="D37" authorId="0" shapeId="0" xr:uid="{65FCB8B8-767D-4C9B-851A-1795518C4216}">
      <text>
        <r>
          <rPr>
            <sz val="9"/>
            <color indexed="81"/>
            <rFont val="Tahoma"/>
            <family val="2"/>
          </rPr>
          <t>No ASHRAE requirement for PTAC/PTHP SEER; set equal to EER</t>
        </r>
      </text>
    </comment>
    <comment ref="F38" authorId="0" shapeId="0" xr:uid="{D1E3CE9A-5111-4394-8C22-2D9EA27669AA}">
      <text>
        <r>
          <rPr>
            <sz val="9"/>
            <color indexed="81"/>
            <rFont val="Tahoma"/>
            <family val="2"/>
          </rPr>
          <t>PTAC EER varies with capacity</t>
        </r>
      </text>
    </comment>
    <comment ref="F41" authorId="0" shapeId="0" xr:uid="{0849589B-6AEF-408F-BB7C-0A7B227B1DD4}">
      <text>
        <r>
          <rPr>
            <sz val="9"/>
            <color indexed="81"/>
            <rFont val="Tahoma"/>
            <family val="2"/>
          </rPr>
          <t>PTAC EER varies with capacity</t>
        </r>
      </text>
    </comment>
    <comment ref="F44" authorId="0" shapeId="0" xr:uid="{0D25D410-303F-4F87-819E-5D95BE7C1985}">
      <text>
        <r>
          <rPr>
            <sz val="9"/>
            <color indexed="81"/>
            <rFont val="Tahoma"/>
            <family val="2"/>
          </rPr>
          <t>PTHP EER varies with capacity</t>
        </r>
        <r>
          <rPr>
            <sz val="9"/>
            <color indexed="81"/>
            <rFont val="Tahoma"/>
            <family val="2"/>
          </rPr>
          <t xml:space="preserve">
</t>
        </r>
      </text>
    </comment>
    <comment ref="F47" authorId="0" shapeId="0" xr:uid="{5D721DAB-60A9-459D-879F-CF1A55C45C78}">
      <text>
        <r>
          <rPr>
            <sz val="9"/>
            <color indexed="81"/>
            <rFont val="Tahoma"/>
            <family val="2"/>
          </rPr>
          <t>PTHP EER varies with capacity</t>
        </r>
      </text>
    </comment>
    <comment ref="D49" authorId="0" shapeId="0" xr:uid="{B24EFEF2-F318-4D9E-A988-7200E839FCA6}">
      <text>
        <r>
          <rPr>
            <sz val="9"/>
            <color indexed="81"/>
            <rFont val="Tahoma"/>
            <family val="2"/>
          </rPr>
          <t>No ASHRAE requirement for vertical AC/HP SEER; set equal to EER</t>
        </r>
      </text>
    </comment>
    <comment ref="E50" authorId="0" shapeId="0" xr:uid="{E37E90A6-99CB-41C4-AA3D-435C969BC7B4}">
      <text>
        <r>
          <rPr>
            <sz val="9"/>
            <color indexed="81"/>
            <rFont val="Tahoma"/>
            <family val="2"/>
          </rPr>
          <t>No ASHRAE requirement for vertical AC/HP IEER; set equal to EER</t>
        </r>
      </text>
    </comment>
    <comment ref="D57" authorId="0" shapeId="0" xr:uid="{87E8E16B-4BE2-477F-96C3-9BFF530D00A3}">
      <text>
        <r>
          <rPr>
            <sz val="9"/>
            <color indexed="81"/>
            <rFont val="Tahoma"/>
            <family val="2"/>
          </rPr>
          <t>ENERGY STAR 6.1</t>
        </r>
      </text>
    </comment>
    <comment ref="D58" authorId="0" shapeId="0" xr:uid="{FFB38642-2ED8-492E-B597-36EA991FDC69}">
      <text>
        <r>
          <rPr>
            <sz val="9"/>
            <color indexed="81"/>
            <rFont val="Tahoma"/>
            <family val="2"/>
          </rPr>
          <t>ENERGY STAR 6.1</t>
        </r>
      </text>
    </comment>
    <comment ref="D59" authorId="0" shapeId="0" xr:uid="{6C3A0193-5D87-492F-B895-0C0175A60D29}">
      <text>
        <r>
          <rPr>
            <sz val="9"/>
            <color indexed="81"/>
            <rFont val="Tahoma"/>
            <family val="2"/>
          </rPr>
          <t>ENERGY STAR 6.1</t>
        </r>
      </text>
    </comment>
    <comment ref="D65" authorId="0" shapeId="0" xr:uid="{DA08F9ED-2F60-4101-9360-55BA23EA9A80}">
      <text>
        <r>
          <rPr>
            <sz val="9"/>
            <color indexed="81"/>
            <rFont val="Tahoma"/>
            <family val="2"/>
          </rPr>
          <t>ENERGY STAR 6.1</t>
        </r>
      </text>
    </comment>
    <comment ref="D66" authorId="0" shapeId="0" xr:uid="{9B8D6ED2-E520-41B1-A878-A773F290D2C2}">
      <text>
        <r>
          <rPr>
            <sz val="9"/>
            <color indexed="81"/>
            <rFont val="Tahoma"/>
            <family val="2"/>
          </rPr>
          <t>ENERGY STAR 6.1</t>
        </r>
      </text>
    </comment>
    <comment ref="D95" authorId="0" shapeId="0" xr:uid="{2BD30CB3-98FD-4881-BBE7-B78FCAC6E725}">
      <text>
        <r>
          <rPr>
            <sz val="9"/>
            <color indexed="81"/>
            <rFont val="Tahoma"/>
            <family val="2"/>
          </rPr>
          <t>ENERGY STAR 6.1 +10%</t>
        </r>
      </text>
    </comment>
    <comment ref="D96" authorId="0" shapeId="0" xr:uid="{73A8F464-642D-4419-BD3D-7C0BB96C3A7C}">
      <text>
        <r>
          <rPr>
            <sz val="9"/>
            <color indexed="81"/>
            <rFont val="Tahoma"/>
            <family val="2"/>
          </rPr>
          <t>ENERGY STAR 6.1 +10%</t>
        </r>
      </text>
    </comment>
    <comment ref="D97" authorId="0" shapeId="0" xr:uid="{D0D98C3D-4D06-4D91-AAA7-186A48DC9271}">
      <text>
        <r>
          <rPr>
            <sz val="9"/>
            <color indexed="81"/>
            <rFont val="Tahoma"/>
            <family val="2"/>
          </rPr>
          <t>ENERGY STAR 6.1 +10%</t>
        </r>
      </text>
    </comment>
    <comment ref="D103" authorId="0" shapeId="0" xr:uid="{BC2574DC-BAD7-47D6-9A3D-96811DEED285}">
      <text>
        <r>
          <rPr>
            <sz val="9"/>
            <color indexed="81"/>
            <rFont val="Tahoma"/>
            <family val="2"/>
          </rPr>
          <t>ENERGY STAR 6.1 +10%</t>
        </r>
      </text>
    </comment>
    <comment ref="D104" authorId="0" shapeId="0" xr:uid="{D1B46F87-92DA-48D3-B66A-1EE0D796457A}">
      <text>
        <r>
          <rPr>
            <sz val="9"/>
            <color indexed="81"/>
            <rFont val="Tahoma"/>
            <family val="2"/>
          </rPr>
          <t>ENERGY STAR 6.1 +10%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Parmenter, Kelly</author>
    <author>AEG</author>
  </authors>
  <commentList>
    <comment ref="G6" authorId="0" shapeId="0" xr:uid="{00000000-0006-0000-2800-000001000000}">
      <text>
        <r>
          <rPr>
            <b/>
            <sz val="9"/>
            <color indexed="81"/>
            <rFont val="Tahoma"/>
            <family val="2"/>
          </rPr>
          <t>Parmenter, Kelly:</t>
        </r>
        <r>
          <rPr>
            <sz val="9"/>
            <color indexed="81"/>
            <rFont val="Tahoma"/>
            <family val="2"/>
          </rPr>
          <t xml:space="preserve">
Reinstate/reevaluate requirement in PY25. Use this equation: =IF($G$11=14,"NA",IF($C$9&gt;=INDEX($F$44:$F$58,MATCH($C$6&amp;" - "&amp;$G$9,$G$23:$G$37,0),1),"Pass","Fail"))</t>
        </r>
      </text>
    </comment>
    <comment ref="G7" authorId="0" shapeId="0" xr:uid="{00000000-0006-0000-2800-000002000000}">
      <text>
        <r>
          <rPr>
            <b/>
            <sz val="9"/>
            <color indexed="81"/>
            <rFont val="Tahoma"/>
            <family val="2"/>
          </rPr>
          <t>Parmenter, Kelly:</t>
        </r>
        <r>
          <rPr>
            <sz val="9"/>
            <color indexed="81"/>
            <rFont val="Tahoma"/>
            <family val="2"/>
          </rPr>
          <t xml:space="preserve">
Reinstate/reevaluate requirement in PY25. Use this equation: =IF($G$11=14,"NA",IF($C$9&gt;=INDEX($F$65:$F$79,MATCH($C$6&amp;" - "&amp;$G$9,$G$23:$G$37,0),1),"Pass","Fail"))</t>
        </r>
      </text>
    </comment>
    <comment ref="D10" authorId="1" shapeId="0" xr:uid="{00000000-0006-0000-2800-000003000000}">
      <text>
        <r>
          <rPr>
            <sz val="9"/>
            <color indexed="81"/>
            <rFont val="Tahoma"/>
            <family val="2"/>
          </rPr>
          <t>Will change according to AC size</t>
        </r>
      </text>
    </comment>
    <comment ref="H11" authorId="1" shapeId="0" xr:uid="{00000000-0006-0000-2800-000004000000}">
      <text>
        <r>
          <rPr>
            <sz val="9"/>
            <color indexed="81"/>
            <rFont val="Tahoma"/>
            <family val="2"/>
          </rPr>
          <t>Will change according to AC size</t>
        </r>
      </text>
    </comment>
    <comment ref="R17" authorId="1" shapeId="0" xr:uid="{00000000-0006-0000-2800-000005000000}">
      <text>
        <r>
          <rPr>
            <sz val="9"/>
            <color indexed="81"/>
            <rFont val="Tahoma"/>
            <family val="2"/>
          </rPr>
          <t>All units greater than 240 kBtu/h are recommended for custom evaluation</t>
        </r>
      </text>
    </comment>
    <comment ref="F23" authorId="1" shapeId="0" xr:uid="{00000000-0006-0000-2800-000006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F24" authorId="1" shapeId="0" xr:uid="{00000000-0006-0000-2800-000007000000}">
      <text>
        <r>
          <rPr>
            <sz val="9"/>
            <color indexed="81"/>
            <rFont val="Tahoma"/>
            <family val="2"/>
          </rPr>
          <t xml:space="preserve">This value is not specified in ASHRAE 90.1-2016. Research of the AHRI database (Nov 2020 extract) showed that 11.0 EER represents the minimum EER value corresponding to 14 SEER AC systems designated as active products in the USA. </t>
        </r>
      </text>
    </comment>
    <comment ref="C27" authorId="1" shapeId="0" xr:uid="{00000000-0006-0000-2800-000008000000}">
      <text>
        <r>
          <rPr>
            <sz val="9"/>
            <color indexed="81"/>
            <rFont val="Tahoma"/>
            <family val="2"/>
          </rPr>
          <t>All units greater than 240 kBtu/h are recommended for custom evaluation</t>
        </r>
      </text>
    </comment>
    <comment ref="C30" authorId="1" shapeId="0" xr:uid="{00000000-0006-0000-2800-000009000000}">
      <text>
        <r>
          <rPr>
            <sz val="9"/>
            <color indexed="81"/>
            <rFont val="Tahoma"/>
            <family val="2"/>
          </rPr>
          <t>All units greater than 240 kBtu/h are recommended for custom evaluation</t>
        </r>
      </text>
    </comment>
    <comment ref="F31" authorId="1" shapeId="0" xr:uid="{00000000-0006-0000-2800-00000A000000}">
      <text>
        <r>
          <rPr>
            <sz val="9"/>
            <color indexed="81"/>
            <rFont val="Tahoma"/>
            <family val="2"/>
          </rPr>
          <t>This value is not specified in ASHRAE 90.1-2016. Set value to 11 EER for consistency with AC systems.</t>
        </r>
      </text>
    </comment>
    <comment ref="D35" authorId="0" shapeId="0" xr:uid="{00000000-0006-0000-2800-00000B000000}">
      <text>
        <r>
          <rPr>
            <sz val="9"/>
            <color indexed="81"/>
            <rFont val="Tahoma"/>
            <family val="2"/>
          </rPr>
          <t>No ASHRAE requirement for water-source HP SEER; set equal to EER</t>
        </r>
      </text>
    </comment>
    <comment ref="D56" authorId="0" shapeId="0" xr:uid="{00000000-0006-0000-2800-00000C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 ref="D77" authorId="0" shapeId="0" xr:uid="{00000000-0006-0000-2800-00000D000000}">
      <text>
        <r>
          <rPr>
            <b/>
            <sz val="9"/>
            <color indexed="81"/>
            <rFont val="Tahoma"/>
            <family val="2"/>
          </rPr>
          <t>Parmenter, Kelly:</t>
        </r>
        <r>
          <rPr>
            <sz val="9"/>
            <color indexed="81"/>
            <rFont val="Tahoma"/>
            <family val="2"/>
          </rPr>
          <t xml:space="preserve">
SEER and IEER values for water-source HP systems have been set to the EER requirement.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Parmenter, Kelly</author>
  </authors>
  <commentList>
    <comment ref="C20" authorId="0" shapeId="0" xr:uid="{C70C365A-D446-453D-8313-4A7BDF5067B8}">
      <text>
        <r>
          <rPr>
            <sz val="9"/>
            <color indexed="81"/>
            <rFont val="Tahoma"/>
            <family val="2"/>
          </rPr>
          <t>14.3 SEER2*1.049</t>
        </r>
      </text>
    </comment>
    <comment ref="D20" authorId="0" shapeId="0" xr:uid="{14B9361A-B07B-4749-B578-DD52CDF1B635}">
      <text>
        <r>
          <rPr>
            <sz val="9"/>
            <color indexed="81"/>
            <rFont val="Tahoma"/>
            <family val="2"/>
          </rPr>
          <t>11.7 EER2*1.043</t>
        </r>
      </text>
    </comment>
    <comment ref="C21" authorId="0" shapeId="0" xr:uid="{23B22F10-709D-47C6-81B6-48335213F7CE}">
      <text>
        <r>
          <rPr>
            <sz val="9"/>
            <color indexed="81"/>
            <rFont val="Tahoma"/>
            <family val="2"/>
          </rPr>
          <t>13.8 SEER2*1.034</t>
        </r>
      </text>
    </comment>
    <comment ref="D21" authorId="0" shapeId="0" xr:uid="{548814B0-A1B9-43BD-804D-D002E1E1C97A}">
      <text>
        <r>
          <rPr>
            <sz val="9"/>
            <color indexed="81"/>
            <rFont val="Tahoma"/>
            <family val="2"/>
          </rPr>
          <t>11.2 EER2*1.034</t>
        </r>
      </text>
    </comment>
  </commentList>
</comments>
</file>

<file path=xl/sharedStrings.xml><?xml version="1.0" encoding="utf-8"?>
<sst xmlns="http://schemas.openxmlformats.org/spreadsheetml/2006/main" count="20204" uniqueCount="6653">
  <si>
    <t>Equipment Type</t>
  </si>
  <si>
    <t>Equipment Size</t>
  </si>
  <si>
    <t>MEASURE DETAILS</t>
  </si>
  <si>
    <t>Description</t>
  </si>
  <si>
    <t>Program Criteria</t>
  </si>
  <si>
    <t>Unit of Measure</t>
  </si>
  <si>
    <t>Baseline Equipment</t>
  </si>
  <si>
    <t>ALGORITHMS</t>
  </si>
  <si>
    <t>DEFINITIONS &amp; ASSUMPTIONS</t>
  </si>
  <si>
    <t>Variable</t>
  </si>
  <si>
    <t>Value</t>
  </si>
  <si>
    <t>Unit</t>
  </si>
  <si>
    <t>Notes</t>
  </si>
  <si>
    <t>High Efficiency Equipment</t>
  </si>
  <si>
    <t>SAVINGS</t>
  </si>
  <si>
    <t>Measure Name</t>
  </si>
  <si>
    <t>Peak Demand Savings</t>
  </si>
  <si>
    <t>Annual Energy Savings</t>
  </si>
  <si>
    <t>kW</t>
  </si>
  <si>
    <t>η</t>
  </si>
  <si>
    <t>-</t>
  </si>
  <si>
    <t>CF</t>
  </si>
  <si>
    <t>%</t>
  </si>
  <si>
    <t>Table</t>
  </si>
  <si>
    <t>HRS</t>
  </si>
  <si>
    <t>hours</t>
  </si>
  <si>
    <t>Measure Life</t>
  </si>
  <si>
    <t>Expected duration of energy savings</t>
  </si>
  <si>
    <t>years</t>
  </si>
  <si>
    <t>Appliances</t>
  </si>
  <si>
    <t>Refrigerator</t>
  </si>
  <si>
    <t>One refrigerator</t>
  </si>
  <si>
    <t>ΔE</t>
  </si>
  <si>
    <t>ΔP</t>
  </si>
  <si>
    <t>PF</t>
  </si>
  <si>
    <t>Calculated</t>
  </si>
  <si>
    <t>kWh</t>
  </si>
  <si>
    <t>hrs</t>
  </si>
  <si>
    <t>yrs</t>
  </si>
  <si>
    <t>Coincidence factor, percent of time equipment load corresponds with utility peak load</t>
  </si>
  <si>
    <t>Reference</t>
  </si>
  <si>
    <t>kWh/yr</t>
  </si>
  <si>
    <t xml:space="preserve">This section covers installation of “cool roof” roofing materials in commercial buildings with mechanical cooling. The cool roof is assumed to have a solar absorptance of 0.3(1) compared to a standard roof with solar absorptance of 0.8(2). Energy and demand saving are realized through reductions in the building cooling loads. The approach utilizes DOE-2.2 simulations on a series of commercial prototypical building models. Energy and demand impacts are normalized per thousand square feet of roof space.  </t>
  </si>
  <si>
    <t>Roof with a solar absorptance of 0.30</t>
  </si>
  <si>
    <t>Roof with a solar absorptance of 0.80</t>
  </si>
  <si>
    <t>Cool Roof</t>
  </si>
  <si>
    <t>Building Type</t>
  </si>
  <si>
    <t>Office</t>
  </si>
  <si>
    <t>Other</t>
  </si>
  <si>
    <t>Average</t>
  </si>
  <si>
    <t>Electric griddle that does not meet ENERGY STAR efficiency requirements.</t>
  </si>
  <si>
    <t>Performance Parameters</t>
  </si>
  <si>
    <t>Requirements</t>
  </si>
  <si>
    <t>Heavy-Load Cooking Energy Efficiency</t>
  </si>
  <si>
    <t>Idle Energy Rate</t>
  </si>
  <si>
    <t>&gt;= 70%</t>
  </si>
  <si>
    <t>E_idle</t>
  </si>
  <si>
    <t>HRS_daily</t>
  </si>
  <si>
    <t>Time to preheat</t>
  </si>
  <si>
    <t>min</t>
  </si>
  <si>
    <t>Daily operating hours</t>
  </si>
  <si>
    <t>E_food</t>
  </si>
  <si>
    <t>ASTM defined energy to food</t>
  </si>
  <si>
    <t>kWh/lb</t>
  </si>
  <si>
    <t>DAYS</t>
  </si>
  <si>
    <t>Days of operation per year</t>
  </si>
  <si>
    <t>days</t>
  </si>
  <si>
    <t>η_cook</t>
  </si>
  <si>
    <t>Cooking energy efficiency</t>
  </si>
  <si>
    <t>Idle energy rate</t>
  </si>
  <si>
    <t>CAP</t>
  </si>
  <si>
    <t>Production capacity</t>
  </si>
  <si>
    <t>lbs/hr</t>
  </si>
  <si>
    <t>Preheating energy</t>
  </si>
  <si>
    <t>kWh/day</t>
  </si>
  <si>
    <t>Daily preheating energy</t>
  </si>
  <si>
    <t>LBS_food</t>
  </si>
  <si>
    <t>Food cooked per day</t>
  </si>
  <si>
    <t>lbs/day</t>
  </si>
  <si>
    <t>FSTC</t>
  </si>
  <si>
    <t>FSTC, ENERGY STAR</t>
  </si>
  <si>
    <t>Parameters</t>
  </si>
  <si>
    <t>Preheat Energy (E_preheat)</t>
  </si>
  <si>
    <t>Idle Energy Rate (E_idle)</t>
  </si>
  <si>
    <r>
      <t>Cooking Energy Efficiency (</t>
    </r>
    <r>
      <rPr>
        <sz val="11"/>
        <color theme="1"/>
        <rFont val="Calibri"/>
        <family val="2"/>
      </rPr>
      <t>η_cook)</t>
    </r>
  </si>
  <si>
    <t>Production Capacity (CAP)</t>
  </si>
  <si>
    <t>Lbs of cooked per day, per ft (LBS_food)</t>
  </si>
  <si>
    <t>Baseline Electric Griddle</t>
  </si>
  <si>
    <t>Efficient Electric Griddle</t>
  </si>
  <si>
    <t>Base (kWh/year) per linear foot</t>
  </si>
  <si>
    <t>Cook</t>
  </si>
  <si>
    <t>Idle</t>
  </si>
  <si>
    <t>Preheat</t>
  </si>
  <si>
    <t>Power Demand</t>
  </si>
  <si>
    <t>Efficient (kWh/year) per linear foot</t>
  </si>
  <si>
    <t>Electric Griddle</t>
  </si>
  <si>
    <t>Coincidence factor</t>
  </si>
  <si>
    <t>Persistance factor</t>
  </si>
  <si>
    <t>General assumptions used for deriving deemed electric savings are values taken from the Food Service Technology Center (FSTC) work papers.  These deemed values assume that the griddles are 3 x 2 feet in size.  Parameters in the table are per linear foot, with an assumed depth of 2 feet.</t>
  </si>
  <si>
    <t>This measure applies to ENERGY STAR or equivalent electric commercial griddles in retrofit and new construction applications. This appliance is designed for cooking food in oil or its own juices by direct contact with either a flat, smooth, hot surface or a hot channeled cooking surface where plate temperature is thermostatically controlled.</t>
  </si>
  <si>
    <t>Energy-efficient commercial electric griddles reduce energy consumption primarily through the application of advanced controls and improved temperature uniformity.</t>
  </si>
  <si>
    <t>Per linear foot of cooking surface with assumed depth of 2 feet.</t>
  </si>
  <si>
    <t>The installation of a qualified ENERGY STAR commercial steam cooker.  ENERGY STAR steam cookers save energy during cooling and idle times due to improved cooking efficiency and idle energy rates.</t>
  </si>
  <si>
    <t>Meet ENERGY STAR efficiency requirements.</t>
  </si>
  <si>
    <t>The Baseline Efficiency case is a conventional electric steam cooker with a cooking energy efficiency of 30%, pan production of 23.3 pounds per hour, and an idle energy rate of 1.2 kW.</t>
  </si>
  <si>
    <t>The High Efficiency case is an ENERGY STAR electric steam cooker with a cooking energy efficiency of 50%, pan production capacity of 16.7 pounds per hour, and an idle energy rate of 0.4 kW.</t>
  </si>
  <si>
    <t>Annual hours of operation</t>
  </si>
  <si>
    <t>Per pan</t>
  </si>
  <si>
    <t>This measure applies to ENERGY STAR or its equivalent electric commercial open-deep fat fryers in retrofit and new construction applications. Commercial fryers consist of a reservoir of cooking oil that allows food to be fully submerged without touching the bottom of the vessel.  Electric fryers use a heating element immersed in the cooking oil. High efficiency standard and large vat fryers offer shorter cook times and higher production rates through the use of heat exchanger design. Standby losses are reduced in more efficient models through the use of fry pot insulation.</t>
  </si>
  <si>
    <t>Standard</t>
  </si>
  <si>
    <t>Standard Fryer</t>
  </si>
  <si>
    <t>Large Vat Fryer</t>
  </si>
  <si>
    <t>&gt;= 80%</t>
  </si>
  <si>
    <t>&lt;= 1.0 kW</t>
  </si>
  <si>
    <t>&lt;= 1.1 kW</t>
  </si>
  <si>
    <t>Meet ENERGY STAR energy efficiency requirements. ENERGY STAR requirements apply to a standard fryer and a large vat fryer. A standard fryer measures 14 to 18 inches wide with a vat capacity from 25 to 60 pounds. A large vat fryer measures 18 inches to 24 inches wide with a vat capacity greater than 50 pounds.</t>
  </si>
  <si>
    <t>See table below.</t>
  </si>
  <si>
    <t>Annual days of operation</t>
  </si>
  <si>
    <t>Lbs of food cooked per day, per ft (LBS_food)</t>
  </si>
  <si>
    <t>Production Capacity per ft (CAP)</t>
  </si>
  <si>
    <t>Large Vat</t>
  </si>
  <si>
    <t>Baseline</t>
  </si>
  <si>
    <t>Efficient Electric Fryer</t>
  </si>
  <si>
    <t>Baseline Electric Fryer</t>
  </si>
  <si>
    <t>General assumptions used for deriving deemed electric savings are values taken from the Food Service Technology Center (FSTC) work papers.</t>
  </si>
  <si>
    <t>Total Base Energy</t>
  </si>
  <si>
    <t>Baseline Fryer</t>
  </si>
  <si>
    <t>Efficient Fryer</t>
  </si>
  <si>
    <t>Standard Electric Fryer</t>
  </si>
  <si>
    <t>Large Vat Electric Fryer</t>
  </si>
  <si>
    <t>Commercial insulated hot food holding cabinet models that meet program requirements incorporate better insulation, reducing heat loss, and may also offer additional energy saving devices such as magnetic door electric gaskets, auto-door closures, or dutch doors. The insulation of the cabinet also offers better temperature uniformity within the cabinet from top to bottom. This means that qualified hot food holding cabinets are more efficient at maintaining food temperature while using less energy.</t>
  </si>
  <si>
    <t>• Full-size holding cabinets are defined as any holding cabinet with an internal measured volume of greater than or equal to 15 cubic feet (≥15 ft.3). This measure does not include cook-and-hold equipment. All measures must be electric hot food holding cabinets that are fully insulated and have doors. Qualifying cabinets must not exceed the maximum idle energy rate of 20 Watts per cubic foot in accordance with the ASTM Standard test method. 
• Half-size holding cabinets are defined as any holding cabinet with an internal measured volume of less than 15 cubic feet (&lt;15 ft.3). This measure does not include cook-and-hold or retherm equipment. All measures must be electric hot food holding cabinets that are fully insulated and have doors. Qualifying cabinets must not exceed the maximum idle energy rate of 20 Watts per cubic foot in accordance with the ASTM Standard test method.</t>
  </si>
  <si>
    <t>The baseline equipment is assumed to be a standard hot food holding cabinet with an idle energy rate of 40 watts per cubic foot.</t>
  </si>
  <si>
    <t>The efficient equipment is assumed to be an ENERGY STAR qualified hot food holding cabinet with an idle energy rate of 20 watts per cubic foot.</t>
  </si>
  <si>
    <t>Daily hours of operation</t>
  </si>
  <si>
    <t>Energy usage calculations are based on 15 hours a day, 365 days per year operation at a typical temperature setting of 150°F. The different sizes for the holding cabinets (half size and full size) have proportional operating energy rates. Operating energy rate for the full size holding cabinets was obtained in accordance with the ASTM Standard.
The energy savings calculations listed in the following tables use Title 20 (California) as the baseline for potential energy savings requiring all hot food holding cabinets sold in California to meet a normalized idle energy rate of 40 Watts/ft³.</t>
  </si>
  <si>
    <t>Performance</t>
  </si>
  <si>
    <t>High Efficiency</t>
  </si>
  <si>
    <t>Annual Energy Use</t>
  </si>
  <si>
    <t>Power Demand Reduction</t>
  </si>
  <si>
    <t>Annual Energy Reduction</t>
  </si>
  <si>
    <t>The demand reduction estimation is based on measured data for standard efficiency insulated holding cabinets and for high-efficiency insulated holding cabinets. The measured data are derived from tests conducted under ASTM Standard Test Method for the Performance of Hot Food Holding Cabinets.</t>
  </si>
  <si>
    <t>Cabinet Size</t>
  </si>
  <si>
    <t>Cabinet Volume</t>
  </si>
  <si>
    <t>Normalized Idle Energy Rate</t>
  </si>
  <si>
    <t>Total Idle Energy Rate</t>
  </si>
  <si>
    <t>Full-Size</t>
  </si>
  <si>
    <t>Half-Size</t>
  </si>
  <si>
    <t>Full-Size Cabinet</t>
  </si>
  <si>
    <t>Half-Size Cabinet</t>
  </si>
  <si>
    <t>Per cabinet</t>
  </si>
  <si>
    <t>DC</t>
  </si>
  <si>
    <t>Annual energy reduction</t>
  </si>
  <si>
    <t>Peak power demand reduction</t>
  </si>
  <si>
    <t>Duty cycle of ice machine</t>
  </si>
  <si>
    <t>Annual operating hours</t>
  </si>
  <si>
    <t>User input</t>
  </si>
  <si>
    <t>Example Savings Calculation:</t>
  </si>
  <si>
    <t>°F</t>
  </si>
  <si>
    <t>Constant</t>
  </si>
  <si>
    <t>Factor to convert BTU to kWh</t>
  </si>
  <si>
    <t>This measure could relate to the replacing of an existing unit at the end of its useful life, or the installation of a new system in a new or existing building.</t>
  </si>
  <si>
    <t>The high efficiency scenario is specific to each project and may include one or more energy efficiency measures.  Energy and demand savings calculations are based on comparing a base case analysis and enhanced cased analysis on equipment efficiencies and operating characteristics and are determined on a case-by-case basis.  The energy efficiency measures must be proven cost-effective, pass total resource benefit, and have a payback greater than or equal to 1.</t>
  </si>
  <si>
    <t>A base case and enhanced case model must be produced with a clear comparison.  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actual savings.  Proposed base and enhanced cases must be performed by a qualified person or firm.  In some cases, a professional engineer may be required to provide verification of the analysis.</t>
  </si>
  <si>
    <t>• Program approval is required prior to the start of work on the energy study.
• The program reserves the right to review all materials that result from a program-supported study including, but not limited to, final reports, consultant recommendations, and metered data.
• The study must be performed by a qualified person or firm. A brief summary of the consultant’s qualifications should be submitted with the application. In some cases, a professional engineer may be required to provide verification of the analysis.
• At any time, customers may contact program staff to discuss a project, get assistance in preparing an application, or with any program-related questions.</t>
  </si>
  <si>
    <t>Gross energy and demand savings estimates for design assistance are calculated using engineering analysis and project-specific details.  Custom analyses typically include a weather dependent load bin analysis, whole building energy model simulation, or other engineering analysis and include estimates of savings, costs, and an evaluation of the project’s cost-effectiveness.</t>
  </si>
  <si>
    <t>Gross energy and demand savings estimates for energy studies are calculated using engineering analysis and project-specific details.  Energy study analyses typically include estimates of savings, costs, and an evaluation of the cost-effectiveness of potential projects/upgrades.</t>
  </si>
  <si>
    <t>All assumptions, data and formulas used in energy efficiency calculations must be clearly documented. Standard engineering principles must be applied, and all references cited. Energy saving calculations shall also reflect the interactive effects of other simultaneous technologies to prevent the overstatement of the actual savings.</t>
  </si>
  <si>
    <t>The Energy Study shall include the following information and be presented in the following format:</t>
  </si>
  <si>
    <r>
      <t>1)</t>
    </r>
    <r>
      <rPr>
        <sz val="7"/>
        <color theme="1"/>
        <rFont val="Times New Roman"/>
        <family val="1"/>
      </rPr>
      <t xml:space="preserve">      </t>
    </r>
    <r>
      <rPr>
        <sz val="11"/>
        <color theme="1"/>
        <rFont val="Calibri"/>
        <family val="2"/>
        <scheme val="minor"/>
      </rPr>
      <t>Executive Summary</t>
    </r>
  </si>
  <si>
    <r>
      <t>a)</t>
    </r>
    <r>
      <rPr>
        <sz val="7"/>
        <color theme="1"/>
        <rFont val="Times New Roman"/>
        <family val="1"/>
      </rPr>
      <t xml:space="preserve">      </t>
    </r>
    <r>
      <rPr>
        <sz val="11"/>
        <color theme="1"/>
        <rFont val="Calibri"/>
        <family val="2"/>
        <scheme val="minor"/>
      </rPr>
      <t>Energy Conservation Measures (ECMs) Proposed</t>
    </r>
  </si>
  <si>
    <r>
      <t>b)</t>
    </r>
    <r>
      <rPr>
        <sz val="7"/>
        <color theme="1"/>
        <rFont val="Times New Roman"/>
        <family val="1"/>
      </rPr>
      <t xml:space="preserve">      </t>
    </r>
    <r>
      <rPr>
        <sz val="11"/>
        <color theme="1"/>
        <rFont val="Calibri"/>
        <family val="2"/>
        <scheme val="minor"/>
      </rPr>
      <t xml:space="preserve">Summary of Baseline and Enhanced Case Assumptions </t>
    </r>
  </si>
  <si>
    <r>
      <t>c)</t>
    </r>
    <r>
      <rPr>
        <sz val="7"/>
        <color theme="1"/>
        <rFont val="Times New Roman"/>
        <family val="1"/>
      </rPr>
      <t xml:space="preserve">      </t>
    </r>
    <r>
      <rPr>
        <sz val="11"/>
        <color theme="1"/>
        <rFont val="Calibri"/>
        <family val="2"/>
        <scheme val="minor"/>
      </rPr>
      <t xml:space="preserve">Actionable Recommendations in “loading order.” </t>
    </r>
  </si>
  <si>
    <r>
      <t>2)</t>
    </r>
    <r>
      <rPr>
        <sz val="7"/>
        <color theme="1"/>
        <rFont val="Times New Roman"/>
        <family val="1"/>
      </rPr>
      <t xml:space="preserve">      </t>
    </r>
    <r>
      <rPr>
        <sz val="11"/>
        <color theme="1"/>
        <rFont val="Calibri"/>
        <family val="2"/>
        <scheme val="minor"/>
      </rPr>
      <t xml:space="preserve">Technical Information and Analysis </t>
    </r>
  </si>
  <si>
    <r>
      <t>a)</t>
    </r>
    <r>
      <rPr>
        <sz val="7"/>
        <color theme="1"/>
        <rFont val="Times New Roman"/>
        <family val="1"/>
      </rPr>
      <t xml:space="preserve">   </t>
    </r>
    <r>
      <rPr>
        <sz val="11"/>
        <color theme="1"/>
        <rFont val="Calibri"/>
        <family val="2"/>
        <scheme val="minor"/>
      </rPr>
      <t xml:space="preserve">Energy Consumption Analysis </t>
    </r>
  </si>
  <si>
    <r>
      <t>i)</t>
    </r>
    <r>
      <rPr>
        <sz val="7"/>
        <color theme="1"/>
        <rFont val="Times New Roman"/>
        <family val="1"/>
      </rPr>
      <t xml:space="preserve">     </t>
    </r>
    <r>
      <rPr>
        <sz val="11"/>
        <color theme="1"/>
        <rFont val="Calibri"/>
        <family val="2"/>
        <scheme val="minor"/>
      </rPr>
      <t>Two years of billing data (weatherized and compared to some pertinent operating metric)</t>
    </r>
  </si>
  <si>
    <r>
      <t>b)</t>
    </r>
    <r>
      <rPr>
        <sz val="7"/>
        <color theme="1"/>
        <rFont val="Times New Roman"/>
        <family val="1"/>
      </rPr>
      <t xml:space="preserve">   </t>
    </r>
    <r>
      <rPr>
        <sz val="11"/>
        <color theme="1"/>
        <rFont val="Calibri"/>
        <family val="2"/>
        <scheme val="minor"/>
      </rPr>
      <t xml:space="preserve">Description of the project </t>
    </r>
  </si>
  <si>
    <r>
      <t>c)</t>
    </r>
    <r>
      <rPr>
        <sz val="7"/>
        <color theme="1"/>
        <rFont val="Times New Roman"/>
        <family val="1"/>
      </rPr>
      <t xml:space="preserve">    </t>
    </r>
    <r>
      <rPr>
        <sz val="11"/>
        <color theme="1"/>
        <rFont val="Calibri"/>
        <family val="2"/>
        <scheme val="minor"/>
      </rPr>
      <t>Proposed Energy Conservation Measures (ECM)</t>
    </r>
  </si>
  <si>
    <r>
      <t>i)</t>
    </r>
    <r>
      <rPr>
        <sz val="7"/>
        <color theme="1"/>
        <rFont val="Times New Roman"/>
        <family val="1"/>
      </rPr>
      <t xml:space="preserve">     </t>
    </r>
    <r>
      <rPr>
        <sz val="11"/>
        <color theme="1"/>
        <rFont val="Calibri"/>
        <family val="2"/>
        <scheme val="minor"/>
      </rPr>
      <t>Descriptive Name</t>
    </r>
  </si>
  <si>
    <r>
      <t>ii)</t>
    </r>
    <r>
      <rPr>
        <sz val="7"/>
        <color theme="1"/>
        <rFont val="Times New Roman"/>
        <family val="1"/>
      </rPr>
      <t xml:space="preserve">    </t>
    </r>
    <r>
      <rPr>
        <sz val="11"/>
        <color theme="1"/>
        <rFont val="Calibri"/>
        <family val="2"/>
        <scheme val="minor"/>
      </rPr>
      <t>Schematic System Drawing</t>
    </r>
  </si>
  <si>
    <r>
      <t>iii)</t>
    </r>
    <r>
      <rPr>
        <sz val="7"/>
        <color theme="1"/>
        <rFont val="Times New Roman"/>
        <family val="1"/>
      </rPr>
      <t xml:space="preserve">  </t>
    </r>
    <r>
      <rPr>
        <sz val="11"/>
        <color theme="1"/>
        <rFont val="Calibri"/>
        <family val="2"/>
        <scheme val="minor"/>
      </rPr>
      <t>Current Peak Demand (kW), Energy Usage (kWh), Effective Full Load Run Hours</t>
    </r>
  </si>
  <si>
    <r>
      <t>iv)</t>
    </r>
    <r>
      <rPr>
        <sz val="7"/>
        <color theme="1"/>
        <rFont val="Times New Roman"/>
        <family val="1"/>
      </rPr>
      <t xml:space="preserve">  </t>
    </r>
    <r>
      <rPr>
        <sz val="11"/>
        <color theme="1"/>
        <rFont val="Calibri"/>
        <family val="2"/>
        <scheme val="minor"/>
      </rPr>
      <t>Proposed Peak Demand (kW), Energy Usage (kWh), Effective Full Load Run Hours</t>
    </r>
  </si>
  <si>
    <r>
      <t>v)</t>
    </r>
    <r>
      <rPr>
        <sz val="7"/>
        <color theme="1"/>
        <rFont val="Times New Roman"/>
        <family val="1"/>
      </rPr>
      <t xml:space="preserve">    </t>
    </r>
    <r>
      <rPr>
        <sz val="11"/>
        <color theme="1"/>
        <rFont val="Calibri"/>
        <family val="2"/>
        <scheme val="minor"/>
      </rPr>
      <t>% Change for above</t>
    </r>
  </si>
  <si>
    <r>
      <t>vi)</t>
    </r>
    <r>
      <rPr>
        <sz val="7"/>
        <color theme="1"/>
        <rFont val="Times New Roman"/>
        <family val="1"/>
      </rPr>
      <t xml:space="preserve">  </t>
    </r>
    <r>
      <rPr>
        <sz val="11"/>
        <color theme="1"/>
        <rFont val="Calibri"/>
        <family val="2"/>
        <scheme val="minor"/>
      </rPr>
      <t>Estimated Installation Cost</t>
    </r>
  </si>
  <si>
    <r>
      <t>vii)</t>
    </r>
    <r>
      <rPr>
        <sz val="7"/>
        <color theme="1"/>
        <rFont val="Times New Roman"/>
        <family val="1"/>
      </rPr>
      <t xml:space="preserve"> </t>
    </r>
    <r>
      <rPr>
        <sz val="11"/>
        <color theme="1"/>
        <rFont val="Calibri"/>
        <family val="2"/>
        <scheme val="minor"/>
      </rPr>
      <t>Project timeline</t>
    </r>
  </si>
  <si>
    <r>
      <t>viii)</t>
    </r>
    <r>
      <rPr>
        <sz val="7"/>
        <color theme="1"/>
        <rFont val="Times New Roman"/>
        <family val="1"/>
      </rPr>
      <t xml:space="preserve">  </t>
    </r>
    <r>
      <rPr>
        <sz val="11"/>
        <color theme="1"/>
        <rFont val="Calibri"/>
        <family val="2"/>
        <scheme val="minor"/>
      </rPr>
      <t>Measure Life</t>
    </r>
  </si>
  <si>
    <r>
      <t>ix)</t>
    </r>
    <r>
      <rPr>
        <sz val="7"/>
        <color theme="1"/>
        <rFont val="Times New Roman"/>
        <family val="1"/>
      </rPr>
      <t xml:space="preserve">  </t>
    </r>
    <r>
      <rPr>
        <sz val="11"/>
        <color theme="1"/>
        <rFont val="Calibri"/>
        <family val="2"/>
        <scheme val="minor"/>
      </rPr>
      <t>Simple Payback</t>
    </r>
  </si>
  <si>
    <r>
      <t>d)</t>
    </r>
    <r>
      <rPr>
        <sz val="7"/>
        <color theme="1"/>
        <rFont val="Times New Roman"/>
        <family val="1"/>
      </rPr>
      <t xml:space="preserve">   </t>
    </r>
    <r>
      <rPr>
        <sz val="11"/>
        <color theme="1"/>
        <rFont val="Calibri"/>
        <family val="2"/>
        <scheme val="minor"/>
      </rPr>
      <t>Base case information</t>
    </r>
  </si>
  <si>
    <r>
      <t>i)</t>
    </r>
    <r>
      <rPr>
        <sz val="7"/>
        <color theme="1"/>
        <rFont val="Times New Roman"/>
        <family val="1"/>
      </rPr>
      <t xml:space="preserve">     </t>
    </r>
    <r>
      <rPr>
        <sz val="11"/>
        <color theme="1"/>
        <rFont val="Calibri"/>
        <family val="2"/>
        <scheme val="minor"/>
      </rPr>
      <t xml:space="preserve">Short term/spot baseline thermal, fluid, and electrical measurements for major equipment to be changed with ECMs </t>
    </r>
  </si>
  <si>
    <r>
      <t>ii)</t>
    </r>
    <r>
      <rPr>
        <sz val="7"/>
        <color theme="1"/>
        <rFont val="Times New Roman"/>
        <family val="1"/>
      </rPr>
      <t xml:space="preserve">    </t>
    </r>
    <r>
      <rPr>
        <sz val="11"/>
        <color theme="1"/>
        <rFont val="Calibri"/>
        <family val="2"/>
        <scheme val="minor"/>
      </rPr>
      <t xml:space="preserve">Permanent metering data (This metering will qualify for additional cost assistance) </t>
    </r>
  </si>
  <si>
    <r>
      <t>iii)</t>
    </r>
    <r>
      <rPr>
        <sz val="7"/>
        <color theme="1"/>
        <rFont val="Times New Roman"/>
        <family val="1"/>
      </rPr>
      <t xml:space="preserve">  </t>
    </r>
    <r>
      <rPr>
        <sz val="11"/>
        <color theme="1"/>
        <rFont val="Calibri"/>
        <family val="2"/>
        <scheme val="minor"/>
      </rPr>
      <t>Sizing/Performance Reviews (Pump Curves, Cooling Bin Data etc.)</t>
    </r>
  </si>
  <si>
    <r>
      <t>e)</t>
    </r>
    <r>
      <rPr>
        <sz val="7"/>
        <color theme="1"/>
        <rFont val="Times New Roman"/>
        <family val="1"/>
      </rPr>
      <t xml:space="preserve">   </t>
    </r>
    <r>
      <rPr>
        <sz val="11"/>
        <color theme="1"/>
        <rFont val="Calibri"/>
        <family val="2"/>
        <scheme val="minor"/>
      </rPr>
      <t>Enhanced case information</t>
    </r>
  </si>
  <si>
    <r>
      <t>i)</t>
    </r>
    <r>
      <rPr>
        <sz val="7"/>
        <color theme="1"/>
        <rFont val="Times New Roman"/>
        <family val="1"/>
      </rPr>
      <t xml:space="preserve">     </t>
    </r>
    <r>
      <rPr>
        <sz val="11"/>
        <color theme="1"/>
        <rFont val="Calibri"/>
        <family val="2"/>
        <scheme val="minor"/>
      </rPr>
      <t>How will performance be measured in the future.</t>
    </r>
  </si>
  <si>
    <r>
      <t>ii)</t>
    </r>
    <r>
      <rPr>
        <sz val="7"/>
        <color theme="1"/>
        <rFont val="Times New Roman"/>
        <family val="1"/>
      </rPr>
      <t xml:space="preserve">    </t>
    </r>
    <r>
      <rPr>
        <sz val="11"/>
        <color theme="1"/>
        <rFont val="Calibri"/>
        <family val="2"/>
        <scheme val="minor"/>
      </rPr>
      <t xml:space="preserve">Description of where energy savings occurs (lower run time, more efficient operations etc.)  </t>
    </r>
  </si>
  <si>
    <r>
      <t>f)</t>
    </r>
    <r>
      <rPr>
        <sz val="7"/>
        <color theme="1"/>
        <rFont val="Times New Roman"/>
        <family val="1"/>
      </rPr>
      <t xml:space="preserve">    </t>
    </r>
    <r>
      <rPr>
        <sz val="11"/>
        <color theme="1"/>
        <rFont val="Calibri"/>
        <family val="2"/>
        <scheme val="minor"/>
      </rPr>
      <t xml:space="preserve">Estimated energy and demand savings associated with your proposed project </t>
    </r>
  </si>
  <si>
    <r>
      <t>i)</t>
    </r>
    <r>
      <rPr>
        <sz val="7"/>
        <color theme="1"/>
        <rFont val="Times New Roman"/>
        <family val="1"/>
      </rPr>
      <t xml:space="preserve">     </t>
    </r>
    <r>
      <rPr>
        <sz val="11"/>
        <color theme="1"/>
        <rFont val="Calibri"/>
        <family val="2"/>
        <scheme val="minor"/>
      </rPr>
      <t xml:space="preserve">Applicable figures and tables </t>
    </r>
  </si>
  <si>
    <r>
      <t>ii)</t>
    </r>
    <r>
      <rPr>
        <sz val="7"/>
        <color theme="1"/>
        <rFont val="Times New Roman"/>
        <family val="1"/>
      </rPr>
      <t xml:space="preserve">    </t>
    </r>
    <r>
      <rPr>
        <sz val="11"/>
        <color theme="1"/>
        <rFont val="Calibri"/>
        <family val="2"/>
        <scheme val="minor"/>
      </rPr>
      <t xml:space="preserve">Simple payback period and/or life cycle costs </t>
    </r>
  </si>
  <si>
    <r>
      <t>g)</t>
    </r>
    <r>
      <rPr>
        <sz val="7"/>
        <color theme="1"/>
        <rFont val="Times New Roman"/>
        <family val="1"/>
      </rPr>
      <t xml:space="preserve">   </t>
    </r>
    <r>
      <rPr>
        <sz val="11"/>
        <color theme="1"/>
        <rFont val="Calibri"/>
        <family val="2"/>
        <scheme val="minor"/>
      </rPr>
      <t xml:space="preserve">Estimated costs including design, materials, and installation </t>
    </r>
  </si>
  <si>
    <r>
      <t>3)</t>
    </r>
    <r>
      <rPr>
        <sz val="7"/>
        <color theme="1"/>
        <rFont val="Times New Roman"/>
        <family val="1"/>
      </rPr>
      <t xml:space="preserve">      </t>
    </r>
    <r>
      <rPr>
        <sz val="11"/>
        <color theme="1"/>
        <rFont val="Calibri"/>
        <family val="2"/>
        <scheme val="minor"/>
      </rPr>
      <t xml:space="preserve">Appendix </t>
    </r>
  </si>
  <si>
    <r>
      <t>a)</t>
    </r>
    <r>
      <rPr>
        <sz val="7"/>
        <color theme="1"/>
        <rFont val="Times New Roman"/>
        <family val="1"/>
      </rPr>
      <t xml:space="preserve">   </t>
    </r>
    <r>
      <rPr>
        <sz val="11"/>
        <color theme="1"/>
        <rFont val="Calibri"/>
        <family val="2"/>
        <scheme val="minor"/>
      </rPr>
      <t>Raw and Analyzed Data (Cooling Models, Field Data, Pictures, Metering Data etc.)</t>
    </r>
  </si>
  <si>
    <t>b)  Building Plans (Mechanical, Electrical Schedules, Layouts etc.)</t>
  </si>
  <si>
    <t>HVAC</t>
  </si>
  <si>
    <t>(S)EER_b</t>
  </si>
  <si>
    <t>(S)EER_ee</t>
  </si>
  <si>
    <t xml:space="preserve">baseline rated efficiency, BTU/hr-W, which depends on cooling capacity of proposed equipment. 
</t>
  </si>
  <si>
    <t>see table 1</t>
  </si>
  <si>
    <t>HOURS</t>
  </si>
  <si>
    <t>equivalent full load cooling hours</t>
  </si>
  <si>
    <t>expected duration of energy savings</t>
  </si>
  <si>
    <t>Table 1 Footnotes:</t>
  </si>
  <si>
    <t>Misc. Commercial</t>
  </si>
  <si>
    <t>Cold Storage</t>
  </si>
  <si>
    <t>Education</t>
  </si>
  <si>
    <t>Grocery</t>
  </si>
  <si>
    <t>Health</t>
  </si>
  <si>
    <t>Hotel/Motel</t>
  </si>
  <si>
    <t>Industrial</t>
  </si>
  <si>
    <t>Restaurant</t>
  </si>
  <si>
    <t>Retail</t>
  </si>
  <si>
    <t>Warehouse</t>
  </si>
  <si>
    <t>RECOMMENDATIONS</t>
  </si>
  <si>
    <t>All</t>
  </si>
  <si>
    <t>Centrifugal</t>
  </si>
  <si>
    <t>Size</t>
  </si>
  <si>
    <t>Type</t>
  </si>
  <si>
    <t>kW/ton</t>
  </si>
  <si>
    <t>COP</t>
  </si>
  <si>
    <t>Chiller</t>
  </si>
  <si>
    <t>LF</t>
  </si>
  <si>
    <t>see Table 1</t>
  </si>
  <si>
    <t>N/A</t>
  </si>
  <si>
    <t>• All entry and lanai doors must have door switches or other technologies that will de-energize the fan coil unit (FCU) when the door remains open.
• All main rooms must have occupancy sensors that will de-energize the FCU when no movement is detected for a given period of time (not to exceed 15 minutes).
• Thermostat controls must be preset.
• Applicant must be on a Commercial Rate Schedule (reference utility bill).</t>
  </si>
  <si>
    <t>wattage of the baseline lamp</t>
  </si>
  <si>
    <t>wattage of the proposed efficient lamp</t>
  </si>
  <si>
    <t>persistence factor, % of measures installed and operating</t>
  </si>
  <si>
    <t>EFLH</t>
  </si>
  <si>
    <t>Table 1. Measure Descriptions</t>
  </si>
  <si>
    <t>Lighting Type</t>
  </si>
  <si>
    <t>4' Lamp</t>
  </si>
  <si>
    <t>2' Lamp</t>
  </si>
  <si>
    <t>8' Lamp</t>
  </si>
  <si>
    <t>LED Exit Sign</t>
  </si>
  <si>
    <t>4' retrofit kit</t>
  </si>
  <si>
    <t>5' retrofit kit</t>
  </si>
  <si>
    <t>6' retrofit kit</t>
  </si>
  <si>
    <t>Lighting</t>
  </si>
  <si>
    <t>LED: MR16</t>
  </si>
  <si>
    <t>LED: PAR20</t>
  </si>
  <si>
    <t>LED: PAR30</t>
  </si>
  <si>
    <t>LED: PAR38</t>
  </si>
  <si>
    <t>Occupancy Sensor</t>
  </si>
  <si>
    <t>CFL</t>
  </si>
  <si>
    <t>Exterior</t>
  </si>
  <si>
    <t>Demand Savings (kW)</t>
  </si>
  <si>
    <t>3' Lamp</t>
  </si>
  <si>
    <t>MR16</t>
  </si>
  <si>
    <t>1'x4' Fixture</t>
  </si>
  <si>
    <t>2'x2' Fixture</t>
  </si>
  <si>
    <t>2'x4' Fixture</t>
  </si>
  <si>
    <t>PAR20</t>
  </si>
  <si>
    <t>PAR30</t>
  </si>
  <si>
    <t>Percent of lamps incentivized that are dimmable</t>
  </si>
  <si>
    <t>Percent of lamps incentivized that are non-dimmable</t>
  </si>
  <si>
    <t>PAR38</t>
  </si>
  <si>
    <t>RTR</t>
  </si>
  <si>
    <t>Total wattage controlled by sensor</t>
  </si>
  <si>
    <t>Hours of lighting operation</t>
  </si>
  <si>
    <t>Factor reflecting impact of lighting savings on cooling load</t>
  </si>
  <si>
    <t>Expected duration of savings</t>
  </si>
  <si>
    <t>W</t>
  </si>
  <si>
    <t>Conversion factor from W to kW</t>
  </si>
  <si>
    <t>W/kW</t>
  </si>
  <si>
    <t>kW_b</t>
  </si>
  <si>
    <t>Anti-Sweat Heater Controls</t>
  </si>
  <si>
    <t>Anti-sweat heater controls sense the relative humidity in the air outside of a refrigerated display case and reduces or shuts off the glass door and/or frame anti-sweat heaters based on dew point temperature. Heat generated by an ASH is also load on the display case refrigeration system. Thus, reduction in ASH duty cycle will also have an interactive effect on the refrigeration energy. As a result, compressor run time and energy consumption are reduced.</t>
  </si>
  <si>
    <t>annual Peak kW savings from ASH per door</t>
  </si>
  <si>
    <t xml:space="preserve">SDG&amp;E Statewide Express Efficiency Program - https://www.sdge.com/sites/default/files/regulatory/Express%20and%20SBS%20Workpapers.pdf </t>
  </si>
  <si>
    <t>annual kWh savings from ASH</t>
  </si>
  <si>
    <t>annual kW savings from Compressor</t>
  </si>
  <si>
    <t>annual kWh savings from Compressor</t>
  </si>
  <si>
    <t>SVG_cooling</t>
  </si>
  <si>
    <t>=BaseWatts/door*SVG_d_Comp</t>
  </si>
  <si>
    <t>Baseline door heater power</t>
  </si>
  <si>
    <t>Baseline door heater power (3.413 Btu/h per W)</t>
  </si>
  <si>
    <t>Btu/hr/door</t>
  </si>
  <si>
    <t>EER</t>
  </si>
  <si>
    <t>Compressor energy efficiency ratio</t>
  </si>
  <si>
    <t>Compressor run time</t>
  </si>
  <si>
    <t>Typical Store relative humidity</t>
  </si>
  <si>
    <t>Total Cooling Savings:</t>
  </si>
  <si>
    <t>Total Peak Power Savings:</t>
  </si>
  <si>
    <t>kW/door</t>
  </si>
  <si>
    <t>Total Annual Energy Savings:</t>
  </si>
  <si>
    <t>kWh/door</t>
  </si>
  <si>
    <t>Per Linear Foot calculation:</t>
  </si>
  <si>
    <t>Door width</t>
  </si>
  <si>
    <t>inches</t>
  </si>
  <si>
    <t>Bottom door length</t>
  </si>
  <si>
    <t>Peak kW savings per linear foot</t>
  </si>
  <si>
    <t>Annual kWh savings per linear foot</t>
  </si>
  <si>
    <t>peak kW savings per W</t>
  </si>
  <si>
    <t>annual kWh savings per W</t>
  </si>
  <si>
    <t>peak kW savings per motor</t>
  </si>
  <si>
    <t>annual kWh savings per motor</t>
  </si>
  <si>
    <t>Table 1</t>
  </si>
  <si>
    <t>Table 1: Approved ECM- Values</t>
  </si>
  <si>
    <t>Technology</t>
  </si>
  <si>
    <t>Shaded Pole motor for refrigeration</t>
  </si>
  <si>
    <t>ECM motor for refrigeration</t>
  </si>
  <si>
    <t>Baseline motor on AHU fan</t>
  </si>
  <si>
    <t>ECM motor on AHU fan</t>
  </si>
  <si>
    <t>Table 2: Demand and Energy Savings for ECM motors</t>
  </si>
  <si>
    <t>peak kW savings</t>
  </si>
  <si>
    <t>1. Refer to current Pennsylvania Technical Reference Manual for additional ECM motor savings assumptions</t>
  </si>
  <si>
    <t>Controls can significantly reduce the energy consumption of vending machine lighting and refrigeration systems. Qualifying controls must power down these systems during periods of inactivity but, in the case of refrigerated machines, must always maintain a cool product that meets customer expectations. This measure applies to refrigerated beverage vending machines, non-refrigerated snack vending machines, and glass front refrigerated coolers. This measure should not be applied to ENERGY STAR® qualified vending machines, as they already have built-in controls.</t>
  </si>
  <si>
    <t>The baseline efficiency case is a standard efficiency refrigerated beverage vending machine, non-refrigerated snack vending machine, or glass front refrigerated cooler without a control system capable of powering down lighting and refrigeration systems during periods of inactivity.</t>
  </si>
  <si>
    <t>The high efficiency case is a standard efficiency refrigerated beverage vending machine, non-refrigerated snack vending machine, or glass front refrigerated cooler with a control system capable of powering down lighting and refrigeration systems during periods of inactivity.</t>
  </si>
  <si>
    <t>One control unit</t>
  </si>
  <si>
    <t>P</t>
  </si>
  <si>
    <t>SVG</t>
  </si>
  <si>
    <t>Operating hours</t>
  </si>
  <si>
    <t>Savings fact for connected equipment</t>
  </si>
  <si>
    <t>24 hrs/day, 7 days/wk</t>
  </si>
  <si>
    <t>Similar to the timers you might use to control lights in your home, plug-in appliance timers allow you to pre-program the times that various appliances in your business are turned on and drawing electricity. So you could pre-program the water cooler so it turns on one hour before the office opens and turns off again after everyone leaves.</t>
  </si>
  <si>
    <t>No timer</t>
  </si>
  <si>
    <t>Timer installed</t>
  </si>
  <si>
    <t>One timer unit</t>
  </si>
  <si>
    <r>
      <t>·</t>
    </r>
    <r>
      <rPr>
        <sz val="7"/>
        <color theme="1"/>
        <rFont val="Times New Roman"/>
        <family val="1"/>
      </rPr>
      <t xml:space="preserve">        </t>
    </r>
    <r>
      <rPr>
        <sz val="11"/>
        <color theme="1"/>
        <rFont val="Calibri"/>
        <family val="2"/>
        <scheme val="minor"/>
      </rPr>
      <t>50% Conventional</t>
    </r>
  </si>
  <si>
    <t>It is assumed that half of all water coolers are cold only and half are hot + cold dispenser:</t>
  </si>
  <si>
    <r>
      <t>·</t>
    </r>
    <r>
      <rPr>
        <sz val="7"/>
        <color theme="1"/>
        <rFont val="Times New Roman"/>
        <family val="1"/>
      </rPr>
      <t xml:space="preserve">        </t>
    </r>
    <r>
      <rPr>
        <sz val="11"/>
        <color theme="1"/>
        <rFont val="Calibri"/>
        <family val="2"/>
        <scheme val="minor"/>
      </rPr>
      <t>50% Cold Only</t>
    </r>
  </si>
  <si>
    <r>
      <t>·</t>
    </r>
    <r>
      <rPr>
        <sz val="7"/>
        <color theme="1"/>
        <rFont val="Times New Roman"/>
        <family val="1"/>
      </rPr>
      <t xml:space="preserve">        </t>
    </r>
    <r>
      <rPr>
        <sz val="11"/>
        <color theme="1"/>
        <rFont val="Calibri"/>
        <family val="2"/>
        <scheme val="minor"/>
      </rPr>
      <t>50% Hot + Cold</t>
    </r>
  </si>
  <si>
    <t>The energy savings figure will be based on the average of the above-mentioned percentages.</t>
  </si>
  <si>
    <t>Persistence Factor = 90%</t>
  </si>
  <si>
    <t>Energy Savings = 225 x 90% = 202.5 kWh/year</t>
  </si>
  <si>
    <t>Taking a conservative approach, the demand savings will based on the following calculation and methodology:</t>
  </si>
  <si>
    <t>Demand Savings = 225 kWh/year divided by 8760 hrs/year = 0.026 kW</t>
  </si>
  <si>
    <t>Coincidence Factor = 75%</t>
  </si>
  <si>
    <t>Note:  Based on utilization of 3 of the 4 peak hours (6PM-9PM).  5PM-6PM is not counted since most offices close at 5PM and the timer should be set to turn off cooler 1 hour after office closes which is 6PM.</t>
  </si>
  <si>
    <t xml:space="preserve">Coincidence Demand Savings = 0.026 kW x .75 = 0.020 kW </t>
  </si>
  <si>
    <t>Persistence = 90% (10% of people will disconnect)</t>
  </si>
  <si>
    <t>Peak Demand Savings = 0.020 kW x .90 = 0.018 kW</t>
  </si>
  <si>
    <t>annual kWh savings</t>
  </si>
  <si>
    <t>Source:</t>
  </si>
  <si>
    <t>Tier 1</t>
  </si>
  <si>
    <t>Tier 2</t>
  </si>
  <si>
    <t>Quantity</t>
  </si>
  <si>
    <t>Water Heating</t>
  </si>
  <si>
    <t>20 years</t>
  </si>
  <si>
    <t>Collector Tilt (degrees)</t>
  </si>
  <si>
    <t>255-270</t>
  </si>
  <si>
    <t>This program is to assist master-metered condominiums and their Association of Apartment Owners (AOAO) efforts to reduce energy consumption and implement the current submetering proposal as one that will insure both equity and fairness in allocating energy costs as well as encouraging energy conservation through direct feedback of personal energy use to tenants.
The combination of billing submeters, along with education, peer group comparisons and special equipment offerings, will assist the tenant achieve significant energy conservation and efficiency.</t>
  </si>
  <si>
    <t>The base case is no submetering.  Baseline Annual Energy Usage is the actual average usage (kWh/year) based on historical usage for past 24 months (or as appropriate) for entire condominium (master metered) divided by the number of condominium units.  Baseline demand (kW) is the Average Historical Demand divided by the number of condominium units.</t>
  </si>
  <si>
    <t>The high efficiency case is with submetering.  It is expected there will be a 10% reduction in energy usage and 8% reduction in peak demand during (5PM – 9PM).</t>
  </si>
  <si>
    <t>This program is to assist master-metered small businesses to reduce energy consumption that will insure both equity and fairness in allocating energy costs as well as encouraging energy conservation through direct feedback of personal energy use to business tenants.
The combination of billing submeters, along with education, peer group comparisons and special equipment offerings, will assist the tenant achieve significant energy conservation and efficiency.</t>
  </si>
  <si>
    <t>The base case is no submetering.</t>
  </si>
  <si>
    <t>The high efficiency case is with submetering.</t>
  </si>
  <si>
    <t>Small Business</t>
  </si>
  <si>
    <t>Demand Savings
(kW)</t>
  </si>
  <si>
    <t>Annual Energy Savings
(kWh/year)</t>
  </si>
  <si>
    <t>Adjustment Factor</t>
  </si>
  <si>
    <t>Operational Factor</t>
  </si>
  <si>
    <t>Persistence Factor (PF)</t>
  </si>
  <si>
    <t>Coincidence Factor (CF)</t>
  </si>
  <si>
    <t>Pre-commissioning operating procedures.</t>
  </si>
  <si>
    <t>Post-commissioning operating procedures.</t>
  </si>
  <si>
    <t>Re|Retro-Commissioning</t>
  </si>
  <si>
    <t>Custom</t>
  </si>
  <si>
    <t>Clothes Washer</t>
  </si>
  <si>
    <t>ENERGY STAR certified</t>
  </si>
  <si>
    <t>ΔE_lifetime</t>
  </si>
  <si>
    <t>IMEF_base</t>
  </si>
  <si>
    <t>IMEF_he</t>
  </si>
  <si>
    <t>CYCLES</t>
  </si>
  <si>
    <t>%E_wash,base</t>
  </si>
  <si>
    <t>%E_heat,base</t>
  </si>
  <si>
    <t>%E_dry,base</t>
  </si>
  <si>
    <t>%E_wash,he</t>
  </si>
  <si>
    <t>%E_heat,he</t>
  </si>
  <si>
    <t>%E_dry,he</t>
  </si>
  <si>
    <t>%DRYER_electric</t>
  </si>
  <si>
    <t>%HEATER_electric</t>
  </si>
  <si>
    <t>Tier 3</t>
  </si>
  <si>
    <t>Integrated Modified Energy Factor of baseline unit</t>
  </si>
  <si>
    <t>Integrated Modified Energy Factor of efficient unit</t>
  </si>
  <si>
    <t>Average number of washer cycles per washer per year</t>
  </si>
  <si>
    <t>Percentage of total energy consumption for clothes washer operation for a baseline model</t>
  </si>
  <si>
    <t>Percentage of total energy consumption for water heating for a baseline model</t>
  </si>
  <si>
    <t>Percentage of total energy consumption for clothes drying for a baseline model</t>
  </si>
  <si>
    <t>Percentage of total energy consumption for clothes washer operation for efficient unit</t>
  </si>
  <si>
    <t>Percentage of total energy consumption for water heating for efficient unit</t>
  </si>
  <si>
    <t>Percentage of total energy consumption for clothes drying for efficient unit</t>
  </si>
  <si>
    <t>Percentage of dryers assumed to be electric</t>
  </si>
  <si>
    <t>Percentage of water heating assumed to be electric</t>
  </si>
  <si>
    <t>Coincidence Factor</t>
  </si>
  <si>
    <t>Clothes Washer Tier 1</t>
  </si>
  <si>
    <t>Clothes Washer Tier 2</t>
  </si>
  <si>
    <t>Clothes Washer Tier 3</t>
  </si>
  <si>
    <t>Clothes Dryer</t>
  </si>
  <si>
    <t>Energy efficient clothes dryer as specified below replacing a baseline clothes dryer.</t>
  </si>
  <si>
    <t>One dryer</t>
  </si>
  <si>
    <t>Clothes dryer meeting minimum federal requirements (blended average of pre-1/1/15 and post-1/1/15 federal standards).</t>
  </si>
  <si>
    <t>LOAD</t>
  </si>
  <si>
    <t>Average total weight (lbs) of clothes per drying cycle</t>
  </si>
  <si>
    <t>Combined Energy Factor (lbs/kWh) of the baseline unit</t>
  </si>
  <si>
    <t>CEF_base</t>
  </si>
  <si>
    <t>CEF_he</t>
  </si>
  <si>
    <t>Combined Energy Factor (lbs/kWh) of the efficient unit</t>
  </si>
  <si>
    <t>Average number of dryer cycles per dryer per year</t>
  </si>
  <si>
    <t>Average run hours per dryer per year</t>
  </si>
  <si>
    <t>lbs</t>
  </si>
  <si>
    <t>Blended average of early replacement (80%) and replace on burnout (20%) baselines, using federal minimum CEF. From 1994-2014, minimum CEF was 3.01 (early replacement baseline). Since 2015, minimum CEF has been 3.73 (replace on burnout baseline).</t>
  </si>
  <si>
    <t>Based on ENERGY STAR product criteria testing.</t>
  </si>
  <si>
    <r>
      <rPr>
        <vertAlign val="superscript"/>
        <sz val="8"/>
        <rFont val="Calibri"/>
        <family val="2"/>
        <scheme val="minor"/>
      </rPr>
      <t xml:space="preserve">1 </t>
    </r>
    <r>
      <rPr>
        <sz val="8"/>
        <rFont val="Calibri"/>
        <family val="2"/>
        <scheme val="minor"/>
      </rPr>
      <t>https://www.energystar.gov/products/appliances/clothes_dryers/key_product_criteria</t>
    </r>
  </si>
  <si>
    <r>
      <rPr>
        <vertAlign val="superscript"/>
        <sz val="8"/>
        <rFont val="Calibri"/>
        <family val="2"/>
        <scheme val="minor"/>
      </rPr>
      <t xml:space="preserve">2 </t>
    </r>
    <r>
      <rPr>
        <sz val="8"/>
        <rFont val="Calibri"/>
        <family val="2"/>
        <scheme val="minor"/>
      </rPr>
      <t>https://www.neea.org/docs/default-source/reports/neea-clothes-dryer-field-study.pdf</t>
    </r>
  </si>
  <si>
    <r>
      <rPr>
        <vertAlign val="superscript"/>
        <sz val="8"/>
        <rFont val="Calibri"/>
        <family val="2"/>
        <scheme val="minor"/>
      </rPr>
      <t xml:space="preserve">3 </t>
    </r>
    <r>
      <rPr>
        <sz val="8"/>
        <rFont val="Calibri"/>
        <family val="2"/>
        <scheme val="minor"/>
      </rPr>
      <t>http://www.pnnl.gov/main/publications/external/technical_reports/PNNL-20110.pdf</t>
    </r>
  </si>
  <si>
    <r>
      <rPr>
        <vertAlign val="superscript"/>
        <sz val="8"/>
        <rFont val="Calibri"/>
        <family val="2"/>
        <scheme val="minor"/>
      </rPr>
      <t xml:space="preserve">4 </t>
    </r>
    <r>
      <rPr>
        <sz val="8"/>
        <rFont val="Calibri"/>
        <family val="2"/>
        <scheme val="minor"/>
      </rPr>
      <t>https://www.energystar.gov/sites/default/files/asset/document/ENERGY_STAR_Scoping_Report_Residential_Clothes_Dryers.pdf</t>
    </r>
  </si>
  <si>
    <t>Electronics</t>
  </si>
  <si>
    <t>= Baseline connected Watts (active)</t>
  </si>
  <si>
    <t>Baseline power consumption is drawn from ENERGY STAR “Consumer Electronics Calculator”.</t>
  </si>
  <si>
    <t>Watts_ee</t>
  </si>
  <si>
    <t>= Energy efficient connected Watts (active)</t>
  </si>
  <si>
    <t>ENERGY STAR V7.0 Program Requirements.</t>
  </si>
  <si>
    <t>= Demand Coincidence Factor</t>
  </si>
  <si>
    <t>Based on Efficiency Vermont TRM, 2015 for coincident usage between 5-7PM.</t>
  </si>
  <si>
    <t xml:space="preserve">HOURS_Active </t>
  </si>
  <si>
    <t>= Average hours of use per day in Active Mode</t>
  </si>
  <si>
    <t>6 years</t>
  </si>
  <si>
    <t>Demand Savings</t>
  </si>
  <si>
    <t>Energy Savings</t>
  </si>
  <si>
    <t>Base</t>
  </si>
  <si>
    <t>Baseline Watts (active)</t>
  </si>
  <si>
    <t>Fraunhofer Center for Sustainable Energy Systems. 2014. https://www.cta.tech/CTA/media/policyImages/Energy-Consumption-of-Consumer-Electronics.pdf</t>
  </si>
  <si>
    <t>Baseline Watts (idle)</t>
  </si>
  <si>
    <t>Baseline Watts (sleep)</t>
  </si>
  <si>
    <t>Energy efficient watts (active)</t>
  </si>
  <si>
    <t>Energy Solutions Report on RPP - Citing EPA Internal Analysis of Energy Star V2.0 Soundbars - https://static1.squarespace.com/static/53c96e16e4b003bdba4f4fee/t/556d387fe4b0d8dc09b24c28/1433221247215/RPP+Methodology+for+Developing+UEC+Estimates_Final.pdf</t>
  </si>
  <si>
    <t>Energy efficient watts (idle)</t>
  </si>
  <si>
    <t>Energy efficient watts (sleep)</t>
  </si>
  <si>
    <t>Hours_Active</t>
  </si>
  <si>
    <t>Hours per year in active mode</t>
  </si>
  <si>
    <t>Hours per year in idle mode</t>
  </si>
  <si>
    <t>Hours_Sleep</t>
  </si>
  <si>
    <t>Hours per year in sleep mode</t>
  </si>
  <si>
    <t xml:space="preserve">CF </t>
  </si>
  <si>
    <t>coincidence factor, percent of time savings correspond with utility peak 5pm -9 pm</t>
  </si>
  <si>
    <t>Assuming same CF as Televisions. Based on Efficiency Vermont TRM, 2015 for coincident usage between 5-7PM.</t>
  </si>
  <si>
    <t>persistence factor (% of measures installed and operational)</t>
  </si>
  <si>
    <t>Measure_Life</t>
  </si>
  <si>
    <t>expected duration of energy savings (years)</t>
  </si>
  <si>
    <t>Energy Star Assumption - Via NEEP Mid-Atlantic TRM Version 6</t>
  </si>
  <si>
    <t>PY15_small</t>
  </si>
  <si>
    <t>From a review of PY2015 rebates processed, the average size of a small unit</t>
  </si>
  <si>
    <t>One unit</t>
  </si>
  <si>
    <t>BTU/hr</t>
  </si>
  <si>
    <t>Conversion from W to kW</t>
  </si>
  <si>
    <t>Central AC Tune Up</t>
  </si>
  <si>
    <t>Maintenance of a residential central A/C system.</t>
  </si>
  <si>
    <t>Pre-tune up central air conditioning unit</t>
  </si>
  <si>
    <t>Post-tune up central air conditioning unit</t>
  </si>
  <si>
    <t>Average AC unit EER</t>
  </si>
  <si>
    <t>Average AC unit power demand</t>
  </si>
  <si>
    <t>Residential AC Tune Up</t>
  </si>
  <si>
    <t>Average AC unit cooling capacity</t>
  </si>
  <si>
    <t>3 ton of cooling</t>
  </si>
  <si>
    <r>
      <rPr>
        <vertAlign val="superscript"/>
        <sz val="8"/>
        <color theme="1"/>
        <rFont val="Calibri"/>
        <family val="2"/>
        <scheme val="minor"/>
      </rPr>
      <t xml:space="preserve">1 </t>
    </r>
    <r>
      <rPr>
        <sz val="8"/>
        <color theme="1"/>
        <rFont val="Calibri"/>
        <family val="2"/>
        <scheme val="minor"/>
      </rPr>
      <t>Accounts for impacts to performance due to incorrect refrigerant charge, clogged AHU filter, dirty condenser coil.</t>
    </r>
  </si>
  <si>
    <r>
      <rPr>
        <vertAlign val="superscript"/>
        <sz val="8"/>
        <color rgb="FF000000"/>
        <rFont val="Calibri"/>
        <family val="2"/>
        <scheme val="minor"/>
      </rPr>
      <t xml:space="preserve">2 </t>
    </r>
    <r>
      <rPr>
        <sz val="8"/>
        <color rgb="FF000000"/>
        <rFont val="Calibri"/>
        <family val="2"/>
        <scheme val="minor"/>
      </rPr>
      <t>A reduction in run time will occur once tune up is completed, lowering coincidence factor.</t>
    </r>
  </si>
  <si>
    <t>ENERGY STAR ceiling fan with high efficiency motor and CFL bulbs, replacing fan with standard efficiency motor and (three) integral incandescent bulbs.</t>
  </si>
  <si>
    <t>%low</t>
  </si>
  <si>
    <t>percent of time on low speed</t>
  </si>
  <si>
    <t>%med</t>
  </si>
  <si>
    <t>percent of time on medium speed</t>
  </si>
  <si>
    <t>%high</t>
  </si>
  <si>
    <t>percent of time on high speed</t>
  </si>
  <si>
    <t>Low_kW_base</t>
  </si>
  <si>
    <t>low speed baseline fan motor wattage</t>
  </si>
  <si>
    <t>Low_kW_ee</t>
  </si>
  <si>
    <t>low speed efficient fan motor wattage</t>
  </si>
  <si>
    <t>0.008 kW per current ENERGY STAR criteria and min air flow setting</t>
  </si>
  <si>
    <t>Med_kW_base</t>
  </si>
  <si>
    <t>medium speed baseline fan motor wattage</t>
  </si>
  <si>
    <t>Med_kW_ee</t>
  </si>
  <si>
    <t>medium speed efficient fan motor wattage</t>
  </si>
  <si>
    <t>0.030 kW per current criteria and min air flow setting</t>
  </si>
  <si>
    <t>High_kW_base</t>
  </si>
  <si>
    <t>high speed baseline fan motor wattage</t>
  </si>
  <si>
    <t>High_kW_ee</t>
  </si>
  <si>
    <t>high speed efficient fan motor wattage</t>
  </si>
  <si>
    <t>0.067 kW per current criteria and min air flow setting</t>
  </si>
  <si>
    <t>Inc_kW</t>
  </si>
  <si>
    <t>baseline wattage of three incandescent bulbs</t>
  </si>
  <si>
    <t>EISA general purpose baseline effective 2014</t>
  </si>
  <si>
    <t>CFL_kW</t>
  </si>
  <si>
    <t>wattage of three efficient CFL bulbs</t>
  </si>
  <si>
    <t>HOURS_fan</t>
  </si>
  <si>
    <t>hours of fan operation per year</t>
  </si>
  <si>
    <t>2.8 hours per day, 365 days per year</t>
  </si>
  <si>
    <t>HOURS_light</t>
  </si>
  <si>
    <t>hours of light operation per year</t>
  </si>
  <si>
    <t>2.3 hours per day, 365 days per year</t>
  </si>
  <si>
    <t>WHFd</t>
  </si>
  <si>
    <t>waste heat factor to account for cooling load savings from efficent lighting</t>
  </si>
  <si>
    <t>WHFee</t>
  </si>
  <si>
    <t>waste heat factor to account for cooling energy savings from efficent lighting</t>
  </si>
  <si>
    <t>5 years</t>
  </si>
  <si>
    <t>Solar Attic Fan</t>
  </si>
  <si>
    <t>%svgs_ac</t>
  </si>
  <si>
    <t>percent of a/c load savings from solar attic fan</t>
  </si>
  <si>
    <t>AC_cap</t>
  </si>
  <si>
    <t>cooling capacity of existing air conditioner</t>
  </si>
  <si>
    <t>average of PY14 window A/C units incentivized by Hawaii Energy</t>
  </si>
  <si>
    <t>full load cooling efficiency of existing air conditioner</t>
  </si>
  <si>
    <t>equivalent full load cooling hours for existing air conditioner</t>
  </si>
  <si>
    <t>Whole House Fans</t>
  </si>
  <si>
    <t xml:space="preserve">reference: KEMA-Xenergy, Inc. Impact Evaluation of the 2001 Statewide Low Income Energy Efficiency (LIEE) Program. April 8, 2003. calmac.org/publications/2001_LIEE_Impact_Evaluation.pdf </t>
  </si>
  <si>
    <t>wattage of average CFL bulb</t>
  </si>
  <si>
    <t>see Table 2</t>
  </si>
  <si>
    <t>See Table 1</t>
  </si>
  <si>
    <t>baseline wattage of average incandescent bulb</t>
  </si>
  <si>
    <t>kW_led</t>
  </si>
  <si>
    <t>kWh_plug</t>
  </si>
  <si>
    <t>average deemed kWh per receptacle ("outlet") on the strip</t>
  </si>
  <si>
    <t>#plugs</t>
  </si>
  <si>
    <t>Number of plug outlets per power strip</t>
  </si>
  <si>
    <t>annual hours of equipment operation</t>
  </si>
  <si>
    <t>assumes no manual shutoff of equipment</t>
  </si>
  <si>
    <t>% of maximum hourly watt savings on average that were realized in a 5-9 pm time period for residential A/V equipment (see Valmiki and Corradini).</t>
  </si>
  <si>
    <t>Table 1. Deemed Savings Values for Advanced Power Strips</t>
  </si>
  <si>
    <t>Heat Pump</t>
  </si>
  <si>
    <t>Rebate applications for water heaters are provided by the retailers at the time of purchase or a customer can visit our website and download the form.  Rebate applications must include an original purchase receipt showing brand and model number.</t>
  </si>
  <si>
    <t>Solar Water Heater Tune Up</t>
  </si>
  <si>
    <t>Systems must be more than 3 years old and can only receive a tune-up incentive once every 5 years.</t>
  </si>
  <si>
    <t>Solar WH Tune Up</t>
  </si>
  <si>
    <t>Peer Group Comparison</t>
  </si>
  <si>
    <r>
      <rPr>
        <b/>
        <sz val="11"/>
        <color theme="1"/>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0.0001 </t>
    </r>
    <r>
      <rPr>
        <b/>
        <sz val="11"/>
        <color rgb="FFC00000"/>
        <rFont val="Calibri"/>
        <family val="2"/>
        <scheme val="minor"/>
      </rPr>
      <t>/</t>
    </r>
    <r>
      <rPr>
        <sz val="11"/>
        <color theme="1"/>
        <rFont val="Calibri"/>
        <family val="2"/>
        <scheme val="minor"/>
      </rPr>
      <t xml:space="preserve"> SF</t>
    </r>
    <r>
      <rPr>
        <b/>
        <sz val="11"/>
        <color theme="1"/>
        <rFont val="Calibri"/>
        <family val="2"/>
        <scheme val="minor"/>
      </rPr>
      <t>)</t>
    </r>
  </si>
  <si>
    <r>
      <rPr>
        <b/>
        <sz val="11"/>
        <color theme="1"/>
        <rFont val="Calibri"/>
        <family val="2"/>
        <scheme val="minor"/>
      </rPr>
      <t>=</t>
    </r>
    <r>
      <rPr>
        <sz val="11"/>
        <color theme="1"/>
        <rFont val="Calibri"/>
        <family val="2"/>
        <scheme val="minor"/>
      </rPr>
      <t xml:space="preserve"> P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SVG</t>
    </r>
  </si>
  <si>
    <r>
      <rPr>
        <b/>
        <sz val="11"/>
        <color theme="1"/>
        <rFont val="Calibri"/>
        <family val="2"/>
        <scheme val="minor"/>
      </rPr>
      <t>=</t>
    </r>
    <r>
      <rPr>
        <sz val="11"/>
        <color theme="1"/>
        <rFont val="Calibri"/>
        <family val="2"/>
        <scheme val="minor"/>
      </rPr>
      <t xml:space="preserve"> ΔE </t>
    </r>
    <r>
      <rPr>
        <b/>
        <sz val="11"/>
        <color rgb="FFC00000"/>
        <rFont val="Calibri"/>
        <family val="2"/>
        <scheme val="minor"/>
      </rPr>
      <t>/</t>
    </r>
    <r>
      <rPr>
        <sz val="11"/>
        <color theme="1"/>
        <rFont val="Calibri"/>
        <family val="2"/>
        <scheme val="minor"/>
      </rPr>
      <t xml:space="preserve"> HRS</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</si>
  <si>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ΔE / HRS</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</si>
  <si>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rPr>
        <b/>
        <sz val="11"/>
        <color theme="1"/>
        <rFont val="Calibri"/>
        <family val="2"/>
        <scheme val="minor"/>
      </rPr>
      <t>=</t>
    </r>
    <r>
      <rPr>
        <sz val="11"/>
        <color theme="1"/>
        <rFont val="Calibri"/>
        <family val="2"/>
        <scheme val="minor"/>
      </rPr>
      <t xml:space="preserve"> ΔE </t>
    </r>
    <r>
      <rPr>
        <sz val="11"/>
        <color rgb="FFC00000"/>
        <rFont val="Calibri"/>
        <family val="2"/>
        <scheme val="minor"/>
      </rPr>
      <t>*</t>
    </r>
    <r>
      <rPr>
        <sz val="11"/>
        <color theme="1"/>
        <rFont val="Calibri"/>
        <family val="2"/>
        <scheme val="minor"/>
      </rPr>
      <t xml:space="preserve"> </t>
    </r>
    <r>
      <rPr>
        <b/>
        <sz val="11"/>
        <rFont val="Calibri"/>
        <family val="2"/>
        <scheme val="minor"/>
      </rPr>
      <t>(</t>
    </r>
    <r>
      <rPr>
        <sz val="11"/>
        <color theme="1"/>
        <rFont val="Calibri"/>
        <family val="2"/>
        <scheme val="minor"/>
      </rPr>
      <t>Measure Life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</si>
  <si>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LOAD </t>
    </r>
    <r>
      <rPr>
        <b/>
        <sz val="11"/>
        <color rgb="FFC00000"/>
        <rFont val="Calibri"/>
        <family val="2"/>
        <scheme val="minor"/>
      </rPr>
      <t xml:space="preserve">/ </t>
    </r>
    <r>
      <rPr>
        <sz val="11"/>
        <color theme="1"/>
        <rFont val="Calibri"/>
        <family val="2"/>
        <scheme val="minor"/>
      </rPr>
      <t>CEF_he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CYCLES</t>
    </r>
  </si>
  <si>
    <t>Building Envelope</t>
  </si>
  <si>
    <t>Window Film</t>
  </si>
  <si>
    <t>Vending Miser</t>
  </si>
  <si>
    <t>Heat Pump Water Heater</t>
  </si>
  <si>
    <t>One ECM motor</t>
  </si>
  <si>
    <t>4-pole (1800 RPM) demand of 107 W</t>
  </si>
  <si>
    <t>High efficiency DC/EC demand of 54 W</t>
  </si>
  <si>
    <t>1. New Construction projects and Retrofits from standard efficiency shaded pole motors to ECM in fan coil units (FCUs) are eligible
2. All ECMs replacing standard efficient shaded pole motors installed in existing refrigeration cases up to 1 HP in size may qualify for an incentive
3. ECM must be coupled with integrated controllers</t>
  </si>
  <si>
    <t>Electronically Commutated Motor is a fractional horsepower DC motor often used in commercial refrigeration, replacing shaded pole motor. Typical motor size 10-140 W. ECM also used in fan coil units. 
**Note that condenser/evaporator fans less than 1 hp are required by code to be ECM in walk in cooler/freezer or warehouse cooler/freezer</t>
  </si>
  <si>
    <t>Linear feet</t>
  </si>
  <si>
    <t>1. Pre-notification before project begins.
2. Controls must be installed on all doors of the refrigerator or freezer.
3. The following situations DO NOT qualify for this incentive:
     a. New refrigerators and freezers
     b. Refrigerators and freezers with existing controls being replaced with new controls
     c. Walk-in refrigerators and freezers manufactured after January 1, 2009
4. The rebate is awarded based on the total linear feet of the doors controlled by Anti-Sweat Heater Controls and incentivized at a rate of $40 per linear foot.</t>
  </si>
  <si>
    <t>No anti-sweat controls installed.</t>
  </si>
  <si>
    <t>Anti-sweat control installed.</t>
  </si>
  <si>
    <t>Variable frequency drive and control installed on full speed pumps and fans, or damped fans, used in HVAC systems.</t>
  </si>
  <si>
    <t>Motor/pump with VFD installed.</t>
  </si>
  <si>
    <t>Window film reduces solar heat gain, reducing load on cooling systems.</t>
  </si>
  <si>
    <t>Average daily operation</t>
  </si>
  <si>
    <t>pounds</t>
  </si>
  <si>
    <t>Conventional</t>
  </si>
  <si>
    <t>ENERGY STAR</t>
  </si>
  <si>
    <t>ASTM energy to food</t>
  </si>
  <si>
    <t>Equipment lifetime</t>
  </si>
  <si>
    <t>Annual operation</t>
  </si>
  <si>
    <t>Wh</t>
  </si>
  <si>
    <t>Daily cooking energy</t>
  </si>
  <si>
    <t>Daily idle time</t>
  </si>
  <si>
    <t>Daily idle energy</t>
  </si>
  <si>
    <t>Total daily energy</t>
  </si>
  <si>
    <t xml:space="preserve"> References</t>
  </si>
  <si>
    <t>Equipment specifications:</t>
  </si>
  <si>
    <t>- ENERGY STAR specification</t>
  </si>
  <si>
    <t>- Food Service Technology Center (FSTC) research on available models, 2009</t>
  </si>
  <si>
    <t>Operating Hours:</t>
  </si>
  <si>
    <t>- FSTC research on average use, 2009</t>
  </si>
  <si>
    <t>- FSTC research on available models, 2009</t>
  </si>
  <si>
    <t>Wh/lb</t>
  </si>
  <si>
    <t>Volume</t>
  </si>
  <si>
    <t>Typical Volume</t>
  </si>
  <si>
    <t>Efficient</t>
  </si>
  <si>
    <t>0 &lt; V 15</t>
  </si>
  <si>
    <t>15 &lt; V &lt; 30</t>
  </si>
  <si>
    <t>30 &lt; V &lt; 50</t>
  </si>
  <si>
    <t xml:space="preserve">50 &lt; V         </t>
  </si>
  <si>
    <t>Fixed Energy
(kWh)</t>
  </si>
  <si>
    <t>Adjusted Energy
(kWh/day)</t>
  </si>
  <si>
    <t>Energy Savings
(kWh/yr)</t>
  </si>
  <si>
    <t>Percentage of time in steam mode</t>
  </si>
  <si>
    <t>%_steam</t>
  </si>
  <si>
    <t>Entry for pounds cooked exceeds hourly production capacity. Change production capacity below, or change pounds, number of pans or hours on Inputs tab.</t>
  </si>
  <si>
    <t>Number of pans per unit</t>
  </si>
  <si>
    <t>boilerless</t>
  </si>
  <si>
    <t>Time in constant steam mode</t>
  </si>
  <si>
    <t>Production capacity per pan</t>
  </si>
  <si>
    <t>Wh/pound</t>
  </si>
  <si>
    <t>hour</t>
  </si>
  <si>
    <t>Notes on Modifications from Original ENERGY STAR Calculator</t>
  </si>
  <si>
    <t>Savings (3-pan)</t>
  </si>
  <si>
    <t>Candelabra 25 W</t>
  </si>
  <si>
    <t>Candelabra 40 W</t>
  </si>
  <si>
    <t>Med Base 40 W</t>
  </si>
  <si>
    <t>Med Base 60 W</t>
  </si>
  <si>
    <t>2' Type A</t>
  </si>
  <si>
    <t>4' Type A</t>
  </si>
  <si>
    <t>Measure Savings</t>
  </si>
  <si>
    <t>Constant Volume</t>
  </si>
  <si>
    <t>Inlet Guide Vane, FC</t>
  </si>
  <si>
    <t>Inlet Damper Box</t>
  </si>
  <si>
    <t>Outlet Damper</t>
  </si>
  <si>
    <t>Eddy Current Drive</t>
  </si>
  <si>
    <t>Throttle Valve</t>
  </si>
  <si>
    <t>Case Night Cover</t>
  </si>
  <si>
    <t>peak kW savings/ft</t>
  </si>
  <si>
    <t>annual kWh savings/ft</t>
  </si>
  <si>
    <t>kW/ft</t>
  </si>
  <si>
    <t>Table 1. Power Savings Factor for Refrigerated Cases</t>
  </si>
  <si>
    <t>Low Temp (less than 0 F)</t>
  </si>
  <si>
    <t>Medium Temp (0F to 30 F)</t>
  </si>
  <si>
    <t>High Temp (35 F to 55 F)</t>
  </si>
  <si>
    <t>Refrigerated beverage vending maching (cans or bottles)</t>
  </si>
  <si>
    <t xml:space="preserve">Refrigerated  </t>
  </si>
  <si>
    <t>Non-refrigerated snack vending machine</t>
  </si>
  <si>
    <t>All (Average)</t>
  </si>
  <si>
    <t>Design Assistance</t>
  </si>
  <si>
    <t>Energy Study</t>
  </si>
  <si>
    <t>http://www.puc.pa.gov/filing_resources/issues_laws_regulations/act_129_information/technical_reference_manual.aspx</t>
  </si>
  <si>
    <t>Source:  Pennsylvania Technical Reference Manual, Errata Update February 2017, p.403,</t>
  </si>
  <si>
    <t>Water Cooler Timer</t>
  </si>
  <si>
    <t>refrigeration</t>
  </si>
  <si>
    <t>fan coil</t>
  </si>
  <si>
    <t>Transformer</t>
  </si>
  <si>
    <t>hrs/day</t>
  </si>
  <si>
    <t>One oven</t>
  </si>
  <si>
    <t>Energy needed to steam 1lb of food</t>
  </si>
  <si>
    <t>Idle power draw of cooking mode</t>
  </si>
  <si>
    <t>Annual Energy Use per Cooker</t>
  </si>
  <si>
    <t>≤ 20</t>
  </si>
  <si>
    <t>Federal Minimum Standard Energy Use Rate
(kWh/100 lbs)</t>
  </si>
  <si>
    <t>Btu/hr</t>
  </si>
  <si>
    <t>Load factor (% of full load power in typical operation)</t>
  </si>
  <si>
    <t>Rated motor efficiency</t>
  </si>
  <si>
    <t>Demand savings factor, %. The assumed average reduction of full load enabled by the VFD as a result of lower speed or lower power need.</t>
  </si>
  <si>
    <t>Energy savings factor, %. The assumed average reduction of kWh enabled by the VFD as a result of lower speed or power operation over time.</t>
  </si>
  <si>
    <t>LED: Omni-Directional, A19 Screw Base</t>
  </si>
  <si>
    <t>LED: Omni-Directional, Pin Base</t>
  </si>
  <si>
    <t>Historical program data</t>
  </si>
  <si>
    <t>Persistence factor</t>
  </si>
  <si>
    <t>kW_bs</t>
  </si>
  <si>
    <t>User Input</t>
  </si>
  <si>
    <t>Restaurants/Institutions</t>
  </si>
  <si>
    <t>Dormitories</t>
  </si>
  <si>
    <t>K-12 Schools</t>
  </si>
  <si>
    <t>boiler based</t>
  </si>
  <si>
    <t>pounds/hour/pan</t>
  </si>
  <si>
    <t>Daily pre-heat energy</t>
  </si>
  <si>
    <t>Total Energy Usage</t>
  </si>
  <si>
    <t>kWh/ft</t>
  </si>
  <si>
    <t>C_Kitchen_DCV final savings value changed from kWh/year to kWh/hp/year</t>
  </si>
  <si>
    <t>https://www.energystar.gov/sites/default/files/asset/document/commercial_kitchen_equipment_calculator.xlsx</t>
  </si>
  <si>
    <t>Oahu</t>
  </si>
  <si>
    <t>Maui</t>
  </si>
  <si>
    <t>Program</t>
  </si>
  <si>
    <t>BEEM</t>
  </si>
  <si>
    <t>Business Energy Efficiency Measures</t>
  </si>
  <si>
    <t>CBEEM</t>
  </si>
  <si>
    <t>Custom Business Energy Efficiency Measures</t>
  </si>
  <si>
    <t>BESM</t>
  </si>
  <si>
    <t>Business Energy Services and Maintenance</t>
  </si>
  <si>
    <t>BHTR</t>
  </si>
  <si>
    <t>Business Hard-to-Reach</t>
  </si>
  <si>
    <t>REEM</t>
  </si>
  <si>
    <t>Residential Energy Efficiency Measures</t>
  </si>
  <si>
    <t>CREEM</t>
  </si>
  <si>
    <t>Custom Residential Energy Efficiency Measures</t>
  </si>
  <si>
    <t>RESM</t>
  </si>
  <si>
    <t>Residential Energy Services and Maintenance</t>
  </si>
  <si>
    <t>RHTR</t>
  </si>
  <si>
    <t>Residential Hard-to-Reach</t>
  </si>
  <si>
    <t>Measure Type</t>
  </si>
  <si>
    <t>Solar Water Heating</t>
  </si>
  <si>
    <t>Heat Pumps</t>
  </si>
  <si>
    <t>Ceiling Fans</t>
  </si>
  <si>
    <t>Solar Attic Fans</t>
  </si>
  <si>
    <t>Garage Refrigerator/Freezer Bounty</t>
  </si>
  <si>
    <t>Set top box</t>
  </si>
  <si>
    <t>Pool VFD Controller Pumps</t>
  </si>
  <si>
    <t>Control Systems</t>
  </si>
  <si>
    <t>Room Occupancy Sensors &amp; Timers</t>
  </si>
  <si>
    <t>Whole House Energy Metering</t>
  </si>
  <si>
    <t>Efficiency Project Auction</t>
  </si>
  <si>
    <t>Design and Audits</t>
  </si>
  <si>
    <t>Efficiency Inside</t>
  </si>
  <si>
    <t>Central Air Conditioning Retrofit</t>
  </si>
  <si>
    <t>Hard to Reach Grants</t>
  </si>
  <si>
    <t>CFL Exchange</t>
  </si>
  <si>
    <t>Direct Install</t>
  </si>
  <si>
    <t>Energy Saving Kits</t>
  </si>
  <si>
    <t>Solar Water Heating - Electric Resistance</t>
  </si>
  <si>
    <t>Solar Water Heating - Heat Pump</t>
  </si>
  <si>
    <t>Heat Pump - conversion - Electric Resistance</t>
  </si>
  <si>
    <t>Heat Pump Upgrade</t>
  </si>
  <si>
    <t>Single Family Solar Water Heating</t>
  </si>
  <si>
    <t>LED Exit Signs</t>
  </si>
  <si>
    <t>LED Refrigerator Case Lighting</t>
  </si>
  <si>
    <t>Stairwell Bi-Level Dimming Fluorescent</t>
  </si>
  <si>
    <t>Chillers</t>
  </si>
  <si>
    <t>Chiller Plant Efficiency kW/Ton Meter</t>
  </si>
  <si>
    <t>Garage Active Ventilation Control</t>
  </si>
  <si>
    <t>Package Units</t>
  </si>
  <si>
    <t>VFR Split System – New Construction</t>
  </si>
  <si>
    <t>VFR Split System – Existing</t>
  </si>
  <si>
    <t>VFD – AHU</t>
  </si>
  <si>
    <t>VFD – Chilled Water / Condenser Water</t>
  </si>
  <si>
    <t>Water Pumping</t>
  </si>
  <si>
    <t>VFD Dom Water Booster Packages</t>
  </si>
  <si>
    <t>VFD Pool Pump</t>
  </si>
  <si>
    <t>Motors</t>
  </si>
  <si>
    <t>ECM w/ Controller – evap fan motors</t>
  </si>
  <si>
    <t>ECM – Fan Coil Fans</t>
  </si>
  <si>
    <t>Industrial Process</t>
  </si>
  <si>
    <t>Kitchen Exhaust Hood Demand Ventilation</t>
  </si>
  <si>
    <t>Refrigerated Case Night Covers</t>
  </si>
  <si>
    <t>Business Equipment</t>
  </si>
  <si>
    <t>ENERGY STAR Refrigerator</t>
  </si>
  <si>
    <t>Energy Savings Kit</t>
  </si>
  <si>
    <t>Condominium submetering</t>
  </si>
  <si>
    <t>Small Business submetering</t>
  </si>
  <si>
    <t>Custom &lt;= 5 years</t>
  </si>
  <si>
    <t>Custom &gt; 5 years</t>
  </si>
  <si>
    <t>Benchmark Metering</t>
  </si>
  <si>
    <t>Decision Maker - Real time submeters</t>
  </si>
  <si>
    <t>Energy Audit</t>
  </si>
  <si>
    <t>Energy Study Implementation - 100%</t>
  </si>
  <si>
    <t>Energy Study Assistance - 50%</t>
  </si>
  <si>
    <t>Design Assistance - 50%</t>
  </si>
  <si>
    <t>Water/Wastewater Catalyst</t>
  </si>
  <si>
    <t>Grants</t>
  </si>
  <si>
    <t>Water cooler timer</t>
  </si>
  <si>
    <t>SBDI - Kitchen Exhaust Hood Demand Ventilation</t>
  </si>
  <si>
    <t>Low flow spray rinse nozzles</t>
  </si>
  <si>
    <t>ENERGY STAR Kitchen Equipment</t>
  </si>
  <si>
    <t>Customized Retrofit</t>
  </si>
  <si>
    <t>Added definitions page</t>
  </si>
  <si>
    <t>Added Reference tables page</t>
  </si>
  <si>
    <t>Augmented definitions</t>
  </si>
  <si>
    <t>Electric Steam Cooker</t>
  </si>
  <si>
    <t>=SVG_d,ash * W_b,door/1000 * CF</t>
  </si>
  <si>
    <t>=SVG_d,ash * W_b,door/1000 * HRS_ash</t>
  </si>
  <si>
    <t>=SVG_cooling / EER / 1000* CF</t>
  </si>
  <si>
    <t>=SVG_cooling / EER / 1000 * HRS_comp</t>
  </si>
  <si>
    <t>SVG_d,ash</t>
  </si>
  <si>
    <t>ASH demand savings factor</t>
  </si>
  <si>
    <t>SVG_d,comp</t>
  </si>
  <si>
    <t>Compressor demand savings factor</t>
  </si>
  <si>
    <t>Watt_b,door</t>
  </si>
  <si>
    <t>Btu_b,door</t>
  </si>
  <si>
    <t>Btu/hr/W</t>
  </si>
  <si>
    <t>HRS_ash</t>
  </si>
  <si>
    <t>Hours of base ASH operation per year</t>
  </si>
  <si>
    <t>HRS_comp</t>
  </si>
  <si>
    <t>RH_avg</t>
  </si>
  <si>
    <t>Annual Peak kW savings from ASH</t>
  </si>
  <si>
    <t>Annual kWh savings from ASH</t>
  </si>
  <si>
    <t>Annual Peak kW savings from Compressor</t>
  </si>
  <si>
    <t>Annual kWh savings from Compressor</t>
  </si>
  <si>
    <t>feet</t>
  </si>
  <si>
    <r>
      <t>= 0</t>
    </r>
    <r>
      <rPr>
        <vertAlign val="superscript"/>
        <sz val="11"/>
        <color theme="1"/>
        <rFont val="Calibri"/>
        <family val="2"/>
        <scheme val="minor"/>
      </rPr>
      <t>*</t>
    </r>
  </si>
  <si>
    <t>= SVG_kW * HRS</t>
  </si>
  <si>
    <r>
      <rPr>
        <vertAlign val="superscript"/>
        <sz val="8"/>
        <color theme="1"/>
        <rFont val="Calibri"/>
        <family val="2"/>
        <scheme val="minor"/>
      </rPr>
      <t xml:space="preserve">* </t>
    </r>
    <r>
      <rPr>
        <sz val="8"/>
        <color theme="1"/>
        <rFont val="Calibri"/>
        <family val="2"/>
        <scheme val="minor"/>
      </rPr>
      <t>Assumes covers are used during off peak hours--midnight to 6 am</t>
    </r>
  </si>
  <si>
    <t>SVG_kW</t>
  </si>
  <si>
    <t>Reduced power use of refrigerated display case</t>
  </si>
  <si>
    <t>Original factors from Southern Cal Edison 1997 paper</t>
  </si>
  <si>
    <t>Hours per year that cases are covered</t>
  </si>
  <si>
    <r>
      <rPr>
        <vertAlign val="superscript"/>
        <sz val="8"/>
        <color theme="1"/>
        <rFont val="Calibri"/>
        <family val="2"/>
        <scheme val="minor"/>
      </rPr>
      <t xml:space="preserve">1 </t>
    </r>
    <r>
      <rPr>
        <sz val="8"/>
        <color theme="1"/>
        <rFont val="Calibri"/>
        <family val="2"/>
        <scheme val="minor"/>
      </rPr>
      <t xml:space="preserve">Google search of refrigerated display cases yields a range of typical sizes--4', 5', 6', 6.5', 8'. </t>
    </r>
  </si>
  <si>
    <t>Loading factor--% of time pump actually operates</t>
  </si>
  <si>
    <t>kW/HP</t>
  </si>
  <si>
    <t>Source of Savings</t>
  </si>
  <si>
    <t>HP Reduction</t>
  </si>
  <si>
    <t>VFD Installation</t>
  </si>
  <si>
    <t>= (kW_bs - kW_ee)</t>
  </si>
  <si>
    <t>= (kWh_bs - kWh_ee)</t>
  </si>
  <si>
    <t>= (kW_bs - kW_ee) * CF</t>
  </si>
  <si>
    <t>Demand of existing motor technology</t>
  </si>
  <si>
    <t>kW_ee</t>
  </si>
  <si>
    <t>Demand of new electronically commutated motor</t>
  </si>
  <si>
    <t>kWh_bs</t>
  </si>
  <si>
    <t>Energy use of existing motor technology</t>
  </si>
  <si>
    <t>kWh_ee</t>
  </si>
  <si>
    <t>Energy use of new electronically commutated motor</t>
  </si>
  <si>
    <t xml:space="preserve">kW_ee </t>
  </si>
  <si>
    <t>250 kWh per 1000 SF</t>
  </si>
  <si>
    <t>0.100 kW per 1000 SF</t>
  </si>
  <si>
    <t>hrs/yr</t>
  </si>
  <si>
    <t>Annual energy savings</t>
  </si>
  <si>
    <t>#</t>
  </si>
  <si>
    <r>
      <t>&lt;= 320 watts per ft</t>
    </r>
    <r>
      <rPr>
        <vertAlign val="superscript"/>
        <sz val="11"/>
        <color theme="1"/>
        <rFont val="Calibri"/>
        <family val="2"/>
        <scheme val="minor"/>
      </rPr>
      <t>2</t>
    </r>
  </si>
  <si>
    <t>Measure Life (yrs)</t>
  </si>
  <si>
    <t>CF*</t>
  </si>
  <si>
    <t>ESF(cool)</t>
  </si>
  <si>
    <t>Seasonal Energy Efficiency Ratio</t>
  </si>
  <si>
    <t>SEER</t>
  </si>
  <si>
    <t>CAP(cool)</t>
  </si>
  <si>
    <t>INTRODUCTION</t>
  </si>
  <si>
    <t>The TRM is intended to be a flexible and living document. New measures may be added as new program designs are implemented. These measures are often not yet characterized, so new information will be gathered through evaluations or research. Savings for current measures may change as the market evolves.</t>
  </si>
  <si>
    <t>There are four main reasons to update TRM values:</t>
  </si>
  <si>
    <t>•</t>
  </si>
  <si>
    <t>Overview of the TRM Derivation</t>
  </si>
  <si>
    <r>
      <t>·</t>
    </r>
    <r>
      <rPr>
        <sz val="7"/>
        <color theme="1"/>
        <rFont val="Times New Roman"/>
        <family val="1"/>
      </rPr>
      <t/>
    </r>
  </si>
  <si>
    <t>KEY METRICS</t>
  </si>
  <si>
    <t>Year</t>
  </si>
  <si>
    <t>Molokai</t>
  </si>
  <si>
    <t>Lanai</t>
  </si>
  <si>
    <t>Discount Rate</t>
  </si>
  <si>
    <t>The algorithms shown with each measure calculate gross customer electric savings without counting the effects of line losses from the generator to the customer or free ridership. The formula for converting gross customer-level savings to net generation-level savings are as follows:</t>
  </si>
  <si>
    <t>Net kWh :</t>
  </si>
  <si>
    <t>kWh energy savings at generation-level, net of free riders and system losses</t>
  </si>
  <si>
    <t>Net kW :</t>
  </si>
  <si>
    <t>kW savings at generation-level, net of free riders and system losses</t>
  </si>
  <si>
    <t>Gross Cust. ΔkWh :</t>
  </si>
  <si>
    <t>Gross customer level annual kWh savings for the measure</t>
  </si>
  <si>
    <t>Gross Cust. ΔkW :</t>
  </si>
  <si>
    <t>SLF :</t>
  </si>
  <si>
    <t>Residential Measures</t>
  </si>
  <si>
    <t>Commercial Measures</t>
  </si>
  <si>
    <t>SAVINGS FACTORS</t>
  </si>
  <si>
    <t>Total Resource Cost is the customer’s project or incremental cost to purchase and install the energy-efficient equipment or make operational changes above what would have been done anyway.</t>
  </si>
  <si>
    <t>The societal cost test of the TRB/TRC provides a metric of how much “return on investment” is provided by: (1) Saving energy versus generating it (kWh reductions) and (2) Avoiding the need for increased power plant capacity (Peak kW reductions).</t>
  </si>
  <si>
    <t>Date</t>
  </si>
  <si>
    <t>Added Showerheads from v1.3.  changed MFDI pf from 0.51 to 0.96</t>
  </si>
  <si>
    <t>Added FaucetAerators from v1.3.  changed MFDI pf from 0.59 to 0.96</t>
  </si>
  <si>
    <t>GLOSSARY</t>
  </si>
  <si>
    <t>Renamed 'Definitions' tab to 'Glossary' tab</t>
  </si>
  <si>
    <t>Notes:</t>
  </si>
  <si>
    <t>Note:</t>
  </si>
  <si>
    <t>Wattage of the baseline lamp</t>
  </si>
  <si>
    <t>Wattage of the proposed efficient lamp</t>
  </si>
  <si>
    <t>Average hours of use per day in Active Mode</t>
  </si>
  <si>
    <t xml:space="preserve">HRS_Active </t>
  </si>
  <si>
    <t>One soundbar</t>
  </si>
  <si>
    <t>ENERGY STAR v3.0 certified soundbar</t>
  </si>
  <si>
    <t>Non-ENERGY STAR v3.0 cetified soundbar</t>
  </si>
  <si>
    <t xml:space="preserve">This measure is for a midstream incentive to retailers to stock, promote, and sell soundbars which meet or exceed ENERGY STAR Version 3.0. </t>
  </si>
  <si>
    <t>Peak kW Savings/Soundbar</t>
  </si>
  <si>
    <t>Annual kWh Savings/Soundbar</t>
  </si>
  <si>
    <t>WattsBASE-ACTIVE</t>
  </si>
  <si>
    <t>WattsBASE-IDLE</t>
  </si>
  <si>
    <t>WattsBASE-SLEEP</t>
  </si>
  <si>
    <t>WattsEE-ACTIVE</t>
  </si>
  <si>
    <t>WattsEE-IDLE</t>
  </si>
  <si>
    <t>WattsEE-SLEEP</t>
  </si>
  <si>
    <t xml:space="preserve">1.https://www.cta.tech/CTA/media/policyImages/Energy-Consumption-of-Consumer-Electronics.pdf 
2.https://static1.squarespace.com/static/53c96e16e4b003bdba4f4fee/t/556d387fe4b0d8dc09b24c28/1433221247215/RPP+Methodology+for+Developing+UEC+Estimates_Final.pdf 
3.https://www.cta.tech/CTA/media/policyImages/Energy-Consumption-of-Consumer-Electronics.pdf </t>
  </si>
  <si>
    <t>BTU/hr/W</t>
  </si>
  <si>
    <t>Deemed value; 50% VRFs operational  between 5-9 pm</t>
  </si>
  <si>
    <t>Deemed value; 5 hrs per day cooling</t>
  </si>
  <si>
    <t>peak kW savings/fan</t>
  </si>
  <si>
    <t>annual kWh savings/fan</t>
  </si>
  <si>
    <t>baseline wattage of 3 incandescent bulbs</t>
  </si>
  <si>
    <t>wattage of 3 efficient CFL bulbs</t>
  </si>
  <si>
    <t>Hours of fan operation per year</t>
  </si>
  <si>
    <t>Hours of light operation per year</t>
  </si>
  <si>
    <t>Waste heat factor to account for cooling load savings from efficent lighting</t>
  </si>
  <si>
    <t>Waste heat factor to account for cooling energy savings from efficent lighting</t>
  </si>
  <si>
    <t>EISA baseline effective 2014</t>
  </si>
  <si>
    <t>Review ENERGY STAR standard at https://www.energystar.gov/products/lighting_fans/ceiling_fans/ceiling_fans_key_product_criteria for updated efficiency criteria.  At minimum allowed airflows, qualifying low, medium, high fan wattages are lower than assumed above--see notes.</t>
  </si>
  <si>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CAP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.avg</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HRS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.op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1000</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</si>
  <si>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P</t>
    </r>
    <r>
      <rPr>
        <vertAlign val="subscript"/>
        <sz val="11"/>
        <color theme="1"/>
        <rFont val="Calibri"/>
        <family val="2"/>
        <scheme val="minor"/>
      </rPr>
      <t>.avg</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AF</t>
    </r>
    <r>
      <rPr>
        <vertAlign val="subscript"/>
        <sz val="11"/>
        <color theme="1"/>
        <rFont val="Calibri"/>
        <family val="2"/>
        <scheme val="minor"/>
      </rPr>
      <t>.rt</t>
    </r>
    <r>
      <rPr>
        <b/>
        <sz val="11"/>
        <color theme="1"/>
        <rFont val="Calibri"/>
        <family val="2"/>
        <scheme val="minor"/>
      </rPr>
      <t>)</t>
    </r>
  </si>
  <si>
    <t>See Table 2</t>
  </si>
  <si>
    <t>RESIDENTIAL: LED</t>
  </si>
  <si>
    <t>COMMERCIAL: Refrigerator</t>
  </si>
  <si>
    <t>COMMERCIAL: Cool Roof</t>
  </si>
  <si>
    <t>COMMERCIAL: Window Film</t>
  </si>
  <si>
    <t>COMMERCIAL: Convection Oven</t>
  </si>
  <si>
    <t>COMMERCIAL: Combination Oven</t>
  </si>
  <si>
    <t>COMMERCIAL: Electric Griddle</t>
  </si>
  <si>
    <t>COMMERCIAL: Hot Food Holding Cabinet</t>
  </si>
  <si>
    <t>COMMERCIAL: Fryer</t>
  </si>
  <si>
    <t>COMMERCIAL: Ice Machine</t>
  </si>
  <si>
    <t>COMMERCIAL: Low-Flow Spray Nozzle</t>
  </si>
  <si>
    <t>COMMERCIAL: Freezer</t>
  </si>
  <si>
    <t>COMMERCIAL: Electric Steam Cooker</t>
  </si>
  <si>
    <t>COMMERCIAL: Design Assistance</t>
  </si>
  <si>
    <t>COMMERCIAL: Energy Study</t>
  </si>
  <si>
    <t>COMMERCIAL: Chiller</t>
  </si>
  <si>
    <t>COMMERCIAL: VFD Water Pump</t>
  </si>
  <si>
    <t>COMMERCIAL: VRF</t>
  </si>
  <si>
    <t>COMMERCIAL: Energy Management System</t>
  </si>
  <si>
    <t>COMMERCIAL: Refrigerated Case Lighting</t>
  </si>
  <si>
    <t>COMMERCIAL: Light Occupancy Sensor</t>
  </si>
  <si>
    <t>COMMERCIAL: Anti-Sweat Heater Controls</t>
  </si>
  <si>
    <t>COMMERCIAL: Case Night Cover</t>
  </si>
  <si>
    <t>COMMERCIAL: Vending Miser</t>
  </si>
  <si>
    <t>COMMERCIAL: Water Cooler Timer</t>
  </si>
  <si>
    <t>COMMERCIAL: Electronically Commutated Motor</t>
  </si>
  <si>
    <t>COMMERCIAL: VFD Pool  Pump</t>
  </si>
  <si>
    <t>COMMERCIAL: Condominium Submetering</t>
  </si>
  <si>
    <t>COMMERCIAL: Small Business Submetering</t>
  </si>
  <si>
    <t>COMMERCIAL: Heat Pump Water Heater</t>
  </si>
  <si>
    <t>COMMERCIAL: Solar Water Heater</t>
  </si>
  <si>
    <t>COMMERCIAL: Re/Retro-commissioning</t>
  </si>
  <si>
    <t>RESIDENTIAL: Clothes Washer</t>
  </si>
  <si>
    <t>RESIDENTIAL: Clothes Dryer</t>
  </si>
  <si>
    <t>RESIDENTIAL: Refrigerator</t>
  </si>
  <si>
    <t>RESIDENTIAL: Television</t>
  </si>
  <si>
    <t>RESIDENTIAL: Soundbar</t>
  </si>
  <si>
    <t>RESIDENTIAL: VRF Split</t>
  </si>
  <si>
    <t>RESIDENTIAL: Central A/C Retrofit</t>
  </si>
  <si>
    <t>RESIDENTIAL: Central A/C Tune Up</t>
  </si>
  <si>
    <t>RESIDENTIAL: Ceiling Fan</t>
  </si>
  <si>
    <t>RESIDENTIAL: Solar Attic Fan</t>
  </si>
  <si>
    <t>RESIDENTIAL: Whole-House Fan</t>
  </si>
  <si>
    <t>RESIDENTIAL: Lighting Occupancy Sensor</t>
  </si>
  <si>
    <t>RESIDENTIAL: Advanced Power Strips</t>
  </si>
  <si>
    <t>Plug / Process</t>
  </si>
  <si>
    <t>Annual hours of equipment operation</t>
  </si>
  <si>
    <t>Valmiki, M. and A. Corradini. Tier 2 Advanced Power Strips in Residential and Commercial Applications. San Diego Gas &amp; Electric Emerging Technologies Program, Technology Assessment Report. April 2015.  The test APS used in the study is shown with 6 controlled receptacles.</t>
  </si>
  <si>
    <t>RESIDENTIAL: VFD Pool Pump</t>
  </si>
  <si>
    <t>Pump / Motor</t>
  </si>
  <si>
    <t>RESIDENTIAL: Heat Pump Water Heater</t>
  </si>
  <si>
    <t>RESIDENTIAL: Solar Water Heater</t>
  </si>
  <si>
    <t>RESIDENTIAL: Smart Thermostat</t>
  </si>
  <si>
    <t>Equivalent full load cooling hours</t>
  </si>
  <si>
    <t>RESIDENTIAL: Solar Water Heater Tune Up</t>
  </si>
  <si>
    <t>One thermostat</t>
  </si>
  <si>
    <t>In addition to prescriptive energy conservation measures that are defined within this Technical Reference Manual, there are projects that are handled on a case-by-case basis through our custom incentive program.  Custom projects may be complex projects with multiple components, first-of-their-kind projects, or special projects that are unique to a particular customer.  A few examples of custom incentive projects from past years include:</t>
  </si>
  <si>
    <t>Custom Measures</t>
  </si>
  <si>
    <t>gpm_base</t>
  </si>
  <si>
    <t>gpm_low</t>
  </si>
  <si>
    <t>MS</t>
  </si>
  <si>
    <t>SPD</t>
  </si>
  <si>
    <t>minutes per shower</t>
  </si>
  <si>
    <t>showers per day</t>
  </si>
  <si>
    <t>flow rate of the baseline unit</t>
  </si>
  <si>
    <t>flow rate of the enhanced unit</t>
  </si>
  <si>
    <t>PH</t>
  </si>
  <si>
    <t>people per household</t>
  </si>
  <si>
    <t>shower fixtures per household</t>
  </si>
  <si>
    <t>S</t>
  </si>
  <si>
    <t>conversion factor</t>
  </si>
  <si>
    <t>T_mix</t>
  </si>
  <si>
    <t>T_inlet</t>
  </si>
  <si>
    <t>recovery efficiency</t>
  </si>
  <si>
    <t>Conversion</t>
  </si>
  <si>
    <t>Cadmus and Opinion Dynamics. Showerhead and Faucet Aerator Meter Study. Memorandum prepared for Michigan Evaluation Working Group. 2013</t>
  </si>
  <si>
    <t>Engineering constant in units of Btu/(gal˚F)</t>
  </si>
  <si>
    <t>Honolulu Board of Water Supply.</t>
  </si>
  <si>
    <t>Btu/kWh</t>
  </si>
  <si>
    <t>SERWH</t>
  </si>
  <si>
    <t>HPWH</t>
  </si>
  <si>
    <t>SWH</t>
  </si>
  <si>
    <t>engineering units</t>
  </si>
  <si>
    <t>MPD</t>
  </si>
  <si>
    <t>usage time in minutes per day</t>
  </si>
  <si>
    <t>FH</t>
  </si>
  <si>
    <t>temperature at end use</t>
  </si>
  <si>
    <t>average ground water temperature</t>
  </si>
  <si>
    <t>recovery efficiency electric resistance</t>
  </si>
  <si>
    <t>recovery efficiency heat pump water heater</t>
  </si>
  <si>
    <t>recovery efficiency solar water heater</t>
  </si>
  <si>
    <t>fixtures per household, single family</t>
  </si>
  <si>
    <t>fixtures per household, multi family</t>
  </si>
  <si>
    <t>people per household, multi family</t>
  </si>
  <si>
    <t>people per household, single family</t>
  </si>
  <si>
    <t>Remove old R_faucetaerator tab with proposed methodology</t>
  </si>
  <si>
    <t>Add new R_faucetaerator tab with new OD approved methodology</t>
  </si>
  <si>
    <t>Remove old R_showerhead tab with proposed methodology</t>
  </si>
  <si>
    <t>Add new R_showerhead tab with new OD approved methodology</t>
  </si>
  <si>
    <t>Re/Retro Commissioning</t>
  </si>
  <si>
    <t>C_Transformers tab as this measure is now custom</t>
  </si>
  <si>
    <t>Television</t>
  </si>
  <si>
    <t>Electronics Soundbar</t>
  </si>
  <si>
    <t>Faucet Aerators</t>
  </si>
  <si>
    <t>Low Flow Showerheads</t>
  </si>
  <si>
    <t>Central Air Conditioning Tune-Up</t>
  </si>
  <si>
    <t>R_CFL</t>
  </si>
  <si>
    <t>Smart Thermostats</t>
  </si>
  <si>
    <t>Master EUL table. There was some inconsistency between individual entries and Table entries.</t>
  </si>
  <si>
    <t>Net Program kWh = Gross Customer Level ΔkWh × (1 + SLF) x NTGR</t>
  </si>
  <si>
    <t>Net Program kW = Gross Customer Level ΔkW × (1 + SLF) x NTGR</t>
  </si>
  <si>
    <t>NTGR :</t>
  </si>
  <si>
    <t>All BEEM Measures</t>
  </si>
  <si>
    <t>All CBEEM Measures</t>
  </si>
  <si>
    <t>All BESM Measures</t>
  </si>
  <si>
    <t>All BHTR Measures</t>
  </si>
  <si>
    <t>All other REEM Measures</t>
  </si>
  <si>
    <t>3' Type A</t>
  </si>
  <si>
    <t>8' Type A</t>
  </si>
  <si>
    <t>T5 Type A</t>
  </si>
  <si>
    <t>T5HO Type A</t>
  </si>
  <si>
    <t>LED tubes are assumed to be used in interior applications only.</t>
  </si>
  <si>
    <t>A new packaging machine for a water bottling facility.</t>
  </si>
  <si>
    <t>A condominium submetering installation with submetering on electrical consumption as well as chilled water usage at the individual condo level.</t>
  </si>
  <si>
    <t>A whole-building retro-commissioning project with “pre” and “post” metering.</t>
  </si>
  <si>
    <t xml:space="preserve">Larger chiller projects are usually quite complex, and may involve other system changes, such as controls upgrades, pump modifications, VFD upgrades and more.  Calculating savings on a prescriptive or even semi-prescriptive basis of tonnage and nameplate efficiency only would be inadequate in most cases for larger chiller projects.  </t>
  </si>
  <si>
    <t>Hawai‘i Energy acknowledges that performing true custom savings calculations is more time, cost, and labor-intensive, due to the additional requirements for pre and post metering.  These barriers may actually inhibit the feasibility of a project to move forward, and therefore Hawai‘i Energy would limit the number of custom projects per year.</t>
  </si>
  <si>
    <t>ARIES is an opt-in deployment of emerging technology and program services designed to provide significant enhancements over historical approaches with improved:</t>
  </si>
  <si>
    <t>Savings impact, measurement methods, and understanding of savings sources</t>
  </si>
  <si>
    <t>Customer interest, engagement, satisfaction, trust and overall value</t>
  </si>
  <si>
    <t xml:space="preserve">Cost structure and future curve for long term persistence and cost-effectiveness  </t>
  </si>
  <si>
    <t>The source of savings can be considered as coming from the following 4 categories of home energy impact areas, in rough order of estimated impact and cost/complexity:</t>
  </si>
  <si>
    <t>“Always On” – We estimate the average “baseline” power draw in homes to be ~250 Watts, whereas many homes have far lower continuous draws of 100W or less.  Eliminating 50 Watts of always on would amount to 6% household savings. ARIES will prioritize engaging customers to target this opportunity through gamified feedback.</t>
  </si>
  <si>
    <t>“Upgrade” – Akin to conventional program activity, ARIES customers might replace existing devices with new ones that have a different energy impact.  Out of program equipment changes can be tracked to better understand savings lifetimes, and in-program actions allow for double-counting adjustments.</t>
  </si>
  <si>
    <t>The nature and high quality of energy information and customer insights developed by ARIES affords a significant opportunity to advance other opportunities that may serve other energy system stakeholders to support public interest.</t>
  </si>
  <si>
    <t>DEER 2014</t>
  </si>
  <si>
    <t>The baseline efficiency case is the annual operation of open-display cooler cases</t>
  </si>
  <si>
    <t>The high-efficiency case is the use of night covers to protect the exposed areas of display cooler cases during unoccupied store hours.</t>
  </si>
  <si>
    <t>Linear foot of cooler space</t>
  </si>
  <si>
    <t>IPLV</t>
  </si>
  <si>
    <t>Air-cooled with condenser</t>
  </si>
  <si>
    <t>&gt;= 150 Ton</t>
  </si>
  <si>
    <t>&lt; 150 Tons</t>
  </si>
  <si>
    <t>Path B</t>
  </si>
  <si>
    <t>FL</t>
  </si>
  <si>
    <t>Path A</t>
  </si>
  <si>
    <t>Units: kW/ton</t>
  </si>
  <si>
    <t>Units: EER (Btu/W)</t>
  </si>
  <si>
    <t>FL+IPLV</t>
  </si>
  <si>
    <t>Pass/Fail Test</t>
  </si>
  <si>
    <t>&gt;= 600 tons</t>
  </si>
  <si>
    <t>&lt; 75 Tons</t>
  </si>
  <si>
    <t>IPLV_delta:</t>
  </si>
  <si>
    <t>Enter your IPLV_ee here:</t>
  </si>
  <si>
    <t>Enter your FL_ee here:</t>
  </si>
  <si>
    <t>Enter building type:</t>
  </si>
  <si>
    <t>Enter chiller type:</t>
  </si>
  <si>
    <t>kWh/yr savings:</t>
  </si>
  <si>
    <t>EFLH:</t>
  </si>
  <si>
    <t>CF:</t>
  </si>
  <si>
    <t>Step 2:  Determine if it qualifies</t>
  </si>
  <si>
    <t>Air-cooled</t>
  </si>
  <si>
    <t>PD</t>
  </si>
  <si>
    <t>Chiller Types</t>
  </si>
  <si>
    <t>C_HVAC_Chiller</t>
  </si>
  <si>
    <t>C_HVAC_AC</t>
  </si>
  <si>
    <t>C_Kitchen_Freezers</t>
  </si>
  <si>
    <t>C_Kitchen_Refrigerators</t>
  </si>
  <si>
    <t>C_HVAC_water pump</t>
  </si>
  <si>
    <t>C_Light_All</t>
  </si>
  <si>
    <t>C_Light_Dimmable</t>
  </si>
  <si>
    <t xml:space="preserve">WHEN End Hours &gt; Start Hours THEN End Hours - Start Hours                   </t>
  </si>
  <si>
    <t xml:space="preserve">WHEN End Hours &lt; Start Hours THEN End Hours - Start Hours + 24             </t>
  </si>
  <si>
    <t>WHEN End Hours = Start Hours THEN 24                                                           </t>
  </si>
  <si>
    <t>COMMERCIAL:  Stairwell Bi-level Dimming Controls</t>
  </si>
  <si>
    <t>C_PlugProcess_Night Covers</t>
  </si>
  <si>
    <t>Per tenant unit</t>
  </si>
  <si>
    <t>C_WH_HPWH</t>
  </si>
  <si>
    <t>R_HVAC_ceiling fan</t>
  </si>
  <si>
    <t>R_Light_CFL</t>
  </si>
  <si>
    <t>R_Light_Occupancy Sensor</t>
  </si>
  <si>
    <t>R_PlugProcess_Adv Power Strip</t>
  </si>
  <si>
    <t>R_WH_faucet aerators</t>
  </si>
  <si>
    <t>R_WH_showerhead</t>
  </si>
  <si>
    <t>C_Appliance_Refrigerator</t>
  </si>
  <si>
    <t>COMMERCIAL: Dimmable Lighting (Non-Linear LED)</t>
  </si>
  <si>
    <t>Cooking energy efficiency for baseline steam cookers is the average efficiency for steam generator and boiler-based cookers. Idle energy rate for baseline steam cookers is the average rate for steam generator and boiler-based cookers.</t>
  </si>
  <si>
    <t>One fryer</t>
  </si>
  <si>
    <t>One ice machine</t>
  </si>
  <si>
    <t>One freezer</t>
  </si>
  <si>
    <t>n/a</t>
  </si>
  <si>
    <t>COMMERCIAL:  Energy Advantage</t>
  </si>
  <si>
    <t>The following documents how savings are calculated for the Energy Advantage projects within Amplify.</t>
  </si>
  <si>
    <t>Introduction</t>
  </si>
  <si>
    <t>Signatures</t>
  </si>
  <si>
    <t>Glossary</t>
  </si>
  <si>
    <t>Key Metrics</t>
  </si>
  <si>
    <t>Master EUL</t>
  </si>
  <si>
    <t>Savings Factors</t>
  </si>
  <si>
    <t>TABLE OF CONTENTS</t>
  </si>
  <si>
    <t>Appliance</t>
  </si>
  <si>
    <t>Kitchen</t>
  </si>
  <si>
    <t>Fryer</t>
  </si>
  <si>
    <t>Freezer</t>
  </si>
  <si>
    <t>Energy Study Grant</t>
  </si>
  <si>
    <t>Sub-metering</t>
  </si>
  <si>
    <t>Condominium</t>
  </si>
  <si>
    <t>Soundbar</t>
  </si>
  <si>
    <t>Ceiling Fan</t>
  </si>
  <si>
    <t>Whole House Fan</t>
  </si>
  <si>
    <t>General Information</t>
  </si>
  <si>
    <t>SIGNATURES</t>
  </si>
  <si>
    <t>Hot Food Holding Cabinet</t>
  </si>
  <si>
    <t>General</t>
  </si>
  <si>
    <t>Anti-Sweat Heater Control</t>
  </si>
  <si>
    <t>Electronically Commutated Motors</t>
  </si>
  <si>
    <t>kW calculation corrected.</t>
  </si>
  <si>
    <t>R_Light_LED</t>
  </si>
  <si>
    <t>C_Appliance_Refrigerator 
R_Appliance_Refrigerator</t>
  </si>
  <si>
    <t>C_Kitchen_Combination Oven 
C_Kitchen_Convection Oven</t>
  </si>
  <si>
    <t>C_Kitchen_DCV</t>
  </si>
  <si>
    <t>CF… should be 1.0 like other commercial kitchen?</t>
  </si>
  <si>
    <t>Demand using 70% duty cycle rather than 100%</t>
  </si>
  <si>
    <t>Added EISA baseline analysis and citations</t>
  </si>
  <si>
    <t>R_WH_LFShowerhead</t>
  </si>
  <si>
    <t>R_WH_Faucet Aerator</t>
  </si>
  <si>
    <t>C_Light_Refrigerated Case</t>
  </si>
  <si>
    <t>Added interactive factors to calculation</t>
  </si>
  <si>
    <t>R_HVAC_Window|VRF</t>
  </si>
  <si>
    <t>Split R_HVAC_Window|VRF into 2 distinct tabs</t>
  </si>
  <si>
    <t>R_Appliance_Clothes Washer</t>
  </si>
  <si>
    <t>General rounding corrections (2 decimal places for kWh, 3 for kW)</t>
  </si>
  <si>
    <t>Filled in formulas for Clothes Washers, Tier 1,2,3</t>
  </si>
  <si>
    <t>R_HVAC_Smart Thermostat</t>
  </si>
  <si>
    <t>Added tab for R_Smart Thermostat</t>
  </si>
  <si>
    <t>Definitions</t>
  </si>
  <si>
    <t>R_FaucetAerator</t>
  </si>
  <si>
    <t>R_Showerhead</t>
  </si>
  <si>
    <t>C_Transformers</t>
  </si>
  <si>
    <t>Removed R_CFL tab</t>
  </si>
  <si>
    <t>Made individual entry tab measures lives link to the Master EUL tab</t>
  </si>
  <si>
    <t>Added new measures: 3' Linear LED, 8' Linear LED, 4' T5/T5HO Linear LED</t>
  </si>
  <si>
    <t>Updated Linear LED wattages</t>
  </si>
  <si>
    <t>Updated Corn Cob wattage ranges and values</t>
  </si>
  <si>
    <t>Updated TRB table</t>
  </si>
  <si>
    <t>Added Chiller worksheet</t>
  </si>
  <si>
    <t>Added AC worksheet</t>
  </si>
  <si>
    <t>Calculations link to EFLH and Savings Factor tab, instead of in-tab table</t>
  </si>
  <si>
    <t>C_HVAC_Chiller_WKST</t>
  </si>
  <si>
    <t>C_HVAC_AC_WKST</t>
  </si>
  <si>
    <t>Added Savings Factors tab</t>
  </si>
  <si>
    <t>Added Key Metrics tab</t>
  </si>
  <si>
    <t>Added Introduction tab</t>
  </si>
  <si>
    <t>Added Custom section tab</t>
  </si>
  <si>
    <t>Redistributed reference tables to Savings Factors and EFLH tabs, then removed Reference tab.</t>
  </si>
  <si>
    <t xml:space="preserve">Added Master EUL tab.  Cut EUL table from Key Metrics tab.  </t>
  </si>
  <si>
    <t>C_Light_Dimmable(Nonlinear LED)</t>
  </si>
  <si>
    <t>Updated Net-to-gross table values and reference for residential LED value change from 0.79 to 0.5</t>
  </si>
  <si>
    <t>Remove all incentive dollar values because these do not belong in TRM, they are subject to change at Program discretion.</t>
  </si>
  <si>
    <t>General format standardizations.</t>
  </si>
  <si>
    <r>
      <rPr>
        <sz val="11"/>
        <color theme="1"/>
        <rFont val="Calibri"/>
        <family val="2"/>
      </rPr>
      <t xml:space="preserve">◦ </t>
    </r>
    <r>
      <rPr>
        <sz val="11"/>
        <color theme="1"/>
        <rFont val="Calibri"/>
        <family val="2"/>
        <scheme val="minor"/>
      </rPr>
      <t>EFLH verified.  Calculations revised to use hours from PY16 TRM due to results of verification.
◦ Added new measure: 3' Linear LED
◦ Added new measure: 8' Linear LED
◦ Added new measure: 4' T5/T5 HO to Linear LED
◦ Updated wattages for remaining Linear LED measures in order to be consistent with new measures.
◦ Updated wattage ranges for LED Corn Cob in order to reflect current market and equipment trends.</t>
    </r>
  </si>
  <si>
    <t>Applicable Program Year:</t>
  </si>
  <si>
    <t>Version Number:</t>
  </si>
  <si>
    <t>Approvals:</t>
  </si>
  <si>
    <t xml:space="preserve">Name </t>
  </si>
  <si>
    <t>Title, Organization</t>
  </si>
  <si>
    <t>Independent EM&amp;V Contractor</t>
  </si>
  <si>
    <t>Hawai‘i Energy</t>
  </si>
  <si>
    <t>This measure was added back from PY15 TRM</t>
  </si>
  <si>
    <t>Energy saving value changed from 0.89% to 0.80% per EM&amp;V</t>
  </si>
  <si>
    <t>Removed this measure since kit components are addressed individually</t>
  </si>
  <si>
    <t>Removed this measure as CFLs are not included in the portfolio post-PY2017</t>
  </si>
  <si>
    <t>A chilled water or condenser water pump or HVAC fan with no VFD.</t>
  </si>
  <si>
    <t>R_HVAC_Smart thermostat</t>
  </si>
  <si>
    <t>New TRM measure in PY18</t>
  </si>
  <si>
    <t>R_Home energy kits</t>
  </si>
  <si>
    <t>R_Peer group comparison</t>
  </si>
  <si>
    <t>R_Direct install kits</t>
  </si>
  <si>
    <t>Major changes in calculation methodology and assumptions per EM&amp;V</t>
  </si>
  <si>
    <t>New prescriptive measure that debuted in PY17 but was inadvertently missing from PY17 TRM.  A very low volume of projects were rebate in PY17.</t>
  </si>
  <si>
    <t>Measure updated per EM&amp;V:  efficiency, load factor, savings by building type, EFLH and CF values modified to be consistent with SCE13HC030.1</t>
  </si>
  <si>
    <t>◦ Deemed savings method converted to semi-prescriptive method
◦ Added supplementary worksheet.</t>
  </si>
  <si>
    <t>Values changed slightly with implementation of calculations in spreadsheet.</t>
  </si>
  <si>
    <t>Removed this measure since Commercial HPWH went customized in PY2017</t>
  </si>
  <si>
    <t>C_Light_General</t>
  </si>
  <si>
    <t xml:space="preserve">C_Light_CFL </t>
  </si>
  <si>
    <t xml:space="preserve">EFFECTIVE USEFUL LIFE </t>
  </si>
  <si>
    <t>8760 minus (average of 45 Hawai‘i supermarkets open hours)</t>
  </si>
  <si>
    <t>&gt;= 75 tons &amp; &lt; 150 tons</t>
  </si>
  <si>
    <t>&gt;= 150 tons &amp; &lt; 300 tons</t>
  </si>
  <si>
    <t>&gt;= 150 Tons</t>
  </si>
  <si>
    <t>&gt;= 300 tons &amp; &lt; 400 tons</t>
  </si>
  <si>
    <t>&gt;= 300 tons &amp; &lt; 600 tons</t>
  </si>
  <si>
    <t>&gt;= 400 tons &amp; &lt; 600 tons</t>
  </si>
  <si>
    <t>kW savings:</t>
  </si>
  <si>
    <t>Step 3:  Calculate savings</t>
  </si>
  <si>
    <t>Hawai'i Energy Technical Reference Manual, PY 2015, July 1 2015-June 30, 2016. Measure Savings Calculations, pp.130-135</t>
  </si>
  <si>
    <t>RESIDENTIAL: Faucet Aerator</t>
  </si>
  <si>
    <t>Efficient Low-Flow Aerators (bathroom and kitchen).</t>
  </si>
  <si>
    <t>Bathroom</t>
  </si>
  <si>
    <t>Enter AC type:</t>
  </si>
  <si>
    <t>RESIDENTIAL: Low-Flow Showerhead</t>
  </si>
  <si>
    <t>Electric Resistance ER from AHRI1</t>
  </si>
  <si>
    <t>˚F</t>
  </si>
  <si>
    <t>kWh per Unit, group "All"</t>
  </si>
  <si>
    <t>kWh per Unit, group "Operating"</t>
  </si>
  <si>
    <t>On Peak Demand, group "All"</t>
  </si>
  <si>
    <t>Step 1:  Enter AC nameplate data</t>
  </si>
  <si>
    <t>Executive summary of all activities included in the commissioning process.</t>
  </si>
  <si>
    <t>Introduction section, including names and contact information for the Building Owner, Building Manager, RCx Trade Ally.</t>
  </si>
  <si>
    <t>Detailed building and energy systems description, including estimates of the equipment usage profiles.</t>
  </si>
  <si>
    <t>Detailed operational scheduling of the major systems.</t>
  </si>
  <si>
    <t>Detailed report of all optimization measures identified.</t>
  </si>
  <si>
    <t>Cost estimate, energy savings estimate and simple payback for all recommended operational actions, sequencing, and equipment enhancements.</t>
  </si>
  <si>
    <t>Pre- and post-data logging.</t>
  </si>
  <si>
    <t>Testing and Balancing (TAB) of HVAC system.</t>
  </si>
  <si>
    <t>Functional testing of the EMS, if equipped.</t>
  </si>
  <si>
    <t>Detailed operations and maintenance review.</t>
  </si>
  <si>
    <t>Documentation of O&amp;M refresher training for facility staff.</t>
  </si>
  <si>
    <t>Assessment of existing equipment over-sizing and recommendations for right-sizing when HVAC equipment needs replacement, including, but not limited to recommended capital items.</t>
  </si>
  <si>
    <t>Any kWh and kW savings brought about by and verified by the retro-commissioning study, such as process optimization, schedule or set-point changes, and routine maintenance.</t>
  </si>
  <si>
    <t>Own or operate a high energy usage facility that has at least 50,000 square feet of conditioned space or that consumes at least 1,000,000 kWh/year.</t>
  </si>
  <si>
    <t>For retro-commissioning, building has been in service for at least 2 years and has never been commissioned before. For recommissioning, it has been at least 5 years since the last commissioning activity.</t>
  </si>
  <si>
    <t>Be willing to invest facility management time, typically between 8-16 hours, to support multiple site visits and data requests from the RCx consultant.</t>
  </si>
  <si>
    <t>Perform at least two weeks of metering of all major building systems prior to the implementation of any ECMs and at least two weeks of post metering. The cost of “pre” and “post” metering may be included in the total project cost by the commissioning agent. The metering plan shall be included in the proposal.</t>
  </si>
  <si>
    <t>1.</t>
  </si>
  <si>
    <t>2.</t>
  </si>
  <si>
    <t>The proposed contractor provides evidence of having completed similar commissioning projects for two or more buildings of at least 50,000 square feet (conditioned space) each, and</t>
  </si>
  <si>
    <t>All retro-commissioning work performed (to include, but not limited to, documentation and reporting) must follow guidelines recommended by an approved commissioning organization. The commissioning specialist must indicate in their report the organization’s guidelines which were followed for the retro-commissioning process.</t>
  </si>
  <si>
    <t>The cost of replacement of major end use items may be included in the total project cost from the commissioning agent. Cost of routine maintenance activities identified by the commissioning agent shall not be included in the total project.</t>
  </si>
  <si>
    <t>(Custom)</t>
  </si>
  <si>
    <t>&lt;35W</t>
  </si>
  <si>
    <t>&gt;220W</t>
  </si>
  <si>
    <t>Clothes Washer (Tier I/II/III)</t>
  </si>
  <si>
    <t>Electric Resistance, 
Dormitories</t>
  </si>
  <si>
    <t>Electric Resistance, 
K-12 Schools</t>
  </si>
  <si>
    <t>Heat Pump, 
Dormitories</t>
  </si>
  <si>
    <t>Heat Pump, 
K-12 Schools</t>
  </si>
  <si>
    <t>ASH Control</t>
  </si>
  <si>
    <t>35W-149W</t>
  </si>
  <si>
    <t>150W-220W</t>
  </si>
  <si>
    <t>Energy Management System (EMS)</t>
  </si>
  <si>
    <t>2007 EISA nominal efficiency (as defined in NEMA MG1 Table 12-12) motors.</t>
  </si>
  <si>
    <t>Efficiency of baseline motor</t>
  </si>
  <si>
    <t>kW equivalent of 1 horse power</t>
  </si>
  <si>
    <t>Efficiency of energy efficient motor</t>
  </si>
  <si>
    <t>peak kW savings per HP</t>
  </si>
  <si>
    <t>annual kWh savings per HP</t>
  </si>
  <si>
    <t>Motor Size
(hp)</t>
  </si>
  <si>
    <t>3600 RPM
(2-pole)</t>
  </si>
  <si>
    <t>1800 RPM
(4-pole)</t>
  </si>
  <si>
    <t>1200 RPM
(6-pole)</t>
  </si>
  <si>
    <t>ODP</t>
  </si>
  <si>
    <t>TEFC</t>
  </si>
  <si>
    <t>Table 1: Qualifying Motor Efficiency Table</t>
  </si>
  <si>
    <t>Per horse power</t>
  </si>
  <si>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</si>
  <si>
    <r>
      <rPr>
        <b/>
        <sz val="11"/>
        <color theme="1"/>
        <rFont val="Calibri"/>
        <family val="2"/>
        <scheme val="minor"/>
      </rPr>
      <t>=</t>
    </r>
    <r>
      <rPr>
        <sz val="11"/>
        <color theme="1"/>
        <rFont val="Calibri"/>
        <family val="2"/>
        <scheme val="minor"/>
      </rPr>
      <t xml:space="preserve"> kW</t>
    </r>
    <r>
      <rPr>
        <vertAlign val="subscript"/>
        <sz val="11"/>
        <color theme="1"/>
        <rFont val="Calibri"/>
        <family val="2"/>
        <scheme val="minor"/>
      </rPr>
      <t>_perHP</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η_</t>
    </r>
    <r>
      <rPr>
        <vertAlign val="subscript"/>
        <sz val="11"/>
        <color theme="1"/>
        <rFont val="Calibri"/>
        <family val="2"/>
        <scheme val="minor"/>
      </rPr>
      <t>base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1 </t>
    </r>
    <r>
      <rPr>
        <b/>
        <sz val="11"/>
        <color rgb="FFC00000"/>
        <rFont val="Calibri"/>
        <family val="2"/>
        <scheme val="minor"/>
      </rPr>
      <t>/</t>
    </r>
    <r>
      <rPr>
        <sz val="11"/>
        <color theme="1"/>
        <rFont val="Calibri"/>
        <family val="2"/>
        <scheme val="minor"/>
      </rPr>
      <t xml:space="preserve"> η</t>
    </r>
    <r>
      <rPr>
        <vertAlign val="subscript"/>
        <sz val="11"/>
        <color theme="1"/>
        <rFont val="Calibri"/>
        <family val="2"/>
        <scheme val="minor"/>
      </rPr>
      <t>_ee</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LF </t>
    </r>
    <r>
      <rPr>
        <b/>
        <sz val="11"/>
        <color rgb="FFC00000"/>
        <rFont val="Calibri"/>
        <family val="2"/>
        <scheme val="minor"/>
      </rPr>
      <t>*</t>
    </r>
    <r>
      <rPr>
        <sz val="11"/>
        <color theme="1"/>
        <rFont val="Calibri"/>
        <family val="2"/>
        <scheme val="minor"/>
      </rPr>
      <t xml:space="preserve"> HRS</t>
    </r>
  </si>
  <si>
    <t>Premium Efficiency Motors</t>
  </si>
  <si>
    <t>COMMERCIAL: Premium Efficiency Motor</t>
  </si>
  <si>
    <t>C_PumpMotor_PE Motor</t>
  </si>
  <si>
    <t>Premium Efficiency Motor</t>
  </si>
  <si>
    <t>One tune up</t>
  </si>
  <si>
    <t>Standard efficiency motor with three integral incandescent bulbs.</t>
  </si>
  <si>
    <t>ENERGY STAR high efficiency motor with CFL bulbs.</t>
  </si>
  <si>
    <t>Solar-powered attic fan in air-conditioned home</t>
  </si>
  <si>
    <t>One fan.</t>
  </si>
  <si>
    <t>Fan installed.</t>
  </si>
  <si>
    <t>LED (non-military)</t>
  </si>
  <si>
    <t>LED (military)</t>
  </si>
  <si>
    <t>Code-compliant or standard efficiency power strip.</t>
  </si>
  <si>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.base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.he</t>
    </r>
  </si>
  <si>
    <t>Per 1000 square feet of material</t>
  </si>
  <si>
    <r>
      <rPr>
        <b/>
        <sz val="11"/>
        <color theme="1"/>
        <rFont val="Calibri"/>
        <family val="2"/>
        <scheme val="minor"/>
      </rPr>
      <t>=</t>
    </r>
    <r>
      <rPr>
        <sz val="11"/>
        <color theme="1"/>
        <rFont val="Calibri"/>
        <family val="2"/>
        <scheme val="minor"/>
      </rPr>
      <t xml:space="preserve"> 250 kWh per 1000-SF</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</si>
  <si>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.cook</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.preheat</t>
    </r>
  </si>
  <si>
    <r>
      <rPr>
        <b/>
        <sz val="11"/>
        <color theme="1"/>
        <rFont val="Calibri"/>
        <family val="2"/>
        <scheme val="minor"/>
      </rPr>
      <t>= (</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</si>
  <si>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</si>
  <si>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r>
      <rPr>
        <b/>
        <sz val="11"/>
        <color theme="1"/>
        <rFont val="Calibri"/>
        <family val="2"/>
        <scheme val="minor"/>
      </rPr>
      <t>=</t>
    </r>
    <r>
      <rPr>
        <sz val="11"/>
        <color theme="1"/>
        <rFont val="Calibri"/>
        <family val="2"/>
        <scheme val="minor"/>
      </rPr>
      <t xml:space="preserve"> E</t>
    </r>
    <r>
      <rPr>
        <vertAlign val="subscript"/>
        <sz val="11"/>
        <color theme="1"/>
        <rFont val="Calibri"/>
        <family val="2"/>
        <scheme val="minor"/>
      </rPr>
      <t>.idle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CAP</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MIN</t>
    </r>
    <r>
      <rPr>
        <vertAlign val="subscript"/>
        <sz val="11"/>
        <color theme="1"/>
        <rFont val="Calibri"/>
        <family val="2"/>
        <scheme val="minor"/>
      </rPr>
      <t>.preheat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60</t>
    </r>
    <r>
      <rPr>
        <b/>
        <sz val="11"/>
        <color theme="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t>
    </r>
  </si>
  <si>
    <t>(See below)</t>
  </si>
  <si>
    <r>
      <t>ΔE</t>
    </r>
    <r>
      <rPr>
        <vertAlign val="subscript"/>
        <sz val="11"/>
        <color theme="1"/>
        <rFont val="Calibri"/>
        <family val="2"/>
      </rPr>
      <t>.total</t>
    </r>
  </si>
  <si>
    <r>
      <t>ΔE</t>
    </r>
    <r>
      <rPr>
        <vertAlign val="subscript"/>
        <sz val="11"/>
        <color theme="1"/>
        <rFont val="Calibri"/>
        <family val="2"/>
      </rPr>
      <t>.base</t>
    </r>
    <r>
      <rPr>
        <sz val="11"/>
        <color theme="1"/>
        <rFont val="Calibri"/>
        <family val="2"/>
      </rPr>
      <t xml:space="preserve"> or ΔE</t>
    </r>
    <r>
      <rPr>
        <vertAlign val="subscript"/>
        <sz val="11"/>
        <color theme="1"/>
        <rFont val="Calibri"/>
        <family val="2"/>
      </rPr>
      <t>.he</t>
    </r>
  </si>
  <si>
    <r>
      <t>E</t>
    </r>
    <r>
      <rPr>
        <vertAlign val="subscript"/>
        <sz val="11"/>
        <color theme="1"/>
        <rFont val="Calibri"/>
        <family val="2"/>
      </rPr>
      <t>.cook,total</t>
    </r>
  </si>
  <si>
    <r>
      <t>E</t>
    </r>
    <r>
      <rPr>
        <vertAlign val="subscript"/>
        <sz val="11"/>
        <color theme="1"/>
        <rFont val="Calibri"/>
        <family val="2"/>
      </rPr>
      <t>.idle,total</t>
    </r>
  </si>
  <si>
    <r>
      <t>E</t>
    </r>
    <r>
      <rPr>
        <vertAlign val="subscript"/>
        <sz val="11"/>
        <color theme="1"/>
        <rFont val="Calibri"/>
        <family val="2"/>
      </rPr>
      <t>.preheat,total</t>
    </r>
  </si>
  <si>
    <r>
      <t>E</t>
    </r>
    <r>
      <rPr>
        <vertAlign val="subscript"/>
        <sz val="11"/>
        <color theme="1"/>
        <rFont val="Calibri"/>
        <family val="2"/>
        <scheme val="minor"/>
      </rPr>
      <t>.cook,total</t>
    </r>
  </si>
  <si>
    <r>
      <t>E</t>
    </r>
    <r>
      <rPr>
        <vertAlign val="subscript"/>
        <sz val="11"/>
        <color theme="1"/>
        <rFont val="Calibri"/>
        <family val="2"/>
        <scheme val="minor"/>
      </rPr>
      <t>.idle,total</t>
    </r>
  </si>
  <si>
    <r>
      <t>E</t>
    </r>
    <r>
      <rPr>
        <vertAlign val="subscript"/>
        <sz val="11"/>
        <color theme="1"/>
        <rFont val="Calibri"/>
        <family val="2"/>
        <scheme val="minor"/>
      </rPr>
      <t>.preheat,total</t>
    </r>
  </si>
  <si>
    <r>
      <rPr>
        <b/>
        <sz val="11"/>
        <color theme="1"/>
        <rFont val="Calibri"/>
        <family val="2"/>
        <scheme val="minor"/>
      </rPr>
      <t>=</t>
    </r>
    <r>
      <rPr>
        <sz val="11"/>
        <color theme="1"/>
        <rFont val="Calibri"/>
        <family val="2"/>
        <scheme val="minor"/>
      </rPr>
      <t xml:space="preserve"> LBS</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E</t>
    </r>
    <r>
      <rPr>
        <vertAlign val="subscript"/>
        <sz val="11"/>
        <color theme="1"/>
        <rFont val="Calibri"/>
        <family val="2"/>
        <scheme val="minor"/>
      </rPr>
      <t>.food</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t>
    </r>
    <r>
      <rPr>
        <sz val="11"/>
        <color theme="1"/>
        <rFont val="Calibri"/>
        <family val="2"/>
      </rPr>
      <t>η</t>
    </r>
    <r>
      <rPr>
        <vertAlign val="subscript"/>
        <sz val="11"/>
        <color theme="1"/>
        <rFont val="Calibri"/>
        <family val="2"/>
      </rPr>
      <t>.cook</t>
    </r>
    <r>
      <rPr>
        <b/>
        <sz val="11"/>
        <color theme="1"/>
        <rFont val="Calibri"/>
        <family val="2"/>
      </rPr>
      <t>)</t>
    </r>
    <r>
      <rPr>
        <sz val="11"/>
        <color theme="1"/>
        <rFont val="Calibri"/>
        <family val="2"/>
      </rPr>
      <t xml:space="preserve"> </t>
    </r>
    <r>
      <rPr>
        <b/>
        <sz val="11"/>
        <color rgb="FFC00000"/>
        <rFont val="Calibri"/>
        <family val="2"/>
      </rPr>
      <t>*</t>
    </r>
    <r>
      <rPr>
        <sz val="11"/>
        <color theme="1"/>
        <rFont val="Calibri"/>
        <family val="2"/>
      </rPr>
      <t xml:space="preserve"> DAYS</t>
    </r>
  </si>
  <si>
    <t>ΔkWh</t>
  </si>
  <si>
    <t>ΔkW</t>
  </si>
  <si>
    <r>
      <rPr>
        <b/>
        <sz val="11"/>
        <color theme="1"/>
        <rFont val="Calibri"/>
        <family val="2"/>
        <scheme val="minor"/>
      </rPr>
      <t>=</t>
    </r>
    <r>
      <rPr>
        <sz val="11"/>
        <color theme="1"/>
        <rFont val="Calibri"/>
        <family val="2"/>
        <scheme val="minor"/>
      </rPr>
      <t xml:space="preserve"> HRS</t>
    </r>
    <r>
      <rPr>
        <vertAlign val="subscript"/>
        <sz val="11"/>
        <color theme="1"/>
        <rFont val="Calibri"/>
        <family val="2"/>
        <scheme val="minor"/>
      </rPr>
      <t>.daily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DAYS </t>
    </r>
    <r>
      <rPr>
        <b/>
        <sz val="11"/>
        <color rgb="FFC00000"/>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kW</t>
    </r>
    <r>
      <rPr>
        <vertAlign val="subscript"/>
        <sz val="11"/>
        <color theme="1"/>
        <rFont val="Calibri"/>
        <family val="2"/>
        <scheme val="minor"/>
      </rPr>
      <t>.bs</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kW</t>
    </r>
    <r>
      <rPr>
        <vertAlign val="subscript"/>
        <sz val="11"/>
        <color theme="1"/>
        <rFont val="Calibri"/>
        <family val="2"/>
        <scheme val="minor"/>
      </rPr>
      <t>.he</t>
    </r>
    <r>
      <rPr>
        <b/>
        <sz val="11"/>
        <color theme="1"/>
        <rFont val="Calibri"/>
        <family val="2"/>
        <scheme val="minor"/>
      </rPr>
      <t>)</t>
    </r>
  </si>
  <si>
    <r>
      <rPr>
        <b/>
        <sz val="11"/>
        <color theme="1"/>
        <rFont val="Calibri"/>
        <family val="2"/>
        <scheme val="minor"/>
      </rPr>
      <t>=</t>
    </r>
    <r>
      <rPr>
        <sz val="11"/>
        <color theme="1"/>
        <rFont val="Calibri"/>
        <family val="2"/>
        <scheme val="minor"/>
      </rPr>
      <t xml:space="preserve"> </t>
    </r>
    <r>
      <rPr>
        <b/>
        <sz val="11"/>
        <color theme="1"/>
        <rFont val="Calibri"/>
        <family val="2"/>
        <scheme val="minor"/>
      </rPr>
      <t>(</t>
    </r>
    <r>
      <rPr>
        <sz val="11"/>
        <color theme="1"/>
        <rFont val="Calibri"/>
        <family val="2"/>
        <scheme val="minor"/>
      </rPr>
      <t xml:space="preserve">kW.bs </t>
    </r>
    <r>
      <rPr>
        <b/>
        <sz val="11"/>
        <color rgb="FFC00000"/>
        <rFont val="Calibri"/>
        <family val="2"/>
        <scheme val="minor"/>
      </rPr>
      <t>-</t>
    </r>
    <r>
      <rPr>
        <sz val="11"/>
        <color theme="1"/>
        <rFont val="Calibri"/>
        <family val="2"/>
        <scheme val="minor"/>
      </rPr>
      <t xml:space="preserve"> kW.he</t>
    </r>
    <r>
      <rPr>
        <b/>
        <sz val="11"/>
        <rFont val="Calibri"/>
        <family val="2"/>
        <scheme val="minor"/>
      </rPr>
      <t>)</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</si>
  <si>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t>Baseline equipment demand</t>
  </si>
  <si>
    <t>High efficiency equipment demand</t>
  </si>
  <si>
    <t>See below</t>
  </si>
  <si>
    <t>EISA 2007, avg 1 HP</t>
  </si>
  <si>
    <t>HE requirement, avg 1 HP</t>
  </si>
  <si>
    <t>This measure was added back from PY15 TRM with updated efficiency values.</t>
  </si>
  <si>
    <t>Changed efficiency values to reflect updated standards.</t>
  </si>
  <si>
    <t>Added Premium Efficiency Motor entry from PY15 TRM.</t>
  </si>
  <si>
    <t>COMMERCIAL: VFD Booster Pump</t>
  </si>
  <si>
    <t>Res. VFD Pool Pump</t>
  </si>
  <si>
    <t>Multi-family</t>
  </si>
  <si>
    <t>Induction Motor Efficiency Standards</t>
  </si>
  <si>
    <t>Prepared by Johnny Douglass, P.E.</t>
  </si>
  <si>
    <t>Washington State University</t>
  </si>
  <si>
    <t>Extension Energy Program</t>
  </si>
  <si>
    <t>925 Plum Street SE, Bldg. 4</t>
  </si>
  <si>
    <t>POB 43169</t>
  </si>
  <si>
    <t>Olympia, WA 98504-3165</t>
  </si>
  <si>
    <t>See notes at end of tables</t>
  </si>
  <si>
    <t>Enclosure</t>
  </si>
  <si>
    <t>Speed</t>
  </si>
  <si>
    <t>Horsepower</t>
  </si>
  <si>
    <t>Volt</t>
  </si>
  <si>
    <t>Old NEMA</t>
  </si>
  <si>
    <t>NEMA EPACT</t>
  </si>
  <si>
    <t>IEEE 841</t>
  </si>
  <si>
    <t>NEMA Premium</t>
  </si>
  <si>
    <t>Page 1 of 8</t>
  </si>
  <si>
    <t>Page 2 of 8</t>
  </si>
  <si>
    <t>Page 3 of 8</t>
  </si>
  <si>
    <t>Page 4 of 8</t>
  </si>
  <si>
    <t>Page 5 of 8</t>
  </si>
  <si>
    <t>Page 6 of 8</t>
  </si>
  <si>
    <t>Page 7 of 8</t>
  </si>
  <si>
    <t>Synchronous speed:  equal to 7200 / #poles</t>
  </si>
  <si>
    <t>Rated Horsepower</t>
  </si>
  <si>
    <t>Volt Code:  460 means = or &lt; 600 V; 4000 means &gt; 600 V</t>
  </si>
  <si>
    <t xml:space="preserve">Earliest NEMA standard for “Energy Efficient” label.  </t>
  </si>
  <si>
    <t>Lower than current “Energy Efficient” standard</t>
  </si>
  <si>
    <t xml:space="preserve">Current NEMA standard for “Energy Efficient” label.  </t>
  </si>
  <si>
    <t>Sames as EPAct but EPAct doesn’t exist at &gt;200 HP or &lt;1200 RPM</t>
  </si>
  <si>
    <t>IEEE 841-2001 standard</t>
  </si>
  <si>
    <t>NEMA standard for “Premium Efficient” label.</t>
  </si>
  <si>
    <t>© 2005 Washington State University Extension Energy Program. This publication contains material written and produced for public distribution.  You may reprint this written material, provided you do not use it to endorse a commercial product. Please reference by title and credit Washington State University Extension Energy Program and the Northwest Energy Efficiency Alliance.</t>
  </si>
  <si>
    <t>WSUEEP02_029 April 2002, Revised July 2002, Updated October 2005</t>
  </si>
  <si>
    <t>Page 8 of 8</t>
  </si>
  <si>
    <t>Building must have a means of mechanical cooling and cool roof must meet solar absorptance criteria.</t>
  </si>
  <si>
    <t>tons</t>
  </si>
  <si>
    <t xml:space="preserve">Vending machine must be refrigerated and/or employ an active lamp. </t>
  </si>
  <si>
    <t xml:space="preserve">Timers must be digital, include an internal rechargeable battery, and 7 day programmable on/off settings.  </t>
  </si>
  <si>
    <t xml:space="preserve">Project pre-approval required.  </t>
  </si>
  <si>
    <t>= (kW_bs - kW_ee) * HRS</t>
  </si>
  <si>
    <t>Ceiling fan must have an ENERGY STAR label and include lighting.</t>
  </si>
  <si>
    <t>Contact Hawai'i Energy's residential team for more information.</t>
  </si>
  <si>
    <t>Qualified showerheads are provided directly by Hawai‘i Energy via online store or direct-install program.</t>
  </si>
  <si>
    <t>R_HVAC_VRF Split</t>
  </si>
  <si>
    <t>Changed enhanced SEER from 16 to 18.</t>
  </si>
  <si>
    <t>Enhanced case requirement increased from 16 to 18 per Honeywell</t>
  </si>
  <si>
    <t>Tab Name</t>
  </si>
  <si>
    <t>Issues</t>
  </si>
  <si>
    <t>Resolution Status</t>
  </si>
  <si>
    <t>Resolved</t>
  </si>
  <si>
    <t>For PY18 TRM</t>
  </si>
  <si>
    <t>Overall</t>
  </si>
  <si>
    <t>Unresolved</t>
  </si>
  <si>
    <t>Status Last Updated</t>
  </si>
  <si>
    <t>Non-linear LED (~23% of PY16 portfolio)
- Revisit overall methodology
- Revisit percent incandescent/CFL mix based on market research
- Revisit baseline wattages (currently not accounting for EISA, although they do account for 80% CFL assumption for A-19, which could be overly conservative)</t>
  </si>
  <si>
    <t>Energy Management Controls (2% of PY16 portfolio) - Deemed savings are unsourced. Revisit methodology and determine best approach for revisions to this measure</t>
  </si>
  <si>
    <t>Chillers - review approach in its entirety</t>
  </si>
  <si>
    <t>VFDs (0.8% of PY16 portfolio) - review approach in its entirety</t>
  </si>
  <si>
    <t>Variable Refrigerant Flow (1.5% of PY16 portfolio) - Need to document sources for deemed savings assumptions and/or consider a revised approach</t>
  </si>
  <si>
    <t>R_WH_SWH</t>
  </si>
  <si>
    <t>Other Notes</t>
  </si>
  <si>
    <t>Per PY18 TRM Changes Log</t>
  </si>
  <si>
    <t>Per EEM talking points for AEG team</t>
  </si>
  <si>
    <t>For all the following, double-checked calculations and added calculations where none were present: 
    ◦ C_Kitchen_Freezer
    ◦ C_Kitchen_Refrigerator
    ◦ C_Spray_Nozzle -- calculations added to show how final numbers were derived
    ◦ C_IceMaker (calcs added)
    ◦ C_ElectricSteamCooker
    ◦ C_Electric Griddle (calcs added)
    ◦ C_Fryer (calcs added)
    ◦ C_Holding Cabinet
    ◦ C_Convection Oven
    ◦ C_Combination Oven</t>
  </si>
  <si>
    <t>TBD</t>
  </si>
  <si>
    <t>Linked to EFLH tab and Savings Factors tab (interactive factors), then removed excess EFLH tables that are not in use.</t>
  </si>
  <si>
    <t>From "Revision Log (internal" tab hidden in PY18 TRM</t>
  </si>
  <si>
    <t>TOC</t>
  </si>
  <si>
    <t>C_HVAC_VFD Water Pump</t>
  </si>
  <si>
    <t>C_HVAC_VRF</t>
  </si>
  <si>
    <t>C_HVAC_EMS</t>
  </si>
  <si>
    <t>C_Lighting_Refrigerated Case</t>
  </si>
  <si>
    <t>C_Light_Occupancy Sensor</t>
  </si>
  <si>
    <t>C_Light_Stairwell Bi-Level</t>
  </si>
  <si>
    <t>C_Light_Energy Advantage</t>
  </si>
  <si>
    <t>C_PumpMotor_VFD Booster Pump</t>
  </si>
  <si>
    <t>C_PumpMotor_VFD Pool Pump</t>
  </si>
  <si>
    <t>C_WH_Solar</t>
  </si>
  <si>
    <t>R_Appliance_Refrigerator</t>
  </si>
  <si>
    <t>R_PumpMotor_VFD Pool Pump</t>
  </si>
  <si>
    <t>R_WH_SWH Tune Up</t>
  </si>
  <si>
    <t>R_Other_Peer Group Comparison</t>
  </si>
  <si>
    <t xml:space="preserve">One transformer
</t>
  </si>
  <si>
    <t xml:space="preserve">State of Minnesota, Technical Reference Manual for Energy Conservation Improvement Programs, Version 2.2, May 2, 2018. </t>
  </si>
  <si>
    <t>Tennessee Valley Authority Technical Resource Manual, Version 4.0, Prepared by DNV KEMA, October 2015. (Measure is discontinued in Version 5.0, 2016 and Version 6.0, 2017.)</t>
  </si>
  <si>
    <t>Michigan Energy Measure Database, 2018 MEMD Master Database, https://www.michigan.gov/mpsc/0,4639,7-159-52495_55129---,00.html. Spreadsheet.</t>
  </si>
  <si>
    <t>Connecticut Program Savings Document, 11th Edition for 2016 Program Year, October 1, 2015. (Measure is discontinued in 12th Edition for 2017 Program Year and 13th Edition for 2018 Program Year.)</t>
  </si>
  <si>
    <t>Determination Analysis of Energy Conservation Standards for Distribution Transformers, ORNL-6847, Oak Ridge National Laboratory, Oak Ridge, TN, 1996, https://www.osti.gov/servlets/purl/405744.</t>
  </si>
  <si>
    <t>Northwest Power Conservation Council (NWPCC), Commercial Data Centers, Version 6 - Seventh Power Plan Conservation Supply Workbooks, February 25, 2016. Spreadsheet.
Northwest Power Conservation Council (NWPCC), Industrial Tool, Version 9 - Seventh Power Plan Conservation Supply Workbooks, February 25, 2016. Spreadsheet.</t>
  </si>
  <si>
    <t>Transformer Replacement Program, Low-Voltage Dry-Type 25-300 KVA Transformers, Implementation Manual, Version 2, National Grid, January 24, 2018.</t>
  </si>
  <si>
    <t>Net to gross ratios with consideration of spillover, market effects, market transformation. Update using secondary information for PY19 TRM.</t>
  </si>
  <si>
    <t>Consider leveraging 2019 Baseline Study to survey participants and non-participants.</t>
  </si>
  <si>
    <t>Solar hot water heater (1.6% of PY16 portfolio) - Revisit baseline and methodology and make consistent with other input assumptions in TRM (e.g., people per house, hot water temperature assumptions, hot water usage assumptions)</t>
  </si>
  <si>
    <t xml:space="preserve">Review/update EULs and, where applicable, RULs. </t>
  </si>
  <si>
    <t>Address formal definition of demand savings (currently not consistent between measures) and calculation of such demand savings.</t>
  </si>
  <si>
    <t>COMMERCIAL_Lighting</t>
  </si>
  <si>
    <t>Review/update</t>
  </si>
  <si>
    <t>Per PY19 prioritization</t>
  </si>
  <si>
    <t>C_HVAC_Chiller, C_HVAC_Chiller_WKST</t>
  </si>
  <si>
    <t>Custom Measures - Transformers</t>
  </si>
  <si>
    <t>ISSUES LOG</t>
  </si>
  <si>
    <t>The replacement of an existing transformer with a higher efficiency unit.</t>
  </si>
  <si>
    <t>Title 10: Energy, PART 431—ENERGY EFFICIENCY PROGRAM FOR CERTAIN COMMERCIAL AND INDUSTRIAL EQUIPMENT, Subpart K—Distribution Transformers, §431.196 Energy conservation standards and their effective dates, Electronic Code of Federal Regulations, U.S. Government Publishing Office.</t>
  </si>
  <si>
    <t>OVERVIEW</t>
  </si>
  <si>
    <t>COMMERCIAL: Distribution Transformers</t>
  </si>
  <si>
    <t>UPDATE STATUS</t>
  </si>
  <si>
    <t>Transformer projects must meet the eligibility criteria below:</t>
  </si>
  <si>
    <t>Replacement unit must exceed DOE2016 energy efficiency standard. (See 10 CFR 431.196 "Energy conservation standards and their effective dates" for DOE efficiency standards effective Jan. 1, 2016.)</t>
  </si>
  <si>
    <t>Except for the case of new construction, the new transformer must serve the same load as the pre-existing transformer.</t>
  </si>
  <si>
    <t>OTHER EXAMPLES OF CUSTOM MEASURES</t>
  </si>
  <si>
    <t>Residential New Construction</t>
  </si>
  <si>
    <t>VFD</t>
  </si>
  <si>
    <t>Advanced Residential Intelligent Efficiency Services (ARIES)</t>
  </si>
  <si>
    <t>“Adjustments &amp; Maintenance” – Changing setting and schedules, or habits associated with devices like electronics and appliances. The savings potential in this category is higher for large electric uses like heat pumps, water and space heaters, etc. Depending upon customer context, could represent additional 5% savings or more. ARIES will assess customer-specific savings potential and act accordingly with informational interventions.</t>
  </si>
  <si>
    <t>“Eliminate” – Many households accumulate energy-using products or equipment over time that they may not need. ARIES will help enhance customers’ visibility and awareness of vestigial device usage and encourage them to consider whether customers have an opportunities to reduce their energy clutter.</t>
  </si>
  <si>
    <t>A single baseline approach should be applied in the following cases:</t>
  </si>
  <si>
    <t>If the new transformer will serve a load that is greater than 10% higher than the load served by the pre-existing transformer, treat as New Construction.</t>
  </si>
  <si>
    <t>1)</t>
  </si>
  <si>
    <t>2)</t>
  </si>
  <si>
    <t>3)</t>
  </si>
  <si>
    <t>The age of the transformer exceeds the EUL,</t>
  </si>
  <si>
    <t>The transformer is no longer functioning, or</t>
  </si>
  <si>
    <t>In cases where the loading on the pre-existing transformer is unknown for a given project, an EUL of 30 years should be used when determining eligibility for early retirement. The EUL of 30 years is consistent with the average EUL found in a literature review of other TRMs and distribution transformer guidance documents. In addition, the energy and demand savings should be calculated for no-load conditions. 
In cases where the average and peak loading conditions are known and well documented for a given project, the EUL will be dependent on the loading characteristics and condition of the pre-existing transformer. Data from the literature may be used to estimate the EUL as a function of loading, with a not-to-exceed EUL of 50 years. Energy and demand savings should be calculated using the project-specific loading conditions.</t>
  </si>
  <si>
    <t xml:space="preserve">The pre-existing transformer is functioning with remaining useful life of &gt; 0 years (based on the EUL), and </t>
  </si>
  <si>
    <t>The vintage (and therefore RUL) of the pre-existing transformer can be ascertained and is well-documented.</t>
  </si>
  <si>
    <t>It is a new construction project.</t>
  </si>
  <si>
    <r>
      <t>CAP</t>
    </r>
    <r>
      <rPr>
        <vertAlign val="subscript"/>
        <sz val="10.5"/>
        <color theme="1"/>
        <rFont val="Calibri"/>
        <family val="2"/>
        <scheme val="minor"/>
      </rPr>
      <t>.cool</t>
    </r>
  </si>
  <si>
    <r>
      <t>ESF</t>
    </r>
    <r>
      <rPr>
        <vertAlign val="subscript"/>
        <sz val="10.5"/>
        <color theme="1"/>
        <rFont val="Calibri"/>
        <family val="2"/>
        <scheme val="minor"/>
      </rPr>
      <t>.cool</t>
    </r>
  </si>
  <si>
    <r>
      <t xml:space="preserve">CF </t>
    </r>
    <r>
      <rPr>
        <vertAlign val="superscript"/>
        <sz val="10.5"/>
        <color theme="1"/>
        <rFont val="Calibri"/>
        <family val="2"/>
        <scheme val="minor"/>
      </rPr>
      <t>1</t>
    </r>
  </si>
  <si>
    <r>
      <t>%</t>
    </r>
    <r>
      <rPr>
        <vertAlign val="subscript"/>
        <sz val="10.5"/>
        <color theme="1"/>
        <rFont val="Calibri"/>
        <family val="2"/>
        <scheme val="minor"/>
      </rPr>
      <t>.low</t>
    </r>
  </si>
  <si>
    <r>
      <t>%</t>
    </r>
    <r>
      <rPr>
        <vertAlign val="subscript"/>
        <sz val="10.5"/>
        <color theme="1"/>
        <rFont val="Calibri"/>
        <family val="2"/>
        <scheme val="minor"/>
      </rPr>
      <t>.med</t>
    </r>
  </si>
  <si>
    <r>
      <t>%</t>
    </r>
    <r>
      <rPr>
        <vertAlign val="subscript"/>
        <sz val="10.5"/>
        <color theme="1"/>
        <rFont val="Calibri"/>
        <family val="2"/>
        <scheme val="minor"/>
      </rPr>
      <t>.high</t>
    </r>
  </si>
  <si>
    <r>
      <t>Low</t>
    </r>
    <r>
      <rPr>
        <vertAlign val="subscript"/>
        <sz val="10.5"/>
        <color theme="1"/>
        <rFont val="Calibri"/>
        <family val="2"/>
        <scheme val="minor"/>
      </rPr>
      <t>.kW,base</t>
    </r>
  </si>
  <si>
    <r>
      <t>Low</t>
    </r>
    <r>
      <rPr>
        <vertAlign val="subscript"/>
        <sz val="10.5"/>
        <color theme="1"/>
        <rFont val="Calibri"/>
        <family val="2"/>
      </rPr>
      <t>.kW,ee</t>
    </r>
  </si>
  <si>
    <r>
      <t>Med</t>
    </r>
    <r>
      <rPr>
        <vertAlign val="subscript"/>
        <sz val="10.5"/>
        <color theme="1"/>
        <rFont val="Calibri"/>
        <family val="2"/>
      </rPr>
      <t>.kW,base</t>
    </r>
  </si>
  <si>
    <r>
      <t>Med</t>
    </r>
    <r>
      <rPr>
        <vertAlign val="subscript"/>
        <sz val="10.5"/>
        <color theme="1"/>
        <rFont val="Calibri"/>
        <family val="2"/>
        <scheme val="minor"/>
      </rPr>
      <t>.kW,ee</t>
    </r>
  </si>
  <si>
    <r>
      <t>High</t>
    </r>
    <r>
      <rPr>
        <vertAlign val="subscript"/>
        <sz val="10.5"/>
        <color theme="1"/>
        <rFont val="Calibri"/>
        <family val="2"/>
        <scheme val="minor"/>
      </rPr>
      <t>.kW,base</t>
    </r>
  </si>
  <si>
    <r>
      <t>High</t>
    </r>
    <r>
      <rPr>
        <vertAlign val="subscript"/>
        <sz val="10.5"/>
        <color theme="1"/>
        <rFont val="Calibri"/>
        <family val="2"/>
        <scheme val="minor"/>
      </rPr>
      <t>.kW,ee</t>
    </r>
  </si>
  <si>
    <r>
      <t>Inc</t>
    </r>
    <r>
      <rPr>
        <vertAlign val="subscript"/>
        <sz val="10.5"/>
        <color theme="1"/>
        <rFont val="Calibri"/>
        <family val="2"/>
        <scheme val="minor"/>
      </rPr>
      <t>.kW</t>
    </r>
  </si>
  <si>
    <r>
      <t>CFL</t>
    </r>
    <r>
      <rPr>
        <vertAlign val="subscript"/>
        <sz val="10.5"/>
        <color theme="1"/>
        <rFont val="Calibri"/>
        <family val="2"/>
        <scheme val="minor"/>
      </rPr>
      <t>.kW</t>
    </r>
  </si>
  <si>
    <r>
      <t>HRS</t>
    </r>
    <r>
      <rPr>
        <vertAlign val="subscript"/>
        <sz val="10.5"/>
        <color theme="1"/>
        <rFont val="Calibri"/>
        <family val="2"/>
        <scheme val="minor"/>
      </rPr>
      <t>.fan</t>
    </r>
  </si>
  <si>
    <r>
      <t>HRS</t>
    </r>
    <r>
      <rPr>
        <vertAlign val="subscript"/>
        <sz val="10.5"/>
        <color theme="1"/>
        <rFont val="Calibri"/>
        <family val="2"/>
        <scheme val="minor"/>
      </rPr>
      <t>.light</t>
    </r>
  </si>
  <si>
    <r>
      <t>WHF</t>
    </r>
    <r>
      <rPr>
        <vertAlign val="subscript"/>
        <sz val="10.5"/>
        <color theme="1"/>
        <rFont val="Calibri"/>
        <family val="2"/>
        <scheme val="minor"/>
      </rPr>
      <t>.d</t>
    </r>
  </si>
  <si>
    <r>
      <t>WHF</t>
    </r>
    <r>
      <rPr>
        <vertAlign val="subscript"/>
        <sz val="10.5"/>
        <color theme="1"/>
        <rFont val="Calibri"/>
        <family val="2"/>
      </rPr>
      <t>.e</t>
    </r>
  </si>
  <si>
    <r>
      <t>CAP</t>
    </r>
    <r>
      <rPr>
        <vertAlign val="subscript"/>
        <sz val="10.5"/>
        <color theme="1"/>
        <rFont val="Calibri"/>
        <family val="2"/>
        <scheme val="minor"/>
      </rPr>
      <t>.avg</t>
    </r>
  </si>
  <si>
    <r>
      <t>P</t>
    </r>
    <r>
      <rPr>
        <vertAlign val="subscript"/>
        <sz val="10.5"/>
        <color theme="1"/>
        <rFont val="Calibri"/>
        <family val="2"/>
        <scheme val="minor"/>
      </rPr>
      <t>.avg</t>
    </r>
  </si>
  <si>
    <r>
      <t>η</t>
    </r>
    <r>
      <rPr>
        <vertAlign val="subscript"/>
        <sz val="10.5"/>
        <color theme="1"/>
        <rFont val="Calibri"/>
        <family val="2"/>
      </rPr>
      <t>.avg</t>
    </r>
  </si>
  <si>
    <r>
      <t>AF</t>
    </r>
    <r>
      <rPr>
        <vertAlign val="subscript"/>
        <sz val="10.5"/>
        <color theme="1"/>
        <rFont val="Calibri"/>
        <family val="2"/>
      </rPr>
      <t>.op</t>
    </r>
  </si>
  <si>
    <r>
      <t>Adjustment factor for operational problems</t>
    </r>
    <r>
      <rPr>
        <vertAlign val="superscript"/>
        <sz val="10.5"/>
        <color theme="1"/>
        <rFont val="Calibri"/>
        <family val="2"/>
        <scheme val="minor"/>
      </rPr>
      <t>1</t>
    </r>
  </si>
  <si>
    <r>
      <t>AF</t>
    </r>
    <r>
      <rPr>
        <vertAlign val="subscript"/>
        <sz val="10.5"/>
        <color theme="1"/>
        <rFont val="Calibri"/>
        <family val="2"/>
        <scheme val="minor"/>
      </rPr>
      <t>.rt</t>
    </r>
  </si>
  <si>
    <r>
      <t>Adjustment factor for post tune-up run time</t>
    </r>
    <r>
      <rPr>
        <vertAlign val="superscript"/>
        <sz val="10.5"/>
        <color theme="1"/>
        <rFont val="Calibri"/>
        <family val="2"/>
        <scheme val="minor"/>
      </rPr>
      <t>2</t>
    </r>
  </si>
  <si>
    <r>
      <t>Watts</t>
    </r>
    <r>
      <rPr>
        <vertAlign val="subscript"/>
        <sz val="10.5"/>
        <color theme="1"/>
        <rFont val="Calibri"/>
        <family val="2"/>
        <scheme val="minor"/>
      </rPr>
      <t>_bs,active</t>
    </r>
  </si>
  <si>
    <r>
      <t>Fraunhofer Center for Sustainable Energy Systems. 2014.</t>
    </r>
    <r>
      <rPr>
        <vertAlign val="superscript"/>
        <sz val="10.5"/>
        <color theme="1"/>
        <rFont val="Calibri"/>
        <family val="2"/>
        <scheme val="minor"/>
      </rPr>
      <t>1</t>
    </r>
  </si>
  <si>
    <r>
      <t>Watts</t>
    </r>
    <r>
      <rPr>
        <vertAlign val="subscript"/>
        <sz val="10.5"/>
        <color theme="1"/>
        <rFont val="Calibri"/>
        <family val="2"/>
        <scheme val="minor"/>
      </rPr>
      <t>_bs,idle</t>
    </r>
  </si>
  <si>
    <r>
      <t>Watt</t>
    </r>
    <r>
      <rPr>
        <vertAlign val="subscript"/>
        <sz val="10.5"/>
        <color theme="1"/>
        <rFont val="Calibri"/>
        <family val="2"/>
        <scheme val="minor"/>
      </rPr>
      <t>_bs,sleep</t>
    </r>
  </si>
  <si>
    <r>
      <t>Watt</t>
    </r>
    <r>
      <rPr>
        <vertAlign val="subscript"/>
        <sz val="10.5"/>
        <color theme="1"/>
        <rFont val="Calibri"/>
        <family val="2"/>
        <scheme val="minor"/>
      </rPr>
      <t>_ee,active</t>
    </r>
  </si>
  <si>
    <r>
      <t>Watt</t>
    </r>
    <r>
      <rPr>
        <vertAlign val="subscript"/>
        <sz val="10.5"/>
        <color theme="1"/>
        <rFont val="Calibri"/>
        <family val="2"/>
        <scheme val="minor"/>
      </rPr>
      <t>_ee,idle</t>
    </r>
  </si>
  <si>
    <r>
      <t>Watt</t>
    </r>
    <r>
      <rPr>
        <vertAlign val="subscript"/>
        <sz val="10.5"/>
        <color theme="1"/>
        <rFont val="Calibri"/>
        <family val="2"/>
        <scheme val="minor"/>
      </rPr>
      <t>_ee,sleep</t>
    </r>
  </si>
  <si>
    <r>
      <t>HRS</t>
    </r>
    <r>
      <rPr>
        <vertAlign val="subscript"/>
        <sz val="10.5"/>
        <color theme="1"/>
        <rFont val="Calibri"/>
        <family val="2"/>
        <scheme val="minor"/>
      </rPr>
      <t>_active</t>
    </r>
  </si>
  <si>
    <r>
      <t>Fraunhofer Center for Sustainable Energy Systems. 2014.</t>
    </r>
    <r>
      <rPr>
        <vertAlign val="superscript"/>
        <sz val="10.5"/>
        <color theme="1"/>
        <rFont val="Calibri"/>
        <family val="2"/>
        <scheme val="minor"/>
      </rPr>
      <t>3</t>
    </r>
  </si>
  <si>
    <r>
      <t>HRS</t>
    </r>
    <r>
      <rPr>
        <vertAlign val="subscript"/>
        <sz val="10.5"/>
        <color theme="1"/>
        <rFont val="Calibri"/>
        <family val="2"/>
        <scheme val="minor"/>
      </rPr>
      <t>_idle</t>
    </r>
  </si>
  <si>
    <r>
      <t>HRS</t>
    </r>
    <r>
      <rPr>
        <vertAlign val="subscript"/>
        <sz val="10.5"/>
        <color theme="1"/>
        <rFont val="Calibri"/>
        <family val="2"/>
        <scheme val="minor"/>
      </rPr>
      <t>_sleep</t>
    </r>
  </si>
  <si>
    <r>
      <t xml:space="preserve">Baseline power consumption is drawn from ENERGY STAR “Consumer Electronics Calculator”. </t>
    </r>
    <r>
      <rPr>
        <vertAlign val="superscript"/>
        <sz val="10.5"/>
        <color theme="1"/>
        <rFont val="Calibri"/>
        <family val="2"/>
        <scheme val="minor"/>
      </rPr>
      <t>1</t>
    </r>
  </si>
  <si>
    <r>
      <t>Based on ENERGY STAR product criteria testing.</t>
    </r>
    <r>
      <rPr>
        <vertAlign val="superscript"/>
        <sz val="10.5"/>
        <color theme="1"/>
        <rFont val="Calibri"/>
        <family val="2"/>
        <scheme val="minor"/>
      </rPr>
      <t>1</t>
    </r>
  </si>
  <si>
    <r>
      <t>NEEA Dryer Field Study, 2014.</t>
    </r>
    <r>
      <rPr>
        <vertAlign val="superscript"/>
        <sz val="10.5"/>
        <color theme="1"/>
        <rFont val="Calibri"/>
        <family val="2"/>
        <scheme val="minor"/>
      </rPr>
      <t>2</t>
    </r>
  </si>
  <si>
    <r>
      <t>56 minutes/cycle based on NEEA Dryer Field Study, 2014.</t>
    </r>
    <r>
      <rPr>
        <vertAlign val="superscript"/>
        <sz val="10.5"/>
        <color theme="1"/>
        <rFont val="Calibri"/>
        <family val="2"/>
        <scheme val="minor"/>
      </rPr>
      <t>2</t>
    </r>
  </si>
  <si>
    <r>
      <t>ENERGY STAR Market &amp; Industry Scoping Report, 2011.</t>
    </r>
    <r>
      <rPr>
        <vertAlign val="superscript"/>
        <sz val="10.5"/>
        <color theme="1"/>
        <rFont val="Calibri"/>
        <family val="2"/>
        <scheme val="minor"/>
      </rPr>
      <t>4</t>
    </r>
  </si>
  <si>
    <t>The proposed contractor submits at least two verifiable and satisfactory references from customers or clients who used the contractor to complete the similar projects.</t>
  </si>
  <si>
    <t>This measure relates to the installation of premium efficiency three phase Open Drip Proof (ODP) and Totally Enclosed Fan-Cooled (TEFC) motors less than or equal to 200 HP, meeting minimum qualifying efficiency for the following HVAC applications: supply fans, return fans, exhaust fans, chilled water pumps, and boiler feed water pumps.</t>
  </si>
  <si>
    <r>
      <t>kW</t>
    </r>
    <r>
      <rPr>
        <vertAlign val="subscript"/>
        <sz val="10.5"/>
        <color theme="1"/>
        <rFont val="Calibri"/>
        <family val="2"/>
        <scheme val="minor"/>
      </rPr>
      <t>_perHP</t>
    </r>
  </si>
  <si>
    <r>
      <t>η</t>
    </r>
    <r>
      <rPr>
        <vertAlign val="subscript"/>
        <sz val="10.5"/>
        <color theme="1"/>
        <rFont val="Calibri"/>
        <family val="2"/>
      </rPr>
      <t>_base</t>
    </r>
  </si>
  <si>
    <r>
      <t>η</t>
    </r>
    <r>
      <rPr>
        <vertAlign val="subscript"/>
        <sz val="10.5"/>
        <color theme="1"/>
        <rFont val="Calibri"/>
        <family val="2"/>
      </rPr>
      <t>_ee</t>
    </r>
  </si>
  <si>
    <r>
      <rPr>
        <b/>
        <sz val="10.5"/>
        <color theme="1"/>
        <rFont val="Calibri"/>
        <family val="2"/>
        <scheme val="minor"/>
      </rPr>
      <t xml:space="preserve">kW_bs </t>
    </r>
    <r>
      <rPr>
        <b/>
        <vertAlign val="superscript"/>
        <sz val="10.5"/>
        <color theme="1"/>
        <rFont val="Calibri"/>
        <family val="2"/>
        <scheme val="minor"/>
      </rPr>
      <t>1</t>
    </r>
  </si>
  <si>
    <t>Installation of night covers on existing, open-type refrigerated display cases to reduce extra cooling load caused by infiltration and radiation. Unit of measure is 1 foot of case opening width to be covered.</t>
  </si>
  <si>
    <r>
      <t>kW/ft</t>
    </r>
    <r>
      <rPr>
        <b/>
        <vertAlign val="superscript"/>
        <sz val="10.5"/>
        <color theme="1"/>
        <rFont val="Calibri"/>
        <family val="2"/>
        <scheme val="minor"/>
      </rPr>
      <t>1</t>
    </r>
  </si>
  <si>
    <r>
      <t>kW</t>
    </r>
    <r>
      <rPr>
        <vertAlign val="subscript"/>
        <sz val="10.5"/>
        <color theme="1"/>
        <rFont val="Calibri"/>
        <family val="2"/>
        <scheme val="minor"/>
      </rPr>
      <t>.bs</t>
    </r>
  </si>
  <si>
    <r>
      <t>kW</t>
    </r>
    <r>
      <rPr>
        <vertAlign val="subscript"/>
        <sz val="10.5"/>
        <color theme="1"/>
        <rFont val="Calibri"/>
        <family val="2"/>
        <scheme val="minor"/>
      </rPr>
      <t>.he</t>
    </r>
  </si>
  <si>
    <r>
      <t>HRS</t>
    </r>
    <r>
      <rPr>
        <vertAlign val="subscript"/>
        <sz val="10.5"/>
        <color theme="1"/>
        <rFont val="Calibri"/>
        <family val="2"/>
        <scheme val="minor"/>
      </rPr>
      <t>.daily</t>
    </r>
  </si>
  <si>
    <r>
      <t>MIN</t>
    </r>
    <r>
      <rPr>
        <vertAlign val="subscript"/>
        <sz val="10.5"/>
        <color theme="1"/>
        <rFont val="Calibri"/>
        <family val="2"/>
        <scheme val="minor"/>
      </rPr>
      <t>.preheat</t>
    </r>
  </si>
  <si>
    <r>
      <t>E</t>
    </r>
    <r>
      <rPr>
        <vertAlign val="subscript"/>
        <sz val="10.5"/>
        <color theme="1"/>
        <rFont val="Calibri"/>
        <family val="2"/>
        <scheme val="minor"/>
      </rPr>
      <t>.food</t>
    </r>
  </si>
  <si>
    <r>
      <t>η</t>
    </r>
    <r>
      <rPr>
        <vertAlign val="subscript"/>
        <sz val="10.5"/>
        <color theme="1"/>
        <rFont val="Calibri"/>
        <family val="2"/>
      </rPr>
      <t>.cook</t>
    </r>
  </si>
  <si>
    <r>
      <t>E</t>
    </r>
    <r>
      <rPr>
        <vertAlign val="subscript"/>
        <sz val="10.5"/>
        <color theme="1"/>
        <rFont val="Calibri"/>
        <family val="2"/>
        <scheme val="minor"/>
      </rPr>
      <t>.idle</t>
    </r>
  </si>
  <si>
    <r>
      <t>E</t>
    </r>
    <r>
      <rPr>
        <vertAlign val="subscript"/>
        <sz val="10.5"/>
        <color theme="1"/>
        <rFont val="Calibri"/>
        <family val="2"/>
        <scheme val="minor"/>
      </rPr>
      <t>.preheat</t>
    </r>
  </si>
  <si>
    <r>
      <t>LBS</t>
    </r>
    <r>
      <rPr>
        <vertAlign val="subscript"/>
        <sz val="10.5"/>
        <color theme="1"/>
        <rFont val="Calibri"/>
        <family val="2"/>
        <scheme val="minor"/>
      </rPr>
      <t>.food</t>
    </r>
  </si>
  <si>
    <t>Meets ENERGY STAR efficiency requirements. Requirements apply to single and double-sided griddles.</t>
  </si>
  <si>
    <r>
      <t>Peak power demand reduction per ft</t>
    </r>
    <r>
      <rPr>
        <vertAlign val="superscript"/>
        <sz val="10.5"/>
        <color theme="1"/>
        <rFont val="Calibri"/>
        <family val="2"/>
        <scheme val="minor"/>
      </rPr>
      <t>2</t>
    </r>
  </si>
  <si>
    <r>
      <t>Annual energy reduction per ft</t>
    </r>
    <r>
      <rPr>
        <vertAlign val="superscript"/>
        <sz val="10.5"/>
        <color theme="1"/>
        <rFont val="Calibri"/>
        <family val="2"/>
        <scheme val="minor"/>
      </rPr>
      <t>2</t>
    </r>
  </si>
  <si>
    <t>Return to TOC</t>
  </si>
  <si>
    <t xml:space="preserve">Rebate applications for water heaters are provided by the retailers at the time of purchase or a customer can visit the Hawai‘i Energy website and download the form.  Rebate applications must include an original purchase receipt showing brand and model number.  </t>
  </si>
  <si>
    <t>Replacement of Electric Resistance Storage Water Heater with a Solar Water Heater designed for a 90% Solar Fraction.  The new Solar Water Heating systems most often include an upgrade of the hot water storage tank sized at 80 or 120 gallons.</t>
  </si>
  <si>
    <t>New Construction: New construction single-family homes do not qualify. Per legislation, new homes in Hawai‘i are required to have Solar Water Heaters as of 2010, with a few exceptions.</t>
  </si>
  <si>
    <t>Peak demand coincidence factor</t>
  </si>
  <si>
    <r>
      <t>EF</t>
    </r>
    <r>
      <rPr>
        <vertAlign val="subscript"/>
        <sz val="10.5"/>
        <color theme="1"/>
        <rFont val="Calibri"/>
        <family val="2"/>
        <scheme val="minor"/>
      </rPr>
      <t>base</t>
    </r>
  </si>
  <si>
    <t>See Eq'n 1 (default = 0.945)</t>
  </si>
  <si>
    <t>(1)</t>
  </si>
  <si>
    <t>(2)</t>
  </si>
  <si>
    <t>(3)</t>
  </si>
  <si>
    <t>Source/Notes</t>
  </si>
  <si>
    <r>
      <t>GPD</t>
    </r>
    <r>
      <rPr>
        <vertAlign val="subscript"/>
        <sz val="10.5"/>
        <color theme="1"/>
        <rFont val="Calibri"/>
        <family val="2"/>
        <scheme val="minor"/>
      </rPr>
      <t>Occ</t>
    </r>
  </si>
  <si>
    <t xml:space="preserve">Daily hot water use per occupant </t>
  </si>
  <si>
    <t>#Occ</t>
  </si>
  <si>
    <t>See Table 2 (default = 3,564)</t>
  </si>
  <si>
    <t>Average number of occupants per Home</t>
  </si>
  <si>
    <t>ρ</t>
  </si>
  <si>
    <t>Density of water</t>
  </si>
  <si>
    <r>
      <t>lb</t>
    </r>
    <r>
      <rPr>
        <vertAlign val="subscript"/>
        <sz val="10.5"/>
        <color theme="1"/>
        <rFont val="Calibri"/>
        <family val="2"/>
        <scheme val="minor"/>
      </rPr>
      <t>m</t>
    </r>
    <r>
      <rPr>
        <sz val="10.5"/>
        <color theme="1"/>
        <rFont val="Calibri"/>
        <family val="2"/>
        <scheme val="minor"/>
      </rPr>
      <t>/gal</t>
    </r>
  </si>
  <si>
    <r>
      <t>Btu/lbm</t>
    </r>
    <r>
      <rPr>
        <sz val="10.5"/>
        <color theme="1"/>
        <rFont val="Calibri"/>
        <family val="2"/>
      </rPr>
      <t>°</t>
    </r>
    <r>
      <rPr>
        <sz val="10.5"/>
        <color theme="1"/>
        <rFont val="Calibri"/>
        <family val="2"/>
        <scheme val="minor"/>
      </rPr>
      <t>F</t>
    </r>
  </si>
  <si>
    <r>
      <t>c</t>
    </r>
    <r>
      <rPr>
        <i/>
        <vertAlign val="subscript"/>
        <sz val="10.5"/>
        <color theme="1"/>
        <rFont val="Calibri"/>
        <family val="2"/>
        <scheme val="minor"/>
      </rPr>
      <t>p</t>
    </r>
  </si>
  <si>
    <t>Specific heat capacity of water</t>
  </si>
  <si>
    <r>
      <t>T</t>
    </r>
    <r>
      <rPr>
        <vertAlign val="subscript"/>
        <sz val="10.5"/>
        <color theme="1"/>
        <rFont val="Calibri"/>
        <family val="2"/>
        <scheme val="minor"/>
      </rPr>
      <t>out</t>
    </r>
  </si>
  <si>
    <r>
      <t>T</t>
    </r>
    <r>
      <rPr>
        <vertAlign val="subscript"/>
        <sz val="10.5"/>
        <color theme="1"/>
        <rFont val="Calibri"/>
        <family val="2"/>
        <scheme val="minor"/>
      </rPr>
      <t>in</t>
    </r>
  </si>
  <si>
    <t>Outlet temperature of the water heater</t>
  </si>
  <si>
    <t>Incoming water temperature from the water main</t>
  </si>
  <si>
    <t xml:space="preserve">°F </t>
  </si>
  <si>
    <t>No change from PY18 TRM</t>
  </si>
  <si>
    <t xml:space="preserve">Table 1. Average Occupancy in Homes </t>
  </si>
  <si>
    <t>No. of Occupants</t>
  </si>
  <si>
    <t>Unspecified</t>
  </si>
  <si>
    <t xml:space="preserve">Type of Home </t>
  </si>
  <si>
    <t>Maui Non-Military 
(SF or MF)</t>
  </si>
  <si>
    <t>Military 
(SF or MF)</t>
  </si>
  <si>
    <t>SF Non-Military 
(Any County)</t>
  </si>
  <si>
    <t>MF Non-Military 
(Any County)</t>
  </si>
  <si>
    <t>SF = single family home</t>
  </si>
  <si>
    <t>MF = multifamily home</t>
  </si>
  <si>
    <t>Factor</t>
  </si>
  <si>
    <t>County</t>
  </si>
  <si>
    <t>Deemed Savings (based on default values for key parameters)</t>
  </si>
  <si>
    <t>Semi-Prescriptive Savings Calculator (based on customer-specific values for key parameters)</t>
  </si>
  <si>
    <r>
      <t xml:space="preserve">Energy Factor of Baseline Equipment (Electric Storage Water Heater </t>
    </r>
    <r>
      <rPr>
        <b/>
        <i/>
        <sz val="11"/>
        <color theme="1"/>
        <rFont val="Calibri"/>
        <family val="2"/>
      </rPr>
      <t>≤ 55 gallons)</t>
    </r>
  </si>
  <si>
    <t>Enter Equivalent Rated Storage Volume in gallons for Electric Water Heater (default of 50 gal)</t>
  </si>
  <si>
    <t>EF=</t>
  </si>
  <si>
    <t xml:space="preserve">EFLH = </t>
  </si>
  <si>
    <t>CF =</t>
  </si>
  <si>
    <t>ENERGY STAR websites and resources: https://www.energy.gov/energysaver/water-heating/solar-water-heaters, https://www.energy.gov/energysaver/estimating-cost-and-energy-efficiency-solar-water-heater, https://www.energystar.gov/ia/partners/prod_development/new_specs/downloads/water_heaters/WaterHeaterAnalysis_Final.pdf</t>
  </si>
  <si>
    <t>Technical Reference Manual, State of Pennsylvania, Act 129 Energy Efficiency and Conservation Program &amp; Act 213 Alternative Energy Portfolio Standards, June 2016.</t>
  </si>
  <si>
    <t xml:space="preserve">Title 10: Energy, PART 430—ENERGY CONSERVATION PROGRAM FOR CONSUMER PRODUCTS, Subpart C—Energy and Water Conservation Standards, §430.32   Energy and water conservation standards and their compliance dates, (d) Water heaters. </t>
  </si>
  <si>
    <t xml:space="preserve">International Code Council (ICC) and Solar Rating &amp; Certification Corporation (SRCC), 2015 ICC 900/SRCC 300-2015 Solar, Thermal System Standard, https://codes.iccsafe.org/content/ICC9002015/toc. </t>
  </si>
  <si>
    <t>ENERGY STAR Program Requirement for Residential Water Heaters, v3.0, April 2015, https://www.energystar.gov/products/water_heaters/residential_water_heaters_key_product_criteria.</t>
  </si>
  <si>
    <t>Energy and Peak Demand Impact Evaluation Report of the 2005-2007 Demand Management Programs – (KEMA 2005-07)</t>
  </si>
  <si>
    <t xml:space="preserve">Connecticut's 2018 Program Savings Document, 13th Edition, filed December 15, 2017. https://www.energizect.com/sites/default/files/2018-PSD-FINAL-121217.pdf. </t>
  </si>
  <si>
    <t xml:space="preserve">Tennessee Valley Authority Technical Reference Manual, Version 6.0, Oct. 1, 2017. </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</si>
  <si>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</si>
  <si>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 xml:space="preserve">Regional Technical Forum. Residential Heat Pump Water Heater  - Unit Energy Savings Workbook, Version 4.1. Northwest Power and Conservation Council. April 19, 2018. Spreadsheet. "ResHPWH_v4_1.xlsm." Uses SEEM Simulation Model  Version 0.98 build May 29 2015 13:41:19. </t>
  </si>
  <si>
    <t>System Advisor Model (SAM) is a performance and financial model designed to facilitate decision making for people involved in the renewable energy industry, https://sam.nrel.gov/.</t>
  </si>
  <si>
    <t>RESOURCES</t>
  </si>
  <si>
    <t>This measure is applicable to both the REEM and RHTR programs.</t>
  </si>
  <si>
    <t xml:space="preserve">The replacement LED lamp must have an ENERGY STAR label. </t>
  </si>
  <si>
    <t>(4)</t>
  </si>
  <si>
    <t>AEG's Fall 2018 Benchmarking</t>
  </si>
  <si>
    <r>
      <t>kW</t>
    </r>
    <r>
      <rPr>
        <vertAlign val="subscript"/>
        <sz val="10.5"/>
        <color theme="1"/>
        <rFont val="Calibri"/>
        <family val="2"/>
        <scheme val="minor"/>
      </rPr>
      <t>base,1</t>
    </r>
  </si>
  <si>
    <r>
      <t>kW</t>
    </r>
    <r>
      <rPr>
        <vertAlign val="subscript"/>
        <sz val="10.5"/>
        <color theme="1"/>
        <rFont val="Calibri"/>
        <family val="2"/>
        <scheme val="minor"/>
      </rPr>
      <t>base,2</t>
    </r>
  </si>
  <si>
    <r>
      <t>kW</t>
    </r>
    <r>
      <rPr>
        <vertAlign val="subscript"/>
        <sz val="10.5"/>
        <color theme="1"/>
        <rFont val="Calibri"/>
        <family val="2"/>
        <scheme val="minor"/>
      </rPr>
      <t>LED</t>
    </r>
  </si>
  <si>
    <t>ISR</t>
  </si>
  <si>
    <t>In-service rate</t>
  </si>
  <si>
    <t>HOU</t>
  </si>
  <si>
    <t>Average hours of use per day</t>
  </si>
  <si>
    <t>No change from PY18 TRM; values confirmed with AEG's Fall 2018 Benchmarking</t>
  </si>
  <si>
    <t>Footnote 1</t>
  </si>
  <si>
    <r>
      <t>IE</t>
    </r>
    <r>
      <rPr>
        <vertAlign val="subscript"/>
        <sz val="10.5"/>
        <color theme="1"/>
        <rFont val="Calibri"/>
        <family val="2"/>
        <scheme val="minor"/>
      </rPr>
      <t>C,D</t>
    </r>
  </si>
  <si>
    <r>
      <t>IE</t>
    </r>
    <r>
      <rPr>
        <vertAlign val="subscript"/>
        <sz val="10.5"/>
        <color theme="1"/>
        <rFont val="Calibri"/>
        <family val="2"/>
        <scheme val="minor"/>
      </rPr>
      <t>C,E</t>
    </r>
  </si>
  <si>
    <t>Interactive effects factor to account for cooling energy savings due to reducing waste heat with efficient lighting</t>
  </si>
  <si>
    <t>Interactive effects factor to account for cooling demand savings due to reducing waste heat with efficient lighting</t>
  </si>
  <si>
    <r>
      <t>%</t>
    </r>
    <r>
      <rPr>
        <vertAlign val="subscript"/>
        <sz val="10.5"/>
        <color theme="1"/>
        <rFont val="Calibri"/>
        <family val="2"/>
        <scheme val="minor"/>
      </rPr>
      <t>Cool</t>
    </r>
  </si>
  <si>
    <t>Share of homes with electric cooling</t>
  </si>
  <si>
    <t>Effective useful life of EISA Tier 1 baseline lamps</t>
  </si>
  <si>
    <t>Equivalent full load hours of equipment operation</t>
  </si>
  <si>
    <t>Table 1. Baseline and Energy Efficient Wattages</t>
  </si>
  <si>
    <t>Traditional Incandescent Equivalent (W)</t>
  </si>
  <si>
    <t>310 - 749 lm</t>
  </si>
  <si>
    <t>750 - 1049 lm</t>
  </si>
  <si>
    <t>1050 - 1489 lm</t>
  </si>
  <si>
    <t>1490 - 2600 lm</t>
  </si>
  <si>
    <r>
      <t>% Breakdown by Wattage</t>
    </r>
    <r>
      <rPr>
        <b/>
        <vertAlign val="superscript"/>
        <sz val="11"/>
        <color rgb="FF000000"/>
        <rFont val="Calibri"/>
        <family val="2"/>
      </rPr>
      <t>2</t>
    </r>
  </si>
  <si>
    <r>
      <rPr>
        <vertAlign val="superscript"/>
        <sz val="9"/>
        <color theme="1"/>
        <rFont val="Calibri"/>
        <family val="2"/>
      </rPr>
      <t>1</t>
    </r>
    <r>
      <rPr>
        <sz val="9"/>
        <color theme="1"/>
        <rFont val="Calibri"/>
        <family val="2"/>
      </rPr>
      <t xml:space="preserve"> EISA Tier 2 wattages area calculated based on 45 lumen/W and midpoint of lumen range</t>
    </r>
  </si>
  <si>
    <t>Non-Military</t>
  </si>
  <si>
    <t>Military</t>
  </si>
  <si>
    <r>
      <t>%</t>
    </r>
    <r>
      <rPr>
        <b/>
        <vertAlign val="subscript"/>
        <sz val="11"/>
        <color rgb="FF000000"/>
        <rFont val="Calibri"/>
        <family val="2"/>
      </rPr>
      <t>Cool</t>
    </r>
  </si>
  <si>
    <r>
      <t>EUL</t>
    </r>
    <r>
      <rPr>
        <b/>
        <vertAlign val="subscript"/>
        <sz val="11"/>
        <color rgb="FF000000"/>
        <rFont val="Calibri"/>
        <family val="2"/>
      </rPr>
      <t>LED</t>
    </r>
  </si>
  <si>
    <t>Table 2. Key Parameters for Non-Military and Military Homes</t>
  </si>
  <si>
    <t>Weighted average (default)</t>
  </si>
  <si>
    <r>
      <t>EISA Tier 1 Baseline (kW</t>
    </r>
    <r>
      <rPr>
        <b/>
        <vertAlign val="subscript"/>
        <sz val="11"/>
        <color rgb="FF000000"/>
        <rFont val="Calibri"/>
        <family val="2"/>
      </rPr>
      <t>base,1</t>
    </r>
    <r>
      <rPr>
        <b/>
        <sz val="11"/>
        <color rgb="FF000000"/>
        <rFont val="Calibri"/>
        <family val="2"/>
      </rPr>
      <t>)</t>
    </r>
  </si>
  <si>
    <r>
      <t>EISA Tier 2 Baseline</t>
    </r>
    <r>
      <rPr>
        <b/>
        <vertAlign val="superscript"/>
        <sz val="11"/>
        <color rgb="FF000000"/>
        <rFont val="Calibri"/>
        <family val="2"/>
      </rPr>
      <t>1</t>
    </r>
    <r>
      <rPr>
        <b/>
        <sz val="11"/>
        <color rgb="FF000000"/>
        <rFont val="Calibri"/>
        <family val="2"/>
      </rPr>
      <t xml:space="preserve"> (kW</t>
    </r>
    <r>
      <rPr>
        <b/>
        <vertAlign val="subscript"/>
        <sz val="11"/>
        <color rgb="FF000000"/>
        <rFont val="Calibri"/>
        <family val="2"/>
      </rPr>
      <t>base,2</t>
    </r>
    <r>
      <rPr>
        <b/>
        <sz val="11"/>
        <color rgb="FF000000"/>
        <rFont val="Calibri"/>
        <family val="2"/>
      </rPr>
      <t>)</t>
    </r>
  </si>
  <si>
    <r>
      <t>Average Omni-directional LED</t>
    </r>
    <r>
      <rPr>
        <b/>
        <vertAlign val="superscript"/>
        <sz val="11"/>
        <color rgb="FF000000"/>
        <rFont val="Calibri"/>
        <family val="2"/>
      </rPr>
      <t>2</t>
    </r>
    <r>
      <rPr>
        <b/>
        <sz val="11"/>
        <color rgb="FF000000"/>
        <rFont val="Calibri"/>
        <family val="2"/>
      </rPr>
      <t xml:space="preserve"> (kW</t>
    </r>
    <r>
      <rPr>
        <b/>
        <vertAlign val="subscript"/>
        <sz val="11"/>
        <color rgb="FF000000"/>
        <rFont val="Calibri"/>
        <family val="2"/>
      </rPr>
      <t>LED</t>
    </r>
    <r>
      <rPr>
        <b/>
        <sz val="11"/>
        <color rgb="FF000000"/>
        <rFont val="Calibri"/>
        <family val="2"/>
      </rPr>
      <t>)</t>
    </r>
  </si>
  <si>
    <t>EISA 
Lumen Bin</t>
  </si>
  <si>
    <t>Lifetime 
Energy Savings</t>
  </si>
  <si>
    <r>
      <t>EUL</t>
    </r>
    <r>
      <rPr>
        <vertAlign val="subscript"/>
        <sz val="10.5"/>
        <color theme="1"/>
        <rFont val="Calibri"/>
        <family val="2"/>
        <scheme val="minor"/>
      </rPr>
      <t>1st</t>
    </r>
  </si>
  <si>
    <t>(5)</t>
  </si>
  <si>
    <t>Lifetime Energy Savings, kWh (Applicable to PY19)</t>
  </si>
  <si>
    <t>(6)</t>
  </si>
  <si>
    <t>Lifetime Energy Savings, kWh (Applicable to PY20 and later)</t>
  </si>
  <si>
    <r>
      <t>kW</t>
    </r>
    <r>
      <rPr>
        <vertAlign val="subscript"/>
        <sz val="11"/>
        <color theme="1"/>
        <rFont val="Calibri"/>
        <family val="2"/>
        <scheme val="minor"/>
      </rPr>
      <t>base</t>
    </r>
    <r>
      <rPr>
        <sz val="11"/>
        <color theme="1"/>
        <rFont val="Calibri"/>
        <family val="2"/>
        <scheme val="minor"/>
      </rPr>
      <t>=</t>
    </r>
  </si>
  <si>
    <r>
      <t>kW</t>
    </r>
    <r>
      <rPr>
        <vertAlign val="subscript"/>
        <sz val="11"/>
        <color theme="1"/>
        <rFont val="Calibri"/>
        <family val="2"/>
        <scheme val="minor"/>
      </rPr>
      <t>LED</t>
    </r>
    <r>
      <rPr>
        <sz val="11"/>
        <color theme="1"/>
        <rFont val="Calibri"/>
        <family val="2"/>
        <scheme val="minor"/>
      </rPr>
      <t>=</t>
    </r>
  </si>
  <si>
    <t>Semi-Prescriptive Savings Calculator (based on equivalent traditional incandescent wattage)</t>
  </si>
  <si>
    <t xml:space="preserve">Incandescent Wattage </t>
  </si>
  <si>
    <r>
      <t>kW</t>
    </r>
    <r>
      <rPr>
        <vertAlign val="subscript"/>
        <sz val="11"/>
        <color theme="1"/>
        <rFont val="Calibri"/>
        <family val="2"/>
        <scheme val="minor"/>
      </rPr>
      <t>base,2</t>
    </r>
    <r>
      <rPr>
        <sz val="11"/>
        <color theme="1"/>
        <rFont val="Calibri"/>
        <family val="2"/>
        <scheme val="minor"/>
      </rPr>
      <t>=</t>
    </r>
  </si>
  <si>
    <t>Enter Equivalent Incandescent Wattage</t>
  </si>
  <si>
    <r>
      <t>kW</t>
    </r>
    <r>
      <rPr>
        <vertAlign val="subscript"/>
        <sz val="11"/>
        <color theme="1"/>
        <rFont val="Calibri"/>
        <family val="2"/>
        <scheme val="minor"/>
      </rPr>
      <t>base,1</t>
    </r>
    <r>
      <rPr>
        <sz val="11"/>
        <color theme="1"/>
        <rFont val="Calibri"/>
        <family val="2"/>
        <scheme val="minor"/>
      </rPr>
      <t>=</t>
    </r>
  </si>
  <si>
    <t>Arkansas Technical Reference Manual, Version 7.0, Arkansas Public Service Commission, 2017.</t>
  </si>
  <si>
    <t>Connecticut's 2018 Program Savings Document, 13th Edition, filed December 15, 2017.</t>
  </si>
  <si>
    <t xml:space="preserve">Illinois Statewide Technical Reference Manual for Energy Efficiency, Version 6.0, Volume 3: Residential Measures, FINAL, Feb. 8, 2017. </t>
  </si>
  <si>
    <t xml:space="preserve">Mid-Atlantic Technical Reference Manual, Version 8, Final, May 2018. </t>
  </si>
  <si>
    <t xml:space="preserve">New Mexico Technical Resource Manual for the Calculation of Energy Efficiency Savings, 2016. </t>
  </si>
  <si>
    <t>Regional Technical Forum. Residential Lighting - Unit Energy Savings Workbook, Version 6.1 (ResLighting_v6_1). Northwest Power and Conservation Council. April 4, 2018. Spreadsheet.</t>
  </si>
  <si>
    <t xml:space="preserve">Regulatory Advisory Appliance Efficiency Regulations for Lamps: Effective Dates, California Energy Commission, 2017. </t>
  </si>
  <si>
    <t>RLPNC Study 17-9, 2017-18 Residential Lighting Market Assessment Study, Submitted to the Electric and Gas Program Administrators of Massachusetts, Submitted by NMR Group, March 28, 2018. Table 14, page 38.</t>
  </si>
  <si>
    <t>State of Pennsylvania Technical Reference Manual, Pennsylvania Public Utilities Commission, June 2016.</t>
  </si>
  <si>
    <t>Uniform Methods Project, Chapter 6: Residential Lighting Evaluation Protocol, S. Dimetrosky, K. Parkinson, and N. Lieb, Apex Analytics, C. Kurnik, National Renewable Energy Laboratory, October 2017.</t>
  </si>
  <si>
    <r>
      <t>HOU</t>
    </r>
    <r>
      <rPr>
        <b/>
        <vertAlign val="superscript"/>
        <sz val="11"/>
        <color rgb="FF000000"/>
        <rFont val="Calibri"/>
        <family val="2"/>
      </rPr>
      <t>1</t>
    </r>
  </si>
  <si>
    <t>Yes</t>
  </si>
  <si>
    <t>EISA legislation, effective dates of 2012-2014</t>
  </si>
  <si>
    <t>This measure is applicable to both the BEEM and BHTR programs.</t>
  </si>
  <si>
    <t xml:space="preserve">For BEEM, lighting is delivered through a midstream approach; the most applicable baseline is replace on burnout (ROB). For BHTR, lighting is delivered through the Small Business Direct Install Lighting (SBDIL) program; since lighting is directly installed, the most applicable baseline is early replacement. </t>
  </si>
  <si>
    <t>Lifetime Energy Savings, kWh (Single Baseline)</t>
  </si>
  <si>
    <t>Wattage of the first baseline lamp</t>
  </si>
  <si>
    <t>Wattage of the second baseline lamp</t>
  </si>
  <si>
    <r>
      <t>kW</t>
    </r>
    <r>
      <rPr>
        <vertAlign val="subscript"/>
        <sz val="10"/>
        <color theme="1"/>
        <rFont val="Calibri"/>
        <family val="2"/>
        <scheme val="minor"/>
      </rPr>
      <t>base,1</t>
    </r>
  </si>
  <si>
    <r>
      <t>kW</t>
    </r>
    <r>
      <rPr>
        <vertAlign val="subscript"/>
        <sz val="10"/>
        <color theme="1"/>
        <rFont val="Calibri"/>
        <family val="2"/>
        <scheme val="minor"/>
      </rPr>
      <t>base,2</t>
    </r>
  </si>
  <si>
    <t>ROB: Current federal standard
Early replacement: Pre-existing</t>
  </si>
  <si>
    <t>ROB: Future federal standard
Early replacement: Current/future federal standard</t>
  </si>
  <si>
    <r>
      <t>kW</t>
    </r>
    <r>
      <rPr>
        <vertAlign val="subscript"/>
        <sz val="10"/>
        <color theme="1"/>
        <rFont val="Calibri"/>
        <family val="2"/>
        <scheme val="minor"/>
      </rPr>
      <t>EE</t>
    </r>
  </si>
  <si>
    <t>DLC QPL and other benchmarking performed in 2018</t>
  </si>
  <si>
    <t>See Table 3</t>
  </si>
  <si>
    <r>
      <t>IE</t>
    </r>
    <r>
      <rPr>
        <vertAlign val="subscript"/>
        <sz val="10"/>
        <color theme="1"/>
        <rFont val="Calibri"/>
        <family val="2"/>
        <scheme val="minor"/>
      </rPr>
      <t>C,D</t>
    </r>
  </si>
  <si>
    <t>See Table 4</t>
  </si>
  <si>
    <r>
      <t>IE</t>
    </r>
    <r>
      <rPr>
        <vertAlign val="subscript"/>
        <sz val="10"/>
        <color theme="1"/>
        <rFont val="Calibri"/>
        <family val="2"/>
        <scheme val="minor"/>
      </rPr>
      <t>C,E</t>
    </r>
  </si>
  <si>
    <r>
      <t>HOU</t>
    </r>
    <r>
      <rPr>
        <vertAlign val="subscript"/>
        <sz val="10"/>
        <color theme="1"/>
        <rFont val="Calibri"/>
        <family val="2"/>
        <scheme val="minor"/>
      </rPr>
      <t>year</t>
    </r>
  </si>
  <si>
    <t>Average hours of use per year</t>
  </si>
  <si>
    <t>hr/yr</t>
  </si>
  <si>
    <t>hr/day</t>
  </si>
  <si>
    <t>See Table 5</t>
  </si>
  <si>
    <t>Footnote 3</t>
  </si>
  <si>
    <r>
      <rPr>
        <vertAlign val="superscript"/>
        <sz val="9"/>
        <color theme="1"/>
        <rFont val="Calibri"/>
        <family val="2"/>
        <scheme val="minor"/>
      </rPr>
      <t>1</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</si>
  <si>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2</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</si>
  <si>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3</t>
    </r>
    <r>
      <rPr>
        <sz val="9"/>
        <color theme="1"/>
        <rFont val="Calibri"/>
        <family val="2"/>
        <scheme val="minor"/>
      </rPr>
      <t xml:space="preserve"> Use value of PF=1 until more data is available on PF of LEDs relative to baseline lighting.</t>
    </r>
  </si>
  <si>
    <t>Remaining Useful Life (only applicable to Early Replacement)</t>
  </si>
  <si>
    <t>Lifetime Energy Savings, kWh (Dual Baseline, ROB)</t>
  </si>
  <si>
    <t>Lifetime Energy Savings, kWh (Dual Baseline, Early Replacement)</t>
  </si>
  <si>
    <t>(7)</t>
  </si>
  <si>
    <t>(8)</t>
  </si>
  <si>
    <r>
      <t>EUL</t>
    </r>
    <r>
      <rPr>
        <vertAlign val="subscript"/>
        <sz val="10"/>
        <color theme="1"/>
        <rFont val="Calibri"/>
        <family val="2"/>
        <scheme val="minor"/>
      </rPr>
      <t>1st</t>
    </r>
  </si>
  <si>
    <r>
      <t>EUL</t>
    </r>
    <r>
      <rPr>
        <vertAlign val="subscript"/>
        <sz val="10"/>
        <color theme="1"/>
        <rFont val="Calibri"/>
        <family val="2"/>
        <scheme val="minor"/>
      </rPr>
      <t>EE</t>
    </r>
  </si>
  <si>
    <t>RUL</t>
  </si>
  <si>
    <r>
      <t>EUL</t>
    </r>
    <r>
      <rPr>
        <vertAlign val="subscript"/>
        <sz val="10"/>
        <color theme="1"/>
        <rFont val="Calibri"/>
        <family val="2"/>
        <scheme val="minor"/>
      </rPr>
      <t>pre-existing</t>
    </r>
  </si>
  <si>
    <t>Effective useful life of efficient lamp</t>
  </si>
  <si>
    <t>Effective useful life of first baseline lamp</t>
  </si>
  <si>
    <t>Remaining useful life of pre-existing lamp</t>
  </si>
  <si>
    <t>Effective useful life of pre-existing lamp</t>
  </si>
  <si>
    <t>See Table 6</t>
  </si>
  <si>
    <t>See Table 7</t>
  </si>
  <si>
    <t>See Table 8</t>
  </si>
  <si>
    <r>
      <t>BEEM: DEER2020</t>
    </r>
    <r>
      <rPr>
        <vertAlign val="superscript"/>
        <sz val="10"/>
        <rFont val="Calibri"/>
        <family val="2"/>
        <scheme val="minor"/>
      </rPr>
      <t>1</t>
    </r>
    <r>
      <rPr>
        <sz val="10"/>
        <rFont val="Calibri"/>
        <family val="2"/>
        <scheme val="minor"/>
      </rPr>
      <t xml:space="preserve"> hours of use for San Diego (CA's southern-most latitude); no occupancy sensor  
BHTR/SBDIL: Custom hours</t>
    </r>
  </si>
  <si>
    <t>Assumes EUL of fluorescent T12/T8 blend is equal to EUL of Fluorescent lamps listed in Table 6</t>
  </si>
  <si>
    <r>
      <t>Calculated by dividing rated lamp life</t>
    </r>
    <r>
      <rPr>
        <vertAlign val="superscript"/>
        <sz val="10"/>
        <color theme="1"/>
        <rFont val="Calibri"/>
        <family val="2"/>
        <scheme val="minor"/>
      </rPr>
      <t>4</t>
    </r>
    <r>
      <rPr>
        <sz val="10"/>
        <color theme="1"/>
        <rFont val="Calibri"/>
        <family val="2"/>
        <scheme val="minor"/>
      </rPr>
      <t xml:space="preserve"> by HOU</t>
    </r>
    <r>
      <rPr>
        <vertAlign val="subscript"/>
        <sz val="10"/>
        <color theme="1"/>
        <rFont val="Calibri"/>
        <family val="2"/>
        <scheme val="minor"/>
      </rPr>
      <t>year</t>
    </r>
    <r>
      <rPr>
        <sz val="10"/>
        <color theme="1"/>
        <rFont val="Calibri"/>
        <family val="2"/>
        <scheme val="minor"/>
      </rPr>
      <t xml:space="preserve"> and setting upperbound EUL = 25 yr and lowerbound EUL = 1 yr</t>
    </r>
  </si>
  <si>
    <r>
      <rPr>
        <vertAlign val="superscript"/>
        <sz val="9"/>
        <color theme="1"/>
        <rFont val="Calibri"/>
        <family val="2"/>
        <scheme val="minor"/>
      </rPr>
      <t>4</t>
    </r>
    <r>
      <rPr>
        <sz val="9"/>
        <color theme="1"/>
        <rFont val="Calibri"/>
        <family val="2"/>
        <scheme val="minor"/>
      </rPr>
      <t xml:space="preserve"> Sources of rated lamp life include DEER, DLC, and other benchmarking.</t>
    </r>
  </si>
  <si>
    <t>See Equation 8; only applicable to early replacement (SBDIL projects)</t>
  </si>
  <si>
    <t>LED Linear (T8), 8'</t>
  </si>
  <si>
    <t>LED Linear (T8), 4'</t>
  </si>
  <si>
    <t>LED Linear (T8), 3'</t>
  </si>
  <si>
    <t>LED Linear (T8), 2'</t>
  </si>
  <si>
    <t>LED Linear (T5), 4'</t>
  </si>
  <si>
    <t>LED Linear (T5 HO), 4'</t>
  </si>
  <si>
    <t>LED--Omni-Directional lamp, Screw Base</t>
  </si>
  <si>
    <t>LED--Omni-Directional lamp, Pin Base</t>
  </si>
  <si>
    <t>LED--MR16 lamp</t>
  </si>
  <si>
    <t>LED--PAR20 lamp</t>
  </si>
  <si>
    <t>LED--PAR30 lamp</t>
  </si>
  <si>
    <t>LED--PAR38 lamp</t>
  </si>
  <si>
    <t>LED-Decorative Candelabra 25W equivalent</t>
  </si>
  <si>
    <t>LED-Decorative Candelabra 40W equivalent</t>
  </si>
  <si>
    <t>LED-Decorative Med Base 40W equivalent</t>
  </si>
  <si>
    <t>LED-Decorative Med Base 60W equivalent</t>
  </si>
  <si>
    <t>LED Troffer, 1 ft. x 4 ft.</t>
  </si>
  <si>
    <t>LED Troffer, 2 ft. x 2 ft.</t>
  </si>
  <si>
    <t>LED Troffer, 2 ft. x 4 ft.</t>
  </si>
  <si>
    <t>(2) LED 2' linear replace (2) Fl. U-bend</t>
  </si>
  <si>
    <t>(2) LED U-bend replace (2) Fl. U-bend)</t>
  </si>
  <si>
    <t>LED: HID replacement, &lt;35W</t>
  </si>
  <si>
    <t>LED: HID replacement, 35W-149W</t>
  </si>
  <si>
    <t>LED: HID replacement, 150W-220W</t>
  </si>
  <si>
    <t>LED: HID replacement, &gt;220W</t>
  </si>
  <si>
    <t>8', various ballast types, 70% F96T8 &amp; 30% F96T12</t>
  </si>
  <si>
    <t>4', various ballast types, 70% F32T8 &amp; 30% F40T12</t>
  </si>
  <si>
    <t>3', various ballast types, 70% F25T8 &amp; 30% F30T12</t>
  </si>
  <si>
    <t>2', various ballast types, 70% F17T8 &amp; 30% F20T12</t>
  </si>
  <si>
    <t>4' F28T5, electronic ballast</t>
  </si>
  <si>
    <t>4' F54T5 HO, electronic ballast</t>
  </si>
  <si>
    <t>Halogen 50W MR16 lamp, 500 lumens</t>
  </si>
  <si>
    <t>Fixture with (2) 4' F32T8</t>
  </si>
  <si>
    <t>Fixture with (2) FU31T8/6</t>
  </si>
  <si>
    <t>(2) FU31T8/6</t>
  </si>
  <si>
    <t xml:space="preserve">(2) FU31T8/6 </t>
  </si>
  <si>
    <t>HID 50W-100W Baseline:
64W, 86W, 128W</t>
  </si>
  <si>
    <t>HID 150W-250W Baseline:
188W, 240W, 295W</t>
  </si>
  <si>
    <t>HID 310W-600W Baseline:
365W, 457W, 665W</t>
  </si>
  <si>
    <t>HID 750W-1000W Baseline:
840W, 1100W</t>
  </si>
  <si>
    <t>8' F96T8, electronic ballast</t>
  </si>
  <si>
    <t>4' F32T8, electronic ballast</t>
  </si>
  <si>
    <t>3' F25T8, electronic ballast</t>
  </si>
  <si>
    <t>2' F17T8, electronic ballast</t>
  </si>
  <si>
    <t>Wtd. Avg. EISA Tier 2</t>
  </si>
  <si>
    <t>EISA Tier 2</t>
  </si>
  <si>
    <t>Single</t>
  </si>
  <si>
    <t>Dual</t>
  </si>
  <si>
    <t>Baseline #1, kW</t>
  </si>
  <si>
    <t>Baseline #2, kW</t>
  </si>
  <si>
    <t>Pre-Existing 
(SBDIL only)</t>
  </si>
  <si>
    <t>Base-line</t>
  </si>
  <si>
    <t>Source</t>
  </si>
  <si>
    <r>
      <t>EISA Tier 1 and 2 requirements, weighted using HE program data</t>
    </r>
    <r>
      <rPr>
        <vertAlign val="superscript"/>
        <sz val="9.5"/>
        <color theme="1"/>
        <rFont val="Calibri"/>
        <family val="2"/>
        <scheme val="minor"/>
      </rPr>
      <t>1</t>
    </r>
  </si>
  <si>
    <t>1) Halogen; 
2) 45 lumen/W</t>
  </si>
  <si>
    <t>1) Standard incandescent; 
2) 45 lumen/W</t>
  </si>
  <si>
    <t>Benchmarking; no change from PY18 TRM</t>
  </si>
  <si>
    <t>Linear LED, kW</t>
  </si>
  <si>
    <t>LED-Decorative Candelabra 25W eq.</t>
  </si>
  <si>
    <t>LED-Decorative Med Base 40W eq.</t>
  </si>
  <si>
    <t>LED-Decorative Med Base 60W eq.</t>
  </si>
  <si>
    <r>
      <t>Type 
A</t>
    </r>
    <r>
      <rPr>
        <b/>
        <vertAlign val="superscript"/>
        <sz val="9.5"/>
        <color theme="1"/>
        <rFont val="Calibri"/>
        <family val="2"/>
        <scheme val="minor"/>
      </rPr>
      <t>1</t>
    </r>
  </si>
  <si>
    <r>
      <t>Type B</t>
    </r>
    <r>
      <rPr>
        <b/>
        <vertAlign val="superscript"/>
        <sz val="9.5"/>
        <color theme="1"/>
        <rFont val="Calibri"/>
        <family val="2"/>
        <scheme val="minor"/>
      </rPr>
      <t>2</t>
    </r>
    <r>
      <rPr>
        <b/>
        <sz val="9.5"/>
        <color theme="1"/>
        <rFont val="Calibri"/>
        <family val="2"/>
        <scheme val="minor"/>
      </rPr>
      <t xml:space="preserve"> 
and
Type C</t>
    </r>
    <r>
      <rPr>
        <b/>
        <vertAlign val="superscript"/>
        <sz val="9.5"/>
        <color theme="1"/>
        <rFont val="Calibri"/>
        <family val="2"/>
        <scheme val="minor"/>
      </rPr>
      <t>3</t>
    </r>
  </si>
  <si>
    <r>
      <rPr>
        <vertAlign val="superscript"/>
        <sz val="9"/>
        <color theme="1"/>
        <rFont val="Calibri"/>
        <family val="2"/>
        <scheme val="minor"/>
      </rPr>
      <t>1</t>
    </r>
    <r>
      <rPr>
        <sz val="9"/>
        <color theme="1"/>
        <rFont val="Calibri"/>
        <family val="2"/>
        <scheme val="minor"/>
      </rPr>
      <t xml:space="preserve"> Type A installation: Ballast left in place, reduced savings due to losses. </t>
    </r>
  </si>
  <si>
    <r>
      <rPr>
        <vertAlign val="superscript"/>
        <sz val="9"/>
        <color theme="1"/>
        <rFont val="Calibri"/>
        <family val="2"/>
        <scheme val="minor"/>
      </rPr>
      <t>2</t>
    </r>
    <r>
      <rPr>
        <sz val="9"/>
        <color theme="1"/>
        <rFont val="Calibri"/>
        <family val="2"/>
        <scheme val="minor"/>
      </rPr>
      <t xml:space="preserve"> Type B installation: Bypassing fluorescent ballast and utilizing internal LED driver. </t>
    </r>
  </si>
  <si>
    <r>
      <rPr>
        <vertAlign val="superscript"/>
        <sz val="9"/>
        <color theme="1"/>
        <rFont val="Calibri"/>
        <family val="2"/>
        <scheme val="minor"/>
      </rPr>
      <t>3</t>
    </r>
    <r>
      <rPr>
        <sz val="9"/>
        <color theme="1"/>
        <rFont val="Calibri"/>
        <family val="2"/>
        <scheme val="minor"/>
      </rPr>
      <t xml:space="preserve"> Type C installation: Removing fluorescent ballast and utilizing an external driver; more efficient than the Type B internal driver, however also consumes a little more power. </t>
    </r>
  </si>
  <si>
    <t xml:space="preserve">Therefore, this Program assumes Types B &amp; C energy and demand savings to be equivalent. However, a Type C installation is preferred for longevity due to use of an external LED driver and complete removal of the fluorescent ballast. </t>
  </si>
  <si>
    <t>Exit Sign</t>
  </si>
  <si>
    <t>Omni-Directional, Directional, and Decorative</t>
  </si>
  <si>
    <t>High Bay</t>
  </si>
  <si>
    <t xml:space="preserve">a. The CF values were derived using a three step process: </t>
  </si>
  <si>
    <r>
      <t>3) Adjustment of the OpenEI CF values to specific lighting types (bulbs, highbay, linear lamps) using DEER's annual HOUs for San Diego. The adjustment equation is CF</t>
    </r>
    <r>
      <rPr>
        <vertAlign val="subscript"/>
        <sz val="9.5"/>
        <color theme="1"/>
        <rFont val="Calibri"/>
        <family val="2"/>
        <scheme val="minor"/>
      </rPr>
      <t>OpenEI</t>
    </r>
    <r>
      <rPr>
        <sz val="9.5"/>
        <color theme="1"/>
        <rFont val="Calibri"/>
        <family val="2"/>
        <scheme val="minor"/>
      </rPr>
      <t>*(HOU</t>
    </r>
    <r>
      <rPr>
        <vertAlign val="subscript"/>
        <sz val="9.5"/>
        <color theme="1"/>
        <rFont val="Calibri"/>
        <family val="2"/>
        <scheme val="minor"/>
      </rPr>
      <t>SD</t>
    </r>
    <r>
      <rPr>
        <sz val="9.5"/>
        <color theme="1"/>
        <rFont val="Calibri"/>
        <family val="2"/>
        <scheme val="minor"/>
      </rPr>
      <t>/EFLH</t>
    </r>
    <r>
      <rPr>
        <vertAlign val="subscript"/>
        <sz val="9.5"/>
        <color theme="1"/>
        <rFont val="Calibri"/>
        <family val="2"/>
        <scheme val="minor"/>
      </rPr>
      <t>OpenEI</t>
    </r>
    <r>
      <rPr>
        <sz val="9.5"/>
        <color theme="1"/>
        <rFont val="Calibri"/>
        <family val="2"/>
        <scheme val="minor"/>
      </rPr>
      <t>).</t>
    </r>
  </si>
  <si>
    <r>
      <t>LED--MR16 lamp</t>
    </r>
    <r>
      <rPr>
        <vertAlign val="superscript"/>
        <sz val="9.5"/>
        <color theme="1"/>
        <rFont val="Calibri"/>
        <family val="2"/>
        <scheme val="minor"/>
      </rPr>
      <t>4</t>
    </r>
  </si>
  <si>
    <r>
      <t>LED--PAR20 lamp</t>
    </r>
    <r>
      <rPr>
        <vertAlign val="superscript"/>
        <sz val="9.5"/>
        <color theme="1"/>
        <rFont val="Calibri"/>
        <family val="2"/>
        <scheme val="minor"/>
      </rPr>
      <t>4</t>
    </r>
  </si>
  <si>
    <r>
      <t>LED--PAR30 lamp</t>
    </r>
    <r>
      <rPr>
        <vertAlign val="superscript"/>
        <sz val="9.5"/>
        <color theme="1"/>
        <rFont val="Calibri"/>
        <family val="2"/>
        <scheme val="minor"/>
      </rPr>
      <t>4</t>
    </r>
  </si>
  <si>
    <r>
      <t>LED--PAR38 lamp</t>
    </r>
    <r>
      <rPr>
        <vertAlign val="superscript"/>
        <sz val="9.5"/>
        <color theme="1"/>
        <rFont val="Calibri"/>
        <family val="2"/>
        <scheme val="minor"/>
      </rPr>
      <t>4</t>
    </r>
  </si>
  <si>
    <r>
      <t>IE</t>
    </r>
    <r>
      <rPr>
        <b/>
        <vertAlign val="subscript"/>
        <sz val="9.5"/>
        <color theme="1"/>
        <rFont val="Calibri"/>
        <family val="2"/>
        <scheme val="minor"/>
      </rPr>
      <t>C,D</t>
    </r>
  </si>
  <si>
    <r>
      <t>IE</t>
    </r>
    <r>
      <rPr>
        <b/>
        <vertAlign val="subscript"/>
        <sz val="9.5"/>
        <color theme="1"/>
        <rFont val="Calibri"/>
        <family val="2"/>
        <scheme val="minor"/>
      </rPr>
      <t>C,E</t>
    </r>
  </si>
  <si>
    <t>1) Tabulation of DEER's IE factors for San Diego (IECC CZ 3B);</t>
  </si>
  <si>
    <t xml:space="preserve">a. The IE values were derived using a four step process: </t>
  </si>
  <si>
    <r>
      <rPr>
        <vertAlign val="superscript"/>
        <sz val="9"/>
        <color theme="1"/>
        <rFont val="Calibri"/>
        <family val="2"/>
        <scheme val="minor"/>
      </rPr>
      <t>5</t>
    </r>
    <r>
      <rPr>
        <sz val="9"/>
        <color theme="1"/>
        <rFont val="Calibri"/>
        <family val="2"/>
        <scheme val="minor"/>
      </rPr>
      <t xml:space="preserve"> Wattages are from DLC QPL and other benchmarking performed in 2018.</t>
    </r>
  </si>
  <si>
    <r>
      <t>Other LED, kW</t>
    </r>
    <r>
      <rPr>
        <b/>
        <vertAlign val="superscript"/>
        <sz val="9.5"/>
        <color theme="1"/>
        <rFont val="Calibri"/>
        <family val="2"/>
        <scheme val="minor"/>
      </rPr>
      <t>5</t>
    </r>
  </si>
  <si>
    <r>
      <t>Table 2. High Efficiency Wattages, kW</t>
    </r>
    <r>
      <rPr>
        <b/>
        <vertAlign val="subscript"/>
        <sz val="11"/>
        <rFont val="Calibri"/>
        <family val="2"/>
        <scheme val="minor"/>
      </rPr>
      <t>EE</t>
    </r>
    <r>
      <rPr>
        <b/>
        <sz val="11"/>
        <rFont val="Calibri"/>
        <family val="2"/>
        <scheme val="minor"/>
      </rPr>
      <t xml:space="preserve"> </t>
    </r>
  </si>
  <si>
    <r>
      <t>Table 1. Baseline Wattages, kW</t>
    </r>
    <r>
      <rPr>
        <b/>
        <vertAlign val="subscript"/>
        <sz val="11"/>
        <rFont val="Calibri"/>
        <family val="2"/>
        <scheme val="minor"/>
      </rPr>
      <t>base,1</t>
    </r>
    <r>
      <rPr>
        <b/>
        <sz val="11"/>
        <rFont val="Calibri"/>
        <family val="2"/>
        <scheme val="minor"/>
      </rPr>
      <t xml:space="preserve"> and kW</t>
    </r>
    <r>
      <rPr>
        <b/>
        <vertAlign val="subscript"/>
        <sz val="11"/>
        <rFont val="Calibri"/>
        <family val="2"/>
        <scheme val="minor"/>
      </rPr>
      <t>base,2</t>
    </r>
  </si>
  <si>
    <r>
      <t>Table 5. Annual Hours of Use, HOU</t>
    </r>
    <r>
      <rPr>
        <b/>
        <vertAlign val="subscript"/>
        <sz val="11"/>
        <rFont val="Calibri"/>
        <family val="2"/>
        <scheme val="minor"/>
      </rPr>
      <t>year</t>
    </r>
  </si>
  <si>
    <t>Fluorescent Linear, U-bend, Troffer</t>
  </si>
  <si>
    <t>Halogen-Incandescent Omni-Directional</t>
  </si>
  <si>
    <t>Halogen MR and PAR type</t>
  </si>
  <si>
    <t>HID</t>
  </si>
  <si>
    <t>Incandescent Exit Sign</t>
  </si>
  <si>
    <t xml:space="preserve">Source: DEER2020 hours of use for San Diego IOU; no occupancy sensor. HOU were originally developed for DEER2016.  </t>
  </si>
  <si>
    <t>LED Linear, 
U-Tube, Troffer</t>
  </si>
  <si>
    <t>Linear, 
U-Tube, Troffer</t>
  </si>
  <si>
    <t>High Bay, Linear, U-Bend, Troffer</t>
  </si>
  <si>
    <t>Linear, U-Bend, Troffer</t>
  </si>
  <si>
    <t>LED Omni-Directional, Directional, and Decorative</t>
  </si>
  <si>
    <t>LED High Bay</t>
  </si>
  <si>
    <r>
      <t>Table 6. Effective Useful Life of Baseline Lamp (Dual Baseline, ROB), EUL</t>
    </r>
    <r>
      <rPr>
        <b/>
        <vertAlign val="subscript"/>
        <sz val="11"/>
        <rFont val="Calibri"/>
        <family val="2"/>
        <scheme val="minor"/>
      </rPr>
      <t>1st</t>
    </r>
  </si>
  <si>
    <r>
      <t>Table 7. Effective Useful Life of Efficient Lamp, EUL</t>
    </r>
    <r>
      <rPr>
        <b/>
        <vertAlign val="subscript"/>
        <sz val="11"/>
        <rFont val="Calibri"/>
        <family val="2"/>
        <scheme val="minor"/>
      </rPr>
      <t>EE</t>
    </r>
  </si>
  <si>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and other benchmarking.  </t>
    </r>
  </si>
  <si>
    <t>Table 8. Remaining Useful Life of Pre-Existing Lamp, RUL</t>
  </si>
  <si>
    <t>Fluorescent T12/T8 Blend</t>
  </si>
  <si>
    <t>Note: Only applies to SBDIR. Assumes EUL of pre-existing lamp divided by 3.</t>
  </si>
  <si>
    <t>First Year Savings: Delamping</t>
  </si>
  <si>
    <t>Note: Assumes the baseline is a fluorescent T8 lamp with electronic ballast that meets current federal standard.</t>
  </si>
  <si>
    <t>Lifetime Savings: Delamping</t>
  </si>
  <si>
    <t>First Year Savings: Exit Signs</t>
  </si>
  <si>
    <t>Lifetime Savings: Exit Signs</t>
  </si>
  <si>
    <t>Table 11. Calculated First Year Unit Savings: LED Exit Signs (8760 HOURS)</t>
  </si>
  <si>
    <t>Table 12. Calculated Lifetime Unit Savings: LED Exit Signs (8760 HOURS)</t>
  </si>
  <si>
    <t>First Year Savings: LED Troffers</t>
  </si>
  <si>
    <t>First Year Savings: Decorative LEDs, Dual Baseline</t>
  </si>
  <si>
    <t>Lifetime Savings: Decorative LEDs, Dual Baseline</t>
  </si>
  <si>
    <t xml:space="preserve">Table 17. Calculated First Year Unit Savings: LED Troffers </t>
  </si>
  <si>
    <t>Lifetime Savings: LED Troffers</t>
  </si>
  <si>
    <t xml:space="preserve">Table 18. Calculated Lifetime Unit Savings: LED Troffers </t>
  </si>
  <si>
    <t>2' Type B/C</t>
  </si>
  <si>
    <t>3' Type B/C</t>
  </si>
  <si>
    <t>4' Type B/C</t>
  </si>
  <si>
    <t>8' Type B/C</t>
  </si>
  <si>
    <t>Lifetime Energy Savings (kWh)</t>
  </si>
  <si>
    <t>Table 10. Calculated Lifetime Unit Savings: Delamping (With or Without Reflector)</t>
  </si>
  <si>
    <t>Table 9. Calculated First Year Unit Savings: Delamping (With or Without Reflector)</t>
  </si>
  <si>
    <t>First Year Savings: T8 Linear LED Lamps, ROB, Single Baseline</t>
  </si>
  <si>
    <t>Table 19a. Calculated First Year Unit Savings: T8 Linear LED Lamps, Demand Savings</t>
  </si>
  <si>
    <t>Lifetime Savings: T8 Linear LED Lamps, ROB, Single Baseline</t>
  </si>
  <si>
    <t>Table 19b. Calculated First Year Unit Savings: T8 Linear LED Lamps, Energy Savings</t>
  </si>
  <si>
    <t>Table 20. Calculated Lifetime Unit Savings: T8 Linear LED Lamps</t>
  </si>
  <si>
    <t>First Year Savings: T8 Linear LED Lamps, Early Replacement, Dual Baseline</t>
  </si>
  <si>
    <t>Note: This table matches Table 19a, but is used as second baseline period for early replacement projects (SBDIL).</t>
  </si>
  <si>
    <t>Lifetime Savings: T8 Linear LED Lamps, Early Replacement, Dual Baseline</t>
  </si>
  <si>
    <t>First Year Savings: T5 Linear LED Lamps, ROB, Single Baseline</t>
  </si>
  <si>
    <t>Lifetime Savings: T5 Linear LED Lamps, ROB, Single Baseline</t>
  </si>
  <si>
    <t>Table 23. Calculated First Year Unit Savings: Linear LED Lamps, 4' T5/T5 HO</t>
  </si>
  <si>
    <t>T5 Type B/C</t>
  </si>
  <si>
    <t>T5HO Type B/C</t>
  </si>
  <si>
    <t>(2) x U-Bend Type A</t>
  </si>
  <si>
    <t>(2) x U-Bend Type B/C</t>
  </si>
  <si>
    <t>(2) X 2' 
Type A</t>
  </si>
  <si>
    <t>(2) X 2' 
Type B/C</t>
  </si>
  <si>
    <t>First Year Savings: U-Bend LED Replacement, ROB, Single Baseline</t>
  </si>
  <si>
    <t>Lifetime Savings: U-Bend LED Replacement, ROB, Single Baseline</t>
  </si>
  <si>
    <t>Delamping</t>
  </si>
  <si>
    <t>First Year Savings</t>
  </si>
  <si>
    <t>Lifetime Savings</t>
  </si>
  <si>
    <t>Exit Signs</t>
  </si>
  <si>
    <t>Decorative LEDs</t>
  </si>
  <si>
    <t>Single Baseline</t>
  </si>
  <si>
    <t>Dual Baseline</t>
  </si>
  <si>
    <t>LED Troffers</t>
  </si>
  <si>
    <t>T8 Linear (ROB)</t>
  </si>
  <si>
    <t>T5 Linear</t>
  </si>
  <si>
    <t>U-Bend Replacements</t>
  </si>
  <si>
    <t>Pin-Based Omni-Directional</t>
  </si>
  <si>
    <t>First Year Savings: Pin-Base Omni-Directional, ROB, Single Baseline</t>
  </si>
  <si>
    <t>Lifetime Savings: Pin-Base Omni-Directional, ROB, Single Baseline</t>
  </si>
  <si>
    <t>First Year Savings: Directional and Screw-Base Omni-Directional LEDs, Dual Baseline</t>
  </si>
  <si>
    <t>Lifetime Savings: Directional and Screw-Base Omni-Directional LEDs, Dual Baseline</t>
  </si>
  <si>
    <t>Table 21. Calculated First Year Unit Savings: T8 Linear LED Lamps, Demand Savings (Pre-Existing baseline, SBDIL only)</t>
  </si>
  <si>
    <t>Table 22. Calculated First Year Unit Savings: T8 Linear LED Lamps, Demand Savings (Federal Standard Baseline)</t>
  </si>
  <si>
    <t>Table 24. Calculated Lifetime Unit Savings: Linear LED Lamps, 4' T5/T5 HO</t>
  </si>
  <si>
    <t>Table 25. Calculated First Year Unit Savings: U-Bend LED Replacements</t>
  </si>
  <si>
    <t>Table 26. Calculated Lifetime Unit Savings: U-Bend LED Replacements</t>
  </si>
  <si>
    <t>Table 29. Calculated First Year Unit Savings: Pin-Base Omni-Directional</t>
  </si>
  <si>
    <t>Omni-Screw</t>
  </si>
  <si>
    <r>
      <t>T8 Linear (Early Replacement)</t>
    </r>
    <r>
      <rPr>
        <vertAlign val="superscript"/>
        <sz val="9.5"/>
        <color theme="1"/>
        <rFont val="Calibri"/>
        <family val="2"/>
        <scheme val="minor"/>
      </rPr>
      <t>1</t>
    </r>
  </si>
  <si>
    <t>Menu of Deemed Savings Tables (click to navigate to correct savings tables)</t>
  </si>
  <si>
    <t>Directional &amp; Screw Base Omni</t>
  </si>
  <si>
    <t>First Year kW (Pre-Existing)</t>
  </si>
  <si>
    <t>First Year kW (Federal Standard)</t>
  </si>
  <si>
    <r>
      <rPr>
        <vertAlign val="superscript"/>
        <sz val="9"/>
        <color theme="1"/>
        <rFont val="Calibri"/>
        <family val="2"/>
        <scheme val="minor"/>
      </rPr>
      <t>1</t>
    </r>
    <r>
      <rPr>
        <sz val="9"/>
        <color theme="1"/>
        <rFont val="Calibri"/>
        <family val="2"/>
        <scheme val="minor"/>
      </rPr>
      <t xml:space="preserve"> First year and lifetime kWh calculations for SBDIL early replacement use custom HOU, so no deemed savings are provided.</t>
    </r>
  </si>
  <si>
    <t>Avg. Commercial</t>
  </si>
  <si>
    <t>Incandescent Decorative</t>
  </si>
  <si>
    <r>
      <t>LED--Omni-Direct. lamp, Screw Base</t>
    </r>
    <r>
      <rPr>
        <vertAlign val="superscript"/>
        <sz val="9.5"/>
        <color theme="1"/>
        <rFont val="Calibri"/>
        <family val="2"/>
        <scheme val="minor"/>
      </rPr>
      <t>4</t>
    </r>
  </si>
  <si>
    <r>
      <t>LED--Omni-Direct. lamp, Pin Base</t>
    </r>
    <r>
      <rPr>
        <vertAlign val="superscript"/>
        <sz val="9.5"/>
        <color theme="1"/>
        <rFont val="Calibri"/>
        <family val="2"/>
        <scheme val="minor"/>
      </rPr>
      <t>4</t>
    </r>
  </si>
  <si>
    <t>LED: HID replace, 35W-149W</t>
  </si>
  <si>
    <t>LED: HID replace, 150W-220W</t>
  </si>
  <si>
    <t>LED: HID replace, &lt;35W</t>
  </si>
  <si>
    <t>LED: HID replace, &gt;220W</t>
  </si>
  <si>
    <t>LED Troffer, 1 ft x 4 ft</t>
  </si>
  <si>
    <t>LED Troffer, 2 ft x 2 ft</t>
  </si>
  <si>
    <t>LED Troffer, 2 ft x 4 ft</t>
  </si>
  <si>
    <t>(2) LED U-bend replace (2) Fl. U-bend</t>
  </si>
  <si>
    <t>COMMERCIAL: Interior Lighting</t>
  </si>
  <si>
    <t>COMMERCIAL: Exterior Lighting</t>
  </si>
  <si>
    <t>Exterior HID fixture.</t>
  </si>
  <si>
    <t>Lifetime Energy Savings, kWh</t>
  </si>
  <si>
    <t>Assumes replace on burnout (ROB)</t>
  </si>
  <si>
    <t>AEG's analysis of average annual sunset time in Honolulu (6:32 PM) and overlap with the 5-9 PM peak demand period.</t>
  </si>
  <si>
    <r>
      <rPr>
        <vertAlign val="superscript"/>
        <sz val="9"/>
        <color theme="1"/>
        <rFont val="Calibri"/>
        <family val="2"/>
        <scheme val="minor"/>
      </rPr>
      <t>1</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</si>
  <si>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2</t>
    </r>
    <r>
      <rPr>
        <sz val="9"/>
        <color theme="1"/>
        <rFont val="Calibri"/>
        <family val="2"/>
        <scheme val="minor"/>
      </rPr>
      <t xml:space="preserve"> Source of rated lamp life includes DEER, DLC, and other benchmarking.</t>
    </r>
  </si>
  <si>
    <r>
      <t>Table 1. Wattages, kW</t>
    </r>
    <r>
      <rPr>
        <b/>
        <vertAlign val="subscript"/>
        <sz val="11"/>
        <rFont val="Calibri"/>
        <family val="2"/>
        <scheme val="minor"/>
      </rPr>
      <t>base</t>
    </r>
    <r>
      <rPr>
        <b/>
        <sz val="11"/>
        <rFont val="Calibri"/>
        <family val="2"/>
        <scheme val="minor"/>
      </rPr>
      <t xml:space="preserve"> and kW</t>
    </r>
    <r>
      <rPr>
        <b/>
        <vertAlign val="subscript"/>
        <sz val="11"/>
        <rFont val="Calibri"/>
        <family val="2"/>
        <scheme val="minor"/>
      </rPr>
      <t>EE</t>
    </r>
  </si>
  <si>
    <t>First Year Savings: LED Exterior Fixtures, ROB, Single Baseline</t>
  </si>
  <si>
    <t>Lifetime Savings: LED Exterior Fixtures, ROB, Single Baseline</t>
  </si>
  <si>
    <t>Table 3. Calculated First Year Unit Energy Savings</t>
  </si>
  <si>
    <t>Table 4. Calculated Lifetime Unit Savings</t>
  </si>
  <si>
    <t>Table 2. Calculated First Year Unit Demand Savings</t>
  </si>
  <si>
    <t>HECO Rate Schedule F, 2018. Assumes no motion sensors.</t>
  </si>
  <si>
    <t xml:space="preserve">The replacement LED fixture must be on the Consortium for Energy Efficiency's (CEE's) most recent Commercial Lighting Qualifying Products List, have an ENERGY STAR label, or be on DesignLights Consortium's Qualified Product List (DLC QPL). </t>
  </si>
  <si>
    <t xml:space="preserve">The replacement LED lamp must be on the Consortium for Energy Efficiency's (CEE's) most recent Commercial Lighting Qualifying Products List, have an ENERGY STAR label, or be on DesignLights Consortium's Qualified Product List (DLC QPL). </t>
  </si>
  <si>
    <t>All lighting (27% of PY16 portfolio)
- Separate Exterior Lighting from Interior Lighting and create new spreadsheet Tab
- Need general update of all parameters
- Need to revisit/document source of cooling load interactive factors (tracked back to PY15 TRM and they are unsourced)</t>
  </si>
  <si>
    <t>Lifetime Energy Savings</t>
  </si>
  <si>
    <t>Efficiency Vermont Technical Reference User Manual, Measure Savings Algorithms and Cost Assumptions, 2015.</t>
  </si>
  <si>
    <t>SBDIL Custom Hours Investigation Results, Memorandum, Submitted by Opinion Dynamics, Submitted to Energy Efficiency Manager, Dec. 12, 2017.</t>
  </si>
  <si>
    <t>Hawaiian Electric Company, Rate Schedule F, Public Street Lighting, Highway Lighting and Park and Playground Floodlighting, Revised Sheet No. 59, Effective September 1, 2018.</t>
  </si>
  <si>
    <t xml:space="preserve">Illinois Statewide Technical Reference Manual for Energy Efficiency, Version 6.0, Volume 2: Commercial and Industrial Measures, FINAL, Feb. 8, 2017. </t>
  </si>
  <si>
    <t>10 CFR 430.32(n) General service fluorescent lamps and incandescent reflector lamps. Paragraph (4).</t>
  </si>
  <si>
    <t>Rhode Island Technical Reference Manual – 2018 Program Year, National Grid, 2017.</t>
  </si>
  <si>
    <t xml:space="preserve">2016 Statewide Customized Offering Procedures Manual for Business. Appendix B: Table of Standard Fixture Wattages. July 2014, Version 6.0. </t>
  </si>
  <si>
    <t>ENERGY STAR, https://www.energystar.gov/.</t>
  </si>
  <si>
    <t>Consortium of Energy Efficiency (CEE), Commercial Lighting Qualifying Product Lists, August 2018 T8 Replacement Lamps.xlsx, https://library.cee1.org/content/commercial-lighting-qualifying-products-lists.</t>
  </si>
  <si>
    <t>U.S. Department of Energy, Appliance and Equipment Standards Rulemakings and Notices, General Service Fluorescent Lamps, accessed 11/4/2018, https://www1.eere.energy.gov/buildings/appliance_standards/standards.aspx?productid=22&amp;redirect=true.</t>
  </si>
  <si>
    <t>DesignLights Consortium (DLC), https://www.designlights.org, https://www.designlights.org/solid-state-lighting/qualification-requirements/technical-requirements/.</t>
  </si>
  <si>
    <t>California Public Utilities Commission (CPUC), DEER2020, Ex Ante database Support Table Export, EUL_basis, 1/1/2013 - 1/1/2021, available here: http://www.deeresources.com.</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</si>
  <si>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in DEER2020.)</t>
  </si>
  <si>
    <r>
      <t xml:space="preserve">ACEEE, "Lighting/HVAC Interactions and Their Effects on Annual and Peak HVAC Requirements in Commercial Buildings," Sezgen, A. O., Y. J. Huang, Lawrence Berkeley Laboratory, </t>
    </r>
    <r>
      <rPr>
        <i/>
        <sz val="11"/>
        <rFont val="Calibri"/>
        <family val="2"/>
        <scheme val="minor"/>
      </rPr>
      <t>ACEEE Summer Study</t>
    </r>
    <r>
      <rPr>
        <sz val="11"/>
        <rFont val="Calibri"/>
        <family val="2"/>
        <scheme val="minor"/>
      </rPr>
      <t>, 1994.</t>
    </r>
  </si>
  <si>
    <t>Uniform Methods Project, Chapter 2: Commercial and Industrial Lighting Evaluation Protocol, D. Gowans, Left Fork Energy, and C. Telarico, DNV GL, C. Kurnik, National Renewable Energy Laboratory, October 2017.</t>
  </si>
  <si>
    <r>
      <t>Source: Calculated by dividing rated lamp life by HOU</t>
    </r>
    <r>
      <rPr>
        <vertAlign val="subscript"/>
        <sz val="9"/>
        <rFont val="Calibri"/>
        <family val="2"/>
      </rPr>
      <t>year</t>
    </r>
    <r>
      <rPr>
        <sz val="9"/>
        <rFont val="Calibri"/>
        <family val="2"/>
      </rPr>
      <t xml:space="preserve"> and setting upperbound EUL = 25 yr and lowerbound EUL = 1 yr. Sources of rated lamp life include DEER, DLC, Lighting Research Center, and other benchmarking.</t>
    </r>
  </si>
  <si>
    <t>Lighting Research Center, Publications, 061Incandescent, page 114, Halogen A, https://www.lrc.rpi.edu/resources/publications/lpbh/061Incandescent.pdf, accessed 11/7/2018.</t>
  </si>
  <si>
    <r>
      <t>EUL</t>
    </r>
    <r>
      <rPr>
        <b/>
        <vertAlign val="subscript"/>
        <sz val="11"/>
        <color rgb="FF000000"/>
        <rFont val="Calibri"/>
        <family val="2"/>
      </rPr>
      <t>1st</t>
    </r>
  </si>
  <si>
    <t>Lifetime in-service rate</t>
  </si>
  <si>
    <t>Appendix B SFW, average across incandescent exit signs</t>
  </si>
  <si>
    <t>Appendix B SFW, per lamp averages across fixture types</t>
  </si>
  <si>
    <r>
      <rPr>
        <vertAlign val="superscript"/>
        <sz val="9"/>
        <color theme="1"/>
        <rFont val="Calibri"/>
        <family val="2"/>
        <scheme val="minor"/>
      </rPr>
      <t>4</t>
    </r>
    <r>
      <rPr>
        <sz val="9"/>
        <color theme="1"/>
        <rFont val="Calibri"/>
        <family val="2"/>
        <scheme val="minor"/>
      </rPr>
      <t xml:space="preserve"> Wattages represent a blend of dimmable and non-dimmable equipment.  See C_Light_Dimmable(Nonlinear LED) for details.</t>
    </r>
  </si>
  <si>
    <t>ENERGY STAR, https://www.energystar.gov/, https://www.energystar.gov/products/lighting_fans/light_bulbs, accessed 10/24/2018.</t>
  </si>
  <si>
    <t>National Renewable Energy Laboratory. Building Energy Optimization (BEopt) Software. Version 2.8.0.0. U.S. Department of Energy. January 2018. Available at: https://beopt.nrel.gov/.</t>
  </si>
  <si>
    <t xml:space="preserve">Wilson, E. et. al., 2014 Building America House Simulation Protocols. National Renewable Energy Laboratory. March 2014. Available at: https://www.nrel.gov/docs/fy14osti/60988.pdf.  </t>
  </si>
  <si>
    <t>Incentivized LED lamps must be ENERGY STAR labeled or Design Lights Consortium (DLC) listed.</t>
  </si>
  <si>
    <t>For direct install projects, the replacement lamps must be of equivalent brightness (measured in lumens) as the baseline lamps. In the case of the delamping measure, the replacement lamp (with an added reflector as needed) must be of sufficient brightness to meet the requirements of the space. For delamping, the lamp and lamp holder ("tombstone") must be permanently removed.</t>
  </si>
  <si>
    <t>Replacement of non-linear EISA-compliant omni-directional and directional lamps with LED lamps in existing buildings. A percentage of the replacement LED lamps are assumed to be dimmable.</t>
  </si>
  <si>
    <t>Manufacturer data</t>
  </si>
  <si>
    <t>Wattage of High Efficiency Case</t>
  </si>
  <si>
    <r>
      <t>kW</t>
    </r>
    <r>
      <rPr>
        <vertAlign val="subscript"/>
        <sz val="10.5"/>
        <color theme="1"/>
        <rFont val="Calibri"/>
        <family val="2"/>
      </rPr>
      <t>EE,blend</t>
    </r>
  </si>
  <si>
    <t>Wattage of high efficiency case, including dimmable blend consideration</t>
  </si>
  <si>
    <r>
      <t>kW</t>
    </r>
    <r>
      <rPr>
        <vertAlign val="subscript"/>
        <sz val="10.5"/>
        <color theme="1"/>
        <rFont val="Calibri"/>
        <family val="2"/>
      </rPr>
      <t>EE</t>
    </r>
  </si>
  <si>
    <t>Wattage of high efficiency case, undimmed</t>
  </si>
  <si>
    <r>
      <t>SVG</t>
    </r>
    <r>
      <rPr>
        <vertAlign val="subscript"/>
        <sz val="10.5"/>
        <color theme="1"/>
        <rFont val="Calibri"/>
        <family val="2"/>
        <scheme val="minor"/>
      </rPr>
      <t>dim</t>
    </r>
  </si>
  <si>
    <t>Percent savings from dimming lamps</t>
  </si>
  <si>
    <r>
      <t>IE</t>
    </r>
    <r>
      <rPr>
        <vertAlign val="subscript"/>
        <sz val="10.5"/>
        <color theme="1"/>
        <rFont val="Calibri"/>
        <family val="2"/>
      </rPr>
      <t>C,D</t>
    </r>
  </si>
  <si>
    <r>
      <t>IE</t>
    </r>
    <r>
      <rPr>
        <vertAlign val="subscript"/>
        <sz val="10.5"/>
        <color theme="1"/>
        <rFont val="Calibri"/>
        <family val="2"/>
      </rPr>
      <t>C,E</t>
    </r>
  </si>
  <si>
    <t>See C_Light_
General tab, Table 4</t>
  </si>
  <si>
    <t>See C_Light_
General tab, Table 3</t>
  </si>
  <si>
    <r>
      <t>HOU</t>
    </r>
    <r>
      <rPr>
        <vertAlign val="subscript"/>
        <sz val="10.5"/>
        <color theme="1"/>
        <rFont val="Calibri"/>
        <family val="2"/>
      </rPr>
      <t>year</t>
    </r>
  </si>
  <si>
    <t>See C_Light_
General tab, Table 5</t>
  </si>
  <si>
    <r>
      <t>EUL</t>
    </r>
    <r>
      <rPr>
        <vertAlign val="subscript"/>
        <sz val="10.5"/>
        <color theme="1"/>
        <rFont val="Calibri"/>
        <family val="2"/>
        <scheme val="minor"/>
      </rPr>
      <t>EE</t>
    </r>
  </si>
  <si>
    <t>See C_Light_
General tab, Table 6</t>
  </si>
  <si>
    <t>See C_Light_
General tab, Table 7</t>
  </si>
  <si>
    <r>
      <t>kW</t>
    </r>
    <r>
      <rPr>
        <b/>
        <vertAlign val="subscript"/>
        <sz val="9.5"/>
        <color theme="1"/>
        <rFont val="Calibri"/>
        <family val="2"/>
        <scheme val="minor"/>
      </rPr>
      <t>base,1</t>
    </r>
  </si>
  <si>
    <r>
      <t>kW</t>
    </r>
    <r>
      <rPr>
        <b/>
        <vertAlign val="subscript"/>
        <sz val="9.5"/>
        <color theme="1"/>
        <rFont val="Calibri"/>
        <family val="2"/>
        <scheme val="minor"/>
      </rPr>
      <t>base,2</t>
    </r>
  </si>
  <si>
    <r>
      <t>kW</t>
    </r>
    <r>
      <rPr>
        <b/>
        <vertAlign val="subscript"/>
        <sz val="9.5"/>
        <color theme="1"/>
        <rFont val="Calibri"/>
        <family val="2"/>
        <scheme val="minor"/>
      </rPr>
      <t>EE</t>
    </r>
  </si>
  <si>
    <r>
      <t>%</t>
    </r>
    <r>
      <rPr>
        <b/>
        <vertAlign val="subscript"/>
        <sz val="9.5"/>
        <color theme="1"/>
        <rFont val="Calibri"/>
        <family val="2"/>
        <scheme val="minor"/>
      </rPr>
      <t>dim</t>
    </r>
  </si>
  <si>
    <r>
      <t>%</t>
    </r>
    <r>
      <rPr>
        <b/>
        <vertAlign val="subscript"/>
        <sz val="9.5"/>
        <color theme="1"/>
        <rFont val="Calibri"/>
        <family val="2"/>
        <scheme val="minor"/>
      </rPr>
      <t>non-dim</t>
    </r>
  </si>
  <si>
    <r>
      <t>kW</t>
    </r>
    <r>
      <rPr>
        <b/>
        <vertAlign val="subscript"/>
        <sz val="9.5"/>
        <color theme="1"/>
        <rFont val="Calibri"/>
        <family val="2"/>
        <scheme val="minor"/>
      </rPr>
      <t>EE,blend</t>
    </r>
  </si>
  <si>
    <t>Wattages represent a weighted average by lamp type (EISA lumen bin). See R_Light_LED for details.</t>
  </si>
  <si>
    <t>Base: Pin base CFL; EE: Replacement LED product</t>
  </si>
  <si>
    <t>Base: 1) Halogen; 2) EISA Tier 2 requirement of 45 lumen/W; EE: Representative ENERGY STAR certified products</t>
  </si>
  <si>
    <t>BS: 1) Halogen; 2) EISA Tier 2 requirement of 45 lumen/W; EE: Representative ENERGY STAR certified products</t>
  </si>
  <si>
    <t>First Year Savings: Pin-Base Omni-Directional, Single Baseline</t>
  </si>
  <si>
    <t>Table 2. Calculated First Year Unit Savings: Pin-Base Omni-Directional</t>
  </si>
  <si>
    <t>The savings in Tables 2-7 below are the same as in Tables 29-34 in the C_Light_General tab.</t>
  </si>
  <si>
    <t>Public Utility Commission of Texas, Texas Technical Reference Manual, Version 5.0, Volume 2: Residential Measures, Program Year (PY) 2018, October 2017.</t>
  </si>
  <si>
    <t>Lighting/HVAC Interactions and Their Effects on Annual and Peak HVAC Requirements in Commercial Buildings, Sezgen, A. O., Y. J. Huang, Lawrence Berkeley Laboratory, ACEEE Summer Study, 1994.</t>
  </si>
  <si>
    <t>Public Utility Commission of Texas, Texas Technical Reference Manual, Version 5.0, Volume 3: Nonresidential Measures, Program Year (PY) 2018, October 2017.</t>
  </si>
  <si>
    <r>
      <t>DEER2020</t>
    </r>
    <r>
      <rPr>
        <vertAlign val="superscript"/>
        <sz val="10.5"/>
        <color theme="1"/>
        <rFont val="Calibri"/>
        <family val="2"/>
        <scheme val="minor"/>
      </rPr>
      <t>2</t>
    </r>
    <r>
      <rPr>
        <sz val="10.5"/>
        <color theme="1"/>
        <rFont val="Calibri"/>
        <family val="2"/>
        <scheme val="minor"/>
      </rPr>
      <t xml:space="preserve"> hours of use for San Diego (CA's southern-most latitude); no occupancy sensor  </t>
    </r>
  </si>
  <si>
    <r>
      <t>Calculated by dividing rated lamp life</t>
    </r>
    <r>
      <rPr>
        <vertAlign val="superscript"/>
        <sz val="10.5"/>
        <color theme="1"/>
        <rFont val="Calibri"/>
        <family val="2"/>
        <scheme val="minor"/>
      </rPr>
      <t>5</t>
    </r>
    <r>
      <rPr>
        <sz val="10.5"/>
        <color theme="1"/>
        <rFont val="Calibri"/>
        <family val="2"/>
        <scheme val="minor"/>
      </rPr>
      <t xml:space="preserve"> by HOU</t>
    </r>
    <r>
      <rPr>
        <vertAlign val="subscript"/>
        <sz val="10.5"/>
        <color theme="1"/>
        <rFont val="Calibri"/>
        <family val="2"/>
        <scheme val="minor"/>
      </rPr>
      <t>year</t>
    </r>
    <r>
      <rPr>
        <sz val="10.5"/>
        <color theme="1"/>
        <rFont val="Calibri"/>
        <family val="2"/>
        <scheme val="minor"/>
      </rPr>
      <t xml:space="preserve"> and setting upperbound EUL = 25 yr and lowerbound EUL = 1 yr</t>
    </r>
  </si>
  <si>
    <t>Footnote 4</t>
  </si>
  <si>
    <r>
      <rPr>
        <vertAlign val="superscript"/>
        <sz val="9"/>
        <color theme="1"/>
        <rFont val="Calibri"/>
        <family val="2"/>
        <scheme val="minor"/>
      </rPr>
      <t>2</t>
    </r>
    <r>
      <rPr>
        <sz val="9"/>
        <color theme="1"/>
        <rFont val="Calibri"/>
        <family val="2"/>
        <scheme val="minor"/>
      </rPr>
      <t xml:space="preserve"> The DEER interactive effect factors and hours of use were developed for DEER2016 and they are still applicable to DEER2020.</t>
    </r>
  </si>
  <si>
    <r>
      <rPr>
        <vertAlign val="superscript"/>
        <sz val="9"/>
        <color theme="1"/>
        <rFont val="Calibri"/>
        <family val="2"/>
        <scheme val="minor"/>
      </rPr>
      <t>3</t>
    </r>
    <r>
      <rPr>
        <sz val="9"/>
        <color theme="1"/>
        <rFont val="Calibri"/>
        <family val="2"/>
        <scheme val="minor"/>
      </rPr>
      <t xml:space="preserve"> "Lighting/HVAC Interactions and Their Effects on Annual and Peak HVAC Requirements in Commercial Buildings," Sezgen, A. O., Y. J. Huang, Lawrence Berkeley Laboratory, ACEEE Summer Study, 1994.</t>
    </r>
  </si>
  <si>
    <r>
      <rPr>
        <vertAlign val="superscript"/>
        <sz val="9"/>
        <color theme="1"/>
        <rFont val="Calibri"/>
        <family val="2"/>
        <scheme val="minor"/>
      </rPr>
      <t>4</t>
    </r>
    <r>
      <rPr>
        <sz val="9"/>
        <color theme="1"/>
        <rFont val="Calibri"/>
        <family val="2"/>
        <scheme val="minor"/>
      </rPr>
      <t xml:space="preserve"> Use value of PF=1 until more data is available on PF of LEDs relative to baseline lighting.</t>
    </r>
  </si>
  <si>
    <r>
      <rPr>
        <vertAlign val="superscript"/>
        <sz val="9"/>
        <color theme="1"/>
        <rFont val="Calibri"/>
        <family val="2"/>
        <scheme val="minor"/>
      </rPr>
      <t>5</t>
    </r>
    <r>
      <rPr>
        <sz val="9"/>
        <color theme="1"/>
        <rFont val="Calibri"/>
        <family val="2"/>
        <scheme val="minor"/>
      </rPr>
      <t xml:space="preserve"> Sources of rated lamp life include DEER, DLC, and other benchmarking.</t>
    </r>
  </si>
  <si>
    <r>
      <rPr>
        <vertAlign val="superscript"/>
        <sz val="9"/>
        <color theme="1"/>
        <rFont val="Calibri"/>
        <family val="2"/>
        <scheme val="minor"/>
      </rPr>
      <t>1</t>
    </r>
    <r>
      <rPr>
        <sz val="9"/>
        <color theme="1"/>
        <rFont val="Calibri"/>
        <family val="2"/>
        <scheme val="minor"/>
      </rPr>
      <t xml:space="preserve"> Williams, Alison, Atkinson, Barbara, Garbesi, Karina, &amp; Rubinstein, Francis, “A Meta-Analysis of Energy Savings from Lighting Controls in Commercial Buildings”. Lawrence Berkeley National Laboratory. September 2011. Table 6, p. 14. Weighted average by number of “reviewed” and “non reviewed” papers.</t>
    </r>
  </si>
  <si>
    <t xml:space="preserve">State of Pennsylvania Technical Reference Manual, Pennsylvania Public Utilities Commission, June 2016. </t>
  </si>
  <si>
    <t xml:space="preserve">Williams, Alison, Atkinson, Barbara, Garbesi, Karina, &amp; Rubinstein, Francis, “A Meta-Analysis of Energy Savings from Lighting Controls in Commercial Buildings”. Lawrence Berkeley National Laboratory. September 2011. </t>
  </si>
  <si>
    <t xml:space="preserve">Freezer </t>
  </si>
  <si>
    <t>DEER 2020</t>
  </si>
  <si>
    <t>Depends on HOU</t>
  </si>
  <si>
    <t>AEG 2018 Analysis</t>
  </si>
  <si>
    <t>Not updated</t>
  </si>
  <si>
    <t>EUL (years)</t>
  </si>
  <si>
    <t>LED (See R_Light_LED, Table 2)</t>
  </si>
  <si>
    <t>Varies</t>
  </si>
  <si>
    <t>Effective Useful Life (EUL) is the median length of time (in years) that an energy efficiency measure is functional. The EUL estimated for each measure is shown in the following table:</t>
  </si>
  <si>
    <t>LED Street and Parking Lot Fixture</t>
  </si>
  <si>
    <t>Lamp Life/8760</t>
  </si>
  <si>
    <t>Lamp Life/4100</t>
  </si>
  <si>
    <t>c) For all PY19 priority measures (except lamp replacement), conducted new EUL benchmarking analysis using AEG's DEEM tool (Database of Energy Efficiency Measures) and additional research of TRMs and best practices (see Resources listed below). The EULs for most lamp measures are based on the lamp life and hours of use of the lighting, which varies by building type.</t>
  </si>
  <si>
    <t>d) For all priority measures, used the median or average value of sources reviewed in Step c as the new PY19 updated EUL. (The median was used in most cases, except for when the average value appeared most representative.)</t>
  </si>
  <si>
    <t>e) For other non-priority measures for which there was an EUL in DEER2020, used the DEER2020 value as the new PY19 updated EUL.</t>
  </si>
  <si>
    <t xml:space="preserve">California Public Utilities Commission, Database of Energy Efficiency Resources, 2020 update, (DEER2020), READI v.2.5.0, Ex Ante Database Support Table Export, EUL_basis, created on 8/24/2018, available here: www.deeresources.com/index.php/homepage. Spreadsheet. </t>
  </si>
  <si>
    <t>CEE High Efficiency Residential Swimming Pool Initiative, Consortium for Energy Efficiency, Boston, MA, January 2013, page 18. States life of 5-7 years for motor when used year-round per personal communication with Regal Beloit, Aug. 12.</t>
  </si>
  <si>
    <t>ENERGY STAR, Pool Pump Calculator, last updated 2013, accessed Fall 2018, available here: https://www.energystar.gov/products/other/pool_pumps. Spreadsheet.</t>
  </si>
  <si>
    <t xml:space="preserve">Hagerman, Joseph, Department of Energy Building Technologies Program, Presentation: "Circulator Pumps, Appliance Standards and Rulemaking", Federal Advisory Committee (ASRAC) Working Group, Fifth Meeting, July 12-13, 2016. EERE-2016-BT-STD-0004. </t>
  </si>
  <si>
    <t>IESO Prescriptive Measures and Assumptions List. Independent Electricity System Operator. January 1, 2015. Document.</t>
  </si>
  <si>
    <t>Michigan Energy Measure Database, v. 2018, https://www.michigan.gov/mpsc/0,4639,7-159-52495_55129---,00.html, filename: "mi_master_measure_database_2018-112917_609672_7"</t>
  </si>
  <si>
    <t>Navigant Consulting, Inc. EIA Appendix A - Technology Forecast Updates - Residential and Commercial Building Technologies - 2011 Reference Case. U.S. Energy Information Administration, U.S. Department of Energy. September 22, 2011. Document.</t>
  </si>
  <si>
    <t>Navigant Consulting, Inc. EIA Appendix A - Technology Forecast Updates - Residential and Commercial Building Technologies - Reference Case. U.S. Energy Information Administration, U.S. Department of Energy. March 2014. Document.</t>
  </si>
  <si>
    <t>New Mexico Technical Resource Manual for the Calculation of Energy Efficiency Savings, 2016. Section 3.5. p.31. Cites DEER 2008 as source for EUL.</t>
  </si>
  <si>
    <t>Northwest Power Conservation Council (NWPCC). Residential Single Family Heat Pump, Version 5 - Seventh Power Plan Conservation Supply Workbooks. February 25, 2016. Spreadsheet</t>
  </si>
  <si>
    <t>Pool Pumps Summary - Calmac.org, www.calmac.org/publications/Pool_Pumps_RSW_II_6-15-2015_FINAL.xlsx. Spreadsheet.</t>
  </si>
  <si>
    <t>Public Service Company of Colorado. 2017/2018 Demand-Side Management Plan. Colorado Public Utilities Commission. July 1, 2016. Document.</t>
  </si>
  <si>
    <t>Regional Technical Forum. Air Source Heat Pump Upgrades SF  - Unit Energy Savings Workbook, Version 4.2. Northwest Power and Conservation Council. December 05, 2017. Spreadsheet.</t>
  </si>
  <si>
    <t>Regional Technical Forum. Commercial Grocery Display Case Lighting - Unit Energy Savings Workbook, Version 1.1. Northwest Power and Conservation Council. Oct. 1, 2018. Spreadsheet.</t>
  </si>
  <si>
    <t xml:space="preserve">Regional Technical Forum. ComResCirculatorPumps_1_2.xlsm. Northwest Power and Conservation Council. Sep 26, 2017. Spreadsheet. </t>
  </si>
  <si>
    <t>Regional Technical Forum. New Manufactured Homes and HVAC - Unit Energy Savings Workbook, Version 3.4. Northwest Power and Conservation Council. June 15, 2017. Spreadsheet.</t>
  </si>
  <si>
    <t>Regional Technical Forum. ResFridgeFreezeDecommissioning_v5_1.xlsm. Northwest Power and Conservation Council. January 12, 2018. Spreadsheet. RULs are from 2018 analysis of detailed RUL data in DOE Technical Support Document, REFRIGERATORS, REFRIGERATOR-FREEZERS, AND FREEZERS, November 2009.</t>
  </si>
  <si>
    <t>Regional Technical Forum. Residential Refrigerator and Freezers - Unit Energy Savings Workbook, Version 4.3. Northwest Power and Conservation Council. December 5, 2016. Spreadsheet.</t>
  </si>
  <si>
    <t xml:space="preserve">Savings Calculator for ENERGY STAR Appliances, Available at: https://www.energystar.gov/sites/default/files/asset/document/appliance_calculator.xlsx. Accessed October 16, 2018. </t>
  </si>
  <si>
    <t>Southern California Edison. Non-DEER Workpaper - Smart/Connected Refrigerator, SCE17AP009 Version 0. California Public Utilities Commission Database of Energy Efficiency Resources. March 17, 2017. Document.</t>
  </si>
  <si>
    <t>Southern California Edison. Non-DEER Workpaper - VFD Retrofit to Central Plant Systems, SCE17HC039 Version 0. California Public Utilities Commission Database of Energy Efficiency Resources. January 01, 2017. Document.</t>
  </si>
  <si>
    <t>U.S. Energy Information Administration. Annual Energy Outlook 2018, National Energy Modeling System (NEMS) Input Files. U.S. Department of Energy. February 6, 2018. Spreadsheet.</t>
  </si>
  <si>
    <t>Vermont Energy Investment Corporation. Illinois Statewide Technical Reference Manual for Energy Efficiency, Version 5.0. Illinois Energy Efficiency Stakeholder Advisory Group. February 2016. Document.</t>
  </si>
  <si>
    <t>Northwest Power Conservation Council (NWPCC). Commercial VRF, Version 6 - Seventh Power Plan Conservation Supply Workbooks. February 25, 2016. Spreadsheet.</t>
  </si>
  <si>
    <t>Northwest Power Conservation Council (NWPCC). Residential Refrigerator/Freezer, Version 4 - Seventh Power Plan Conservation Supply Workbooks. February 25, 2016. Spreadsheet.</t>
  </si>
  <si>
    <t>SBDI - Lighting, Pre-Existing Baseline RUL (See C_Light_General, Table 8)</t>
  </si>
  <si>
    <t>Depends on HOU; RUL = 1/3 EUL</t>
  </si>
  <si>
    <t>General, Baseline 
(See C_Light_General, Table 6)</t>
  </si>
  <si>
    <t>General, Efficient Case
(See C_Light_General, Table 7)</t>
  </si>
  <si>
    <t>SBDI - Lighting, Efficient Case 
(See C_Light_General, Table 7)</t>
  </si>
  <si>
    <t>Regional Technical Forum. Non-Residential Lighting, Midstream - Unit Energy Savings Workbook, Version 1.3 (NonResLightingMidstream_v1.3.xlsm). Northwest Power and Conservation Council. April 10, 2018. Spreadsheet.</t>
  </si>
  <si>
    <t>Lifetime Energy Savings, kWh (Single Baseline, ROB)</t>
  </si>
  <si>
    <t>Waste Heat Factors due to Interaction with Building Space Cooling System</t>
  </si>
  <si>
    <t>(9)</t>
  </si>
  <si>
    <t>Waste Heat Factors due to Interaction with Case Refrigeration System</t>
  </si>
  <si>
    <t>(10)</t>
  </si>
  <si>
    <t>(11)</t>
  </si>
  <si>
    <r>
      <t>kW</t>
    </r>
    <r>
      <rPr>
        <vertAlign val="subscript"/>
        <sz val="10.5"/>
        <color theme="1"/>
        <rFont val="Calibri"/>
        <family val="2"/>
        <scheme val="minor"/>
      </rPr>
      <t>EE</t>
    </r>
  </si>
  <si>
    <r>
      <t>EER</t>
    </r>
    <r>
      <rPr>
        <vertAlign val="subscript"/>
        <sz val="10.5"/>
        <color theme="1"/>
        <rFont val="Calibri"/>
        <family val="2"/>
        <scheme val="minor"/>
      </rPr>
      <t>R</t>
    </r>
  </si>
  <si>
    <r>
      <t>EUL</t>
    </r>
    <r>
      <rPr>
        <vertAlign val="subscript"/>
        <sz val="10.5"/>
        <color theme="1"/>
        <rFont val="Calibri"/>
        <family val="2"/>
        <scheme val="minor"/>
      </rPr>
      <t>pre-existing</t>
    </r>
  </si>
  <si>
    <t>Waste heat factor due to lighting interaction with building space cooling system demand</t>
  </si>
  <si>
    <t>Waste heat factor due to lighting interaction with case refrigeration system demand</t>
  </si>
  <si>
    <t>Energy efficiency ratio of case refrigeration system</t>
  </si>
  <si>
    <t>kBtu/ kWh</t>
  </si>
  <si>
    <r>
      <t>HOU</t>
    </r>
    <r>
      <rPr>
        <vertAlign val="subscript"/>
        <sz val="10.5"/>
        <color theme="1"/>
        <rFont val="Calibri"/>
        <family val="2"/>
        <scheme val="minor"/>
      </rPr>
      <t>year</t>
    </r>
  </si>
  <si>
    <r>
      <t>WH</t>
    </r>
    <r>
      <rPr>
        <vertAlign val="subscript"/>
        <sz val="10.5"/>
        <color theme="1"/>
        <rFont val="Calibri"/>
        <family val="2"/>
        <scheme val="minor"/>
      </rPr>
      <t>C,D</t>
    </r>
  </si>
  <si>
    <r>
      <t>WH</t>
    </r>
    <r>
      <rPr>
        <vertAlign val="subscript"/>
        <sz val="10.5"/>
        <color theme="1"/>
        <rFont val="Calibri"/>
        <family val="2"/>
        <scheme val="minor"/>
      </rPr>
      <t>C,E</t>
    </r>
  </si>
  <si>
    <r>
      <t>WH</t>
    </r>
    <r>
      <rPr>
        <vertAlign val="subscript"/>
        <sz val="10.5"/>
        <color theme="1"/>
        <rFont val="Calibri"/>
        <family val="2"/>
        <scheme val="minor"/>
      </rPr>
      <t>R,D</t>
    </r>
  </si>
  <si>
    <r>
      <t>WH</t>
    </r>
    <r>
      <rPr>
        <vertAlign val="subscript"/>
        <sz val="10.5"/>
        <color theme="1"/>
        <rFont val="Calibri"/>
        <family val="2"/>
        <scheme val="minor"/>
      </rPr>
      <t>R,E</t>
    </r>
  </si>
  <si>
    <r>
      <rPr>
        <vertAlign val="superscript"/>
        <sz val="9"/>
        <color theme="1"/>
        <rFont val="Calibri"/>
        <family val="2"/>
        <scheme val="minor"/>
      </rPr>
      <t>1</t>
    </r>
    <r>
      <rPr>
        <sz val="9"/>
        <color theme="1"/>
        <rFont val="Calibri"/>
        <family val="2"/>
        <scheme val="minor"/>
      </rPr>
      <t xml:space="preserve"> Regional Technical Forum. Commercial Grocery Display Case Lighting - Unit Energy Savings Workbook, Version 1.1. Northwest Power and Conservation Council. Oct. 1, 2018. Spreadsheet.</t>
    </r>
  </si>
  <si>
    <r>
      <t>Adjustment of AEG's general lighting CF for the Grocery segment by ratio of HOU</t>
    </r>
    <r>
      <rPr>
        <vertAlign val="subscript"/>
        <sz val="10.5"/>
        <color theme="1"/>
        <rFont val="Calibri"/>
        <family val="2"/>
        <scheme val="minor"/>
      </rPr>
      <t>refrig_case</t>
    </r>
    <r>
      <rPr>
        <sz val="10.5"/>
        <color theme="1"/>
        <rFont val="Calibri"/>
        <family val="2"/>
        <scheme val="minor"/>
      </rPr>
      <t>/HOU</t>
    </r>
    <r>
      <rPr>
        <vertAlign val="subscript"/>
        <sz val="10.5"/>
        <color theme="1"/>
        <rFont val="Calibri"/>
        <family val="2"/>
        <scheme val="minor"/>
      </rPr>
      <t>gen_grocery_light</t>
    </r>
  </si>
  <si>
    <r>
      <t>No change from PY18 TRM</t>
    </r>
    <r>
      <rPr>
        <vertAlign val="superscript"/>
        <sz val="10.5"/>
        <color theme="1"/>
        <rFont val="Calibri"/>
        <family val="2"/>
        <scheme val="minor"/>
      </rPr>
      <t>2</t>
    </r>
  </si>
  <si>
    <r>
      <rPr>
        <vertAlign val="superscript"/>
        <sz val="9"/>
        <color theme="1"/>
        <rFont val="Calibri"/>
        <family val="2"/>
        <scheme val="minor"/>
      </rPr>
      <t>2</t>
    </r>
    <r>
      <rPr>
        <sz val="9"/>
        <color theme="1"/>
        <rFont val="Calibri"/>
        <family val="2"/>
        <scheme val="minor"/>
      </rPr>
      <t xml:space="preserve"> The original source is Theobald, M. A., Emerging Technologies Program: Application Assessment Report #0608, LED Supermarket Case Lighting Grocery Store, Northern California, Pacific Gas and Electric Company, January 2006. Assumes refrigerated case lighting typically operates 17 hours per day, 365 days per year. Benchmarking results indicate that refrigerated case lighting is not tied to general store lighting.</t>
    </r>
  </si>
  <si>
    <t>Waste heat factor due to lighting interaction with building space cooling system energy use</t>
  </si>
  <si>
    <t>Waste heat factor due to lighting interaction with case refrigeration system energy use</t>
  </si>
  <si>
    <t>From C_Light_General tab, Table 4</t>
  </si>
  <si>
    <r>
      <t>See Equation 8; assumes 50% of lighting impacts general space cooling demand</t>
    </r>
    <r>
      <rPr>
        <vertAlign val="superscript"/>
        <sz val="10.5"/>
        <color theme="1"/>
        <rFont val="Calibri"/>
        <family val="2"/>
        <scheme val="minor"/>
      </rPr>
      <t>4</t>
    </r>
  </si>
  <si>
    <r>
      <t>See Equation 9; assumes 50% of lighting impacts general space cooling energy use</t>
    </r>
    <r>
      <rPr>
        <vertAlign val="superscript"/>
        <sz val="10.5"/>
        <color theme="1"/>
        <rFont val="Calibri"/>
        <family val="2"/>
        <scheme val="minor"/>
      </rPr>
      <t>4</t>
    </r>
  </si>
  <si>
    <r>
      <t>Assumes 50% of lighting impacts case refrigeration demand</t>
    </r>
    <r>
      <rPr>
        <vertAlign val="superscript"/>
        <sz val="10.5"/>
        <color theme="1"/>
        <rFont val="Calibri"/>
        <family val="2"/>
        <scheme val="minor"/>
      </rPr>
      <t>4</t>
    </r>
  </si>
  <si>
    <r>
      <t>Assumes 50% of lighting impacts case refrigeration energy use</t>
    </r>
    <r>
      <rPr>
        <vertAlign val="superscript"/>
        <sz val="10.5"/>
        <color theme="1"/>
        <rFont val="Calibri"/>
        <family val="2"/>
        <scheme val="minor"/>
      </rPr>
      <t>4</t>
    </r>
  </si>
  <si>
    <r>
      <t>From RTF 2018</t>
    </r>
    <r>
      <rPr>
        <vertAlign val="superscript"/>
        <sz val="10.5"/>
        <color theme="1"/>
        <rFont val="Calibri"/>
        <family val="2"/>
        <scheme val="minor"/>
      </rPr>
      <t>1</t>
    </r>
  </si>
  <si>
    <r>
      <t>Per Equation 7, assumes 1/3 EUL</t>
    </r>
    <r>
      <rPr>
        <vertAlign val="subscript"/>
        <sz val="10.5"/>
        <color theme="1"/>
        <rFont val="Calibri"/>
        <family val="2"/>
        <scheme val="minor"/>
      </rPr>
      <t>pre-existing</t>
    </r>
    <r>
      <rPr>
        <sz val="10.5"/>
        <color theme="1"/>
        <rFont val="Calibri"/>
        <family val="2"/>
        <scheme val="minor"/>
      </rPr>
      <t>, rounded to nearest year</t>
    </r>
  </si>
  <si>
    <t>Assumes lamp life of 24,000 hours</t>
  </si>
  <si>
    <t>Assumes lamp life of 50,000 hours</t>
  </si>
  <si>
    <r>
      <t>kW</t>
    </r>
    <r>
      <rPr>
        <b/>
        <vertAlign val="subscript"/>
        <sz val="10.5"/>
        <color theme="1"/>
        <rFont val="Calibri"/>
        <family val="2"/>
        <scheme val="minor"/>
      </rPr>
      <t>EE</t>
    </r>
  </si>
  <si>
    <r>
      <t>kW</t>
    </r>
    <r>
      <rPr>
        <b/>
        <vertAlign val="subscript"/>
        <sz val="10.5"/>
        <color theme="1"/>
        <rFont val="Calibri"/>
        <family val="2"/>
        <scheme val="minor"/>
      </rPr>
      <t>base,2</t>
    </r>
  </si>
  <si>
    <r>
      <t>kW</t>
    </r>
    <r>
      <rPr>
        <b/>
        <vertAlign val="subscript"/>
        <sz val="10.5"/>
        <color theme="1"/>
        <rFont val="Calibri"/>
        <family val="2"/>
        <scheme val="minor"/>
      </rPr>
      <t>base,1</t>
    </r>
  </si>
  <si>
    <r>
      <t>Manufacturer catalogs; includes ballast power factor of 0.98 for T8 and 0.90 for T12, as cited in RTF 2018 workbook</t>
    </r>
    <r>
      <rPr>
        <vertAlign val="superscript"/>
        <sz val="10.5"/>
        <color theme="1"/>
        <rFont val="Calibri"/>
        <family val="2"/>
        <scheme val="minor"/>
      </rPr>
      <t>1</t>
    </r>
  </si>
  <si>
    <r>
      <t>Manufacturer catalogs; includes ballast power factor of 0.98 for T8, as cited in RTF 2018 workbook</t>
    </r>
    <r>
      <rPr>
        <vertAlign val="superscript"/>
        <sz val="10.5"/>
        <color theme="1"/>
        <rFont val="Calibri"/>
        <family val="2"/>
        <scheme val="minor"/>
      </rPr>
      <t>1</t>
    </r>
  </si>
  <si>
    <t>Table 1. Measure Descriptions: Wattages</t>
  </si>
  <si>
    <t>Table 2. Waste Heat Factors for Refrigeration</t>
  </si>
  <si>
    <t>Case Type</t>
  </si>
  <si>
    <t>Medium Temperature (Refrigerators/Coolers)</t>
  </si>
  <si>
    <t>Low Temperature (Freezers)</t>
  </si>
  <si>
    <t>Medium Temperature (Refrigerators/ Coolers)</t>
  </si>
  <si>
    <r>
      <t>WH</t>
    </r>
    <r>
      <rPr>
        <b/>
        <vertAlign val="subscript"/>
        <sz val="10.5"/>
        <color theme="1"/>
        <rFont val="Calibri"/>
        <family val="2"/>
        <scheme val="minor"/>
      </rPr>
      <t>R,D</t>
    </r>
  </si>
  <si>
    <r>
      <t>EER</t>
    </r>
    <r>
      <rPr>
        <b/>
        <vertAlign val="subscript"/>
        <sz val="10.5"/>
        <color theme="1"/>
        <rFont val="Calibri"/>
        <family val="2"/>
        <scheme val="minor"/>
      </rPr>
      <t>R</t>
    </r>
    <r>
      <rPr>
        <b/>
        <vertAlign val="superscript"/>
        <sz val="10.5"/>
        <color theme="1"/>
        <rFont val="Calibri"/>
        <family val="2"/>
        <scheme val="minor"/>
      </rPr>
      <t>1</t>
    </r>
  </si>
  <si>
    <r>
      <t>WH</t>
    </r>
    <r>
      <rPr>
        <b/>
        <vertAlign val="subscript"/>
        <sz val="10.5"/>
        <color theme="1"/>
        <rFont val="Calibri"/>
        <family val="2"/>
        <scheme val="minor"/>
      </rPr>
      <t>R,E</t>
    </r>
    <r>
      <rPr>
        <b/>
        <vertAlign val="superscript"/>
        <sz val="10.5"/>
        <color theme="1"/>
        <rFont val="Calibri"/>
        <family val="2"/>
        <scheme val="minor"/>
      </rPr>
      <t>2</t>
    </r>
  </si>
  <si>
    <t>Lifetime Savings: Early Replacement, Dual Baseline</t>
  </si>
  <si>
    <t>Lifetime Savings: Replace on Burnout, Single Baseline</t>
  </si>
  <si>
    <t>California Public Utilities Commission, Database of Energy Efficiency Resources, 2020 update, (DEER2020), READI v.2.5.0, Ex Ante Database Support Table Export, EUL_basis, created on 8/24/2018, available here: www.deeresources.com/index.php/homepage. Spreadsheet.</t>
  </si>
  <si>
    <t xml:space="preserve">Theobald, M. A., Emerging Technologies Program: Application Assessment Report #0608, LED Supermarket Case Lighting Grocery Store, Northern California, Pacific Gas and Electric Company, January 2006. </t>
  </si>
  <si>
    <t xml:space="preserve">Department of Energy, TSD for Commercial Refrigeration, Table 5.6.1. "Fraction of lighting power into case for lighting outside of air curtain (W/W)" (https://www1.eere.energy.gov/buildings/appliance_standards/pdfs/cre2_nopr_tsd_2013_08_28.pdf). </t>
  </si>
  <si>
    <r>
      <rPr>
        <vertAlign val="superscript"/>
        <sz val="9"/>
        <color theme="1"/>
        <rFont val="Calibri"/>
        <family val="2"/>
        <scheme val="minor"/>
      </rPr>
      <t>2</t>
    </r>
    <r>
      <rPr>
        <sz val="9"/>
        <color theme="1"/>
        <rFont val="Calibri"/>
        <family val="2"/>
        <scheme val="minor"/>
      </rPr>
      <t xml:space="preserve"> Assume the energy and demand waste heat factors for refrigeration are equivalent. This is consistent with other sources reviewed.</t>
    </r>
  </si>
  <si>
    <t>Peer Program</t>
  </si>
  <si>
    <t>The Description says the reports are monthly. The Program Criteria is incorrect (has information for solar WH tune-ups). Update text, but not savings.</t>
  </si>
  <si>
    <t>Cadmus and Opinion Dynamics. Showerhead and Faucet Aerator Meter Study. Memorandum prepared for Michigan Evaluation Working Group. 2013.</t>
  </si>
  <si>
    <r>
      <t>AEG 2018 Analysis</t>
    </r>
    <r>
      <rPr>
        <vertAlign val="superscript"/>
        <sz val="10"/>
        <color theme="1"/>
        <rFont val="Calibri"/>
        <family val="2"/>
        <scheme val="minor"/>
      </rPr>
      <t>1</t>
    </r>
  </si>
  <si>
    <r>
      <t>DEER 2020</t>
    </r>
    <r>
      <rPr>
        <vertAlign val="superscript"/>
        <sz val="10"/>
        <color theme="1"/>
        <rFont val="Calibri"/>
        <family val="2"/>
        <scheme val="minor"/>
      </rPr>
      <t>2</t>
    </r>
  </si>
  <si>
    <r>
      <t>Depends on HOU</t>
    </r>
    <r>
      <rPr>
        <vertAlign val="superscript"/>
        <sz val="10"/>
        <color theme="1"/>
        <rFont val="Calibri"/>
        <family val="2"/>
        <scheme val="minor"/>
      </rPr>
      <t>3</t>
    </r>
  </si>
  <si>
    <r>
      <rPr>
        <vertAlign val="superscript"/>
        <sz val="9"/>
        <color theme="1"/>
        <rFont val="Calibri"/>
        <family val="2"/>
        <scheme val="minor"/>
      </rPr>
      <t>1</t>
    </r>
    <r>
      <rPr>
        <sz val="9"/>
        <color theme="1"/>
        <rFont val="Calibri"/>
        <family val="2"/>
        <scheme val="minor"/>
      </rPr>
      <t xml:space="preserve"> AEG 2018 Analysis:</t>
    </r>
  </si>
  <si>
    <r>
      <rPr>
        <vertAlign val="superscript"/>
        <sz val="9"/>
        <color theme="1"/>
        <rFont val="Calibri"/>
        <family val="2"/>
        <scheme val="minor"/>
      </rPr>
      <t>2</t>
    </r>
    <r>
      <rPr>
        <sz val="9"/>
        <color theme="1"/>
        <rFont val="Calibri"/>
        <family val="2"/>
        <scheme val="minor"/>
      </rPr>
      <t xml:space="preserve"> DEER 2020: EUL was verified/updated to DEER 2020 value.</t>
    </r>
  </si>
  <si>
    <r>
      <rPr>
        <vertAlign val="superscript"/>
        <sz val="9"/>
        <color theme="1"/>
        <rFont val="Calibri"/>
        <family val="2"/>
        <scheme val="minor"/>
      </rPr>
      <t>3</t>
    </r>
    <r>
      <rPr>
        <sz val="9"/>
        <color theme="1"/>
        <rFont val="Calibri"/>
        <family val="2"/>
        <scheme val="minor"/>
      </rPr>
      <t xml:space="preserve"> Depends on HOU: EUL depends on the rated lamp life and HOU for each specific building type.</t>
    </r>
  </si>
  <si>
    <r>
      <t>= [(%</t>
    </r>
    <r>
      <rPr>
        <vertAlign val="subscript"/>
        <sz val="10.5"/>
        <color theme="1"/>
        <rFont val="Calibri"/>
        <family val="2"/>
        <scheme val="minor"/>
      </rPr>
      <t>.low</t>
    </r>
    <r>
      <rPr>
        <sz val="10.5"/>
        <color theme="1"/>
        <rFont val="Calibri"/>
        <family val="2"/>
        <scheme val="minor"/>
      </rPr>
      <t xml:space="preserve"> *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.d</t>
    </r>
    <r>
      <rPr>
        <sz val="10.5"/>
        <color theme="1"/>
        <rFont val="Calibri"/>
        <family val="2"/>
        <scheme val="minor"/>
      </rPr>
      <t>)] * CF</t>
    </r>
  </si>
  <si>
    <r>
      <t>= [(%</t>
    </r>
    <r>
      <rPr>
        <vertAlign val="subscript"/>
        <sz val="10.5"/>
        <color theme="1"/>
        <rFont val="Calibri"/>
        <family val="2"/>
        <scheme val="minor"/>
      </rPr>
      <t xml:space="preserve">.low </t>
    </r>
    <r>
      <rPr>
        <sz val="10.5"/>
        <color theme="1"/>
        <rFont val="Calibri"/>
        <family val="2"/>
        <scheme val="minor"/>
      </rPr>
      <t>* (Low</t>
    </r>
    <r>
      <rPr>
        <vertAlign val="subscript"/>
        <sz val="10.5"/>
        <color theme="1"/>
        <rFont val="Calibri"/>
        <family val="2"/>
        <scheme val="minor"/>
      </rPr>
      <t xml:space="preserve">.kW,base </t>
    </r>
    <r>
      <rPr>
        <sz val="10.5"/>
        <color theme="1"/>
        <rFont val="Calibri"/>
        <family val="2"/>
        <scheme val="minor"/>
      </rPr>
      <t>- Low</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.med </t>
    </r>
    <r>
      <rPr>
        <sz val="10.5"/>
        <color theme="1"/>
        <rFont val="Calibri"/>
        <family val="2"/>
        <scheme val="minor"/>
      </rPr>
      <t>* (Med</t>
    </r>
    <r>
      <rPr>
        <vertAlign val="subscript"/>
        <sz val="10.5"/>
        <color theme="1"/>
        <rFont val="Calibri"/>
        <family val="2"/>
        <scheme val="minor"/>
      </rPr>
      <t xml:space="preserve">.kW,base </t>
    </r>
    <r>
      <rPr>
        <sz val="10.5"/>
        <color theme="1"/>
        <rFont val="Calibri"/>
        <family val="2"/>
        <scheme val="minor"/>
      </rPr>
      <t>- Med</t>
    </r>
    <r>
      <rPr>
        <vertAlign val="subscript"/>
        <sz val="10.5"/>
        <color theme="1"/>
        <rFont val="Calibri"/>
        <family val="2"/>
        <scheme val="minor"/>
      </rPr>
      <t>.kW,ee</t>
    </r>
    <r>
      <rPr>
        <sz val="10.5"/>
        <color theme="1"/>
        <rFont val="Calibri"/>
        <family val="2"/>
        <scheme val="minor"/>
      </rPr>
      <t>) + %</t>
    </r>
    <r>
      <rPr>
        <vertAlign val="subscript"/>
        <sz val="10.5"/>
        <color theme="1"/>
        <rFont val="Calibri"/>
        <family val="2"/>
        <scheme val="minor"/>
      </rPr>
      <t xml:space="preserve">.high </t>
    </r>
    <r>
      <rPr>
        <sz val="10.5"/>
        <color theme="1"/>
        <rFont val="Calibri"/>
        <family val="2"/>
        <scheme val="minor"/>
      </rPr>
      <t>* (High</t>
    </r>
    <r>
      <rPr>
        <vertAlign val="subscript"/>
        <sz val="10.5"/>
        <color theme="1"/>
        <rFont val="Calibri"/>
        <family val="2"/>
        <scheme val="minor"/>
      </rPr>
      <t xml:space="preserve">.kW,base </t>
    </r>
    <r>
      <rPr>
        <sz val="10.5"/>
        <color theme="1"/>
        <rFont val="Calibri"/>
        <family val="2"/>
        <scheme val="minor"/>
      </rPr>
      <t>- High</t>
    </r>
    <r>
      <rPr>
        <vertAlign val="subscript"/>
        <sz val="10.5"/>
        <color theme="1"/>
        <rFont val="Calibri"/>
        <family val="2"/>
        <scheme val="minor"/>
      </rPr>
      <t>.kW,ee</t>
    </r>
    <r>
      <rPr>
        <sz val="10.5"/>
        <color theme="1"/>
        <rFont val="Calibri"/>
        <family val="2"/>
        <scheme val="minor"/>
      </rPr>
      <t>)) * HRS</t>
    </r>
    <r>
      <rPr>
        <vertAlign val="subscript"/>
        <sz val="10.5"/>
        <color theme="1"/>
        <rFont val="Calibri"/>
        <family val="2"/>
        <scheme val="minor"/>
      </rPr>
      <t xml:space="preserve">.fan </t>
    </r>
    <r>
      <rPr>
        <sz val="10.5"/>
        <color theme="1"/>
        <rFont val="Calibri"/>
        <family val="2"/>
        <scheme val="minor"/>
      </rPr>
      <t>+ ((Inc</t>
    </r>
    <r>
      <rPr>
        <vertAlign val="subscript"/>
        <sz val="10.5"/>
        <color theme="1"/>
        <rFont val="Calibri"/>
        <family val="2"/>
        <scheme val="minor"/>
      </rPr>
      <t xml:space="preserve">.kW </t>
    </r>
    <r>
      <rPr>
        <sz val="10.5"/>
        <color theme="1"/>
        <rFont val="Calibri"/>
        <family val="2"/>
        <scheme val="minor"/>
      </rPr>
      <t>- CFL</t>
    </r>
    <r>
      <rPr>
        <vertAlign val="subscript"/>
        <sz val="10.5"/>
        <color theme="1"/>
        <rFont val="Calibri"/>
        <family val="2"/>
        <scheme val="minor"/>
      </rPr>
      <t>.kW</t>
    </r>
    <r>
      <rPr>
        <sz val="10.5"/>
        <color theme="1"/>
        <rFont val="Calibri"/>
        <family val="2"/>
        <scheme val="minor"/>
      </rPr>
      <t>) * WHF</t>
    </r>
    <r>
      <rPr>
        <vertAlign val="subscript"/>
        <sz val="10.5"/>
        <color theme="1"/>
        <rFont val="Calibri"/>
        <family val="2"/>
        <scheme val="minor"/>
      </rPr>
      <t>.e</t>
    </r>
    <r>
      <rPr>
        <sz val="10.5"/>
        <color theme="1"/>
        <rFont val="Calibri"/>
        <family val="2"/>
        <scheme val="minor"/>
      </rPr>
      <t>) * HRS</t>
    </r>
    <r>
      <rPr>
        <vertAlign val="subscript"/>
        <sz val="10.5"/>
        <color theme="1"/>
        <rFont val="Calibri"/>
        <family val="2"/>
        <scheme val="minor"/>
      </rPr>
      <t>.light</t>
    </r>
    <r>
      <rPr>
        <sz val="10.5"/>
        <color theme="1"/>
        <rFont val="Calibri"/>
        <family val="2"/>
        <scheme val="minor"/>
      </rPr>
      <t>] * CF</t>
    </r>
  </si>
  <si>
    <r>
      <t>= PF x [(Watts</t>
    </r>
    <r>
      <rPr>
        <vertAlign val="subscript"/>
        <sz val="10.5"/>
        <color theme="1"/>
        <rFont val="Calibri"/>
        <family val="2"/>
        <scheme val="minor"/>
      </rPr>
      <t>_bs,active</t>
    </r>
    <r>
      <rPr>
        <sz val="10.5"/>
        <color theme="1"/>
        <rFont val="Calibri"/>
        <family val="2"/>
        <scheme val="minor"/>
      </rPr>
      <t xml:space="preserve"> - Watts</t>
    </r>
    <r>
      <rPr>
        <vertAlign val="subscript"/>
        <sz val="10.5"/>
        <color theme="1"/>
        <rFont val="Calibri"/>
        <family val="2"/>
        <scheme val="minor"/>
      </rPr>
      <t>_ee,active</t>
    </r>
    <r>
      <rPr>
        <sz val="10.5"/>
        <color theme="1"/>
        <rFont val="Calibri"/>
        <family val="2"/>
        <scheme val="minor"/>
      </rPr>
      <t>) /1000] x CF</t>
    </r>
  </si>
  <si>
    <r>
      <t>= PF x {[(Watts</t>
    </r>
    <r>
      <rPr>
        <vertAlign val="subscript"/>
        <sz val="10.5"/>
        <color theme="1"/>
        <rFont val="Calibri"/>
        <family val="2"/>
        <scheme val="minor"/>
      </rPr>
      <t xml:space="preserve">_bs,active </t>
    </r>
    <r>
      <rPr>
        <sz val="10.5"/>
        <color theme="1"/>
        <rFont val="Calibri"/>
        <family val="2"/>
        <scheme val="minor"/>
      </rPr>
      <t>- Watts</t>
    </r>
    <r>
      <rPr>
        <vertAlign val="subscript"/>
        <sz val="10.5"/>
        <color theme="1"/>
        <rFont val="Calibri"/>
        <family val="2"/>
        <scheme val="minor"/>
      </rPr>
      <t>_ee,active</t>
    </r>
    <r>
      <rPr>
        <sz val="10.5"/>
        <color theme="1"/>
        <rFont val="Calibri"/>
        <family val="2"/>
        <scheme val="minor"/>
      </rPr>
      <t>) * HRS</t>
    </r>
    <r>
      <rPr>
        <vertAlign val="subscript"/>
        <sz val="10.5"/>
        <color theme="1"/>
        <rFont val="Calibri"/>
        <family val="2"/>
        <scheme val="minor"/>
      </rPr>
      <t>_active</t>
    </r>
    <r>
      <rPr>
        <sz val="10.5"/>
        <color theme="1"/>
        <rFont val="Calibri"/>
        <family val="2"/>
        <scheme val="minor"/>
      </rPr>
      <t>] + [Watts</t>
    </r>
    <r>
      <rPr>
        <vertAlign val="subscript"/>
        <sz val="10.5"/>
        <color theme="1"/>
        <rFont val="Calibri"/>
        <family val="2"/>
        <scheme val="minor"/>
      </rPr>
      <t xml:space="preserve">_bs,idle </t>
    </r>
    <r>
      <rPr>
        <sz val="10.5"/>
        <color theme="1"/>
        <rFont val="Calibri"/>
        <family val="2"/>
        <scheme val="minor"/>
      </rPr>
      <t>- Watts</t>
    </r>
    <r>
      <rPr>
        <vertAlign val="subscript"/>
        <sz val="10.5"/>
        <color theme="1"/>
        <rFont val="Calibri"/>
        <family val="2"/>
        <scheme val="minor"/>
      </rPr>
      <t>_ee,idle</t>
    </r>
    <r>
      <rPr>
        <sz val="10.5"/>
        <color theme="1"/>
        <rFont val="Calibri"/>
        <family val="2"/>
        <scheme val="minor"/>
      </rPr>
      <t>) * HRS</t>
    </r>
    <r>
      <rPr>
        <vertAlign val="subscript"/>
        <sz val="10.5"/>
        <color theme="1"/>
        <rFont val="Calibri"/>
        <family val="2"/>
        <scheme val="minor"/>
      </rPr>
      <t>_idle</t>
    </r>
    <r>
      <rPr>
        <sz val="10.5"/>
        <color theme="1"/>
        <rFont val="Calibri"/>
        <family val="2"/>
        <scheme val="minor"/>
      </rPr>
      <t>] + [Watts</t>
    </r>
    <r>
      <rPr>
        <vertAlign val="subscript"/>
        <sz val="10.5"/>
        <color theme="1"/>
        <rFont val="Calibri"/>
        <family val="2"/>
        <scheme val="minor"/>
      </rPr>
      <t xml:space="preserve">_bs,sleep </t>
    </r>
    <r>
      <rPr>
        <sz val="10.5"/>
        <color theme="1"/>
        <rFont val="Calibri"/>
        <family val="2"/>
        <scheme val="minor"/>
      </rPr>
      <t>- Watts</t>
    </r>
    <r>
      <rPr>
        <vertAlign val="subscript"/>
        <sz val="10.5"/>
        <color theme="1"/>
        <rFont val="Calibri"/>
        <family val="2"/>
        <scheme val="minor"/>
      </rPr>
      <t>_ee,sleep</t>
    </r>
    <r>
      <rPr>
        <sz val="10.5"/>
        <color theme="1"/>
        <rFont val="Calibri"/>
        <family val="2"/>
        <scheme val="minor"/>
      </rPr>
      <t>) * HRS</t>
    </r>
    <r>
      <rPr>
        <vertAlign val="subscript"/>
        <sz val="10.5"/>
        <color theme="1"/>
        <rFont val="Calibri"/>
        <family val="2"/>
        <scheme val="minor"/>
      </rPr>
      <t>_sleep</t>
    </r>
    <r>
      <rPr>
        <sz val="10.5"/>
        <color theme="1"/>
        <rFont val="Calibri"/>
        <family val="2"/>
        <scheme val="minor"/>
      </rPr>
      <t>]}/1000</t>
    </r>
  </si>
  <si>
    <r>
      <t>ENERGY STAR certified electric clothes dryer ≥ 4.4 ft</t>
    </r>
    <r>
      <rPr>
        <vertAlign val="superscript"/>
        <sz val="11"/>
        <color theme="1"/>
        <rFont val="Calibri"/>
        <family val="2"/>
        <scheme val="minor"/>
      </rPr>
      <t>3</t>
    </r>
  </si>
  <si>
    <t>COMMERCIAL: VFD Pool Pump</t>
  </si>
  <si>
    <t>The qualified efficiency table includes motors that are 1-200 hp NEMA Design A/B, 460 volts, TEFC or ODP, and 1200 rpm, 1800 rpm, or 3600 rpm.</t>
  </si>
  <si>
    <t>1. Refrigeration ECM values are savings per rated motor W</t>
  </si>
  <si>
    <r>
      <t xml:space="preserve">ECM motor-refrigeration </t>
    </r>
    <r>
      <rPr>
        <vertAlign val="superscript"/>
        <sz val="10.5"/>
        <color theme="1"/>
        <rFont val="Calibri"/>
        <family val="2"/>
        <scheme val="minor"/>
      </rPr>
      <t>1</t>
    </r>
  </si>
  <si>
    <t>1. For ECM in refrigeration, demand (W) and energy consumption values (kWh) are expressed per rated W.  Presumably, this means for every rated W of ECM motor, an equivalent Shaded Pole motor draws 2 W.
For ECM in a fan coil unit, demand (W) and energy consumption (kWh) values are gross for an assumed motor.</t>
  </si>
  <si>
    <t>Savings factor for connected equipment</t>
  </si>
  <si>
    <t>Rated power of connected equipment</t>
  </si>
  <si>
    <t>inches/ft</t>
  </si>
  <si>
    <t>Lamp Life/6205</t>
  </si>
  <si>
    <r>
      <t>Cooking Energy Efficiency (</t>
    </r>
    <r>
      <rPr>
        <sz val="10.5"/>
        <color theme="1"/>
        <rFont val="Calibri"/>
        <family val="2"/>
      </rPr>
      <t>η_cook)</t>
    </r>
  </si>
  <si>
    <t>Equipment life:</t>
  </si>
  <si>
    <t>Check consistency/links between Master EUL table and individual measure entries.</t>
  </si>
  <si>
    <t>This measure applies to existing buildings. New construction is not eligible because the current ANSI/ASHRAE/IES Standard 90.1 requires that stairwell lighting be controlled so that lighting power can be reduced by at least 50% within 30 minutes of the stairwell space becoming unoccupied.</t>
  </si>
  <si>
    <t>Ultrasonic and infrared sensors are eligible. Lighting must be ENERGY STAR labeled or Design Lights Consortium (DLC) listed and UL compliant.</t>
  </si>
  <si>
    <t>First Baseline Annual Energy Savings, kWh/yr</t>
  </si>
  <si>
    <t>Second Baseline Annual Energy Savings, kWh/yr</t>
  </si>
  <si>
    <t>Annual Energy Savings, kWh/yr</t>
  </si>
  <si>
    <r>
      <t>kW</t>
    </r>
    <r>
      <rPr>
        <vertAlign val="subscript"/>
        <sz val="10.5"/>
        <color theme="1"/>
        <rFont val="Calibri"/>
        <family val="2"/>
        <scheme val="minor"/>
      </rPr>
      <t>base</t>
    </r>
  </si>
  <si>
    <r>
      <t>kW</t>
    </r>
    <r>
      <rPr>
        <vertAlign val="subscript"/>
        <sz val="10.5"/>
        <color theme="1"/>
        <rFont val="Calibri"/>
        <family val="2"/>
        <scheme val="minor"/>
      </rPr>
      <t>EE,dim</t>
    </r>
  </si>
  <si>
    <r>
      <t>kW</t>
    </r>
    <r>
      <rPr>
        <vertAlign val="subscript"/>
        <sz val="10.5"/>
        <color theme="1"/>
        <rFont val="Calibri"/>
        <family val="2"/>
        <scheme val="minor"/>
      </rPr>
      <t>EE,full</t>
    </r>
  </si>
  <si>
    <t>kW load of stairwell fixture in full power mode when occupied</t>
  </si>
  <si>
    <t>Fraction of time stairwell fixture is in dim or low level mode when unoccupied</t>
  </si>
  <si>
    <t>Fraction of time stairwell fixture is in full power mode when occupied</t>
  </si>
  <si>
    <t>Hours of use per year</t>
  </si>
  <si>
    <t>Assumes stairwell lighting must remain on 24 hr/day, 365 day/yr; value is consistent with AEG's Fall 2018 Benchmarking results</t>
  </si>
  <si>
    <t>Assumes that occupancy patterns during peak hours of 5-9 PM are consistent (on average) with occupancy during the rest of the day</t>
  </si>
  <si>
    <t>Assumes negligible interaction with cooling equipment; conservative assumption, but reasonable since not all stairwells are conditioned</t>
  </si>
  <si>
    <t xml:space="preserve">Assumes installations will be verified </t>
  </si>
  <si>
    <t>Assumes that savings persistence is accounted for in the EUL</t>
  </si>
  <si>
    <r>
      <t>AEG's Fall 2018 Benchmarking</t>
    </r>
    <r>
      <rPr>
        <vertAlign val="superscript"/>
        <sz val="10.5"/>
        <color theme="1"/>
        <rFont val="Calibri"/>
        <family val="2"/>
        <scheme val="minor"/>
      </rPr>
      <t>1</t>
    </r>
  </si>
  <si>
    <t>Fixture Type</t>
  </si>
  <si>
    <t>F32T8</t>
  </si>
  <si>
    <t>Note: Entries in red are for illustrative purposes only</t>
  </si>
  <si>
    <r>
      <t>kW</t>
    </r>
    <r>
      <rPr>
        <vertAlign val="subscript"/>
        <sz val="10.5"/>
        <color theme="1"/>
        <rFont val="Calibri"/>
        <family val="2"/>
        <scheme val="minor"/>
      </rPr>
      <t>base</t>
    </r>
    <r>
      <rPr>
        <sz val="10.5"/>
        <color theme="1"/>
        <rFont val="Calibri"/>
        <family val="2"/>
        <scheme val="minor"/>
      </rPr>
      <t xml:space="preserve"> =</t>
    </r>
  </si>
  <si>
    <t>Full Power Mode Wattage, kW</t>
  </si>
  <si>
    <t>Low Power Mode Wattage, kW</t>
  </si>
  <si>
    <r>
      <t>kW</t>
    </r>
    <r>
      <rPr>
        <vertAlign val="subscript"/>
        <sz val="10.5"/>
        <color theme="1"/>
        <rFont val="Calibri"/>
        <family val="2"/>
        <scheme val="minor"/>
      </rPr>
      <t>EE,full</t>
    </r>
    <r>
      <rPr>
        <sz val="10.5"/>
        <color theme="1"/>
        <rFont val="Calibri"/>
        <family val="2"/>
        <scheme val="minor"/>
      </rPr>
      <t xml:space="preserve"> =</t>
    </r>
  </si>
  <si>
    <r>
      <t>kW</t>
    </r>
    <r>
      <rPr>
        <vertAlign val="subscript"/>
        <sz val="10.5"/>
        <color theme="1"/>
        <rFont val="Calibri"/>
        <family val="2"/>
        <scheme val="minor"/>
      </rPr>
      <t>EE,dim</t>
    </r>
    <r>
      <rPr>
        <sz val="10.5"/>
        <color theme="1"/>
        <rFont val="Calibri"/>
        <family val="2"/>
        <scheme val="minor"/>
      </rPr>
      <t xml:space="preserve"> =</t>
    </r>
  </si>
  <si>
    <t>Stairwell Bi-Level Dimming</t>
  </si>
  <si>
    <t>Effective useful life of measure</t>
  </si>
  <si>
    <t>Effective useful life of LED</t>
  </si>
  <si>
    <t>Baseline kW load of continuous operation stairwell fixtures</t>
  </si>
  <si>
    <t>kW load of stairwell fixtures in dim or low level mode when unoccupied</t>
  </si>
  <si>
    <t>This is calculated based on user input of fixture wattages and fixture quantities</t>
  </si>
  <si>
    <t>This is calculated based on user input of fixture wattages in low power mode and fixture quantities</t>
  </si>
  <si>
    <t>This is calculated based on user input of fixture wattages in full power mode and fixture quantities</t>
  </si>
  <si>
    <t>Semi-Prescriptive Savings Calculator (based on user input of fixture wattages and quantities)</t>
  </si>
  <si>
    <t>1. Enter Baseline Fixture Wattage and Quantity (up to 3 types of fixtures)</t>
  </si>
  <si>
    <t>2. Enter Energy Efficient Fixture Wattages and Quantity (up to 3 types of fixtures)</t>
  </si>
  <si>
    <r>
      <rPr>
        <vertAlign val="superscript"/>
        <sz val="9"/>
        <color theme="1"/>
        <rFont val="Calibri"/>
        <family val="2"/>
        <scheme val="minor"/>
      </rPr>
      <t>1</t>
    </r>
    <r>
      <rPr>
        <sz val="9"/>
        <color theme="1"/>
        <rFont val="Calibri"/>
        <family val="2"/>
        <scheme val="minor"/>
      </rPr>
      <t xml:space="preserve"> Benchmarking yielded a median value of 79% for the percentage of time stairwells with bi-level occupancy control are in low power mode, and 21% for the percentage of time they are in full power mode. Values for low power mode varied from 62% to 97%, depending on the day of the week, building type, and stairwell type. AEG rounded to 80% and 20%.</t>
    </r>
  </si>
  <si>
    <t>F17T8</t>
  </si>
  <si>
    <t>Public Service Company of Colorado. Xcel Energy. 2019/2020 Demand-Side Management Plan. Colorado Public Utilities Commission. August 31, 2018.</t>
  </si>
  <si>
    <t>Massachusetts Technical Reference Manual, 2013-2015 Program Years, October 2012.</t>
  </si>
  <si>
    <t>Lighting Research Program, Project 5.1 Bi-Level Stairwell Fixture Performance, Final Report, prepared for California Energy Commission, Public Interest Energy Research Program, October 2015, CEC-500-2005-141-A16, Tables 2 and 3, https://www.energy.ca.gov/2005publications/CEC-500-2005-141/CEC-500-2005-141-A16.PDF</t>
  </si>
  <si>
    <t xml:space="preserve">Part-load efficiency of baseline chiller expressed as Integrated Part Load Value (IPLV), </t>
  </si>
  <si>
    <t>Part-load efficiency of installed high efficiency chiller</t>
  </si>
  <si>
    <t>Peak efficiency of baseline chiller at full load</t>
  </si>
  <si>
    <t>TONS</t>
  </si>
  <si>
    <t>Chiller nominal cooling capacity, in tons</t>
  </si>
  <si>
    <r>
      <t>IPLV</t>
    </r>
    <r>
      <rPr>
        <vertAlign val="subscript"/>
        <sz val="10.5"/>
        <rFont val="Calibri"/>
        <family val="2"/>
        <scheme val="minor"/>
      </rPr>
      <t>BL</t>
    </r>
  </si>
  <si>
    <r>
      <t>IPLV</t>
    </r>
    <r>
      <rPr>
        <vertAlign val="subscript"/>
        <sz val="10.5"/>
        <rFont val="Calibri"/>
        <family val="2"/>
        <scheme val="minor"/>
      </rPr>
      <t>EE</t>
    </r>
  </si>
  <si>
    <r>
      <t>PE</t>
    </r>
    <r>
      <rPr>
        <vertAlign val="subscript"/>
        <sz val="10.5"/>
        <rFont val="Calibri"/>
        <family val="2"/>
        <scheme val="minor"/>
      </rPr>
      <t>BL</t>
    </r>
  </si>
  <si>
    <r>
      <t>PE</t>
    </r>
    <r>
      <rPr>
        <vertAlign val="subscript"/>
        <sz val="10.5"/>
        <rFont val="Calibri"/>
        <family val="2"/>
        <scheme val="minor"/>
      </rPr>
      <t>EE</t>
    </r>
  </si>
  <si>
    <t>Higher than ASHRAE:</t>
  </si>
  <si>
    <t>10% Higher?</t>
  </si>
  <si>
    <t>20% Higher?</t>
  </si>
  <si>
    <t>Path A:</t>
  </si>
  <si>
    <t>Path B:</t>
  </si>
  <si>
    <t>Range</t>
  </si>
  <si>
    <t>Column Match</t>
  </si>
  <si>
    <t>Row Match</t>
  </si>
  <si>
    <t>Use:</t>
  </si>
  <si>
    <t>A</t>
  </si>
  <si>
    <t>B</t>
  </si>
  <si>
    <t>ASHRAE 90.1 Baseline</t>
  </si>
  <si>
    <t>FL_base</t>
  </si>
  <si>
    <t>IP</t>
  </si>
  <si>
    <t>IPLV_base</t>
  </si>
  <si>
    <t>Lifetime kWh:</t>
  </si>
  <si>
    <t>FL_delta</t>
  </si>
  <si>
    <t>Meets</t>
  </si>
  <si>
    <t>Tier 1 (ASHRAE + 10%)</t>
  </si>
  <si>
    <t>Tier 2 (ASHRAE + 20%)</t>
  </si>
  <si>
    <t>ASHRAE 90.1-2016 + 10% 
(Efficient Case Minimum)</t>
  </si>
  <si>
    <t>Positive Displacement (Reciprocating, Rotary Screw, Scroll)</t>
  </si>
  <si>
    <t>path a/path b values + 10%</t>
  </si>
  <si>
    <t>Path A+10%</t>
  </si>
  <si>
    <t>Path B+10%</t>
  </si>
  <si>
    <t>https://codes.iccsafe.org/content/IECC2015/chapter-4-ce-commercial-energy-efficiency</t>
  </si>
  <si>
    <t>ASHRAE 90.1-2016
(Efficient Case Tier 2)</t>
  </si>
  <si>
    <t>Possible Tier 2: 20% Higher than IECC 2015?</t>
  </si>
  <si>
    <t>Path A + 20% pass/fail:</t>
  </si>
  <si>
    <t>Path B + 20% pass/fail:</t>
  </si>
  <si>
    <t>ASHRAE 90.1-2016 
(Baseline)</t>
  </si>
  <si>
    <t xml:space="preserve">The following is a semi-prescriptive method for calculating chiller savings for one-for-one replacements of standalone chillers.  </t>
  </si>
  <si>
    <r>
      <t xml:space="preserve">The following chiller retrofits should be evaluated as custom projects: water-cooled chillers </t>
    </r>
    <r>
      <rPr>
        <sz val="11"/>
        <rFont val="Calibri"/>
        <family val="2"/>
      </rPr>
      <t>larger than or equal to</t>
    </r>
    <r>
      <rPr>
        <sz val="9.35"/>
        <rFont val="Calibri"/>
        <family val="2"/>
      </rPr>
      <t xml:space="preserve"> </t>
    </r>
    <r>
      <rPr>
        <sz val="11"/>
        <rFont val="Calibri"/>
        <family val="2"/>
        <scheme val="minor"/>
      </rPr>
      <t>600 tons, air-cooled chillers larger than or equal to 300 tons, and any chiller part of a larger, multi-system plant.</t>
    </r>
    <r>
      <rPr>
        <vertAlign val="superscript"/>
        <sz val="11"/>
        <rFont val="Calibri"/>
        <family val="2"/>
        <scheme val="minor"/>
      </rPr>
      <t>1</t>
    </r>
    <r>
      <rPr>
        <sz val="11"/>
        <rFont val="Calibri"/>
        <family val="2"/>
        <scheme val="minor"/>
      </rPr>
      <t xml:space="preserve"> In addition, a custom approach should be used for early retirement chiller projects and chillers installed in industrial or cold storage applications.</t>
    </r>
  </si>
  <si>
    <t>High efficiency equipment must exceed ASHRAE efficiencies by 10% or more. An additional tier (20% above ASHRAE) has also been included for this measure. Actual nameplate data for rated efficiency will be compared against ASHRAE standard efficiency.</t>
  </si>
  <si>
    <t>Peak efficiency of installed high efficiency chiller at full load</t>
  </si>
  <si>
    <t>See Chiller Worksheet</t>
  </si>
  <si>
    <r>
      <rPr>
        <sz val="10.5"/>
        <rFont val="Calibri"/>
        <family val="2"/>
      </rPr>
      <t>≤</t>
    </r>
    <r>
      <rPr>
        <sz val="10.5"/>
        <rFont val="Calibri"/>
        <family val="2"/>
        <scheme val="minor"/>
      </rPr>
      <t>600 tons for water-cooled; ≤300 tons for air-cooled</t>
    </r>
  </si>
  <si>
    <t>Equal to the minimum efficiency requirements of the ASHRAE 90.1-2016 standard</t>
  </si>
  <si>
    <t>At least 10% better than the ASHRAE 90.1-2016 standard</t>
  </si>
  <si>
    <t>(C_HVAC_Chiller_WKST)</t>
  </si>
  <si>
    <t xml:space="preserve">See accompanying Chiller Worksheet: </t>
  </si>
  <si>
    <t>Median of various sources from AEG's Fall 2018 Benchmarking</t>
  </si>
  <si>
    <t>Coincidence factor for commercial cooling with chiller</t>
  </si>
  <si>
    <t>Equivalent full load hours for commercial cooling with chiller</t>
  </si>
  <si>
    <r>
      <t>Based on analysis of clothes dryer loadshape curve from DOE PNNL study. See Tab 2 for calculation.</t>
    </r>
    <r>
      <rPr>
        <vertAlign val="superscript"/>
        <sz val="10.5"/>
        <color theme="1"/>
        <rFont val="Calibri"/>
        <family val="2"/>
        <scheme val="minor"/>
      </rPr>
      <t>3</t>
    </r>
  </si>
  <si>
    <t xml:space="preserve">It is important to note that the specific holidays do not matter since it is simply a quantity (# Holidays * Hours/Day) that is used to adjust an annual total. </t>
  </si>
  <si>
    <t>SAVINGS DESCRIPTION</t>
  </si>
  <si>
    <t>In addition, Amplify does allow for the possibility that each space may have its own unique operating schedule.    </t>
  </si>
  <si>
    <t>$/kW</t>
  </si>
  <si>
    <t>$/kWh</t>
  </si>
  <si>
    <t>System Loss Factor (see Table 7 in the "System Loss Factor" section below)</t>
  </si>
  <si>
    <t>NTGR</t>
  </si>
  <si>
    <t>TABLE OF VALUES</t>
  </si>
  <si>
    <t>SYSTEM LOSS FACTOR (SLF)</t>
  </si>
  <si>
    <t>GROSS-TO-NET CALCULATIONS</t>
  </si>
  <si>
    <t>TOTAL RESOURCE BENEFIT (TRB)</t>
  </si>
  <si>
    <t>DEVELOPMENT OF AVOIDED COSTS</t>
  </si>
  <si>
    <t>KEMA's solar water heating study involved metering energy and peak demand for a sample of 260 solar water heaters. Of these, 18 (7%) were considered to be in a state of disrepair that made them essentially "inoperable" as solar water heaters. In this "inoperable" state, they used an average of 3,925 kWh/yr, which is more than the current baseline energy use.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solar water heater savings persistence, AEG was unable to find benchmarking information to help validate KEMA's findings. As such, the persistence factor was reviewed, but not updated, for the PY19 TRM. As more data becomes available on savings degradation of solar water heating systems relative to baseline equipment, the persistence factor should be reevaluated for future TRMs.</t>
  </si>
  <si>
    <t>Single
Dual</t>
  </si>
  <si>
    <t>The savings approach for this measure assumes the occupancy sensors are installed in existing buildings that have not yet been required to comply with current ANSI/ASHRAE/IES Standard 90.1 requirements for occupancy sensors.</t>
  </si>
  <si>
    <t xml:space="preserve">Ultrasonic and infrared sensors are eligible. </t>
  </si>
  <si>
    <t>First Baseline Peak Demand Reduction, kW</t>
  </si>
  <si>
    <t>Second Baseline Peak Demand Reduction, kW</t>
  </si>
  <si>
    <t>Peak Demand Reduction, kW</t>
  </si>
  <si>
    <t>Actual (default = 56.32)</t>
  </si>
  <si>
    <t>AEG's Fall 2018 Benchmarking; median of 16 reviewed sources</t>
  </si>
  <si>
    <r>
      <t>P</t>
    </r>
    <r>
      <rPr>
        <vertAlign val="subscript"/>
        <sz val="10.5"/>
        <color theme="1"/>
        <rFont val="Calibri"/>
        <family val="2"/>
        <scheme val="minor"/>
      </rPr>
      <t>ctrl</t>
    </r>
  </si>
  <si>
    <t>Effective useful life of occupancy sensor measure</t>
  </si>
  <si>
    <t>Default is 2L F32T8 with 0.88 ballast factor controlled by one sensor</t>
  </si>
  <si>
    <t>Values tie back to C_Light_General tab, Tables 3, 4, and 5.</t>
  </si>
  <si>
    <t>Weighted averages based on kWh savings by building type associated with actual PY17 occupancy sensor projects.</t>
  </si>
  <si>
    <r>
      <t>IE</t>
    </r>
    <r>
      <rPr>
        <b/>
        <vertAlign val="subscript"/>
        <sz val="10.5"/>
        <color theme="1"/>
        <rFont val="Calibri"/>
        <family val="2"/>
        <scheme val="minor"/>
      </rPr>
      <t>C,D</t>
    </r>
  </si>
  <si>
    <t>Weights</t>
  </si>
  <si>
    <t>a. Assumes linear, U-bend, or troffer lamps are controlled. (Values would be different for omni-directional, directional, decorative, or high bay lighting.)</t>
  </si>
  <si>
    <r>
      <t>IE</t>
    </r>
    <r>
      <rPr>
        <b/>
        <vertAlign val="subscript"/>
        <sz val="10.5"/>
        <color theme="1"/>
        <rFont val="Calibri"/>
        <family val="2"/>
        <scheme val="minor"/>
      </rPr>
      <t>C,E</t>
    </r>
  </si>
  <si>
    <r>
      <t>Semi-Prescriptive Savings Calculator (based on user input of P</t>
    </r>
    <r>
      <rPr>
        <b/>
        <i/>
        <vertAlign val="subscript"/>
        <sz val="11"/>
        <color theme="1"/>
        <rFont val="Calibri"/>
        <family val="2"/>
        <scheme val="minor"/>
      </rPr>
      <t>ctrl</t>
    </r>
    <r>
      <rPr>
        <b/>
        <i/>
        <sz val="11"/>
        <color theme="1"/>
        <rFont val="Calibri"/>
        <family val="2"/>
        <scheme val="minor"/>
      </rPr>
      <t>)</t>
    </r>
  </si>
  <si>
    <r>
      <t>Deemed Savings (based on default value for P</t>
    </r>
    <r>
      <rPr>
        <b/>
        <i/>
        <vertAlign val="subscript"/>
        <sz val="11"/>
        <color theme="1"/>
        <rFont val="Calibri"/>
        <family val="2"/>
        <scheme val="minor"/>
      </rPr>
      <t>ctrl</t>
    </r>
    <r>
      <rPr>
        <b/>
        <i/>
        <sz val="11"/>
        <color theme="1"/>
        <rFont val="Calibri"/>
        <family val="2"/>
        <scheme val="minor"/>
      </rPr>
      <t>)</t>
    </r>
  </si>
  <si>
    <r>
      <t>Enter total wattage controlled by sensor, P</t>
    </r>
    <r>
      <rPr>
        <vertAlign val="subscript"/>
        <sz val="11"/>
        <color theme="1"/>
        <rFont val="Calibri"/>
        <family val="2"/>
        <scheme val="minor"/>
      </rPr>
      <t>ctrl</t>
    </r>
  </si>
  <si>
    <t xml:space="preserve">b. The CF values were derived using the three step process described in the C_Light_General tab. </t>
  </si>
  <si>
    <t xml:space="preserve">d. The IE values were derived using the four step process described in the C_Light_General tab.  </t>
  </si>
  <si>
    <t>c. Baseline HRS are from DEER2020 hours of use for San Diego IOU for no occupancy sensor case.</t>
  </si>
  <si>
    <t>Easy Lighting Calculator, Version 3, eLC_V3, Southern California Edison, Custom Lighting Tool, updated 12/07/2016.</t>
  </si>
  <si>
    <t>Massachusetts Technical Reference Manual, 2016-2018 Program Years, October 2015.</t>
  </si>
  <si>
    <t>Northwest Power Conservation Council (NWPCC). Commercial Interior Lighting Controls, Version 10 - Seventh Power Plan Conservation Supply Workbooks. February 25, 2016. Spreadsheet.</t>
  </si>
  <si>
    <t xml:space="preserve">Public Service Company of Colorado. 2019/2020 Demand-Side Management Plan. Colorado Public Utilities Commission. Aug 31, 2018. </t>
  </si>
  <si>
    <t xml:space="preserve">Vermont Energy Investment Corporation. Illinois Statewide Technical Reference Manual for Energy Efficiency, Version 5.0. Illinois Energy Efficiency Stakeholder Advisory Group. February 11, 2016. </t>
  </si>
  <si>
    <t>DNV KEMA, Retrofit Lighting Controls Measures Summary of Findings, FINAL REPORT, 2014.</t>
  </si>
  <si>
    <t>Maniccia, D., B. Von Neida, and A. Tweed. An analysis of the energy and cost savings potential of occupancy sensors for commercial lighting systems, Illuminating Engineering Society of North America 2000 Annual Conference: Proceedings. IESNA: New York, NY, pp. 433-459.</t>
  </si>
  <si>
    <t>New Mexico Technical Resource Manual for the Calculation of Energy Efficiency Savings, 2016, Section 3.5. p.31.</t>
  </si>
  <si>
    <t xml:space="preserve">KEMA 2005-2007 report </t>
  </si>
  <si>
    <r>
      <t>KEMA 2005-2007 report</t>
    </r>
    <r>
      <rPr>
        <vertAlign val="superscript"/>
        <sz val="10.5"/>
        <color theme="1"/>
        <rFont val="Calibri"/>
        <family val="2"/>
        <scheme val="minor"/>
      </rPr>
      <t>1</t>
    </r>
  </si>
  <si>
    <t>On Peak Demand, group "Operating"</t>
  </si>
  <si>
    <t>Maintenance and repair of residential solar water heating systems for optimum performance.</t>
  </si>
  <si>
    <t>Average per unit energy use (kWh) and on-peak demand (kW) for the baseline solar water heater was estimated by KEMA using field measurements on a sample of 260 solar water heaters. The baseline values represent a blend of 242 "operable" and 18 "inoperable" systems, where "inoperable" refers to systems requiring maintenance and repair. Inoperable systems are defined as systems that use more than an average of 5 kWh per day.</t>
  </si>
  <si>
    <t>Average per unit energy use (kWh) and on-peak demand (kW) for the high efficiency solar water heater was estimated by KEMA using field measurements on the 242 "operable" systems within the sample of 260 solar water heaters tested.</t>
  </si>
  <si>
    <t>KEMA 2005-2007 report</t>
  </si>
  <si>
    <t>Factor accounts for savings degradation between tune-ups; the value of 0.5 assumes linear degradation of savings across measure life.</t>
  </si>
  <si>
    <r>
      <t>P</t>
    </r>
    <r>
      <rPr>
        <vertAlign val="subscript"/>
        <sz val="10.5"/>
        <color theme="1"/>
        <rFont val="Calibri"/>
        <family val="2"/>
        <scheme val="minor"/>
      </rPr>
      <t>base</t>
    </r>
  </si>
  <si>
    <r>
      <t>P</t>
    </r>
    <r>
      <rPr>
        <vertAlign val="subscript"/>
        <sz val="10.5"/>
        <color theme="1"/>
        <rFont val="Calibri"/>
        <family val="2"/>
        <scheme val="minor"/>
      </rPr>
      <t>op</t>
    </r>
  </si>
  <si>
    <r>
      <t>E</t>
    </r>
    <r>
      <rPr>
        <vertAlign val="subscript"/>
        <sz val="10.5"/>
        <color theme="1"/>
        <rFont val="Calibri"/>
        <family val="2"/>
        <scheme val="minor"/>
      </rPr>
      <t>base</t>
    </r>
  </si>
  <si>
    <r>
      <t>E</t>
    </r>
    <r>
      <rPr>
        <vertAlign val="subscript"/>
        <sz val="10.5"/>
        <color theme="1"/>
        <rFont val="Calibri"/>
        <family val="2"/>
        <scheme val="minor"/>
      </rPr>
      <t>op</t>
    </r>
  </si>
  <si>
    <t>KEMA's solar water heating study involved metering energy and peak demand for a sample of 260 solar water heaters. Of these, 18 (7%) were considered to be in a state of disrepair that made them essentially "inoperable" as solar water heaters. Additional details about the study, including characteristics of the units tested (age, capacity, maintenance history, etc.) and the metering approach (equipment used, time of year, measurement period, etc.) were not provided in the past TRMs, so these details about the approach could not be verified by AEG. In addition, due to the general lack of published data on savings from solar water heater maintenance and repair measures, AEG was unable to find benchmarking information to help validate KEMA's findings. As such, the energy and peak demand values for the baseline and high efficiency cases were reviewed, but not updated, for the PY19 TRM. However, AEG did add a persistence factor to the algorithms to account for gradual degradation of savings between tune-ups. As new data becomes available on savings from tune-ups, this measure entry should be reevaluated for future TRMs.</t>
  </si>
  <si>
    <t>Solar Hot Water System Specifications and Requirements, Form: SHW102, Environmental Protection Agency, https://www.epa.gov/sites/production/files/2016-01/documents/webinar_20140416_systemspecifications.pdf.</t>
  </si>
  <si>
    <t>Solar Water Heating System Maintenance and Repair, Energy Saver webpage, Department of Energy, accessed 11/21/2018, https://www.energy.gov/energysaver/solar-water-heating-system-maintenance-and-repair.</t>
  </si>
  <si>
    <r>
      <t>%</t>
    </r>
    <r>
      <rPr>
        <vertAlign val="subscript"/>
        <sz val="10.5"/>
        <color theme="1"/>
        <rFont val="Calibri"/>
        <family val="2"/>
        <scheme val="minor"/>
      </rPr>
      <t>Int</t>
    </r>
  </si>
  <si>
    <t>Share of interior light bulbs</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</si>
  <si>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t>
  </si>
  <si>
    <t>The occupancy sensors must be UL listed.</t>
  </si>
  <si>
    <t>All types of wall switch sensors (e.g. infrared, ultrasonic) are eligible.</t>
  </si>
  <si>
    <t>The enhanced case is assumed to be the same base case lamps in operation with a 30% reduction in runtime.</t>
  </si>
  <si>
    <t>Effective useful life of occupancy sensor</t>
  </si>
  <si>
    <r>
      <t>kW</t>
    </r>
    <r>
      <rPr>
        <vertAlign val="subscript"/>
        <sz val="10.5"/>
        <color theme="1"/>
        <rFont val="Calibri"/>
        <family val="2"/>
        <scheme val="minor"/>
      </rPr>
      <t>ctrl,1</t>
    </r>
  </si>
  <si>
    <t>EISA Tier 1 Wattage; two (2) 43W bulbs</t>
  </si>
  <si>
    <t>EISA Tier 2 Wattage; two (2) 20W bulbs (Wattage calculated using middle of 750 - 1049 lm range)</t>
  </si>
  <si>
    <r>
      <t>kW</t>
    </r>
    <r>
      <rPr>
        <vertAlign val="subscript"/>
        <sz val="10.5"/>
        <color theme="1"/>
        <rFont val="Calibri"/>
        <family val="2"/>
        <scheme val="minor"/>
      </rPr>
      <t>ctrl,2</t>
    </r>
  </si>
  <si>
    <t>This measure is for wall switch sensors that control the use of lighting in areas around the home with variable use, such as laundry, storage, garage, bedrooms or spare areas. The default deemed savings approach assumes each occupancy sensor controls two omni-directional lamps in a non-military home. A semi-prescriptive savings calculator is also provided to allow custom entry of the controlled wattage.</t>
  </si>
  <si>
    <t>Runtime reduction factor from sensor</t>
  </si>
  <si>
    <t>AEG's Fall 2018 Benchmarking; median of 6 sources</t>
  </si>
  <si>
    <t>No change from PY18 TRM; non-military home</t>
  </si>
  <si>
    <t>Based on average lamp life of 15,000 hours</t>
  </si>
  <si>
    <t>Residential Lighting Occupancy Sensor</t>
  </si>
  <si>
    <t>SEMI-PRESCRIPTIVE SAVINGS</t>
  </si>
  <si>
    <t>Semi-Prescriptive Savings Calculator (based on user input wattage for energy efficient lamps)</t>
  </si>
  <si>
    <t>No</t>
  </si>
  <si>
    <t>Are controlled lamps energy efficient</t>
  </si>
  <si>
    <t>Are the lamps installed in an air-conditioned space?</t>
  </si>
  <si>
    <t>Does the efficacy of the lamps controlled by the occupancy sensor meet or exceed 45 lumen/W? (For example, are they LEDs, CFLs, T5 or T8 lamps?)</t>
  </si>
  <si>
    <r>
      <t xml:space="preserve">Enter Total Wattage Controlled by Occupancy Sensor in </t>
    </r>
    <r>
      <rPr>
        <u/>
        <sz val="11"/>
        <color theme="1"/>
        <rFont val="Calibri"/>
        <family val="2"/>
        <scheme val="minor"/>
      </rPr>
      <t>Watts</t>
    </r>
  </si>
  <si>
    <t>See Table 2 (default = 0.53)</t>
  </si>
  <si>
    <t xml:space="preserve">Replacement of an Electric Storage Water Heater with a Solar Water Heater for Service Water Heating in an existing commercial building. Solar Water Heating systems use solar thermal energy to meet most of the water heating load and continue to utilize electricity to operate the circulation pump and provide heating through an electric resistance element when needed. </t>
  </si>
  <si>
    <r>
      <t xml:space="preserve">Energy Factor of Baseline Equipment (Electric Storage Water Heater </t>
    </r>
    <r>
      <rPr>
        <b/>
        <i/>
        <sz val="11"/>
        <color theme="1"/>
        <rFont val="Calibri"/>
        <family val="2"/>
      </rPr>
      <t>&gt; 55 gallons)</t>
    </r>
  </si>
  <si>
    <t>V</t>
  </si>
  <si>
    <t>gal</t>
  </si>
  <si>
    <t>See Eq'ns 1 or 2</t>
  </si>
  <si>
    <r>
      <t>HW</t>
    </r>
    <r>
      <rPr>
        <vertAlign val="subscript"/>
        <sz val="10.5"/>
        <color theme="1"/>
        <rFont val="Calibri"/>
        <family val="2"/>
        <scheme val="minor"/>
      </rPr>
      <t>per SqFt</t>
    </r>
  </si>
  <si>
    <t>Average annual hot water use per square foot of building space</t>
  </si>
  <si>
    <t>gal/SqFt</t>
  </si>
  <si>
    <t>Table 1. Key Parameters for Semi-Prescriptive Approach</t>
  </si>
  <si>
    <r>
      <t>HW</t>
    </r>
    <r>
      <rPr>
        <b/>
        <vertAlign val="subscript"/>
        <sz val="11"/>
        <color theme="1"/>
        <rFont val="Calibri"/>
        <family val="2"/>
        <scheme val="minor"/>
      </rPr>
      <t>per SqFt</t>
    </r>
    <r>
      <rPr>
        <b/>
        <sz val="11"/>
        <color theme="1"/>
        <rFont val="Calibri"/>
        <family val="2"/>
        <scheme val="minor"/>
      </rPr>
      <t xml:space="preserve"> (gal/ft</t>
    </r>
    <r>
      <rPr>
        <b/>
        <vertAlign val="superscript"/>
        <sz val="11"/>
        <color theme="1"/>
        <rFont val="Calibri"/>
        <family val="2"/>
        <scheme val="minor"/>
      </rPr>
      <t>2</t>
    </r>
    <r>
      <rPr>
        <b/>
        <sz val="11"/>
        <color theme="1"/>
        <rFont val="Calibri"/>
        <family val="2"/>
        <scheme val="minor"/>
      </rPr>
      <t>-yr)</t>
    </r>
  </si>
  <si>
    <t>Square footage of area served by new Solar Water Heater</t>
  </si>
  <si>
    <t>SqFt</t>
  </si>
  <si>
    <t>Enter Square Footage of Area Served by Solar Water Heater, A</t>
  </si>
  <si>
    <t>Enter Equivalent Rated Storage Volume in gallons for Electric Storage Water Heater, V</t>
  </si>
  <si>
    <t>Rated Storage Volume of baseline Electric Storage Water Heater tank</t>
  </si>
  <si>
    <t>Building Type for Semi-Prescriptive Approach</t>
  </si>
  <si>
    <t>Select Building Type from Dropdown List</t>
  </si>
  <si>
    <r>
      <t>HW</t>
    </r>
    <r>
      <rPr>
        <vertAlign val="subscript"/>
        <sz val="11"/>
        <color theme="1"/>
        <rFont val="Calibri"/>
        <family val="2"/>
        <scheme val="minor"/>
      </rPr>
      <t>per SqFt</t>
    </r>
    <r>
      <rPr>
        <sz val="11"/>
        <color theme="1"/>
        <rFont val="Calibri"/>
        <family val="2"/>
        <scheme val="minor"/>
      </rPr>
      <t xml:space="preserve"> = </t>
    </r>
  </si>
  <si>
    <r>
      <t xml:space="preserve">Note: Savings in </t>
    </r>
    <r>
      <rPr>
        <sz val="9"/>
        <color rgb="FF0070C0"/>
        <rFont val="Calibri"/>
        <family val="2"/>
        <scheme val="minor"/>
      </rPr>
      <t>blue</t>
    </r>
    <r>
      <rPr>
        <sz val="9"/>
        <color theme="1"/>
        <rFont val="Calibri"/>
        <family val="2"/>
        <scheme val="minor"/>
      </rPr>
      <t xml:space="preserve"> result from sample entries above. </t>
    </r>
    <r>
      <rPr>
        <b/>
        <u/>
        <sz val="9"/>
        <color theme="1"/>
        <rFont val="Calibri"/>
        <family val="2"/>
        <scheme val="minor"/>
      </rPr>
      <t>They are for illustrative purposes only.</t>
    </r>
  </si>
  <si>
    <t>Residential 
Solar Water Heater</t>
  </si>
  <si>
    <t>Commercial 
Solar Water Heater</t>
  </si>
  <si>
    <r>
      <t>Orientation (</t>
    </r>
    <r>
      <rPr>
        <sz val="11"/>
        <color theme="1"/>
        <rFont val="Calibri"/>
        <family val="2"/>
      </rPr>
      <t>°</t>
    </r>
    <r>
      <rPr>
        <sz val="11"/>
        <color theme="1"/>
        <rFont val="Calibri"/>
        <family val="2"/>
        <scheme val="minor"/>
      </rPr>
      <t xml:space="preserve"> to true North)</t>
    </r>
  </si>
  <si>
    <t>55-59</t>
  </si>
  <si>
    <t>14-39</t>
  </si>
  <si>
    <t>40-44</t>
  </si>
  <si>
    <t>45-49</t>
  </si>
  <si>
    <t>50-54</t>
  </si>
  <si>
    <t>90-104</t>
  </si>
  <si>
    <t>105-114</t>
  </si>
  <si>
    <t>115-124</t>
  </si>
  <si>
    <t>225-234</t>
  </si>
  <si>
    <t>235-244</t>
  </si>
  <si>
    <t>245-254</t>
  </si>
  <si>
    <t>125-134</t>
  </si>
  <si>
    <t>135-224</t>
  </si>
  <si>
    <r>
      <rPr>
        <sz val="11"/>
        <color theme="1"/>
        <rFont val="Calibri"/>
        <family val="2"/>
      </rPr>
      <t>°</t>
    </r>
    <r>
      <rPr>
        <sz val="11"/>
        <color theme="1"/>
        <rFont val="Calibri"/>
        <family val="2"/>
        <scheme val="minor"/>
      </rPr>
      <t>F</t>
    </r>
  </si>
  <si>
    <t>2015 International Energy Conservation Code, Chapter 4: Commercial Energy Efficiency, Section C404: Service Water Heating (Mandatory), https://codes.iccsafe.org/content/IECC2015/chapter-4-ce-commercial-energy-efficiency.</t>
  </si>
  <si>
    <t>A.O. Smith responses to ENERGY STAR 2.0 framework specification for water heaters, ENERGY STAR Water Heaters Product Specification Framework May 2011, Questions for Discussion, Q9: "9. How does the SEF metric compare to EF metric? Could they be considered equivalent compared?..."  https://www.energystar.gov/sites/default/files/specs/AOSmith%20Comments_0.pdf.</t>
  </si>
  <si>
    <t xml:space="preserve">DEER 2015 Small Storage and Small Instantaneous Water Heater Energy Use Calculator. Filename: "DEER-WaterHeater-Calculator-v1.1.xlsm," "TechCalc" sheet. Spreadsheet dated 11/29/2014. AEG used for analysis of hot water usage (Gal/SqFt-yr) by building type. </t>
  </si>
  <si>
    <t>Update TOC; add hyperlink in each sheet to return to TOC to ease navigation</t>
  </si>
  <si>
    <t>Update Introduction</t>
  </si>
  <si>
    <t>Update Signature sheet</t>
  </si>
  <si>
    <t>Review, update, and add definitions to Glossary as needed</t>
  </si>
  <si>
    <t>Review/update values/approach for avoided costs and total resource benefits</t>
  </si>
  <si>
    <t>Review/update system loss factors</t>
  </si>
  <si>
    <t>Update Issues Log</t>
  </si>
  <si>
    <t>Update and rename Changes sheet</t>
  </si>
  <si>
    <t>2) Tabulation of IE factors from LBNL 1994 study for IECC CZ 3B and IECC CZ 1A;</t>
  </si>
  <si>
    <t>AEG's Fall 2018 Benchmarking (ISR = 1 for delamping measure and early replacement (BHTR))</t>
  </si>
  <si>
    <r>
      <rPr>
        <vertAlign val="superscript"/>
        <sz val="9"/>
        <color theme="1"/>
        <rFont val="Calibri"/>
        <family val="2"/>
        <scheme val="minor"/>
      </rPr>
      <t>4</t>
    </r>
    <r>
      <rPr>
        <sz val="9"/>
        <color theme="1"/>
        <rFont val="Calibri"/>
        <family val="2"/>
        <scheme val="minor"/>
      </rPr>
      <t xml:space="preserve"> Based on a ratio of 0.5 used in the Department of Energy TSD for Commercial Refrigeration, Table 5.6.1. "Fraction of lighting power into case for lighting outside of air curtain (W/W)" (https://www1.eere.energy.gov/buildings/appliance_standards/pdfs/cre2_nopr_tsd_2013_08_28.pdf). The same logic implies the fraction of lighting power outside of the refrigerated case for lighting that is inside of the case is 50%. So, the assumption is that 50% of lighting affects general cooling load and 50% of lighting affects case refrigeration load.</t>
    </r>
  </si>
  <si>
    <t>RESIDENTIAL: Refrigerator and Freezer</t>
  </si>
  <si>
    <t>Unit Replacement Annual Energy Savings, kWh/yr</t>
  </si>
  <si>
    <t>Unit Replacement Peak Demand Reduction, kW</t>
  </si>
  <si>
    <t>Unit Replacement with Turn-In Peak Demand Reduction, kW</t>
  </si>
  <si>
    <t>2nd Unit Turn-In Only Peak Demand Reduction, kW</t>
  </si>
  <si>
    <t>Unit Replacement Lifetime Energy Savings, kWh</t>
  </si>
  <si>
    <t>Unit Replacement with Turn-In Lifetime Energy Savings, kWh</t>
  </si>
  <si>
    <t>2nd Unit Turn-In Only Lifetime Energy Savings, kWh</t>
  </si>
  <si>
    <t>Effective useful life of new refrigerator</t>
  </si>
  <si>
    <t>Effective useful life of new freezer</t>
  </si>
  <si>
    <t>Remaining useful life of turned-in refrigerator</t>
  </si>
  <si>
    <t>Remaining useful life of turned-in freezer</t>
  </si>
  <si>
    <r>
      <t>E</t>
    </r>
    <r>
      <rPr>
        <vertAlign val="subscript"/>
        <sz val="10.5"/>
        <color theme="1"/>
        <rFont val="Calibri"/>
        <family val="2"/>
        <scheme val="minor"/>
      </rPr>
      <t>EE</t>
    </r>
  </si>
  <si>
    <r>
      <t>E</t>
    </r>
    <r>
      <rPr>
        <vertAlign val="subscript"/>
        <sz val="10.5"/>
        <color theme="1"/>
        <rFont val="Calibri"/>
        <family val="2"/>
        <scheme val="minor"/>
      </rPr>
      <t>Base</t>
    </r>
  </si>
  <si>
    <t>See Tables 1 and 2</t>
  </si>
  <si>
    <t>Conservative assumption when used to estimate peak demand savings</t>
  </si>
  <si>
    <t>Fresh volume</t>
  </si>
  <si>
    <t>Freezer volume</t>
  </si>
  <si>
    <t>cu ft</t>
  </si>
  <si>
    <t>Fresh volume of new refrigerator</t>
  </si>
  <si>
    <t>Freezer volume of new refrigerator or freezer</t>
  </si>
  <si>
    <t>User entry</t>
  </si>
  <si>
    <t>Default = 26.0</t>
  </si>
  <si>
    <r>
      <t>AV</t>
    </r>
    <r>
      <rPr>
        <vertAlign val="subscript"/>
        <sz val="10.5"/>
        <color theme="1"/>
        <rFont val="Calibri"/>
        <family val="2"/>
        <scheme val="minor"/>
      </rPr>
      <t>F</t>
    </r>
  </si>
  <si>
    <r>
      <t>AV</t>
    </r>
    <r>
      <rPr>
        <vertAlign val="subscript"/>
        <sz val="10.5"/>
        <color theme="1"/>
        <rFont val="Calibri"/>
        <family val="2"/>
        <scheme val="minor"/>
      </rPr>
      <t>R</t>
    </r>
  </si>
  <si>
    <t>Based on actual unit; used to calculate AV in Equations 1 and 2</t>
  </si>
  <si>
    <t>Based on actual unit; used to calculate AV in Equation 1</t>
  </si>
  <si>
    <t>ENERGY STAR as of September 15, 2014</t>
  </si>
  <si>
    <t>See Footnote 2 for Default assumption</t>
  </si>
  <si>
    <t>Annual energy usage of baseline unit</t>
  </si>
  <si>
    <t>Annual energy usage of new efficient unit</t>
  </si>
  <si>
    <t>Product Category</t>
  </si>
  <si>
    <t>Equation Term:</t>
  </si>
  <si>
    <t>Manual Defrost w/ and w/o TDD, All Configurations</t>
  </si>
  <si>
    <t>Auto Defrost w/o TDD, Top Freezer and Single Door Refrigerators</t>
  </si>
  <si>
    <t>Auto Defrost w/o TDD, Side by Side</t>
  </si>
  <si>
    <t>Auto Defrost w/o TDD, Bottom Freezer</t>
  </si>
  <si>
    <t>Auto Defrost w/ TDD, Bottom Freezer</t>
  </si>
  <si>
    <t>Auto Defrost w/ TDD, Top Freezer</t>
  </si>
  <si>
    <t>"Average" Refrigerator</t>
  </si>
  <si>
    <t>a</t>
  </si>
  <si>
    <t>b</t>
  </si>
  <si>
    <t>Upright Freezers, Manual Defrost</t>
  </si>
  <si>
    <t>Upright Freezers, Auto Defrost, w/o Auto Icemaker</t>
  </si>
  <si>
    <t>Upright Freezers, Auto Defrost, w/ Auto Icemaker</t>
  </si>
  <si>
    <t>Built-in Freezers, Auto Defrost, w/o Auto Icemaker</t>
  </si>
  <si>
    <t>Built-in Freezers, Auto Defrost, w/ Auto Icemaker</t>
  </si>
  <si>
    <t>Chest Freezers and All Other Freezers, except Compact Freezers</t>
  </si>
  <si>
    <t>Chest Freezers with Auto Defrost</t>
  </si>
  <si>
    <t>"Average" Freezer</t>
  </si>
  <si>
    <r>
      <rPr>
        <vertAlign val="superscript"/>
        <sz val="9"/>
        <rFont val="Calibri"/>
        <family val="2"/>
        <scheme val="minor"/>
      </rPr>
      <t>2</t>
    </r>
    <r>
      <rPr>
        <sz val="9"/>
        <rFont val="Calibri"/>
        <family val="2"/>
        <scheme val="minor"/>
      </rPr>
      <t xml:space="preserve"> ENERGY STAR Program Requirements for Residential Refrigerators and Freezers. Eligibility Criteria, V5.0, https://www.energystar.gov/ia/partners/product_specs/program_reqs/Refrigerators_and_Freezers_Program_Requirements_V5.0.pdf, accessed December 17, 2018.</t>
    </r>
  </si>
  <si>
    <r>
      <rPr>
        <vertAlign val="superscript"/>
        <sz val="9"/>
        <rFont val="Calibri"/>
        <family val="2"/>
        <scheme val="minor"/>
      </rPr>
      <t>1</t>
    </r>
    <r>
      <rPr>
        <sz val="9"/>
        <rFont val="Calibri"/>
        <family val="2"/>
        <scheme val="minor"/>
      </rPr>
      <t xml:space="preserve"> 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r>
  </si>
  <si>
    <r>
      <t xml:space="preserve">"Average" Freezer </t>
    </r>
    <r>
      <rPr>
        <vertAlign val="superscript"/>
        <sz val="11"/>
        <color theme="1"/>
        <rFont val="Calibri"/>
        <family val="2"/>
        <scheme val="minor"/>
      </rPr>
      <t>3</t>
    </r>
  </si>
  <si>
    <r>
      <rPr>
        <vertAlign val="superscript"/>
        <sz val="9"/>
        <rFont val="Calibri"/>
        <family val="2"/>
        <scheme val="minor"/>
      </rPr>
      <t>3</t>
    </r>
    <r>
      <rPr>
        <sz val="9"/>
        <rFont val="Calibri"/>
        <family val="2"/>
        <scheme val="minor"/>
      </rPr>
      <t xml:space="preserve"> Recommend updating with weighted average by type using program data or baseline data in future TRM update.</t>
    </r>
  </si>
  <si>
    <t>Deemed Savings (based on default value for Adjusted Volume, AV): Refrigerator w/o Turn-In</t>
  </si>
  <si>
    <t>Refrigerator w/o Turn-In
Product Category</t>
  </si>
  <si>
    <t>Freezer w/o Turn-In
Product Category</t>
  </si>
  <si>
    <r>
      <t xml:space="preserve">"Average" Refrigerator </t>
    </r>
    <r>
      <rPr>
        <vertAlign val="superscript"/>
        <sz val="11"/>
        <color theme="1"/>
        <rFont val="Calibri"/>
        <family val="2"/>
        <scheme val="minor"/>
      </rPr>
      <t>3</t>
    </r>
  </si>
  <si>
    <t>Deemed Savings (based on default value for Adjusted Volume, AV): Freezer w/o Turn-In</t>
  </si>
  <si>
    <t>Deemed Savings (based on default value for Adjusted Volume, AV): Refrigerator w/ Turn-In</t>
  </si>
  <si>
    <t>Deemed Savings (based on default value for Adjusted Volume, AV): Freezer w/ Turn-In</t>
  </si>
  <si>
    <t>Deemed Savings: Refrigerator or Freezer Turn-In Only</t>
  </si>
  <si>
    <t>Refrigerator w/ Turn-In
Product Category</t>
  </si>
  <si>
    <t>Freezer w/ Turn-In
Product Category</t>
  </si>
  <si>
    <r>
      <t xml:space="preserve">Table 2. Base and Efficient Case Freezer Standards, Total Volume </t>
    </r>
    <r>
      <rPr>
        <b/>
        <sz val="11"/>
        <color theme="1"/>
        <rFont val="Calibri"/>
        <family val="2"/>
      </rPr>
      <t>≥ 7.75 cu ft and &lt; 39 cu ft</t>
    </r>
    <r>
      <rPr>
        <b/>
        <sz val="11"/>
        <color theme="1"/>
        <rFont val="Calibri"/>
        <family val="2"/>
        <scheme val="minor"/>
      </rPr>
      <t>, Equation: E = a*AV + b</t>
    </r>
  </si>
  <si>
    <r>
      <t xml:space="preserve">Table 1. Base and Efficient Case Refrigerator Standards, Total Volume </t>
    </r>
    <r>
      <rPr>
        <b/>
        <sz val="11"/>
        <color theme="1"/>
        <rFont val="Calibri"/>
        <family val="2"/>
      </rPr>
      <t>≥ 7.75 cu ft and &lt; 39 cu ft</t>
    </r>
    <r>
      <rPr>
        <b/>
        <sz val="11"/>
        <color theme="1"/>
        <rFont val="Calibri"/>
        <family val="2"/>
        <scheme val="minor"/>
      </rPr>
      <t>, Equation: E = a*AV + b</t>
    </r>
  </si>
  <si>
    <r>
      <t>E</t>
    </r>
    <r>
      <rPr>
        <b/>
        <vertAlign val="subscript"/>
        <sz val="11"/>
        <color theme="1"/>
        <rFont val="Calibri"/>
        <family val="2"/>
        <scheme val="minor"/>
      </rPr>
      <t>base</t>
    </r>
    <r>
      <rPr>
        <b/>
        <sz val="11"/>
        <color theme="1"/>
        <rFont val="Calibri"/>
        <family val="2"/>
        <scheme val="minor"/>
      </rPr>
      <t xml:space="preserve">, Federal Standard, Maximum kWh/yr </t>
    </r>
    <r>
      <rPr>
        <b/>
        <vertAlign val="superscript"/>
        <sz val="11"/>
        <color theme="1"/>
        <rFont val="Calibri"/>
        <family val="2"/>
        <scheme val="minor"/>
      </rPr>
      <t>1</t>
    </r>
  </si>
  <si>
    <r>
      <t>E</t>
    </r>
    <r>
      <rPr>
        <b/>
        <vertAlign val="subscript"/>
        <sz val="11"/>
        <color theme="1"/>
        <rFont val="Calibri"/>
        <family val="2"/>
        <scheme val="minor"/>
      </rPr>
      <t>EE</t>
    </r>
    <r>
      <rPr>
        <b/>
        <sz val="11"/>
        <color theme="1"/>
        <rFont val="Calibri"/>
        <family val="2"/>
        <scheme val="minor"/>
      </rPr>
      <t xml:space="preserve">, ENERGY STAR, Maximum kWh/yr </t>
    </r>
    <r>
      <rPr>
        <b/>
        <vertAlign val="superscript"/>
        <sz val="11"/>
        <color theme="1"/>
        <rFont val="Calibri"/>
        <family val="2"/>
        <scheme val="minor"/>
      </rPr>
      <t>2</t>
    </r>
  </si>
  <si>
    <t>Semi-Prescriptive Savings (based on user entry): Refrigerator w/o Turn-In</t>
  </si>
  <si>
    <t>Semi-Prescriptive Savings (based on user entry): Freezer w/o Turn-In</t>
  </si>
  <si>
    <t>Semi-Prescriptive Savings (based on user entry): Refrigerator w/ Turn-In</t>
  </si>
  <si>
    <t>Semi-Prescriptive Savings (based on user entry): Freezer w/ Turn-In</t>
  </si>
  <si>
    <t>SAVINGS - DEEMED</t>
  </si>
  <si>
    <t>Freezer w/o Turn-In, AV = 26.0 cu ft
Product Category</t>
  </si>
  <si>
    <t>Freezer w/ Turn-In, AV = 26.0 cu ft
Product Category</t>
  </si>
  <si>
    <t>Freezer Turn-In Only, AV = 26.0 cu ft
Product Category</t>
  </si>
  <si>
    <t>Enter Fresh Volume</t>
  </si>
  <si>
    <t>Enter Frozen Volume</t>
  </si>
  <si>
    <r>
      <t>AV</t>
    </r>
    <r>
      <rPr>
        <vertAlign val="subscript"/>
        <sz val="11"/>
        <color theme="1"/>
        <rFont val="Calibri"/>
        <family val="2"/>
        <scheme val="minor"/>
      </rPr>
      <t>R</t>
    </r>
    <r>
      <rPr>
        <sz val="11"/>
        <color theme="1"/>
        <rFont val="Calibri"/>
        <family val="2"/>
        <scheme val="minor"/>
      </rPr>
      <t xml:space="preserve"> = </t>
    </r>
  </si>
  <si>
    <r>
      <t>AV</t>
    </r>
    <r>
      <rPr>
        <vertAlign val="subscript"/>
        <sz val="11"/>
        <color theme="1"/>
        <rFont val="Calibri"/>
        <family val="2"/>
        <scheme val="minor"/>
      </rPr>
      <t>F</t>
    </r>
    <r>
      <rPr>
        <sz val="11"/>
        <color theme="1"/>
        <rFont val="Calibri"/>
        <family val="2"/>
        <scheme val="minor"/>
      </rPr>
      <t xml:space="preserve"> = </t>
    </r>
  </si>
  <si>
    <t>SAVINGS - SEMI-PRESCRIPTIVE CALCULATOR</t>
  </si>
  <si>
    <t>per Equation 1</t>
  </si>
  <si>
    <t>per Equation 2</t>
  </si>
  <si>
    <t>Electronic Code of Federal Regulations, PART 430—ENERGY CONSERVATION PROGRAM FOR CONSUMER PRODUCTS, Subpart C—Energy and Water Conservation Standards, §430.32  Energy and water conservation standards and their compliance dates. (a) Refrigerators/refrigerator-freezers/freezers, current as of December 13, 2018, accessed December 17, 2018.</t>
  </si>
  <si>
    <t>ENERGY STAR Program Requirements for Residential Refrigerators and Freezers. Eligibility Criteria, V5.0, https://www.energystar.gov/ia/partners/product_specs/program_reqs/ Refrigerators_and_Freezers_Program_Requirements_V5.0.pdf, accessed December 17, 2018.</t>
  </si>
  <si>
    <t>Auto Defrost w/ TDD, Side by Side</t>
  </si>
  <si>
    <t>ENERGY STAR, Key Product Criteria, https://www.energystar.gov/products/appliances/refrigerators/key_product_criteria.</t>
  </si>
  <si>
    <t>Energy Information Administration, Residential Energy Consumption Survey, 2015, Table CE3.5: Annual household site end-use consumption in the West--totals and averages, 2015, https://www.eia.gov/consumption/residential/data/2015/c&amp;e/pdf/ce3.5.pdf, accessed December 17, 2018.</t>
  </si>
  <si>
    <t>Customer level energy and peak demand estimates are a function of many variables. When practical, assumptions for key variables used in the estimation approaches are based on Hawai‘i specific data. Where Hawai‘i data is not available or it is cost-prohibitive to obtain, data from similar programs in similar climate zones is used with appropriate adjustments based on engineering judgment.</t>
  </si>
  <si>
    <t>The savings estimates used in the initial Hawai‘i Energy TRM were drawn largely from the KEMA Evaluation Report for 2005 through 2007. At that time, the KEMA report was the most recent information available on specific markets. The values contained within that report were built upon previous evaluation reports and in-field measurements.</t>
  </si>
  <si>
    <t>Because that report used “average” field measured data instead of generalizable engineering equations to estimate savings for many measures, the approaches provided in the TRM attempted to develop savings calculations based on typical measure characteristics. The primary use of the KEMA report values was to guide development of the first TRM, including market assumptions, especially for the baseline energy use, to more accurately estimate the typical savings.</t>
  </si>
  <si>
    <t>Uniform Methods Project</t>
  </si>
  <si>
    <t>U.S. Department of Energy</t>
  </si>
  <si>
    <t>Environmental Protection Agency</t>
  </si>
  <si>
    <t>American Society of Heating, Refrigerating and Air-Conditioning Engineers (ASHRAE)</t>
  </si>
  <si>
    <t>International Energy Conservation Code</t>
  </si>
  <si>
    <t>California Public Utilities Commission, Database for Energy Efficiency Resources (DEER)</t>
  </si>
  <si>
    <t>Regional Technical Forum, Library of Unit Energy Savings Measures</t>
  </si>
  <si>
    <t>Multiple Technical Reference Manuals for jurisdictions across the U.S.</t>
  </si>
  <si>
    <t xml:space="preserve">Various memorandums prepared by former EM&amp;V Consultant, Opinion Dynamics </t>
  </si>
  <si>
    <t>Additionally, the primary sources the AEG team used to update key parameters with Hawai‘i-specific data are listed below:</t>
  </si>
  <si>
    <t>Commercial and Residential Hourly Load Profiles for all TMY3 Locations in the United States, OpenEI Datasets, Open Data Catalog, Office of Energy Efficiency and Renewable Energy, U.S. Department of Energy. Available at: https://openei.org/doe-opendata/dataset/commercial-and-residential-hourly-load-profiles-for-all-tmy3-locations-in-the-united-states.</t>
  </si>
  <si>
    <t>National Renewable Energy Laboratory’s Building Energy Optimization (BEopt) Software. Version 2.8.0.0. U.S. Department of Energy. January 2018. Available at: https://beopt.nrel.gov/. AEG developed a prototype home and ran various simulations using Honolulu weather data.</t>
  </si>
  <si>
    <t>TERM</t>
  </si>
  <si>
    <t>DEFINITION</t>
  </si>
  <si>
    <t>Annual Operating Hours (AOH)</t>
  </si>
  <si>
    <t>See “Operating Hours” definition. Also referred to as “Hours of Use.”</t>
  </si>
  <si>
    <t>Avoided Costs</t>
  </si>
  <si>
    <t xml:space="preserve">Essentially the marginal cost for a public utility to produce one more unit of power. Because Qualifying Facilities (QFs) reduce the utility's need to produce this additional power themselves, the price utilities pay for QF power has been set to the avoided, or marginal, cost. </t>
  </si>
  <si>
    <t xml:space="preserve">Baseline </t>
  </si>
  <si>
    <t>Conditions, such as energy consumption and demand, which would have occurred without implementation of the subject energy efficiency measure. Baseline conditions are sometimes referred to as the counterfactual. There are several baseline options and a range of definitions for these options used in the efficiency industry.</t>
  </si>
  <si>
    <t>Coefficient of Variation</t>
  </si>
  <si>
    <t>The sample standard deviation divided by the sample mean (Cv = σ/μ).</t>
  </si>
  <si>
    <t>Coincident Demand</t>
  </si>
  <si>
    <t xml:space="preserve">The demand of a device, circuit, end-use, building, or population that occurs at the same time as the utility’s system peak load. </t>
  </si>
  <si>
    <t xml:space="preserve">Coincidence Factor (CF) </t>
  </si>
  <si>
    <t>Coincident Peak Demand Reduction</t>
  </si>
  <si>
    <t xml:space="preserve">The reduction in peak electricity use in units of kW from the baseline to the use associated with the energy-efficient measure installation, where the reduction in peak electricity use occurs simultaneously with the servicing utility system’s maximum use during a specific period. Hawai‘i Energy’s current definition for coincident peak demand savings is the average demand savings that occur, from implementation of an efficiency measure, during the non-holiday, weekday hours between 5 and 9 PM. This aligns with HECO’s System Peak Period. See also “System Peak Period” definition. </t>
  </si>
  <si>
    <t>Common Practice</t>
  </si>
  <si>
    <t xml:space="preserve">The predominant technology(ies) implemented or practice(s) undertaken in a particular region or sector. Common practices can be used to define a baseline. </t>
  </si>
  <si>
    <t xml:space="preserve">Connected Load </t>
  </si>
  <si>
    <t>The maximum wattage of the equipment, under normal operating conditions.</t>
  </si>
  <si>
    <t>Cost-effectiveness</t>
  </si>
  <si>
    <t xml:space="preserve">An indicator of the relative performance or economic attractiveness of any energy efficiency investment or practice. The present value of the estimated benefits produced by an energy efficiency program is compared to the estimated total costs to determine if the proposed investment or measure is desirable from a variety of perspectives (e.g., whether the estimated benefits exceed the estimated costs from a societal perspective). </t>
  </si>
  <si>
    <t xml:space="preserve">Energy efficiency measures that provide efficiency solutions to unique situations that are not amendable to fully deemed savings values or for which an individualized savings determination approach is preferable. Custom measures rely on site-specific information (e.g., hours of operation, horsepower, existing equipment efficiency) that determines their impacts (e.g., energy savings). </t>
  </si>
  <si>
    <t>Deemed Calculation</t>
  </si>
  <si>
    <t>Agreed-to engineering algorithm(s) used to calculate energy and/or demand savings associated with installed efficiency measure(s). Referred to in some TRMs as stipulated algorithm(s), standard protocols, or site-specific protocols. Deemed calculations that use only deemed variables or factors define fully deemed savings values. Deemed calculations are used to determine partially deemed savings values when used with a combination of (1) deemed variables/factors and (2) site- or project-specific variables/factors.</t>
  </si>
  <si>
    <t>Deemed Savings Method</t>
  </si>
  <si>
    <t>The process used to derive fully deemed savings values.</t>
  </si>
  <si>
    <t>Deemed Savings Values</t>
  </si>
  <si>
    <t xml:space="preserve">Predetermined estimates of energy or peak demand savings attributable to individual energy efficiency measures implemented in a particular type of building, application, climate zone, etc. Referred to in some TRMs as unit energy savings or stipulated savings values. These are documented, numerical values for specific energy efficiency measures, often in the form of per-unit savings that define the agreed-upon performance of an individual energy efficiency measure. Deemed savings values may be either:
</t>
  </si>
  <si>
    <t xml:space="preserve">•	</t>
  </si>
  <si>
    <r>
      <rPr>
        <b/>
        <sz val="11"/>
        <color theme="1"/>
        <rFont val="Calibri"/>
        <family val="2"/>
        <scheme val="minor"/>
      </rPr>
      <t>Fully deemed savings values</t>
    </r>
    <r>
      <rPr>
        <sz val="11"/>
        <color theme="1"/>
        <rFont val="Calibri"/>
        <family val="2"/>
        <scheme val="minor"/>
      </rPr>
      <t>—values that are fixed regardless of any site- or project-specific conditions, variables, or factors, or</t>
    </r>
  </si>
  <si>
    <r>
      <rPr>
        <b/>
        <sz val="11"/>
        <color theme="1"/>
        <rFont val="Calibri"/>
        <family val="2"/>
        <scheme val="minor"/>
      </rPr>
      <t>Partially deemed (semi-prescriptive) savings values</t>
    </r>
    <r>
      <rPr>
        <sz val="11"/>
        <color theme="1"/>
        <rFont val="Calibri"/>
        <family val="2"/>
        <scheme val="minor"/>
      </rPr>
      <t>—values determined with algorithms, which have as inputs some combination of (1) deemed variables or factors and (2) site- or project-specific conditions, variables, and factors.</t>
    </r>
  </si>
  <si>
    <t>Deemed Variable</t>
  </si>
  <si>
    <t>Values for input assumptions that determine the performance of an energy efficiency measure under different operating conditions, applications, climates, etc. Also referred to as a stipulated variable.</t>
  </si>
  <si>
    <t xml:space="preserve">Default Value </t>
  </si>
  <si>
    <t>When a measure indicates that an input to a prescriptive savings algorithm may take on a range of values, an average value is also provided in many cases. This value is considered the default input to the algorithm, and should be used when the other alternatives listed in the measure are not applicable.</t>
  </si>
  <si>
    <t xml:space="preserve">See the “Coincident Peak Demand Reduction” definition. </t>
  </si>
  <si>
    <t>Demand-Side Management</t>
  </si>
  <si>
    <t>Strategies used to manage energy demand, including energy efficiency, load management, fuel substitution, and load building.</t>
  </si>
  <si>
    <t>Energy Efficiency</t>
  </si>
  <si>
    <t>"Energy efficiency" refers to measures that reduce the amount of energy required to achieve a given task or end use.</t>
  </si>
  <si>
    <t>Reduction in energy use as compared to a baseline consumption. Electricity savings are generally expressed in units of kWh.</t>
  </si>
  <si>
    <t xml:space="preserve">Effective Useful Life (EUL) </t>
  </si>
  <si>
    <t>The median number of years that a measure is in place and operational after installation. This definition implicitly includes equipment life and measure persistence (defined below) but not savings persistence. (Definition is from the Uniform Methods Project.)  See also “Savings Persistence” definition.</t>
  </si>
  <si>
    <r>
      <rPr>
        <b/>
        <sz val="11"/>
        <color theme="1"/>
        <rFont val="Calibri"/>
        <family val="2"/>
        <scheme val="minor"/>
      </rPr>
      <t>"Equipment life”</t>
    </r>
    <r>
      <rPr>
        <sz val="11"/>
        <color theme="1"/>
        <rFont val="Calibri"/>
        <family val="2"/>
        <scheme val="minor"/>
      </rPr>
      <t xml:space="preserve"> is the number of years installed equipment will operate before it fails. </t>
    </r>
  </si>
  <si>
    <r>
      <rPr>
        <b/>
        <sz val="11"/>
        <color theme="1"/>
        <rFont val="Calibri"/>
        <family val="2"/>
        <scheme val="minor"/>
      </rPr>
      <t>"Measure persistence”</t>
    </r>
    <r>
      <rPr>
        <sz val="11"/>
        <color theme="1"/>
        <rFont val="Calibri"/>
        <family val="2"/>
        <scheme val="minor"/>
      </rPr>
      <t xml:space="preserve"> takes into account business turnover, early retirement or failure of the installed equipment, and any other reason the measure would be removed or discontinued. </t>
    </r>
  </si>
  <si>
    <t>Equivalent Full Load Hours (EFLH)</t>
  </si>
  <si>
    <t>The equivalent hours that equipment would need to operate at its peak capacity in order to consume its estimated annual kWh consumption (annual kWh/connected kW).</t>
  </si>
  <si>
    <t xml:space="preserve">Evaluation is an applied inquiry process for collecting and synthesizing evidence that culminates in conclusions about the state of affairs, accomplishments, value, merit, worth, significance, or quality of a program, product, person, policy, proposal, or plan. Impact evaluation in the energy efficiency arena is an investigation process to determine energy or demand impacts achieved through the program activities, encompassing, but not limited to: savings verification, measure level research, and program level research. Additionally, evaluation may occur outside of the bounds of this TRM structure to assess the design and implementation of the program. </t>
  </si>
  <si>
    <t xml:space="preserve">Evaluation 
or 
Evaluation, Measurement and Verification (EM&amp;V) </t>
  </si>
  <si>
    <t>Failure and Failure Rate</t>
  </si>
  <si>
    <t xml:space="preserve">“Failure” is defined as an instance where an implementation contractor reports that a measure has been installed, but a subsequent inspection finds that the equipment is non-operational and/or not properly installed and that difference has not been accounted for elsewhere.
</t>
  </si>
  <si>
    <t xml:space="preserve">“Failure rate” should be defined as the percent of inspected installation sites where any equipment fails inspection (i.e., the equipment is either not installed or not operating) and that possibility has not been otherwise accounted for.
</t>
  </si>
  <si>
    <t>Note, the definition of failure is intended to not count issues related to persistence or normal measure lives.</t>
  </si>
  <si>
    <t xml:space="preserve">High Efficiency </t>
  </si>
  <si>
    <t>General term for technologies and processes that require less energy, water, or other inputs to operate.</t>
  </si>
  <si>
    <t>Hours of Use (HOU)</t>
  </si>
  <si>
    <t>See “Operating Hours” definition. Also referred to as “Annual Operating Hours.”</t>
  </si>
  <si>
    <t>Impact Evaluation</t>
  </si>
  <si>
    <t>An assessment of the program-specific, directly or indirectly induced changes (e.g., changes in energy use and/or demand) associated with an energy efficiency program.</t>
  </si>
  <si>
    <t>Some measure types require special attention because ISRs, or installation rates, have been found to be relatively low. For example, the ISR represents the percentage of incented residential lighting products that are ultimately installed by program participants. ISRs vary substantially based on the program delivery mechanism, but they are particularly important in giveaway or upstream programs where the customer is responsible for installation. ISRs should be included in TRM calculations for relevant measure types.</t>
  </si>
  <si>
    <t>In-Service Rate (ISR)</t>
  </si>
  <si>
    <t>Key Stakeholder Group</t>
  </si>
  <si>
    <t>Lifetime</t>
  </si>
  <si>
    <t>The number of years (or hours) that the new high efficiency equipment is expected to function. These are generally based on engineering lives, but sometimes adjusted based on expectations about frequency of removal, remodeling or demolition. Two important distinctions fall under this definition: Effective Useful Life (EUL) and Remaining Useful Life (RUL). See the “Effective Useful Life” and “Remaining Useful Life” definitions.</t>
  </si>
  <si>
    <t>Savings may vary over the lifetime of a measure. Savings estimate should typically apply throughout the period between measure delivery and the end of the measure lifetime. If the RUL of a pre-conditions measure is expected to be greater than 0 years but less than 25 years (0&lt;RUL&lt;25 years), then two baselines must be used in estimating lifetime savings. The first baseline applies between measure-delivery and when the RUL of the pre-condition expires. The second baseline applies between expiration of the RUL and the end of the measure lifetime. For example, an air compressor might be scheduled for replacement in 3 years, but is replaced sooner with a more efficient model. The lifetime of the efficient air compressor might be 20 years; however, the RUL would be 3. The first baseline applies to years 1 through 3. A second baseline is applied in years 4 through 20.</t>
  </si>
  <si>
    <t xml:space="preserve">Load Factor (LF) </t>
  </si>
  <si>
    <t>The fraction of full load (wattage) for which the equipment is typically run.</t>
  </si>
  <si>
    <t>Logic Model</t>
  </si>
  <si>
    <t>A graphical depiction and description of the logical relationships between the inputs, activities, outputs, and outcomes of a program.</t>
  </si>
  <si>
    <t>Market Effects</t>
  </si>
  <si>
    <t xml:space="preserve">Changes in the structure of a market or the behavior of participants in a market that is reflective of an increase in the adoption of energy efficient products, services, or practices and is causally related to market intervention(s) (e.g., programs). </t>
  </si>
  <si>
    <t>Market Penetration</t>
  </si>
  <si>
    <t>A measure of the diffusion of a technology, product, or practice in a defined market, as represented by the percentage of annual sales for a product or practice, the percentage of the existing installed stock for a product or category of products, or the percentage of existing installed stock that uses a practice.</t>
  </si>
  <si>
    <t>Market Saturation</t>
  </si>
  <si>
    <t>A percentage indicating the proportion of a specified end-user market that contains a particular product. An example would be the percentage of all households in a given geographical area that have a certain appliance.</t>
  </si>
  <si>
    <t xml:space="preserve">Market Transformation Programs </t>
  </si>
  <si>
    <t xml:space="preserve">Hawai‘i Energy’s EE portfolio includes a suite of programs labeled as “Market Transformation.” These programs aim to provide strategic interventions in the market in order to create lasting efficiencies and ultimately pave the way for the integration of clean energy solutions. </t>
  </si>
  <si>
    <t>A high efficiency technology or procedure that results in energy savings as compared to the baseline efficiency.</t>
  </si>
  <si>
    <t>Measure</t>
  </si>
  <si>
    <t xml:space="preserve">Measure Cost </t>
  </si>
  <si>
    <t>The incremental (for time of sale measures) or full cost (both capital and labor for retrofit measures) of implementing the High Efficiency measure.</t>
  </si>
  <si>
    <t xml:space="preserve">Measure Description </t>
  </si>
  <si>
    <t>A detailed description of the technology or procedure and the criteria it must meet to be eligible as an energy efficient measure.</t>
  </si>
  <si>
    <t>Measure Level Research</t>
  </si>
  <si>
    <t>An evaluation process that takes a deeper look into measure level savings achieved through program activities driven by the goal of providing Hawai‘i-specific research to facilitate updating measure-specific TRM input values or algorithms.</t>
  </si>
  <si>
    <t>The hours that equipment is expected to operate in a given period of time (e.g., day, month, year).</t>
  </si>
  <si>
    <t>Operating Hours</t>
  </si>
  <si>
    <t>Peak Demand</t>
  </si>
  <si>
    <t>The average demand savings that occur from implementation of an energy efficiency measure during the non-holiday, weekday hours between 5 and 9 PM. This aligns with HECO’s System Peak Period: 5-9 PM on the average weekday throughout the year, regardless of the season or month.</t>
  </si>
  <si>
    <t xml:space="preserve">Persistence Factor (PF) </t>
  </si>
  <si>
    <t>The metric used to measure Savings Persistence. Range = 0-100%.  See also “Savings Persistence” definition.</t>
  </si>
  <si>
    <t>Persistence Study</t>
  </si>
  <si>
    <t xml:space="preserve">A study to assess changes in program impacts over time (including retention and degradation). </t>
  </si>
  <si>
    <t>Portfolio</t>
  </si>
  <si>
    <t>Either (a) a collection of similar programs addressing the same market (e.g., a portfolio of residential programs), technology (e.g., motor-efficiency programs), or mechanisms (e.g., loan programs) or (b) the set of all programs conducted by one organization, such as a utility (and which could include programs that cover multiple markets, technologies, etc.).</t>
  </si>
  <si>
    <t>Potential Studies</t>
  </si>
  <si>
    <t>Studies conducted to assess market baselines and savings potentials for different technologies and customer markets. Potential is typically defined in terms of technical potential, market potential, and economic potential.</t>
  </si>
  <si>
    <t>Prescriptive Measures</t>
  </si>
  <si>
    <t>See “Deemed” measure definitions.</t>
  </si>
  <si>
    <t>A group of projects, with similar characteristics and installed in similar applications. Examples could include a utility program to install energy-efficient lighting in commercial buildings, a developer’s program to build a subdivision of homes that have photovoltaic systems, or a state residential energy efficiency code program.</t>
  </si>
  <si>
    <t>Program Year (PY)</t>
  </si>
  <si>
    <t>The time period approved for program implementation. The Hawai‘i Energy program year runs from July 1st to the following June 30th.</t>
  </si>
  <si>
    <t>Regression Analysis</t>
  </si>
  <si>
    <t>Analysis of the relationship between a dependent variable (response variable) to specified independent variables (explanatory variables). The mathematical model of their relationship is the regression equation.</t>
  </si>
  <si>
    <t>Remaining Useful Life (RUL)</t>
  </si>
  <si>
    <t>Applies to retrofit or replacement measures. For example, if an existing working refrigerator is replaced with a high efficiency unit, the RUL is an assumption of how many more years the existing unit would have lasted. If the RUL cannot be determined from the age of the measure, the RUL is usually assumed to be 1/3 of the EUL.</t>
  </si>
  <si>
    <t>Replace on Burnout</t>
  </si>
  <si>
    <t>When a piece of equipment has stopped working and is being replaced, this is referred to as "replace on burnout." The benefits are calculated as the cost of the energy saved by using the efficient measure as compared with the energy that would have been used by an off the shelf (less efficient) "stock" version of the measure.</t>
  </si>
  <si>
    <t>Retrofit Isolation</t>
  </si>
  <si>
    <t>The savings measurement approach defined in IPMVP Options A and B, as well as ASHRAE Guideline 14, that determines energy or demand savings through the use of meters to isolate the energy flows for the system(s) under consideration. IPMVP Option A involves “Key Parameter Measurement” and IPMVP Option B involves “All Parameter Measurement.”</t>
  </si>
  <si>
    <t xml:space="preserve">Savings Persistence </t>
  </si>
  <si>
    <t xml:space="preserve">The percentage of change in expected savings due to changed operating hours, changed process operations, and/or the performance degradation of equipment efficiency relative to the baseline efficiency option. For example, an industrial plant that reduces operation from two shifts to one shift may then have a savings persistence factor of 50%, as only half of the projected energy savings would be realized. Also, improper operation of the equipment may negatively affect savings persistence, so training and commissioning could improve savings persistence. Finally, most equipment efficiency degrades over time, so annual energy savings may increase or decrease relative to the efficiency degradation of the baseline efficiency option. (Definition is from the Uniform Methods Project.) </t>
  </si>
  <si>
    <t>Spillover</t>
  </si>
  <si>
    <t>Spillover refers to energy savings that are due to the influence of a program but are not counted in program records. Spillover can be broken out in three categories: 1) Participant Internal Spillover; 2) Participant External Spillover; and 3) Non-Participant Spillover.</t>
  </si>
  <si>
    <t xml:space="preserve">System Loss Factor (SLF) </t>
  </si>
  <si>
    <t>System Peak Period</t>
  </si>
  <si>
    <t>HECO’s current definition of system peak period is 5-9 PM on the average non-holiday weekday throughout the year, regardless of the season or month.</t>
  </si>
  <si>
    <t>Technical Advisory Group</t>
  </si>
  <si>
    <t>TRM and TRM Framework development is guided by a spirit of collaboration and shared goals. The Technical Advisory Group (“TAG”) provides input to this process. The TAG is made up of a broader group of stakeholders, including utilities, the consumer advocate, consultants, and other credible resources.</t>
  </si>
  <si>
    <t>Technical Reference Manual</t>
  </si>
  <si>
    <t>A resource that contains energy efficiency measure information used in program planning, implementation, tracking, and reporting and evaluation of impacts associated with the subject measures.</t>
  </si>
  <si>
    <t xml:space="preserve">Total Resource Benefit (TRB) </t>
  </si>
  <si>
    <t>Total Resource Benefit is the present value of avoided utility costs over the life of the efficiency measures installed through the program. The utilities’ total avoided cost of all saved energy and capacity avoided is called the Total Resource Benefit.</t>
  </si>
  <si>
    <t xml:space="preserve">Total Resource Cost (TRC) </t>
  </si>
  <si>
    <t xml:space="preserve">TRB-TRC Ratio </t>
  </si>
  <si>
    <t>Energy effects from an energy efficiency measure that occur outside the measurement boundary of the individual measure. For example, there are interactive effects between lighting and HVAC equipment, since efficient lighting installed in conditioned spaces decreases air conditioning loads, but increases heating loads.</t>
  </si>
  <si>
    <t>Interactive Effects Factor (IE, IEF, or IF)</t>
  </si>
  <si>
    <t>Interactive Effects</t>
  </si>
  <si>
    <t>The metric used to measure interactive effects.  See also "Interactive Effects."</t>
  </si>
  <si>
    <t>A ratio of the net impacts to the gross impacts of an energy efficiency measure or program.</t>
  </si>
  <si>
    <t>Net Savings</t>
  </si>
  <si>
    <t>Gross Savings</t>
  </si>
  <si>
    <t>The difference in energy consumption with the energy efficiency measures promoted by the program in place versus what consumption would have been without those measures in place. (Definition is from Uniform Methods Project.)</t>
  </si>
  <si>
    <t>The difference in energy consumption with the program in place versus what consumption would have been without the program in place. The factors most often considered in net savings calculations are free-ridership, spillover (both participant and nonparticipant), and market effects. (Definition is from Uniform Methods Project.)</t>
  </si>
  <si>
    <t>Free-ridership</t>
  </si>
  <si>
    <t>Program savings attributable to free-riders (program participants who would have implemented a program measure or practice in the absence of the program). (Definition is from Uniform Methods Project.)</t>
  </si>
  <si>
    <t>In PY17, Hawai‘i Energy moved some formerly prescriptive projects to the custom category, mainly for the reason that these projects occur infrequently.  These include Transformers, Residential New Construction, and Heat Pump Water Heater-to-Heat Pump Water Heater upgrades.  Below is a list and description of a selection of custom measures.  Due to the nature of our custom program, this list is not intended to be comprehensive.</t>
  </si>
  <si>
    <t>Single-phase and three-phase low-voltage distribution transformers in commercial building applications.</t>
  </si>
  <si>
    <t xml:space="preserve">As a guideline, Hawai‘i Energy has established an upper threshold of 200 horsepower for prescriptive rebates on variable frequency drives.  This value was chosen after a literature review.  The NEEP VSD Load shape Project (2014) determined a savings metric for prescriptive energy and demand savings for VSDs on various applications for motors up to 200 hp.  In addition, the NREL Chapter 18 VFD Evaluation Protocol (2017) recommended this method for prescriptive evaluation.  The NREL Chapter stated that a customized evaluation “is more common for facilities that are applying incentives for a variety of measures in a building.”  VFD projects that are part of a larger project with a variety of efficiency measures being installed simultaneously would be a candidate for Custom evaluation, at the discretion of Hawai‘i Energy.  </t>
  </si>
  <si>
    <t>Inclusion of guidance for non-deemed savings calculation methods for certain measures</t>
  </si>
  <si>
    <t>Based on average lamp life of 2,500 hours</t>
  </si>
  <si>
    <t>AEG's Analysis of Sunset Data for Honolulu, HI. Source: Sunrise-Sunset online tool, accessed 11/4/2018, https://sunrise-sunset.org/.</t>
  </si>
  <si>
    <t>The Uniform Methods Project. Chapter 14: Chiller Evaluation Protocol. September 2014. Available electronically at: &lt;https://energy.gov/eere/about-us/ump-protocols&gt;.</t>
  </si>
  <si>
    <t>Southern California Edison. Air-Cooled Constant Speed Screw Chiller. Workpaper SCE17HC030, Revision 1. November 16, 2017. Available at: &lt;http://www.deeresources.net/workpapers&gt;.</t>
  </si>
  <si>
    <t>Southern California Edison. Water Cooled Chiller. Workpaper SCE17HC043, Revision 0. November 14, 2017. Available at: &lt;http://www.deeresources.net/workpapers&gt;.</t>
  </si>
  <si>
    <t xml:space="preserve">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</si>
  <si>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AEG's 2018 Analysis File titled "AEG HPUC Update of Com-Lighting Measures - Analysis file."</t>
  </si>
  <si>
    <t xml:space="preserve">AEG's 2018 Analysis File titled "AEG HPUC Update of Residential Measures - Analysis file." </t>
  </si>
  <si>
    <t xml:space="preserve">AEG's 2018 Analysis File titled "AEG HPUC EUL Analysis." </t>
  </si>
  <si>
    <t>Net-to-Gross Ratio (NTGR)</t>
  </si>
  <si>
    <t>All CREEM Measures</t>
  </si>
  <si>
    <t>All RESM Measures</t>
  </si>
  <si>
    <t>All RHTR Measures</t>
  </si>
  <si>
    <t>Sources:</t>
  </si>
  <si>
    <t>Net-to-Gross (NTG) Ratio
or NTGR</t>
  </si>
  <si>
    <t>The lighting hours of use and coincidence factors were updated for the PY19 TRM. Refer to these AEG analysis files for more information: "AEG HPUC Update of Com-Lighting Measures - Analysis file" and "AEG HPUC EFLH and CF Analysis - Non-Holiday Weekdays."</t>
  </si>
  <si>
    <t>EQUIPMENT OPERATING HOURS AND COINCIDENCE FACTORS</t>
  </si>
  <si>
    <t>General Commercial Lighting Hours of Use (HOU) &amp; Coincidence Factor (CF)</t>
  </si>
  <si>
    <t>The general cooling equivalent full load hours and coincidence factors were updated for the PY19 TRM. Refer to these AEG analysis files for more information: "AEG HPUC Update of Commercial Chillers - Analysis File" and "AEG HPUC EFLH and CF Analysis - Non-Holiday Weekdays."</t>
  </si>
  <si>
    <t>General Commercial Cooling Equivalent Full Load Hours (EFLH) and Coincident Factor (CF)</t>
  </si>
  <si>
    <t>Commercial Water Heating Equivalent Full Load Hours (EFLH) and Coincident Factor (CF)</t>
  </si>
  <si>
    <t>The commercial water heating equivalent full load hours and coincidence factors were updated for the PY19 TRM. Refer to these AEG analysis files for more information: "AEG HPUC Update of Com-Solar Water Heater - Analysis file" and "AEG HPUC EFLH and CF Analysis - Non-Holiday Weekdays."</t>
  </si>
  <si>
    <t>Table 2.  General Commercial Cooling: Equivalent Full Load Hours &amp; Coincidence Factors</t>
  </si>
  <si>
    <t>Table 4.  General Commercial Water Heating: Equivalent Full Load Hours &amp; Coincidence Factors</t>
  </si>
  <si>
    <t>Misc./Avg. Commercial</t>
  </si>
  <si>
    <t>Use custom approach for entries noted as "Varies."</t>
  </si>
  <si>
    <t>Table 1a.  General Commercial Lighting: Annual Hours of Use</t>
  </si>
  <si>
    <t>Table 1b.  General Commercial Lighting: Coincidence Factors</t>
  </si>
  <si>
    <t>The TRM provides specific savings algorithms for many prescriptive measures. When a customer installs a prescriptive measure, the savings are determined according to these algorithms. In some cases these algorithms include the effects of interactions with other measures or end-uses.</t>
  </si>
  <si>
    <t>Measure Interactive Effects</t>
  </si>
  <si>
    <t xml:space="preserve">Lighting/Cooling Interactive Effects Factors (IE) </t>
  </si>
  <si>
    <r>
      <t>IE</t>
    </r>
    <r>
      <rPr>
        <b/>
        <vertAlign val="subscript"/>
        <sz val="11"/>
        <color theme="1"/>
        <rFont val="Calibri"/>
        <family val="2"/>
        <scheme val="minor"/>
      </rPr>
      <t>C,D</t>
    </r>
  </si>
  <si>
    <r>
      <t>IE</t>
    </r>
    <r>
      <rPr>
        <b/>
        <vertAlign val="subscript"/>
        <sz val="11"/>
        <color theme="1"/>
        <rFont val="Calibri"/>
        <family val="2"/>
        <scheme val="minor"/>
      </rPr>
      <t>C,E</t>
    </r>
  </si>
  <si>
    <r>
      <t>Table 1: Lighting/Cooling Load Interactive Effects Factors by Building Type, IE</t>
    </r>
    <r>
      <rPr>
        <b/>
        <vertAlign val="subscript"/>
        <sz val="11"/>
        <color theme="1"/>
        <rFont val="Calibri"/>
        <family val="2"/>
        <scheme val="minor"/>
      </rPr>
      <t>C,D</t>
    </r>
    <r>
      <rPr>
        <b/>
        <sz val="11"/>
        <color theme="1"/>
        <rFont val="Calibri"/>
        <family val="2"/>
        <scheme val="minor"/>
      </rPr>
      <t xml:space="preserve"> and IE</t>
    </r>
    <r>
      <rPr>
        <b/>
        <vertAlign val="subscript"/>
        <sz val="11"/>
        <color theme="1"/>
        <rFont val="Calibri"/>
        <family val="2"/>
        <scheme val="minor"/>
      </rPr>
      <t xml:space="preserve">C,E </t>
    </r>
  </si>
  <si>
    <r>
      <t>The lighting/cooling interactive effects factors for demand (IE</t>
    </r>
    <r>
      <rPr>
        <vertAlign val="subscript"/>
        <sz val="11"/>
        <color theme="1"/>
        <rFont val="Calibri"/>
        <family val="2"/>
        <scheme val="minor"/>
      </rPr>
      <t>C,D</t>
    </r>
    <r>
      <rPr>
        <sz val="11"/>
        <color theme="1"/>
        <rFont val="Calibri"/>
        <family val="2"/>
        <scheme val="minor"/>
      </rPr>
      <t>) and energy (IE</t>
    </r>
    <r>
      <rPr>
        <vertAlign val="subscript"/>
        <sz val="11"/>
        <color theme="1"/>
        <rFont val="Calibri"/>
        <family val="2"/>
        <scheme val="minor"/>
      </rPr>
      <t>C,E</t>
    </r>
    <r>
      <rPr>
        <sz val="11"/>
        <color theme="1"/>
        <rFont val="Calibri"/>
        <family val="2"/>
        <scheme val="minor"/>
      </rPr>
      <t>) were updated for the PY19 TRM. Refer to the AEG analysis file titled "AEG HPUC Update of Com-Lighting Measures - Analysis file" for more information.</t>
    </r>
  </si>
  <si>
    <t>Persistence factors may be used to reduce lifetime measure savings in recognition that initial engineering estimates of annual savings may not persist long term due to changed operating hours, changed process operations, and/or the performance degradation of equipment efficiency relative to the baseline efficiency option.</t>
  </si>
  <si>
    <t>Many of the measure algorithms contain an entry for persistence factor. The default value if none is indicated is 1.00 (100%). A value lower than 1.00 will result in a downward adjustment of the first year savings, lifetime savings, and total resource benefits.</t>
  </si>
  <si>
    <t>Refrigerator Turn-In (Remaining Useful Life)</t>
  </si>
  <si>
    <t>Freezer Turn-In (Remaining Useful Life)</t>
  </si>
  <si>
    <t>b. Assume no interactive effects for exit signs due to lack of representative data.</t>
  </si>
  <si>
    <t>Table 30. Calculated Lifetime Unit Savings: Pin-Base Omni-Directional</t>
  </si>
  <si>
    <t>Table 3. Calculated Lifetime Unit Savings: Pin-Base Omni-Directional</t>
  </si>
  <si>
    <t>Remove R_smart strip "average/unknown".  If not explicitly Tier 2, then it is Tier 1.</t>
  </si>
  <si>
    <t>United Nations Framework Convention of Climate Change, Small-scale Methodology: Solar water heating systems, Version 02.0, Sectoral scope(s): 01, Clean Development Mechanism, AMS-I.J, Aug. 31, 2018, available for download here: &lt;https://cdm.unfccc.int/methodologies/DB/7FWC9VI15EMP2EOCF44OUZH9XHLL5W&gt;.</t>
  </si>
  <si>
    <t>Refrigerator Adjusted Volume (AV), cu ft</t>
  </si>
  <si>
    <t>Freezer Adjusted Volume (AV), cu ft</t>
  </si>
  <si>
    <r>
      <t>Baseline Wattage, kW</t>
    </r>
    <r>
      <rPr>
        <b/>
        <vertAlign val="subscript"/>
        <sz val="10.5"/>
        <color theme="1"/>
        <rFont val="Calibri"/>
        <family val="2"/>
        <scheme val="minor"/>
      </rPr>
      <t>base</t>
    </r>
  </si>
  <si>
    <r>
      <t>Efficient Wattage, kW</t>
    </r>
    <r>
      <rPr>
        <b/>
        <vertAlign val="subscript"/>
        <sz val="10.5"/>
        <color theme="1"/>
        <rFont val="Calibri"/>
        <family val="2"/>
        <scheme val="minor"/>
      </rPr>
      <t>EE</t>
    </r>
  </si>
  <si>
    <t>HID 310W-600W Baseline: 365W, 457W, 665W</t>
  </si>
  <si>
    <t>HID 50W-100W Baseline: 64W, 86W, 128W</t>
  </si>
  <si>
    <t>HID 150W-250W Baseline: 188W, 240W, 295W</t>
  </si>
  <si>
    <t>HID 750W-1000W Baseline: 840W, 1100W</t>
  </si>
  <si>
    <t>COMMERCIAL: VFD HVAC Water Pump and Fan</t>
  </si>
  <si>
    <r>
      <t>LBNL</t>
    </r>
    <r>
      <rPr>
        <vertAlign val="superscript"/>
        <sz val="10.5"/>
        <color theme="1"/>
        <rFont val="Calibri"/>
        <family val="2"/>
        <scheme val="minor"/>
      </rPr>
      <t>1</t>
    </r>
    <r>
      <rPr>
        <sz val="10.5"/>
        <color theme="1"/>
        <rFont val="Calibri"/>
        <family val="2"/>
        <scheme val="minor"/>
      </rPr>
      <t xml:space="preserve"> </t>
    </r>
  </si>
  <si>
    <r>
      <rPr>
        <vertAlign val="superscript"/>
        <sz val="9"/>
        <color theme="1"/>
        <rFont val="Calibri"/>
        <family val="2"/>
        <scheme val="minor"/>
      </rPr>
      <t>1</t>
    </r>
    <r>
      <rPr>
        <sz val="9"/>
        <color theme="1"/>
        <rFont val="Calibri"/>
        <family val="2"/>
        <scheme val="minor"/>
      </rPr>
      <t xml:space="preserve"> 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r>
  </si>
  <si>
    <t xml:space="preserve">Updated in Fall 2018 for PY19 TRM. </t>
  </si>
  <si>
    <t>One VFD.</t>
  </si>
  <si>
    <t>Annual equivalent full load operating hours of fan or pump</t>
  </si>
  <si>
    <t>HP</t>
  </si>
  <si>
    <t>Nameplate horsepower</t>
  </si>
  <si>
    <t>See "C_HVAC_VFD Water Pump Reference" table if nameplate efficiency is missing</t>
  </si>
  <si>
    <r>
      <t xml:space="preserve">Derived using CMUA calculator cited below. </t>
    </r>
    <r>
      <rPr>
        <vertAlign val="superscript"/>
        <sz val="10.5"/>
        <color theme="1"/>
        <rFont val="Calibri"/>
        <family val="2"/>
        <scheme val="minor"/>
      </rPr>
      <t>2</t>
    </r>
  </si>
  <si>
    <r>
      <t xml:space="preserve">CMUA TRM401 Energy Savings Calculator for Pump and Fan VFD </t>
    </r>
    <r>
      <rPr>
        <vertAlign val="superscript"/>
        <sz val="10.5"/>
        <color theme="1"/>
        <rFont val="Calibri"/>
        <family val="2"/>
        <scheme val="minor"/>
      </rPr>
      <t>3</t>
    </r>
  </si>
  <si>
    <r>
      <rPr>
        <vertAlign val="superscript"/>
        <sz val="9"/>
        <color theme="1"/>
        <rFont val="Calibri"/>
        <family val="2"/>
        <scheme val="minor"/>
      </rPr>
      <t>3</t>
    </r>
    <r>
      <rPr>
        <sz val="9"/>
        <color theme="1"/>
        <rFont val="Calibri"/>
        <family val="2"/>
        <scheme val="minor"/>
      </rPr>
      <t xml:space="preserve"> The calculator is available for download here: https://www.cmua.org/energy-efficiency-technical-reference-manual. Click "TRM Spreadsheet 3 - 300 through 505" and then the file is named "TRM401_energy savings calculator_pump and fan VFD_v4_1_14"</t>
    </r>
  </si>
  <si>
    <t>Project specific</t>
  </si>
  <si>
    <r>
      <rPr>
        <vertAlign val="superscript"/>
        <sz val="9"/>
        <color theme="1"/>
        <rFont val="Calibri"/>
        <family val="2"/>
        <scheme val="minor"/>
      </rPr>
      <t>4</t>
    </r>
    <r>
      <rPr>
        <sz val="9"/>
        <color theme="1"/>
        <rFont val="Calibri"/>
        <family val="2"/>
        <scheme val="minor"/>
      </rPr>
      <t xml:space="preserve"> The coincidence factor cannot be stipulated based on the cooling system CF, since it will have an inverse relationship to cooling system CF. For example, if a chiller operates at full load during the entire peak demand period, its CF will be high (1.0), but the VFD's CF will be 0 (there will actually be demand penalty due to efficiency losses with addition of VFD controller operating at 100% flow). Therefore, the CF for the VFD measure must be determined by a custom method that ideally takes into account a difference in the load shapes before and after installation of the VFD. In absence of project-specific CF, assume CF = 0.5, since it is reasonable to expect that the VFD demand savings occur during half of the 5-9 pm peak demand period.</t>
    </r>
  </si>
  <si>
    <t>EUL</t>
  </si>
  <si>
    <t>No change from PY18 TRM; EUL was verified during AEG's 2018 benchmarking</t>
  </si>
  <si>
    <t>The most typical VFD operation (at 60-80% of rated flow) reduces load from 100% to 43%.  However, at 0% flow the VFD is still drawing 5% load in the fan case and 27% load in the pump case.</t>
  </si>
  <si>
    <r>
      <t>SVG</t>
    </r>
    <r>
      <rPr>
        <vertAlign val="subscript"/>
        <sz val="10.5"/>
        <color theme="1"/>
        <rFont val="Calibri"/>
        <family val="2"/>
        <scheme val="minor"/>
      </rPr>
      <t>d</t>
    </r>
  </si>
  <si>
    <r>
      <t>SVG</t>
    </r>
    <r>
      <rPr>
        <vertAlign val="subscript"/>
        <sz val="10.5"/>
        <color theme="1"/>
        <rFont val="Calibri"/>
        <family val="2"/>
        <scheme val="minor"/>
      </rPr>
      <t>e</t>
    </r>
  </si>
  <si>
    <r>
      <t>kW</t>
    </r>
    <r>
      <rPr>
        <vertAlign val="subscript"/>
        <sz val="10.5"/>
        <color theme="1"/>
        <rFont val="Calibri"/>
        <family val="2"/>
      </rPr>
      <t>perHP</t>
    </r>
  </si>
  <si>
    <r>
      <t>Table 1. Percent Demand and Energy Savings from VFD Given Various Baseline Controls, SVG</t>
    </r>
    <r>
      <rPr>
        <b/>
        <vertAlign val="subscript"/>
        <sz val="10"/>
        <color theme="1"/>
        <rFont val="Calibri"/>
        <family val="2"/>
        <scheme val="minor"/>
      </rPr>
      <t>d</t>
    </r>
    <r>
      <rPr>
        <b/>
        <sz val="10"/>
        <color theme="1"/>
        <rFont val="Calibri"/>
        <family val="2"/>
        <scheme val="minor"/>
      </rPr>
      <t xml:space="preserve"> and SVG</t>
    </r>
    <r>
      <rPr>
        <b/>
        <vertAlign val="subscript"/>
        <sz val="10"/>
        <color theme="1"/>
        <rFont val="Calibri"/>
        <family val="2"/>
        <scheme val="minor"/>
      </rPr>
      <t>e</t>
    </r>
  </si>
  <si>
    <t>Select whether the VFD is for a fan or pump</t>
  </si>
  <si>
    <t>Select the type of baseline controls</t>
  </si>
  <si>
    <t>Baseline controls</t>
  </si>
  <si>
    <t>Project type</t>
  </si>
  <si>
    <t>Enter the annual equivalent full load operating hours of the pre-existing fan or pump</t>
  </si>
  <si>
    <t>Enter the coincidence factor</t>
  </si>
  <si>
    <t>Fan VFD</t>
  </si>
  <si>
    <t>Pump VFD</t>
  </si>
  <si>
    <t>Fan kW (typical)</t>
  </si>
  <si>
    <t>Fan kWh (total)</t>
  </si>
  <si>
    <t>Pump kW</t>
  </si>
  <si>
    <t>Pump kWh</t>
  </si>
  <si>
    <r>
      <t>SVG</t>
    </r>
    <r>
      <rPr>
        <vertAlign val="subscript"/>
        <sz val="11"/>
        <color theme="1"/>
        <rFont val="Calibri"/>
        <family val="2"/>
        <scheme val="minor"/>
      </rPr>
      <t>d</t>
    </r>
    <r>
      <rPr>
        <sz val="11"/>
        <color theme="1"/>
        <rFont val="Calibri"/>
        <family val="2"/>
        <scheme val="minor"/>
      </rPr>
      <t xml:space="preserve"> = </t>
    </r>
  </si>
  <si>
    <r>
      <t>SVG</t>
    </r>
    <r>
      <rPr>
        <vertAlign val="subscript"/>
        <sz val="11"/>
        <color theme="1"/>
        <rFont val="Calibri"/>
        <family val="2"/>
        <scheme val="minor"/>
      </rPr>
      <t>e</t>
    </r>
    <r>
      <rPr>
        <sz val="11"/>
        <color theme="1"/>
        <rFont val="Calibri"/>
        <family val="2"/>
        <scheme val="minor"/>
      </rPr>
      <t xml:space="preserve"> = </t>
    </r>
  </si>
  <si>
    <t>Enter the rated motor efficiency, %</t>
  </si>
  <si>
    <t>Enter the nameplate horsepower, HP</t>
  </si>
  <si>
    <r>
      <rPr>
        <vertAlign val="superscript"/>
        <sz val="9"/>
        <color theme="1"/>
        <rFont val="Calibri"/>
        <family val="2"/>
        <scheme val="minor"/>
      </rPr>
      <t>2</t>
    </r>
    <r>
      <rPr>
        <sz val="9"/>
        <color theme="1"/>
        <rFont val="Calibri"/>
        <family val="2"/>
        <scheme val="minor"/>
      </rPr>
      <t xml:space="preserve"> Approach for demand savings factors is not specified in PY18 TRM, but during the PY19 TRM update, AEG found the values to be reasonable based on the energy savings factors.</t>
    </r>
  </si>
  <si>
    <t>CMUA TRM401 Energy Savings Calculator for Pump and Fan VFD. The calculator is available for download here: https://www.cmua.org/energy-efficiency-technical-reference-manual. Click "TRM Spreadsheet 3 - 300 through 505" and then the file is named "TRM401_energy savings calculator_pump and fan VFD_v4_1_14"</t>
  </si>
  <si>
    <t xml:space="preserve">CMUA 2017 TRM, Section 8.1 Pump and Fan Variable Frequency Drive Control Measure, pg. 8.1, available here: &lt;https://www.cmua.org/files/CMUA-POU-TRM_2017_FINAL_12-5-2017%20-%20Copy.pdf&gt;. References the TRM401 pump and fan calculator for savings. </t>
  </si>
  <si>
    <t>Improving Motor and Drive System Performance: A Sourcebook for Industry, Prepared by Lawrence Berkeley National Laboratory and Resource Dynamics Corporation, Prepared for U.S. Department of Energy, September 2008, pg 15, available here: &lt;https://www1.eere.energy.gov/manufacturing/tech_assistance/pdfs/motor.pdf&gt;.</t>
  </si>
  <si>
    <t>COMMERCIAL: VFD Water Pump / Fan Reference Attachment</t>
  </si>
  <si>
    <t>AEG's Analysis File titled "AEG HPUC Update - Com-VFD Water Pump - Analysis file."</t>
  </si>
  <si>
    <r>
      <t xml:space="preserve">Not accurately stipulated; a custom input is recommended </t>
    </r>
    <r>
      <rPr>
        <vertAlign val="superscript"/>
        <sz val="10.5"/>
        <rFont val="Calibri"/>
        <family val="2"/>
        <scheme val="minor"/>
      </rPr>
      <t>4</t>
    </r>
  </si>
  <si>
    <r>
      <t xml:space="preserve">Not accurately stipulated; a custom input is recommended </t>
    </r>
    <r>
      <rPr>
        <vertAlign val="superscript"/>
        <sz val="10.5"/>
        <rFont val="Calibri"/>
        <family val="2"/>
        <scheme val="minor"/>
      </rPr>
      <t>5</t>
    </r>
  </si>
  <si>
    <t>User input (Table 2 if unknown)</t>
  </si>
  <si>
    <t>User input (CF = 0.5 if unknown)</t>
  </si>
  <si>
    <r>
      <rPr>
        <vertAlign val="superscript"/>
        <sz val="9"/>
        <color theme="1"/>
        <rFont val="Calibri"/>
        <family val="2"/>
        <scheme val="minor"/>
      </rPr>
      <t xml:space="preserve">5 </t>
    </r>
    <r>
      <rPr>
        <sz val="9"/>
        <color theme="1"/>
        <rFont val="Calibri"/>
        <family val="2"/>
        <scheme val="minor"/>
      </rPr>
      <t>Equation 2 requires the annual equivalent full load operating hours of the fan or pump. These hours will vary by fan/pump operating hours, pre-existing control type, and load shape and cannot be accurately stipulated based on cooling system EFLHs. In absence of project-specific HRS, use either 1) the TRM401 calculator to estimate energy savings (preferred), or 2) the EFLHs in Table 2.</t>
    </r>
  </si>
  <si>
    <t>Demand Savings Fan (kW/HP)</t>
  </si>
  <si>
    <t>Energy Savings Fan (kWh/HP)</t>
  </si>
  <si>
    <t>Preferred Approach: Semi-Prescriptive Savings Calculator</t>
  </si>
  <si>
    <t xml:space="preserve"> (Based on user input of project-specific parameters)</t>
  </si>
  <si>
    <t>Estimate using project-specific information (preferred). 
If unknown, use CF = 0.5.</t>
  </si>
  <si>
    <r>
      <t xml:space="preserve">If equivalent full load hours for the fan or pump are unknown, use either: 1) the CMUA TRM410 calculator and enter fan or pump </t>
    </r>
    <r>
      <rPr>
        <u/>
        <sz val="11"/>
        <color theme="1"/>
        <rFont val="Calibri"/>
        <family val="2"/>
        <scheme val="minor"/>
      </rPr>
      <t>total operating hours</t>
    </r>
    <r>
      <rPr>
        <sz val="11"/>
        <color theme="1"/>
        <rFont val="Calibri"/>
        <family val="2"/>
        <scheme val="minor"/>
      </rPr>
      <t xml:space="preserve"> and other project parameters to calculate energy (kWh) savings (preferred), or 2) enter the EFLH for cooling for the correct building type from Table 2.</t>
    </r>
  </si>
  <si>
    <t>Alternative Approach: Deemed Per-HP Savings</t>
  </si>
  <si>
    <r>
      <t>HRS</t>
    </r>
    <r>
      <rPr>
        <b/>
        <vertAlign val="superscript"/>
        <sz val="9"/>
        <color rgb="FF000000"/>
        <rFont val="Calibri"/>
        <family val="2"/>
      </rPr>
      <t>1</t>
    </r>
  </si>
  <si>
    <t>Demand Savings Chilled Water Pump (kW/hp)</t>
  </si>
  <si>
    <t>Energy Savings Chilled Water Pump (kWh/hp)</t>
  </si>
  <si>
    <t>Demand Savings Condenser Water Pump (kW/hp)</t>
  </si>
  <si>
    <t>Energy Savings Condenser Water Pump (kWh/hp)</t>
  </si>
  <si>
    <t>Table 2. Fan and Pump VFD: Deemed Energy and Demand Savings per HP 
(Use Rated Motor Efficiency or Water Pump Reference table for η)</t>
  </si>
  <si>
    <t>This measure is the replacement of a single-speed or dual-speed pool filter pump with a variable-speed pump of equivalent horsepower. This measure is only applicable to self-priming pool filter pumps which are typically used with permanent, in-ground pools in single-family homes (there is a separate measure for multi-family and commercial settings). Non-self-priming pool filter pumps, which are typically used with rigid, above-ground pools, are not applicable.</t>
  </si>
  <si>
    <t>The baseline efficiency equipment is a single-speed or dual-speed self-priming pool filter pump.</t>
  </si>
  <si>
    <t>The high efficiency equipment is a variable-speed self-priming pool filter pump.</t>
  </si>
  <si>
    <t>Sources/Notes</t>
  </si>
  <si>
    <t>Peak demand reduction</t>
  </si>
  <si>
    <r>
      <t>kWh</t>
    </r>
    <r>
      <rPr>
        <vertAlign val="subscript"/>
        <sz val="10"/>
        <color theme="1"/>
        <rFont val="Calibri"/>
        <family val="2"/>
        <scheme val="minor"/>
      </rPr>
      <t>Daily,Base</t>
    </r>
  </si>
  <si>
    <t>Daily energy consumption of baseline pump (depends on pump horsepower)</t>
  </si>
  <si>
    <t>AEG derived the values from the Regional Technical Forum's (RTF) original analysis contained in the unit energy savings measure workbook for Efficient Pool Pumps.</t>
  </si>
  <si>
    <t>Single-Speed Pumps</t>
  </si>
  <si>
    <t>&gt; 0 to ≤ 1 hp</t>
  </si>
  <si>
    <t>&gt; 1 to ≤ 2 hp</t>
  </si>
  <si>
    <t>&gt; 2 to ≤ 3 hp</t>
  </si>
  <si>
    <t>&gt; 3 to ≤ 4 hp</t>
  </si>
  <si>
    <t>Dual-Speed Pumps</t>
  </si>
  <si>
    <r>
      <t>kWh</t>
    </r>
    <r>
      <rPr>
        <vertAlign val="subscript"/>
        <sz val="10"/>
        <color theme="1"/>
        <rFont val="Calibri"/>
        <family val="2"/>
        <scheme val="minor"/>
      </rPr>
      <t xml:space="preserve">Daily,Eff </t>
    </r>
  </si>
  <si>
    <t>Daily energy consumption of variable-speed pump (depends on pump horsepower)</t>
  </si>
  <si>
    <t>Variable-Speed Pumps</t>
  </si>
  <si>
    <t>Days</t>
  </si>
  <si>
    <t>Number of days the pump operates in a year</t>
  </si>
  <si>
    <t>Days/yr</t>
  </si>
  <si>
    <r>
      <rPr>
        <sz val="10"/>
        <color theme="1"/>
        <rFont val="Calibri"/>
        <family val="2"/>
        <scheme val="minor"/>
      </rPr>
      <t>Hours</t>
    </r>
    <r>
      <rPr>
        <vertAlign val="subscript"/>
        <sz val="10"/>
        <color theme="1"/>
        <rFont val="Calibri"/>
        <family val="2"/>
        <scheme val="minor"/>
      </rPr>
      <t>Daily,Base</t>
    </r>
  </si>
  <si>
    <t>Daily runtime of baseline pump (depends on pump horsepower)</t>
  </si>
  <si>
    <t>Hrs/day</t>
  </si>
  <si>
    <r>
      <t>Hours</t>
    </r>
    <r>
      <rPr>
        <vertAlign val="subscript"/>
        <sz val="10"/>
        <color theme="1"/>
        <rFont val="Calibri"/>
        <family val="2"/>
        <scheme val="minor"/>
      </rPr>
      <t xml:space="preserve">Daily,Eff </t>
    </r>
  </si>
  <si>
    <t>Daily runtime of variable-speed pump (depends on pump horsepower)</t>
  </si>
  <si>
    <r>
      <rPr>
        <sz val="10"/>
        <color theme="1"/>
        <rFont val="Calibri"/>
        <family val="2"/>
        <scheme val="minor"/>
      </rPr>
      <t>CF</t>
    </r>
    <r>
      <rPr>
        <vertAlign val="subscript"/>
        <sz val="10"/>
        <color theme="1"/>
        <rFont val="Calibri"/>
        <family val="2"/>
        <scheme val="minor"/>
      </rPr>
      <t>Base</t>
    </r>
  </si>
  <si>
    <t>Coincidence factor of baseline pump (depends on pump horsepower)</t>
  </si>
  <si>
    <r>
      <t>CF</t>
    </r>
    <r>
      <rPr>
        <vertAlign val="subscript"/>
        <sz val="10"/>
        <color theme="1"/>
        <rFont val="Calibri"/>
        <family val="2"/>
        <scheme val="minor"/>
      </rPr>
      <t xml:space="preserve">Eff </t>
    </r>
  </si>
  <si>
    <t>Coincidence factor of variable-speed pump (depends on pump horsepower)</t>
  </si>
  <si>
    <t>Single-speed to variable speed:  &gt; 0 to ≤ 1 hp</t>
  </si>
  <si>
    <t>Single-speed to variable speed:  &gt; 1 to ≤ 2 hp</t>
  </si>
  <si>
    <t>Single-speed to variable speed:  &gt; 2 to ≤ 3 hp</t>
  </si>
  <si>
    <t>Single-speed to variable speed:  &gt; 3 to ≤ 4 hp</t>
  </si>
  <si>
    <t>Dual-speed to variable speed:  &gt; 0 to ≤ 1 hp</t>
  </si>
  <si>
    <t>Dual-speed to variable speed:  &gt; 1 to ≤ 2 hp</t>
  </si>
  <si>
    <t>Dual-speed to variable speed:  &gt; 2 to ≤ 3 hp</t>
  </si>
  <si>
    <t>Dual-speed to variable speed:  &gt; 3 to ≤ 4 hp</t>
  </si>
  <si>
    <t>No change from PY18 TRM.</t>
  </si>
  <si>
    <t>AEG's estimate, obtained by dividing the number of daily operation hours of pump by 24 hours.</t>
  </si>
  <si>
    <t>This measure is the replacement of a single-speed or dual-speed pool filter pump with a variable-speed pump of equivalent horsepower. This measure is only applicable to self-priming pool filter pumps which are typically used with permanent, in-ground pools in multi-family and commercial buildings (there is a separate measure for single-family residential settings). Non-self-priming pool filter pumps, which are typically used with rigid, above-ground pools, are not applicable.</t>
  </si>
  <si>
    <t>Com. VFD Pool Pump</t>
  </si>
  <si>
    <t xml:space="preserve">Regional Technical Forum. Efficient Pool Pumps - Unit Energy Savings Workbook, Version 2.1. Northwest Power and Conservation Council. February 27, 2018. Spreadsheet. </t>
  </si>
  <si>
    <t xml:space="preserve">Regional Technical Forum. Efficient Pool Pumps - Unit Energy Savings Workbook, Version 2.1. Northwest Power and Conservation Council. February 27, 2018. Spreadsheet. Available online at:  https://rtf.nwcouncil.org/measure/efficient-pool-pumps. </t>
  </si>
  <si>
    <t>DOE National Impact Analysis (NIA) for Dedicated Purpose Pool Pumps ("NIA_PoolPumps_2016-12-19_ForPublication_v2.xlsm"), available online at: https://www.regulations.gov/document?D=EERE-2015-BT-STD-0008-0107.</t>
  </si>
  <si>
    <t>No change from PY18 TRM; EUL was verified during AEG's 2018 benchmarking.</t>
  </si>
  <si>
    <t>AEG's 2018 Analysis File titled "AEG HPUC Update of Res Pool Pump VFD - Analysis File."</t>
  </si>
  <si>
    <t>AEG's 2018 Analysis File titled "AEG HPUC Update of Com Pool Pump VFD - Analysis File."</t>
  </si>
  <si>
    <t>• Booster pump applications require pre-notification before equipment is purchased and installed. 
• The new Booster Pump System’s total horsepower must be equal to or less than that of the existing system. 
• The system horsepower reduction must be between 0 to 129 hp. For projects with greater than 129 hp, please contact the program.  Booster pump applications do not apply to new construction.</t>
  </si>
  <si>
    <t>Assumed to be an optimized pumping system meeting applicable program efficiency requirements.  The proposed booster pump system must be a more efficient design than the existing system (i.e. Installed with VFD controls).  All pump motors must meet NEMA Premium Efficiency standards. As in the base case, enhanced pumps are assumed to run 60% of the time.  Savings result from two aspects:  (1) reduced horsepower and (2) reduced speed on the motor due to VFD controls.</t>
  </si>
  <si>
    <t>Pump Horsepower Reduction</t>
  </si>
  <si>
    <t>Annual Energy Savings, kWh/yr per hp</t>
  </si>
  <si>
    <t>Peak Demand Reduction, kW per hp</t>
  </si>
  <si>
    <t>Lifetime Energy Savings, kWh per hp</t>
  </si>
  <si>
    <t>ΔkWh per hp</t>
  </si>
  <si>
    <t>Annual energy savings per horsepower</t>
  </si>
  <si>
    <t>kWh/yr/hp</t>
  </si>
  <si>
    <t>ΔkW per hp</t>
  </si>
  <si>
    <t>Peak demand reduction per horsepower</t>
  </si>
  <si>
    <t>kW/hp</t>
  </si>
  <si>
    <t>Conversion from horsepower to kW</t>
  </si>
  <si>
    <t>Hours</t>
  </si>
  <si>
    <t>Loading factor - % of time pump actually operates</t>
  </si>
  <si>
    <r>
      <t>AF</t>
    </r>
    <r>
      <rPr>
        <vertAlign val="subscript"/>
        <sz val="10.5"/>
        <color theme="1"/>
        <rFont val="Calibri"/>
        <family val="2"/>
        <scheme val="minor"/>
      </rPr>
      <t>CS</t>
    </r>
  </si>
  <si>
    <t>Adjustment factor for constant-speed pump - accounts for pumping system efficiency and load profile</t>
  </si>
  <si>
    <r>
      <t>AF</t>
    </r>
    <r>
      <rPr>
        <vertAlign val="subscript"/>
        <sz val="10.5"/>
        <color theme="1"/>
        <rFont val="Calibri"/>
        <family val="2"/>
        <scheme val="minor"/>
      </rPr>
      <t>VS</t>
    </r>
  </si>
  <si>
    <t>Adjustment factor for variable-speed pump - accounts for pumping system efficiency and load profile</t>
  </si>
  <si>
    <t>AEG's 2018 Analysis File titled "AEG HPUC Update of Com Booster Pump VFD - Analysis File."</t>
  </si>
  <si>
    <t>DOE, Technical Support Document: Energy Efficiency Program for Consumer Products and Commercial and Industrial Equipment: Pumps, U.S. Department of Energy, Washington DC: December 2015. Available for download here: https://www.regulations.gov/document?D=EERE-2011-BT-STD-0031-0056.</t>
  </si>
  <si>
    <t>AEG derived the value from the Regional Technical Forum's (RTF) original analysis contained in the unit energy savings measure workbook for Efficient Pumps</t>
  </si>
  <si>
    <t>AEG's estimate, obtained by dividing the number of daily operation hours of pump by 24 hours</t>
  </si>
  <si>
    <t>AEG derived the values from the Regional Technical Forum's (RTF) original analysis contained in the unit energy savings measure workbook for Efficient Pool Pumps</t>
  </si>
  <si>
    <t>Regional Technical Forum. Efficient Pumps - Unit Energy Savings Measure Workbook, Version 1.1. Northwest Power and Conservation Council. June 14, 2017. Spreadsheet. Available online at:  https://rtf.nwcouncil.org/measure/efficient-pumps.</t>
  </si>
  <si>
    <t xml:space="preserve">* Require pre-notification before projects begin.
* The program reserves the right to perform on-site verifications, both pre- and post-installation.
* Existing equipment must not have a VFD (i.e. – incentives are not available for replacement).
* VFDs on pumps larger than 200 hp may be analyzed on a fully custom basis. 
* The VFDs must actively control and vary the pump speed.
* Since VFDs are required by code for a variety of HVAC applications, this measure is only eligible if a VFD would not have been required otherwise. </t>
  </si>
  <si>
    <t xml:space="preserve">Source: Table 1 is derived from CMUA Energy Savings Calculator-Pump and Fan VFD Retrofit. The calculator is available for download here: https://www.cmua.org/energy-efficiency-technical-reference-manual. Click "TRM Spreadsheet 3 - 300 through 505" and then the file is named "TRM401_energy savings calculator_pump and fan VFD_v4_1_14". This calculator is cited in the CMUA 2017 TRM. </t>
  </si>
  <si>
    <t>Note: This measure has a single baseline. For deemed lifetime energy savings, multiply the energy savings by the EUL.</t>
  </si>
  <si>
    <r>
      <t>DEER 2015 "DEER-WaterHeater-Calculator-v1.1.xlsm"</t>
    </r>
    <r>
      <rPr>
        <vertAlign val="superscript"/>
        <sz val="10.5"/>
        <color theme="1"/>
        <rFont val="Calibri"/>
        <family val="2"/>
        <scheme val="minor"/>
      </rPr>
      <t>2</t>
    </r>
  </si>
  <si>
    <t xml:space="preserve">Federal Register, Energy Conservation Program for Consumer Products: Definitions for Residential Water Heaters, April 8, 2015, available here: https://www.federalregister.gov/documents/2015/04/08/2015-07956/energy-conservation-program-for-consumer-products-definitions-for-residential-water-heaters. </t>
  </si>
  <si>
    <r>
      <rPr>
        <vertAlign val="superscript"/>
        <sz val="9"/>
        <color theme="1"/>
        <rFont val="Calibri"/>
        <family val="2"/>
        <scheme val="minor"/>
      </rPr>
      <t>1</t>
    </r>
    <r>
      <rPr>
        <sz val="9"/>
        <color theme="1"/>
        <rFont val="Calibri"/>
        <family val="2"/>
        <scheme val="minor"/>
      </rPr>
      <t xml:space="preserve">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Applies to residential and non-residential water heaters that are ≤12 kW.</t>
    </r>
  </si>
  <si>
    <t>ENERGY STAR Program Requirement for Residential Water Heaters, v3.0, April 2015. https://www.energystar.gov/products/water_heaters/residential_water_heaters_key_product_criteria.</t>
  </si>
  <si>
    <t>Title 10: Energy, PART 430—ENERGY CONSERVATION PROGRAM FOR CONSUMER PRODUCTS, Subpart B—Test Procedures, Appendix E to Subpart B of Part 430—Uniform Test Method for Measuring the Energy Consumption of Water Heaters, https://www.ecfr.gov/cgi-bin/text-idx?SID=80dfa785ea350ebeee184bb0ae03e7f0&amp;mc=true&amp;node=ap10.3.430_127.e&amp;rgn=div9.</t>
  </si>
  <si>
    <t>Acceptable if used along with 8760 hours</t>
  </si>
  <si>
    <r>
      <t>RUL</t>
    </r>
    <r>
      <rPr>
        <vertAlign val="subscript"/>
        <sz val="10.5"/>
        <color theme="1"/>
        <rFont val="Calibri"/>
        <family val="2"/>
        <scheme val="minor"/>
      </rPr>
      <t>Turn-In,R</t>
    </r>
  </si>
  <si>
    <r>
      <t>RUL</t>
    </r>
    <r>
      <rPr>
        <vertAlign val="subscript"/>
        <sz val="10.5"/>
        <color theme="1"/>
        <rFont val="Calibri"/>
        <family val="2"/>
        <scheme val="minor"/>
      </rPr>
      <t>Turn-In,F</t>
    </r>
  </si>
  <si>
    <r>
      <t>EUL</t>
    </r>
    <r>
      <rPr>
        <vertAlign val="subscript"/>
        <sz val="10.5"/>
        <color theme="1"/>
        <rFont val="Calibri"/>
        <family val="2"/>
        <scheme val="minor"/>
      </rPr>
      <t>Replace,R</t>
    </r>
  </si>
  <si>
    <r>
      <t>EUL</t>
    </r>
    <r>
      <rPr>
        <vertAlign val="subscript"/>
        <sz val="10.5"/>
        <color theme="1"/>
        <rFont val="Calibri"/>
        <family val="2"/>
        <scheme val="minor"/>
      </rPr>
      <t>Replace,F</t>
    </r>
  </si>
  <si>
    <t>ENERGY STAR, Savings Calculator for ENERGY STAR Appliances, available at: https://www.energystar.gov/sites/default/files/asset/document/appliance_calculator.xlsx, accessed December 15, 2018.</t>
  </si>
  <si>
    <t>Default = 25.4</t>
  </si>
  <si>
    <t>See Footnote 3 for Default assumption</t>
  </si>
  <si>
    <t>See Footnote 5</t>
  </si>
  <si>
    <r>
      <t xml:space="preserve">AEG's Fall 2018 Benchmarking </t>
    </r>
    <r>
      <rPr>
        <vertAlign val="superscript"/>
        <sz val="10.5"/>
        <color theme="1"/>
        <rFont val="Calibri"/>
        <family val="2"/>
        <scheme val="minor"/>
      </rPr>
      <t>6</t>
    </r>
  </si>
  <si>
    <r>
      <rPr>
        <vertAlign val="superscript"/>
        <sz val="9"/>
        <rFont val="Calibri"/>
        <family val="2"/>
        <scheme val="minor"/>
      </rPr>
      <t>5</t>
    </r>
    <r>
      <rPr>
        <sz val="9"/>
        <rFont val="Calibri"/>
        <family val="2"/>
        <scheme val="minor"/>
      </rPr>
      <t xml:space="preserve"> Use value of PF=1 until more data is available on savings persistence of ENERGY STAR units relative to baseline units.</t>
    </r>
  </si>
  <si>
    <r>
      <rPr>
        <vertAlign val="superscript"/>
        <sz val="9"/>
        <rFont val="Calibri"/>
        <family val="2"/>
        <scheme val="minor"/>
      </rPr>
      <t>6</t>
    </r>
    <r>
      <rPr>
        <sz val="9"/>
        <rFont val="Calibri"/>
        <family val="2"/>
        <scheme val="minor"/>
      </rPr>
      <t xml:space="preserve"> See analysis file titled "AEG HPUC EUL Analysis."</t>
    </r>
  </si>
  <si>
    <r>
      <rPr>
        <vertAlign val="superscript"/>
        <sz val="9"/>
        <rFont val="Calibri"/>
        <family val="2"/>
        <scheme val="minor"/>
      </rPr>
      <t>1</t>
    </r>
    <r>
      <rPr>
        <sz val="9"/>
        <rFont val="Calibri"/>
        <family val="2"/>
        <scheme val="minor"/>
      </rPr>
      <t xml:space="preserve"> Source of AV equations is ENERGY STAR, Savings Calculator for ENERGY STAR Appliances, available at: https://www.energystar.gov/sites/default/files/asset/document/appliance_calculator.xlsx, accessed December 15, 2018.</t>
    </r>
  </si>
  <si>
    <r>
      <t>Adjusted volume of refrigerator</t>
    </r>
    <r>
      <rPr>
        <vertAlign val="superscript"/>
        <sz val="10.5"/>
        <color theme="1"/>
        <rFont val="Calibri"/>
        <family val="2"/>
        <scheme val="minor"/>
      </rPr>
      <t>1</t>
    </r>
  </si>
  <si>
    <r>
      <t>Adjusted volume of freezer</t>
    </r>
    <r>
      <rPr>
        <vertAlign val="superscript"/>
        <sz val="10.5"/>
        <color theme="1"/>
        <rFont val="Calibri"/>
        <family val="2"/>
        <scheme val="minor"/>
      </rPr>
      <t>1</t>
    </r>
  </si>
  <si>
    <t>Refrigerator w/o Turn-In, AV = 25.4 cu ft
Product Category</t>
  </si>
  <si>
    <t>Refrigerator w/ Turn-In, AV = 25.4 cu ft
Product Category</t>
  </si>
  <si>
    <t>Refrigerator Turn-In Only, AV = 25.4 cu ft
Product Category</t>
  </si>
  <si>
    <t>Default EF assumes 50 gallon Electric Storage Water Heater</t>
  </si>
  <si>
    <r>
      <rPr>
        <vertAlign val="superscript"/>
        <sz val="9"/>
        <color theme="1"/>
        <rFont val="Calibri"/>
        <family val="2"/>
        <scheme val="minor"/>
      </rPr>
      <t>1</t>
    </r>
    <r>
      <rPr>
        <sz val="9"/>
        <color theme="1"/>
        <rFont val="Calibri"/>
        <family val="2"/>
        <scheme val="minor"/>
      </rPr>
      <t xml:space="preserve"> Source for EF equation: 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r>
  </si>
  <si>
    <t xml:space="preserve">Federal Register, Energy Conservation Program for Consumer Products: Definitions for Residential Water Heaters, Table I.2, April 8, 2015, available here: https://www.federalregister.gov/documents/2015/04/08/2015-07956/energy-conservation-program-for-consumer-products-definitions-for-residential-water-heaters. </t>
  </si>
  <si>
    <t>gal/day-person</t>
  </si>
  <si>
    <t>persons</t>
  </si>
  <si>
    <t>As a guideline, the following chiller retrofits should be evaluated as custom projects: water-cooled chillers larger than or equal to 600 tons, air-cooled chillers larger than or equal to 300 tons, and any chiller part of a larger, multi-system plant. Projects that are part of a larger project with a variety of efficiency measures being installed simultaneously, or other unique projects, would be a candidate for custom evaluation, at the discretion of Hawai‘i Energy.  This threshold was set for the following reasons:</t>
  </si>
  <si>
    <t>Hawai‘i Energy opted for a cut-off tonnage that aligns with the tonnage break points in IECC code for chiller efficiency, i.e. 300/600 tons.</t>
  </si>
  <si>
    <t xml:space="preserve">As a guideline, commercial VRF retrofits for systems with capacities greater than 240,000 Btu/h should be evaluated as custom projects. Projects that are part of a larger project with a variety of efficiency measures being installed simultaneously, or other unique projects, would be a candidate for custom evaluation, at the discretion of Hawai‘i Energy.  This threshold was chosen based on capacity break points in ASHRAE and IECC code for air-cooled AC and heat pump efficiencies; evaluating a VRF system on a prescriptive or even semi-prescriptive basis would be inadequate for most larger projects at this capacity. </t>
  </si>
  <si>
    <t>FOOTNOTES</t>
  </si>
  <si>
    <t>ADDITIONAL RESOURCES</t>
  </si>
  <si>
    <t>Oversizing of HVAC System: Signatures and Penalties, University of Idaho, Integrated Design Lab-Boise, available here: &lt;http://www.idlboise.com/pdf/papers/ENB_3018_RTU_Measurement_accepted.pdf&gt;. Used to determine correct HVAC oversizing adjustment for EFLH and CF analysis.</t>
  </si>
  <si>
    <t>Measure impacts are calculated per system.</t>
  </si>
  <si>
    <t>[SEER used in place of IEER for units &lt;65,000 Btu/h]</t>
  </si>
  <si>
    <t>Capacity</t>
  </si>
  <si>
    <t>Based on installed unit</t>
  </si>
  <si>
    <t>Btu/h</t>
  </si>
  <si>
    <t>As installed</t>
  </si>
  <si>
    <t>Full load energy efficiency rating of baseline unit</t>
  </si>
  <si>
    <t>Btu/Wh</t>
  </si>
  <si>
    <t>Full load energy efficiency rating of installed high efficiency unit</t>
  </si>
  <si>
    <t>Integrated or Seasonal Energy Efficiency Rating of baseline unit. SEER used for units &lt;65,000 Btu/h.</t>
  </si>
  <si>
    <t>Integrated or Seasonal Energy Efficiency Rating installed high efficiency unit. SEER used for units &lt;65,000 Btu/h.</t>
  </si>
  <si>
    <t>System Type</t>
  </si>
  <si>
    <t>Capacity Bin</t>
  </si>
  <si>
    <t>Part-Load Efficiency</t>
  </si>
  <si>
    <t>Full Load</t>
  </si>
  <si>
    <t>IEER</t>
  </si>
  <si>
    <t>Split System AC</t>
  </si>
  <si>
    <t>&lt; 65,000 Btu/h</t>
  </si>
  <si>
    <t>--</t>
  </si>
  <si>
    <t>Single Package AC</t>
  </si>
  <si>
    <t>Air-Cooled AC</t>
  </si>
  <si>
    <t>Air-Source HP</t>
  </si>
  <si>
    <t xml:space="preserve">EFLH and CF values developed using: 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</si>
  <si>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t>EER</t>
    </r>
    <r>
      <rPr>
        <vertAlign val="subscript"/>
        <sz val="10.5"/>
        <rFont val="Calibri"/>
        <family val="2"/>
        <scheme val="minor"/>
      </rPr>
      <t>BL</t>
    </r>
  </si>
  <si>
    <r>
      <t>EER</t>
    </r>
    <r>
      <rPr>
        <vertAlign val="subscript"/>
        <sz val="10.5"/>
        <rFont val="Calibri"/>
        <family val="2"/>
        <scheme val="minor"/>
      </rPr>
      <t>EE</t>
    </r>
  </si>
  <si>
    <r>
      <t>IEER</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</si>
  <si>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</si>
  <si>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r>
      <t>Table 1: VRF Multisplit System, Minimum Baseline Efficiency</t>
    </r>
    <r>
      <rPr>
        <b/>
        <vertAlign val="superscript"/>
        <sz val="11"/>
        <rFont val="Calibri"/>
        <family val="2"/>
        <scheme val="minor"/>
      </rPr>
      <t>1</t>
    </r>
  </si>
  <si>
    <r>
      <rPr>
        <sz val="11"/>
        <rFont val="Calibri"/>
        <family val="2"/>
      </rPr>
      <t>≥</t>
    </r>
    <r>
      <rPr>
        <sz val="11"/>
        <rFont val="Calibri"/>
        <family val="2"/>
        <scheme val="minor"/>
      </rPr>
      <t xml:space="preserve"> 65,000 and &lt; 135,000 Btu/h</t>
    </r>
  </si>
  <si>
    <r>
      <rPr>
        <sz val="11"/>
        <rFont val="Calibri"/>
        <family val="2"/>
      </rPr>
      <t>≥</t>
    </r>
    <r>
      <rPr>
        <sz val="11"/>
        <rFont val="Calibri"/>
        <family val="2"/>
        <scheme val="minor"/>
      </rPr>
      <t xml:space="preserve"> 135,000 and &lt; 240,000 Btu/h</t>
    </r>
  </si>
  <si>
    <r>
      <rPr>
        <sz val="11"/>
        <rFont val="Calibri"/>
        <family val="2"/>
      </rPr>
      <t>≥</t>
    </r>
    <r>
      <rPr>
        <sz val="11"/>
        <rFont val="Calibri"/>
        <family val="2"/>
        <scheme val="minor"/>
      </rPr>
      <t xml:space="preserve"> 240,000 and &lt; 760,000 Btu/h</t>
    </r>
  </si>
  <si>
    <r>
      <rPr>
        <sz val="11"/>
        <rFont val="Calibri"/>
        <family val="2"/>
      </rPr>
      <t>≥</t>
    </r>
    <r>
      <rPr>
        <sz val="11"/>
        <rFont val="Calibri"/>
        <family val="2"/>
        <scheme val="minor"/>
      </rPr>
      <t xml:space="preserve"> 240,000 Btu/h</t>
    </r>
  </si>
  <si>
    <t>For calculations specific to the unit in question, please see the accompanying VRF calculation worksheet:</t>
  </si>
  <si>
    <t xml:space="preserve"> (C_HVAC_VRF_WKST)</t>
  </si>
  <si>
    <t>Commercial: HVAC Savings Calculator - Variable Refrigerant Flow Systems</t>
  </si>
  <si>
    <t>Lookup/Data Validation Tables</t>
  </si>
  <si>
    <t>Part Load</t>
  </si>
  <si>
    <t>SEER or IEER?</t>
  </si>
  <si>
    <t>Enter Full Load Efficiency:</t>
  </si>
  <si>
    <t>Capacity Bin:</t>
  </si>
  <si>
    <t>Enter Part-Load Efficiency:</t>
  </si>
  <si>
    <t xml:space="preserve">Corresponding Baseline Efficiency (Full Load): </t>
  </si>
  <si>
    <t xml:space="preserve">Corresponding Baseline Efficiency (Part-Load): </t>
  </si>
  <si>
    <t>Full Load Efficiency</t>
  </si>
  <si>
    <t>Concatenation</t>
  </si>
  <si>
    <t>RESIDENTIAL: Ductless Split Systems</t>
  </si>
  <si>
    <t>Savings are calculated per split system unit.</t>
  </si>
  <si>
    <t>Persistence Factor</t>
  </si>
  <si>
    <t>≥8,000 Btu/h and &lt;14,000 Btu/h</t>
  </si>
  <si>
    <t>≥14,000 Btu/h and &lt;20,000 Btu/h</t>
  </si>
  <si>
    <r>
      <rPr>
        <sz val="11"/>
        <rFont val="Calibri"/>
        <family val="2"/>
      </rPr>
      <t>≥8,</t>
    </r>
    <r>
      <rPr>
        <sz val="11"/>
        <rFont val="Calibri"/>
        <family val="2"/>
        <scheme val="minor"/>
      </rPr>
      <t>000 Btu/h and &lt;14,000 Btu/h</t>
    </r>
  </si>
  <si>
    <r>
      <rPr>
        <sz val="11"/>
        <rFont val="Calibri"/>
        <family val="2"/>
      </rPr>
      <t>≥14,</t>
    </r>
    <r>
      <rPr>
        <sz val="11"/>
        <rFont val="Calibri"/>
        <family val="2"/>
        <scheme val="minor"/>
      </rPr>
      <t>000 Btu/h and &lt;20,000 Btu/h</t>
    </r>
  </si>
  <si>
    <r>
      <t>SEER</t>
    </r>
    <r>
      <rPr>
        <vertAlign val="subscript"/>
        <sz val="10.5"/>
        <rFont val="Calibri"/>
        <family val="2"/>
        <scheme val="minor"/>
      </rPr>
      <t>EE</t>
    </r>
  </si>
  <si>
    <t>Ductless Split System</t>
  </si>
  <si>
    <t>R_HVAC_AC_WKST</t>
  </si>
  <si>
    <t>PF:</t>
  </si>
  <si>
    <t>kW reduction:</t>
  </si>
  <si>
    <t>Consistency, formatting for priority measures throughout document:
- Standardize demand language (coincident peak) 
- Clean up language that refers to incorrect tables, numbers, values, etc.
- Include sources for all deemed savings assumptions
- Fix cell sizes so no text is hidden (also apply this to entire workbook)
- S/R Hawaii with Hawai‘i, Energy Star with ENERGY STAR
- Add asterisks to tabs that have been updated
- Check bullet format
- Complete QC checklists</t>
  </si>
  <si>
    <t>Annual 
Energy Savings</t>
  </si>
  <si>
    <t>Peak Demand Savings (kW)</t>
  </si>
  <si>
    <t>Annual Energy Savings (kWh/year)</t>
  </si>
  <si>
    <t>Annual Energy Savings (kWh/yr)</t>
  </si>
  <si>
    <t>Peak 
Demand Savings</t>
  </si>
  <si>
    <t>Annual
Energy Savings</t>
  </si>
  <si>
    <t xml:space="preserve">Peak Demand Savings </t>
  </si>
  <si>
    <t>First Baseline Peak Demand Savings (kW)</t>
  </si>
  <si>
    <t>First Baseline Annual Energy Savings (kWh/yr)</t>
  </si>
  <si>
    <t>Review/update HOU/EFLH values using Hawai‘i-specific load shape data where possible.</t>
  </si>
  <si>
    <t>Review/update CF values using Hawai‘i-specific load shape data where possible.</t>
  </si>
  <si>
    <t xml:space="preserve">Review/update lighting/cooling interactive effect factors using Hawai‘i-specific load shape data for residential and benchmarking with secondary data for commercial. </t>
  </si>
  <si>
    <t>Net to gross ratios with consideration of spillover, market effects, market transformation. Update using primary data for Hawai‘i for future TRM.</t>
  </si>
  <si>
    <t>Hawai‘i</t>
  </si>
  <si>
    <t>2. Evaluation of the Hawai‘i Energy Conservation and Efficiency Programs, Program Year 2011, Evergreen Economics, June 20, 2013, Appendix D: Net-to-Gross Assessment Memo. NTG benchmarking analysis covered four resources: Wisconsin Focus on Energy (2011), CPUC DEER (2006-2007), Massachusetts Energy Efficiency Advisory Council (2010), and NYSERDA (2011-12).</t>
  </si>
  <si>
    <t>3. Opinion Dynamics, Hawai‘i Baseline and Net-to-Gross Framework, Memorandum, Submitted to Steve Schiller, June 27, 2018.</t>
  </si>
  <si>
    <t xml:space="preserve">a) Compared all of the EULs in the Hawai‘i Energy PY18 TRM's Master EUL list to DEER2020 EUL values. </t>
  </si>
  <si>
    <t>b) Compared EULs for all applicable measures in the Hawai‘i Energy PY18 TRM's Master EUL list to EUL analysis conducted by AEG for the residential sector in Fall 2017 and for the commercial sector in Spring 2017. (The previous analysis was performed for two other utility clients, both on the mainland U.S.).</t>
  </si>
  <si>
    <t>For “custom” measures, Hawai‘i Energy performs site-specific customized calculations. In this case, Hawai‘i Energy takes into account interactions between measures (e.g., individual savings from installation of window film and replacement of a chiller are not additive because the first measure reduces the cooling load met by the second measure).</t>
  </si>
  <si>
    <t>Hawai‘i Energy will calculate total savings for the package of custom measures being installed, considering interactive effects, either as a single package or in rank order of prescriptive and custom measures. That is, if a project includes both prescriptive and custom measures, the prescriptive measures will be calculated in the normal manner. However, the prescriptive measures will be assumed to be installed prior to determining the impacts for the custom measures.</t>
  </si>
  <si>
    <t xml:space="preserve">3) Mapping of DEER and LBNL building types to Hawai‘i Energy's building types listed above; </t>
  </si>
  <si>
    <r>
      <t>4) Adjustment of the DEER IE factors for CZ 3B using ratio of LBNL factors for CZ 1A and CZ 3B to determine IE factors for Hawai‘i (CZ 1A). The equation is:
IE</t>
    </r>
    <r>
      <rPr>
        <vertAlign val="subscript"/>
        <sz val="9"/>
        <color theme="1"/>
        <rFont val="Calibri"/>
        <family val="2"/>
        <scheme val="minor"/>
      </rPr>
      <t>Hawaii</t>
    </r>
    <r>
      <rPr>
        <sz val="9"/>
        <color theme="1"/>
        <rFont val="Calibri"/>
        <family val="2"/>
        <scheme val="minor"/>
      </rPr>
      <t xml:space="preserve"> = IE</t>
    </r>
    <r>
      <rPr>
        <vertAlign val="subscript"/>
        <sz val="9"/>
        <color theme="1"/>
        <rFont val="Calibri"/>
        <family val="2"/>
        <scheme val="minor"/>
      </rPr>
      <t>DEER, 3B</t>
    </r>
    <r>
      <rPr>
        <sz val="9"/>
        <color theme="1"/>
        <rFont val="Calibri"/>
        <family val="2"/>
        <scheme val="minor"/>
      </rPr>
      <t>*(IE</t>
    </r>
    <r>
      <rPr>
        <vertAlign val="subscript"/>
        <sz val="9"/>
        <color theme="1"/>
        <rFont val="Calibri"/>
        <family val="2"/>
        <scheme val="minor"/>
      </rPr>
      <t>LBNL,1A</t>
    </r>
    <r>
      <rPr>
        <sz val="9"/>
        <color theme="1"/>
        <rFont val="Calibri"/>
        <family val="2"/>
        <scheme val="minor"/>
      </rPr>
      <t>/IE</t>
    </r>
    <r>
      <rPr>
        <vertAlign val="subscript"/>
        <sz val="9"/>
        <color theme="1"/>
        <rFont val="Calibri"/>
        <family val="2"/>
        <scheme val="minor"/>
      </rPr>
      <t>LBNL,3B</t>
    </r>
    <r>
      <rPr>
        <sz val="9"/>
        <color theme="1"/>
        <rFont val="Calibri"/>
        <family val="2"/>
        <scheme val="minor"/>
      </rPr>
      <t>).</t>
    </r>
  </si>
  <si>
    <t xml:space="preserve">2) Mapping of OpenEI's and DEER's building types to Hawai‘i Energy's building types listed above; </t>
  </si>
  <si>
    <t>Source: AEG's analysis of DOE's OpenEI load shapes using Hawai‘i-specific prototypes, weather data, and peak demand period.</t>
  </si>
  <si>
    <t>1) AEG analysis of DOE's OpenEI general lighting load shapes simulated with Hawai‘i-specific prototypes, weather data, and peak demand period to determine i) unadjusted CF values for general lighting during Hawai‘i's peak demand period of 5-9 pm on non-holiday weekdays, and ii) unadjusted EFLH values for general lighting (= annual lighting energy use in kWh divided by maximum lighting demand in kW).</t>
  </si>
  <si>
    <t>Design Assistance is available to building owners and their design teams to encourage the implementation of energy efficient building systems.  Considering energy efficiency during the initial phases of planning and design greatly increase the feasibility of implementation.  Incentives for energy efficiency are project-specific and offered as upfront assistance for additional costs incurred during the design phase.  The long-term benefits include energy use reduction for the state of Hawai‘i and a reduction in operating costs, equipment lifecycle improvement for building owners, and improved comfort for building users.</t>
  </si>
  <si>
    <t>• Application with written pre-approval from Hawai‘i Energy
• Project in planning or initial design phase
• Total resource benefit ratio greater than or equal to 1</t>
  </si>
  <si>
    <t>The baseline efficiency case assumes compliance with the efficiency requirements as mandated by the Hawai‘i State Energy Code or industry accepted standard practice.</t>
  </si>
  <si>
    <t>The Energy Study is an indirect impact product that offers Hawai‘i businesses with analysis services to identify energy saving opportunities. The goal of the energy study is to provide a method for commercial and industrial customers to learn how their business uses energy today and to identify measures that will help them save energy and reduce operating costs in the future. The focus is on a customer’s core energy efficiency opportunities.</t>
  </si>
  <si>
    <t>AEG's analysis of DOE's OpenEI load shapes using Hawai‘i-specific prototypes, weather data, and peak demand period</t>
  </si>
  <si>
    <t>AEG's analysis of DOE's OpenEI load shapes using Hawai‘i-specific prototypes and weather data</t>
  </si>
  <si>
    <t>Table 1: Equivalent Full Load Hours and Coincidence Factors for Commercial Cooling in Hawai‘i</t>
  </si>
  <si>
    <t>1 These are EFLH values from AEG's analysis of DOE's OpenEI load shapes for the Cooling end-use using Hawai‘i-specific prototypes and weather data. Use as a proxy for "HRS" for the HVAC VFD measure only if project-specific data is not available.</t>
  </si>
  <si>
    <t xml:space="preserve">1. The efficiencies for units ≥ 65,000 Btu/h were developed using the "Electric Resistance Heat (or None)" option in the ASHRAE 90.1 tables. Gas-fired space heating systems are not expected in Hawai‘i. </t>
  </si>
  <si>
    <t>Hawai‘i Energy. 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</si>
  <si>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Code baseline specification based on Hawai‘i Energy: &lt;https://hawaiienergy.com/resources#hawaii-codes&gt; and &lt;http://energy.hawaii.gov/hawaii-energy-building-code/2015-iecc-update&gt;. 
All equipment is expected to meet minimum ASHRAE standards. ASHRAE requires a subscription to see the standard in full; AEG used staff subscriptions to ASHRAE to obtain the latest 90.1-2016 standard. The minimum efficiency levels are also summarized in various publicly available sources, including this one from Trane: &lt;https://www.trane.com/content/dam/Trane/Commercial/global/products-systems/education-training/engineers-newsletters/standards-codes/ADMAPN053EN_0315.pdf&gt;</t>
  </si>
  <si>
    <t>Hawai‘i Energy. The IECC 2015 with Hawai‘i Amendments Commercial Reviewer and Designer Checklist requires efficient HVAC equipment to be 10% better than the minimum efficiency. Available at: &lt;https://hawaiienergy.com/files/resources/2015-IECC_CommercialReviewer_Checklist.pdf&gt;.</t>
  </si>
  <si>
    <t>AEG's analysis of DOE's OpenEI load shapes using Hawai‘i-specific prototypes, weather data, and peak demand period, adjusted to specific lighting types</t>
  </si>
  <si>
    <t>Table 3. Coincidence Factors, CF 
(Applicable to Counties of Oahu, Maui, and Hawai‘i)</t>
  </si>
  <si>
    <t>Table 4. Interactive Effects Factors, IEC,D and IEC,E 
(Applicable to Counties of Oahu, Maui, and Hawai‘i)</t>
  </si>
  <si>
    <t>AEG's 2018 Analysis of U.S. Department of Energy's OpenEI Commercial Hourly Load Profiles using Hawai‘i-specific data. OpenEI data files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</si>
  <si>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for the average commercial building type ("Avg. Commercial").</t>
  </si>
  <si>
    <t>Program Year 2017 (PY17) Program Tracking Data for Hawai‘i Energy's BEEM program.</t>
  </si>
  <si>
    <t>Program Year 2017 (PY17) Program Tracking Data for Hawai‘i Energy's LED Refrigerated Case Lighting projects.</t>
  </si>
  <si>
    <t>Table 1. Key Parameters for Occupancy Sensor Measure
(Applicable to Counties of Oahu, Maui, and Hawai‘i)</t>
  </si>
  <si>
    <t>Hawai‘i Energy PY17 Program Data for Commercial Occupancy Sensor Projects. Filename: "EMV Extract UPDATED 20181015". Spreadsheet.</t>
  </si>
  <si>
    <t>Program Year 2017 (PY17) Program Tracking Data for Hawai‘i Energy's business programs, occupancy sensor projects.</t>
  </si>
  <si>
    <t>The PY2015 Hawai‘i TRM makes no adjustment for efficiency</t>
  </si>
  <si>
    <t xml:space="preserve">• Incentives apply to both ODP and TEFC enclosures with 1200 RPM, 1800 RPM or 3600 RPM motors.
• Motors must meet minimum efficiency requirements as shown in the Table below.
• Motors greater than 200 hp will be given consideration under the Hawai‘i Energy Customized Program.
• If motors are not listed, submit manufacturer specifications, motor curve and performance data to Hawai‘i Energy for consideration </t>
  </si>
  <si>
    <t>Hawai‘i Energy PY15 TRM</t>
  </si>
  <si>
    <t>Hawai‘i Energy PY15 TRM, 6 hours per day</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</si>
  <si>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AOAO to assist in the verification of savings and development of an ongoing energy incentive offering for other condominiums in Hawai‘i.</t>
  </si>
  <si>
    <t>The manufacturer’s submetering system model type to be installed (meter and CTs) must have been tested by an independent third party that is Nationally Rated Testing Laboratory certified for ANSI C12.1. The certification documentation must be provided to the Program prior to installation. Additionally, manufacturers must have a factory-quality compliance procedure in place to ensure meter accuracy. Documentation of this procedure must be available to the Program upon request.  The submeter must be UL, CSA or ETL listed (Electrical Safety).
Requirements:
• The metering system must remain in place and billing to occur for a period of at least five (5) years or a pro-rated portion of the incentive will be recovered by Hawai‘i Energy.  Provide Hawai‘i Energy with energy meter data for analysis purposes.
• A joint educational and monitoring program will be undertaken with the businesses to assist in the verification of savings and development of an ongoing energy incentive offering for other condominiums in Hawai‘i.</t>
  </si>
  <si>
    <t>AEG's Hawai‘i-specific analysis of U.S. DOE OpenEI Load shapes for Commercial Water Heating</t>
  </si>
  <si>
    <t>AEG's Hawai‘i-specific analysis of U.S. DOE OpenEI Load shapes for Commercial Water Heating; peak period defined as non-holiday weekdays from 5-9 pm</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</si>
  <si>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https://openei.org/doe-opendata/dataset/commercial-and-residential-hourly-load-profiles-for-all-tmy3-locations-in-the-united-states.</t>
  </si>
  <si>
    <t>Hawai‘i Energy PY17 Program Data for BEEM. Filename: "EMV Extract UPDATED 20181015." Spreadsheet. AEG used data to develop shares of participant energy savings (kWh) by building type. The shares were then used to estimate weighted averages of key parameters (HWper SQFT, EFLH, and CF) for the average commercial building type ("Avg. Commercial").</t>
  </si>
  <si>
    <t>Hawai‘i Energy incentivizes the actions of building owners to evaluate the effectiveness and efficiency of current building systems to optimize performance.
These actions will be documented in a Commissioning Report that shall include:</t>
  </si>
  <si>
    <t>Program pre-approval is required prior to the start of any energy consumption analysis. Projects can be whole building or by system if determined cost-effective by Hawai‘i Energy. 
Eligible program participants must:</t>
  </si>
  <si>
    <t>Be willing to commit up to 100% of the incentive value to implement energy conservation measures (ECMs) found to have a 2- year or less payback. Any implemented ECMs are eligible for Hawai‘i Energy’s prescriptive and custom incentives.</t>
  </si>
  <si>
    <t>Grant Hawai‘i Energy access to their facility’s billing data and other required data to establish an initial benchmark rating via ENERGY STAR Portfolio Manager®.</t>
  </si>
  <si>
    <t>Grant Hawai‘i Energy access to the facility itself for on-going program assessment, monitoring and measurement purposes.</t>
  </si>
  <si>
    <t>The participant’s commissioning specialist shall be certified by a nationally recognized building commissioning organization such as the American Society of Heating, Refrigeration and Air Conditioning Engineers (ASHRAE), AABC Commissioning Group (ACG), Building Commissioning Association (BCA), National Environmental Balancing Bureau (NEBB) or similar organization acceptable to Hawai‘i Energy.</t>
  </si>
  <si>
    <t>If participant wishes to use a non-certified contractor to perform the Retro-Commissioning or Enhanced Commissioning project, an exception may be granted at Hawai‘i Energy’s sole discretion if:</t>
  </si>
  <si>
    <t>Hawai‘i Energy Efficiency Program Technical Reference Manual, PY 2015. Measure Savings Calculations, pp. 43</t>
  </si>
  <si>
    <t>ENERGY STAR LED Wattage (typical values from Hawai‘i Energy program data)</t>
  </si>
  <si>
    <t>AEG's Hawai‘i-specific simulation modeling</t>
  </si>
  <si>
    <t xml:space="preserve">AEG's 2018 Hawai‘i-specific building energy simulations of single family home prototypes in BEopt™ with EnergyPlus v8.8 as the simulation engine. Used Hawai‘i weather data and developed prototypes based on a mixture of assumptions from the 2014 State of Hawai‘i Baseline Report, 2014 Building America House Simulation Protocols, and building characteristics from a survey of suburban homes in Google Maps. Homes were simulated with a variety of HVAC system types and four different lighting consumption levels. House leakage was also varied to vary the efficiency of the home. AEG used the analysis to determine coincidence factors (CFs), as well as interactive effects factors (IEFs) that account for cooling demand and energy savings due to reducing waste heat with efficient lighting. </t>
  </si>
  <si>
    <t>Hawai‘i PUC LED Baseline Memo, Opinion Dynamics, April 9, 2018.</t>
  </si>
  <si>
    <t>AEG's Hawai‘i-specific analysis of U.S. DOE OpenEI Load shapes for Residential Electric Water Heating</t>
  </si>
  <si>
    <t>AEG's Hawai‘i-specific analysis of U.S. DOE OpenEI Load shapes for Residential Electric Water Heating; peak period defined as non-holiday weekdays from 5-9 pm</t>
  </si>
  <si>
    <t>Hawai‘i Non-Military 
(SF or MF)</t>
  </si>
  <si>
    <t>AEG's 2018 analysis of U.S. DOE OpenEI Load shapes for Residential Electric Water Heating. Used B10 Benchmark, Base Load prototype for IECC Zone 1A and Hawai‘i weather stations (Keahole-Kona.Intl.AP, Honolulu.Intl.AP, Kahului.AP). Prototype data available here: https://openei.org/doe-opendata/dataset/commercial-and-residential-hourly-load-profiles-for-all-tmy3-locations-in-the-united-states.</t>
  </si>
  <si>
    <t>Energy.gov, Solar Water Heating Requirement for New Residential Construction, State of Hawai‘i, https://www.energy.gov/savings/solar-water-heating-requirement-new-residential-construction.</t>
  </si>
  <si>
    <t>STATE OF HAWAI‘I SOLAR WATER HEATING IMPACT ASSESSMENT (1992 - 2011) Prepared For: Department of Business and Economic Development and Tourism (DBEDT) State of Hawai‘i FINAL December 18, 2012 Prepared by:  InSynergy Engineering, Inc. Honolulu, HI.</t>
  </si>
  <si>
    <t>Hawai‘i Energy Efficiency Program, Program Year 3, July 2011 through June 2012, Technical Reference Manual, No. 2011, Measure Savings Calculations.</t>
  </si>
  <si>
    <t>b. San Diego is a good proxy for Hawai‘i for lighting usage. The OpenEI prototypes yield the same energy, demand, EFLH, and CF factors for San Diego, Honolulu, Kahului, and Keahole-Kona weather stations. (Therefore, the same results are applicable to all Hawaiian counties.)</t>
  </si>
  <si>
    <t>Receive electric service from Hawaiian Electric Companies (e.g., HECO, MECO or HELCO) and pay a Hawai‘i public benefits fund surcharge on their electric bill.</t>
  </si>
  <si>
    <t>The IECC 2015 with Hawai‘i Amendments Commercial Reviewer and Designer Checklist requires efficient HVAC equipment to be 10% better than the minimum efficiency. Available at: &lt;https://hawaiienergy.com/files/resources/2015-IECC_CommercialReviewer_Checklist.pdf&gt;</t>
  </si>
  <si>
    <t xml:space="preserve">All energy efficiency programs need to estimate the amount of energy and demand that is saved for standard measures. This allows an effective program to promote these standard measures across markets with an incentive amount that is appropriate for the amount of energy and/or demand that is saved. Hawai‘i Energy maintains these energy saving estimates in the TRM. </t>
  </si>
  <si>
    <t>Technical Reference Manual (TRM)</t>
  </si>
  <si>
    <t>Energy Efficiency Manager (EEM)</t>
  </si>
  <si>
    <t xml:space="preserve">The Energy Efficiency Manager team is an independent contractor team that assists the Commission with the administration of contracts with the Program Administrator and the EM&amp;V Contractor. </t>
  </si>
  <si>
    <r>
      <rPr>
        <i/>
        <sz val="11"/>
        <color theme="1"/>
        <rFont val="Calibri"/>
        <family val="2"/>
        <scheme val="minor"/>
      </rPr>
      <t xml:space="preserve">Third-Party EM&amp;V Consultant TRM Review </t>
    </r>
    <r>
      <rPr>
        <sz val="11"/>
        <color theme="1"/>
        <rFont val="Calibri"/>
        <family val="2"/>
        <scheme val="minor"/>
      </rPr>
      <t>– Periodically, the EM&amp;V Consultant will provide a review of the current TRM and make recommendations based on current market research, in-field savings verification of measures, and evolving program priorities. Updates and improvements are then made in collaboration with the EEM, Hawai‘i Energy, and the Commission and then implemented in the subsequent program year.</t>
    </r>
  </si>
  <si>
    <t>EM&amp;V Contractor</t>
  </si>
  <si>
    <t>The EM&amp;V Contractor is an entity designated by the Commission to provide independent evaluation, measurement, and verification services for the Public Benefits Fee (PBF) Programs, Energy Efficiency Portfolio Standard (EEPS) and other programs and/or activities as directed by the Commission. The EM&amp;V Contractor reports to the EEM.</t>
  </si>
  <si>
    <t>Commission</t>
  </si>
  <si>
    <t>Hawai‘i Energy is the brand name for the third-party administered ratepayer-funded conservation and energy efficiency programs for Hawai‘i, Honolulu and Maui counties.</t>
  </si>
  <si>
    <t xml:space="preserve">The Hawai‘i TRM development and update process is guided by a group of key stakeholders—Hawai‘i Energy, the Commission, the EEM, and the EM&amp;V Consultant (“Key Stakeholder Group”). This group oversees and manages the project, comments on work products, and ensures that the TRM meets the needs of the Hawai‘i stakeholders. The Key Stakeholder Group participates in every aspect of the development of the TRM and the TRM Framework. Group members provide data and technical input, review draft savings calculations, and attend teleconferences to review, comment, and participate in the development of the TRM and TRM Framework. </t>
  </si>
  <si>
    <r>
      <rPr>
        <i/>
        <sz val="11"/>
        <color theme="1"/>
        <rFont val="Calibri"/>
        <family val="2"/>
        <scheme val="minor"/>
      </rPr>
      <t xml:space="preserve">New Measure Additions </t>
    </r>
    <r>
      <rPr>
        <sz val="11"/>
        <color theme="1"/>
        <rFont val="Calibri"/>
        <family val="2"/>
        <scheme val="minor"/>
      </rPr>
      <t>– As new technologies are introduced to the Hawai‘i Energy portfolio, they will be characterized and added to the manual. In addition, new program design and new areas of interest (e.g., Market Transformation) may result in the need for new measure characterization.</t>
    </r>
  </si>
  <si>
    <r>
      <rPr>
        <i/>
        <sz val="11"/>
        <color theme="1"/>
        <rFont val="Calibri"/>
        <family val="2"/>
        <scheme val="minor"/>
      </rPr>
      <t xml:space="preserve">Retiring Existing Measures </t>
    </r>
    <r>
      <rPr>
        <sz val="11"/>
        <color theme="1"/>
        <rFont val="Calibri"/>
        <family val="2"/>
        <scheme val="minor"/>
      </rPr>
      <t>– Existing TRM measures may be removed from the Hawai‘i Energy portfolio when the economics of a measure become such that it is no longer cost-effective or the free-rider rate is too high, or for other reasons. Before retiring an existing TRM measure, there should be agreement among the Commission, EEM, Hawai‘i Energy, and the EM&amp;V Consultant.</t>
    </r>
  </si>
  <si>
    <t xml:space="preserve">The following subsection describes how the TRM was developed and the key assumptions that were used in estimating the energy (kWh) savings and peak demand (kW) reduction impacts claimed by the Program. </t>
  </si>
  <si>
    <t>Each measure in the TRM includes a description of the baseline case and the high-efficiency case for the measure. The energy saved is the difference between the energy use for the baseline case and the energy use for the high-efficiency case. Similarly, the peak demand reduction is the difference between the coincident peak demand for the baseline case and the coincident peak demand for the high-efficiency case. For some measures and program delivery approaches, a dual baseline is needed to account for baseline changes that occur during the life of the measure. Lifetime energy savings reflect the cumulative saving accrued for the life of the measure.</t>
  </si>
  <si>
    <t>Issues Log</t>
  </si>
  <si>
    <t>Updates</t>
  </si>
  <si>
    <t>Please refer to the Issues Log for more information:</t>
  </si>
  <si>
    <t>Ductless Systems (New for PY19 TRM)</t>
  </si>
  <si>
    <t>Chillers (Updated for PY19 TRM)</t>
  </si>
  <si>
    <t>System Loss Factors</t>
  </si>
  <si>
    <t>Table 7. System Loss Factors by Island</t>
  </si>
  <si>
    <t xml:space="preserve">Energy savings at the customer level are equivalent to even greater savings at the power plant busbar (where the electrons enter the grid) due to energy losses during transmission and distribution. The system loss factor (SLF) is defined as marginal electricity losses from the busbar to the customer meter – expressed as a percent of meter-level savings. Each island in Hawai‘i has a different SLF due to differences in infrastructure. SLF values are derived using island-level loss data published for HECO, MECO, and HELCO. The customer-level electricity savings are multiplied by (1+SLF) to get the system-level savings, or savings at the power plant busbar. </t>
  </si>
  <si>
    <t>Adjusting the loss factors in Step 2 to remove losses due to theft and the utility's own electricity consumption in its building and facilities, so that the losses only reflect transmission and distribution losses. An engineering estimate of 0.1% off of each of the values from Step 2 was used for the adjustment.</t>
  </si>
  <si>
    <t>3.</t>
  </si>
  <si>
    <t>COMMERCIAL: Guest Room Energy Management System</t>
  </si>
  <si>
    <t>A Guest Room Energy Management System uses a passive infrared occupancy sensor to sense whether the guest room in a hotel/motel is occupied or unoccupied, and then powers down or adjusts the setpoints of the HVAC unit during periods of no occupancy.  The controller may be physically located in a separate control box, jointly with an occupancy sensor, or jointly with a thermostat depending on the vendor and existing site parameters.</t>
  </si>
  <si>
    <t>Peak Demand Reduction, kW/room</t>
  </si>
  <si>
    <t>Annual Energy Savings, kWh/yr-room</t>
  </si>
  <si>
    <t>Lifetime Energy Savings, kWh/room</t>
  </si>
  <si>
    <t>Deemed annual energy savings per room, per unit</t>
  </si>
  <si>
    <t>Deemed demand reduction per room, per unit</t>
  </si>
  <si>
    <t>Table 1: Deemed Savings per Room/Unit for Guest Room Energy Management System</t>
  </si>
  <si>
    <t xml:space="preserve">Office of Energy Efficiency and Renewable Energy. Commercial and Residential Hourly Load Profiles for All TMY3 Locations in the United States. U.S. Department of Energy Open Data Catalog. Available at: https://openei.org/doe-opendata/dataset/commercial-and-residential-hourly-load-profiles-for-all-tmy3-locations-in-the-united-states. </t>
  </si>
  <si>
    <r>
      <rPr>
        <sz val="10.5"/>
        <rFont val="Tahoma"/>
        <family val="2"/>
      </rPr>
      <t>∆</t>
    </r>
    <r>
      <rPr>
        <sz val="8.9499999999999993"/>
        <rFont val="Calibri"/>
        <family val="2"/>
      </rPr>
      <t>kWh per Room</t>
    </r>
  </si>
  <si>
    <r>
      <rPr>
        <sz val="10.5"/>
        <rFont val="Tahoma"/>
        <family val="2"/>
      </rPr>
      <t>∆</t>
    </r>
    <r>
      <rPr>
        <sz val="8.9499999999999993"/>
        <rFont val="Calibri"/>
        <family val="2"/>
      </rPr>
      <t>kW per Room</t>
    </r>
  </si>
  <si>
    <t>See Footnote 1</t>
  </si>
  <si>
    <t>Pacific Gas and Electric Company. PTAC/PTHP/Split AC Controller. Work Paper PGE3PHVC149 Revision 2, Measure Code HA82. January 1, 2016. Available at: http://www.deeresources.net/workpapers.</t>
  </si>
  <si>
    <t>DOE New Construction Commercial Reference Building Prototype Summary Files. Version 1.3_5.0. September 27, 2010. Available as part of the compressed files at: https://www.energy.gov/eere/buildings/new-construction-commercial-reference-buildings.</t>
  </si>
  <si>
    <t>Add update status for each measure that has been revised for PY19.</t>
  </si>
  <si>
    <t xml:space="preserve">Technical Reference Manual (TRM) </t>
  </si>
  <si>
    <t xml:space="preserve">Measure Savings Calculations </t>
  </si>
  <si>
    <t xml:space="preserve">Hawai‘i Energy Efficiency Program </t>
  </si>
  <si>
    <t>Waste Heat Factors due to Interaction with Space Cooling System</t>
  </si>
  <si>
    <t>Waste heat factor due to lighting interaction with space cooling system demand</t>
  </si>
  <si>
    <t>Waste heat factor due to lighting interaction with space cooling system energy use</t>
  </si>
  <si>
    <t>See Equation 7; applicable to lighting installed in locations with space cooling</t>
  </si>
  <si>
    <t>See Equation 8; applicable to lighting installed in locations with space cooling</t>
  </si>
  <si>
    <r>
      <rPr>
        <vertAlign val="superscript"/>
        <sz val="9"/>
        <rFont val="Calibri"/>
        <family val="2"/>
        <scheme val="minor"/>
      </rPr>
      <t>2</t>
    </r>
    <r>
      <rPr>
        <sz val="9"/>
        <rFont val="Calibri"/>
        <family val="2"/>
        <scheme val="minor"/>
      </rPr>
      <t xml:space="preserve"> Based on average of default values for Total Model Volume for refrigerators from ENERGY STAR calculator (20.5 cu ft), and assuming 68.6% of volume is refrigerator (fresh volume),  which is default in ENERGY STAR calculator. Recommendation for future update: Determine average AV of units installed through Hawai‘i program.</t>
    </r>
  </si>
  <si>
    <r>
      <rPr>
        <vertAlign val="superscript"/>
        <sz val="9"/>
        <rFont val="Calibri"/>
        <family val="2"/>
        <scheme val="minor"/>
      </rPr>
      <t>3</t>
    </r>
    <r>
      <rPr>
        <sz val="9"/>
        <rFont val="Calibri"/>
        <family val="2"/>
        <scheme val="minor"/>
      </rPr>
      <t xml:space="preserve"> Based on average of default values for Total Model Volume for freezers (non-compact ) from ENERGY STAR calculator (15.0 cu ft). Recommendation for future update: Determine average AV of units installed through Hawai‘i program.</t>
    </r>
  </si>
  <si>
    <r>
      <rPr>
        <vertAlign val="superscript"/>
        <sz val="9"/>
        <color theme="1"/>
        <rFont val="Calibri"/>
        <family val="2"/>
        <scheme val="minor"/>
      </rPr>
      <t>1</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</si>
  <si>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Existing Homes: The rated storage volume of the baseline equipment (Electric Resistance Storage Water Heater) is limited to 55 gallons or less. For homes with a pre-existing Solar Water Heater, the tank size required to meet water heating demand with an Electric Resistance Storage Water Heater must be determined and limited to a storage volume of 55 gallons or less. Therefore, homes requiring water heating capacity greater than the equivalent of a 55 gallon electric resistance water heater do not qualify. (It is important to clarify that the 55 gallon or less requirement only applies to the baseline Electric Resistance Storage Water Heater, and not to the new Solar Water Heater tank; Solar Water Heater tanks would be 80-120 gallons to meet the equivalent water heating demand.)</t>
  </si>
  <si>
    <t>R_WH_Solar</t>
  </si>
  <si>
    <t>ENERGY STAR v5.0 certified refrigerator/freezer as specified below replacing a non-ENERGY STAR refrigerator/freezer and turning in the existing refrigerator/freezer to be recycled. Also, turn-in only refrigerator/freezer rebate available.</t>
  </si>
  <si>
    <r>
      <t>T5 Type A</t>
    </r>
    <r>
      <rPr>
        <b/>
        <vertAlign val="superscript"/>
        <sz val="9.5"/>
        <color rgb="FF000000"/>
        <rFont val="Calibri"/>
        <family val="2"/>
      </rPr>
      <t>1</t>
    </r>
  </si>
  <si>
    <r>
      <t>T5HO Type A</t>
    </r>
    <r>
      <rPr>
        <b/>
        <vertAlign val="superscript"/>
        <sz val="9.5"/>
        <color rgb="FF000000"/>
        <rFont val="Calibri"/>
        <family val="2"/>
      </rPr>
      <t>1</t>
    </r>
  </si>
  <si>
    <r>
      <rPr>
        <vertAlign val="superscript"/>
        <sz val="9"/>
        <color theme="1"/>
        <rFont val="Calibri"/>
        <family val="2"/>
        <scheme val="minor"/>
      </rPr>
      <t>1</t>
    </r>
    <r>
      <rPr>
        <sz val="9"/>
        <color theme="1"/>
        <rFont val="Calibri"/>
        <family val="2"/>
        <scheme val="minor"/>
      </rPr>
      <t xml:space="preserve"> Estimated useful life for Type A linear LED replacements was capped at the remaining useful life of the linear fixture/ballast, which was estimated as the EUL of a new fixture divided by 3 per typical DEER calculations. This is done because Type A linear LEDs are installed on the existing fixture, use the existing ballast, and are thus limited by the remaining lifetime of the existing fixture. After the existing ballast reaches the end of its useful life, it is likely that the whole fixture is fully replaced with an LED troffer.</t>
    </r>
  </si>
  <si>
    <r>
      <t>2' Type A</t>
    </r>
    <r>
      <rPr>
        <b/>
        <vertAlign val="superscript"/>
        <sz val="10"/>
        <color rgb="FF000000"/>
        <rFont val="Calibri"/>
        <family val="2"/>
      </rPr>
      <t>1</t>
    </r>
  </si>
  <si>
    <r>
      <t>3' Type A</t>
    </r>
    <r>
      <rPr>
        <b/>
        <vertAlign val="superscript"/>
        <sz val="10"/>
        <color rgb="FF000000"/>
        <rFont val="Calibri"/>
        <family val="2"/>
      </rPr>
      <t>1</t>
    </r>
  </si>
  <si>
    <r>
      <t>4' Type A</t>
    </r>
    <r>
      <rPr>
        <b/>
        <vertAlign val="superscript"/>
        <sz val="10"/>
        <color rgb="FF000000"/>
        <rFont val="Calibri"/>
        <family val="2"/>
      </rPr>
      <t>1</t>
    </r>
  </si>
  <si>
    <r>
      <t>8' Type A</t>
    </r>
    <r>
      <rPr>
        <b/>
        <vertAlign val="superscript"/>
        <sz val="10"/>
        <color rgb="FF000000"/>
        <rFont val="Calibri"/>
        <family val="2"/>
      </rPr>
      <t>1</t>
    </r>
  </si>
  <si>
    <t>LED-Decorative Candelabra 40W eq.</t>
  </si>
  <si>
    <r>
      <t>(2) X 2' 
Type A</t>
    </r>
    <r>
      <rPr>
        <b/>
        <vertAlign val="superscript"/>
        <sz val="9.5"/>
        <color rgb="FF000000"/>
        <rFont val="Calibri"/>
        <family val="2"/>
      </rPr>
      <t>1</t>
    </r>
  </si>
  <si>
    <r>
      <t>(2) x U-Bend Type A</t>
    </r>
    <r>
      <rPr>
        <b/>
        <vertAlign val="superscript"/>
        <sz val="9.5"/>
        <color rgb="FF000000"/>
        <rFont val="Calibri"/>
        <family val="2"/>
      </rPr>
      <t>1</t>
    </r>
  </si>
  <si>
    <t>Savings are calculated per chiller.</t>
  </si>
  <si>
    <r>
      <t>Table 1: Baseline Efficiency Specifications</t>
    </r>
    <r>
      <rPr>
        <b/>
        <vertAlign val="superscript"/>
        <sz val="11"/>
        <rFont val="Calibri"/>
        <family val="2"/>
        <scheme val="minor"/>
      </rPr>
      <t>1</t>
    </r>
  </si>
  <si>
    <t>Assumed to be a non-optimized existing pumping system with a constant speed motor.  Baseline pumps are assumed to run 60% of the time.</t>
  </si>
  <si>
    <t>The purpose of this measure is to reduce energy consumption through more efficient domestic water booster systems by installing a VFD with or without also reducing pump HP. Pump improvements can be done to optimize the design and control of water pumping systems.</t>
  </si>
  <si>
    <r>
      <rPr>
        <vertAlign val="superscript"/>
        <sz val="9"/>
        <rFont val="Calibri"/>
        <family val="2"/>
        <scheme val="minor"/>
      </rPr>
      <t>1</t>
    </r>
    <r>
      <rPr>
        <sz val="9"/>
        <rFont val="Calibri"/>
        <family val="2"/>
        <scheme val="minor"/>
      </rPr>
      <t xml:space="preserve"> Savings were determined using an average savings percentage of 35% from five (5) PTAC case studies documented in a 2016 Pacific Gas &amp; Electric (PG&amp;E) Non-DEER Workpaper applied to consumption estimates from Hawai‘i commercial prototype hourly load profiles from the U.S. DOE OpenEI Data Catalog. Demand reductions were then determined using the method recommended by the PG&amp;E workpaper and coincidence factors determined from Hawai‘i hourly load profiles.</t>
    </r>
  </si>
  <si>
    <t>FEMP Case Study.  The Music Road Hotel, “Demonstration and Evaluation of HVAC Controller for Lodging Facilities”, July 2002.</t>
  </si>
  <si>
    <t>QuEST PTAC Controls Program, Technical Work Paper (PG&amp;E): HOSPITALITY – PTAC QUEST).doc</t>
  </si>
  <si>
    <t>BC Hydro M&amp;V Study.  The Blue Horizon Hotel, “Two Passive Infrared Motion Sensor Systems for in Room Energy Hotel Management” November 2007.</t>
  </si>
  <si>
    <t>KEMA Focus On Energy Evaluation, WI:  bpdeemedsavingsmanuav10_evaluationreport.pdf.</t>
  </si>
  <si>
    <r>
      <rPr>
        <vertAlign val="superscript"/>
        <sz val="9"/>
        <color theme="1"/>
        <rFont val="Calibri"/>
        <family val="2"/>
        <scheme val="minor"/>
      </rPr>
      <t>1</t>
    </r>
    <r>
      <rPr>
        <sz val="9"/>
        <color theme="1"/>
        <rFont val="Calibri"/>
        <family val="2"/>
        <scheme val="minor"/>
      </rPr>
      <t xml:space="preserve">  Weighting assumes 8% 100W eq., 29% 75W eq., 57% 60W eq., 6% 40W eq. based on former Hawai‘i Energy program data for similar lamp types.</t>
    </r>
  </si>
  <si>
    <t>Wtd. Avg. EISA Tier 1 lamp</t>
  </si>
  <si>
    <t>Pin base CFL lamp</t>
  </si>
  <si>
    <t>Halogen 39 W lamp (50W incan. equivalent), 520 lumens</t>
  </si>
  <si>
    <t>Incandescent sign, various types ranging from 1x5W to 2x50W</t>
  </si>
  <si>
    <t>Halogen 60 W lamp (75W incan. equivalent), 920 lumens</t>
  </si>
  <si>
    <t>Halogen 60 W lamp (75W incan. equivalent), 1090 lumens</t>
  </si>
  <si>
    <t>25W incandescent lamp</t>
  </si>
  <si>
    <t>40W incandescent lamp</t>
  </si>
  <si>
    <t>60W incandescent lamp</t>
  </si>
  <si>
    <t>Fixture wattage from benchmarking; no change from PY18 TRM</t>
  </si>
  <si>
    <t xml:space="preserve">Hawai‘i Energy offers several types of prescriptive lighting measures for Commercial buildings through the BEEM and BHTR programs. The measures related to replacing lamps and fixtures with LED alternatives of comparable brightness (lumens) are covered here. </t>
  </si>
  <si>
    <t>This measure involves retrofitting the linear fluorescent lighting system within an existing low or medium temperature refrigerated case with efficient LED refrigerated case lighting.</t>
  </si>
  <si>
    <t>New refrigerated cases do not qualify for this measure. The qualifying technology must be specifically designed for refrigerated case lighting applications. For example, lamps in the DLC "General Application: Case Lighting" category qualify. An equivalent category of lamps rated by ENERGY STAR or Lighting Facts may qualify as well, pending Program approval.</t>
  </si>
  <si>
    <r>
      <t>The pre-existing baseline (kW</t>
    </r>
    <r>
      <rPr>
        <vertAlign val="subscript"/>
        <sz val="9"/>
        <color theme="1"/>
        <rFont val="Calibri"/>
        <family val="2"/>
        <scheme val="minor"/>
      </rPr>
      <t>base,1</t>
    </r>
    <r>
      <rPr>
        <sz val="9"/>
        <color theme="1"/>
        <rFont val="Calibri"/>
        <family val="2"/>
        <scheme val="minor"/>
      </rPr>
      <t>) consists of a 60%/40% T8/T12 blend.</t>
    </r>
  </si>
  <si>
    <r>
      <rPr>
        <vertAlign val="superscript"/>
        <sz val="9"/>
        <color theme="1"/>
        <rFont val="Calibri"/>
        <family val="2"/>
        <scheme val="minor"/>
      </rPr>
      <t>1</t>
    </r>
    <r>
      <rPr>
        <sz val="9"/>
        <color theme="1"/>
        <rFont val="Calibri"/>
        <family val="2"/>
        <scheme val="minor"/>
      </rPr>
      <t xml:space="preserve"> From RTF 2018 Workbook. EERs are the regional weighted averages from Standard Information Workbook v3.2. A future update to the Hawai‘i TRM should include Hawai‘i-specific EER data from market research.</t>
    </r>
  </si>
  <si>
    <r>
      <t>Based on Rated Lamp Life</t>
    </r>
    <r>
      <rPr>
        <vertAlign val="superscript"/>
        <sz val="10.5"/>
        <color theme="1"/>
        <rFont val="Calibri"/>
        <family val="2"/>
        <scheme val="minor"/>
      </rPr>
      <t>2</t>
    </r>
    <r>
      <rPr>
        <sz val="10.5"/>
        <color theme="1"/>
        <rFont val="Calibri"/>
        <family val="2"/>
        <scheme val="minor"/>
      </rPr>
      <t xml:space="preserve"> of 50,000 hr and HOU of 4,100 hr/yr</t>
    </r>
  </si>
  <si>
    <r>
      <t>DEER2020</t>
    </r>
    <r>
      <rPr>
        <vertAlign val="superscript"/>
        <sz val="10.5"/>
        <color theme="1"/>
        <rFont val="Calibri"/>
        <family val="2"/>
        <scheme val="minor"/>
      </rPr>
      <t>2</t>
    </r>
    <r>
      <rPr>
        <sz val="10.5"/>
        <color theme="1"/>
        <rFont val="Calibri"/>
        <family val="2"/>
        <scheme val="minor"/>
      </rPr>
      <t xml:space="preserve"> interactive effect factors for San Diego, adjusted to Hawai‘i's weather zone using LBNL simulation results;</t>
    </r>
    <r>
      <rPr>
        <vertAlign val="superscript"/>
        <sz val="10.5"/>
        <color theme="1"/>
        <rFont val="Calibri"/>
        <family val="2"/>
        <scheme val="minor"/>
      </rPr>
      <t>3</t>
    </r>
    <r>
      <rPr>
        <sz val="10.5"/>
        <color theme="1"/>
        <rFont val="Calibri"/>
        <family val="2"/>
        <scheme val="minor"/>
      </rPr>
      <t xml:space="preserve"> Assumes 50% of spaces with occupancy sensors are air conditioned</t>
    </r>
  </si>
  <si>
    <r>
      <t>AEG's analysis of DOE's OpenEI load shapes using Hawai‘i-specific prototypes, weather data, and peak demand period, adjusted to specific lighting types</t>
    </r>
    <r>
      <rPr>
        <vertAlign val="superscript"/>
        <sz val="10.5"/>
        <color theme="1"/>
        <rFont val="Calibri"/>
        <family val="2"/>
        <scheme val="minor"/>
      </rPr>
      <t>1</t>
    </r>
  </si>
  <si>
    <r>
      <t>DEER2020</t>
    </r>
    <r>
      <rPr>
        <vertAlign val="superscript"/>
        <sz val="10.5"/>
        <color theme="1"/>
        <rFont val="Calibri"/>
        <family val="2"/>
        <scheme val="minor"/>
      </rPr>
      <t>2</t>
    </r>
    <r>
      <rPr>
        <sz val="10.5"/>
        <color theme="1"/>
        <rFont val="Calibri"/>
        <family val="2"/>
        <scheme val="minor"/>
      </rPr>
      <t xml:space="preserve"> hours of use with no occupancy sensors for San Diego (CA's southern-most latitude)</t>
    </r>
  </si>
  <si>
    <r>
      <rPr>
        <vertAlign val="superscript"/>
        <sz val="9"/>
        <color theme="1"/>
        <rFont val="Calibri"/>
        <family val="2"/>
        <scheme val="minor"/>
      </rPr>
      <t>1</t>
    </r>
    <r>
      <rPr>
        <sz val="9"/>
        <color theme="1"/>
        <rFont val="Calibri"/>
        <family val="2"/>
        <scheme val="minor"/>
      </rPr>
      <t xml:space="preserve"> This approach assumes that the occupancy pattern during 5-9 pm is consistent with rest of day, which may not be the case for some building types (e.g., offices). Overall, this is likely to yield conservative values for CF.</t>
    </r>
  </si>
  <si>
    <t xml:space="preserve">The replacement of an EISA-compliant omni-directional, medium screw base lamp with an ENERGY STAR LED lamp of comparable brightness (lumens) in both Residential Single Family and Multifamily homes. </t>
  </si>
  <si>
    <t>First Baseline Wattage - EISA Tier 1</t>
  </si>
  <si>
    <t>Second Baseline Wattage - EISA Tier 2 (calculated for middle of lumen range)</t>
  </si>
  <si>
    <t xml:space="preserve">Hawai‘i Energy has moved the Residential New Construction incentive from previous TRM versions to a custom incentive due to the complex and unique nature of these projects.  Residential homes vary in size, orientation, construction, and equipment and therefore require a customized approach when estimating energy savings.  Residential New Construction projects may include a subset of prescriptive measures, such as ENERGY STAR appliances, which may still be rebated on a prescriptive basis.  </t>
  </si>
  <si>
    <t>It is assumed that half of all water coolers are ENERGY STAR and half are not:</t>
  </si>
  <si>
    <t>·        50% ENERGY STAR</t>
  </si>
  <si>
    <t>Pre-approval required. Pumps greater than 4 hp in size may be handled as a custom measure.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</si>
  <si>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ENERGY STAR Product Specifications for Pool Pumps, Version 2.0, available online at: https://www.energystar.gov/sites/default/files/ENERGY%20STAR%20Final%20Version%202.0%20Pool%20Pumps%20Specification.pdf.</t>
  </si>
  <si>
    <t>Energy Solutions Report on RPP - Citing EPA Internal Analysis of ENERGY STAR V2.0 Soundbars.2</t>
  </si>
  <si>
    <t>ENERGY STAR Assumption - Via NEEP Mid-Atlantic TRM Version 6</t>
  </si>
  <si>
    <t>New construction homes do not qualify. The installed variable-speed self-priming pool filter pump's rated Weighted Energy Factor (WEF) should meet or exceed the ENERGY STAR v2.0 specifications. Any high-speed override capability should be for a temporary period not to exceed one 24-hour cycle without reverting to default settings.</t>
  </si>
  <si>
    <t>Replacement of exterior High Intensity Discharge (HID) fixtures with LED luminaires in outdoor street and exterior area applications. Other types of exterior lighting may be addressed with a custom approach.</t>
  </si>
  <si>
    <t>This measure is for wall switch sensors that control the use of lighting in areas around the facility with variable use.</t>
  </si>
  <si>
    <r>
      <t>Williams et al</t>
    </r>
    <r>
      <rPr>
        <vertAlign val="superscript"/>
        <sz val="10.5"/>
        <color theme="1"/>
        <rFont val="Calibri"/>
        <family val="2"/>
        <scheme val="minor"/>
      </rPr>
      <t>1</t>
    </r>
    <r>
      <rPr>
        <sz val="10.5"/>
        <color theme="1"/>
        <rFont val="Calibri"/>
        <family val="2"/>
        <scheme val="minor"/>
      </rPr>
      <t xml:space="preserve"> and AEG's Fall 2018 Benchmarking; corresponds to "institutional" and "personal" dimming with continuously dimmable lamps</t>
    </r>
  </si>
  <si>
    <r>
      <t>%</t>
    </r>
    <r>
      <rPr>
        <vertAlign val="subscript"/>
        <sz val="10.5"/>
        <color theme="1"/>
        <rFont val="Calibri"/>
        <family val="2"/>
        <scheme val="minor"/>
      </rPr>
      <t>dimmable</t>
    </r>
  </si>
  <si>
    <r>
      <t>%</t>
    </r>
    <r>
      <rPr>
        <vertAlign val="subscript"/>
        <sz val="10.5"/>
        <color theme="1"/>
        <rFont val="Calibri"/>
        <family val="2"/>
        <scheme val="minor"/>
      </rPr>
      <t>non-dimmable</t>
    </r>
  </si>
  <si>
    <t>Stairwell lighting typically operates continuously at full output despite very low, intermittent use. Bi-level stairwell dimming lights utilize either an ultrasonic or infrared motion sensor to detect motion in stairwells. Solid state controls are used to dim fixtures to lower light levels when a space is unoccupied. This measure may also include the installation of a new efficient fixture along with bi-level dimming controls.</t>
  </si>
  <si>
    <r>
      <t>%</t>
    </r>
    <r>
      <rPr>
        <vertAlign val="subscript"/>
        <sz val="10.5"/>
        <color theme="1"/>
        <rFont val="Calibri"/>
        <family val="2"/>
        <scheme val="minor"/>
      </rPr>
      <t>time,full</t>
    </r>
  </si>
  <si>
    <r>
      <t>%</t>
    </r>
    <r>
      <rPr>
        <vertAlign val="subscript"/>
        <sz val="10.5"/>
        <color theme="1"/>
        <rFont val="Calibri"/>
        <family val="2"/>
        <scheme val="minor"/>
      </rPr>
      <t>time,dim</t>
    </r>
  </si>
  <si>
    <r>
      <t>Hawai‘i Energy PY17 installation data for measure; assumes LED driver efficiency of 0.89 (driver efficiency from RTF 2018 workbook</t>
    </r>
    <r>
      <rPr>
        <vertAlign val="superscript"/>
        <sz val="10.5"/>
        <color theme="1"/>
        <rFont val="Calibri"/>
        <family val="2"/>
        <scheme val="minor"/>
      </rPr>
      <t>1</t>
    </r>
    <r>
      <rPr>
        <sz val="10.5"/>
        <color theme="1"/>
        <rFont val="Calibri"/>
        <family val="2"/>
        <scheme val="minor"/>
      </rPr>
      <t>)</t>
    </r>
  </si>
  <si>
    <t>High efficiency equipment is a new Solar Water Heater with electric backup designed for a 90% Solar Fraction. The Solar Water Heating collectors must meet the Solar Rating and Certification Corporation (SRCC™) OG-100 standard. OG-300 certification for the solar water heating system is not required. Solar Water Heating systems use solar thermal energy to meet most of the water heating load and continue to utilize electricity to operate the circulation pump and provide heating through an electric resistance element when needed.</t>
  </si>
  <si>
    <t>Baseline Annual Energy Use, kWh/hr</t>
  </si>
  <si>
    <t>Efficient Case Annual Energy Use, kWh/hr</t>
  </si>
  <si>
    <t>See Table 2 (default = 75)</t>
  </si>
  <si>
    <r>
      <t>Hawai‘i Energy</t>
    </r>
    <r>
      <rPr>
        <vertAlign val="superscript"/>
        <sz val="10.5"/>
        <rFont val="Calibri"/>
        <family val="2"/>
        <scheme val="minor"/>
      </rPr>
      <t>2</t>
    </r>
  </si>
  <si>
    <t>SF</t>
  </si>
  <si>
    <t>Solar fraction</t>
  </si>
  <si>
    <r>
      <t>EF</t>
    </r>
    <r>
      <rPr>
        <vertAlign val="subscript"/>
        <sz val="10.5"/>
        <color theme="1"/>
        <rFont val="Calibri"/>
        <family val="2"/>
      </rPr>
      <t>SWH</t>
    </r>
  </si>
  <si>
    <t>Typical value for electric resistance water heating; equal to efficiency assumption of 0.9 from PY18 TRM</t>
  </si>
  <si>
    <r>
      <t>kW</t>
    </r>
    <r>
      <rPr>
        <vertAlign val="subscript"/>
        <sz val="10.5"/>
        <color theme="1"/>
        <rFont val="Calibri"/>
        <family val="2"/>
      </rPr>
      <t>pump</t>
    </r>
  </si>
  <si>
    <t>Circulation pump demand</t>
  </si>
  <si>
    <r>
      <t>No change from PY18 TRM; Source: KEMA 2005-2007</t>
    </r>
    <r>
      <rPr>
        <vertAlign val="superscript"/>
        <sz val="10.5"/>
        <rFont val="Calibri"/>
        <family val="2"/>
        <scheme val="minor"/>
      </rPr>
      <t>3</t>
    </r>
  </si>
  <si>
    <r>
      <t>HOU</t>
    </r>
    <r>
      <rPr>
        <vertAlign val="subscript"/>
        <sz val="10.5"/>
        <color theme="1"/>
        <rFont val="Calibri"/>
        <family val="2"/>
      </rPr>
      <t>pump</t>
    </r>
  </si>
  <si>
    <t>Pump hours of operation</t>
  </si>
  <si>
    <r>
      <t>Energy factor of the baseline equipment</t>
    </r>
    <r>
      <rPr>
        <vertAlign val="superscript"/>
        <sz val="10.5"/>
        <color theme="1"/>
        <rFont val="Calibri"/>
        <family val="2"/>
        <scheme val="minor"/>
      </rPr>
      <t>1</t>
    </r>
  </si>
  <si>
    <t>Energy factor of solar water heater when using back-up electric resistance heating</t>
  </si>
  <si>
    <t>User input (default = 0.9)</t>
  </si>
  <si>
    <t>Program requirement is 0.9</t>
  </si>
  <si>
    <r>
      <t>KEMA 2005-2007 report found 7% of solar water heating systems evaluated to be "inoperable"</t>
    </r>
    <r>
      <rPr>
        <vertAlign val="superscript"/>
        <sz val="10.5"/>
        <color theme="1"/>
        <rFont val="Calibri"/>
        <family val="2"/>
        <scheme val="minor"/>
      </rPr>
      <t>4</t>
    </r>
  </si>
  <si>
    <r>
      <rPr>
        <vertAlign val="superscript"/>
        <sz val="9"/>
        <color theme="1"/>
        <rFont val="Calibri"/>
        <family val="2"/>
        <scheme val="minor"/>
      </rPr>
      <t>2</t>
    </r>
    <r>
      <rPr>
        <sz val="9"/>
        <color theme="1"/>
        <rFont val="Calibri"/>
        <family val="2"/>
        <scheme val="minor"/>
      </rPr>
      <t xml:space="preserve"> Hawai‘i Energy Solar Water Heating Program Handbook, Table 2. Maui value is average across 19 locations in Maui County (Range: 64-74°F). Primary source of data is the Maui Board of Water Supply.</t>
    </r>
  </si>
  <si>
    <r>
      <rPr>
        <vertAlign val="superscript"/>
        <sz val="9"/>
        <color theme="1"/>
        <rFont val="Calibri"/>
        <family val="2"/>
        <scheme val="minor"/>
      </rPr>
      <t>3</t>
    </r>
    <r>
      <rPr>
        <sz val="9"/>
        <color theme="1"/>
        <rFont val="Calibri"/>
        <family val="2"/>
        <scheme val="minor"/>
      </rPr>
      <t xml:space="preserve"> This KEMA report has been referenced in Hawai‘i Energy's TRM algorithms for solar water heating since the PY11 TRM, and may have been in use to estimate savings prior to PY11. The report is cited as "KEMA 2005-2007 Energy and Peak Demand Impact Evaluation Report" and appears to describe a water heating study conducted by KEMA. AEG and the EEM were unable to locate the original KEMA evaluation report, despite inquiring directly with DNV GL (KEMA is now a part of DNV GL). From what AEG can ascertain from the past Hawai‘i Energy TRMs, the circulation pump demand and pump hours of operation were determined from metering a sample of systems. AEG recommends collecting new data to update these values in a future TRM update.</t>
    </r>
  </si>
  <si>
    <r>
      <rPr>
        <vertAlign val="superscript"/>
        <sz val="9"/>
        <color theme="1"/>
        <rFont val="Calibri"/>
        <family val="2"/>
        <scheme val="minor"/>
      </rPr>
      <t>4</t>
    </r>
    <r>
      <rPr>
        <sz val="9"/>
        <color theme="1"/>
        <rFont val="Calibri"/>
        <family val="2"/>
        <scheme val="minor"/>
      </rPr>
      <t xml:space="preserve">  From what AEG can ascertain from the past Hawai‘i Energy TRMs, "inoperable" was defined by KEMA as solar water heating systems that use more than an average of 5 kWh per day. The reference for the definition of "inoperable" is cited in past Hawai‘i Energy TRMs as: "Impact Evaluation Report of the 2001-2003 Demand Side Management Programs," KEMA, page 2-36, 2004. </t>
    </r>
  </si>
  <si>
    <t>Honolulu</t>
  </si>
  <si>
    <r>
      <t xml:space="preserve">EFLH </t>
    </r>
    <r>
      <rPr>
        <vertAlign val="superscript"/>
        <sz val="10.5"/>
        <color theme="1"/>
        <rFont val="Calibri"/>
        <family val="2"/>
        <scheme val="minor"/>
      </rPr>
      <t>1</t>
    </r>
  </si>
  <si>
    <r>
      <t>T</t>
    </r>
    <r>
      <rPr>
        <vertAlign val="subscript"/>
        <sz val="10.5"/>
        <color theme="1"/>
        <rFont val="Calibri"/>
        <family val="2"/>
        <scheme val="minor"/>
      </rPr>
      <t>in</t>
    </r>
    <r>
      <rPr>
        <sz val="10.5"/>
        <color theme="1"/>
        <rFont val="Calibri"/>
        <family val="2"/>
        <scheme val="minor"/>
      </rPr>
      <t xml:space="preserve"> </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</si>
  <si>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Source of EFLH and CF: AEG 2018 analysis of U.S. DOE OpenEI Load shape for Residential Electric Water Heating </t>
    </r>
  </si>
  <si>
    <r>
      <rPr>
        <vertAlign val="superscript"/>
        <sz val="9"/>
        <color theme="1"/>
        <rFont val="Calibri"/>
        <family val="2"/>
        <scheme val="minor"/>
      </rPr>
      <t>2</t>
    </r>
    <r>
      <rPr>
        <sz val="9"/>
        <color theme="1"/>
        <rFont val="Calibri"/>
        <family val="2"/>
        <scheme val="minor"/>
      </rPr>
      <t>Source of T</t>
    </r>
    <r>
      <rPr>
        <vertAlign val="subscript"/>
        <sz val="9"/>
        <color theme="1"/>
        <rFont val="Calibri"/>
        <family val="2"/>
        <scheme val="minor"/>
      </rPr>
      <t>in</t>
    </r>
    <r>
      <rPr>
        <sz val="9"/>
        <color theme="1"/>
        <rFont val="Calibri"/>
        <family val="2"/>
        <scheme val="minor"/>
      </rPr>
      <t>: Hawai‘i Energy Solar Water Heating Program Handbook, Table 2; Maui value is average across 19 locations in Maui County (Range: 64-74°F)</t>
    </r>
  </si>
  <si>
    <t>Honolulu Non-Military 
(SF or MF)</t>
  </si>
  <si>
    <t>Enter Solar Fraction for new Solar Water Heater (default of 0.9)</t>
  </si>
  <si>
    <t>Enter County (default of Honolulu)</t>
  </si>
  <si>
    <r>
      <t>T</t>
    </r>
    <r>
      <rPr>
        <vertAlign val="subscript"/>
        <sz val="11"/>
        <color theme="1"/>
        <rFont val="Calibri"/>
        <family val="2"/>
        <scheme val="minor"/>
      </rPr>
      <t>in</t>
    </r>
    <r>
      <rPr>
        <sz val="11"/>
        <color theme="1"/>
        <rFont val="Calibri"/>
        <family val="2"/>
        <scheme val="minor"/>
      </rPr>
      <t xml:space="preserve"> =</t>
    </r>
  </si>
  <si>
    <r>
      <t xml:space="preserve">The semi-prescriptive approach presented here is reserved for smaller, simpler systems where the baseline Electric Storage Water Heater has an input rating of 12 kW (40,950 Btu/hr) or less and the square footage of the building or area served by the solar water heating system is known. </t>
    </r>
    <r>
      <rPr>
        <b/>
        <i/>
        <sz val="11"/>
        <color theme="1"/>
        <rFont val="Calibri"/>
        <family val="2"/>
        <scheme val="minor"/>
      </rPr>
      <t>A fully custom approach should be used for larger or more complex installations, and/or when the water heating load served by the solar water heater is more accurately known.</t>
    </r>
  </si>
  <si>
    <t xml:space="preserve">The Solar Water Heating collectors must meet the Solar Rating and Certification Corporation (SRCC™) OG-100 standard. OG-300 certification for the solar water heating system is not required. </t>
  </si>
  <si>
    <r>
      <t xml:space="preserve">Program requirement of </t>
    </r>
    <r>
      <rPr>
        <sz val="10.5"/>
        <rFont val="Calibri"/>
        <family val="2"/>
      </rPr>
      <t>0.9</t>
    </r>
  </si>
  <si>
    <r>
      <t>Source: KEMA 2005-2007; consistent with residential solar water heating measure</t>
    </r>
    <r>
      <rPr>
        <vertAlign val="superscript"/>
        <sz val="10.5"/>
        <rFont val="Calibri"/>
        <family val="2"/>
        <scheme val="minor"/>
      </rPr>
      <t>3</t>
    </r>
  </si>
  <si>
    <r>
      <rPr>
        <vertAlign val="superscript"/>
        <sz val="9"/>
        <color theme="1"/>
        <rFont val="Calibri"/>
        <family val="2"/>
        <scheme val="minor"/>
      </rPr>
      <t>2</t>
    </r>
    <r>
      <rPr>
        <sz val="9"/>
        <color theme="1"/>
        <rFont val="Calibri"/>
        <family val="2"/>
        <scheme val="minor"/>
      </rPr>
      <t xml:space="preserve"> AEG assumes average hot water use per square footage of commercial building space is similar in California and Hawai‘i.</t>
    </r>
  </si>
  <si>
    <r>
      <rPr>
        <vertAlign val="superscript"/>
        <sz val="9"/>
        <color theme="1"/>
        <rFont val="Calibri"/>
        <family val="2"/>
        <scheme val="minor"/>
      </rPr>
      <t>3</t>
    </r>
    <r>
      <rPr>
        <sz val="9"/>
        <color theme="1"/>
        <rFont val="Calibri"/>
        <family val="2"/>
        <scheme val="minor"/>
      </rPr>
      <t xml:space="preserve"> See "R_WH_SWH" tab for more details. The kW</t>
    </r>
    <r>
      <rPr>
        <vertAlign val="subscript"/>
        <sz val="9"/>
        <color theme="1"/>
        <rFont val="Calibri"/>
        <family val="2"/>
        <scheme val="minor"/>
      </rPr>
      <t>pump</t>
    </r>
    <r>
      <rPr>
        <sz val="9"/>
        <color theme="1"/>
        <rFont val="Calibri"/>
        <family val="2"/>
        <scheme val="minor"/>
      </rPr>
      <t>, HOU</t>
    </r>
    <r>
      <rPr>
        <vertAlign val="subscript"/>
        <sz val="9"/>
        <color theme="1"/>
        <rFont val="Calibri"/>
        <family val="2"/>
        <scheme val="minor"/>
      </rPr>
      <t>pump</t>
    </r>
    <r>
      <rPr>
        <sz val="9"/>
        <color theme="1"/>
        <rFont val="Calibri"/>
        <family val="2"/>
        <scheme val="minor"/>
      </rPr>
      <t>, and PF values should be updated as better data specific to the commercial sector becomes available.</t>
    </r>
  </si>
  <si>
    <t>Enter Solar Fraction for new Solar Water Heater (default of 0.9), SF</t>
  </si>
  <si>
    <r>
      <t>Enter inlet temperature of the water heater, T</t>
    </r>
    <r>
      <rPr>
        <vertAlign val="subscript"/>
        <sz val="11"/>
        <color theme="1"/>
        <rFont val="Calibri"/>
        <family val="2"/>
        <scheme val="minor"/>
      </rPr>
      <t>in</t>
    </r>
    <r>
      <rPr>
        <sz val="11"/>
        <color theme="1"/>
        <rFont val="Calibri"/>
        <family val="2"/>
        <scheme val="minor"/>
      </rPr>
      <t xml:space="preserve"> </t>
    </r>
  </si>
  <si>
    <r>
      <t>(default of 75</t>
    </r>
    <r>
      <rPr>
        <sz val="11"/>
        <color theme="1"/>
        <rFont val="Calibri"/>
        <family val="2"/>
      </rPr>
      <t>°</t>
    </r>
    <r>
      <rPr>
        <sz val="11"/>
        <color theme="1"/>
        <rFont val="Calibri"/>
        <family val="2"/>
        <scheme val="minor"/>
      </rPr>
      <t>F for Honolulu and Hawai‘i Counties, and 71°F for Maui County)</t>
    </r>
  </si>
  <si>
    <r>
      <t>Enter outlet temperature of the water heater (default of 130°F), T</t>
    </r>
    <r>
      <rPr>
        <vertAlign val="subscript"/>
        <sz val="11"/>
        <color theme="1"/>
        <rFont val="Calibri"/>
        <family val="2"/>
        <scheme val="minor"/>
      </rPr>
      <t>out</t>
    </r>
  </si>
  <si>
    <t>Energy factor of the baseline equipment</t>
  </si>
  <si>
    <t>M</t>
  </si>
  <si>
    <r>
      <t xml:space="preserve">1.0 for </t>
    </r>
    <r>
      <rPr>
        <sz val="10.5"/>
        <color theme="1"/>
        <rFont val="Calibri"/>
        <family val="2"/>
      </rPr>
      <t>small; 1.5 for medium</t>
    </r>
  </si>
  <si>
    <t>Multiplier to scale circulation pump energy use for medium-sized systems</t>
  </si>
  <si>
    <r>
      <rPr>
        <vertAlign val="superscript"/>
        <sz val="9"/>
        <color theme="1"/>
        <rFont val="Calibri"/>
        <family val="2"/>
        <scheme val="minor"/>
      </rPr>
      <t>4</t>
    </r>
    <r>
      <rPr>
        <sz val="9"/>
        <color theme="1"/>
        <rFont val="Calibri"/>
        <family val="2"/>
        <scheme val="minor"/>
      </rPr>
      <t xml:space="preserve"> Small systems are defined as those with a baseline electric storage water heater of </t>
    </r>
    <r>
      <rPr>
        <sz val="9"/>
        <color theme="1"/>
        <rFont val="Calibri"/>
        <family val="2"/>
      </rPr>
      <t>≤ 55 gal. Medium systems are defined as those with a baseline electric storage water heater of &gt;55 gal and input rating ≤ 12 kW. Larger systems are to be treated with a custom approach. The approach to estimate circulation pump energy use for commercial applications should be updated as better data specific to the commercial sector becomes available.</t>
    </r>
  </si>
  <si>
    <t>M=</t>
  </si>
  <si>
    <t>AEG's 2018 Analysis Files titled 1) "AEG HPUC Update of Com-Solar Water Heater - Analysis file" and 2) "R&amp;C Solar Water Heater - v2 Solar Fraction."</t>
  </si>
  <si>
    <r>
      <t>Assumes small commercial systems have same circulation pump energy requirements as residential systems and medium commercial systems have greater (1.5X) circulation pump energy requirements</t>
    </r>
    <r>
      <rPr>
        <vertAlign val="superscript"/>
        <sz val="10.5"/>
        <rFont val="Calibri"/>
        <family val="2"/>
        <scheme val="minor"/>
      </rPr>
      <t>4</t>
    </r>
  </si>
  <si>
    <t>A dual baseline approach should be used for transformer projects that qualify for early retirement. The first baseline is the pre-existing transformer. The second baseline is a transformer that meets current federal codes and standards (DOE2016). Early retirement consideration and eligibility should be defined for custom transformer projects as follows:</t>
  </si>
  <si>
    <t>High efficiency transformer that exceeds current federal codes and standards (DOE2016).</t>
  </si>
  <si>
    <t>If nameplate rated motor efficiency is missing, this table may be used as a source of motor efficiency. Many motors manufactured after Jun 1, 2016 must now meet NEMA premium efficiency requirements. (For the current Federal codes, see https://www.ecfr.gov/cgi-bin/retrieveECFR?n=pt10.3.431#se10.3.431_125.)</t>
  </si>
  <si>
    <t>Early replacement projects require a dual baseline. The first baseline is the pre-existing equipment, which has been estimated as a blend of 40% T12 and 60% T8 fluorescent lamps. The pre-existing equipment is assumed to have a remaining useful life (RUL) of one-third of the Effective Useful Life (EUL) of the fluorescent lamps. The second baseline must comply with the current federal code for general service fluorescent lamps that took effect on January 26, 2018 (10 CFR 430.32(n), paragraph (4)). Only lamps that are in working order at the time of the replacement qualify for early replacement. If the pre-existing lamps cannot be verified to be in working order, a replace on burnout (ROB) baseline must be used.</t>
  </si>
  <si>
    <r>
      <t xml:space="preserve">Baseline equipment for the semi-prescriptive approach is an Electric Storage Water Heater with an input rating of 12 kW (40,950 Btu/hr) or less that meets current Federal codes and standards, which were effective April 16, 2015. (Commercial water heaters with an input rating of </t>
    </r>
    <r>
      <rPr>
        <sz val="11"/>
        <color theme="1"/>
        <rFont val="Calibri"/>
        <family val="2"/>
      </rPr>
      <t xml:space="preserve">≤ 12 kW must meet the Residential standards per a ruling by the Department of Energy.) </t>
    </r>
  </si>
  <si>
    <t xml:space="preserve">Baseline equipment is an Electric Resistance Storage Water Heater that meets current Federal codes and standards, which were effective April 16, 2015. </t>
  </si>
  <si>
    <t xml:space="preserve">ROB projects have a single baseline. The baseline must comply with current federal codes and standards for general service fluorescent lamps, which took effect January 26, 2018. </t>
  </si>
  <si>
    <t>The base case for the new unit is the current federal requirement (National Appliance Energy Conservation Act, or NAECA, 2011) for a refrigerator/freezer, effective as of September 15, 2014.  The base case for a turned-in unit is the pre-existing refrigerator/freezer.</t>
  </si>
  <si>
    <t xml:space="preserve">The efficient case for the new unit is an ENERGY STAR v5.0 qualified refrigerator/freezer, which has an efficiency criteria of 10 percent less energy use than minimum federal requirements.  </t>
  </si>
  <si>
    <t>The base case (minimum federal requirement) and efficient case (ENERGY STAR) for a new refrigerator/freezer are based on the adjusted volume (AV) in cubic feet of the unit. The adjusted volume is calculated as follows (see Equations 1 and 2):</t>
  </si>
  <si>
    <t>All early replacement projects (only applicable to BHTR/SBDIL linear lamps) require a dual baseline. The first baseline is the pre-existing equipment, which has been estimated as a blend of 30% T12 and 70% T8 fluorescent lamps. The pre-existing equipment is assumed to have a remaining useful life (RUL) of one-third of the Effective Useful Life (EUL) of the fluorescent lamps. The second baseline must comply with the current federal requirements for general service fluorescent lamps that took effect on January 26, 2018 (10 CFR 430.32(n), paragraph (4)). Only lamps that are in working order at the time of the replacement qualify for early replacement. If the pre-existing lamps cannot be verified to be in working order, an ROB baseline must be used.</t>
  </si>
  <si>
    <t>Federal requirements as of September 15, 2014</t>
  </si>
  <si>
    <r>
      <t>Minimum federal requirements effective April 16, 2015</t>
    </r>
    <r>
      <rPr>
        <vertAlign val="superscript"/>
        <sz val="10.5"/>
        <rFont val="Calibri"/>
        <family val="2"/>
        <scheme val="minor"/>
      </rPr>
      <t>1</t>
    </r>
  </si>
  <si>
    <t>The factor used to determine the coincident peak demand reduction. It represents the fraction of the full load demand that corresponds with utility system peak period. Range = 0-1. See also “System Peak Period” and “Coincident Peak Demand Reduction” definitions.</t>
  </si>
  <si>
    <r>
      <t>Table 2. EFLH, CF, and T</t>
    </r>
    <r>
      <rPr>
        <b/>
        <vertAlign val="subscript"/>
        <sz val="11"/>
        <color theme="1"/>
        <rFont val="Calibri"/>
        <family val="2"/>
        <scheme val="minor"/>
      </rPr>
      <t>in</t>
    </r>
  </si>
  <si>
    <t>RESIDENTIAL: Window AC</t>
  </si>
  <si>
    <t>Dehumidifier</t>
  </si>
  <si>
    <t>Air Purifier</t>
  </si>
  <si>
    <t>RESIDENTIAL: Air Purifier</t>
  </si>
  <si>
    <t>Energy efficient domestic room air purifier.</t>
  </si>
  <si>
    <t>Air purifier must be ENERGY STAR certified.</t>
  </si>
  <si>
    <t>CADR</t>
  </si>
  <si>
    <t>Baseline efficiency rating</t>
  </si>
  <si>
    <t>CADR/W</t>
  </si>
  <si>
    <t>ENERGY STAR: EPA research on available models, 2011.</t>
  </si>
  <si>
    <t>High efficiency rating</t>
  </si>
  <si>
    <t>Baseline standby power</t>
  </si>
  <si>
    <t>High efficiency standby power</t>
  </si>
  <si>
    <t>Equipment annual operating hours</t>
  </si>
  <si>
    <t>Enhanced</t>
  </si>
  <si>
    <t>Operating power</t>
  </si>
  <si>
    <t>Operating energy</t>
  </si>
  <si>
    <t>Standby energy</t>
  </si>
  <si>
    <t>Total energy</t>
  </si>
  <si>
    <t>Room Air Purifier</t>
  </si>
  <si>
    <t>Watt/Kilowatts conversion</t>
  </si>
  <si>
    <t>RESIDENTIAL: Dehumidifier</t>
  </si>
  <si>
    <t>The deployment of an energy efficient domestic dehumidifier.</t>
  </si>
  <si>
    <t>Dehumidifier must be ENERGY STAR certified.</t>
  </si>
  <si>
    <t>See Table</t>
  </si>
  <si>
    <t>pints/day</t>
  </si>
  <si>
    <t>L/kWh</t>
  </si>
  <si>
    <t>Coincidence factor, percent of time equipment load corresponds with utility peak.</t>
  </si>
  <si>
    <t>NREL: Measure Guideline: Supplemental Dehumidification in Warm-Humid Climates. Miami (Climate Zone 1) hours at 60% set point.</t>
  </si>
  <si>
    <t>Liters/pints conversion</t>
  </si>
  <si>
    <t>L/pt</t>
  </si>
  <si>
    <t>Capacity 
(pints/day)</t>
  </si>
  <si>
    <t>Baseline kWh</t>
  </si>
  <si>
    <t>Enhanced kWh</t>
  </si>
  <si>
    <t>Savings kWh</t>
  </si>
  <si>
    <t>≤25</t>
  </si>
  <si>
    <t>&gt; 25 to ≤35</t>
  </si>
  <si>
    <t>&gt; 35 to ≤45</t>
  </si>
  <si>
    <t>&gt; 45 to ≤ 54</t>
  </si>
  <si>
    <t>&gt; 54 to ≤ 75</t>
  </si>
  <si>
    <t>&gt; 75 to ≤ 185</t>
  </si>
  <si>
    <t>1,2. Weighted average of capacities based on units listed in ENERGY STAR Certified Product List. Accessed 2018/09/21.
3. Federal minimum standard efficiency. 
4. ENERGY STAR program criteria efficiency.</t>
  </si>
  <si>
    <t>Window AC w/ and w/o recycling</t>
  </si>
  <si>
    <t>One dehumidifier.</t>
  </si>
  <si>
    <t>Non-ENERGY STAR dehumidifier.</t>
  </si>
  <si>
    <t>ENERGY STAR certified dehumidifier.</t>
  </si>
  <si>
    <t>One unit.</t>
  </si>
  <si>
    <t>Updated in Spring 2019 for PY19 TRM.</t>
  </si>
  <si>
    <t>One lamp.</t>
  </si>
  <si>
    <r>
      <t>η</t>
    </r>
    <r>
      <rPr>
        <vertAlign val="subscript"/>
        <sz val="10.5"/>
        <rFont val="Calibri"/>
        <family val="2"/>
        <scheme val="minor"/>
      </rPr>
      <t>.bs</t>
    </r>
  </si>
  <si>
    <r>
      <t>η</t>
    </r>
    <r>
      <rPr>
        <vertAlign val="subscript"/>
        <sz val="10.5"/>
        <rFont val="Calibri"/>
        <family val="2"/>
        <scheme val="minor"/>
      </rPr>
      <t>.he</t>
    </r>
  </si>
  <si>
    <r>
      <rPr>
        <b/>
        <sz val="10.5"/>
        <rFont val="Calibri"/>
        <family val="2"/>
        <scheme val="minor"/>
      </rPr>
      <t>ΔkW</t>
    </r>
    <r>
      <rPr>
        <b/>
        <vertAlign val="subscript"/>
        <sz val="10.5"/>
        <rFont val="Calibri"/>
        <family val="2"/>
        <scheme val="minor"/>
      </rPr>
      <t>.peak</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</si>
  <si>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CF</t>
    </r>
  </si>
  <si>
    <r>
      <rPr>
        <b/>
        <sz val="10.5"/>
        <rFont val="Calibri"/>
        <family val="2"/>
        <scheme val="minor"/>
      </rPr>
      <t>ΔkWh</t>
    </r>
    <r>
      <rPr>
        <b/>
        <vertAlign val="subscript"/>
        <sz val="10.5"/>
        <rFont val="Calibri"/>
        <family val="2"/>
        <scheme val="minor"/>
      </rPr>
      <t>.annual</t>
    </r>
    <r>
      <rPr>
        <sz val="10.5"/>
        <rFont val="Calibri"/>
        <family val="2"/>
        <scheme val="minor"/>
      </rPr>
      <t xml:space="preserve"> =</t>
    </r>
  </si>
  <si>
    <r>
      <t xml:space="preserve">[(CAP </t>
    </r>
    <r>
      <rPr>
        <b/>
        <sz val="10.5"/>
        <color rgb="FFC00000"/>
        <rFont val="Calibri"/>
        <family val="2"/>
        <scheme val="minor"/>
      </rPr>
      <t>*</t>
    </r>
    <r>
      <rPr>
        <sz val="10.5"/>
        <rFont val="Calibri"/>
        <family val="2"/>
        <scheme val="minor"/>
      </rPr>
      <t xml:space="preserve"> 0.473) </t>
    </r>
    <r>
      <rPr>
        <b/>
        <sz val="10.5"/>
        <color rgb="FFC00000"/>
        <rFont val="Calibri"/>
        <family val="2"/>
        <scheme val="minor"/>
      </rPr>
      <t>/</t>
    </r>
    <r>
      <rPr>
        <sz val="10.5"/>
        <rFont val="Calibri"/>
        <family val="2"/>
        <scheme val="minor"/>
      </rPr>
      <t xml:space="preserve"> 24]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HRS</t>
    </r>
  </si>
  <si>
    <r>
      <rPr>
        <b/>
        <sz val="10.5"/>
        <rFont val="Calibri"/>
        <family val="2"/>
        <scheme val="minor"/>
      </rPr>
      <t>ΔkWh</t>
    </r>
    <r>
      <rPr>
        <b/>
        <vertAlign val="subscript"/>
        <sz val="10.5"/>
        <rFont val="Calibri"/>
        <family val="2"/>
        <scheme val="minor"/>
      </rPr>
      <t>.lifetime</t>
    </r>
    <r>
      <rPr>
        <sz val="10.5"/>
        <rFont val="Calibri"/>
        <family val="2"/>
        <scheme val="minor"/>
      </rPr>
      <t xml:space="preserve"> =</t>
    </r>
  </si>
  <si>
    <r>
      <t xml:space="preserve">Avg. Capacity </t>
    </r>
    <r>
      <rPr>
        <b/>
        <u/>
        <vertAlign val="superscript"/>
        <sz val="10.5"/>
        <rFont val="Calibri"/>
        <family val="2"/>
        <scheme val="minor"/>
      </rPr>
      <t>1</t>
    </r>
    <r>
      <rPr>
        <b/>
        <u/>
        <sz val="10.5"/>
        <rFont val="Calibri"/>
        <family val="2"/>
        <scheme val="minor"/>
      </rPr>
      <t xml:space="preserve">
(pints/day)</t>
    </r>
  </si>
  <si>
    <r>
      <t xml:space="preserve">ENERGY STAR Product % </t>
    </r>
    <r>
      <rPr>
        <b/>
        <u/>
        <vertAlign val="superscript"/>
        <sz val="10.5"/>
        <rFont val="Calibri"/>
        <family val="2"/>
        <scheme val="minor"/>
      </rPr>
      <t>2</t>
    </r>
  </si>
  <si>
    <r>
      <t xml:space="preserve">Baseline Efficiency </t>
    </r>
    <r>
      <rPr>
        <b/>
        <vertAlign val="superscript"/>
        <sz val="10.5"/>
        <rFont val="Calibri"/>
        <family val="2"/>
        <scheme val="minor"/>
      </rPr>
      <t>3</t>
    </r>
    <r>
      <rPr>
        <b/>
        <sz val="10.5"/>
        <rFont val="Calibri"/>
        <family val="2"/>
        <scheme val="minor"/>
      </rPr>
      <t xml:space="preserve">
(≥ L/kWh)</t>
    </r>
  </si>
  <si>
    <r>
      <t xml:space="preserve">Enhanced Efficiency </t>
    </r>
    <r>
      <rPr>
        <b/>
        <vertAlign val="superscript"/>
        <sz val="10.5"/>
        <rFont val="Calibri"/>
        <family val="2"/>
        <scheme val="minor"/>
      </rPr>
      <t>4</t>
    </r>
    <r>
      <rPr>
        <b/>
        <sz val="10.5"/>
        <rFont val="Calibri"/>
        <family val="2"/>
        <scheme val="minor"/>
      </rPr>
      <t xml:space="preserve">
(≥ L/kWh)</t>
    </r>
  </si>
  <si>
    <r>
      <rPr>
        <vertAlign val="superscript"/>
        <sz val="9"/>
        <color theme="1"/>
        <rFont val="Calibri"/>
        <family val="2"/>
      </rPr>
      <t>1</t>
    </r>
    <r>
      <rPr>
        <sz val="9"/>
        <color theme="1"/>
        <rFont val="Calibri"/>
        <family val="2"/>
      </rPr>
      <t xml:space="preserve"> Per the approach in previous versions of the Hawai‘i TRM, the Non-Military HOU has been multiplied by a factor of 1.5 to obtain the Military HOU .</t>
    </r>
  </si>
  <si>
    <r>
      <rPr>
        <vertAlign val="superscript"/>
        <sz val="9"/>
        <color theme="1"/>
        <rFont val="Calibri"/>
        <family val="2"/>
      </rPr>
      <t>2</t>
    </r>
    <r>
      <rPr>
        <sz val="9"/>
        <color theme="1"/>
        <rFont val="Calibri"/>
        <family val="2"/>
      </rPr>
      <t xml:space="preserve"> LED wattages and % breakdowns by lighting type are from actual Hawai‘i Energy Program Data (per description in PY15-PY18 TRMs)</t>
    </r>
  </si>
  <si>
    <t>3,185 hrs / 8,760 hrs</t>
  </si>
  <si>
    <t xml:space="preserve">AEG's 2019 Analysis File titled "New Residential Measures Summary - AEG Analysis file." </t>
  </si>
  <si>
    <t>U.S. Department of Energy, Energy Efficiency &amp; Renewable Energy, Building Technologies Office, Measure Guideline: Supplemental Dehumidification in Warm-Humid Climates, Armin Rudd, Building Science Corporation, October 2014, available here: https://www.nrel.gov/docs/fy15osti/62677.pdf.</t>
  </si>
  <si>
    <t>ENERGY STAR, Dehumidifiers, webpage, https://www.energystar.gov/products/appliances/dehumidifiers.</t>
  </si>
  <si>
    <t>ENERGY STAR, Appliance Calculator, available here: https://www.energystar.gov/sites/default/files/asset/.../appliance_calculator.xlsx.</t>
  </si>
  <si>
    <t>ENERGY STAR Appliance Calculator: EPA Research, 2012.</t>
  </si>
  <si>
    <t>Code of Federal Regulations, Title 10, Part 430, Subpart C.</t>
  </si>
  <si>
    <t>One air purifier.</t>
  </si>
  <si>
    <t>Non-ENERGY STAR air purifier.</t>
  </si>
  <si>
    <t>ENERGY STAR certified air purifier.</t>
  </si>
  <si>
    <r>
      <t xml:space="preserve">{CAP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1000 </t>
    </r>
    <r>
      <rPr>
        <b/>
        <sz val="10.5"/>
        <color rgb="FFC00000"/>
        <rFont val="Calibri"/>
        <family val="2"/>
        <scheme val="minor"/>
      </rPr>
      <t>*</t>
    </r>
    <r>
      <rPr>
        <sz val="10.5"/>
        <rFont val="Calibri"/>
        <family val="2"/>
        <scheme val="minor"/>
      </rPr>
      <t xml:space="preserve"> CF</t>
    </r>
  </si>
  <si>
    <r>
      <t xml:space="preserve">{HRS </t>
    </r>
    <r>
      <rPr>
        <b/>
        <sz val="10.5"/>
        <color rgb="FFC00000"/>
        <rFont val="Calibri"/>
        <family val="2"/>
        <scheme val="minor"/>
      </rPr>
      <t>*</t>
    </r>
    <r>
      <rPr>
        <sz val="10.5"/>
        <rFont val="Calibri"/>
        <family val="2"/>
        <scheme val="minor"/>
      </rPr>
      <t xml:space="preserve"> CAP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.bs</t>
    </r>
    <r>
      <rPr>
        <sz val="10.5"/>
        <rFont val="Calibri"/>
        <family val="2"/>
        <scheme val="minor"/>
      </rPr>
      <t xml:space="preserve">) </t>
    </r>
    <r>
      <rPr>
        <b/>
        <sz val="10.5"/>
        <color rgb="FFC00000"/>
        <rFont val="Calibri"/>
        <family val="2"/>
        <scheme val="minor"/>
      </rPr>
      <t>-</t>
    </r>
    <r>
      <rPr>
        <sz val="10.5"/>
        <rFont val="Calibri"/>
        <family val="2"/>
        <scheme val="minor"/>
      </rPr>
      <t xml:space="preserve"> (1 </t>
    </r>
    <r>
      <rPr>
        <b/>
        <sz val="10.5"/>
        <color rgb="FFC00000"/>
        <rFont val="Calibri"/>
        <family val="2"/>
        <scheme val="minor"/>
      </rPr>
      <t>/</t>
    </r>
    <r>
      <rPr>
        <sz val="10.5"/>
        <color rgb="FFC00000"/>
        <rFont val="Calibri"/>
        <family val="2"/>
        <scheme val="minor"/>
      </rPr>
      <t xml:space="preserve"> </t>
    </r>
    <r>
      <rPr>
        <sz val="10.5"/>
        <rFont val="Calibri"/>
        <family val="2"/>
        <scheme val="minor"/>
      </rPr>
      <t>η</t>
    </r>
    <r>
      <rPr>
        <vertAlign val="subscript"/>
        <sz val="10.5"/>
        <rFont val="Calibri"/>
        <family val="2"/>
        <scheme val="minor"/>
      </rPr>
      <t>.he</t>
    </r>
    <r>
      <rPr>
        <sz val="10.5"/>
        <rFont val="Calibri"/>
        <family val="2"/>
        <scheme val="minor"/>
      </rPr>
      <t xml:space="preserve">)] </t>
    </r>
    <r>
      <rPr>
        <b/>
        <sz val="10.5"/>
        <color rgb="FFC00000"/>
        <rFont val="Calibri"/>
        <family val="2"/>
        <scheme val="minor"/>
      </rPr>
      <t>+</t>
    </r>
    <r>
      <rPr>
        <sz val="10.5"/>
        <rFont val="Calibri"/>
        <family val="2"/>
        <scheme val="minor"/>
      </rPr>
      <t xml:space="preserve"> (8760 </t>
    </r>
    <r>
      <rPr>
        <b/>
        <sz val="10.5"/>
        <rFont val="Calibri"/>
        <family val="2"/>
        <scheme val="minor"/>
      </rPr>
      <t>-</t>
    </r>
    <r>
      <rPr>
        <sz val="10.5"/>
        <rFont val="Calibri"/>
        <family val="2"/>
        <scheme val="minor"/>
      </rPr>
      <t xml:space="preserve"> HRS) </t>
    </r>
    <r>
      <rPr>
        <b/>
        <sz val="10.5"/>
        <color rgb="FFC00000"/>
        <rFont val="Calibri"/>
        <family val="2"/>
        <scheme val="minor"/>
      </rPr>
      <t>*</t>
    </r>
    <r>
      <rPr>
        <sz val="10.5"/>
        <rFont val="Calibri"/>
        <family val="2"/>
        <scheme val="minor"/>
      </rPr>
      <t xml:space="preserve"> (P</t>
    </r>
    <r>
      <rPr>
        <vertAlign val="subscript"/>
        <sz val="10.5"/>
        <rFont val="Calibri"/>
        <family val="2"/>
        <scheme val="minor"/>
      </rPr>
      <t>.stdby,bs</t>
    </r>
    <r>
      <rPr>
        <sz val="10.5"/>
        <rFont val="Calibri"/>
        <family val="2"/>
        <scheme val="minor"/>
      </rPr>
      <t xml:space="preserve"> </t>
    </r>
    <r>
      <rPr>
        <b/>
        <sz val="10.5"/>
        <color rgb="FFC00000"/>
        <rFont val="Calibri"/>
        <family val="2"/>
        <scheme val="minor"/>
      </rPr>
      <t>-</t>
    </r>
    <r>
      <rPr>
        <sz val="10.5"/>
        <rFont val="Calibri"/>
        <family val="2"/>
        <scheme val="minor"/>
      </rPr>
      <t xml:space="preserve"> P</t>
    </r>
    <r>
      <rPr>
        <vertAlign val="subscript"/>
        <sz val="10.5"/>
        <rFont val="Calibri"/>
        <family val="2"/>
        <scheme val="minor"/>
      </rPr>
      <t>.stdby,he</t>
    </r>
    <r>
      <rPr>
        <sz val="10.5"/>
        <rFont val="Calibri"/>
        <family val="2"/>
        <scheme val="minor"/>
      </rPr>
      <t xml:space="preserve">)} </t>
    </r>
    <r>
      <rPr>
        <b/>
        <sz val="10.5"/>
        <color rgb="FFC00000"/>
        <rFont val="Calibri"/>
        <family val="2"/>
        <scheme val="minor"/>
      </rPr>
      <t>/</t>
    </r>
    <r>
      <rPr>
        <sz val="10.5"/>
        <rFont val="Calibri"/>
        <family val="2"/>
        <scheme val="minor"/>
      </rPr>
      <t xml:space="preserve"> 1000</t>
    </r>
  </si>
  <si>
    <r>
      <t>P</t>
    </r>
    <r>
      <rPr>
        <vertAlign val="subscript"/>
        <sz val="10.5"/>
        <rFont val="Calibri"/>
        <family val="2"/>
        <scheme val="minor"/>
      </rPr>
      <t>.stdby,bs</t>
    </r>
  </si>
  <si>
    <r>
      <t>P</t>
    </r>
    <r>
      <rPr>
        <vertAlign val="subscript"/>
        <sz val="10.5"/>
        <rFont val="Calibri"/>
        <family val="2"/>
        <scheme val="minor"/>
      </rPr>
      <t>.stdby,he</t>
    </r>
  </si>
  <si>
    <t>ENERGY STAR v5.0 certified.</t>
  </si>
  <si>
    <t>One refrigerator/freezer.</t>
  </si>
  <si>
    <t>ENERGY STAR Appliance Calculator.</t>
  </si>
  <si>
    <t>ENERGY STAR Appliance Calculator: EPA research on available models, 2011.</t>
  </si>
  <si>
    <t>ENERGY STAR Appliance Calculator: 16 hrs/day, 365 days/year.</t>
  </si>
  <si>
    <t>Based on 16 hrs/day.</t>
  </si>
  <si>
    <t>DEER 2020 for "Res-AirCleaner" measure.</t>
  </si>
  <si>
    <t>Default capacity in ENERGY STAR Appliance Calculator.</t>
  </si>
  <si>
    <t>ENERGY STAR, Air Purifiers (Cleaners), webpage, https://www.energystar.gov/products/appliances/air_purifiers_cleaners.</t>
  </si>
  <si>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color rgb="FFC00000"/>
        <rFont val="Calibri"/>
        <family val="2"/>
        <scheme val="minor"/>
      </rPr>
      <t xml:space="preserve"> </t>
    </r>
    <r>
      <rPr>
        <sz val="10.5"/>
        <rFont val="Calibri"/>
        <family val="2"/>
        <scheme val="minor"/>
      </rPr>
      <t>EUL</t>
    </r>
  </si>
  <si>
    <r>
      <t>ΔkWh</t>
    </r>
    <r>
      <rPr>
        <vertAlign val="subscript"/>
        <sz val="10.5"/>
        <rFont val="Calibri"/>
        <family val="2"/>
        <scheme val="minor"/>
      </rPr>
      <t>.annual</t>
    </r>
    <r>
      <rPr>
        <sz val="10.5"/>
        <rFont val="Calibri"/>
        <family val="2"/>
        <scheme val="minor"/>
      </rPr>
      <t xml:space="preserve"> </t>
    </r>
    <r>
      <rPr>
        <b/>
        <sz val="10.5"/>
        <color rgb="FFC00000"/>
        <rFont val="Calibri"/>
        <family val="2"/>
        <scheme val="minor"/>
      </rPr>
      <t>*</t>
    </r>
    <r>
      <rPr>
        <sz val="10.5"/>
        <rFont val="Calibri"/>
        <family val="2"/>
        <scheme val="minor"/>
      </rPr>
      <t xml:space="preserve"> EUL</t>
    </r>
  </si>
  <si>
    <t>Product</t>
  </si>
  <si>
    <t>Standby Devices per Household</t>
  </si>
  <si>
    <t>Power (W)</t>
  </si>
  <si>
    <t>Energy (kWh/yr)</t>
  </si>
  <si>
    <t>Probability</t>
  </si>
  <si>
    <t>Averages:</t>
  </si>
  <si>
    <t>Cooktop,electric</t>
  </si>
  <si>
    <t>Dishwasher</t>
  </si>
  <si>
    <t>Amplifier</t>
  </si>
  <si>
    <t>AudioMinisystem</t>
  </si>
  <si>
    <t>CDPlayer</t>
  </si>
  <si>
    <t>CDPlayer,portable</t>
  </si>
  <si>
    <t>Charger,digitalmusicplayer</t>
  </si>
  <si>
    <t>Equalizer(audio)</t>
  </si>
  <si>
    <t>Hometheatersystem</t>
  </si>
  <si>
    <t>Karaokemachine</t>
  </si>
  <si>
    <t>Musicalkeyboard</t>
  </si>
  <si>
    <t>Radio,table</t>
  </si>
  <si>
    <t>Receiver(audio)</t>
  </si>
  <si>
    <t>Speakers,powered</t>
  </si>
  <si>
    <t>Speakers,wireless(basestation)</t>
  </si>
  <si>
    <t>Speakers,wireless(speakers)</t>
  </si>
  <si>
    <t>Stereo,portable</t>
  </si>
  <si>
    <t>Subwoofer</t>
  </si>
  <si>
    <t>Tuner</t>
  </si>
  <si>
    <t>Turntable(audio)</t>
  </si>
  <si>
    <t>Computer,desktop</t>
  </si>
  <si>
    <t>Computer,integrated(all)</t>
  </si>
  <si>
    <t>Computer,notebook</t>
  </si>
  <si>
    <t>Dock,notebook</t>
  </si>
  <si>
    <t>Computerdisplay,LCD</t>
  </si>
  <si>
    <t>Projector,video</t>
  </si>
  <si>
    <t>Television,LCD</t>
  </si>
  <si>
    <t>Television,plasma</t>
  </si>
  <si>
    <t>Television,rearprojection</t>
  </si>
  <si>
    <t>Clock,alarm</t>
  </si>
  <si>
    <t>Clock,radio</t>
  </si>
  <si>
    <t>Coffeemaker,residential</t>
  </si>
  <si>
    <t>Oven,microwave</t>
  </si>
  <si>
    <t>Ricecooker</t>
  </si>
  <si>
    <t>Toaster</t>
  </si>
  <si>
    <t>Toasteroven</t>
  </si>
  <si>
    <t>Vacuum,central</t>
  </si>
  <si>
    <t>Vacuum,rechargeable</t>
  </si>
  <si>
    <t>Exerciseequipment</t>
  </si>
  <si>
    <t>Ride-ontoycar</t>
  </si>
  <si>
    <t>Spa/hottub</t>
  </si>
  <si>
    <t>Aircleaner,portable</t>
  </si>
  <si>
    <t>Airconditioner,room/wall</t>
  </si>
  <si>
    <t>Ceilingfan</t>
  </si>
  <si>
    <t>Fan,portable</t>
  </si>
  <si>
    <t>Copier</t>
  </si>
  <si>
    <t>Fax,inkjet</t>
  </si>
  <si>
    <t>Fax,laser</t>
  </si>
  <si>
    <t>Fax,thermal</t>
  </si>
  <si>
    <t>Multi-functiondevice,inkjet</t>
  </si>
  <si>
    <t>Multi-functiondevice,laser</t>
  </si>
  <si>
    <t>Printer,inkjet</t>
  </si>
  <si>
    <t>Printer,laser</t>
  </si>
  <si>
    <t>Printer,photo</t>
  </si>
  <si>
    <t>Scanner,flatbed</t>
  </si>
  <si>
    <t>Garagedooropener</t>
  </si>
  <si>
    <t>Motionsensor,interior</t>
  </si>
  <si>
    <t>Nightlight,interior</t>
  </si>
  <si>
    <t>Timer,interior</t>
  </si>
  <si>
    <t>Hub,ethernet</t>
  </si>
  <si>
    <t>Hub,USB</t>
  </si>
  <si>
    <t>Modem,cable</t>
  </si>
  <si>
    <t>Modem,DSL</t>
  </si>
  <si>
    <t>Modem,POTS</t>
  </si>
  <si>
    <t>Modem,satellite</t>
  </si>
  <si>
    <t>Router,ethernet</t>
  </si>
  <si>
    <t>Wirelessaccesspoint</t>
  </si>
  <si>
    <t>Charger,hedgetrimmer</t>
  </si>
  <si>
    <t>Charger,weedtrimmer</t>
  </si>
  <si>
    <t>Lawnmower</t>
  </si>
  <si>
    <t>Timer,irrigation</t>
  </si>
  <si>
    <t>Dock,PDA</t>
  </si>
  <si>
    <t>Externaldrive</t>
  </si>
  <si>
    <t>Speakers,computer</t>
  </si>
  <si>
    <t>Massager</t>
  </si>
  <si>
    <t>Shaver,men's</t>
  </si>
  <si>
    <t>Shaver,women's</t>
  </si>
  <si>
    <t>Toothbrush</t>
  </si>
  <si>
    <t>Securitysystem</t>
  </si>
  <si>
    <t>Set-topbox,analogcable</t>
  </si>
  <si>
    <t>Set-topbox,digitalcable</t>
  </si>
  <si>
    <t>Set-topbox,digitalcablewithPVR</t>
  </si>
  <si>
    <t>Set-topbox,gameconsolewithinternetconnectivity</t>
  </si>
  <si>
    <t>Set-topbox,internet</t>
  </si>
  <si>
    <t>Set-topbox,satellite</t>
  </si>
  <si>
    <t>Set-topbox,satellitewithPVR</t>
  </si>
  <si>
    <t>CallerIDunit</t>
  </si>
  <si>
    <t>Charger,cordlessphonehandset</t>
  </si>
  <si>
    <t>Charger,mobilephone</t>
  </si>
  <si>
    <t>Phone,conference</t>
  </si>
  <si>
    <t>Phone,cordless</t>
  </si>
  <si>
    <t>Golfcart</t>
  </si>
  <si>
    <t>Wheelchair</t>
  </si>
  <si>
    <t>Charger,battery</t>
  </si>
  <si>
    <t>Powertool,cordless</t>
  </si>
  <si>
    <t>Charger,stillcamera</t>
  </si>
  <si>
    <t>Charger,videocamera</t>
  </si>
  <si>
    <t>DVDplayer</t>
  </si>
  <si>
    <t>Gameconsole</t>
  </si>
  <si>
    <t>Video,PVR(nomultifunctionality)</t>
  </si>
  <si>
    <t>Lawrence Berkeley National Laboratory: Low-Power Mode Energy Consumption in California Homes, 2008.</t>
  </si>
  <si>
    <t>Category</t>
  </si>
  <si>
    <t>Audio</t>
  </si>
  <si>
    <t>Computer</t>
  </si>
  <si>
    <t>Display</t>
  </si>
  <si>
    <t>ElectricHousewares</t>
  </si>
  <si>
    <t>Hobby/leisure</t>
  </si>
  <si>
    <t>Imaging</t>
  </si>
  <si>
    <t>Infrastructure</t>
  </si>
  <si>
    <t>Networking</t>
  </si>
  <si>
    <t>OutdoorAppliances</t>
  </si>
  <si>
    <t>Peripherals</t>
  </si>
  <si>
    <t>PersonalCare</t>
  </si>
  <si>
    <t>Power</t>
  </si>
  <si>
    <t>Security</t>
  </si>
  <si>
    <t>Set-top</t>
  </si>
  <si>
    <t>Telephony</t>
  </si>
  <si>
    <t>Transportation</t>
  </si>
  <si>
    <t>Utility</t>
  </si>
  <si>
    <t>Video</t>
  </si>
  <si>
    <t>UninterruptiblePowerSupply(UPS)</t>
  </si>
  <si>
    <t>RESIDENTIAL: Switch Plug</t>
  </si>
  <si>
    <t>A power switch that acts as the interface between the wall outlet and the appliance. It prevents phantom energy drain by disconnecting the attached appliance without having to remove the power cord.</t>
  </si>
  <si>
    <r>
      <t>= (W</t>
    </r>
    <r>
      <rPr>
        <vertAlign val="subscript"/>
        <sz val="11"/>
        <color theme="1"/>
        <rFont val="Calibri"/>
        <family val="2"/>
        <scheme val="minor"/>
      </rPr>
      <t>.stby</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 </t>
    </r>
    <r>
      <rPr>
        <b/>
        <sz val="11"/>
        <color rgb="FFC00000"/>
        <rFont val="Calibri"/>
        <family val="2"/>
        <scheme val="minor"/>
      </rPr>
      <t>/</t>
    </r>
    <r>
      <rPr>
        <sz val="11"/>
        <color theme="1"/>
        <rFont val="Calibri"/>
        <family val="2"/>
        <scheme val="minor"/>
      </rPr>
      <t xml:space="preserve"> 1000</t>
    </r>
  </si>
  <si>
    <r>
      <t>= kWh</t>
    </r>
    <r>
      <rPr>
        <vertAlign val="subscript"/>
        <sz val="11"/>
        <color theme="1"/>
        <rFont val="Calibri"/>
        <family val="2"/>
        <scheme val="minor"/>
      </rPr>
      <t>.stby</t>
    </r>
  </si>
  <si>
    <t>Standby power draw of attached load</t>
  </si>
  <si>
    <t>Annual standby energy consumption of attached load</t>
  </si>
  <si>
    <t>Conversion constant</t>
  </si>
  <si>
    <t>1. Based on data from Lawrence Berkeley National Laboratory: Low-Power Mode Energy Consumption in California Homes, 2008. See accompanying Power Switch Calculation (R_PlugProcess_Power Switch_CALC).</t>
  </si>
  <si>
    <t>Switch Plug</t>
  </si>
  <si>
    <t>One switch.</t>
  </si>
  <si>
    <t>No switch installed.</t>
  </si>
  <si>
    <t>Switch plug installed.</t>
  </si>
  <si>
    <t>lifetime kWh savings</t>
  </si>
  <si>
    <r>
      <t>= kWh</t>
    </r>
    <r>
      <rPr>
        <vertAlign val="subscript"/>
        <sz val="11"/>
        <color theme="1"/>
        <rFont val="Calibri"/>
        <family val="2"/>
        <scheme val="minor"/>
      </rPr>
      <t>.stby</t>
    </r>
    <r>
      <rPr>
        <b/>
        <sz val="11"/>
        <color rgb="FFC00000"/>
        <rFont val="Calibri"/>
        <family val="2"/>
        <scheme val="minor"/>
      </rPr>
      <t xml:space="preserve"> *</t>
    </r>
    <r>
      <rPr>
        <sz val="11"/>
        <color theme="1"/>
        <rFont val="Calibri"/>
        <family val="2"/>
        <scheme val="minor"/>
      </rPr>
      <t xml:space="preserve"> EUL</t>
    </r>
  </si>
  <si>
    <r>
      <t>W</t>
    </r>
    <r>
      <rPr>
        <vertAlign val="subscript"/>
        <sz val="10.5"/>
        <color theme="1"/>
        <rFont val="Calibri"/>
        <family val="2"/>
        <scheme val="minor"/>
      </rPr>
      <t>.stby</t>
    </r>
  </si>
  <si>
    <r>
      <t xml:space="preserve">Determined based on probability of attached equipment type. </t>
    </r>
    <r>
      <rPr>
        <vertAlign val="superscript"/>
        <sz val="10.5"/>
        <rFont val="Calibri"/>
        <family val="2"/>
        <scheme val="minor"/>
      </rPr>
      <t>1</t>
    </r>
  </si>
  <si>
    <r>
      <t>kWh</t>
    </r>
    <r>
      <rPr>
        <vertAlign val="subscript"/>
        <sz val="10.5"/>
        <color theme="1"/>
        <rFont val="Calibri"/>
        <family val="2"/>
        <scheme val="minor"/>
      </rPr>
      <t>.stby</t>
    </r>
  </si>
  <si>
    <t>DEER 2020 for "Res-Plug-AdvPwrStrip" measure.</t>
  </si>
  <si>
    <t>AEG's analysis of DOE's OpenEI load shapes using Hawai‘i-specific prototypes, weather data, and peak demand period.</t>
  </si>
  <si>
    <t>AEG's 2018 Analysis of U.S. Department of Energy's OpenEI Commercial Hourly Load Profiles using Hawai‘i-specific data. OpenEI data files available here: https://openei.org/doe-opendata/dataset/commercial-and-residential-hourly-load-profiles-for-all-tmy3-locations-in-the-united-states. AEG used the residential end-use load profile data for "Miscellaneous" interior equipment for this Switch Plug measure. (See file named "AEG HPUC EFLH and CF Analysis - Non-Holiday Weekdays" for results.)</t>
  </si>
  <si>
    <t>Advanced Power Strip and Switch Plug</t>
  </si>
  <si>
    <t>RESIDENTIAL: Dishwasher</t>
  </si>
  <si>
    <t>An energy efficient, ENERGY STAR-certified dishwasher for use in residential applications.</t>
  </si>
  <si>
    <t>Must have ENERGY STAR certification.</t>
  </si>
  <si>
    <t>Non-ENERGY STAR dishwasher that meets the federal standard.</t>
  </si>
  <si>
    <t>ENERGY STAR certified dishwasher that exceeds the federal standard.</t>
  </si>
  <si>
    <t>Annual energy usage of standard non-ES dishwasher.</t>
  </si>
  <si>
    <t>DOE standard effective May 30, 2013.</t>
  </si>
  <si>
    <t>Annual energy usage of standard ES dishwasher.</t>
  </si>
  <si>
    <t>Cycles</t>
  </si>
  <si>
    <t>Number of cycles per year.</t>
  </si>
  <si>
    <t>cycle</t>
  </si>
  <si>
    <t>Hours per dishwashing cycle.</t>
  </si>
  <si>
    <t>hrs / cycle</t>
  </si>
  <si>
    <t>Efficiency Vermont TRM 2015.</t>
  </si>
  <si>
    <r>
      <t>= [</t>
    </r>
    <r>
      <rPr>
        <sz val="11"/>
        <color theme="1"/>
        <rFont val="Calibri"/>
        <family val="2"/>
      </rPr>
      <t>Δ</t>
    </r>
    <r>
      <rPr>
        <sz val="11"/>
        <color theme="1"/>
        <rFont val="Calibri"/>
        <family val="2"/>
        <scheme val="minor"/>
      </rPr>
      <t xml:space="preserve">kWh </t>
    </r>
    <r>
      <rPr>
        <b/>
        <sz val="11"/>
        <color rgb="FFC00000"/>
        <rFont val="Calibri"/>
        <family val="2"/>
        <scheme val="minor"/>
      </rPr>
      <t xml:space="preserve">/ </t>
    </r>
    <r>
      <rPr>
        <sz val="11"/>
        <color theme="1"/>
        <rFont val="Calibri"/>
        <family val="2"/>
        <scheme val="minor"/>
      </rPr>
      <t>(Cycles</t>
    </r>
    <r>
      <rPr>
        <b/>
        <sz val="11"/>
        <color rgb="FFC00000"/>
        <rFont val="Calibri"/>
        <family val="2"/>
        <scheme val="minor"/>
      </rPr>
      <t xml:space="preserve"> *</t>
    </r>
    <r>
      <rPr>
        <sz val="11"/>
        <color theme="1"/>
        <rFont val="Calibri"/>
        <family val="2"/>
        <scheme val="minor"/>
      </rPr>
      <t xml:space="preserve"> HRS</t>
    </r>
    <r>
      <rPr>
        <vertAlign val="subscript"/>
        <sz val="11"/>
        <color theme="1"/>
        <rFont val="Calibri"/>
        <family val="2"/>
        <scheme val="minor"/>
      </rPr>
      <t>.cycle</t>
    </r>
    <r>
      <rPr>
        <sz val="11"/>
        <color theme="1"/>
        <rFont val="Calibri"/>
        <family val="2"/>
        <scheme val="minor"/>
      </rPr>
      <t xml:space="preserve">)] </t>
    </r>
    <r>
      <rPr>
        <b/>
        <sz val="11"/>
        <color rgb="FFC00000"/>
        <rFont val="Calibri"/>
        <family val="2"/>
        <scheme val="minor"/>
      </rPr>
      <t>*</t>
    </r>
    <r>
      <rPr>
        <sz val="11"/>
        <color theme="1"/>
        <rFont val="Calibri"/>
        <family val="2"/>
        <scheme val="minor"/>
      </rPr>
      <t xml:space="preserve"> CF</t>
    </r>
  </si>
  <si>
    <r>
      <t xml:space="preserve">annual kWh savings, </t>
    </r>
    <r>
      <rPr>
        <b/>
        <sz val="11"/>
        <color theme="1"/>
        <rFont val="Calibri"/>
        <family val="2"/>
      </rPr>
      <t>Δ</t>
    </r>
    <r>
      <rPr>
        <b/>
        <sz val="11"/>
        <color theme="1"/>
        <rFont val="Calibri"/>
        <family val="2"/>
        <scheme val="minor"/>
      </rPr>
      <t>kWh</t>
    </r>
  </si>
  <si>
    <r>
      <t>= (kWh</t>
    </r>
    <r>
      <rPr>
        <vertAlign val="subscript"/>
        <sz val="11"/>
        <color theme="1"/>
        <rFont val="Calibri"/>
        <family val="2"/>
        <scheme val="minor"/>
      </rPr>
      <t>.base,yr</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.ee,yr</t>
    </r>
    <r>
      <rPr>
        <sz val="11"/>
        <color theme="1"/>
        <rFont val="Calibri"/>
        <family val="2"/>
        <scheme val="minor"/>
      </rPr>
      <t>)</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.Op</t>
    </r>
    <r>
      <rPr>
        <b/>
        <sz val="11"/>
        <color rgb="FFC00000"/>
        <rFont val="Calibri"/>
        <family val="2"/>
        <scheme val="minor"/>
      </rPr>
      <t xml:space="preserve"> + </t>
    </r>
    <r>
      <rPr>
        <sz val="11"/>
        <color theme="1"/>
        <rFont val="Calibri"/>
        <family val="2"/>
        <scheme val="minor"/>
      </rPr>
      <t>%kWh</t>
    </r>
    <r>
      <rPr>
        <vertAlign val="subscript"/>
        <sz val="11"/>
        <color theme="1"/>
        <rFont val="Calibri"/>
        <family val="2"/>
        <scheme val="minor"/>
      </rPr>
      <t>.heat</t>
    </r>
    <r>
      <rPr>
        <b/>
        <vertAlign val="subscript"/>
        <sz val="11"/>
        <color rgb="FFC00000"/>
        <rFont val="Calibri"/>
        <family val="2"/>
        <scheme val="minor"/>
      </rPr>
      <t xml:space="preserve"> </t>
    </r>
    <r>
      <rPr>
        <b/>
        <sz val="11"/>
        <color rgb="FFC00000"/>
        <rFont val="Calibri"/>
        <family val="2"/>
        <scheme val="minor"/>
      </rPr>
      <t xml:space="preserve">* </t>
    </r>
    <r>
      <rPr>
        <sz val="11"/>
        <color theme="1"/>
        <rFont val="Calibri"/>
        <family val="2"/>
        <scheme val="minor"/>
      </rPr>
      <t>%DHW</t>
    </r>
    <r>
      <rPr>
        <vertAlign val="subscript"/>
        <sz val="11"/>
        <color theme="1"/>
        <rFont val="Calibri"/>
        <family val="2"/>
        <scheme val="minor"/>
      </rPr>
      <t>.electric</t>
    </r>
    <r>
      <rPr>
        <sz val="11"/>
        <color theme="1"/>
        <rFont val="Calibri"/>
        <family val="2"/>
        <scheme val="minor"/>
      </rPr>
      <t>)</t>
    </r>
  </si>
  <si>
    <r>
      <t>= ΔkWh</t>
    </r>
    <r>
      <rPr>
        <b/>
        <sz val="11"/>
        <color rgb="FFC00000"/>
        <rFont val="Calibri"/>
        <family val="2"/>
        <scheme val="minor"/>
      </rPr>
      <t xml:space="preserve"> * </t>
    </r>
    <r>
      <rPr>
        <sz val="11"/>
        <color theme="1"/>
        <rFont val="Calibri"/>
        <family val="2"/>
        <scheme val="minor"/>
      </rPr>
      <t>EUL</t>
    </r>
  </si>
  <si>
    <r>
      <t>kWh</t>
    </r>
    <r>
      <rPr>
        <vertAlign val="subscript"/>
        <sz val="10.5"/>
        <color theme="1"/>
        <rFont val="Calibri"/>
        <family val="2"/>
        <scheme val="minor"/>
      </rPr>
      <t>.base,yr</t>
    </r>
  </si>
  <si>
    <r>
      <t>kWh</t>
    </r>
    <r>
      <rPr>
        <vertAlign val="subscript"/>
        <sz val="10.5"/>
        <color theme="1"/>
        <rFont val="Calibri"/>
        <family val="2"/>
        <scheme val="minor"/>
      </rPr>
      <t>.ee,yr</t>
    </r>
  </si>
  <si>
    <r>
      <t>HRS</t>
    </r>
    <r>
      <rPr>
        <vertAlign val="subscript"/>
        <sz val="10.5"/>
        <color theme="1"/>
        <rFont val="Calibri"/>
        <family val="2"/>
        <scheme val="minor"/>
      </rPr>
      <t>.cycle</t>
    </r>
  </si>
  <si>
    <t>ENERGY STAR Residential Dishwasher Specification Version 6.0.</t>
  </si>
  <si>
    <t>Representative average dishwasher use in 10 CFR 430, Subpart B, Appendix C1 - Uniform Test Method for Measuring the Energy Consumption of Dishwashers.</t>
  </si>
  <si>
    <t>In the absence of a true region-specific system peak coincidence factor for the end-use, use a run-time average factor calculated as hours of use divided by 8,760 hours per year.</t>
  </si>
  <si>
    <t>DEER2020.</t>
  </si>
  <si>
    <r>
      <t>%kWh</t>
    </r>
    <r>
      <rPr>
        <vertAlign val="subscript"/>
        <sz val="10.5"/>
        <color theme="1"/>
        <rFont val="Calibri"/>
        <family val="2"/>
        <scheme val="minor"/>
      </rPr>
      <t>.Op</t>
    </r>
  </si>
  <si>
    <r>
      <t>%kWh</t>
    </r>
    <r>
      <rPr>
        <vertAlign val="subscript"/>
        <sz val="10.5"/>
        <color theme="1"/>
        <rFont val="Calibri"/>
        <family val="2"/>
        <scheme val="minor"/>
      </rPr>
      <t>.heat</t>
    </r>
  </si>
  <si>
    <r>
      <t>%DHW</t>
    </r>
    <r>
      <rPr>
        <vertAlign val="subscript"/>
        <sz val="10.5"/>
        <color theme="1"/>
        <rFont val="Calibri"/>
        <family val="2"/>
        <scheme val="minor"/>
      </rPr>
      <t xml:space="preserve">.electric </t>
    </r>
  </si>
  <si>
    <t>Percentage of dishwasher energy consumption used for unit operation.</t>
  </si>
  <si>
    <t>Assume default of 44% (0.44) per the ENERGY STAR Appliance Calculator.</t>
  </si>
  <si>
    <t xml:space="preserve">Percentage of dishwasher energy consumption used for water heating. </t>
  </si>
  <si>
    <t>Assume default of 56% (0.56) per the ENERGY STAR Appliance Calculator.</t>
  </si>
  <si>
    <t xml:space="preserve">Percentage of domestic hot water assumed to be electric. </t>
  </si>
  <si>
    <t>ENERGY STAR, Dishwashers, webpage, https://www.energystar.gov/products/appliances/dishwashers.</t>
  </si>
  <si>
    <t>Code of Federal Regulations, 10 CFR 430, Subpart B, Appendix C1 - Uniform Test Method for Measuring the Energy Consumption of Dishwashers.</t>
  </si>
  <si>
    <t>ENERGY STAR, Residential Dishwasher Specification Version 6.0, available here: https://www.energystar.gov/products/spec/residential_dishwasher_specification_version_6_0_pd.</t>
  </si>
  <si>
    <t>One pump.</t>
  </si>
  <si>
    <t xml:space="preserve">Updated in January 2019 for PY19 TRM. </t>
  </si>
  <si>
    <t>One system.</t>
  </si>
  <si>
    <t>Updated in Fall 2018 for PY19 TRM.</t>
  </si>
  <si>
    <t>Per room/unit controlled by EMS.</t>
  </si>
  <si>
    <t>No Guest Room EMS controls.</t>
  </si>
  <si>
    <t>Guest Room EMS controls.</t>
  </si>
  <si>
    <t>One fixture.</t>
  </si>
  <si>
    <t>One retrofit kit.</t>
  </si>
  <si>
    <t>One sensor.</t>
  </si>
  <si>
    <t>Manual switch.</t>
  </si>
  <si>
    <t>Occupancy sensor installed.</t>
  </si>
  <si>
    <t>Varies with scale of project.</t>
  </si>
  <si>
    <t>No bi-level dimming lights with occupancy sensors.</t>
  </si>
  <si>
    <t>Bi-level dimming lights with occupancy sensors.</t>
  </si>
  <si>
    <t>R_Appliance_Dishwasher</t>
  </si>
  <si>
    <t>R_PlugProcess_Switch Plug, R_PlugProcess_Switch_Plug_CALC</t>
  </si>
  <si>
    <t>R_Appliance_Air Purifier</t>
  </si>
  <si>
    <t xml:space="preserve">R_HVAC_Dehumidifier </t>
  </si>
  <si>
    <t>This is a new measure for PY19</t>
  </si>
  <si>
    <t>This measure was added mid-year during PY18</t>
  </si>
  <si>
    <t>Consider adding tables of annual ISR and PF values for measures, as applicable, in future TRM update</t>
  </si>
  <si>
    <t>Consider including residential dishwasher, switch plug, air purifier, dehumidifier and window AC measure in PY20 TRM prioritization process since only a light review was conducted for PY19</t>
  </si>
  <si>
    <t>Due to small program-level savings expected from these measures and the fact that they were reviewed (albeit lightly) for PY19 TRM, the priority may be low.</t>
  </si>
  <si>
    <t xml:space="preserve">Consider pros and cons of billing analysis approach for solar water heater and tune-up measures </t>
  </si>
  <si>
    <t>Include a review of Evergreen’s 2012 billing analysis results to assess reasonableness of using findings for a new deemed savings value</t>
  </si>
  <si>
    <t>R_WH_SWH, R_WH_SWH Tune Up</t>
  </si>
  <si>
    <t>RESIDENTIAL: Solar Water Heater, Solar Water Heater Tune Up</t>
  </si>
  <si>
    <t>Apply findings from the AEG baseline study to update TRM measure savings assumptions, as appropriate</t>
  </si>
  <si>
    <t>Add measures to the RESIDENTIAL: HVAC Savings Calculator</t>
  </si>
  <si>
    <t>RESIDENTIAL: Window AC, Central A/C Retrofit</t>
  </si>
  <si>
    <t>R_HVAC_Window AC, R_HVAC_Central AC Retrofit</t>
  </si>
  <si>
    <t>Currently we are using lifetime values and applying the same factors to first year and lifetime savings</t>
  </si>
  <si>
    <t>R_PlugProcess_Switch Plug, R_PlugProcess_Adv Power Strip</t>
  </si>
  <si>
    <t>RESIDENTIAL: Switch Plug, Advanced Power Strip</t>
  </si>
  <si>
    <t>An ISR of less than 1 would likely be appropriate for these measures</t>
  </si>
  <si>
    <t>Consider researching and adding an in-service rate to the savings algorithms for these measures</t>
  </si>
  <si>
    <t>Baseline Energy Appliance, Equipment and Building Characteristics Study Report, Prepared for the State of Hawaii Public Utilities Commission, November 6, 2013, With errata February 26, 2014, Evergreen Economics.</t>
  </si>
  <si>
    <t xml:space="preserve">Saying Mahalo to Solar Savings: A Billing Analysis of Solar Water Heaters in Hawai‘i, Jenny Yaillen, Evergreen Economics, Chris Ann Dickerson, CAD Consulting, Wendy Takanish and John Cole, Hawaii Public Utilities Commission, ©2012 ACEEE Summer Study on Energy Efficiency in Buildings.  </t>
  </si>
  <si>
    <t>Baseline Energy Appliance, Equipment and Building Characteristics Study Report, Prepared for the State of Hawaii Public Utilities Commission, Prepared by Evergreen Economics, February 26, 2014.</t>
  </si>
  <si>
    <t>Hawaii Public Utilities Commission</t>
  </si>
  <si>
    <t xml:space="preserve">The State of Hawaii Public Utilities Commission (HPUC) is a quasi-judicial body responsible for guiding the development of state utility policies that best serve the long-term interest of Hawai‘i utility ratepayers, with the goal of the provision of high quality public utility service in Hawai‘i at reasonable costs. </t>
  </si>
  <si>
    <t>Baseline Energy Appliance, Equipment and Building Characteristics Study Report, Prepared for the State of Hawaii Public Utilities Commission, November 6, 2013, With errata February 26, 2014, Evergreen Economics, Figure 87.</t>
  </si>
  <si>
    <t>One window AC unit.</t>
  </si>
  <si>
    <t>First Baseline Peak Demand Reduction, kW (Early Replacement Only)</t>
  </si>
  <si>
    <t>Second Baseline Peak Demand Reduction, kW (or, Single Baseline for Replace on Burnout)</t>
  </si>
  <si>
    <t>First Baseline Annual Energy Savings, kWh/yr (Early Replacement Only)</t>
  </si>
  <si>
    <t>Second Baseline Annual Energy Savings, kWh/yr (or, Single Baseline for Replace on Burnout)</t>
  </si>
  <si>
    <t>Early Replacement Lifetime Energy Savings, kWh</t>
  </si>
  <si>
    <t>Replace on Burnout Lifetime Energy Savings, kWh</t>
  </si>
  <si>
    <t>Federal minimum requirement for units manufactured as of Jun. 1, 2014.</t>
  </si>
  <si>
    <t>Federal minimum requirement for units manufactured between Oct. 1, 2000 and May 31, 2014.</t>
  </si>
  <si>
    <t>As installed.</t>
  </si>
  <si>
    <t>EFLH determined as average of residential EnergyPlus prototype simulations with room AC cooling system by dividing total cooling kWh by maximum kW (proxy for capacity, adjusted for oversizing).</t>
  </si>
  <si>
    <t>CF corresponding with system peak of 5-9pm on non-holiday weekdays. Determined based on EnergyPlus prototype simulations with Room AC systems.</t>
  </si>
  <si>
    <r>
      <t>CEER</t>
    </r>
    <r>
      <rPr>
        <vertAlign val="subscript"/>
        <sz val="10.5"/>
        <color theme="1"/>
        <rFont val="Calibri"/>
        <family val="2"/>
        <scheme val="minor"/>
      </rPr>
      <t>BL,1</t>
    </r>
  </si>
  <si>
    <r>
      <t>CEER</t>
    </r>
    <r>
      <rPr>
        <vertAlign val="subscript"/>
        <sz val="10.5"/>
        <color theme="1"/>
        <rFont val="Calibri"/>
        <family val="2"/>
        <scheme val="minor"/>
      </rPr>
      <t>BL,2</t>
    </r>
  </si>
  <si>
    <r>
      <t>EER</t>
    </r>
    <r>
      <rPr>
        <vertAlign val="subscript"/>
        <sz val="10.5"/>
        <color theme="1"/>
        <rFont val="Calibri"/>
        <family val="2"/>
        <scheme val="minor"/>
      </rPr>
      <t>BL,1</t>
    </r>
  </si>
  <si>
    <r>
      <t>EER</t>
    </r>
    <r>
      <rPr>
        <vertAlign val="subscript"/>
        <sz val="10.5"/>
        <color theme="1"/>
        <rFont val="Calibri"/>
        <family val="2"/>
        <scheme val="minor"/>
      </rPr>
      <t>BL,2</t>
    </r>
  </si>
  <si>
    <r>
      <t>CEER</t>
    </r>
    <r>
      <rPr>
        <vertAlign val="subscript"/>
        <sz val="10.5"/>
        <color theme="1"/>
        <rFont val="Calibri"/>
        <family val="2"/>
        <scheme val="minor"/>
      </rPr>
      <t>EE</t>
    </r>
  </si>
  <si>
    <r>
      <t>EER</t>
    </r>
    <r>
      <rPr>
        <vertAlign val="subscript"/>
        <sz val="10.5"/>
        <color theme="1"/>
        <rFont val="Calibri"/>
        <family val="2"/>
        <scheme val="minor"/>
      </rPr>
      <t>EE</t>
    </r>
  </si>
  <si>
    <t>DEER 2020.</t>
  </si>
  <si>
    <t>Watt/kilowatt conversion</t>
  </si>
  <si>
    <t>Remaining useful life of measure</t>
  </si>
  <si>
    <t>Assumed to be 1/3 EUL.</t>
  </si>
  <si>
    <t>Code of Federal Regulations, 10 CFR 430.32, Subpart C, Energy and Water Conservation Standards and Their Effective Dates, (b) Room Air Conditioners, page 472, available here: &lt;https://www.govinfo.gov/content/pkg/CFR-2012-title10-vol3/pdf/CFR-2012-title10-vol3-sec430-32.pdf&gt;.</t>
  </si>
  <si>
    <t>ENERGY STAR Version 4.1 Room Air Conditioners Program Requirements, available here: &lt;https://www.energystar.gov/products/heating_cooling/air_conditioning_room/partners&gt;.</t>
  </si>
  <si>
    <t>See the accompanying AC worksheet:</t>
  </si>
  <si>
    <t>One central AC unit.</t>
  </si>
  <si>
    <t xml:space="preserve">First Baseline Peak Demand Reduction, kW </t>
  </si>
  <si>
    <t xml:space="preserve">Second Baseline Peak Demand Reduction, kW </t>
  </si>
  <si>
    <t xml:space="preserve">Second Baseline Annual Energy Savings, kWh/yr </t>
  </si>
  <si>
    <t>See Note 2.</t>
  </si>
  <si>
    <t>See Note 1.</t>
  </si>
  <si>
    <r>
      <t>SEER</t>
    </r>
    <r>
      <rPr>
        <vertAlign val="subscript"/>
        <sz val="10.5"/>
        <rFont val="Calibri"/>
        <family val="2"/>
        <scheme val="minor"/>
      </rPr>
      <t>BL,1</t>
    </r>
  </si>
  <si>
    <t>Full load energy efficiency ratio of baseline unit</t>
  </si>
  <si>
    <t>Full load energy efficiency ratio of installed high efficiency unit</t>
  </si>
  <si>
    <t>Seasonal energy efficiency ratio of installed high efficiency unit</t>
  </si>
  <si>
    <t>Energy efficiency ratio of baseline unit for first baseline period (early replacement)</t>
  </si>
  <si>
    <t>Energy efficiency ratio of baseline unit for second baseline period (early replacement) or for single baseline (replace on burnout)</t>
  </si>
  <si>
    <t>Energy efficiency ratio of installed high efficiency unit</t>
  </si>
  <si>
    <t>Combined energy efficiency ratio of baseline unit for first baseline period (early replacement)</t>
  </si>
  <si>
    <t>Combined energy efficiency ratio of baseline unit for second baseline period (early replacement) or for single baseline (replace on burnout)</t>
  </si>
  <si>
    <t>Combined energy efficiency ratio of installed high efficiency unit</t>
  </si>
  <si>
    <t>As installed (&lt; 65,000 Btu/h).</t>
  </si>
  <si>
    <t>EFLH determined as average of residential EnergyPlus prototype simulations with central AC cooling system by dividing total cooling kWh by maximum kW (proxy for capacity, adjusted for oversizing).</t>
  </si>
  <si>
    <t>CF corresponding with system peak of 5-9pm on non-holiday weekdays. Determined based on EnergyPlus prototype simulations with Central AC systems.</t>
  </si>
  <si>
    <t>Hawai‘i-specific energy simulations of single family home prototypes in BEopt™ with EnergyPlus v8.8 as the simulation engine.</t>
  </si>
  <si>
    <t>Room AC w/o recycling (8,000-13,999 Btu/h)</t>
  </si>
  <si>
    <t>Enter Full Load Efficiency:*</t>
  </si>
  <si>
    <t>Enter Part-Load Efficiency:**</t>
  </si>
  <si>
    <t>Only for early replacement</t>
  </si>
  <si>
    <t>kW reduction (ER):</t>
  </si>
  <si>
    <t>Only for early replacement; this is savings during first baseline period</t>
  </si>
  <si>
    <t>kWh/yr savings (ER):</t>
  </si>
  <si>
    <t xml:space="preserve">Baseline Specifications </t>
  </si>
  <si>
    <t>Replace on Burnout (Single Baseline)</t>
  </si>
  <si>
    <t>Ductless Split System by Capacity Bin</t>
  </si>
  <si>
    <t>Early Replacement (First Baseline)</t>
  </si>
  <si>
    <t>Central AC and Room AC</t>
  </si>
  <si>
    <t>Room AC w/ recycling (8,000-13,999 Btu/h)</t>
  </si>
  <si>
    <t>Minimum EE Qualifications and Parameters Table</t>
  </si>
  <si>
    <t>Replace on Burnout 
(or, Second Baseline for Early Replacement)</t>
  </si>
  <si>
    <t xml:space="preserve">The following full load hours and coincidence factors are recommended per building type based on NREL simulations of DOE prototypes with Honolulu weather. Retrofits in cold storage and industrial facilities should be evaluated as custom measures unless the equipment is used for HVAC and not process cooling loads. When used for HVAC, other building type designations (e.g., Office) may be applied. </t>
  </si>
  <si>
    <t>Early removal of an existing inefficient central air conditioning unit from service, prior to its measure and natural end of life, and replacement with a higher efficiency unit.</t>
  </si>
  <si>
    <t>Coincidence Factor for &lt;30,000 Btu/h units</t>
  </si>
  <si>
    <r>
      <t xml:space="preserve">Coincidence Factor for </t>
    </r>
    <r>
      <rPr>
        <sz val="10.5"/>
        <rFont val="Calibri"/>
        <family val="2"/>
      </rPr>
      <t>≥</t>
    </r>
    <r>
      <rPr>
        <sz val="10.5"/>
        <rFont val="Calibri"/>
        <family val="2"/>
        <scheme val="minor"/>
      </rPr>
      <t>30,000 Btu/h units</t>
    </r>
  </si>
  <si>
    <t>Equivalent full load cooling hours for &lt;30,000 Btu/h units</t>
  </si>
  <si>
    <t>Equivalent full load cooling hours for ≥30,000 Btu/h units</t>
  </si>
  <si>
    <t>EFLH determined as median of residential EnergyPlus prototype simulations with room AC systems by dividing total cooling kWh by maximum kW (proxy for capacity, adjusted for oversizing).</t>
  </si>
  <si>
    <t>EFLH determined as median of residential EnergyPlus prototype simulations with central AC systems by dividing total cooling kWh by maximum kW (proxy for capacity, adjusted for oversizing).</t>
  </si>
  <si>
    <t>ENERGY STAR Version 3.0 Room Air Conditioners Program Requirements, available here: &lt;https://www.energystar.gov/products/spec/room_air_conditioners_specification_version_3_0_pd&gt;.</t>
  </si>
  <si>
    <t>For early replacement with recycling projects, documentation must be provided to show that the pre-existing unit was operating and had a meaningful remaining useful life prior to replacement.</t>
  </si>
  <si>
    <r>
      <t>Assumed to be CEER</t>
    </r>
    <r>
      <rPr>
        <vertAlign val="subscript"/>
        <sz val="10.5"/>
        <color theme="1"/>
        <rFont val="Calibri"/>
        <family val="2"/>
        <scheme val="minor"/>
      </rPr>
      <t>BL,2</t>
    </r>
    <r>
      <rPr>
        <sz val="10.5"/>
        <color theme="1"/>
        <rFont val="Calibri"/>
        <family val="2"/>
        <scheme val="minor"/>
      </rPr>
      <t xml:space="preserve"> * 1.01 per ENERGY STAR data.</t>
    </r>
    <r>
      <rPr>
        <vertAlign val="superscript"/>
        <sz val="10.5"/>
        <color theme="1"/>
        <rFont val="Calibri"/>
        <family val="2"/>
        <scheme val="minor"/>
      </rPr>
      <t>2</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</si>
  <si>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2</t>
    </r>
  </si>
  <si>
    <r>
      <rPr>
        <vertAlign val="superscript"/>
        <sz val="9"/>
        <color theme="1"/>
        <rFont val="Calibri"/>
        <family val="2"/>
        <scheme val="minor"/>
      </rPr>
      <t>1</t>
    </r>
    <r>
      <rPr>
        <sz val="9"/>
        <color theme="1"/>
        <rFont val="Calibri"/>
        <family val="2"/>
        <scheme val="minor"/>
      </rPr>
      <t xml:space="preserve"> For room AC units outside of this capacity range, use a custom approach to calculate impacts.</t>
    </r>
  </si>
  <si>
    <t>Hawai‘i Energy Solar Water Heating Program Handbook: Design Guidelines, Volume 5, October 2018, available for download here: &lt;https://hawaiienergy.com/files/for-homes/swh_handbook.pdf&gt;.</t>
  </si>
  <si>
    <t>PY19-PY21 Avoided Capacity and Energy Cost Calculations, Analysis Spreadsheet, Prepared by Steve Schiller, Energy Efficiency Manager and Kelly Parmenter, Applied Energy Group, April 28, 2019.</t>
  </si>
  <si>
    <t>PY</t>
  </si>
  <si>
    <t>PY20</t>
  </si>
  <si>
    <t>PY21</t>
  </si>
  <si>
    <t>Hawaii</t>
  </si>
  <si>
    <r>
      <t xml:space="preserve">Value </t>
    </r>
    <r>
      <rPr>
        <vertAlign val="superscript"/>
        <sz val="11"/>
        <color theme="1"/>
        <rFont val="Calibri"/>
        <family val="2"/>
        <scheme val="minor"/>
      </rPr>
      <t>1</t>
    </r>
  </si>
  <si>
    <t>1. HECO 2018 Electric Utility System Cost Data Report, submitted to HPUC per Section 6-74-17, June 29, 2018.</t>
  </si>
  <si>
    <t>2. MECO 2018 Electric Utility System Cost Data Report, submitted to HPUC per Section 6-74-17, June 29, 2018.</t>
  </si>
  <si>
    <t>3. HELCO 2018 Electric Utility System Cost Data Report, submitted to HPUC per Section 6-74-17, June 29, 2018.</t>
  </si>
  <si>
    <t>Table 1. Annualized Avoided Capacity Costs</t>
  </si>
  <si>
    <t>/yr, from HECO and MECO 2018 Electric Utility System Cost Data Reports.</t>
  </si>
  <si>
    <t>Proxy Avoided Costs</t>
  </si>
  <si>
    <t>Table 2. Average Annual Avoided Energy Costs</t>
  </si>
  <si>
    <t>Measure Year</t>
  </si>
  <si>
    <t>Avoided Capacity Costs
Discounted Annual $/kW-yr</t>
  </si>
  <si>
    <t>$/kW-yr</t>
  </si>
  <si>
    <t>$/kWh-yr</t>
  </si>
  <si>
    <t>Avoided Energy Costs
Discounted Annual $/kWh-yr</t>
  </si>
  <si>
    <t>Avoided Capacity Costs
NPV Cumulative from Final Year</t>
  </si>
  <si>
    <t>Avoided Energy Costs
NPV Cumulative from Final Year</t>
  </si>
  <si>
    <r>
      <rPr>
        <vertAlign val="superscript"/>
        <sz val="9"/>
        <color theme="1"/>
        <rFont val="Calibri"/>
        <family val="2"/>
        <scheme val="minor"/>
      </rPr>
      <t>1</t>
    </r>
    <r>
      <rPr>
        <sz val="9"/>
        <color theme="1"/>
        <rFont val="Calibri"/>
        <family val="2"/>
        <scheme val="minor"/>
      </rPr>
      <t>Escalation Factor</t>
    </r>
  </si>
  <si>
    <t>Recommendations for Avoided Costs for the Sole Purpose of Providing Interim Updates for Calculation of Hawai‘i Energy Program Total Resource Benefits, Memorandum, Prepared for Hawaii Public Utilities Commission, Hawaiian Electric Companies, and Hawai‘i Energy, Prepared by Steve Schiller, Energy Efficiency Manager and Kelly Parmenter, Applied Energy Group, April 25, 2019.</t>
  </si>
  <si>
    <t>Economic benefits to the State of Hawaii from efficiency include the avoided costs associated with the energy that is saved. The value of the energy that is saved is called the Total Resource Benefit (TRB). To estimate the TRB for individual measures, programs or the whole portfolio, future avoided energy costs ($/kWh) and avoided capacity costs ($/kW) need to be estimated.</t>
  </si>
  <si>
    <t>R__WH_LFShowerhead</t>
  </si>
  <si>
    <t>C_HVAC_Window AC, C_HVAC_WindowAC_WKST</t>
  </si>
  <si>
    <t>R_HVAC_Window AC, R_HVAC_AC_WKST</t>
  </si>
  <si>
    <t>R_HVAC_Central AC Retrofit, R_HVAC_AC_WKST</t>
  </si>
  <si>
    <t>R_Light_Linear LED</t>
  </si>
  <si>
    <t>R_Light_Security Light</t>
  </si>
  <si>
    <t>R_Light_Holiday String Light</t>
  </si>
  <si>
    <t>RESIDENTIAL: Linear LED</t>
  </si>
  <si>
    <t>RESIDENTIAL: Security Light</t>
  </si>
  <si>
    <t>RESIDENTIAL: Holiday String Light</t>
  </si>
  <si>
    <t>COMMERCIAL: Window AC</t>
  </si>
  <si>
    <t xml:space="preserve">Equipment is assumed to be a window AC unit without reverse cycle, with louvered sides, and a capacity range of less than 28,000 Btu/h. For window AC units not meeting this type or capacity range, confirm program eligibility with Hawai'i Energy and use a custom approach to calculate impacts. </t>
  </si>
  <si>
    <t>For early replacement with recycling, a dual baseline is required to estimate impacts. The efficiency during the first baseline period corresponds to federal minimum requirements for units manufactured between Oct. 1, 2000 and May 31, 2014 and the efficiency during the second baseline period corresponds to federal minimum requirements for units manufactured as of Jun. 1, 2014. (See Table 1.)</t>
  </si>
  <si>
    <t>For addition of new systems without recycling a previous unit, or for replacement on burnout of a pre-existing unit, a single baseline that corresponds to federal minimum requirements for units manufactured as of Jun. 1, 2014 is used. (See Table 1.)</t>
  </si>
  <si>
    <t>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t>
  </si>
  <si>
    <t>Capacity Bin (Btu/h)</t>
  </si>
  <si>
    <r>
      <t>1st Baseline</t>
    </r>
    <r>
      <rPr>
        <b/>
        <vertAlign val="superscript"/>
        <sz val="11"/>
        <rFont val="Calibri"/>
        <family val="2"/>
        <scheme val="minor"/>
      </rPr>
      <t>1</t>
    </r>
  </si>
  <si>
    <r>
      <t>2nd Baseline</t>
    </r>
    <r>
      <rPr>
        <b/>
        <vertAlign val="superscript"/>
        <sz val="11"/>
        <rFont val="Calibri"/>
        <family val="2"/>
        <scheme val="minor"/>
      </rPr>
      <t>2</t>
    </r>
  </si>
  <si>
    <r>
      <t>ENERGY STAR</t>
    </r>
    <r>
      <rPr>
        <b/>
        <vertAlign val="superscript"/>
        <sz val="11"/>
        <rFont val="Calibri"/>
        <family val="2"/>
        <scheme val="minor"/>
      </rPr>
      <t>3</t>
    </r>
  </si>
  <si>
    <r>
      <t>CEER</t>
    </r>
    <r>
      <rPr>
        <b/>
        <vertAlign val="subscript"/>
        <sz val="11"/>
        <rFont val="Calibri"/>
        <family val="2"/>
        <scheme val="minor"/>
      </rPr>
      <t>BL,1</t>
    </r>
  </si>
  <si>
    <r>
      <t>EER</t>
    </r>
    <r>
      <rPr>
        <b/>
        <vertAlign val="subscript"/>
        <sz val="11"/>
        <rFont val="Calibri"/>
        <family val="2"/>
        <scheme val="minor"/>
      </rPr>
      <t>BL,1</t>
    </r>
  </si>
  <si>
    <r>
      <t>CEER</t>
    </r>
    <r>
      <rPr>
        <b/>
        <vertAlign val="subscript"/>
        <sz val="11"/>
        <rFont val="Calibri"/>
        <family val="2"/>
        <scheme val="minor"/>
      </rPr>
      <t>BL,2</t>
    </r>
  </si>
  <si>
    <r>
      <t>EER</t>
    </r>
    <r>
      <rPr>
        <b/>
        <vertAlign val="subscript"/>
        <sz val="11"/>
        <rFont val="Calibri"/>
        <family val="2"/>
        <scheme val="minor"/>
      </rPr>
      <t>BL,2</t>
    </r>
  </si>
  <si>
    <r>
      <t>CEER</t>
    </r>
    <r>
      <rPr>
        <b/>
        <vertAlign val="subscript"/>
        <sz val="11"/>
        <rFont val="Calibri"/>
        <family val="2"/>
        <scheme val="minor"/>
      </rPr>
      <t>Base</t>
    </r>
  </si>
  <si>
    <r>
      <t>EER</t>
    </r>
    <r>
      <rPr>
        <b/>
        <vertAlign val="subscript"/>
        <sz val="11"/>
        <rFont val="Calibri"/>
        <family val="2"/>
        <scheme val="minor"/>
      </rPr>
      <t>Base</t>
    </r>
  </si>
  <si>
    <r>
      <t>CEER</t>
    </r>
    <r>
      <rPr>
        <b/>
        <vertAlign val="subscript"/>
        <sz val="11"/>
        <rFont val="Calibri"/>
        <family val="2"/>
        <scheme val="minor"/>
      </rPr>
      <t>Min</t>
    </r>
  </si>
  <si>
    <r>
      <t>EER</t>
    </r>
    <r>
      <rPr>
        <b/>
        <vertAlign val="subscript"/>
        <sz val="11"/>
        <rFont val="Calibri"/>
        <family val="2"/>
        <scheme val="minor"/>
      </rPr>
      <t>Min</t>
    </r>
  </si>
  <si>
    <t>&lt; 8,000</t>
  </si>
  <si>
    <t>8,000 to 13,999</t>
  </si>
  <si>
    <t>14,000 to 19,999</t>
  </si>
  <si>
    <t>20,000 to 27,999</t>
  </si>
  <si>
    <r>
      <rPr>
        <vertAlign val="superscript"/>
        <sz val="9"/>
        <rFont val="Calibri"/>
        <family val="2"/>
        <scheme val="minor"/>
      </rPr>
      <t>1</t>
    </r>
    <r>
      <rPr>
        <sz val="9"/>
        <rFont val="Calibri"/>
        <family val="2"/>
        <scheme val="minor"/>
      </rPr>
      <t xml:space="preserve"> See federal minimum EER</t>
    </r>
    <r>
      <rPr>
        <vertAlign val="subscript"/>
        <sz val="9"/>
        <rFont val="Calibri"/>
        <family val="2"/>
        <scheme val="minor"/>
      </rPr>
      <t>BL,1</t>
    </r>
    <r>
      <rPr>
        <sz val="9"/>
        <rFont val="Calibri"/>
        <family val="2"/>
        <scheme val="minor"/>
      </rPr>
      <t xml:space="preserve"> requirements for units manufactured between Oct. 1, 2000 to May 31, 2014 at &lt;https://www.govinfo.gov/content/pkg/CFR-2012-title10-vol3/pdf/CFR-2012-title10-vol3-sec430-32.pdf&gt;, paragraph (b) on page 472. CEER</t>
    </r>
    <r>
      <rPr>
        <vertAlign val="subscript"/>
        <sz val="9"/>
        <rFont val="Calibri"/>
        <family val="2"/>
        <scheme val="minor"/>
      </rPr>
      <t>BL,1</t>
    </r>
    <r>
      <rPr>
        <sz val="9"/>
        <rFont val="Calibri"/>
        <family val="2"/>
        <scheme val="minor"/>
      </rPr>
      <t xml:space="preserve"> is assumed to be EER</t>
    </r>
    <r>
      <rPr>
        <vertAlign val="subscript"/>
        <sz val="9"/>
        <rFont val="Calibri"/>
        <family val="2"/>
        <scheme val="minor"/>
      </rPr>
      <t>BL,1</t>
    </r>
    <r>
      <rPr>
        <sz val="9"/>
        <rFont val="Calibri"/>
        <family val="2"/>
        <scheme val="minor"/>
      </rPr>
      <t xml:space="preserve"> / 1.01.</t>
    </r>
  </si>
  <si>
    <r>
      <rPr>
        <vertAlign val="superscript"/>
        <sz val="9"/>
        <rFont val="Calibri"/>
        <family val="2"/>
        <scheme val="minor"/>
      </rPr>
      <t>2</t>
    </r>
    <r>
      <rPr>
        <sz val="9"/>
        <rFont val="Calibri"/>
        <family val="2"/>
        <scheme val="minor"/>
      </rPr>
      <t xml:space="preserve"> See federal minimum CEER</t>
    </r>
    <r>
      <rPr>
        <vertAlign val="subscript"/>
        <sz val="9"/>
        <rFont val="Calibri"/>
        <family val="2"/>
        <scheme val="minor"/>
      </rPr>
      <t>BL,2</t>
    </r>
    <r>
      <rPr>
        <sz val="9"/>
        <rFont val="Calibri"/>
        <family val="2"/>
        <scheme val="minor"/>
      </rPr>
      <t xml:space="preserve"> requirements for units manufactured as of Jun. 1, 2014 at &lt;https://www.govinfo.gov/content/pkg/CFR-2012-title10-vol3/pdf/CFR-2012-title10-vol3-sec430-32.pdf&gt;, paragraph (b) on page 472. EER</t>
    </r>
    <r>
      <rPr>
        <vertAlign val="subscript"/>
        <sz val="9"/>
        <rFont val="Calibri"/>
        <family val="2"/>
        <scheme val="minor"/>
      </rPr>
      <t>BL,2</t>
    </r>
    <r>
      <rPr>
        <sz val="9"/>
        <rFont val="Calibri"/>
        <family val="2"/>
        <scheme val="minor"/>
      </rPr>
      <t xml:space="preserve"> is assumed to be CEER</t>
    </r>
    <r>
      <rPr>
        <vertAlign val="subscript"/>
        <sz val="9"/>
        <rFont val="Calibri"/>
        <family val="2"/>
        <scheme val="minor"/>
      </rPr>
      <t>BL,2</t>
    </r>
    <r>
      <rPr>
        <sz val="9"/>
        <rFont val="Calibri"/>
        <family val="2"/>
        <scheme val="minor"/>
      </rPr>
      <t xml:space="preserve"> * 1.01.</t>
    </r>
  </si>
  <si>
    <r>
      <rPr>
        <vertAlign val="superscript"/>
        <sz val="9"/>
        <rFont val="Calibri"/>
        <family val="2"/>
        <scheme val="minor"/>
      </rPr>
      <t>3</t>
    </r>
    <r>
      <rPr>
        <sz val="9"/>
        <rFont val="Calibri"/>
        <family val="2"/>
        <scheme val="minor"/>
      </rPr>
      <t xml:space="preserve"> See ENERGY STAR Version 4.1 Room Air Conditioners Program Requirements, available here: &lt;https://www.energystar.gov/products/heating_cooling/air_conditioning_room/partners&gt;. EER is assumed to be CEER * 1.01.</t>
    </r>
  </si>
  <si>
    <r>
      <t>Assumes capacity of &lt; 28,000 Btu/h.</t>
    </r>
    <r>
      <rPr>
        <vertAlign val="superscript"/>
        <sz val="10.5"/>
        <rFont val="Calibri"/>
        <family val="2"/>
        <scheme val="minor"/>
      </rPr>
      <t>1</t>
    </r>
  </si>
  <si>
    <r>
      <t>Assumed to be CEER</t>
    </r>
    <r>
      <rPr>
        <vertAlign val="subscript"/>
        <sz val="10.5"/>
        <rFont val="Calibri"/>
        <family val="2"/>
        <scheme val="minor"/>
      </rPr>
      <t>BL,2</t>
    </r>
    <r>
      <rPr>
        <sz val="10.5"/>
        <rFont val="Calibri"/>
        <family val="2"/>
        <scheme val="minor"/>
      </rPr>
      <t xml:space="preserve"> * 1.01 per ENERGY STAR data.</t>
    </r>
    <r>
      <rPr>
        <vertAlign val="superscript"/>
        <sz val="10.5"/>
        <rFont val="Calibri"/>
        <family val="2"/>
        <scheme val="minor"/>
      </rPr>
      <t>2</t>
    </r>
  </si>
  <si>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2</t>
    </r>
  </si>
  <si>
    <t>AEG's analysis of DOE's OpenEI load shapes using Hawai‘i-specific prototypes and weather data.</t>
  </si>
  <si>
    <r>
      <rPr>
        <vertAlign val="superscript"/>
        <sz val="9"/>
        <rFont val="Calibri"/>
        <family val="2"/>
        <scheme val="minor"/>
      </rPr>
      <t>2</t>
    </r>
    <r>
      <rPr>
        <sz val="9"/>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t>
    </r>
  </si>
  <si>
    <r>
      <rPr>
        <vertAlign val="superscript"/>
        <sz val="9"/>
        <rFont val="Calibri"/>
        <family val="2"/>
        <scheme val="minor"/>
      </rPr>
      <t>3</t>
    </r>
    <r>
      <rPr>
        <sz val="9"/>
        <rFont val="Calibri"/>
        <family val="2"/>
        <scheme val="minor"/>
      </rPr>
      <t xml:space="preserve"> ENERGY STAR has a CEER allowance for connected systems, where CEER</t>
    </r>
    <r>
      <rPr>
        <vertAlign val="subscript"/>
        <sz val="9"/>
        <rFont val="Calibri"/>
        <family val="2"/>
        <scheme val="minor"/>
      </rPr>
      <t>Min</t>
    </r>
    <r>
      <rPr>
        <sz val="9"/>
        <rFont val="Calibri"/>
        <family val="2"/>
        <scheme val="minor"/>
      </rPr>
      <t xml:space="preserve"> = CEER</t>
    </r>
    <r>
      <rPr>
        <vertAlign val="subscript"/>
        <sz val="9"/>
        <rFont val="Calibri"/>
        <family val="2"/>
        <scheme val="minor"/>
      </rPr>
      <t>Base</t>
    </r>
    <r>
      <rPr>
        <sz val="9"/>
        <rFont val="Calibri"/>
        <family val="2"/>
        <scheme val="minor"/>
      </rPr>
      <t xml:space="preserve"> - 0.05 * CEER</t>
    </r>
    <r>
      <rPr>
        <vertAlign val="subscript"/>
        <sz val="9"/>
        <rFont val="Calibri"/>
        <family val="2"/>
        <scheme val="minor"/>
      </rPr>
      <t>Base</t>
    </r>
    <r>
      <rPr>
        <sz val="9"/>
        <rFont val="Calibri"/>
        <family val="2"/>
        <scheme val="minor"/>
      </rPr>
      <t>. Per ENERGY STAR, connected systems "shall include the appliance plus all elements (hardware, software) required to enable communication in response to consumer-authorized energy related commands (not including third-party remote management which may be made available solely at the discretion of the manufacturer). These elements may be resident inside or outside of the appliance. This capability shall be supported through one or more means, as identified in Section 4.B.2" of ENERGY STAR Version 4.1 Room Air Conditioners Program Requirements, available here: &lt;https://www.energystar.gov/products/heating_cooling/air_conditioning_room/partners&gt;.</t>
    </r>
  </si>
  <si>
    <t>See the accompanying Window AC worksheet:</t>
  </si>
  <si>
    <t>The following equivalent full load hours and coincidence factors are recommended per building type based on simulations of DOE prototypes with Honolulu weather (OpenEI datasets). Applicable building types for this Window AC measure are Education, Grocery, Hotel/Motel, Office, Restaurant, and Retail.</t>
  </si>
  <si>
    <t>Table 2: Equivalent Full Load Hours and Coincidence Factors for Commercial Cooling in Hawai‘i</t>
  </si>
  <si>
    <t>NA</t>
  </si>
  <si>
    <t>NA = Building type is not applicable for window AC measure.</t>
  </si>
  <si>
    <t xml:space="preserve">AEG's Analysis File titled "AEG HPUC Mid-Year PY19 TRM Updates_Analysis File." In addition, the files titled "AEG HPUC Update of Commercial Chillers - Analysis File" and "AEG HPUC EFLH and CF Analysis - Non-Holiday Weekdays" include Hawai‘i-specific simulation results for determining air conditioning EFLH and CF. </t>
  </si>
  <si>
    <t>Efficiency Vermont, Technical Reference User Manual, Measure Savings Algorithms and Cost Assumptions, No. 2014-87, Mar. 16, 2015.</t>
  </si>
  <si>
    <t>Michigan Energy Measure Database, v. 2018, https://www.michigan.gov/mpsc/0,4639,7-159-52495_55129---,00.html, filename: "mi_master_measure_database_2018-112917_609672_7."</t>
  </si>
  <si>
    <t xml:space="preserve">Open EI Datasets. Office of Energy Efficiency and Renewable Energy. Commercial and Residential Hourly Load Profiles for All TMY3 Locations in the United States. U.S. Department of Energy Open Data Catalog. Available at: &lt;https://openei.org/doe-opendata/dataset/commercial-and-residential-hourly-load-profiles-for-all-tmy3-locations-in-the-united-states&gt;. </t>
  </si>
  <si>
    <t xml:space="preserve">Pennsylvania Technical Reference Manual, State of Pennsylvania, June 2016. </t>
  </si>
  <si>
    <t>Texas Technical Reference Manual, Version 6.0, Volume 3: Nonresidential Measures, Program Year 2019, Public Utility Commission of Texas, November 2018.</t>
  </si>
  <si>
    <t>2020 Illinois Statewide Technical Reference Manual for Energy Efficiency, Version 8.0, Volume 2: Commercial and Industrial Measures, Final, Oct. 17, 2019, Effective Jan. 1, 2020, page 195.</t>
  </si>
  <si>
    <t>Enter Building Type:</t>
  </si>
  <si>
    <t>Room AC w/ recycling (&lt; 8,000 Btu/h)</t>
  </si>
  <si>
    <t>* If EER is unknown, use EER = 1.01 * CEER</t>
  </si>
  <si>
    <t>**If CEER is unknown, use CEER = EER / 1.01</t>
  </si>
  <si>
    <t>Room AC w/o recycling (&lt; 8,000 Btu/h)</t>
  </si>
  <si>
    <t>Room AC w/ recycling (14,000-19,999 Btu/h)</t>
  </si>
  <si>
    <t>Room AC w/o recycling (14,000-19,999 Btu/h)</t>
  </si>
  <si>
    <t>Room AC w/ recycling (20,000-27,999 Btu/h)</t>
  </si>
  <si>
    <t>Room AC w/o recycling (20,000-27,999 Btu/h)</t>
  </si>
  <si>
    <t>COMMERCIAL: Window AC Savings Calculator</t>
  </si>
  <si>
    <t>One aerator.</t>
  </si>
  <si>
    <t>gal/min</t>
  </si>
  <si>
    <t>Efficient flow rate</t>
  </si>
  <si>
    <t>Usage time</t>
  </si>
  <si>
    <t>Conversion factor</t>
  </si>
  <si>
    <t>Temperature at end use</t>
  </si>
  <si>
    <t>Average ground water temperature</t>
  </si>
  <si>
    <t>Solar</t>
  </si>
  <si>
    <t>Single-family</t>
  </si>
  <si>
    <t>Btu/gal/ ˚F</t>
  </si>
  <si>
    <t>People per household, multi-family</t>
  </si>
  <si>
    <t>People per household, single-family</t>
  </si>
  <si>
    <t>Fixtures per household, multi-family</t>
  </si>
  <si>
    <t>Fixtures per household, single-family</t>
  </si>
  <si>
    <t>MPS</t>
  </si>
  <si>
    <t>Minutes per shower</t>
  </si>
  <si>
    <t>Average showers per day, per person</t>
  </si>
  <si>
    <t xml:space="preserve">FH </t>
  </si>
  <si>
    <t>LF Showerhead</t>
  </si>
  <si>
    <t>Efficient Low-Flow Showerheads (fixed or handheld).</t>
  </si>
  <si>
    <t>One showerhead.</t>
  </si>
  <si>
    <t>Shower fixtures per household, multi-family</t>
  </si>
  <si>
    <t>Shower fixtures per household, single-family</t>
  </si>
  <si>
    <t>Engineering constant.</t>
  </si>
  <si>
    <t>Updated in Fall 2019 for PY19 TRM v2.0.</t>
  </si>
  <si>
    <t>AEG's Analysis File titled "AEG HPUC Update - Guest Room EMS - Analysis File" and "AEG HPUC Mid-Year PY19 TRM Updates_Analysis File."</t>
  </si>
  <si>
    <t>Table 1: Baseline and ENERGY STAR Specifications</t>
  </si>
  <si>
    <t xml:space="preserve">Window AC </t>
  </si>
  <si>
    <t>(C_HVAC_WindowAC_WKST)</t>
  </si>
  <si>
    <t>See Note 4.</t>
  </si>
  <si>
    <t>See Note 5.</t>
  </si>
  <si>
    <t>3. 11.0 SEER is a conservative assumption since federal requirements for equipment manufactured after Jan. 1, 1993 and before Jan. 23, 2006 were 10.0 SEER for split-systems and 9.7 SEER for single-package systems. See &lt;https://www.govinfo.gov/content/pkg/CFR-2012-title10-vol3/pdf/CFR-2012-title10-vol3-sec430-32.pdf&gt;, paragraph (c) (1) on page 472-473.</t>
  </si>
  <si>
    <t>4. The minimum is 13.0 SEER for split-system central AC and single-package central AC systems manufactured after Jan. 23, 2006 and before Jan. 1, 2015 and installed in Hawai'i.  See &lt;https://www.govinfo.gov/content/pkg/CFR-2012-title10-vol3/pdf/CFR-2012-title10-vol3-sec430-32.pdf&gt;, paragraph (2) on page 473.</t>
  </si>
  <si>
    <t>CF corresponding with system peak of 5-9pm on non-holiday weekdays. Determined based on EnergyPlus prototype simulations with room AC systems.</t>
  </si>
  <si>
    <r>
      <rPr>
        <vertAlign val="superscript"/>
        <sz val="9"/>
        <color theme="1"/>
        <rFont val="Calibri"/>
        <family val="2"/>
        <scheme val="minor"/>
      </rPr>
      <t>1</t>
    </r>
    <r>
      <rPr>
        <sz val="9"/>
        <color theme="1"/>
        <rFont val="Calibri"/>
        <family val="2"/>
        <scheme val="minor"/>
      </rPr>
      <t xml:space="preserve"> For window AC units outside of this capacity range, use a custom approach to calculate impacts.</t>
    </r>
  </si>
  <si>
    <r>
      <rPr>
        <vertAlign val="superscript"/>
        <sz val="9"/>
        <color theme="1"/>
        <rFont val="Calibri"/>
        <family val="2"/>
        <scheme val="minor"/>
      </rPr>
      <t>2</t>
    </r>
    <r>
      <rPr>
        <sz val="9"/>
        <color theme="1"/>
        <rFont val="Calibri"/>
        <family val="2"/>
        <scheme val="minor"/>
      </rPr>
      <t xml:space="preserve"> ENERGY STAR specification provided equivalent EER and CEER ratings. For the most popular size band, the EER rating is approximately 1% higher than the CEER. See ENERGY STAR Version 3.0 Room Air Conditioners Program Requirements and 2020 Illinois Statewide Technical Reference Manual, v8.0, Vol. 3: Residential Measures, Oct. 17, 2019, pg. 37.</t>
    </r>
  </si>
  <si>
    <t>AEG's Analysis Files titled "AEG HPUC Res HVAC Calculator - Analysis File" and "AEG HPUC Mid-Year PY19 TRM Updates_Analysis File." In addition, the file titled "AEG HPUC Update - Ductless Systems - Analysis file," worksheet tab named "Res_HVAC Key Parameters," includes Hawai‘i-specific simulation results for determining Room AC EFLH and CF.</t>
  </si>
  <si>
    <t>2020 Illinois Statewide Technical Reference Manual for Energy Efficiency, Version 8.0, Volume 3: Residential Measures, FINAL, Oct. 17, 2019, page 37.</t>
  </si>
  <si>
    <t>Enter Vintage of Existing AC Unit</t>
  </si>
  <si>
    <t>2006 and Later</t>
  </si>
  <si>
    <t>Only used for Central AC early replacement</t>
  </si>
  <si>
    <t>Pre-2006</t>
  </si>
  <si>
    <t>Add blended savings for online marketplace</t>
  </si>
  <si>
    <t>Added table of deemed savings for online marketplace for PY19 TRM v2.0</t>
  </si>
  <si>
    <t>Clarify definition for large and small hotel</t>
  </si>
  <si>
    <t>Fix errors in hidden Cells P6 and P7</t>
  </si>
  <si>
    <t>Added definitions in PY19 TRM v2.0: Large = 100+ rooms, Small &lt;100 rooms</t>
  </si>
  <si>
    <t>Made corrections in PY19 TRM v2.0</t>
  </si>
  <si>
    <t>Added to PY19 TRM v2.0</t>
  </si>
  <si>
    <t>Add new measure and calculation worksheet; have it be applicable for dual inverter driven window AC</t>
  </si>
  <si>
    <t>Add additional capacity bins to measure and calculation worksheet; expansion should be applicable for dual inverter driven window AC</t>
  </si>
  <si>
    <t>Expand measure and calculation worksheet to allow for retrofit of pre-2006 vintage AC units</t>
  </si>
  <si>
    <t>Made change in PY19 TRM v2.0</t>
  </si>
  <si>
    <t xml:space="preserve">Review and add new measure </t>
  </si>
  <si>
    <t xml:space="preserve">Introduced in Fall 2019 for PY19 TRM. </t>
  </si>
  <si>
    <t>Efficient equipment must be Design Light Consortium (DLC) listed.</t>
  </si>
  <si>
    <t>Baseline Wattage</t>
  </si>
  <si>
    <t>Appendix B SFW, per lamp averages across fixture types.</t>
  </si>
  <si>
    <t xml:space="preserve">LED Wattage </t>
  </si>
  <si>
    <t>Typical values from retailers.</t>
  </si>
  <si>
    <t>General service linear: Share of lamps installed in spaces with electric cooling</t>
  </si>
  <si>
    <t>Shop light: Share of lamps installed in spaces with electric cooling</t>
  </si>
  <si>
    <t>Assumes shop lights are installed in unconditioned shops and garages.</t>
  </si>
  <si>
    <t>AEG's Hawai‘i-specific simulation modeling.</t>
  </si>
  <si>
    <t>Annual hours of use</t>
  </si>
  <si>
    <t>DOE 2012 Residential Lighting End-Use Consumption Study.</t>
  </si>
  <si>
    <t>Table 1: Baseline and Energy Efficient Wattages</t>
  </si>
  <si>
    <t>Linear LED</t>
  </si>
  <si>
    <t>Shop Light</t>
  </si>
  <si>
    <t>AEG's 2019 Analysis File titled "PY19 TRM - Residential Additions - Draft_20191113 AEG reviewed."</t>
  </si>
  <si>
    <t>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https://www1.eere.energy.gov/buildings/publications/pdfs/ssl/2012_residential-lighting-study.pdf, Table 4.4.</t>
  </si>
  <si>
    <r>
      <t>W</t>
    </r>
    <r>
      <rPr>
        <vertAlign val="subscript"/>
        <sz val="10.5"/>
        <rFont val="Calibri"/>
        <family val="2"/>
        <scheme val="minor"/>
      </rPr>
      <t>base</t>
    </r>
  </si>
  <si>
    <r>
      <t>W</t>
    </r>
    <r>
      <rPr>
        <vertAlign val="subscript"/>
        <sz val="10.5"/>
        <rFont val="Calibri"/>
        <family val="2"/>
        <scheme val="minor"/>
      </rPr>
      <t>LED</t>
    </r>
  </si>
  <si>
    <r>
      <t>AEG's Fall 2018 Benchmarking for Residential LED measure.</t>
    </r>
    <r>
      <rPr>
        <vertAlign val="superscript"/>
        <sz val="10.5"/>
        <rFont val="Calibri"/>
        <family val="2"/>
        <scheme val="minor"/>
      </rPr>
      <t>1</t>
    </r>
  </si>
  <si>
    <r>
      <t>%</t>
    </r>
    <r>
      <rPr>
        <vertAlign val="subscript"/>
        <sz val="10.5"/>
        <rFont val="Calibri"/>
        <family val="2"/>
        <scheme val="minor"/>
      </rPr>
      <t>Cool</t>
    </r>
  </si>
  <si>
    <r>
      <t>IE</t>
    </r>
    <r>
      <rPr>
        <vertAlign val="subscript"/>
        <sz val="10.5"/>
        <rFont val="Calibri"/>
        <family val="2"/>
        <scheme val="minor"/>
      </rPr>
      <t>C,D</t>
    </r>
  </si>
  <si>
    <r>
      <t>IE</t>
    </r>
    <r>
      <rPr>
        <vertAlign val="subscript"/>
        <sz val="10.5"/>
        <rFont val="Calibri"/>
        <family val="2"/>
        <scheme val="minor"/>
      </rPr>
      <t>C,E</t>
    </r>
  </si>
  <si>
    <r>
      <t xml:space="preserve">AEG's Hawai‘i-specific simulation modeling. </t>
    </r>
    <r>
      <rPr>
        <vertAlign val="superscript"/>
        <sz val="10.5"/>
        <rFont val="Calibri"/>
        <family val="2"/>
        <scheme val="minor"/>
      </rPr>
      <t>2</t>
    </r>
  </si>
  <si>
    <r>
      <t xml:space="preserve">PF </t>
    </r>
    <r>
      <rPr>
        <vertAlign val="superscript"/>
        <sz val="10.5"/>
        <rFont val="Calibri"/>
        <family val="2"/>
      </rPr>
      <t>3</t>
    </r>
  </si>
  <si>
    <r>
      <t>EUL</t>
    </r>
    <r>
      <rPr>
        <vertAlign val="subscript"/>
        <sz val="10.5"/>
        <rFont val="Calibri"/>
        <family val="2"/>
        <scheme val="minor"/>
      </rPr>
      <t>LED</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</si>
  <si>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linear LEDs, assume the ISRs for both measures would be similar.</t>
    </r>
  </si>
  <si>
    <r>
      <rPr>
        <vertAlign val="superscript"/>
        <sz val="9"/>
        <rFont val="Calibri"/>
        <family val="2"/>
        <scheme val="minor"/>
      </rPr>
      <t>2</t>
    </r>
    <r>
      <rPr>
        <sz val="9"/>
        <rFont val="Calibri"/>
        <family val="2"/>
        <scheme val="minor"/>
      </rPr>
      <t xml:space="preserve"> CF for general service linear assumes non-military home (CF=0.16). CF for shop light measure was reduced by 25% relative to general lighting value as a conservative assumption (CF=0.12).</t>
    </r>
  </si>
  <si>
    <r>
      <rPr>
        <vertAlign val="superscript"/>
        <sz val="9"/>
        <rFont val="Calibri"/>
        <family val="2"/>
        <scheme val="minor"/>
      </rPr>
      <t>3</t>
    </r>
    <r>
      <rPr>
        <sz val="9"/>
        <rFont val="Calibri"/>
        <family val="2"/>
        <scheme val="minor"/>
      </rPr>
      <t xml:space="preserve"> Use value of PF=1 until more data is available on PF of LEDs.</t>
    </r>
  </si>
  <si>
    <r>
      <t>W</t>
    </r>
    <r>
      <rPr>
        <b/>
        <i/>
        <vertAlign val="subscript"/>
        <sz val="10.5"/>
        <rFont val="Calibri"/>
        <family val="2"/>
        <scheme val="minor"/>
      </rPr>
      <t>base</t>
    </r>
  </si>
  <si>
    <r>
      <t>W</t>
    </r>
    <r>
      <rPr>
        <b/>
        <i/>
        <vertAlign val="subscript"/>
        <sz val="10.5"/>
        <rFont val="Calibri"/>
        <family val="2"/>
        <scheme val="minor"/>
      </rPr>
      <t>LED</t>
    </r>
  </si>
  <si>
    <t>Efficient equipment must be ENERGY STAR certified.</t>
  </si>
  <si>
    <t>LED Wattage</t>
  </si>
  <si>
    <t>2020 Illinois Statewide TRM.</t>
  </si>
  <si>
    <t>Based on rated lamp life and HOU.</t>
  </si>
  <si>
    <t>Security Light</t>
  </si>
  <si>
    <t>Porch Light</t>
  </si>
  <si>
    <t>AEG's 2018 Analysis Files titled "AEG HPUC Update of Residential Measures - Analysis file."</t>
  </si>
  <si>
    <t>2020 Illinois Statewide Technical Reference Manual, v8.0, Vol. 3: Residential Measures, Oct. 17, 2019, pg. 241.</t>
  </si>
  <si>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PAR38 LEDs, assume the ISRs for both measures would be similar.</t>
    </r>
  </si>
  <si>
    <r>
      <rPr>
        <vertAlign val="superscript"/>
        <sz val="9"/>
        <rFont val="Calibri"/>
        <family val="2"/>
        <scheme val="minor"/>
      </rPr>
      <t>2</t>
    </r>
    <r>
      <rPr>
        <sz val="9"/>
        <rFont val="Calibri"/>
        <family val="2"/>
        <scheme val="minor"/>
      </rPr>
      <t xml:space="preserve"> Use value of PF=1 until more data is available on PF of LEDs.</t>
    </r>
  </si>
  <si>
    <r>
      <t>W</t>
    </r>
    <r>
      <rPr>
        <b/>
        <i/>
        <vertAlign val="subscript"/>
        <sz val="10.5"/>
        <rFont val="Calibri"/>
        <family val="2"/>
        <scheme val="minor"/>
      </rPr>
      <t>base1</t>
    </r>
  </si>
  <si>
    <r>
      <t>W</t>
    </r>
    <r>
      <rPr>
        <b/>
        <i/>
        <vertAlign val="subscript"/>
        <sz val="10.5"/>
        <rFont val="Calibri"/>
        <family val="2"/>
        <scheme val="minor"/>
      </rPr>
      <t>base2</t>
    </r>
  </si>
  <si>
    <r>
      <t>EUL</t>
    </r>
    <r>
      <rPr>
        <b/>
        <i/>
        <vertAlign val="subscript"/>
        <sz val="10.5"/>
        <rFont val="Calibri"/>
        <family val="2"/>
        <scheme val="minor"/>
      </rPr>
      <t>1</t>
    </r>
  </si>
  <si>
    <r>
      <t>EUL</t>
    </r>
    <r>
      <rPr>
        <b/>
        <i/>
        <vertAlign val="subscript"/>
        <sz val="10.5"/>
        <rFont val="Calibri"/>
        <family val="2"/>
        <scheme val="minor"/>
      </rPr>
      <t>2</t>
    </r>
  </si>
  <si>
    <r>
      <rPr>
        <vertAlign val="superscript"/>
        <sz val="9"/>
        <rFont val="Calibri"/>
        <family val="2"/>
        <scheme val="minor"/>
      </rPr>
      <t>1</t>
    </r>
    <r>
      <rPr>
        <sz val="9"/>
        <rFont val="Calibri"/>
        <family val="2"/>
        <scheme val="minor"/>
      </rPr>
      <t xml:space="preserve"> Pending final ruling on EISA 2020 backstop.</t>
    </r>
  </si>
  <si>
    <t>The replacement of incandescent decorative holiday string lights with LED string lights .</t>
  </si>
  <si>
    <t>One bulb.</t>
  </si>
  <si>
    <t>String lighting with multiple incandescent mini bulbs.</t>
  </si>
  <si>
    <t>String lighting with LED mini bulbs.</t>
  </si>
  <si>
    <t>Benchmark of incandescent string lights at retail.</t>
  </si>
  <si>
    <t>Benchmark of LED string lights at retail.</t>
  </si>
  <si>
    <t>Reasonable estimate of EUL based on typical use and storage.</t>
  </si>
  <si>
    <r>
      <t xml:space="preserve">PF </t>
    </r>
    <r>
      <rPr>
        <vertAlign val="superscript"/>
        <sz val="10.5"/>
        <rFont val="Calibri"/>
        <family val="2"/>
      </rPr>
      <t>2</t>
    </r>
  </si>
  <si>
    <r>
      <rPr>
        <vertAlign val="superscript"/>
        <sz val="9"/>
        <rFont val="Calibri"/>
        <family val="2"/>
        <scheme val="minor"/>
      </rPr>
      <t>1</t>
    </r>
    <r>
      <rPr>
        <sz val="9"/>
        <rFont val="Calibri"/>
        <family val="2"/>
        <scheme val="minor"/>
      </rPr>
      <t xml:space="preserve"> AEG's ISR benchmarking was done specifically for the Residential LED measure, which applies to omnidirectional LED bulbs. Until further research can be carried out for string lights, assume the ISRs for both measures would be similar.</t>
    </r>
  </si>
  <si>
    <t>LED String Lights</t>
  </si>
  <si>
    <t>Engr. Estimate</t>
  </si>
  <si>
    <t>Capped at 25 yr</t>
  </si>
  <si>
    <t>LED Security Light</t>
  </si>
  <si>
    <t>Based on HOU</t>
  </si>
  <si>
    <t>Based on average lamp life, limited to 25 yrs.</t>
  </si>
  <si>
    <t xml:space="preserve">Type A installation: Ballast left in place; reduced savings due to losses and lifetime reduced to remaining useful life of existing ballast. </t>
  </si>
  <si>
    <t xml:space="preserve">Type B installation: Bypassing fluorescent ballast and utilizing internal LED driver. </t>
  </si>
  <si>
    <t xml:space="preserve">Type C installation: Removing fluorescent ballast and utilizing an external driver. </t>
  </si>
  <si>
    <t>Linear LED, Type A</t>
  </si>
  <si>
    <t>Linear LED, Type B or Type C</t>
  </si>
  <si>
    <r>
      <t xml:space="preserve">Linear LED, Type A 
</t>
    </r>
    <r>
      <rPr>
        <i/>
        <sz val="11"/>
        <rFont val="Calibri"/>
        <family val="2"/>
        <scheme val="minor"/>
      </rPr>
      <t>(Use if type is unknown)</t>
    </r>
  </si>
  <si>
    <t>Linear LED, Type B or C</t>
  </si>
  <si>
    <r>
      <rPr>
        <u/>
        <sz val="11"/>
        <rFont val="Calibri"/>
        <family val="2"/>
        <scheme val="minor"/>
      </rPr>
      <t>General service linear</t>
    </r>
    <r>
      <rPr>
        <sz val="11"/>
        <rFont val="Calibri"/>
        <family val="2"/>
        <scheme val="minor"/>
      </rPr>
      <t>: One-lamp 4' F32T8 fixture with electronic ballast.</t>
    </r>
  </si>
  <si>
    <r>
      <rPr>
        <u/>
        <sz val="11"/>
        <rFont val="Calibri"/>
        <family val="2"/>
        <scheme val="minor"/>
      </rPr>
      <t>Shop light</t>
    </r>
    <r>
      <rPr>
        <sz val="11"/>
        <rFont val="Calibri"/>
        <family val="2"/>
        <scheme val="minor"/>
      </rPr>
      <t>: Two-lamp 4' F32T8 fixture with electronic ballast.</t>
    </r>
  </si>
  <si>
    <r>
      <rPr>
        <u/>
        <sz val="11"/>
        <rFont val="Calibri"/>
        <family val="2"/>
        <scheme val="minor"/>
      </rPr>
      <t>Shop light</t>
    </r>
    <r>
      <rPr>
        <sz val="11"/>
        <rFont val="Calibri"/>
        <family val="2"/>
        <scheme val="minor"/>
      </rPr>
      <t>: One (1) 4' Integrated LED light with equivalent lumen output to a two-lamp 4' F32T8 fixture.</t>
    </r>
  </si>
  <si>
    <t>1st BL</t>
  </si>
  <si>
    <t>2nd BL</t>
  </si>
  <si>
    <t>Semi-Prescriptive Savings Calculator (based on count of mini bulbs per string)</t>
  </si>
  <si>
    <t>Number of bulbs/string</t>
  </si>
  <si>
    <t>Holiday String Light, per string</t>
  </si>
  <si>
    <t>Holiday String Light, per bulb</t>
  </si>
  <si>
    <t>Deemed Savings (per mini bulb)</t>
  </si>
  <si>
    <t>Efficient equipment must be Design Light Consortium (DLC) listed. Mini bulb count per string should be documented.</t>
  </si>
  <si>
    <t>Energy efficiency ratio of baseline unit for first (early replacement) baseline period, Vintage = pre-2006</t>
  </si>
  <si>
    <t>Energy efficiency ratio of baseline unit for first (early replacement) baseline period, Vintage = 2006 or later</t>
  </si>
  <si>
    <t>Seasonal energy efficiency ratio of baseline unit for first (early replacement) baseline period, Vintage = pre-2006</t>
  </si>
  <si>
    <t>Seasonal energy efficiency ratio of baseline unit for first (early replacement) baseline period, Vintage = 2006 or later</t>
  </si>
  <si>
    <t>Only used for Room AC</t>
  </si>
  <si>
    <r>
      <t>EER</t>
    </r>
    <r>
      <rPr>
        <b/>
        <vertAlign val="subscript"/>
        <sz val="11"/>
        <rFont val="Calibri"/>
        <family val="2"/>
        <scheme val="minor"/>
      </rPr>
      <t>BL</t>
    </r>
  </si>
  <si>
    <r>
      <t>SEER/CEER</t>
    </r>
    <r>
      <rPr>
        <b/>
        <vertAlign val="subscript"/>
        <sz val="11"/>
        <rFont val="Calibri"/>
        <family val="2"/>
        <scheme val="minor"/>
      </rPr>
      <t>BL,1</t>
    </r>
  </si>
  <si>
    <t xml:space="preserve">Notes: </t>
  </si>
  <si>
    <t>EER_EE_Min</t>
  </si>
  <si>
    <t>EER_EE_Base</t>
  </si>
  <si>
    <t>Is Room AC a Connected (Smart) System?</t>
  </si>
  <si>
    <t>The early removal and recycling of a pre-existing inefficient window air conditioning unit and replacement with a new ENERGY STAR qualifying unit, or the installation of a new ENERGY STAR unit without recycling a previous unit through the program. This measure applies to ENERGY STAR dual inverter driven window AC systems.</t>
  </si>
  <si>
    <t xml:space="preserve">High efficiency equipment is a new window AC unit without reverse cycle, with louvered sides, and a capacity range of less than 28,000 Btu/h that meets or exceeds the minimum requirements per the ENERGY STAR Product Specification for Room Air Conditioners, Version 4.1. (See Table 1.) This measure includes dual inverter window AC units that are ENERGY STAR certified. </t>
  </si>
  <si>
    <r>
      <t>The following equivalent full load hours and coincidence factors are recommended per building type based on EnergyPlus simulations of DOE prototypes with Honolulu weather (OpenEI datasets).</t>
    </r>
    <r>
      <rPr>
        <vertAlign val="superscript"/>
        <sz val="11"/>
        <rFont val="Calibri"/>
        <family val="2"/>
        <scheme val="minor"/>
      </rPr>
      <t>4</t>
    </r>
    <r>
      <rPr>
        <sz val="11"/>
        <rFont val="Calibri"/>
        <family val="2"/>
        <scheme val="minor"/>
      </rPr>
      <t xml:space="preserve"> Retrofits in cold storage and industrial facilities should be evaluated as custom measures unless the equipment is used for HVAC and not process cooling loads.</t>
    </r>
  </si>
  <si>
    <t>COMMERCIAL: Chiller Savings Calculator</t>
  </si>
  <si>
    <t>CEER_EE_Min</t>
  </si>
  <si>
    <t>CEER_EE_Base</t>
  </si>
  <si>
    <t>Large Hotel,
 100+ Rooms</t>
  </si>
  <si>
    <t>Small Hotel/Motel, 
&lt;100 Rooms</t>
  </si>
  <si>
    <t>Early Retirement; Early Replacement</t>
  </si>
  <si>
    <t>When equipment that is still functioning is replaced early because of a program intervention and energy savings benefits, this is referred to as "early retirement" or "early replacement." The remaining life of the existing equipment is estimated and adjustments are made to the benefits and the costs. An early retirement scenario occurs when existing, functional, actively used equipment is replaced with similar, higher efficiency equipment. The equipment being replaced should have at least one year of remaining useful life (RUL). In this case, a dual baseline will have to be considered, which uses the pre-existing equipment as the baseline for savings during the RUL period, and code requirement/industry standard practice baseline for estimating the balance of the EUL period for the new equipment.</t>
  </si>
  <si>
    <t>people/ house</t>
  </si>
  <si>
    <t>fixtures/ house</t>
  </si>
  <si>
    <t>Example only. Hawai'i Energy to fill in based on bulbs in incented strings.</t>
  </si>
  <si>
    <t xml:space="preserve">Qualified low-flow bathroom aerators and kitchen swivel aerators are provided directly by Hawai‘i Energy via online store or direct-install program. </t>
  </si>
  <si>
    <t>Unit Replacement with Turn-In Annual Energy Savings, kWh/yr</t>
  </si>
  <si>
    <t>2nd Unit Turn-In Only Annual Energy Savings, kWh/yr</t>
  </si>
  <si>
    <t>Replacement of linear 4-ft fluorescent lamps with linear LED lamps. Residential linear LEDs will be implemented through Hawai'i Energy's direct install program. Linear LEDs will also be a part of the upstream lighting program.</t>
  </si>
  <si>
    <r>
      <rPr>
        <u/>
        <sz val="11"/>
        <rFont val="Calibri"/>
        <family val="2"/>
        <scheme val="minor"/>
      </rPr>
      <t>General service linear</t>
    </r>
    <r>
      <rPr>
        <sz val="11"/>
        <rFont val="Calibri"/>
        <family val="2"/>
        <scheme val="minor"/>
      </rPr>
      <t>: One (1) 4' T8 LED with Type A, Type B, or Type C installation.*</t>
    </r>
  </si>
  <si>
    <t>*Note: As of January 2020, Hawai'i Energy plans for installations through the direct install program to be Type A. In addition, the installation type for LEDs purchased through the upstream program will be unknown, with a default of Type A. However, deemed savings for all options are included to keep the measure entry as generally applicable as possible in case the delivery approach changes in the future.</t>
  </si>
  <si>
    <r>
      <rPr>
        <u/>
        <sz val="11"/>
        <rFont val="Calibri"/>
        <family val="2"/>
        <scheme val="minor"/>
      </rPr>
      <t>Security Lights:</t>
    </r>
    <r>
      <rPr>
        <sz val="11"/>
        <rFont val="Calibri"/>
        <family val="2"/>
        <scheme val="minor"/>
      </rPr>
      <t xml:space="preserve"> (2) PAR38 EISA-compliant lamps rated at 45 lumens/Watt (Year 1 through Year 6 baseline).</t>
    </r>
  </si>
  <si>
    <r>
      <rPr>
        <u/>
        <sz val="11"/>
        <rFont val="Calibri"/>
        <family val="2"/>
        <scheme val="minor"/>
      </rPr>
      <t>Porch Lights:</t>
    </r>
    <r>
      <rPr>
        <sz val="11"/>
        <rFont val="Calibri"/>
        <family val="2"/>
        <scheme val="minor"/>
      </rPr>
      <t xml:space="preserve"> (1) Omni-directional A19 EISA-compliant bulb rated at 45 lumens/Watt (Year 2 through Year 6 baseline).</t>
    </r>
  </si>
  <si>
    <r>
      <rPr>
        <u/>
        <sz val="11"/>
        <rFont val="Calibri"/>
        <family val="2"/>
        <scheme val="minor"/>
      </rPr>
      <t>Security Lights:</t>
    </r>
    <r>
      <rPr>
        <sz val="11"/>
        <rFont val="Calibri"/>
        <family val="2"/>
        <scheme val="minor"/>
      </rPr>
      <t xml:space="preserve"> (2) PAR38 ENERGY STAR LED </t>
    </r>
  </si>
  <si>
    <r>
      <rPr>
        <u/>
        <sz val="11"/>
        <rFont val="Calibri"/>
        <family val="2"/>
        <scheme val="minor"/>
      </rPr>
      <t>Porch Lights:</t>
    </r>
    <r>
      <rPr>
        <sz val="11"/>
        <rFont val="Calibri"/>
        <family val="2"/>
        <scheme val="minor"/>
      </rPr>
      <t xml:space="preserve"> (1) Omni-directional A19 ENERGY STAR LED </t>
    </r>
  </si>
  <si>
    <r>
      <t>EUL</t>
    </r>
    <r>
      <rPr>
        <b/>
        <i/>
        <vertAlign val="subscript"/>
        <sz val="10.5"/>
        <rFont val="Calibri"/>
        <family val="2"/>
        <scheme val="minor"/>
      </rPr>
      <t>LED</t>
    </r>
  </si>
  <si>
    <r>
      <t>EUL</t>
    </r>
    <r>
      <rPr>
        <vertAlign val="subscript"/>
        <sz val="10.5"/>
        <rFont val="Calibri"/>
        <family val="2"/>
        <scheme val="minor"/>
      </rPr>
      <t>1</t>
    </r>
  </si>
  <si>
    <r>
      <t>EUL</t>
    </r>
    <r>
      <rPr>
        <vertAlign val="subscript"/>
        <sz val="10.5"/>
        <rFont val="Calibri"/>
        <family val="2"/>
        <scheme val="minor"/>
      </rPr>
      <t>2</t>
    </r>
  </si>
  <si>
    <r>
      <t>EUL</t>
    </r>
    <r>
      <rPr>
        <vertAlign val="subscript"/>
        <sz val="10.5"/>
        <rFont val="Calibri"/>
        <family val="2"/>
        <scheme val="minor"/>
      </rPr>
      <t>LED</t>
    </r>
    <r>
      <rPr>
        <sz val="10.5"/>
        <rFont val="Calibri"/>
        <family val="2"/>
        <scheme val="minor"/>
      </rPr>
      <t xml:space="preserve"> - EUL</t>
    </r>
    <r>
      <rPr>
        <vertAlign val="subscript"/>
        <sz val="10.5"/>
        <rFont val="Calibri"/>
        <family val="2"/>
        <scheme val="minor"/>
      </rPr>
      <t>1</t>
    </r>
  </si>
  <si>
    <t>Length of second baseline period.</t>
  </si>
  <si>
    <t xml:space="preserve">Replacement of halogen-based exterior security/porch light fixture with LED-based fixture. Both security and porch lights will be a part of Hawai'i Energy's upstream lighting program. The security lights will also be implemented through the direct install program. </t>
  </si>
  <si>
    <t>Update NTG ratio for upstream LEDs to include market effects</t>
  </si>
  <si>
    <t>Revised in PY19 TRM v2.0</t>
  </si>
  <si>
    <t>Energy Efficiency Manager</t>
  </si>
  <si>
    <r>
      <rPr>
        <vertAlign val="superscript"/>
        <sz val="9"/>
        <rFont val="Calibri"/>
        <family val="2"/>
      </rPr>
      <t>i</t>
    </r>
    <r>
      <rPr>
        <sz val="9"/>
        <rFont val="Calibri"/>
        <family val="2"/>
      </rPr>
      <t xml:space="preserve"> This value was updated for the PY19 TRM, v2.0 during the mid-year update. See the following memorandum for more information: LED Market Transformation Attribution to Hawai’i Energy, Memorandum, Prepared for Energy Efficiency Manager and Hawaii Public Utilities Commission, Prepared by Applied Energy Group, December 15, 2019.</t>
    </r>
  </si>
  <si>
    <t>4. LED Market Transformation Attribution to Hawai’i Energy, Memorandum, Prepared for Energy Efficiency Manager and Hawaii Public Utilities Commission, Prepared by Applied Energy Group, December 15, 2019.</t>
  </si>
  <si>
    <t>Assume average of 6 hours per day for 5 weeks.</t>
  </si>
  <si>
    <t>Average percentage of hours after sunset within 5pm to 9pm peak period. (Assumes average sunset time of 5:54 pm during holiday season.)</t>
  </si>
  <si>
    <r>
      <t xml:space="preserve">The Total Resource Benefit (TRB) is the estimated total net present value (NPV) of the avoided cost for the utility from the reduced lifetime demand (kW) and energy (kWh) from energy efficiency projects and measures. </t>
    </r>
    <r>
      <rPr>
        <b/>
        <sz val="11"/>
        <color theme="1"/>
        <rFont val="Calibri"/>
        <family val="2"/>
        <scheme val="minor"/>
      </rPr>
      <t xml:space="preserve">The avoided cost values should be multiplied by </t>
    </r>
    <r>
      <rPr>
        <b/>
        <u/>
        <sz val="11"/>
        <color theme="1"/>
        <rFont val="Calibri"/>
        <family val="2"/>
        <scheme val="minor"/>
      </rPr>
      <t>net customer-level savings</t>
    </r>
    <r>
      <rPr>
        <b/>
        <sz val="11"/>
        <color theme="1"/>
        <rFont val="Calibri"/>
        <family val="2"/>
        <scheme val="minor"/>
      </rPr>
      <t xml:space="preserve"> instead of net system-level savings for estimating the TRB.  This is because the avoided costs already account for transmission and distribution (T&amp;D) losses. </t>
    </r>
    <r>
      <rPr>
        <sz val="11"/>
        <color theme="1"/>
        <rFont val="Calibri"/>
        <family val="2"/>
        <scheme val="minor"/>
      </rPr>
      <t xml:space="preserve"> Per an email from Lisa Giang, HECO, to Steven Schiller dated 12/11/18 “T&amp;D losses are accounted for in the Companies estimates of the net generation required to meet customer demand.  The Companies electricity sales forecasts (e.g. kWh) are assumed to be energy consumption at an end user’s site.  The T&amp;D losses incurred to supply electricity to our customers are accounted for in the quantity of generation required by utility and independent power producers by adjusting or increasing the sales forecast by an estimated T&amp;D loss factor.”</t>
    </r>
  </si>
  <si>
    <t>Must meet 16 SEER minimum.</t>
  </si>
  <si>
    <r>
      <t>For PY19, all window AC units must meet or exceed the CEER</t>
    </r>
    <r>
      <rPr>
        <vertAlign val="subscript"/>
        <sz val="11"/>
        <color theme="1"/>
        <rFont val="Calibri"/>
        <family val="2"/>
        <scheme val="minor"/>
      </rPr>
      <t>Min</t>
    </r>
    <r>
      <rPr>
        <sz val="11"/>
        <color theme="1"/>
        <rFont val="Calibri"/>
        <family val="2"/>
        <scheme val="minor"/>
      </rPr>
      <t xml:space="preserve"> ENERGY STAR qualifications.</t>
    </r>
  </si>
  <si>
    <r>
      <t>For PY20 and later, standard window AC units that are not "Connected" (or, "Smart") must meet or exceed the CEER</t>
    </r>
    <r>
      <rPr>
        <vertAlign val="subscript"/>
        <sz val="11"/>
        <color theme="1"/>
        <rFont val="Calibri"/>
        <family val="2"/>
        <scheme val="minor"/>
      </rPr>
      <t>Base</t>
    </r>
    <r>
      <rPr>
        <sz val="11"/>
        <color theme="1"/>
        <rFont val="Calibri"/>
        <family val="2"/>
        <scheme val="minor"/>
      </rPr>
      <t xml:space="preserve"> qualifications. Connected (Smart) window ACs must meet or exceed the CEER</t>
    </r>
    <r>
      <rPr>
        <vertAlign val="subscript"/>
        <sz val="11"/>
        <color theme="1"/>
        <rFont val="Calibri"/>
        <family val="2"/>
        <scheme val="minor"/>
      </rPr>
      <t>Min</t>
    </r>
    <r>
      <rPr>
        <sz val="11"/>
        <color theme="1"/>
        <rFont val="Calibri"/>
        <family val="2"/>
        <scheme val="minor"/>
      </rPr>
      <t xml:space="preserve"> ENERGY STAR qualifications.</t>
    </r>
  </si>
  <si>
    <r>
      <t>EER</t>
    </r>
    <r>
      <rPr>
        <vertAlign val="subscript"/>
        <sz val="10.5"/>
        <rFont val="Calibri"/>
        <family val="2"/>
        <scheme val="minor"/>
      </rPr>
      <t>EE</t>
    </r>
    <r>
      <rPr>
        <sz val="10.5"/>
        <rFont val="Calibri"/>
        <family val="2"/>
        <scheme val="minor"/>
      </rPr>
      <t xml:space="preserve"> is assumed to be CEER</t>
    </r>
    <r>
      <rPr>
        <vertAlign val="subscript"/>
        <sz val="10.5"/>
        <rFont val="Calibri"/>
        <family val="2"/>
        <scheme val="minor"/>
      </rPr>
      <t>EE</t>
    </r>
    <r>
      <rPr>
        <sz val="10.5"/>
        <rFont val="Calibri"/>
        <family val="2"/>
        <scheme val="minor"/>
      </rPr>
      <t xml:space="preserve"> * 1.01 per ENERGY STAR data.</t>
    </r>
    <r>
      <rPr>
        <vertAlign val="superscript"/>
        <sz val="10.5"/>
        <rFont val="Calibri"/>
        <family val="2"/>
        <scheme val="minor"/>
      </rPr>
      <t xml:space="preserve">2 </t>
    </r>
  </si>
  <si>
    <r>
      <t>Must meet ENERGY STAR Version 4.1 minimum. For PY19,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all systems. For PY20 and later,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Min</t>
    </r>
    <r>
      <rPr>
        <sz val="10.5"/>
        <rFont val="Calibri"/>
        <family val="2"/>
        <scheme val="minor"/>
      </rPr>
      <t xml:space="preserve"> for connected systems and  CEER</t>
    </r>
    <r>
      <rPr>
        <vertAlign val="subscript"/>
        <sz val="10.5"/>
        <rFont val="Calibri"/>
        <family val="2"/>
        <scheme val="minor"/>
      </rPr>
      <t>EE</t>
    </r>
    <r>
      <rPr>
        <sz val="10.5"/>
        <rFont val="Calibri"/>
        <family val="2"/>
        <scheme val="minor"/>
      </rPr>
      <t xml:space="preserve"> ≥ CEER</t>
    </r>
    <r>
      <rPr>
        <vertAlign val="subscript"/>
        <sz val="10.5"/>
        <rFont val="Calibri"/>
        <family val="2"/>
        <scheme val="minor"/>
      </rPr>
      <t>Base</t>
    </r>
    <r>
      <rPr>
        <sz val="10.5"/>
        <rFont val="Calibri"/>
        <family val="2"/>
        <scheme val="minor"/>
      </rPr>
      <t xml:space="preserve"> for standard systems.</t>
    </r>
    <r>
      <rPr>
        <vertAlign val="superscript"/>
        <sz val="10.5"/>
        <rFont val="Calibri"/>
        <family val="2"/>
        <scheme val="minor"/>
      </rPr>
      <t>3</t>
    </r>
    <r>
      <rPr>
        <sz val="10.5"/>
        <rFont val="Calibri"/>
        <family val="2"/>
        <scheme val="minor"/>
      </rPr>
      <t xml:space="preserve"> See Table 1.</t>
    </r>
  </si>
  <si>
    <r>
      <t>For PY19, all window AC units must meet or exceed the CEER</t>
    </r>
    <r>
      <rPr>
        <vertAlign val="subscript"/>
        <sz val="11"/>
        <rFont val="Calibri"/>
        <family val="2"/>
        <scheme val="minor"/>
      </rPr>
      <t>Min</t>
    </r>
    <r>
      <rPr>
        <sz val="11"/>
        <rFont val="Calibri"/>
        <family val="2"/>
        <scheme val="minor"/>
      </rPr>
      <t xml:space="preserve"> ENERGY STAR qualifications.</t>
    </r>
  </si>
  <si>
    <r>
      <t>For PY20 and later, standard window AC units that are not "Connected" (or, "Smart") must meet or exceed the CEER</t>
    </r>
    <r>
      <rPr>
        <vertAlign val="subscript"/>
        <sz val="11"/>
        <rFont val="Calibri"/>
        <family val="2"/>
        <scheme val="minor"/>
      </rPr>
      <t>Base</t>
    </r>
    <r>
      <rPr>
        <sz val="11"/>
        <rFont val="Calibri"/>
        <family val="2"/>
        <scheme val="minor"/>
      </rPr>
      <t xml:space="preserve"> qualifications. Connected (Smart) window ACs must meet or exceed the CEER</t>
    </r>
    <r>
      <rPr>
        <vertAlign val="subscript"/>
        <sz val="11"/>
        <rFont val="Calibri"/>
        <family val="2"/>
        <scheme val="minor"/>
      </rPr>
      <t>Min</t>
    </r>
    <r>
      <rPr>
        <sz val="11"/>
        <rFont val="Calibri"/>
        <family val="2"/>
        <scheme val="minor"/>
      </rPr>
      <t xml:space="preserve"> ENERGY STAR qualifications.</t>
    </r>
  </si>
  <si>
    <t>Note: CEER_EE_Base represents the minimum ENERGY STAR efficiency for standard Room AC systems, while CEER_EE_Min represents the minimum ENERGY STAR efficiency for "Connected" (Smart) Room AC systems. The stricter CEER_EE_Base requirements for standard Room AC systems will only apply for PY20 and later. For PY19, the CEER_EE_Min values will apply for both standard and "Connected" Room AC systems.</t>
  </si>
  <si>
    <t>Added to PY19 TRM v2.0; updated for v2.1 to clarify min. efficiency requirement</t>
  </si>
  <si>
    <t>Revised from one bin (8,000-13,999 Btu/h) to multiple bins for PY19 TRM v2.0; updated for v2.1 to clarify min. efficiency requirement</t>
  </si>
  <si>
    <t>R_HVAC_Ductless</t>
  </si>
  <si>
    <t>Change the minimum SEER to 16 SEER</t>
  </si>
  <si>
    <t>Revised in PY19 TRM v2.1</t>
  </si>
  <si>
    <t>An air-cooled VRF system is assumed to replace an air-cooled AC or air-source HP system, while a water-source VRF system is assumed to replace a water-source HP system.</t>
  </si>
  <si>
    <t>Eligible equipment shall have a minimum rated efficiency that is at least 10% higher than the energy code-compliant standard for equivalently-sized equipment.</t>
  </si>
  <si>
    <t>The following VRF projects should be evaluated using a custom approach:</t>
  </si>
  <si>
    <t>Systems with capacities ≥ 240,000 Btu/h in total</t>
  </si>
  <si>
    <t>Water-source VRFs replacing air-cooled AC or air-source HP systems</t>
  </si>
  <si>
    <t>Air-cooled VRFs replacing water-source HP systems</t>
  </si>
  <si>
    <t xml:space="preserve">Early retirement (ER) projects </t>
  </si>
  <si>
    <t>VRFs installed in industrial or cold storage applications</t>
  </si>
  <si>
    <t>The baseline assumes the customer would install the minimum efficiency (non-VRF) split/package AC/HP system in absence of the program since VRF systems are such a new technology.</t>
  </si>
  <si>
    <t>The semi-prescriptive savings approach presented here assumes replace-on-burnout (ROB). A custom dual baseline approach is required for early retirement (ER) projects; use pre-existing equipment for 1st ER baseline; use ASHRAE 90.1 2016 (IECC 2015) for 2nd ER baseline. To be eligible for a custom ER savings approach, documentation must be provided to show the pre-existing equipment was operating and had a meaningful remaining useful life prior to replacement.</t>
  </si>
  <si>
    <t>Water-Source HP</t>
  </si>
  <si>
    <t>&lt; 17,000 Btu/h</t>
  </si>
  <si>
    <t>Inverter-driven direct expansion AC and heat pump systems that use variable flow distributed refrigerant technology for cooling and heating are able to more closely match the AC system's output with the building's cooling requirements. These systems consist of: an outdoor unit with a single variable speed compressor or multiple staged compressors capable of varying system capacity and distributing refrigerant through a piping network, indoor evaporator units with variable speed fans designed for single zone air distribution, and zonal temperature controls. Variable refrigerant flow (VRF) implies three or more steps of control on common, interconnecting piping.</t>
  </si>
  <si>
    <r>
      <t xml:space="preserve">12.2 </t>
    </r>
    <r>
      <rPr>
        <i/>
        <vertAlign val="superscript"/>
        <sz val="11"/>
        <rFont val="Calibri"/>
        <family val="2"/>
        <scheme val="minor"/>
      </rPr>
      <t>3</t>
    </r>
  </si>
  <si>
    <r>
      <rPr>
        <sz val="11"/>
        <rFont val="Calibri"/>
        <family val="2"/>
      </rPr>
      <t>≥</t>
    </r>
    <r>
      <rPr>
        <sz val="11"/>
        <rFont val="Calibri"/>
        <family val="2"/>
        <scheme val="minor"/>
      </rPr>
      <t xml:space="preserve"> 17,000 and &lt; 65,000 Btu/h</t>
    </r>
  </si>
  <si>
    <t>Table 1 Sources: ANSI/ASHRAE/IES Standard 90.1 -2016, Table 6.8.1-1 and 6.8.1-2; 2015 International Energy Conservation Code Tables C403.2.3(1) and C403.2.3(2).</t>
  </si>
  <si>
    <t>Enter Baseline AC or HP Type:</t>
  </si>
  <si>
    <t>Table 1: Minimum Baseline Efficiencies (ASHRAE 90.1-2016); Assumes non-VRF Baseline</t>
  </si>
  <si>
    <t>≥ 17,000 and &lt; 65,000 Btu/h</t>
  </si>
  <si>
    <t>≥ 65,000 and &lt; 135,000 Btu/h</t>
  </si>
  <si>
    <r>
      <rPr>
        <sz val="11"/>
        <rFont val="Calibri"/>
        <family val="2"/>
      </rPr>
      <t>≥</t>
    </r>
    <r>
      <rPr>
        <sz val="11"/>
        <rFont val="Calibri"/>
        <family val="2"/>
        <scheme val="minor"/>
      </rPr>
      <t xml:space="preserve"> 135,000 Btu/h</t>
    </r>
  </si>
  <si>
    <t>Table 2: Minimum Qualifying Efficiencies - Tier 1 (ASHRAE 90.1-2016 + 10%)</t>
  </si>
  <si>
    <t>Table 3: Minimum Qualifying Efficiencies - Tier 2 (ASHRAE 90.1-2016 + 20%)</t>
  </si>
  <si>
    <t>Table 4: Equivalent Full Load Hours and Coincident Factors for Commercial Cooling in Hawai‘i</t>
  </si>
  <si>
    <t>COMMERCIAL: AC &amp; Heat Pump</t>
  </si>
  <si>
    <t>Like-for-like replacement of air conditioner (AC) and heat pump (HP) systems with higher efficiency models. Technologies include the following:</t>
  </si>
  <si>
    <t>Packaged terminal air conditioner (PTAC), standard and non-standard</t>
  </si>
  <si>
    <t>Packaged terminal heat pump (PTHP), standard and non-standard</t>
  </si>
  <si>
    <t>The following AC and HP projects should be evaluated using a custom approach:</t>
  </si>
  <si>
    <t>Split/single package AC and air-source HP systems with capacities ≥ 240,000 Btu/h in total</t>
  </si>
  <si>
    <t>Vertical AC and HP systems with capacities ≥ 240,000 Btu/h in total</t>
  </si>
  <si>
    <t>Water-source HP systems with capacities ≥ 135,000 Btu/h in total</t>
  </si>
  <si>
    <t>If not like-for-like replacement</t>
  </si>
  <si>
    <t>Installations in industrial or cold storage applications</t>
  </si>
  <si>
    <t>The baseline assumes the customer would install the minimum efficiency alternative in a like-for-like replacement.</t>
  </si>
  <si>
    <t>See Table 1 in C_HVAC_AC_HP_WKST</t>
  </si>
  <si>
    <t>See Table 4 in C_HVAC_AC_HP_WKST</t>
  </si>
  <si>
    <t>For calculations specific to the unit in question, please see the accompanying AC and HP calculation worksheet:</t>
  </si>
  <si>
    <t xml:space="preserve"> (C_HVAC_AC_HP_WKST)</t>
  </si>
  <si>
    <t>Commercial: Air Conditioning &amp; Heat Pump Savings Worksheet</t>
  </si>
  <si>
    <t>Enter AC or HP Type:</t>
  </si>
  <si>
    <t>PTHP (Non-Std)</t>
  </si>
  <si>
    <t>PTAC (Std)</t>
  </si>
  <si>
    <t>PTAC (Non-Std)</t>
  </si>
  <si>
    <t>PTHP (Std)</t>
  </si>
  <si>
    <t>Vertical AC or HP</t>
  </si>
  <si>
    <r>
      <rPr>
        <i/>
        <sz val="11"/>
        <color theme="1"/>
        <rFont val="Calibri"/>
        <family val="2"/>
        <scheme val="minor"/>
      </rPr>
      <t xml:space="preserve">Existing Measure Updates </t>
    </r>
    <r>
      <rPr>
        <sz val="11"/>
        <color theme="1"/>
        <rFont val="Calibri"/>
        <family val="2"/>
        <scheme val="minor"/>
      </rPr>
      <t>– Updates will be required for a number of reasons. Examples include increase in the federal or state code or standard for efficiency of a measure; new information from field tests; altered qualification criteria; increase in measure priority; changes in program delivery (e.g., direct installation to point-of-sale); move from custom to deemed or vice versa; decrease in measure cost; or a new evaluation that provides a better value of an assumption for a variable. As programs mature, characterizations need to be updated to meet the changes in the market and the program.</t>
    </r>
  </si>
  <si>
    <t>2019 Hawaii Statewide Baseline Energy Use Study, Prepared for the Hawaii Public Utilities Commission, Prepared by Applied Energy Group, 2020.</t>
  </si>
  <si>
    <t>EFLH &amp; CF</t>
  </si>
  <si>
    <t>Variable Frequency Drive Water Pump</t>
  </si>
  <si>
    <t>Energy Management System</t>
  </si>
  <si>
    <t>Variable Frequency Drive Booster Pump</t>
  </si>
  <si>
    <t>Variable Frequency Drive Pool Pump</t>
  </si>
  <si>
    <t>Holiday String Light</t>
  </si>
  <si>
    <t>Switch Plug Calculation</t>
  </si>
  <si>
    <t>Stairwell Bi-Level</t>
  </si>
  <si>
    <t>Changes from PY19</t>
  </si>
  <si>
    <t>List of changes made for PY20 TRM</t>
  </si>
  <si>
    <t>Cover Page</t>
  </si>
  <si>
    <t>Update of cover page for PY20 TRM</t>
  </si>
  <si>
    <t>C&amp;S Tracking</t>
  </si>
  <si>
    <t>Addition of Codes &amp; Standards tracking sheet</t>
  </si>
  <si>
    <t>Addition of detail to clarify how the TRB is calculated for single and dual baseline measures</t>
  </si>
  <si>
    <t>C_HVAC_AC &amp; Heat Pump, C_HVAC_AC_HP_WKST</t>
  </si>
  <si>
    <t>Complete review and update of measure description and calculation worksheet</t>
  </si>
  <si>
    <t>Addition of water-source VRFs to measure description and calculation worksheet</t>
  </si>
  <si>
    <t>C_HVAC_VRF, C_HVAC_VRF_WKST</t>
  </si>
  <si>
    <t>Update of dual baseline measures to clarify two baseline periods; update of measures affected by EISA legislation to address recent rulings</t>
  </si>
  <si>
    <t>Update to address recent rulings related to EISA</t>
  </si>
  <si>
    <t>Update to clarify two baseline periods</t>
  </si>
  <si>
    <t>Addition of detail to clarify how savings are calculated for this measure</t>
  </si>
  <si>
    <t>Update of shares of homes with electric clothes dryers and electric water heating</t>
  </si>
  <si>
    <t>Update of shares of homes with electric water heating</t>
  </si>
  <si>
    <t>Clarification of the dual baseline savings as well as adjustments to savings for units turned in through the program</t>
  </si>
  <si>
    <t>R_HVAC_Whole House Fan</t>
  </si>
  <si>
    <t>R_HVAC_Solar Attic Fan</t>
  </si>
  <si>
    <t>Complete review and update of measure</t>
  </si>
  <si>
    <t>Update of shares of homes with air conditioning</t>
  </si>
  <si>
    <t>Update to address recent rulings related to EISA; update of shares of homes with air conditioning</t>
  </si>
  <si>
    <t>Updated counts of audio / visual and computing equipment; unhid row</t>
  </si>
  <si>
    <t>R_WH_Heat Pump</t>
  </si>
  <si>
    <t>Update of average number of occupants by home type and county</t>
  </si>
  <si>
    <t xml:space="preserve">Annual energy usage of turned-in refrigerator </t>
  </si>
  <si>
    <t>Annual energy usage of turned-in freezer</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</si>
  <si>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refrigerator (EUL = 14 yr) and 2) turned-in refrigerator (RUL = 8 yr).</t>
    </r>
  </si>
  <si>
    <t xml:space="preserve">Peak Demand Savings, kW </t>
  </si>
  <si>
    <r>
      <rPr>
        <b/>
        <u/>
        <sz val="9"/>
        <color rgb="FFFF0000"/>
        <rFont val="Calibri"/>
        <family val="2"/>
        <scheme val="minor"/>
      </rPr>
      <t>NOTE</t>
    </r>
    <r>
      <rPr>
        <b/>
        <sz val="9"/>
        <color rgb="FFFF0000"/>
        <rFont val="Calibri"/>
        <family val="2"/>
        <scheme val="minor"/>
      </rPr>
      <t>:</t>
    </r>
    <r>
      <rPr>
        <sz val="9"/>
        <color rgb="FFFF0000"/>
        <rFont val="Calibri"/>
        <family val="2"/>
        <scheme val="minor"/>
      </rPr>
      <t xml:space="preserve"> Lifetime Energy Savings and Total Resource Benefits (TRBs) must be calculated using a combination of two baseline periods: 1) new freezer (EUL = 17 yr) and 2) turned-in freezer (RUL = 7 yr).</t>
    </r>
  </si>
  <si>
    <t xml:space="preserve">AEG's Analysis Files titled "AEG HPUC Dual BL and TRB - Analysis File" and "AEG HPUC Update of Residential Measures - Analysis file." </t>
  </si>
  <si>
    <t>ENERGY STAR, Flip Your Fridge Calculator, https://www.energystar.gov/index.cfm?fuseaction=refrig.calculator, accessed January 21, 2020.</t>
  </si>
  <si>
    <r>
      <t>E</t>
    </r>
    <r>
      <rPr>
        <vertAlign val="subscript"/>
        <sz val="10.5"/>
        <rFont val="Calibri"/>
        <family val="2"/>
        <scheme val="minor"/>
      </rPr>
      <t>Turn-in</t>
    </r>
  </si>
  <si>
    <r>
      <t xml:space="preserve">ENERGY STAR "Flip Your Fridge Calculator" </t>
    </r>
    <r>
      <rPr>
        <vertAlign val="superscript"/>
        <sz val="10.5"/>
        <rFont val="Calibri"/>
        <family val="2"/>
        <scheme val="minor"/>
      </rPr>
      <t>4</t>
    </r>
  </si>
  <si>
    <r>
      <rPr>
        <vertAlign val="superscript"/>
        <sz val="9"/>
        <rFont val="Calibri"/>
        <family val="2"/>
        <scheme val="minor"/>
      </rPr>
      <t>4</t>
    </r>
    <r>
      <rPr>
        <sz val="9"/>
        <rFont val="Calibri"/>
        <family val="2"/>
        <scheme val="minor"/>
      </rPr>
      <t xml:space="preserve"> Source: ENERGY STAR "Flip Your Fridge" calculator, &lt;https://www.energystar.gov/index.cfm?fuseaction=refrig.calculator&gt;, accessed on January 21, 2020. Average of five refrigerator types (top, bottom, side, French, 4-door); capacity: 19.0-21.4 cu ft; model year: 2001-2010. Average of two freezer types (upright, chest); capacity: &lt; 16.5 cu ft; model year: 2001-2010. Recommend updating with Hawai‘i-specific data on the types/ages of units turned-in through the program in future TRM update.</t>
    </r>
  </si>
  <si>
    <r>
      <t xml:space="preserve">1st BL: New + Turn-in </t>
    </r>
    <r>
      <rPr>
        <b/>
        <vertAlign val="superscript"/>
        <sz val="10.5"/>
        <rFont val="Calibri"/>
        <family val="2"/>
        <scheme val="minor"/>
      </rPr>
      <t>1</t>
    </r>
  </si>
  <si>
    <r>
      <t xml:space="preserve">2nd BL: New Only </t>
    </r>
    <r>
      <rPr>
        <b/>
        <vertAlign val="superscript"/>
        <sz val="10.5"/>
        <rFont val="Calibri"/>
        <family val="2"/>
        <scheme val="minor"/>
      </rPr>
      <t>2</t>
    </r>
  </si>
  <si>
    <r>
      <rPr>
        <vertAlign val="superscript"/>
        <sz val="9"/>
        <rFont val="Calibri"/>
        <family val="2"/>
        <scheme val="minor"/>
      </rPr>
      <t>1</t>
    </r>
    <r>
      <rPr>
        <sz val="9"/>
        <rFont val="Calibri"/>
        <family val="2"/>
        <scheme val="minor"/>
      </rPr>
      <t xml:space="preserve"> Use for Years 1 through 8 in TRB calculation.</t>
    </r>
  </si>
  <si>
    <r>
      <rPr>
        <vertAlign val="superscript"/>
        <sz val="9"/>
        <rFont val="Calibri"/>
        <family val="2"/>
        <scheme val="minor"/>
      </rPr>
      <t>2</t>
    </r>
    <r>
      <rPr>
        <sz val="9"/>
        <rFont val="Calibri"/>
        <family val="2"/>
        <scheme val="minor"/>
      </rPr>
      <t xml:space="preserve"> Use for Years 9 through 14 in TRB calculation.</t>
    </r>
  </si>
  <si>
    <r>
      <rPr>
        <vertAlign val="superscript"/>
        <sz val="9"/>
        <rFont val="Calibri"/>
        <family val="2"/>
        <scheme val="minor"/>
      </rPr>
      <t>1</t>
    </r>
    <r>
      <rPr>
        <sz val="9"/>
        <rFont val="Calibri"/>
        <family val="2"/>
        <scheme val="minor"/>
      </rPr>
      <t xml:space="preserve"> Use for Years 1 through 7 in TRB calculation.</t>
    </r>
  </si>
  <si>
    <r>
      <rPr>
        <vertAlign val="superscript"/>
        <sz val="9"/>
        <rFont val="Calibri"/>
        <family val="2"/>
        <scheme val="minor"/>
      </rPr>
      <t>2</t>
    </r>
    <r>
      <rPr>
        <sz val="9"/>
        <rFont val="Calibri"/>
        <family val="2"/>
        <scheme val="minor"/>
      </rPr>
      <t xml:space="preserve"> Use for Years 8 through 17 in TRB calculation.</t>
    </r>
  </si>
  <si>
    <t>Annual Savings: Early Replacement, Dual Baseline</t>
  </si>
  <si>
    <t>Annual Savings: Replace on Burnout, Single Baseline</t>
  </si>
  <si>
    <t>The Energy Advantage program provides qualifying participants with lighting upgrades at significantly reduced prices. This program falls under Hawai'i Energy's Business Hard to Reach (BHTR) program and is sometimes referred to as the Small Business Direct Install Lighting (SBDIL) program. It uses a software tool referred to as "Amplify" for tracking projects and calculating energy and demand savings.</t>
  </si>
  <si>
    <t>Qualifying participants are as follows:</t>
  </si>
  <si>
    <t>Restaurants.</t>
  </si>
  <si>
    <t>Small businesses on electric utility billing rate schedule G.</t>
  </si>
  <si>
    <t>Small businesses on a master-metered electric utility account with a total space less than 5,000 sq. ft. Master-metered businesses must receive sign-off from the utility account holder.</t>
  </si>
  <si>
    <t>Common areas located in a multifamily housing property, where the property is a multi-tenant affordable housing project owned by a private, non-profit or government entity, developed with funding or support from federal, state or county resources. This may include Elderly Housing, Public Housing, or Section 8 voucher approved housing.</t>
  </si>
  <si>
    <t>See &lt;https://hawaiienergy.com/for-businesses/energy-advantage-program&gt; for more information.</t>
  </si>
  <si>
    <t xml:space="preserve">The replacement lighting must be on the Consortium for Energy Efficiency's (CEE's) most recent Commercial Lighting Qualifying Products List, have an ENERGY STAR label, or be on DesignLights Consortium's Qualified Product List (DLC QPL). </t>
  </si>
  <si>
    <t>Custom number of lamps/fixtures.</t>
  </si>
  <si>
    <t>All early retirement projects require a dual baseline. The first baseline is the pre-existing lighting fixtures and controls. The pre-existing equipment is assumed to have a remaining useful life (RUL) of one-third of the Effective Useful Life (EUL) of the pre-existing lamp fixtures and controls. The second baseline must comply with the federal requirements in effect at the end of the pre-existing equipment's RUL. Only lighting systems that are in working order at the time of the replacement qualify for early retirement. If the pre-existing lighting cannot be verified to be in working order, a replace on burnout (ROB) baseline must be used.</t>
  </si>
  <si>
    <t xml:space="preserve">The high efficiency case is an upgraded lighting system that meets program criteria and exceeds minimum federal requirements. </t>
  </si>
  <si>
    <t>Hours of Use per Year, hr/yr</t>
  </si>
  <si>
    <t xml:space="preserve">Lifetime Energy Savings, kWh </t>
  </si>
  <si>
    <t>Remaining Useful Life</t>
  </si>
  <si>
    <t>Wattage of pre-existing lighting fixture</t>
  </si>
  <si>
    <t>Wattage of a comparable lighting fixture that meets minimum federal requirements</t>
  </si>
  <si>
    <t>Must meet federal requirements in effect as of end of the pre-existing fixture's RUL.</t>
  </si>
  <si>
    <t>Wattage of installed energy efficient lighting fixture</t>
  </si>
  <si>
    <t>Must meet program criteria.</t>
  </si>
  <si>
    <t>Number of pre-existing fixtures</t>
  </si>
  <si>
    <t>Number of installed efficient fixtures</t>
  </si>
  <si>
    <t>Runtime reduction factor from pre-existing lighting controls</t>
  </si>
  <si>
    <t>Default for occupancy sensors is RTR = 0.24. (See "C_Light_Occupancy Sensor" sheet.)</t>
  </si>
  <si>
    <t>Runtime reduction factor from lighting controls that meet minimum federal requirements</t>
  </si>
  <si>
    <t>Runtime reduction factor from installed lighting controls</t>
  </si>
  <si>
    <t>For default CF values, see Table 3 of "C_Light_General" sheet.</t>
  </si>
  <si>
    <t>Effective useful life of pre-existing lighting</t>
  </si>
  <si>
    <t>Remaining useful life of pre-existing lighting</t>
  </si>
  <si>
    <t>Effective useful life of efficient lighting</t>
  </si>
  <si>
    <t>KEY VARIABLES FROM AMPLIFY TOOL</t>
  </si>
  <si>
    <t>A number of variables are tracked in the Amplify database. As of PY18, the key variables used to estimate demand and energy savings for a given Rebate ID are listed below:</t>
  </si>
  <si>
    <t>Amplify Variable</t>
  </si>
  <si>
    <t>RebateId</t>
  </si>
  <si>
    <t>Rebate ID</t>
  </si>
  <si>
    <t>Equipment_Id</t>
  </si>
  <si>
    <t>Equipment ID; there may be more than one equipment ID per rebate</t>
  </si>
  <si>
    <t>predominant_space_type</t>
  </si>
  <si>
    <t>The predominant space type, which generally maps to building types</t>
  </si>
  <si>
    <t>Application_Status__c</t>
  </si>
  <si>
    <t>Status of the application (e.g., check mailed, cancelled)</t>
  </si>
  <si>
    <t>Is_Exterior</t>
  </si>
  <si>
    <t>Indicator for exterior lighting</t>
  </si>
  <si>
    <t>area_cooling_description</t>
  </si>
  <si>
    <t>Description of type of cooling in the space</t>
  </si>
  <si>
    <t>pre_control_factor_type</t>
  </si>
  <si>
    <t>Type of pre-existing controls</t>
  </si>
  <si>
    <t>post_control_factor_type</t>
  </si>
  <si>
    <t>Type of installed controls</t>
  </si>
  <si>
    <t>pre_fixture_wattage</t>
  </si>
  <si>
    <t>pre_fixture_quantity</t>
  </si>
  <si>
    <t>post_fixture_wattage</t>
  </si>
  <si>
    <t>post_fixture_quantity</t>
  </si>
  <si>
    <t>eflh</t>
  </si>
  <si>
    <t>Coincidence factor, CF</t>
  </si>
  <si>
    <t>Interactive_Factor_Value_Demand</t>
  </si>
  <si>
    <t>Interactive_Factor_Value_Energy</t>
  </si>
  <si>
    <t>pre_control_factor</t>
  </si>
  <si>
    <t>post_control_factor</t>
  </si>
  <si>
    <t>Tetra Tech's summary of the PY18 Energy Advantage verification process. Filename: "Energy Advantage Lighting Verification Methodology_30Dec2019 V1."</t>
  </si>
  <si>
    <t>Hawai'i Energy's Energy Advantage webpage, &lt;https://hawaiienergy.com/for-businesses/energy-advantage-program&gt;, accessed Jan. 2, 2020.</t>
  </si>
  <si>
    <t>In the case of the delamping measure, the replacement lamp (with an added reflector as needed) must be of sufficient brightness to meet the requirements of the space. For delamping, the lamp and lamp holder ("tombstone") must be permanently removed.</t>
  </si>
  <si>
    <t>Prior to installation of the lighting upgrades, participants must sign an Energy Advantage Program Project Commitment Letter, which states the following: “I have been given an on-site demonstration by (Contractor) of the replacement lighting that I will be receiving, and it appears that the lighting level, intensity, and color will be a suitable replacement for the lighting currently in place.”</t>
  </si>
  <si>
    <r>
      <t xml:space="preserve">Each Energy Advantage application contains one or more Spaces, which represent different parts of a building affected by a project. Within each space the user selects the existing lighting equipment (e.g. base case) and the new lighting equipment (e.g. enhanced case) from the Amplify database, which has wattage values sourced from the product’s specification.  </t>
    </r>
    <r>
      <rPr>
        <b/>
        <sz val="11"/>
        <rFont val="Calibri"/>
        <family val="2"/>
        <scheme val="minor"/>
      </rPr>
      <t>Direct install or other early retirement projects that use pre-existing equipment for the baseline must use a dual baseline approach for lifetime savings to account for recent and forthcoming changes in federal requirements.</t>
    </r>
  </si>
  <si>
    <r>
      <t>The Hours of Use per year (HOU</t>
    </r>
    <r>
      <rPr>
        <vertAlign val="subscript"/>
        <sz val="11"/>
        <rFont val="Calibri"/>
        <family val="2"/>
        <scheme val="minor"/>
      </rPr>
      <t>year</t>
    </r>
    <r>
      <rPr>
        <sz val="11"/>
        <rFont val="Calibri"/>
        <family val="2"/>
        <scheme val="minor"/>
      </rPr>
      <t>)--which has also been referred to as Equivalent Full Load Hours (EFLH) for the Energy Advantage program--for each Space is calculated based on a user-entered start time and end time for each day of the week, modified by a user-entered set of holidays during which times the building is assumed to be inactive. The annual hours of use value can vary for different measures within the same Energy Advantage application due to various operating schedules entered per space. In the case where a user does not enter values for hours of operation, the default value used is 2,274 hours, which is based on an operating schedule of 8 AM to 5 PM Monday through Friday, with eight holidays per year. The eight holidays assumed include:</t>
    </r>
  </si>
  <si>
    <r>
      <t>·</t>
    </r>
    <r>
      <rPr>
        <sz val="11"/>
        <rFont val="Times New Roman"/>
        <family val="1"/>
      </rPr>
      <t xml:space="preserve">        </t>
    </r>
    <r>
      <rPr>
        <sz val="11"/>
        <rFont val="Calibri"/>
        <family val="2"/>
        <scheme val="minor"/>
      </rPr>
      <t>New Year’s Day,</t>
    </r>
  </si>
  <si>
    <r>
      <t>·</t>
    </r>
    <r>
      <rPr>
        <sz val="11"/>
        <rFont val="Times New Roman"/>
        <family val="1"/>
      </rPr>
      <t xml:space="preserve">        </t>
    </r>
    <r>
      <rPr>
        <sz val="11"/>
        <rFont val="Calibri"/>
        <family val="2"/>
        <scheme val="minor"/>
      </rPr>
      <t>Martin Luther King Day,</t>
    </r>
  </si>
  <si>
    <r>
      <t>·</t>
    </r>
    <r>
      <rPr>
        <sz val="11"/>
        <rFont val="Times New Roman"/>
        <family val="1"/>
      </rPr>
      <t xml:space="preserve">        </t>
    </r>
    <r>
      <rPr>
        <sz val="11"/>
        <rFont val="Calibri"/>
        <family val="2"/>
        <scheme val="minor"/>
      </rPr>
      <t>President’s Day,</t>
    </r>
  </si>
  <si>
    <r>
      <t>·</t>
    </r>
    <r>
      <rPr>
        <sz val="11"/>
        <rFont val="Times New Roman"/>
        <family val="1"/>
      </rPr>
      <t xml:space="preserve">        </t>
    </r>
    <r>
      <rPr>
        <sz val="11"/>
        <rFont val="Calibri"/>
        <family val="2"/>
        <scheme val="minor"/>
      </rPr>
      <t>Memorial Day,</t>
    </r>
  </si>
  <si>
    <r>
      <t>·</t>
    </r>
    <r>
      <rPr>
        <sz val="11"/>
        <rFont val="Times New Roman"/>
        <family val="1"/>
      </rPr>
      <t xml:space="preserve">        </t>
    </r>
    <r>
      <rPr>
        <sz val="11"/>
        <rFont val="Calibri"/>
        <family val="2"/>
        <scheme val="minor"/>
      </rPr>
      <t>Independence Day,</t>
    </r>
  </si>
  <si>
    <r>
      <t>·</t>
    </r>
    <r>
      <rPr>
        <sz val="11"/>
        <rFont val="Times New Roman"/>
        <family val="1"/>
      </rPr>
      <t xml:space="preserve">        </t>
    </r>
    <r>
      <rPr>
        <sz val="11"/>
        <rFont val="Calibri"/>
        <family val="2"/>
        <scheme val="minor"/>
      </rPr>
      <t>Labor Day,</t>
    </r>
  </si>
  <si>
    <r>
      <t>·</t>
    </r>
    <r>
      <rPr>
        <sz val="11"/>
        <rFont val="Times New Roman"/>
        <family val="1"/>
      </rPr>
      <t xml:space="preserve">        </t>
    </r>
    <r>
      <rPr>
        <sz val="11"/>
        <rFont val="Calibri"/>
        <family val="2"/>
        <scheme val="minor"/>
      </rPr>
      <t>Thanksgiving Day, and</t>
    </r>
  </si>
  <si>
    <r>
      <t>·</t>
    </r>
    <r>
      <rPr>
        <sz val="11"/>
        <rFont val="Times New Roman"/>
        <family val="1"/>
      </rPr>
      <t xml:space="preserve">        </t>
    </r>
    <r>
      <rPr>
        <sz val="11"/>
        <rFont val="Calibri"/>
        <family val="2"/>
        <scheme val="minor"/>
      </rPr>
      <t>Christmas Day</t>
    </r>
  </si>
  <si>
    <r>
      <t xml:space="preserve">Where: </t>
    </r>
    <r>
      <rPr>
        <i/>
        <sz val="11"/>
        <rFont val="Calibri"/>
        <family val="2"/>
        <scheme val="minor"/>
      </rPr>
      <t>Hours</t>
    </r>
    <r>
      <rPr>
        <i/>
        <vertAlign val="subscript"/>
        <sz val="11"/>
        <rFont val="Calibri"/>
        <family val="2"/>
        <scheme val="minor"/>
      </rPr>
      <t>day of week</t>
    </r>
    <r>
      <rPr>
        <sz val="11"/>
        <rFont val="Calibri"/>
        <family val="2"/>
        <scheme val="minor"/>
      </rPr>
      <t xml:space="preserve"> is evaluated for each day of the week and is equal to:</t>
    </r>
  </si>
  <si>
    <r>
      <t>HOU</t>
    </r>
    <r>
      <rPr>
        <vertAlign val="subscript"/>
        <sz val="10.5"/>
        <rFont val="Calibri"/>
        <family val="2"/>
        <scheme val="minor"/>
      </rPr>
      <t>year</t>
    </r>
  </si>
  <si>
    <r>
      <t>Calculated with Equation 1 based on user inputs for operating hours and holidays. Default is 2,274 hr/yr.</t>
    </r>
    <r>
      <rPr>
        <vertAlign val="superscript"/>
        <sz val="10.5"/>
        <rFont val="Calibri"/>
        <family val="2"/>
        <scheme val="minor"/>
      </rPr>
      <t>1</t>
    </r>
  </si>
  <si>
    <r>
      <t>kW</t>
    </r>
    <r>
      <rPr>
        <vertAlign val="subscript"/>
        <sz val="10.5"/>
        <rFont val="Calibri"/>
        <family val="2"/>
        <scheme val="minor"/>
      </rPr>
      <t>pre</t>
    </r>
  </si>
  <si>
    <r>
      <t>kW</t>
    </r>
    <r>
      <rPr>
        <vertAlign val="subscript"/>
        <sz val="10.5"/>
        <rFont val="Calibri"/>
        <family val="2"/>
        <scheme val="minor"/>
      </rPr>
      <t>Fed</t>
    </r>
  </si>
  <si>
    <r>
      <t>kW</t>
    </r>
    <r>
      <rPr>
        <vertAlign val="subscript"/>
        <sz val="10.5"/>
        <rFont val="Calibri"/>
        <family val="2"/>
        <scheme val="minor"/>
      </rPr>
      <t>EE</t>
    </r>
  </si>
  <si>
    <r>
      <t>#fixture</t>
    </r>
    <r>
      <rPr>
        <vertAlign val="subscript"/>
        <sz val="10.5"/>
        <rFont val="Calibri"/>
        <family val="2"/>
        <scheme val="minor"/>
      </rPr>
      <t>pre</t>
    </r>
  </si>
  <si>
    <r>
      <t>#fixture</t>
    </r>
    <r>
      <rPr>
        <vertAlign val="subscript"/>
        <sz val="10.5"/>
        <rFont val="Calibri"/>
        <family val="2"/>
        <scheme val="minor"/>
      </rPr>
      <t>post</t>
    </r>
  </si>
  <si>
    <r>
      <t>RTR</t>
    </r>
    <r>
      <rPr>
        <vertAlign val="subscript"/>
        <sz val="10.5"/>
        <rFont val="Calibri"/>
        <family val="2"/>
        <scheme val="minor"/>
      </rPr>
      <t>pre</t>
    </r>
  </si>
  <si>
    <r>
      <t>RTR</t>
    </r>
    <r>
      <rPr>
        <vertAlign val="subscript"/>
        <sz val="10.5"/>
        <rFont val="Calibri"/>
        <family val="2"/>
        <scheme val="minor"/>
      </rPr>
      <t>Fed</t>
    </r>
  </si>
  <si>
    <r>
      <t>RTR</t>
    </r>
    <r>
      <rPr>
        <vertAlign val="subscript"/>
        <sz val="10.5"/>
        <rFont val="Calibri"/>
        <family val="2"/>
        <scheme val="minor"/>
      </rPr>
      <t>post</t>
    </r>
  </si>
  <si>
    <r>
      <t>For default IE</t>
    </r>
    <r>
      <rPr>
        <vertAlign val="subscript"/>
        <sz val="10.5"/>
        <rFont val="Calibri"/>
        <family val="2"/>
        <scheme val="minor"/>
      </rPr>
      <t>C,D</t>
    </r>
    <r>
      <rPr>
        <sz val="10.5"/>
        <rFont val="Calibri"/>
        <family val="2"/>
        <scheme val="minor"/>
      </rPr>
      <t xml:space="preserve"> values, see Table 4 of "C_Light_General" sheet.</t>
    </r>
  </si>
  <si>
    <r>
      <t>EUL</t>
    </r>
    <r>
      <rPr>
        <vertAlign val="subscript"/>
        <sz val="10.5"/>
        <rFont val="Calibri"/>
        <family val="2"/>
        <scheme val="minor"/>
      </rPr>
      <t>pre-existing</t>
    </r>
  </si>
  <si>
    <r>
      <t>Calculated by dividing rated lamp life by HOU</t>
    </r>
    <r>
      <rPr>
        <vertAlign val="subscript"/>
        <sz val="10.5"/>
        <rFont val="Calibri"/>
        <family val="2"/>
        <scheme val="minor"/>
      </rPr>
      <t>year</t>
    </r>
    <r>
      <rPr>
        <sz val="10.5"/>
        <rFont val="Calibri"/>
        <family val="2"/>
        <scheme val="minor"/>
      </rPr>
      <t xml:space="preserve"> and setting upperbound EUL = 25 yr and lowerbound EUL = 1 yr.</t>
    </r>
  </si>
  <si>
    <r>
      <t>Calculated with Equation 7 based on EUL</t>
    </r>
    <r>
      <rPr>
        <vertAlign val="subscript"/>
        <sz val="10.5"/>
        <rFont val="Calibri"/>
        <family val="2"/>
        <scheme val="minor"/>
      </rPr>
      <t>pre-existing</t>
    </r>
    <r>
      <rPr>
        <sz val="10.5"/>
        <rFont val="Calibri"/>
        <family val="2"/>
        <scheme val="minor"/>
      </rPr>
      <t>.</t>
    </r>
  </si>
  <si>
    <r>
      <t>EUL</t>
    </r>
    <r>
      <rPr>
        <vertAlign val="subscript"/>
        <sz val="10.5"/>
        <rFont val="Calibri"/>
        <family val="2"/>
        <scheme val="minor"/>
      </rPr>
      <t>EE</t>
    </r>
  </si>
  <si>
    <r>
      <rPr>
        <vertAlign val="superscript"/>
        <sz val="9"/>
        <rFont val="Calibri"/>
        <family val="2"/>
        <scheme val="minor"/>
      </rPr>
      <t>1</t>
    </r>
    <r>
      <rPr>
        <sz val="9"/>
        <rFont val="Calibri"/>
        <family val="2"/>
        <scheme val="minor"/>
      </rPr>
      <t xml:space="preserve"> The default value assumes 9 hr/day, 5 day/wk, and 8 holidays (9*5*52.14 - 8*9 = 2,274 hr/yr).</t>
    </r>
  </si>
  <si>
    <r>
      <t>Pre-existing fixture wattage, kW</t>
    </r>
    <r>
      <rPr>
        <vertAlign val="subscript"/>
        <sz val="11"/>
        <rFont val="Calibri"/>
        <family val="2"/>
        <scheme val="minor"/>
      </rPr>
      <t>pre</t>
    </r>
    <r>
      <rPr>
        <sz val="11"/>
        <rFont val="Calibri"/>
        <family val="2"/>
        <scheme val="minor"/>
      </rPr>
      <t>/1000</t>
    </r>
  </si>
  <si>
    <r>
      <t>Pre-existing fixture quantity, #fixture</t>
    </r>
    <r>
      <rPr>
        <vertAlign val="subscript"/>
        <sz val="11"/>
        <rFont val="Calibri"/>
        <family val="2"/>
        <scheme val="minor"/>
      </rPr>
      <t>pre</t>
    </r>
  </si>
  <si>
    <r>
      <t>Installed fixture wattage, kW</t>
    </r>
    <r>
      <rPr>
        <vertAlign val="subscript"/>
        <sz val="11"/>
        <rFont val="Calibri"/>
        <family val="2"/>
        <scheme val="minor"/>
      </rPr>
      <t>post</t>
    </r>
    <r>
      <rPr>
        <sz val="11"/>
        <rFont val="Calibri"/>
        <family val="2"/>
        <scheme val="minor"/>
      </rPr>
      <t>/1000</t>
    </r>
  </si>
  <si>
    <r>
      <t>Installed fixture quantity, #fixture</t>
    </r>
    <r>
      <rPr>
        <vertAlign val="subscript"/>
        <sz val="11"/>
        <rFont val="Calibri"/>
        <family val="2"/>
        <scheme val="minor"/>
      </rPr>
      <t>post</t>
    </r>
  </si>
  <si>
    <r>
      <t>Annual hours of use, HOU</t>
    </r>
    <r>
      <rPr>
        <vertAlign val="subscript"/>
        <sz val="11"/>
        <rFont val="Calibri"/>
        <family val="2"/>
        <scheme val="minor"/>
      </rPr>
      <t>year</t>
    </r>
  </si>
  <si>
    <r>
      <rPr>
        <sz val="7"/>
        <rFont val="Times New Roman"/>
        <family val="1"/>
      </rPr>
      <t>C</t>
    </r>
    <r>
      <rPr>
        <sz val="11"/>
        <rFont val="Calibri"/>
        <family val="2"/>
        <scheme val="minor"/>
      </rPr>
      <t>oincidence_factor</t>
    </r>
  </si>
  <si>
    <r>
      <t>Interactive effects factor for demand minus 1, IE</t>
    </r>
    <r>
      <rPr>
        <vertAlign val="subscript"/>
        <sz val="11"/>
        <rFont val="Calibri"/>
        <family val="2"/>
        <scheme val="minor"/>
      </rPr>
      <t>C,D</t>
    </r>
    <r>
      <rPr>
        <sz val="11"/>
        <rFont val="Calibri"/>
        <family val="2"/>
        <scheme val="minor"/>
      </rPr>
      <t xml:space="preserve"> - 1</t>
    </r>
  </si>
  <si>
    <r>
      <t>Interactive effects factor for energy minus 1, IE</t>
    </r>
    <r>
      <rPr>
        <vertAlign val="subscript"/>
        <sz val="11"/>
        <rFont val="Calibri"/>
        <family val="2"/>
        <scheme val="minor"/>
      </rPr>
      <t>C,E</t>
    </r>
    <r>
      <rPr>
        <sz val="11"/>
        <rFont val="Calibri"/>
        <family val="2"/>
        <scheme val="minor"/>
      </rPr>
      <t xml:space="preserve"> - 1</t>
    </r>
  </si>
  <si>
    <r>
      <t>Runtime reduction factor for pre-existing controls, RTR</t>
    </r>
    <r>
      <rPr>
        <vertAlign val="subscript"/>
        <sz val="11"/>
        <rFont val="Calibri"/>
        <family val="2"/>
        <scheme val="minor"/>
      </rPr>
      <t>pre</t>
    </r>
  </si>
  <si>
    <r>
      <t>Runtime reduction factor for installed controls, RTR</t>
    </r>
    <r>
      <rPr>
        <vertAlign val="subscript"/>
        <sz val="11"/>
        <rFont val="Calibri"/>
        <family val="2"/>
        <scheme val="minor"/>
      </rPr>
      <t>post</t>
    </r>
  </si>
  <si>
    <r>
      <t>Additional variables will be needed to estimate savings using the dual baseline approach, including kW</t>
    </r>
    <r>
      <rPr>
        <vertAlign val="subscript"/>
        <sz val="11"/>
        <rFont val="Calibri"/>
        <family val="2"/>
        <scheme val="minor"/>
      </rPr>
      <t>Fed</t>
    </r>
    <r>
      <rPr>
        <sz val="11"/>
        <rFont val="Calibri"/>
        <family val="2"/>
        <scheme val="minor"/>
      </rPr>
      <t>, RTR</t>
    </r>
    <r>
      <rPr>
        <vertAlign val="subscript"/>
        <sz val="11"/>
        <rFont val="Calibri"/>
        <family val="2"/>
        <scheme val="minor"/>
      </rPr>
      <t>Fed</t>
    </r>
    <r>
      <rPr>
        <sz val="11"/>
        <rFont val="Calibri"/>
        <family val="2"/>
        <scheme val="minor"/>
      </rPr>
      <t>, EUL</t>
    </r>
    <r>
      <rPr>
        <vertAlign val="subscript"/>
        <sz val="11"/>
        <rFont val="Calibri"/>
        <family val="2"/>
        <scheme val="minor"/>
      </rPr>
      <t>pre-existing</t>
    </r>
    <r>
      <rPr>
        <sz val="11"/>
        <rFont val="Calibri"/>
        <family val="2"/>
        <scheme val="minor"/>
      </rPr>
      <t>, and EUL</t>
    </r>
    <r>
      <rPr>
        <vertAlign val="subscript"/>
        <sz val="11"/>
        <rFont val="Calibri"/>
        <family val="2"/>
        <scheme val="minor"/>
      </rPr>
      <t>EE</t>
    </r>
    <r>
      <rPr>
        <sz val="11"/>
        <rFont val="Calibri"/>
        <family val="2"/>
        <scheme val="minor"/>
      </rPr>
      <t>.</t>
    </r>
  </si>
  <si>
    <t xml:space="preserve">For PY20, the Energy Advantage program will expand to include measures beyond lighting, such as electronically-commutated motors (ECM) and possibly certain HVAC measures. Savings for these additions are expected to be pulled from existing measures in the TRM. </t>
  </si>
  <si>
    <t>2019 Hawaii Statewide Baseline Energy Use Study, Prepared for Hawaii Public Utilities Commission, Prepared by Applied Energy Group, 2020. Derived from responses to Q20, Q27, Q35, and Q40L of the residential phone / audit survey.</t>
  </si>
  <si>
    <t>2019 Hawaii Statewide Baseline Energy Use Study, Prepared for Hawaii Public Utilities Commission, Prepared by Applied Energy Group, 2020. Derived from responses to Q47 of the residential phone / audit survey.</t>
  </si>
  <si>
    <t>2019 Hawaii Statewide Baseline Energy Use Study, Prepared for Hawaii Public Utilities Commission, Prepared by Applied Energy Group, 2020. Derived from Figure 3-9.</t>
  </si>
  <si>
    <t>Enter Occupancy of Home (default of 3.16 people)</t>
  </si>
  <si>
    <t>Source: 2019 Hawaii Statewide Baseline Energy Use Study, Prepared for Hawaii Public Utilities Commission, Prepared by Applied Energy Group, 2020. Derived from responses to Q71 of the residential phone / audit survey. (Military occupancy is from Evergreen Economics Baseline Study, 2014.)</t>
  </si>
  <si>
    <t>2019 Hawaii Statewide Baseline Energy Use Study, Prepared for Hawaii Public Utilities Commission, Prepared by Applied Energy Group, 2020. Derived from responses to Q71 of the residential phone / audit survey. (Military occupancy is from Evergreen Economics Baseline Study, 2014.) Default is occupancy for non-military single family homes.</t>
  </si>
  <si>
    <t>Actual or Table 1 (default = 3.16)</t>
  </si>
  <si>
    <t>AEG's Analysis Files titled 1) "AEG HPUC Update of Residential Measures - Analysis file," 2) "R&amp;C Solar Water Heater - v2 Solar Fraction," and 3) "AEG HPUC Baseline Study Data - Analysis File."</t>
  </si>
  <si>
    <t xml:space="preserve"> 2019 Hawaii Statewide Baseline Energy Use Study, Prepared for Hawaii Public Utilities Commission, Prepared by Applied Energy Group, 2020.</t>
  </si>
  <si>
    <t>AEG's Analysis Files titled 1) "New Residential Measures Summary - AEG Analysis file" and 2)  "AEG HPUC Baseline Study Data - Analysis File."</t>
  </si>
  <si>
    <t xml:space="preserve">2019 Hawaii Statewide Baseline Energy Use Study, Prepared for Hawaii Public Utilities Commission, Prepared by Applied Energy Group, 2020. </t>
  </si>
  <si>
    <r>
      <t>UEF</t>
    </r>
    <r>
      <rPr>
        <vertAlign val="subscript"/>
        <sz val="10.5"/>
        <color theme="1"/>
        <rFont val="Calibri"/>
        <family val="2"/>
        <scheme val="minor"/>
      </rPr>
      <t>base</t>
    </r>
  </si>
  <si>
    <t>Uniform Energy Factor of the most common Heat Pump Water Heaters sized less than or equal to 55 gallons according to the ENERGY STAR database</t>
  </si>
  <si>
    <t>Average number of occupants per home</t>
  </si>
  <si>
    <t>Criteria</t>
  </si>
  <si>
    <t>Uniform Energy Factor</t>
  </si>
  <si>
    <t>First-Hour Rating</t>
  </si>
  <si>
    <t>FHR ≥ 45 gallons per hour</t>
  </si>
  <si>
    <t>Warranty</t>
  </si>
  <si>
    <t>Warranty ≥ 6 years on sealed system</t>
  </si>
  <si>
    <t>Safety</t>
  </si>
  <si>
    <t>UL 174 and UL 1995</t>
  </si>
  <si>
    <t>Lower Compressor Cut-Off Temperature
(Reporting Requirement Only)</t>
  </si>
  <si>
    <t>Report ambient temperature below which the compressor cuts off and electric resistance
only operation begins</t>
  </si>
  <si>
    <t>Residential 
Heat Pump Water Heater</t>
  </si>
  <si>
    <t>UEF=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</si>
  <si>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</si>
  <si>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AEG's 2020 Analysis File titled "AEG HPUC WHF SAF and HPWH PY20 Updates - Analysis File."</t>
  </si>
  <si>
    <t xml:space="preserve">This measure involves the installation of a whole house fan. The fan draws cool outdoor air inside through open windows and exhausts hot indoor air through the attic to the outside. Running a whole house fan whenever outdoor temperatures are lower than indoor temperatures will cool a house. This measure results in savings by replacing the cooling load with the whole house fan load when the outside air temperature is below the set point temperature of the AC system. Measure savings are calculated from two baselines. The first being a single family home with a cooling system installed and the second being a home with no AC system installed. Savings from the second baseline are the load that would be displaced if the home were to install a cooling system. In both cases there was no whole house fan installed previously. Only single family homes are eligible for rebates from this measure. </t>
  </si>
  <si>
    <t>(1) No fan and no cooling system installed.
(2) No fan system installed and a pre-existing Central AC system.
(3) No fan system installed and a pre-existing Room ACs.
(4) No fan system and a pre-existing Ductless Mini Splits.
(5) No fan system and an unknown pre-existing cooling system.</t>
  </si>
  <si>
    <r>
      <t>%</t>
    </r>
    <r>
      <rPr>
        <vertAlign val="subscript"/>
        <sz val="10.5"/>
        <rFont val="Calibri"/>
        <family val="2"/>
        <scheme val="minor"/>
      </rPr>
      <t>svgs,ac</t>
    </r>
  </si>
  <si>
    <t>Percent of AC load reduced by a whole house fan</t>
  </si>
  <si>
    <r>
      <t>AEG looked at hourly TMY3 data for Honolulu, HI and calculated the wetbulb temperature of 68°F at an interior setpoint of 76°F and a relative humidity of 65% (ASHRAE-recommended limit). It was then assumed that air could be brought into the home at or below this wetbulb temperature via the whole house fan and replace the cooling load while still providing the same comfort.</t>
    </r>
    <r>
      <rPr>
        <vertAlign val="superscript"/>
        <sz val="10.5"/>
        <rFont val="Calibri"/>
        <family val="2"/>
        <scheme val="minor"/>
      </rPr>
      <t>1</t>
    </r>
  </si>
  <si>
    <r>
      <t>AC</t>
    </r>
    <r>
      <rPr>
        <vertAlign val="subscript"/>
        <sz val="10.5"/>
        <rFont val="Calibri"/>
        <family val="2"/>
        <scheme val="minor"/>
      </rPr>
      <t>cap</t>
    </r>
  </si>
  <si>
    <t>Average cooling capacity in home with Room ACs or a Ductless Mini Split AC</t>
  </si>
  <si>
    <t>Average sizing of a central AC system.</t>
  </si>
  <si>
    <t>Assumed a 36,000 Btu/h (3 Ton) system in the average home in Hawaii.</t>
  </si>
  <si>
    <t>Full load cooling efficiency of existing central air conditioner</t>
  </si>
  <si>
    <r>
      <t>The minimum is 13.0 SEER for split-system central AC and single-package central AC systems manufactured after Jan. 23, 2006 and before Jan. 1,  2015 and installed in Hawai'i.</t>
    </r>
    <r>
      <rPr>
        <vertAlign val="superscript"/>
        <sz val="10.5"/>
        <rFont val="Calibri"/>
        <family val="2"/>
        <scheme val="minor"/>
      </rPr>
      <t>2</t>
    </r>
  </si>
  <si>
    <t>Minimum federal standard of full load cooling efficiency for a new central air conditioner</t>
  </si>
  <si>
    <r>
      <t>The minimum is 14.0 SEER for split-system central AC and single-package central AC systems manufactured on or after Jan. 1, 2015 and installed in Hawai'i.</t>
    </r>
    <r>
      <rPr>
        <vertAlign val="superscript"/>
        <sz val="10.5"/>
        <rFont val="Calibri"/>
        <family val="2"/>
        <scheme val="minor"/>
      </rPr>
      <t>3</t>
    </r>
  </si>
  <si>
    <t>Combined energy efficiency ratio of an average Ductless Mini-Split AC</t>
  </si>
  <si>
    <t>Federal minimum requirement for 20,000-29,000 Btu/h room AC units manufactured as of Jun. 1, 2014.</t>
  </si>
  <si>
    <t>CEER</t>
  </si>
  <si>
    <t>Combined energy efficiency ratio of baseline unit for existing Room ACs</t>
  </si>
  <si>
    <r>
      <t>Assumed to be EER</t>
    </r>
    <r>
      <rPr>
        <vertAlign val="subscript"/>
        <sz val="10.5"/>
        <rFont val="Calibri"/>
        <family val="2"/>
        <scheme val="minor"/>
      </rPr>
      <t>BL,1</t>
    </r>
    <r>
      <rPr>
        <sz val="10.5"/>
        <rFont val="Calibri"/>
        <family val="2"/>
        <scheme val="minor"/>
      </rPr>
      <t xml:space="preserve"> / 1.01 per ENERGY STAR data.</t>
    </r>
    <r>
      <rPr>
        <vertAlign val="superscript"/>
        <sz val="10.5"/>
        <rFont val="Calibri"/>
        <family val="2"/>
        <scheme val="minor"/>
      </rPr>
      <t>4</t>
    </r>
    <r>
      <rPr>
        <sz val="10.5"/>
        <rFont val="Calibri"/>
        <family val="2"/>
        <scheme val="minor"/>
      </rPr>
      <t xml:space="preserve"> Federal standard for pre-Jun 1 2014 value for 8000-13999 Btu/h systems.</t>
    </r>
  </si>
  <si>
    <t>Minimum federal standard of the combined energy efficiency ratio of new Room ACs</t>
  </si>
  <si>
    <t>Federal minimum requirement for 8,000-13,999 Btu/h units manufactured as of Jun. 1, 2014.</t>
  </si>
  <si>
    <t>Equivalent full load cooling hours for existing central air conditioner</t>
  </si>
  <si>
    <t>Equivalent full load cooling hours of a Room AC and Ductless Mini Split</t>
  </si>
  <si>
    <t>EFLH determined as average of residential EnergyPlus prototype simulations with room AC/ductless mini split cooling system by dividing total cooling kWh by maximum kW (proxy for capacity, adjusted for oversizing).</t>
  </si>
  <si>
    <r>
      <t>kWh</t>
    </r>
    <r>
      <rPr>
        <vertAlign val="subscript"/>
        <sz val="10.5"/>
        <rFont val="Calibri"/>
        <family val="2"/>
        <scheme val="minor"/>
      </rPr>
      <t>WHF</t>
    </r>
  </si>
  <si>
    <t>Whole House Fan Annual Energy Usage</t>
  </si>
  <si>
    <t>Calculated based on HOU of whole house fan in Hawaii and wattage's of standard fans installed in Hawaii.</t>
  </si>
  <si>
    <r>
      <t>kW</t>
    </r>
    <r>
      <rPr>
        <vertAlign val="subscript"/>
        <sz val="10.5"/>
        <rFont val="Calibri"/>
        <family val="2"/>
        <scheme val="minor"/>
      </rPr>
      <t>WHF</t>
    </r>
  </si>
  <si>
    <t>Whole House Fan Wattage</t>
  </si>
  <si>
    <r>
      <t>Calculated by analyzing the savings load shape specific to this measure.</t>
    </r>
    <r>
      <rPr>
        <vertAlign val="superscript"/>
        <sz val="10.5"/>
        <rFont val="Calibri"/>
        <family val="2"/>
        <scheme val="minor"/>
      </rPr>
      <t>1</t>
    </r>
  </si>
  <si>
    <t>Table 1: Distribution of AC Type for Homes with AC System</t>
  </si>
  <si>
    <t>Central AC Homes:</t>
  </si>
  <si>
    <t>Room AC Homes:</t>
  </si>
  <si>
    <t>Ductless Mini Split AC Homes:</t>
  </si>
  <si>
    <r>
      <t>Source: 2019 Baseline Study</t>
    </r>
    <r>
      <rPr>
        <vertAlign val="superscript"/>
        <sz val="10.5"/>
        <rFont val="Calibri"/>
        <family val="2"/>
        <scheme val="minor"/>
      </rPr>
      <t>5</t>
    </r>
  </si>
  <si>
    <t>1. AEG created a Hawaii-specific 8760 hourly model to calculate the savings effect of the whole house fan measure. See AEG's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AEG's research of the AHRI database (Oct 2018 extract) showed that 11.5 EER represents the 1st quartile of EER values corresponding to 14 SEER. Since it is reasonable to want all high efficiency systems to be more efficient than the 1st quartile EER value, 11.5 EER was used for 14 SEER baseline units.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</si>
  <si>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AC Type</t>
  </si>
  <si>
    <t>Central AC</t>
  </si>
  <si>
    <t>Room AC</t>
  </si>
  <si>
    <t>Ductless Mini Split</t>
  </si>
  <si>
    <t>Unknown AC</t>
  </si>
  <si>
    <t>No AC</t>
  </si>
  <si>
    <t>Enter Type of Cooling System:</t>
  </si>
  <si>
    <t>Enter of Cooling System Capacity (Btu/hr):</t>
  </si>
  <si>
    <t>Enter Existing Efficiency Rating (SEER/CEER):</t>
  </si>
  <si>
    <t>AEG Cooling Loadshape for Hawaii. "HI_1681S_ACH7_CAC13_ltg1000.csv."</t>
  </si>
  <si>
    <t>D. Springer, B. Dakin, and A. German, Measure Guideline: Ventilation Cooling, Energy Efficiency &amp; Renewable Energy, U.S. Department of Energy, April 2012, https://www.nrel.gov/docs/fy12osti/54241.pdf.</t>
  </si>
  <si>
    <t>Electronic Code of Federal Regulations: Title 10: Energy, Part 430 - Energy Conservation Program for Consumer Products. Subpart C - Energy and Water Conservation Standards. Section 6d. https://www.ecfr.gov/cgi-bin/text-idx?SID=80dfa785ea350ebeee184bb0ae03e7f0&amp;mc=true&amp;node=se10.3.430_132&amp;rgn=div8].</t>
  </si>
  <si>
    <t>"HSEO's EEB - Suggestions for Hawaii Energy PY 2020 TRM Update (002)," Word document containing update ideas for the PY20 TRM.</t>
  </si>
  <si>
    <t>Savings Estimation Technical Reference Manual 2017, Third Edition, California Municipal Utilities Association, https://www.cmua.org/files/CMUA-POU-TRM_2017_FINAL_12-5-2017%20-%20Copy.pdf.</t>
  </si>
  <si>
    <t>Whole House Fan, Technology Fact Sheet, NREL, DOE/GO-10099-745, March 1999, https://www.nrel.gov/docs/fy99osti/26291.pdf.</t>
  </si>
  <si>
    <t>Whole House Fan, Work Paper PGECOHVC134, Revision #3, Pacific Gas &amp; Electric Company, Customer Energy Solutions, June 21, 2012.</t>
  </si>
  <si>
    <t xml:space="preserve">Updated in January 2020 for PY20 TRM </t>
  </si>
  <si>
    <t xml:space="preserve">Solar-powered attic fan reduce the existing air conditioning load and energy usage by reducing the attic temperature. Only single family homes are eligible for rebates from this measure. </t>
  </si>
  <si>
    <t>Solar Attic Fan sized to attic</t>
  </si>
  <si>
    <t>(1) No fan system installed and a pre-existing Central AC system.
(2) No fan system installed and a pre-existing Room ACs.
(3) No fan system and a pre-existing Ductless Mini Splits.
(4) No fan system and an unknown pre-existing cooling system.</t>
  </si>
  <si>
    <r>
      <t>%</t>
    </r>
    <r>
      <rPr>
        <vertAlign val="subscript"/>
        <sz val="10.5"/>
        <rFont val="Calibri"/>
        <family val="2"/>
        <scheme val="minor"/>
      </rPr>
      <t>.svgs,ac</t>
    </r>
  </si>
  <si>
    <t>Percent of AC load reduced by solar attic fan in a house built before 2010</t>
  </si>
  <si>
    <r>
      <t>AEG Research.</t>
    </r>
    <r>
      <rPr>
        <vertAlign val="superscript"/>
        <sz val="10.5"/>
        <rFont val="Calibri"/>
        <family val="2"/>
        <scheme val="minor"/>
      </rPr>
      <t>1</t>
    </r>
    <r>
      <rPr>
        <sz val="10.5"/>
        <rFont val="Calibri"/>
        <family val="2"/>
        <scheme val="minor"/>
      </rPr>
      <t xml:space="preserve"> Values differ due to varying Attic Insulation values in each model. Default uses weighted average based on home vintage data in Table 2 below.</t>
    </r>
  </si>
  <si>
    <t>Percent of AC load reduced by solar attic fan in a house built 2010 and after</t>
  </si>
  <si>
    <r>
      <t>AC</t>
    </r>
    <r>
      <rPr>
        <vertAlign val="subscript"/>
        <sz val="10.5"/>
        <rFont val="Calibri"/>
        <family val="2"/>
        <scheme val="minor"/>
      </rPr>
      <t>.cap</t>
    </r>
  </si>
  <si>
    <r>
      <t>Federal minimum requirement for 20,000-29,000 Btu/h room AC units manufactured as of Jun. 1, 2014.</t>
    </r>
    <r>
      <rPr>
        <vertAlign val="superscript"/>
        <sz val="10.5"/>
        <rFont val="Calibri"/>
        <family val="2"/>
        <scheme val="minor"/>
      </rPr>
      <t>3</t>
    </r>
  </si>
  <si>
    <r>
      <t>Assumed to be EER</t>
    </r>
    <r>
      <rPr>
        <vertAlign val="subscript"/>
        <sz val="10.5"/>
        <color theme="1"/>
        <rFont val="Calibri"/>
        <family val="2"/>
        <scheme val="minor"/>
      </rPr>
      <t>BL,1</t>
    </r>
    <r>
      <rPr>
        <sz val="10.5"/>
        <color theme="1"/>
        <rFont val="Calibri"/>
        <family val="2"/>
        <scheme val="minor"/>
      </rPr>
      <t xml:space="preserve"> / 1.01 per ENERGY STAR data.</t>
    </r>
    <r>
      <rPr>
        <vertAlign val="superscript"/>
        <sz val="10.5"/>
        <color theme="1"/>
        <rFont val="Calibri"/>
        <family val="2"/>
        <scheme val="minor"/>
      </rPr>
      <t>4</t>
    </r>
  </si>
  <si>
    <r>
      <t>Calculated by analyzing the savings load shape specific to this measure.</t>
    </r>
    <r>
      <rPr>
        <vertAlign val="superscript"/>
        <sz val="10.5"/>
        <color theme="1"/>
        <rFont val="Calibri"/>
        <family val="2"/>
        <scheme val="minor"/>
      </rPr>
      <t>1</t>
    </r>
  </si>
  <si>
    <t>Cooling System Distribution</t>
  </si>
  <si>
    <t>Table 2: Distribution of Homes by Vintage</t>
  </si>
  <si>
    <t>Single Family Housing Vintage Distribution</t>
  </si>
  <si>
    <t>Before 2010</t>
  </si>
  <si>
    <t>2010 and after</t>
  </si>
  <si>
    <t>1. AEG created a Hawaii-specific 8760 hourly heat transfer model to calculate the effect that attic temperature has on the cooling load. See AEG's 2020 Analysis File titled "WHF SAF and HPWH PY20 Updates.
2. AEG's research of the AHRI database (Oct 2018 extract) showed that 11.0 EER represents the 1st quartile (and median) of EER values corresponding to 13 SEER. Since it is reasonable to want all high efficiency systems to be more efficient than the 1st quartile (or median) EER value, 11.0 EER was used for 13 SEER baseline units.
3. Federal Standard Specifications. https://www.govinfo.gov/content/pkg/CFR-2012-title10-vol3/pdf/CFR-2012-title10-vol3-sec430-32.pdf
4. ENERGY STAR specification provided equivalent EER and CEER ratings. For the most popular size band (8,000-13,999 Btu/h), the EER rating is approximately 1% higher than the CEER. See ENERGY STAR Version 3.0 Room Air Conditioners Program Requirements and IL TRM v6.0 Vol. 3, Feb 8, 2017, pg. 35.
5. This data is used in the unknown scenario to average the savings between the three cooling types.</t>
  </si>
  <si>
    <t>Enter Year of Construction:</t>
  </si>
  <si>
    <t>Performance Assessment of Photovoltaic Attic Ventilator Fans. Danny S. Parker, John R. Sherwin. Florida Solar Energy Center. http://www.fsec.ucf.edu/en/publications/html/fsec-gp-171-00/</t>
  </si>
  <si>
    <t>Hawaii Energy - Technical Resource Manual No. 2014. Section 8.3.4 Solar Attic Fans.</t>
  </si>
  <si>
    <t>Principles of  Attic Ventilation. Air Vent Inc. http://www.airvent.com/index.php/ventilation-resources/literature-sales-tools/professionals/121-principles-of-attic-ventilation-course/file</t>
  </si>
  <si>
    <t>About Attic Ventilation. ENERGY STAR Website. https://www.energystar.gov/campaign/seal_insulate/do_it_yourself_guide/about_attic_ventilation</t>
  </si>
  <si>
    <t>AEG Cooling Loadshape for Hawaii. "HI_1681S_ACH7_CAC13_ltg1000.csv"</t>
  </si>
  <si>
    <t xml:space="preserve">Hawaii Energy Building Code. https://energy.hawaii.gov/hawaii-energy-building-code/pre-2015-iecc. </t>
  </si>
  <si>
    <t>Heat Transfer Equation Sheet. https://faculty.utrgv.edu/constantine.tarawneh/Heat%20Transfer/HeatTransferBooklet.pdf</t>
  </si>
  <si>
    <t>2019 Hawaii Statewide Baseline Energy Use Study, Prepared for Hawaii Public Utilities Commission, Prepared by Applied Energy Group, 2020.</t>
  </si>
  <si>
    <t xml:space="preserve">For the direct-install program, the savings approach assumes early retirement (ER). A dual baseline approach is used since Hawaii adopted new state standards for faucets and aerators in 2019, which will be effective as of 1/1/2021. The first baseline will be a 2.2 gpm aerator per current Federal regulations in effect since 1994. The second baseline will be 1.2 gpm for bathroom faucet aerators and 1.8 gpm for kitchen faucet aerators per Hawaii's new state standards. </t>
  </si>
  <si>
    <t>For the online marketplace, the savings approach assumes replace-on-burnout (ROB). A single baseline approach is used. For July 1 - December 31, 2020, the online marketplace baseline will be 2.2 gpm per current Federal regulations in effect since 1994. After January 1, 2021, the baseline will be 1.2 gpm for bathroom faucet aerators and 1.8 gpm for kitchen faucet aerators per Hawaii's new state standards.</t>
  </si>
  <si>
    <t>1.0 gpm bathroom faucet aerator or 1.5 gpm kitchen swivel aerator.</t>
  </si>
  <si>
    <t>Dual baseline (Direct-Install):</t>
  </si>
  <si>
    <t>Single baseline (Online Marketplace, July 1 - December 31, 2020):</t>
  </si>
  <si>
    <t>Single baseline (Online Marketplace, January 1, 2021 and later):</t>
  </si>
  <si>
    <t>Peak kW / Annual kWh</t>
  </si>
  <si>
    <t>Ratio of Peak kW to Annual kWh</t>
  </si>
  <si>
    <t>1/hr</t>
  </si>
  <si>
    <t>1st baseline flow rate</t>
  </si>
  <si>
    <t>Federal Regulations.</t>
  </si>
  <si>
    <t>2nd baseline flow rate</t>
  </si>
  <si>
    <t>Hawaii State Standards, effective January 1, 2021.</t>
  </si>
  <si>
    <t>Products offered on Hawai'i Energy's online marketplace.</t>
  </si>
  <si>
    <t>min/day /person</t>
  </si>
  <si>
    <t>EF</t>
  </si>
  <si>
    <t xml:space="preserve">Energy Factor, storage electric resistance (SERWH) </t>
  </si>
  <si>
    <t>Default Energy Factor for storage electric resistance WH baseline in Solar WH measure (R_WH_SWH).</t>
  </si>
  <si>
    <t>Energy Factor, tankless electric resistance (TERWH)</t>
  </si>
  <si>
    <t>Typical EFs for tankless electric resistance WHs range from 0.96 to 0.99 per DOE.</t>
  </si>
  <si>
    <t>Energy Factor, heat pump water heater (HPWH)</t>
  </si>
  <si>
    <t>Average of Uniform Energy Factor for baseline case and EE case from Heat Pump WH measure (R_WH_Heat Pump). Assumes 56 gal storage tank.</t>
  </si>
  <si>
    <t>Equivalent Energy Factor, solar water heater (SWH)</t>
  </si>
  <si>
    <t>An equivalent EF derived from Solar WH energy use since EF doesn't directly apply (R_WH_SWH).</t>
  </si>
  <si>
    <t>Lifetime in-service rate, direct-install</t>
  </si>
  <si>
    <t>Lifetime in-service rate, online marketplace</t>
  </si>
  <si>
    <t>Assumes customers who purchase products online have a need for the product and will install them and keep them installed.</t>
  </si>
  <si>
    <t>Assumed to be 1/3 of the EUL, rounded to nearest year.</t>
  </si>
  <si>
    <t>Table 1: Residential Water Heating Type Distribution, Online Marketplace</t>
  </si>
  <si>
    <t>Water Heater Type</t>
  </si>
  <si>
    <t>Total</t>
  </si>
  <si>
    <t>Single Family</t>
  </si>
  <si>
    <t>Multi- Family</t>
  </si>
  <si>
    <t xml:space="preserve">Storage Electric Resistance </t>
  </si>
  <si>
    <t xml:space="preserve">Tankless Electric Resistance </t>
  </si>
  <si>
    <t>Gas/Propane</t>
  </si>
  <si>
    <t>Table 2: Residential Home Type Distribution, Online Marketplace</t>
  </si>
  <si>
    <t>Multi-Family</t>
  </si>
  <si>
    <t>Source: Total Housing Units, State of Hawaii, TableID:DP04, 2018: ACS 5-year Estimates Data Profiles, American Community Survey, U.S. Census Bureau, &lt;https://www.census.gov/acs/www/data/data-tables-and-tools/data-profiles/&gt;, accessed 12/31/2019.</t>
  </si>
  <si>
    <t>Direct Install Program - Dual Baseline</t>
  </si>
  <si>
    <t>Table 3: Detailed Savings by Category</t>
  </si>
  <si>
    <t>First Baseline</t>
  </si>
  <si>
    <t>Second Baseline</t>
  </si>
  <si>
    <t>TERWH</t>
  </si>
  <si>
    <t>Online Marketplace, July 1 - December 31, 2020</t>
  </si>
  <si>
    <t>Table 4: Online Marketplace Blended Savings, July 1 - December 31, 2020</t>
  </si>
  <si>
    <t>Online Marketplace, January 1, 2021 and later</t>
  </si>
  <si>
    <t>Table 5: Online Marketplace Blended Savings, January 1, 2021 and later</t>
  </si>
  <si>
    <t xml:space="preserve">Assumes that the high efficiency case remains at 1.0 gpm for bathroom faucet aerators and 1.5 gpm for kitchen faucet aerators after January 1, 2021. </t>
  </si>
  <si>
    <t xml:space="preserve">AEG's Analysis Files titled "AEG HPUC Water Saving Measures - Analysis file," "AEG HPUC Baseline Study Data - Analysis File," and  "AEG HPUC EUL Analysis." </t>
  </si>
  <si>
    <t>Analysis of raw data from responses to select questions from 2019 Baseline Study, Residential Phone / Audit (P/A) Survey, Analysis by Kirk Voegtlin, December 30. 2019.</t>
  </si>
  <si>
    <t>Appliance Standards Awareness Project, accessed Jan. 11, 2020, &lt;https://appliance-standards.org/state-legislation/hawaii-2019-5-products&gt;.</t>
  </si>
  <si>
    <t>Arkansas TRM Version 7.0 Vol. 2, &lt;http://www.apscservices.info/EEInfo/TRMv7.0.pdf&gt;.</t>
  </si>
  <si>
    <t>Electronic Code of Federal Regulations, Title 10: Energy, PART 430—ENERGY CONSERVATION PROGRAM FOR CONSUMER PRODUCTS, Subpart C—Energy and Water Conservation Standards, §430.32   Energy and water conservation standards and their compliance dates, (o) Faucets and (p) Showerheads.</t>
  </si>
  <si>
    <t>ENERGY STAR Residential Water Heaters: Final Criteria Analysis, Department of Energy, April 1, 2008. Lists typical range of EFs for tankless electric resistance water heaters.  &lt;https://www.energystar.gov/ia/partners/prod_development/new_specs/downloads/water_heaters/waterheateranalysis_final.pdf&gt;.</t>
  </si>
  <si>
    <t>Hawaii House Bill 556 (Prior Session Legislation), A Bill for an Act, Relating to Energy Efficiency, Passed 7/1/2019, Act 141 6/26/2019, access text here: &lt;https://legiscan.com/HI/text/HB556/id/2003415/Hawaii-2019-HB556-Amended.html&gt;.</t>
  </si>
  <si>
    <t>Illume: Overview of Energy Savings "Kit" Programs: Background, Challenges, and Opportunities, White Paper, ILLUME Advising LLC, Jan. 15, 2015. &lt;https://illumeadvising.com/files/2016/08/KitsWhitePaper_Final.pdf&gt;.</t>
  </si>
  <si>
    <t>Massachusetts 2019-2021 Plan TRM, Effective from 12/31/2018 to 12/30/2021, electronic TRM, accessed on Jan 3, 2020, &lt;https://etrm.anbetrack.com/#/workarea/trm/MADPU/RES-WH-FA/2019-2021%20Plan%20TRM/version/1?measureName=Hot%20Water%20-%20Faucet%20Aerator&gt;.</t>
  </si>
  <si>
    <t>Navigant, ComEd-Nicor Gas EPY4/GPY1 Multifamily Home Energy Savings Program Evaluation Report FINAL 2013-06-05.</t>
  </si>
  <si>
    <t>Regional Technical Forum, Bathroom and Kitchen Faucet Aerators, workbook, Aerators v1.1, Aug. 22, 2018, worksheet named "In Service Rates," available here &lt;https://nwcouncil.app.box.com/v/Aeratorsv1-1&gt;.</t>
  </si>
  <si>
    <t>Residential End Uses of Water Study, Version 2, Water Research Foundation, April 2016. The study investigated a sample of 23,749 single family homes across the US and Canada, with water use logged in 762 of those homes.</t>
  </si>
  <si>
    <t xml:space="preserve">Texas TRM, v6.0, Vol 2 Residential Measures, Nov. 7, 2018. </t>
  </si>
  <si>
    <t>Total Housing Units, State of Hawaii, TableID:DP04, 2018: ACS 5-year Estimates Data Profiles, American Community Survey, U.S. Census Bureau, &lt;https://www.census.gov/acs/www/data/data-tables-and-tools/data-profiles/&gt;, accessed 12/31/2019.</t>
  </si>
  <si>
    <r>
      <t>AEG's approach to calculate this parameter for Hawaii is similar to the Texas TRM v6.0 and Arkansas TRM v7.0 approaches, except modified to reflect Hawaii's peak demand period of 5-9 PM non-holiday weekdays. The approach for Hawaii also uses daily water use profiles from the Water Research Foundation's 2016 Residential End Use of Water study.</t>
    </r>
    <r>
      <rPr>
        <vertAlign val="superscript"/>
        <sz val="10"/>
        <rFont val="Calibri"/>
        <family val="2"/>
        <scheme val="minor"/>
      </rPr>
      <t>1</t>
    </r>
  </si>
  <si>
    <r>
      <t>gpm</t>
    </r>
    <r>
      <rPr>
        <vertAlign val="subscript"/>
        <sz val="10"/>
        <rFont val="Calibri"/>
        <family val="2"/>
        <scheme val="minor"/>
      </rPr>
      <t>base1</t>
    </r>
  </si>
  <si>
    <r>
      <t>gpm</t>
    </r>
    <r>
      <rPr>
        <vertAlign val="subscript"/>
        <sz val="10"/>
        <rFont val="Calibri"/>
        <family val="2"/>
        <scheme val="minor"/>
      </rPr>
      <t>base2</t>
    </r>
  </si>
  <si>
    <r>
      <t>gpm</t>
    </r>
    <r>
      <rPr>
        <vertAlign val="subscript"/>
        <sz val="10"/>
        <rFont val="Calibri"/>
        <family val="2"/>
        <scheme val="minor"/>
      </rPr>
      <t>EE</t>
    </r>
  </si>
  <si>
    <r>
      <t>2019 Hawaii Statewide Baseline Energy Use Study.</t>
    </r>
    <r>
      <rPr>
        <vertAlign val="superscript"/>
        <sz val="10"/>
        <rFont val="Calibri"/>
        <family val="2"/>
        <scheme val="minor"/>
      </rPr>
      <t>2</t>
    </r>
  </si>
  <si>
    <r>
      <t>2019 Hawaii Statewide Baseline Energy Use Study.</t>
    </r>
    <r>
      <rPr>
        <vertAlign val="superscript"/>
        <sz val="10"/>
        <rFont val="Calibri"/>
        <family val="2"/>
        <scheme val="minor"/>
      </rPr>
      <t>3</t>
    </r>
  </si>
  <si>
    <r>
      <t>T</t>
    </r>
    <r>
      <rPr>
        <vertAlign val="subscript"/>
        <sz val="10"/>
        <rFont val="Calibri"/>
        <family val="2"/>
        <scheme val="minor"/>
      </rPr>
      <t>mix</t>
    </r>
  </si>
  <si>
    <r>
      <t>T</t>
    </r>
    <r>
      <rPr>
        <vertAlign val="subscript"/>
        <sz val="10"/>
        <rFont val="Calibri"/>
        <family val="2"/>
        <scheme val="minor"/>
      </rPr>
      <t>inlet</t>
    </r>
  </si>
  <si>
    <r>
      <t xml:space="preserve">Hawai‘i Energy Solar Water Heating Program Handbook, Table 2, for Hawaii and Honolulu counties. (Maui county average temperature is 71 </t>
    </r>
    <r>
      <rPr>
        <sz val="10"/>
        <rFont val="Calibri"/>
        <family val="2"/>
      </rPr>
      <t>°F</t>
    </r>
    <r>
      <rPr>
        <sz val="10"/>
        <rFont val="Calibri"/>
        <family val="2"/>
        <scheme val="minor"/>
      </rPr>
      <t>).</t>
    </r>
  </si>
  <si>
    <r>
      <t>AEG's Winter 2020 Benchmarking.</t>
    </r>
    <r>
      <rPr>
        <vertAlign val="superscript"/>
        <sz val="10"/>
        <rFont val="Calibri"/>
        <family val="2"/>
        <scheme val="minor"/>
      </rPr>
      <t>1</t>
    </r>
  </si>
  <si>
    <r>
      <t>AEG 2018 Analysis.</t>
    </r>
    <r>
      <rPr>
        <vertAlign val="superscript"/>
        <sz val="10"/>
        <rFont val="Calibri"/>
        <family val="2"/>
        <scheme val="minor"/>
      </rPr>
      <t>4</t>
    </r>
  </si>
  <si>
    <r>
      <rPr>
        <vertAlign val="superscript"/>
        <sz val="9"/>
        <rFont val="Calibri"/>
        <family val="2"/>
        <scheme val="minor"/>
      </rPr>
      <t>1</t>
    </r>
    <r>
      <rPr>
        <sz val="9"/>
        <rFont val="Calibri"/>
        <family val="2"/>
        <scheme val="minor"/>
      </rPr>
      <t xml:space="preserve"> AEG's 2020 Analysis File titled "AEG HPUC Water Saving Measures - Analysis file," see sheet named "Benchmarking Analysis."</t>
    </r>
  </si>
  <si>
    <r>
      <rPr>
        <vertAlign val="superscript"/>
        <sz val="9"/>
        <rFont val="Calibri"/>
        <family val="2"/>
        <scheme val="minor"/>
      </rPr>
      <t>3</t>
    </r>
    <r>
      <rPr>
        <sz val="9"/>
        <rFont val="Calibri"/>
        <family val="2"/>
        <scheme val="minor"/>
      </rPr>
      <t xml:space="preserve"> Derived by AEG from raw survey responses to Questions 15, 22, and 29 for bathroom faucets and Question 13b for kitchen faucets, Residential Phone / Audit Survey, AEG's 2019 Hawaii Statewide Baseline Energy Use Study.</t>
    </r>
  </si>
  <si>
    <r>
      <rPr>
        <vertAlign val="superscript"/>
        <sz val="9"/>
        <rFont val="Calibri"/>
        <family val="2"/>
        <scheme val="minor"/>
      </rPr>
      <t>4</t>
    </r>
    <r>
      <rPr>
        <sz val="9"/>
        <rFont val="Calibri"/>
        <family val="2"/>
        <scheme val="minor"/>
      </rPr>
      <t xml:space="preserve"> AEG's 2018 Analysis File titled "AEG HPUC EUL Analysis." </t>
    </r>
  </si>
  <si>
    <r>
      <rPr>
        <b/>
        <sz val="11"/>
        <rFont val="Calibri"/>
        <family val="2"/>
      </rPr>
      <t>Δ</t>
    </r>
    <r>
      <rPr>
        <b/>
        <sz val="11"/>
        <rFont val="Calibri"/>
        <family val="2"/>
        <scheme val="minor"/>
      </rPr>
      <t>kW</t>
    </r>
    <r>
      <rPr>
        <b/>
        <vertAlign val="subscript"/>
        <sz val="11"/>
        <rFont val="Calibri"/>
        <family val="2"/>
        <scheme val="minor"/>
      </rPr>
      <t>1</t>
    </r>
  </si>
  <si>
    <r>
      <t>ΔkWh</t>
    </r>
    <r>
      <rPr>
        <b/>
        <vertAlign val="subscript"/>
        <sz val="11"/>
        <rFont val="Calibri"/>
        <family val="2"/>
        <scheme val="minor"/>
      </rPr>
      <t>1</t>
    </r>
  </si>
  <si>
    <r>
      <rPr>
        <b/>
        <sz val="11"/>
        <rFont val="Calibri"/>
        <family val="2"/>
      </rPr>
      <t>Δ</t>
    </r>
    <r>
      <rPr>
        <b/>
        <sz val="11"/>
        <rFont val="Calibri"/>
        <family val="2"/>
        <scheme val="minor"/>
      </rPr>
      <t>kW</t>
    </r>
    <r>
      <rPr>
        <b/>
        <vertAlign val="subscript"/>
        <sz val="11"/>
        <rFont val="Calibri"/>
        <family val="2"/>
        <scheme val="minor"/>
      </rPr>
      <t>2</t>
    </r>
  </si>
  <si>
    <r>
      <t>ΔkWh</t>
    </r>
    <r>
      <rPr>
        <b/>
        <vertAlign val="subscript"/>
        <sz val="11"/>
        <rFont val="Calibri"/>
        <family val="2"/>
        <scheme val="minor"/>
      </rPr>
      <t>2</t>
    </r>
  </si>
  <si>
    <r>
      <t>ΔkWh</t>
    </r>
    <r>
      <rPr>
        <b/>
        <vertAlign val="subscript"/>
        <sz val="11"/>
        <rFont val="Calibri"/>
        <family val="2"/>
        <scheme val="minor"/>
      </rPr>
      <t>dual</t>
    </r>
  </si>
  <si>
    <r>
      <t>ΔkWh</t>
    </r>
    <r>
      <rPr>
        <b/>
        <vertAlign val="subscript"/>
        <sz val="11"/>
        <rFont val="Calibri"/>
        <family val="2"/>
        <scheme val="minor"/>
      </rPr>
      <t>single1</t>
    </r>
  </si>
  <si>
    <r>
      <t>ΔkWh</t>
    </r>
    <r>
      <rPr>
        <b/>
        <vertAlign val="subscript"/>
        <sz val="11"/>
        <rFont val="Calibri"/>
        <family val="2"/>
        <scheme val="minor"/>
      </rPr>
      <t>single2</t>
    </r>
  </si>
  <si>
    <r>
      <rPr>
        <vertAlign val="superscript"/>
        <sz val="9"/>
        <rFont val="Calibri"/>
        <family val="2"/>
        <scheme val="minor"/>
      </rPr>
      <t xml:space="preserve">2 </t>
    </r>
    <r>
      <rPr>
        <sz val="9"/>
        <rFont val="Calibri"/>
        <family val="2"/>
        <scheme val="minor"/>
      </rPr>
      <t>2019 Hawaii Statewide Baseline Energy Use Study, Prepared for Hawaii Public Utilities Commission, Prepared by Applied Energy Group, 2020. (Responses to Question 71 of the Residential Phone / Audit Survey.)</t>
    </r>
  </si>
  <si>
    <t>Source: 2019 Hawaii Statewide Baseline Energy Use Study, Prepared for Hawaii Public Utilities Commission, Prepared by Applied Energy Group, 2020. Data from Figure 3-13 of the report and from responses to Question 47b of the Residential Phone / Audit Survey.</t>
  </si>
  <si>
    <t>For the direct-install program, the savings approach assumes early retirement (ER). A dual baseline approach is used since Hawaii adopted new state standards for showerheads, which will be effective as of 1/1/2021. The first baseline will be 2.5 gpm per current Federal regulations in effect since 1994. The second BL will be 1.8 gpm per Hawaii's new state standards.</t>
  </si>
  <si>
    <t>For the online marketplace, the savings approach assumes replace-on-burnout (ROB). A single baseline approach is used. For July 1 - December 31, 2020, the online marketplace baseline will be 2.5 gpm per current Federal regulations in effect since 1994. After January 1, 2021, the baseline will be 1.8 gpm per Hawaii's new state standards.</t>
  </si>
  <si>
    <t>min/ shower</t>
  </si>
  <si>
    <t>Residential End Uses of Water Study, Version 2, Executive Report, Water Research Foundation, April 2016, page 9.</t>
  </si>
  <si>
    <t>shower/ day/ person</t>
  </si>
  <si>
    <t>Gauley, B. and J. Koeller, Shower-Based Water Savings, Flow Rate vs. Duration vs. Volume, an Independent Maximum Performance (MaP) Research Report, January 2017.</t>
  </si>
  <si>
    <t>Hawai‘i Energy Solar Water Heating Program Handbook, Table 2, for Hawaii and Honolulu counties. (Maui county average temperature is 71 °F).</t>
  </si>
  <si>
    <t>Energy Factor, storage electric resistance (SERWH)</t>
  </si>
  <si>
    <t xml:space="preserve">Energy Factor, tankless electric resistance (TERWH) </t>
  </si>
  <si>
    <t>Direct Install Program</t>
  </si>
  <si>
    <t>Online Marketplace, January 1, 2021 and Later</t>
  </si>
  <si>
    <t>Table 5: Online Marketplace Blended Savings, January 1, 2021 and Later</t>
  </si>
  <si>
    <t xml:space="preserve">Assumes that the high efficiency case remains at 1.5 gpm per showerhead. </t>
  </si>
  <si>
    <t>Gauley, B. and J. Koeller, Shower-Based Water Savings, Flow Rate vs. Duration vs. Volume, an Independent Maximum Performance (MaP) Research Report, January 2017, &lt;https://www.map-testing.com/assets/reports/Shower-Based%20Water%20Savings%20Report%20Final%20revised%20March%2010,%202017.pdf&gt;.</t>
  </si>
  <si>
    <t>Regional Technical Forum, Commercial and Residential Showerheads, workbook, Showerheads v4.3, Oct. 23, 2019, worksheet named "Adjustments_Installation Rates," available here &lt;https://rtf.nwcouncil.org/measure/showerheads&gt;.</t>
  </si>
  <si>
    <t>1.5 gpm showerhead.</t>
  </si>
  <si>
    <r>
      <t>T</t>
    </r>
    <r>
      <rPr>
        <vertAlign val="subscript"/>
        <sz val="10"/>
        <rFont val="Calibri"/>
        <family val="2"/>
        <scheme val="minor"/>
      </rPr>
      <t>_mix</t>
    </r>
  </si>
  <si>
    <r>
      <t>T</t>
    </r>
    <r>
      <rPr>
        <vertAlign val="subscript"/>
        <sz val="10"/>
        <rFont val="Calibri"/>
        <family val="2"/>
        <scheme val="minor"/>
      </rPr>
      <t>_inlet</t>
    </r>
  </si>
  <si>
    <r>
      <rPr>
        <vertAlign val="superscript"/>
        <sz val="9"/>
        <rFont val="Calibri"/>
        <family val="2"/>
        <scheme val="minor"/>
      </rPr>
      <t xml:space="preserve">3 </t>
    </r>
    <r>
      <rPr>
        <sz val="9"/>
        <rFont val="Calibri"/>
        <family val="2"/>
        <scheme val="minor"/>
      </rPr>
      <t>2019 Hawaii Statewide Baseline Energy Use Study, Report, Prepared for Hawaii Public Utilities Commission, Prepared by Applied Energy Group, 2020, Table 3-1.</t>
    </r>
  </si>
  <si>
    <t>2019 Hawaii Statewide Baseline Energy Use Study, Report, Prepared for Hawaii Public Utilities Commission, Prepared by Applied Energy Group, 2020.</t>
  </si>
  <si>
    <t>Review/update of text for PY20 TRM</t>
  </si>
  <si>
    <t>Update of TOC to include new and modified content for PY20 TRM</t>
  </si>
  <si>
    <t>Update of Signature sheet for PY20 TRM</t>
  </si>
  <si>
    <t>Update of Issues Log for PY20 TRM</t>
  </si>
  <si>
    <t>COMMERCIAL: AC &amp; Heat Pump, AC &amp; HP Worksheet</t>
  </si>
  <si>
    <t>Consider page numbers if published format will be PDF; remove proprietary language from header/footer</t>
  </si>
  <si>
    <t>Revised in PY20 TRM</t>
  </si>
  <si>
    <t>Commercial: VRF; Commercial: HVAC Savings Calculator - Variable Refrigerant Flow Systems</t>
  </si>
  <si>
    <t>Added equations and detailed explanations in the TRB section of the Key Metrics sheet to show how the TRB is to be calculated for single baseline measures and dual baseline measures; Added a table that lists measures with dual baselines</t>
  </si>
  <si>
    <t>Added packaged terminal AC/heat pump (PTAC/PTHP), vertical heat pump, and water source heat pump technologies to the measure and calculation worksheets; Revised baseline and efficient cases to reflect current efficiency standards</t>
  </si>
  <si>
    <t>Added an option for water-source VRFs to measure and calculation worksheet; Clarified the baseline conditions</t>
  </si>
  <si>
    <t>Updates add clarity to two baseline periods</t>
  </si>
  <si>
    <t>Added Measure Details and Algorithms to clarify the savings estimation approaches; Added section to map key variables from the Amplify tool to variables in the savings algorithms</t>
  </si>
  <si>
    <t>Updated data from Evergreen's baseline study with data from AEG's 2019 baseline study</t>
  </si>
  <si>
    <t>Updates add clarity to two baseline periods and revise savings approach for tuned in units</t>
  </si>
  <si>
    <t>Updated savings approach using Hawaii-specific model</t>
  </si>
  <si>
    <t>Revised the baseline assumptions to meet current federal standards; updated overall approach to be consistent with best practices and SWH measure</t>
  </si>
  <si>
    <t>This measure is affected by the new state standards for faucet aerators and low-flow showerheads; Revised the baseline definition to assume early retirement with a dual baseline for the direct install program and replace on burnout with a single baseline for the online marketplace</t>
  </si>
  <si>
    <t>Codes and Standards Applicable to the Hawai'i Energy TRM</t>
  </si>
  <si>
    <t>Hawai'i Energy Measure(s)</t>
  </si>
  <si>
    <t>Capacity/Size</t>
  </si>
  <si>
    <t>Next Effective Date</t>
  </si>
  <si>
    <t>Source(s)</t>
  </si>
  <si>
    <t>General Service Fluorescent Lamps</t>
  </si>
  <si>
    <t>92.4 lm/W</t>
  </si>
  <si>
    <t>10 CFR 430.32 (n)</t>
  </si>
  <si>
    <t>88.7 lm/W</t>
  </si>
  <si>
    <t>2-ft U-shaped, ≤ 4,500K</t>
  </si>
  <si>
    <t>85.0 lm/W</t>
  </si>
  <si>
    <t>2-ft U-shaped, &gt; 4,500K and ≤ 7,000K</t>
  </si>
  <si>
    <t>83.3 lm/W</t>
  </si>
  <si>
    <t>8-ft slimline, ≤ 4,500K</t>
  </si>
  <si>
    <t>97.0 lm/W</t>
  </si>
  <si>
    <t>8-ft slimline, &gt; 4,500K and ≤ 7,000K</t>
  </si>
  <si>
    <t>93.0 lm/W</t>
  </si>
  <si>
    <t>8-ft high output, ≤ 4,500K</t>
  </si>
  <si>
    <t>92.0 lm/W</t>
  </si>
  <si>
    <t>8-ft high output, &gt; 4,500K and ≤ 7,000K</t>
  </si>
  <si>
    <t>88.0 lm/W</t>
  </si>
  <si>
    <t>4-ft miniature bipin standard output, ≤ 4,500K</t>
  </si>
  <si>
    <t>95.0 lm/W</t>
  </si>
  <si>
    <t>4-ft miniature bipin standard output, &gt; 4,500K and ≤ 7,000K</t>
  </si>
  <si>
    <t>89.3 lm/W</t>
  </si>
  <si>
    <t>4-ft miniature bipin high output, ≤ 4,500K</t>
  </si>
  <si>
    <t>82.7 lm/W</t>
  </si>
  <si>
    <t>4-ft miniature bipin high output, &gt; 4,500K and ≤ 7,000K</t>
  </si>
  <si>
    <t>76.9 lm/W</t>
  </si>
  <si>
    <t>General Service Incandescent Lamps</t>
  </si>
  <si>
    <t>1490-2600 lm</t>
  </si>
  <si>
    <t>1050-1489 lm</t>
  </si>
  <si>
    <t>750-1049 lm</t>
  </si>
  <si>
    <t>310-749 lm</t>
  </si>
  <si>
    <t xml:space="preserve">Various </t>
  </si>
  <si>
    <t>≤ 5 W per face</t>
  </si>
  <si>
    <t>10 CFR 431.206</t>
  </si>
  <si>
    <t>Ceiling Fan and Ceiling Fan Light Kit</t>
  </si>
  <si>
    <t>R_HVAC_Ceiling Fan</t>
  </si>
  <si>
    <t>Very small-diameter (VSD), D ≤ 12 in</t>
  </si>
  <si>
    <t>21 cfm/W (as of Jan. 21, 2020)</t>
  </si>
  <si>
    <t>10 CFR 430.32 (s)</t>
  </si>
  <si>
    <t>Very small-diameter (VSD), D &gt; 12 in</t>
  </si>
  <si>
    <t>3.16 D −17.04 (as of Jan. 21, 2020)</t>
  </si>
  <si>
    <t>0.65 D + 38.03 (as of Jan. 21, 2020)</t>
  </si>
  <si>
    <t>Hugger</t>
  </si>
  <si>
    <t>0.29 D + 34.46 (as of Jan. 21, 2020)</t>
  </si>
  <si>
    <t>High-speed small-diameter (HSSD)</t>
  </si>
  <si>
    <t>4.16 D + 0.02 (as of Jan. 21, 2020)</t>
  </si>
  <si>
    <t>Large-diameter</t>
  </si>
  <si>
    <t>0.91 D−30.00 (as of Jan. 21, 2020)</t>
  </si>
  <si>
    <t>Ceiling fan light kits, &lt; 120 lm</t>
  </si>
  <si>
    <t>50 lm/W (as of Jan. 21, 2020)</t>
  </si>
  <si>
    <t>Ceiling fan light kits, ≥ 120 lm</t>
  </si>
  <si>
    <t>Central AC Split and Single Package</t>
  </si>
  <si>
    <t>R_HVAC_Central AC Retrofit</t>
  </si>
  <si>
    <t xml:space="preserve">10 CFR 430.32 (c) </t>
  </si>
  <si>
    <t>C_HVAC_AC &amp; Heat Pump</t>
  </si>
  <si>
    <t>Air-Source Heat Pump</t>
  </si>
  <si>
    <t>14 SEER</t>
  </si>
  <si>
    <t xml:space="preserve">Water-Source Heat Pump </t>
  </si>
  <si>
    <t>12.2 EER</t>
  </si>
  <si>
    <t>ASHRAE 90.1 2016</t>
  </si>
  <si>
    <t>13.0 EER</t>
  </si>
  <si>
    <t>PTAC</t>
  </si>
  <si>
    <t>EER = 14.0 − 0.3 * Cap / 1000</t>
  </si>
  <si>
    <t xml:space="preserve">EER = 10.9 − 0.213 * Cap / 1000 </t>
  </si>
  <si>
    <t>PTHP</t>
  </si>
  <si>
    <t xml:space="preserve">EER = 10.8 − 0.213 * Cap / 1000 </t>
  </si>
  <si>
    <t>Vertical AC and Heat Pump</t>
  </si>
  <si>
    <t>10.0 EER</t>
  </si>
  <si>
    <t>R_HVAC_Window AC</t>
  </si>
  <si>
    <t>11.0 CEER</t>
  </si>
  <si>
    <t>C_HVAC_Window AC</t>
  </si>
  <si>
    <t>10.9 CEER</t>
  </si>
  <si>
    <t>10.7 CEER</t>
  </si>
  <si>
    <t>9.4 CEER</t>
  </si>
  <si>
    <t>R_HVAC_Dehumidifier</t>
  </si>
  <si>
    <t>Portable,  ≤ 25 pints/day</t>
  </si>
  <si>
    <t>IEF = 1.30 (as of Jun. 13, 2019)</t>
  </si>
  <si>
    <t>10 CFR 430.32 (v)</t>
  </si>
  <si>
    <t>Portable,  25.01 - 50.00 pints/day</t>
  </si>
  <si>
    <t>IEF = 1.60 (as of Jun. 13, 2019)</t>
  </si>
  <si>
    <t>Portable,  &gt; 50 pints/day</t>
  </si>
  <si>
    <t>IEF = 2.80 (as of Jun. 13, 2019)</t>
  </si>
  <si>
    <t>Whole-home, ≤ 8.0 cu ft case volume</t>
  </si>
  <si>
    <t>IEF = 1.77 (as of Jun. 13, 2019)</t>
  </si>
  <si>
    <t>Whole-home, &gt; 8.0 cu ft case volume</t>
  </si>
  <si>
    <t>IEF = 2.41 (as of Jun. 13, 2019)</t>
  </si>
  <si>
    <t xml:space="preserve">Residential Electric Storage Water Heater </t>
  </si>
  <si>
    <t>≥ 20 and ≤ 55 gal, Very Small</t>
  </si>
  <si>
    <t>10 CFR 430.32 (d)</t>
  </si>
  <si>
    <t>≥ 20 and ≤ 55 gal, Low</t>
  </si>
  <si>
    <t>≥ 20 and ≤ 55 gal, Medium</t>
  </si>
  <si>
    <t>≥ 20 and ≤ 55 gal, High</t>
  </si>
  <si>
    <t>&gt; 55 and ≤ 120 gal, Very Small</t>
  </si>
  <si>
    <t>&gt; 55 and ≤ 120 gal, Low</t>
  </si>
  <si>
    <t>&gt; 55 and ≤ 120 gal, Medium</t>
  </si>
  <si>
    <t>&gt; 55 and ≤ 120 gal, High</t>
  </si>
  <si>
    <t>≤ 55 gal</t>
  </si>
  <si>
    <t>10 CFR 430.32 (d), previous metric</t>
  </si>
  <si>
    <t>&gt; 55 gal</t>
  </si>
  <si>
    <t xml:space="preserve">Commercial Electric Water Heater </t>
  </si>
  <si>
    <t>Residential-duty ≤ 12 kW, Resistance, Storage</t>
  </si>
  <si>
    <t>Same as residential</t>
  </si>
  <si>
    <t>Residential-duty ≤ 24 amps and ≤ 250 volts, Heat Pump, Storage</t>
  </si>
  <si>
    <t>Residential-duty &gt; 12 kW, Resistance, Instantaneous</t>
  </si>
  <si>
    <t>UEF = 0.80</t>
  </si>
  <si>
    <t>10 CFR 431.110</t>
  </si>
  <si>
    <t>Commercial-duty, All Sizes</t>
  </si>
  <si>
    <t>Faucet Aerator</t>
  </si>
  <si>
    <t>Lavatory faucets and replacement aerators</t>
  </si>
  <si>
    <t>10 CFR 430.32 (o); Hawaii HB 556, Act 141 6/26/2019</t>
  </si>
  <si>
    <t>Kitchen faucets and replacement aerators</t>
  </si>
  <si>
    <t>Low-Flow Showerhead</t>
  </si>
  <si>
    <t>Showerheads, flowing pressure of 80 psi</t>
  </si>
  <si>
    <t>Compact Dishwasher</t>
  </si>
  <si>
    <t>EF = 0.62 (max of 222 kWh/yr)</t>
  </si>
  <si>
    <t>10 CFR 430.32 (f)</t>
  </si>
  <si>
    <t>Standard Dishwasher</t>
  </si>
  <si>
    <t>EF = 0.46 (max of 307 kWh/yr)</t>
  </si>
  <si>
    <t>IMEF = 1.15</t>
  </si>
  <si>
    <t>10 CFR 430.32 (g)</t>
  </si>
  <si>
    <t>IMEF = 1.57</t>
  </si>
  <si>
    <t>IMEF = 1.13</t>
  </si>
  <si>
    <t>IMEF = 1.84</t>
  </si>
  <si>
    <t>R_Appliance_Clothes Dryer</t>
  </si>
  <si>
    <t>CEF = 3.73</t>
  </si>
  <si>
    <t>10 CFR 430.32 (i)</t>
  </si>
  <si>
    <t>CEF = 3.61</t>
  </si>
  <si>
    <t>CEF = 3.27</t>
  </si>
  <si>
    <t>Vented Gas</t>
  </si>
  <si>
    <t>CEF = 3.3</t>
  </si>
  <si>
    <t>CEF = 2.55</t>
  </si>
  <si>
    <t>Ventless Electric, Combination Washer-Dryer</t>
  </si>
  <si>
    <t>CEF = 2.08</t>
  </si>
  <si>
    <t>Refrigerator/Freezer</t>
  </si>
  <si>
    <t>Refrigerators and refrigerator-freezers, ≤ 39 cu ft</t>
  </si>
  <si>
    <t>Varies (see Standard effective Sep. 15, 2014)</t>
  </si>
  <si>
    <t>10 CFR 430.32 (a)</t>
  </si>
  <si>
    <t>Freezers, ≤ 30 cu ft</t>
  </si>
  <si>
    <t>Commercial Refrigeration/Freezers</t>
  </si>
  <si>
    <t>C_Kitchen_Refrigerator</t>
  </si>
  <si>
    <t>Various</t>
  </si>
  <si>
    <t>See standards effective Mar. 27, 2017</t>
  </si>
  <si>
    <t>10 CFR 431.66</t>
  </si>
  <si>
    <t>C_Kitchen_Freezer</t>
  </si>
  <si>
    <t>Commercial Ice Maker</t>
  </si>
  <si>
    <t>C_Kitchen_Ice Machine</t>
  </si>
  <si>
    <t>See standards effective Jan. 28, 2018</t>
  </si>
  <si>
    <t>10 CFR 431.136</t>
  </si>
  <si>
    <t>Vending Machine</t>
  </si>
  <si>
    <t>C_PlugProcess_Vending Miser</t>
  </si>
  <si>
    <t>Class A</t>
  </si>
  <si>
    <t>Max kWh/day = 0.052 × V + 2.43</t>
  </si>
  <si>
    <t>10 CFR 431.296</t>
  </si>
  <si>
    <t>Class B</t>
  </si>
  <si>
    <t>Max kWh/day = 0.052 × V + 2.20.</t>
  </si>
  <si>
    <t>Combination A</t>
  </si>
  <si>
    <t>Max kWh/day = 0.086 × V + 2.66.</t>
  </si>
  <si>
    <t>Combination B</t>
  </si>
  <si>
    <t>Max kWh/day = 0.111 × V + 2.04.</t>
  </si>
  <si>
    <t>C_PumpMotor_ECM</t>
  </si>
  <si>
    <t>See standards effective Jun. 1, 2016</t>
  </si>
  <si>
    <t>10 CFR 431.25</t>
  </si>
  <si>
    <t>Pool Filter Pump</t>
  </si>
  <si>
    <t>Self-priming pool filter pumps, 0.711 hp ≤ hhp &lt; 2.5 hp, single phase</t>
  </si>
  <si>
    <t>10 CFR 431.465 (f)</t>
  </si>
  <si>
    <t>Self-priming pool filter pumps, hhp ≤ 0.13 hp, single phase</t>
  </si>
  <si>
    <t>Self-priming pool filter pumps, 0.13 hp &lt; hhp &lt; 0.711 hp, single phase</t>
  </si>
  <si>
    <t>Non-self-priming pool filter pumps, hhp ≤ 0.13 hp</t>
  </si>
  <si>
    <t>Non-self-priming pool filter pumps, 0.13 hp &lt; hhp &lt; 2.5 hp</t>
  </si>
  <si>
    <t>Pressure cleaner booster pumps</t>
  </si>
  <si>
    <t>Pumps</t>
  </si>
  <si>
    <t>See standards effective Jan. 27, 2020</t>
  </si>
  <si>
    <t>10 CFR 431.465 (b)</t>
  </si>
  <si>
    <t>Distribution Transformer</t>
  </si>
  <si>
    <t>See standards effective Jan. 1, 2016</t>
  </si>
  <si>
    <t>10 CFR 431.196</t>
  </si>
  <si>
    <t>New Construction / Major Renovation</t>
  </si>
  <si>
    <t>Single Baseline Measures</t>
  </si>
  <si>
    <t>Where:</t>
  </si>
  <si>
    <t>Dual Baseline Measures</t>
  </si>
  <si>
    <t>Deemed and semi-prescriptive measures requiring a dual baseline approach are listed below, with hyperlinks to the applicable measure sheets.</t>
  </si>
  <si>
    <t>Deemed and Semi-Prescriptive:</t>
  </si>
  <si>
    <t>Residential</t>
  </si>
  <si>
    <t>Commercial</t>
  </si>
  <si>
    <t>- Window AC w/ Recycling</t>
  </si>
  <si>
    <t>- Directional &amp; Screw Base Omni</t>
  </si>
  <si>
    <t>- Decorative LEDs</t>
  </si>
  <si>
    <t>- T8 Linear (Early Replacement)**</t>
  </si>
  <si>
    <t>C_Light_Energy Advantage**</t>
  </si>
  <si>
    <t>- Refrigerator w/ Turn-In*</t>
  </si>
  <si>
    <t>- Refrigerated Case (Early Replacement)</t>
  </si>
  <si>
    <t>- Freezer w/ Turn-In*</t>
  </si>
  <si>
    <t>*These refrigerator/freezer measures have a combination of two savings pieces, each with different lifetimes</t>
  </si>
  <si>
    <t>** SBDIL / Energy Advantage lighting projects use custom hours of use (HOU)</t>
  </si>
  <si>
    <t>Some fully custom measures will also require a dual baseline approach, including the following:</t>
  </si>
  <si>
    <t>Distribution Transformer with Early Replacement</t>
  </si>
  <si>
    <t>Commercial Chiller, AC, Heat Pump, or VRF with Early Replacement</t>
  </si>
  <si>
    <r>
      <rPr>
        <b/>
        <sz val="11"/>
        <rFont val="Calibri"/>
        <family val="2"/>
        <scheme val="minor"/>
      </rPr>
      <t>NTGR</t>
    </r>
    <r>
      <rPr>
        <b/>
        <vertAlign val="subscript"/>
        <sz val="11"/>
        <rFont val="Calibri"/>
        <family val="2"/>
        <scheme val="minor"/>
      </rPr>
      <t>Prog</t>
    </r>
    <r>
      <rPr>
        <sz val="11"/>
        <rFont val="Calibri"/>
        <family val="2"/>
        <scheme val="minor"/>
      </rPr>
      <t xml:space="preserve"> = Net-to-gross ratio for the applicable program. See Table 6 below.</t>
    </r>
  </si>
  <si>
    <r>
      <rPr>
        <b/>
        <sz val="11"/>
        <rFont val="Calibri"/>
        <family val="2"/>
      </rPr>
      <t>ΔkWh</t>
    </r>
    <r>
      <rPr>
        <b/>
        <vertAlign val="subscript"/>
        <sz val="11"/>
        <rFont val="Calibri"/>
        <family val="2"/>
      </rPr>
      <t>1st yr Gross Cust_Meas</t>
    </r>
    <r>
      <rPr>
        <sz val="11"/>
        <rFont val="Calibri"/>
        <family val="2"/>
        <scheme val="minor"/>
      </rPr>
      <t xml:space="preserve"> = Sum of first year gross customer level energy savings for the measure by County.</t>
    </r>
  </si>
  <si>
    <r>
      <rPr>
        <b/>
        <sz val="11"/>
        <rFont val="Calibri"/>
        <family val="2"/>
      </rPr>
      <t>ΔkW</t>
    </r>
    <r>
      <rPr>
        <b/>
        <vertAlign val="subscript"/>
        <sz val="11"/>
        <rFont val="Calibri"/>
        <family val="2"/>
      </rPr>
      <t>1st yr Gross Cust_Meas</t>
    </r>
    <r>
      <rPr>
        <sz val="11"/>
        <rFont val="Calibri"/>
        <family val="2"/>
        <scheme val="minor"/>
      </rPr>
      <t xml:space="preserve"> = Sum of first year gross customer level peak demand savings for the measure by County.</t>
    </r>
  </si>
  <si>
    <t>For measures with a dual baseline, the NPV values must be used differently since there are two separate savings periods. One way is to use annual NPV values. For example, if the duration of the first baseline period is 2 years, the annual NPV values for Measure Year 1 and Measure Year 2 would be used in the calculations along with the annual impacts associated with that first 2-year baseline period. Then, if the second baseline period is 6 years (for a total measure life of 8 years), the annual values for Measure Years 3 through 8 would be used with the annual impacts associated with the second 6-year baseline period. Another way is to use the cumulative NPV values in a special manner that accounts for the two separate baseline periods. Equation 2 below shows the algorithm for calculating the TRB for a dual baseline measure using cumulative NPV values.</t>
  </si>
  <si>
    <r>
      <rPr>
        <b/>
        <sz val="11"/>
        <rFont val="Calibri"/>
        <family val="2"/>
      </rPr>
      <t>ΔkWh</t>
    </r>
    <r>
      <rPr>
        <b/>
        <vertAlign val="subscript"/>
        <sz val="11"/>
        <rFont val="Calibri"/>
        <family val="2"/>
      </rPr>
      <t>1st BL Gross Cust_Meas</t>
    </r>
    <r>
      <rPr>
        <sz val="11"/>
        <rFont val="Calibri"/>
        <family val="2"/>
        <scheme val="minor"/>
      </rPr>
      <t xml:space="preserve"> = Sum of the first baseline first year gross customer level energy savings for the measure by County.</t>
    </r>
  </si>
  <si>
    <r>
      <rPr>
        <b/>
        <sz val="11"/>
        <rFont val="Calibri"/>
        <family val="2"/>
      </rPr>
      <t>ΔkW</t>
    </r>
    <r>
      <rPr>
        <b/>
        <vertAlign val="subscript"/>
        <sz val="11"/>
        <rFont val="Calibri"/>
        <family val="2"/>
      </rPr>
      <t>1st BL Gross Cust_Meas</t>
    </r>
    <r>
      <rPr>
        <sz val="11"/>
        <rFont val="Calibri"/>
        <family val="2"/>
        <scheme val="minor"/>
      </rPr>
      <t xml:space="preserve"> = Sum of the first baseline first year gross customer level peak demand savings for the measure by County.</t>
    </r>
  </si>
  <si>
    <r>
      <rPr>
        <b/>
        <sz val="11"/>
        <rFont val="Calibri"/>
        <family val="2"/>
      </rPr>
      <t>ΔkWh</t>
    </r>
    <r>
      <rPr>
        <b/>
        <vertAlign val="subscript"/>
        <sz val="11"/>
        <rFont val="Calibri"/>
        <family val="2"/>
      </rPr>
      <t>2nd BL Gross Cust_Meas</t>
    </r>
    <r>
      <rPr>
        <sz val="11"/>
        <rFont val="Calibri"/>
        <family val="2"/>
        <scheme val="minor"/>
      </rPr>
      <t xml:space="preserve"> = Sum of the second baseline first year gross customer level energy savings for the measure by County.</t>
    </r>
  </si>
  <si>
    <r>
      <rPr>
        <b/>
        <sz val="11"/>
        <rFont val="Calibri"/>
        <family val="2"/>
      </rPr>
      <t>ΔkW</t>
    </r>
    <r>
      <rPr>
        <b/>
        <vertAlign val="subscript"/>
        <sz val="11"/>
        <rFont val="Calibri"/>
        <family val="2"/>
      </rPr>
      <t>2nd BL Gross Cust_Meas</t>
    </r>
    <r>
      <rPr>
        <sz val="11"/>
        <rFont val="Calibri"/>
        <family val="2"/>
        <scheme val="minor"/>
      </rPr>
      <t xml:space="preserve"> = Sum of the second baseline first year gross customer level peak demand savings for the measure by County.</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</si>
  <si>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(3) for the first (Pre-Existing) baseline period. See the "C_Light_Energy Advantage" sheet for more detail.</t>
    </r>
  </si>
  <si>
    <r>
      <t xml:space="preserve">Note: First Year </t>
    </r>
    <r>
      <rPr>
        <b/>
        <u/>
        <sz val="11"/>
        <color rgb="FF002060"/>
        <rFont val="Calibri"/>
        <family val="2"/>
        <scheme val="minor"/>
      </rPr>
      <t>Energy Savings</t>
    </r>
    <r>
      <rPr>
        <b/>
        <sz val="11"/>
        <color rgb="FF002060"/>
        <rFont val="Calibri"/>
        <family val="2"/>
        <scheme val="minor"/>
      </rPr>
      <t xml:space="preserve"> for SBDIL are to be calculated with custom HOU using Equation (4) for the second (Federal Standard) baseline period. See the "C_Light_Energy Advantage" sheet for more detail.</t>
    </r>
  </si>
  <si>
    <r>
      <t xml:space="preserve">Note: </t>
    </r>
    <r>
      <rPr>
        <b/>
        <u/>
        <sz val="11"/>
        <color rgb="FF002060"/>
        <rFont val="Calibri"/>
        <family val="2"/>
        <scheme val="minor"/>
      </rPr>
      <t>Lifetime Energy Savings</t>
    </r>
    <r>
      <rPr>
        <b/>
        <sz val="11"/>
        <color rgb="FF002060"/>
        <rFont val="Calibri"/>
        <family val="2"/>
        <scheme val="minor"/>
      </rPr>
      <t xml:space="preserve"> for SBDIL are to be calculated with custom HOU using Equation (6). See the "C_Light_Energy Advantage" sheet for more detail.</t>
    </r>
  </si>
  <si>
    <t>(See item #154)</t>
  </si>
  <si>
    <t xml:space="preserve">Publication Date: </t>
  </si>
  <si>
    <t>Assumed two 12,000 Btu/h Room ACs per home or one 24,000 Btu/h Ductless Mini Split AC per home.</t>
  </si>
  <si>
    <t>Assumed two 12,000 Btu/h Room ACs per home or one 24,000 Btu/h Ductless Mini Split ACs per home.</t>
  </si>
  <si>
    <r>
      <rPr>
        <b/>
        <sz val="11"/>
        <rFont val="Calibri"/>
        <family val="2"/>
        <scheme val="minor"/>
      </rPr>
      <t>[Cumul.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EUL. See Tables 3 through 5 below. Select correct program year. Select value for Measure Year = EUL and for correct County.</t>
    </r>
  </si>
  <si>
    <r>
      <rPr>
        <b/>
        <sz val="11"/>
        <rFont val="Calibri"/>
        <family val="2"/>
        <scheme val="minor"/>
      </rPr>
      <t>[Cumul.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for avoided capacity cost for the final year of the EUL. See Tables 3 through 5 below. Select correct program year. Select value for Measure Year = EUL and for correct County.</t>
    </r>
  </si>
  <si>
    <r>
      <rPr>
        <b/>
        <sz val="11"/>
        <rFont val="Calibri"/>
        <family val="2"/>
        <scheme val="minor"/>
      </rPr>
      <t>[Cumulative NPV avoided energy cost]</t>
    </r>
    <r>
      <rPr>
        <b/>
        <vertAlign val="subscript"/>
        <sz val="11"/>
        <rFont val="Calibri"/>
        <family val="2"/>
        <scheme val="minor"/>
      </rPr>
      <t>Meas yr=RUL</t>
    </r>
    <r>
      <rPr>
        <sz val="11"/>
        <rFont val="Calibri"/>
        <family val="2"/>
        <scheme val="minor"/>
      </rPr>
      <t xml:space="preserve"> = 
a) Early Replacement Projects: Cumulative NPV for avoided energy cost for the final year of the RUL of the pre-existing equipment, </t>
    </r>
    <r>
      <rPr>
        <b/>
        <i/>
        <sz val="11"/>
        <rFont val="Calibri"/>
        <family val="2"/>
        <scheme val="minor"/>
      </rPr>
      <t xml:space="preserve">OR </t>
    </r>
    <r>
      <rPr>
        <sz val="11"/>
        <rFont val="Calibri"/>
        <family val="2"/>
        <scheme val="minor"/>
      </rPr>
      <t xml:space="preserve">
b) Replace-on-Burnout Projects Subject to Upcoming Codes and Standards: Cumulative NPV for avoided energy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</si>
  <si>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capacity cost]</t>
    </r>
    <r>
      <rPr>
        <b/>
        <vertAlign val="subscript"/>
        <sz val="11"/>
        <rFont val="Calibri"/>
        <family val="2"/>
        <scheme val="minor"/>
      </rPr>
      <t>Meas yr=RUL</t>
    </r>
    <r>
      <rPr>
        <b/>
        <sz val="11"/>
        <rFont val="Calibri"/>
        <family val="2"/>
        <scheme val="minor"/>
      </rPr>
      <t xml:space="preserve"> </t>
    </r>
    <r>
      <rPr>
        <sz val="11"/>
        <rFont val="Calibri"/>
        <family val="2"/>
        <scheme val="minor"/>
      </rPr>
      <t xml:space="preserve">= 
a) </t>
    </r>
    <r>
      <rPr>
        <u/>
        <sz val="11"/>
        <rFont val="Calibri"/>
        <family val="2"/>
        <scheme val="minor"/>
      </rPr>
      <t>Early Replacement Projects</t>
    </r>
    <r>
      <rPr>
        <sz val="11"/>
        <rFont val="Calibri"/>
        <family val="2"/>
        <scheme val="minor"/>
      </rPr>
      <t xml:space="preserve">: Cumulative NPV for avoided capacity cost for the final year of the RUL of the pre-existing equipment, </t>
    </r>
    <r>
      <rPr>
        <b/>
        <i/>
        <sz val="11"/>
        <rFont val="Calibri"/>
        <family val="2"/>
        <scheme val="minor"/>
      </rPr>
      <t xml:space="preserve">OR </t>
    </r>
    <r>
      <rPr>
        <sz val="11"/>
        <rFont val="Calibri"/>
        <family val="2"/>
        <scheme val="minor"/>
      </rPr>
      <t xml:space="preserve">
b) </t>
    </r>
    <r>
      <rPr>
        <u/>
        <sz val="11"/>
        <rFont val="Calibri"/>
        <family val="2"/>
        <scheme val="minor"/>
      </rPr>
      <t>Replace-on-Burnout Projects Subject to Upcoming Codes and Standards</t>
    </r>
    <r>
      <rPr>
        <sz val="11"/>
        <rFont val="Calibri"/>
        <family val="2"/>
        <scheme val="minor"/>
      </rPr>
      <t>: Cumulative NPV for avoided capacity cost for the final year of the EUL of the first baseline equipment. 
See Tables 3 through 5 below. Select correct program year. Select value for correct County and for Measure Year = RUL or first baseline period EUL.</t>
    </r>
  </si>
  <si>
    <r>
      <rPr>
        <b/>
        <sz val="11"/>
        <rFont val="Calibri"/>
        <family val="2"/>
        <scheme val="minor"/>
      </rPr>
      <t>[Cumulative NPV avoided energy cost]</t>
    </r>
    <r>
      <rPr>
        <b/>
        <vertAlign val="subscript"/>
        <sz val="11"/>
        <rFont val="Calibri"/>
        <family val="2"/>
        <scheme val="minor"/>
      </rPr>
      <t>Meas yr=EUL</t>
    </r>
    <r>
      <rPr>
        <sz val="11"/>
        <rFont val="Calibri"/>
        <family val="2"/>
        <scheme val="minor"/>
      </rPr>
      <t xml:space="preserve"> = Cumulative NPV for avoided energy cost for the final year of the high efficiency equipment's EUL. See Tables 3 through 5 below. Select correct program year. Select value for correct County and for Measure Year = high efficiency case EUL.</t>
    </r>
  </si>
  <si>
    <r>
      <rPr>
        <b/>
        <sz val="11"/>
        <rFont val="Calibri"/>
        <family val="2"/>
        <scheme val="minor"/>
      </rPr>
      <t>[Cumulative NPV avoided capacity cost]</t>
    </r>
    <r>
      <rPr>
        <b/>
        <vertAlign val="subscript"/>
        <sz val="11"/>
        <rFont val="Calibri"/>
        <family val="2"/>
        <scheme val="minor"/>
      </rPr>
      <t>Meas yr=EUL</t>
    </r>
    <r>
      <rPr>
        <b/>
        <sz val="11"/>
        <rFont val="Calibri"/>
        <family val="2"/>
        <scheme val="minor"/>
      </rPr>
      <t xml:space="preserve"> </t>
    </r>
    <r>
      <rPr>
        <sz val="11"/>
        <rFont val="Calibri"/>
        <family val="2"/>
        <scheme val="minor"/>
      </rPr>
      <t>= Cumulative NPV value for avoided capacity cost for the final year of the high efficiency equipment's EUL. See Tables 3 through 5 below. Select correct program year. Select value for correct County and for Measure Year = high efficiency case EUL.</t>
    </r>
  </si>
  <si>
    <t>Refrigeration</t>
  </si>
  <si>
    <t>Adding Doors to Refrigerated Cases</t>
  </si>
  <si>
    <t>Floating Head Pressure Controls</t>
  </si>
  <si>
    <t>COMMERCIAL: Evaporator Motor Controls</t>
  </si>
  <si>
    <t>Introduced in Fall 2020 for PY20 TRM v2.0.</t>
  </si>
  <si>
    <t xml:space="preserve">By installing evaporator fan motor controls on existing evaporator fans, the continuous full speed operation of cooler and freezer evaporator fans can be avoided. This measure assumes the motor controls will cycle the evaporator fans on and off to meet the current need of the refrigeration system, thus conserving energy. </t>
  </si>
  <si>
    <t xml:space="preserve">Equipping already existing shaded pole (SP) motors or electronically commutated motors (ECMs) on evaporator fans with fan motor controls.                                                                     </t>
  </si>
  <si>
    <t>Walk-in coolers and freezers and refrigerated warehouse applications are eligible.</t>
  </si>
  <si>
    <t>Per evaporator fan motor controlled, where the total number of controlled evaporator fans with a given motor horsepower is a custom entry.</t>
  </si>
  <si>
    <t>Evaporator fans with no motor controls.</t>
  </si>
  <si>
    <t>Evaporator fans with motor controls equipped.</t>
  </si>
  <si>
    <t>where</t>
  </si>
  <si>
    <t>SP</t>
  </si>
  <si>
    <t>ECM</t>
  </si>
  <si>
    <r>
      <t>N</t>
    </r>
    <r>
      <rPr>
        <vertAlign val="subscript"/>
        <sz val="10.5"/>
        <color theme="1"/>
        <rFont val="Calibri"/>
        <family val="2"/>
        <scheme val="minor"/>
      </rPr>
      <t>fans</t>
    </r>
  </si>
  <si>
    <t>Number of evaporator fans</t>
  </si>
  <si>
    <t>Fans</t>
  </si>
  <si>
    <t>hp</t>
  </si>
  <si>
    <t>Horsepower rating of evaporator fan</t>
  </si>
  <si>
    <t>Table 2</t>
  </si>
  <si>
    <t>Motor efficiency</t>
  </si>
  <si>
    <r>
      <t>DC</t>
    </r>
    <r>
      <rPr>
        <vertAlign val="subscript"/>
        <sz val="10.5"/>
        <color theme="1"/>
        <rFont val="Calibri"/>
        <family val="2"/>
        <scheme val="minor"/>
      </rPr>
      <t>comp</t>
    </r>
  </si>
  <si>
    <r>
      <t xml:space="preserve">Duty cycle of compressor used in </t>
    </r>
    <r>
      <rPr>
        <u/>
        <sz val="10.5"/>
        <color theme="1"/>
        <rFont val="Calibri"/>
        <family val="2"/>
        <scheme val="minor"/>
      </rPr>
      <t>Coolers</t>
    </r>
    <r>
      <rPr>
        <sz val="10.5"/>
        <color theme="1"/>
        <rFont val="Calibri"/>
        <family val="2"/>
        <scheme val="minor"/>
      </rPr>
      <t xml:space="preserve"> (medium temperature refrigeration)</t>
    </r>
  </si>
  <si>
    <r>
      <t xml:space="preserve">Assumes on/off cycling. Value is based on benchmarking review of typical compressor operation for Coolers. </t>
    </r>
    <r>
      <rPr>
        <vertAlign val="superscript"/>
        <sz val="10.5"/>
        <color theme="1"/>
        <rFont val="Calibri"/>
        <family val="2"/>
        <scheme val="minor"/>
      </rPr>
      <t>1</t>
    </r>
  </si>
  <si>
    <r>
      <t xml:space="preserve">Duty cycle of compressor used in </t>
    </r>
    <r>
      <rPr>
        <u/>
        <sz val="10.5"/>
        <color theme="1"/>
        <rFont val="Calibri"/>
        <family val="2"/>
        <scheme val="minor"/>
      </rPr>
      <t>Freezers</t>
    </r>
    <r>
      <rPr>
        <sz val="10.5"/>
        <color theme="1"/>
        <rFont val="Calibri"/>
        <family val="2"/>
        <scheme val="minor"/>
      </rPr>
      <t xml:space="preserve"> (low temperature refrigeration)</t>
    </r>
  </si>
  <si>
    <r>
      <t xml:space="preserve">Assumes on/off cycling. Value is based on benchmarking review of typical compressor operation for Freezers. </t>
    </r>
    <r>
      <rPr>
        <vertAlign val="superscript"/>
        <sz val="10.5"/>
        <color theme="1"/>
        <rFont val="Calibri"/>
        <family val="2"/>
        <scheme val="minor"/>
      </rPr>
      <t>1</t>
    </r>
  </si>
  <si>
    <r>
      <t>DC</t>
    </r>
    <r>
      <rPr>
        <vertAlign val="subscript"/>
        <sz val="10.5"/>
        <color theme="1"/>
        <rFont val="Calibri"/>
        <family val="2"/>
        <scheme val="minor"/>
      </rPr>
      <t>evap</t>
    </r>
  </si>
  <si>
    <r>
      <t xml:space="preserve">Duty cycle of evaporator fan used in </t>
    </r>
    <r>
      <rPr>
        <u/>
        <sz val="10.5"/>
        <color theme="1"/>
        <rFont val="Calibri"/>
        <family val="2"/>
        <scheme val="minor"/>
      </rPr>
      <t>Coolers</t>
    </r>
    <r>
      <rPr>
        <sz val="10.5"/>
        <color theme="1"/>
        <rFont val="Calibri"/>
        <family val="2"/>
        <scheme val="minor"/>
      </rPr>
      <t xml:space="preserve"> (base case)</t>
    </r>
  </si>
  <si>
    <r>
      <t xml:space="preserve">Duty cycle of evaporator fan used in </t>
    </r>
    <r>
      <rPr>
        <u/>
        <sz val="10.5"/>
        <color theme="1"/>
        <rFont val="Calibri"/>
        <family val="2"/>
        <scheme val="minor"/>
      </rPr>
      <t>Freezers</t>
    </r>
    <r>
      <rPr>
        <sz val="10.5"/>
        <color theme="1"/>
        <rFont val="Calibri"/>
        <family val="2"/>
        <scheme val="minor"/>
      </rPr>
      <t xml:space="preserve"> (base case)</t>
    </r>
  </si>
  <si>
    <r>
      <t xml:space="preserve">Even without evaporator fan motor controls, evaporator fans in freezers do not run 100% of the time because of defrost control settings. The assumed value of 94% is based on benchmarking review. </t>
    </r>
    <r>
      <rPr>
        <vertAlign val="superscript"/>
        <sz val="10.5"/>
        <color theme="1"/>
        <rFont val="Calibri"/>
        <family val="2"/>
        <scheme val="minor"/>
      </rPr>
      <t>1</t>
    </r>
  </si>
  <si>
    <t>BF</t>
  </si>
  <si>
    <r>
      <t xml:space="preserve">Bonus factor for reduced thermal load in </t>
    </r>
    <r>
      <rPr>
        <u/>
        <sz val="10.5"/>
        <color theme="1"/>
        <rFont val="Calibri"/>
        <family val="2"/>
        <scheme val="minor"/>
      </rPr>
      <t>Coolers</t>
    </r>
    <r>
      <rPr>
        <sz val="10.5"/>
        <color theme="1"/>
        <rFont val="Calibri"/>
        <family val="2"/>
        <scheme val="minor"/>
      </rPr>
      <t>, due to reduced fan usage</t>
    </r>
  </si>
  <si>
    <r>
      <t xml:space="preserve">Bonus factor for reduced thermal load in </t>
    </r>
    <r>
      <rPr>
        <u/>
        <sz val="10.5"/>
        <color theme="1"/>
        <rFont val="Calibri"/>
        <family val="2"/>
        <scheme val="minor"/>
      </rPr>
      <t>Freezers</t>
    </r>
    <r>
      <rPr>
        <sz val="10.5"/>
        <color theme="1"/>
        <rFont val="Calibri"/>
        <family val="2"/>
        <scheme val="minor"/>
      </rPr>
      <t>, due to reduced fan usage</t>
    </r>
  </si>
  <si>
    <r>
      <t>(1-DC</t>
    </r>
    <r>
      <rPr>
        <vertAlign val="subscript"/>
        <sz val="10.5"/>
        <color theme="1"/>
        <rFont val="Calibri"/>
        <family val="2"/>
        <scheme val="minor"/>
      </rPr>
      <t>comp</t>
    </r>
    <r>
      <rPr>
        <sz val="10.5"/>
        <color theme="1"/>
        <rFont val="Calibri"/>
        <family val="2"/>
        <scheme val="minor"/>
      </rPr>
      <t>)*DC</t>
    </r>
    <r>
      <rPr>
        <vertAlign val="subscript"/>
        <sz val="10.5"/>
        <color theme="1"/>
        <rFont val="Calibri"/>
        <family val="2"/>
        <scheme val="minor"/>
      </rPr>
      <t>evap</t>
    </r>
  </si>
  <si>
    <r>
      <rPr>
        <vertAlign val="superscript"/>
        <sz val="9"/>
        <rFont val="Calibri"/>
        <family val="2"/>
        <scheme val="minor"/>
      </rPr>
      <t>1</t>
    </r>
    <r>
      <rPr>
        <sz val="9"/>
        <rFont val="Calibri"/>
        <family val="2"/>
        <scheme val="minor"/>
      </rPr>
      <t xml:space="preserve"> AEG's 2020 Analysis File titled "AEG HPUC - New Com Refrig Measures - Analysis File_Dec 2020." See sheet named "Evaporator motor controls_Notes." Note that efficiency will also be a function of motor size, but we have assumed an average efficiency across all motor sizes in Tables 1 and 2 for simplicity.</t>
    </r>
  </si>
  <si>
    <r>
      <rPr>
        <vertAlign val="superscript"/>
        <sz val="9"/>
        <rFont val="Calibri"/>
        <family val="2"/>
        <scheme val="minor"/>
      </rPr>
      <t>2</t>
    </r>
    <r>
      <rPr>
        <sz val="9"/>
        <rFont val="Calibri"/>
        <family val="2"/>
        <scheme val="minor"/>
      </rPr>
      <t xml:space="preserve"> Arkansas Technical Reference Manual, Version 8.1, Volume 2: Deemed Savings, Aug. 31, 2019, p. 475, footnote 648. The 1.2 and 1.5 values are also cited in Texas TRM v7.0.</t>
    </r>
  </si>
  <si>
    <r>
      <rPr>
        <vertAlign val="superscript"/>
        <sz val="9"/>
        <rFont val="Calibri"/>
        <family val="2"/>
        <scheme val="minor"/>
      </rPr>
      <t>3</t>
    </r>
    <r>
      <rPr>
        <sz val="9"/>
        <rFont val="Calibri"/>
        <family val="2"/>
        <scheme val="minor"/>
      </rPr>
      <t xml:space="preserve"> Note that future replacement of an SP motor with a new ECM + same controller could be claimed in the TRM's other ECM measure. </t>
    </r>
  </si>
  <si>
    <r>
      <t xml:space="preserve">Table 1: Demand and Energy Savings for Motor Controls (Having </t>
    </r>
    <r>
      <rPr>
        <b/>
        <u/>
        <sz val="11"/>
        <color theme="1"/>
        <rFont val="Calibri"/>
        <family val="2"/>
        <scheme val="minor"/>
      </rPr>
      <t>Shaded Pole</t>
    </r>
    <r>
      <rPr>
        <b/>
        <sz val="11"/>
        <color theme="1"/>
        <rFont val="Calibri"/>
        <family val="2"/>
        <scheme val="minor"/>
      </rPr>
      <t xml:space="preserve"> Motor)</t>
    </r>
  </si>
  <si>
    <t>Motor HP</t>
  </si>
  <si>
    <t>For Coolers</t>
  </si>
  <si>
    <t>For Freezers</t>
  </si>
  <si>
    <t>Peak kW Savings</t>
  </si>
  <si>
    <t>Annual kWh Savings</t>
  </si>
  <si>
    <t>Lifetime kWh Savings</t>
  </si>
  <si>
    <t>1/47</t>
  </si>
  <si>
    <t>1/25</t>
  </si>
  <si>
    <t>1/20</t>
  </si>
  <si>
    <t>1/15</t>
  </si>
  <si>
    <t>1/8</t>
  </si>
  <si>
    <t>1/3</t>
  </si>
  <si>
    <r>
      <t xml:space="preserve">Table 2: Demand and Energy Savings for Motor Controls (Having </t>
    </r>
    <r>
      <rPr>
        <b/>
        <u/>
        <sz val="11"/>
        <color theme="1"/>
        <rFont val="Calibri"/>
        <family val="2"/>
        <scheme val="minor"/>
      </rPr>
      <t>ECM</t>
    </r>
    <r>
      <rPr>
        <b/>
        <sz val="11"/>
        <color theme="1"/>
        <rFont val="Calibri"/>
        <family val="2"/>
        <scheme val="minor"/>
      </rPr>
      <t>)</t>
    </r>
  </si>
  <si>
    <t>Semi-Prescriptive Savings Calculator (based on customer-specific data)</t>
  </si>
  <si>
    <t>Select Type of Refrigerated Space (Cooler or Freezer)</t>
  </si>
  <si>
    <t>Cooler</t>
  </si>
  <si>
    <t>Select Type of Evaporator Fan Motor</t>
  </si>
  <si>
    <t>Select Horsepower of Evaporator Fan Motor</t>
  </si>
  <si>
    <t>Enter Number of Motors of Given Horsepower</t>
  </si>
  <si>
    <t>Arkansas Technical Reference Manual, Version 8.1, Volume 2: Deemed Savings, Aug. 31, 2019.</t>
  </si>
  <si>
    <t>Connecticut's 2018 Program Savings Document, 13th Edition, filed Dec. 15, 2017.</t>
  </si>
  <si>
    <t>Illinois 2020 Statewide Technical Reference Manual for Energy Efficiency, Version 8.0, Volume 2: Commercial and Industrial Measures, Oct. 17, 2019.</t>
  </si>
  <si>
    <t>Mid-Atlantic Technical Reference Manual, Version 8, May 2018.</t>
  </si>
  <si>
    <t>Public Service Commission of Wisconsin, Wisconsin Focus on Energy 2020 Technical Reference Manual, pp. 794-797.</t>
  </si>
  <si>
    <t>Regional Technical Forum. "Walk-In Evaporator Fan ECMotor Controllers  - Unit Energy Savings Workbook, Version 3.1." Northwest Power and Conservation Council. December 7, 2018. Spreadsheet: "ComGroceryWalkinEvapFanECMContoller_v3_1.xlsm."</t>
  </si>
  <si>
    <t>State of Minnesota Technical Reference Manual for Energy Conservation Improvement Programs, Version 2.2, May 2, 2018.</t>
  </si>
  <si>
    <t>Tennessee Valley Authority Technical Reference Manual, Version 6.0, October 1, 2017.</t>
  </si>
  <si>
    <t>Texas Technical Reference Manual, Version 7.0, Volume 3: Nonresidential Measures, November 2019, pp. 247-249.</t>
  </si>
  <si>
    <t>COMMERCIAL: Adding Doors to Refrigerated Cases</t>
  </si>
  <si>
    <t>Doors can be retrofitted onto existing medium temperature open cases to reduce the energy usage by compressor due to reduced spillage of cold air.</t>
  </si>
  <si>
    <r>
      <t>Equipping already existing medium temperature (10-35</t>
    </r>
    <r>
      <rPr>
        <sz val="11"/>
        <color theme="1"/>
        <rFont val="Calibri"/>
        <family val="2"/>
      </rPr>
      <t>°</t>
    </r>
    <r>
      <rPr>
        <sz val="11"/>
        <color theme="1"/>
        <rFont val="Calibri"/>
        <family val="2"/>
        <scheme val="minor"/>
      </rPr>
      <t xml:space="preserve">F) open refrigerated cases with doors.                                                                    </t>
    </r>
  </si>
  <si>
    <t>Refrigeration system must be reevaluated after adding doors since the load reduction (and change in load profile) will affect the operation and performance of the overall system. Specifically, reconfiguration of the compressor rack and controls will be needed to align compressor operation with the new load profile of the cases. Refer to DOE 2013 reference listed in "Resources" section below for more information.</t>
  </si>
  <si>
    <t>Per refrigerated case, where the length of the case in linear feet is a custom entry.</t>
  </si>
  <si>
    <t>Case with no doors.</t>
  </si>
  <si>
    <t>Case with doors equipped.</t>
  </si>
  <si>
    <r>
      <t>L</t>
    </r>
    <r>
      <rPr>
        <vertAlign val="subscript"/>
        <sz val="10.5"/>
        <color theme="1"/>
        <rFont val="Calibri"/>
        <family val="2"/>
      </rPr>
      <t>T</t>
    </r>
  </si>
  <si>
    <t>Total load of refrigerated case</t>
  </si>
  <si>
    <t>Btu/hr-ft</t>
  </si>
  <si>
    <r>
      <t>LR</t>
    </r>
    <r>
      <rPr>
        <vertAlign val="subscript"/>
        <sz val="10.5"/>
        <color theme="1"/>
        <rFont val="Calibri"/>
        <family val="2"/>
      </rPr>
      <t>Net</t>
    </r>
  </si>
  <si>
    <t>Overall net reduction in thermal load due to adding doors</t>
  </si>
  <si>
    <t>Duty cycle for refrigeration compressor</t>
  </si>
  <si>
    <t>The duty cycle is dependent on the configuration and controls of the compressor racks, which generally include several compressors to allow for optimizing capacity loading and duty cycles. AEG's 2020 benchmarking yielded a typical range of 50-70%, so 60% is assumed to reflect the midpoint of that range.</t>
  </si>
  <si>
    <t>Conversion factor from Btu to kWh</t>
  </si>
  <si>
    <r>
      <t>COP</t>
    </r>
    <r>
      <rPr>
        <vertAlign val="subscript"/>
        <sz val="10.5"/>
        <color theme="1"/>
        <rFont val="Calibri"/>
        <family val="2"/>
        <scheme val="minor"/>
      </rPr>
      <t>R</t>
    </r>
  </si>
  <si>
    <t>Coefficient of performance for refrigeration system</t>
  </si>
  <si>
    <r>
      <t>COP</t>
    </r>
    <r>
      <rPr>
        <vertAlign val="subscript"/>
        <sz val="10.5"/>
        <color theme="1"/>
        <rFont val="Calibri"/>
        <family val="2"/>
        <scheme val="minor"/>
      </rPr>
      <t>AC</t>
    </r>
  </si>
  <si>
    <t>Coefficient of performance for the AC system cooling the space</t>
  </si>
  <si>
    <t>Conversion factor from hours to days</t>
  </si>
  <si>
    <t>CDD</t>
  </si>
  <si>
    <t>Cooling degree days</t>
  </si>
  <si>
    <t>degree day</t>
  </si>
  <si>
    <r>
      <t>T</t>
    </r>
    <r>
      <rPr>
        <vertAlign val="subscript"/>
        <sz val="10.5"/>
        <color theme="1"/>
        <rFont val="Calibri"/>
        <family val="2"/>
        <scheme val="minor"/>
      </rPr>
      <t>s</t>
    </r>
  </si>
  <si>
    <t>Temperature of the space</t>
  </si>
  <si>
    <r>
      <t>T</t>
    </r>
    <r>
      <rPr>
        <vertAlign val="subscript"/>
        <sz val="10.5"/>
        <color theme="1"/>
        <rFont val="Calibri"/>
        <family val="2"/>
        <scheme val="minor"/>
      </rPr>
      <t>R</t>
    </r>
  </si>
  <si>
    <t>Temperature of the refrigerated case</t>
  </si>
  <si>
    <r>
      <t>Temperature that refrigerated case needs to be maintained. Typical range for medium temperature coolers is 10-35</t>
    </r>
    <r>
      <rPr>
        <sz val="10.5"/>
        <color theme="1"/>
        <rFont val="Calibri"/>
        <family val="2"/>
      </rPr>
      <t>°</t>
    </r>
    <r>
      <rPr>
        <sz val="10.5"/>
        <color theme="1"/>
        <rFont val="Calibri"/>
        <family val="2"/>
        <scheme val="minor"/>
      </rPr>
      <t xml:space="preserve">F, so 25°F is assumed to reflect the midpoint of that range. Source: DOE 2009, Table 3-1. </t>
    </r>
    <r>
      <rPr>
        <vertAlign val="superscript"/>
        <sz val="10.5"/>
        <color theme="1"/>
        <rFont val="Calibri"/>
        <family val="2"/>
        <scheme val="minor"/>
      </rPr>
      <t>6</t>
    </r>
  </si>
  <si>
    <t>Length</t>
  </si>
  <si>
    <t>Length of the refrigerated case</t>
  </si>
  <si>
    <t>linear foot</t>
  </si>
  <si>
    <r>
      <t xml:space="preserve">According to DOE 2009 and the Food Marketing Institute, refrigerated display cases are often replaced before the end of their functional life during store renovations. Store renovations typically occur every 6 to 10 years, so 8 years is assumed to reflect the midpoint of that range. </t>
    </r>
    <r>
      <rPr>
        <vertAlign val="superscript"/>
        <sz val="10.5"/>
        <color theme="1"/>
        <rFont val="Calibri"/>
        <family val="2"/>
        <scheme val="minor"/>
      </rPr>
      <t>7</t>
    </r>
  </si>
  <si>
    <r>
      <rPr>
        <vertAlign val="superscript"/>
        <sz val="9"/>
        <rFont val="Calibri"/>
        <family val="2"/>
        <scheme val="minor"/>
      </rPr>
      <t>1</t>
    </r>
    <r>
      <rPr>
        <sz val="9"/>
        <rFont val="Calibri"/>
        <family val="2"/>
        <scheme val="minor"/>
      </rPr>
      <t xml:space="preserve"> 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 Table 3-4: Supermarket Display Case Thermal Load Breakdown (Btu/hr). </t>
    </r>
  </si>
  <si>
    <r>
      <rPr>
        <vertAlign val="superscript"/>
        <sz val="9"/>
        <rFont val="Calibri"/>
        <family val="2"/>
        <scheme val="minor"/>
      </rPr>
      <t>2</t>
    </r>
    <r>
      <rPr>
        <sz val="9"/>
        <rFont val="Calibri"/>
        <family val="2"/>
        <scheme val="minor"/>
      </rPr>
      <t xml:space="preserve"> Used values in Table 3-4 of the DOE 2009 report to come up with a total reduction in thermal load from 20,730 Btu/hr without door to 5,507 Btu/hr with doors for a 12 ft case; this equates to a net reduction of 73% in thermal load by adding doors.</t>
    </r>
  </si>
  <si>
    <r>
      <rPr>
        <vertAlign val="superscript"/>
        <sz val="9"/>
        <rFont val="Calibri"/>
        <family val="2"/>
        <scheme val="minor"/>
      </rPr>
      <t>3</t>
    </r>
    <r>
      <rPr>
        <sz val="9"/>
        <rFont val="Calibri"/>
        <family val="2"/>
        <scheme val="minor"/>
      </rPr>
      <t xml:space="preserve"> Calculated for a typical reciprocating compressor, medium temperature refrigeration system using values of 769,000 Btu/h capacity and 99 kW power from DOE 2009, Table 3-7: Supermarket Compressor Energy Consumption. (769,000/3412)/99=2.28.</t>
    </r>
  </si>
  <si>
    <r>
      <rPr>
        <vertAlign val="superscript"/>
        <sz val="9"/>
        <rFont val="Calibri"/>
        <family val="2"/>
        <scheme val="minor"/>
      </rPr>
      <t>4</t>
    </r>
    <r>
      <rPr>
        <sz val="9"/>
        <rFont val="Calibri"/>
        <family val="2"/>
        <scheme val="minor"/>
      </rPr>
      <t xml:space="preserve"> U.S. Department of Energy, Energy Efficiency &amp; Renewable Energy, "Commercial Reference Buildings," &lt;https://www.energy.gov/eere/buildings/commercial-reference-buildings&gt;. Reference case for supermarket in Climate Zone 1A: "RefBldgSuperMarketNew2004_v1.3_5.0.xlsx."</t>
    </r>
  </si>
  <si>
    <r>
      <rPr>
        <vertAlign val="superscript"/>
        <sz val="9"/>
        <rFont val="Calibri"/>
        <family val="2"/>
        <scheme val="minor"/>
      </rPr>
      <t>5</t>
    </r>
    <r>
      <rPr>
        <sz val="9"/>
        <rFont val="Calibri"/>
        <family val="2"/>
        <scheme val="minor"/>
      </rPr>
      <t xml:space="preserve"> AEG analysis file titled "3 - Weather Analysis - EPW-HI Portland and CA - TMY.xlsx."</t>
    </r>
  </si>
  <si>
    <r>
      <rPr>
        <vertAlign val="superscript"/>
        <sz val="9"/>
        <rFont val="Calibri"/>
        <family val="2"/>
        <scheme val="minor"/>
      </rPr>
      <t>6</t>
    </r>
    <r>
      <rPr>
        <sz val="9"/>
        <rFont val="Calibri"/>
        <family val="2"/>
        <scheme val="minor"/>
      </rPr>
      <t xml:space="preserve"> DOE 2009, Table 3-1: Evaporator Coil Temperature Ranges by Application.</t>
    </r>
  </si>
  <si>
    <r>
      <rPr>
        <vertAlign val="superscript"/>
        <sz val="9"/>
        <rFont val="Calibri"/>
        <family val="2"/>
        <scheme val="minor"/>
      </rPr>
      <t>7</t>
    </r>
    <r>
      <rPr>
        <sz val="9"/>
        <rFont val="Calibri"/>
        <family val="2"/>
        <scheme val="minor"/>
      </rPr>
      <t xml:space="preserve"> DOE 2009 and Food Marketing Institute, "Marketing Costs," August 2008.</t>
    </r>
  </si>
  <si>
    <t>Semi-Prescriptive Savings Calculator (based on length of refrigerated case in linear feet)</t>
  </si>
  <si>
    <t>Enter Length of Refrigerated Case in Linear Feet</t>
  </si>
  <si>
    <t>Adding Refrigerated Case Doors</t>
  </si>
  <si>
    <t>AEG's 2020 Analysis Files titled "AEG HPUC - New Com Refrig Measures - Analysis File" and "3 - Weather Analysis - EPW-HI Portland and CA - TMY.xlsx."</t>
  </si>
  <si>
    <t>Faramarzi, R. T., B. A. Coburn, R. Sarhadian, "Performance and Energy Impact of Installing Glass Doors on an Open Vertical Deli/Dairy Display Case," AC-02-7-2, ASHRAE Transactions, 2002, 108, ProQuest SciTech Collection, pg. 673.</t>
  </si>
  <si>
    <t>Food Marketing Institute, "Marketing Costs," August 2008.</t>
  </si>
  <si>
    <t>U.S. Department of Energy, Energy Efficiency &amp; Renewable Energy, Building Technologies Office, "Energy Savings Potential and Research &amp; Development Opportunities for Commercial Refrigeration," September 2009. &lt;https://www1.eere.energy.gov/buildings/pdfs/commercial_refrigeration_equipment_research_opportunities.pdf&gt;.</t>
  </si>
  <si>
    <t>U.S. Department of Energy Building Technology Program, "Advanced Energy Retrofit Guide: Practical Ways to Improve Energy Performance, Grocery Stores," National Renewable Energy Laboratory, June 2012. &lt;http://www.nrel.gov/docs/fy13osti/54243.pdf&gt;.</t>
  </si>
  <si>
    <t>U.S. Department of Energy, Energy Efficiency &amp; Renewable Energy, "Guide for the Retrofitting of Open Refrigeration Display Cases with Doors," Prepared for Better Buildings Alliance, Building Technologies Office, Prepared by Navigant Consulting, Inc., June 2013.</t>
  </si>
  <si>
    <t>U.S. Department of Energy, Energy Efficiency &amp; Renewable Energy, "Commercial Reference Buildings," &lt;https://www.energy.gov/eere/buildings/commercial-reference-buildings&gt;. Reference case for supermarket in Climate Zone 1A: "RefBldgSuperMarketNew2004_v1.3_5.0.xlsx."</t>
  </si>
  <si>
    <t>Public Service Commission of Wisconsin, "Focus on Energy Evaluation, Business Programs: Deemed Savings Manual v1.0," March 2010.</t>
  </si>
  <si>
    <t>Public Service Commission of Wisconsin. "Wisconsin Focus on Energy 2020 Technical Reference Manual." Pp. 816-819.</t>
  </si>
  <si>
    <t>COMMERCIAL: Floating Head Pressure Controls</t>
  </si>
  <si>
    <t>By allowing the head pressure to float instead of keeping it fixed, we can reduce the compressor pressure ratio and the compressor runtime would be reduced. By programming the head pressure to follow the ambient temperature, we can ensure efficient operation at all temperatures.</t>
  </si>
  <si>
    <t xml:space="preserve">Adding a floating head pressure controller to a refrigeration system that initially has a fixed head pressure.                                                                    </t>
  </si>
  <si>
    <t>Limited to single compressor systems.</t>
  </si>
  <si>
    <t>Per compressor motor, where compressor motor horsepower is a custom entry.</t>
  </si>
  <si>
    <t>Refrigeration system with no head pressure controller.</t>
  </si>
  <si>
    <t>Refrigeration system equipped with head pressure controller.</t>
  </si>
  <si>
    <t>m</t>
  </si>
  <si>
    <t>Linear interpolation constant, slope of line</t>
  </si>
  <si>
    <r>
      <t>kW/hp-</t>
    </r>
    <r>
      <rPr>
        <sz val="10.5"/>
        <rFont val="Calibri"/>
        <family val="2"/>
      </rPr>
      <t>°</t>
    </r>
    <r>
      <rPr>
        <sz val="10.5"/>
        <rFont val="Calibri"/>
        <family val="2"/>
        <scheme val="minor"/>
      </rPr>
      <t>F</t>
    </r>
  </si>
  <si>
    <r>
      <t>The Regional Technical Forum (RTF) used EnergyPlus building simulation modeling with climate data for Portland and other Pacific Northwest locations to estimate the impacts from floating head pressure controls for several types of refrigeration systems.</t>
    </r>
    <r>
      <rPr>
        <vertAlign val="superscript"/>
        <sz val="11"/>
        <rFont val="Calibri"/>
        <family val="2"/>
        <scheme val="minor"/>
      </rPr>
      <t>1</t>
    </r>
    <r>
      <rPr>
        <sz val="11"/>
        <rFont val="Calibri"/>
        <family val="2"/>
        <scheme val="minor"/>
      </rPr>
      <t xml:space="preserve"> The approach for Hawaii uses a comparison of annual dry bulb temperatures from typical meteorological year (TMY) data for Portland, OR and Honolulu, HI to adjusts the RTF's savings results for Hawaii's climate. The result is a set of linear regression models that estimate savings as a function of mean dry bulb temperatures (</t>
    </r>
    <r>
      <rPr>
        <sz val="11"/>
        <rFont val="Calibri"/>
        <family val="2"/>
      </rPr>
      <t>≤75°F).</t>
    </r>
    <r>
      <rPr>
        <vertAlign val="superscript"/>
        <sz val="11"/>
        <rFont val="Calibri"/>
        <family val="2"/>
      </rPr>
      <t>2</t>
    </r>
  </si>
  <si>
    <t>Linear interpolation constant, y-intercept</t>
  </si>
  <si>
    <t>Compressor motor horsepower</t>
  </si>
  <si>
    <t>Custom entry based on refrigeration system</t>
  </si>
  <si>
    <r>
      <t>Weighted average of annual outside dry bulb temperatures (DB</t>
    </r>
    <r>
      <rPr>
        <vertAlign val="subscript"/>
        <sz val="10.5"/>
        <rFont val="Calibri"/>
        <family val="2"/>
        <scheme val="minor"/>
      </rPr>
      <t>i</t>
    </r>
    <r>
      <rPr>
        <sz val="10.5"/>
        <rFont val="Calibri"/>
        <family val="2"/>
        <scheme val="minor"/>
      </rPr>
      <t xml:space="preserve">) across 10 temperature bins between 56°F and 75°F, </t>
    </r>
    <r>
      <rPr>
        <u/>
        <sz val="10.5"/>
        <rFont val="Calibri"/>
        <family val="2"/>
        <scheme val="minor"/>
      </rPr>
      <t>ONLY</t>
    </r>
    <r>
      <rPr>
        <sz val="10.5"/>
        <rFont val="Calibri"/>
        <family val="2"/>
        <scheme val="minor"/>
      </rPr>
      <t xml:space="preserve"> during Hawaii's peak demand hours of 5-9 pm</t>
    </r>
  </si>
  <si>
    <t>Bin analysis of TMY data for Honolulu, Hawaii. Calculated with this approach:</t>
  </si>
  <si>
    <r>
      <t>Weighted average of annual outside dry bulb temperatures (DB</t>
    </r>
    <r>
      <rPr>
        <vertAlign val="subscript"/>
        <sz val="10.5"/>
        <rFont val="Calibri"/>
        <family val="2"/>
        <scheme val="minor"/>
      </rPr>
      <t>j</t>
    </r>
    <r>
      <rPr>
        <sz val="10.5"/>
        <rFont val="Calibri"/>
        <family val="2"/>
        <scheme val="minor"/>
      </rPr>
      <t xml:space="preserve">) across 10 temperature bins between 56°F and 75°F, </t>
    </r>
    <r>
      <rPr>
        <u/>
        <sz val="10.5"/>
        <rFont val="Calibri"/>
        <family val="2"/>
        <scheme val="minor"/>
      </rPr>
      <t>any time of day</t>
    </r>
  </si>
  <si>
    <r>
      <t xml:space="preserve">Annual number of hours the outside dry bulb temperature in Honolulu is </t>
    </r>
    <r>
      <rPr>
        <sz val="10.5"/>
        <rFont val="Calibri"/>
        <family val="2"/>
      </rPr>
      <t>≤</t>
    </r>
    <r>
      <rPr>
        <sz val="10.5"/>
        <rFont val="Calibri"/>
        <family val="2"/>
        <scheme val="minor"/>
      </rPr>
      <t>75°F</t>
    </r>
  </si>
  <si>
    <t>Bin analysis of typical meteorological year (TMY) data for Honolulu, Hawaii</t>
  </si>
  <si>
    <r>
      <rPr>
        <vertAlign val="superscript"/>
        <sz val="9"/>
        <rFont val="Calibri"/>
        <family val="2"/>
        <scheme val="minor"/>
      </rPr>
      <t>1</t>
    </r>
    <r>
      <rPr>
        <sz val="9"/>
        <rFont val="Calibri"/>
        <family val="2"/>
        <scheme val="minor"/>
      </rPr>
      <t xml:space="preserve"> Regional Technical Forum. Floating Head Pressure Controls on Single Compressor Systems  - Unit Energy Savings Workbook, Version 2.1. Northwest Power and Conservation Council. September 20, 2019. Spreadsheet: "ComGroceryFHPCSingleCompressor_v2_1.xlsm." See "Savings" sheet for assumptions about condenser fan controls, compressor COP, compressor oversize factor, suction temperature setpoints, etc. See "SavingsData&amp;Analysis" sheet for modeling results. &lt;https://nwcouncil.app.box.com/v/ComGroceryFHPCv2-1&gt;.</t>
    </r>
  </si>
  <si>
    <r>
      <rPr>
        <vertAlign val="superscript"/>
        <sz val="9"/>
        <rFont val="Calibri"/>
        <family val="2"/>
        <scheme val="minor"/>
      </rPr>
      <t>2</t>
    </r>
    <r>
      <rPr>
        <sz val="9"/>
        <rFont val="Calibri"/>
        <family val="2"/>
        <scheme val="minor"/>
      </rPr>
      <t xml:space="preserve"> AEG's 2020 Analysis File titled "AEG HPUC - New Com Refrig Measures - Analysis File." See sheets named "DB analysis for kWh - AEG" and "DB analysis for peak kW - AEG."</t>
    </r>
  </si>
  <si>
    <t>Table 1: Linear Interpolation Constants, by Refrigeration System Type</t>
  </si>
  <si>
    <t>Medium Temp</t>
  </si>
  <si>
    <t>Low Temp</t>
  </si>
  <si>
    <t>Unitary Condenser</t>
  </si>
  <si>
    <t>Remote Condenser</t>
  </si>
  <si>
    <t>Table 2: Assumed Distribution of Refrigeration Types in Hawaii Supermarkets</t>
  </si>
  <si>
    <t>Note: The distribution factors were estimated by Hawai'i Energy. They are used to determine default impacts for an "average" or "unknown" type of refrigeration system.</t>
  </si>
  <si>
    <t>Table 3: Deemed Savings Per Unit of Compressor Motor Horsepower</t>
  </si>
  <si>
    <t>Estimated Fraction of Systems</t>
  </si>
  <si>
    <t>kWh/hp-yr</t>
  </si>
  <si>
    <t>kWh/hp</t>
  </si>
  <si>
    <t>Medium Temp with Unitary Condenser</t>
  </si>
  <si>
    <t>Medium Temp with Remote Condenser</t>
  </si>
  <si>
    <t>Low Temp with Unitary Condenser</t>
  </si>
  <si>
    <t>Low Temp with Remote Condenser</t>
  </si>
  <si>
    <t>Unknown</t>
  </si>
  <si>
    <t>Select Type of Refrigeration System</t>
  </si>
  <si>
    <t>Enter Horsepower of Compressor Motor</t>
  </si>
  <si>
    <t>Efficiency Vermont. “Technical Reference User Manual (TRM): Measure Savings Algorithms and Cost Assumptions.” P. 68. Dec 31, 2018.</t>
  </si>
  <si>
    <t>Public Service Commission of Wisconsin. "Wisconsin Focus on Energy 2020 Technical Reference Manual." Pp.781-784.</t>
  </si>
  <si>
    <t>Regional Technical Forum. "Floating Head Pressure Controls on Single Compressor Systems  - Unit Energy Savings Workbook, Version 2.1." Northwest Power and Conservation Council. September 20, 2019. Spreadsheet: "ComGroceryFHPCSingleCompressor_v2_1.xlsm."</t>
  </si>
  <si>
    <t>Evaporator Fan Motor Controls, SP Motor</t>
  </si>
  <si>
    <t>Evaporator Fan Motor Controls, ECM</t>
  </si>
  <si>
    <t>RUL of motor (EUL/3)</t>
  </si>
  <si>
    <t>AEG 2020 Analysis</t>
  </si>
  <si>
    <t>AEG's 2020 Analysis Files titled "AEG HPUC - New Com Refrig Measures - Analysis File."</t>
  </si>
  <si>
    <t>U.S. Department of Energy, Energy Efficiency &amp; Renewable Energy, Building Technologies Office, "Energy Savings Potential and Research &amp; Development Opportunities for Commercial Refrigeration," September 2009.</t>
  </si>
  <si>
    <t>TRM Review/Update Approach</t>
  </si>
  <si>
    <r>
      <t xml:space="preserve">EUL for SP is based on remaining useful life of the SP motor since it is likely the SP motor would be replaced with a more efficient motor upon the end of its useful life (and, therefore, the savings would diminish). </t>
    </r>
    <r>
      <rPr>
        <vertAlign val="superscript"/>
        <sz val="10.5"/>
        <color theme="1"/>
        <rFont val="Calibri"/>
        <family val="2"/>
        <scheme val="minor"/>
      </rPr>
      <t>3</t>
    </r>
    <r>
      <rPr>
        <sz val="10.5"/>
        <color theme="1"/>
        <rFont val="Calibri"/>
        <family val="2"/>
        <scheme val="minor"/>
      </rPr>
      <t xml:space="preserve"> EUL for ECM assumes most of existing ECMs would be replaced with ECMs upon the end of the motor's useful life (and, therefore, the savings would continue), but sets a limit equal to the EUL of the ECM, which is 15 years for a high efficiency evaporator fan motor per DEER 2020.</t>
    </r>
  </si>
  <si>
    <t>AEG's 2020 Analysis File titled "AEG HPUC - New Com Refrig Measures - Analysis File."</t>
  </si>
  <si>
    <r>
      <t xml:space="preserve">The thermal load is based on the value for a typical 12 ft "vertical open medium temperature" supermarket display case from DOE 2009. </t>
    </r>
    <r>
      <rPr>
        <vertAlign val="superscript"/>
        <sz val="10.5"/>
        <color theme="1"/>
        <rFont val="Calibri"/>
        <family val="2"/>
        <scheme val="minor"/>
      </rPr>
      <t>1</t>
    </r>
    <r>
      <rPr>
        <sz val="10.5"/>
        <color theme="1"/>
        <rFont val="Calibri"/>
        <family val="2"/>
        <scheme val="minor"/>
      </rPr>
      <t xml:space="preserve"> </t>
    </r>
  </si>
  <si>
    <r>
      <t xml:space="preserve">DOE 2009, Table 3-4. </t>
    </r>
    <r>
      <rPr>
        <vertAlign val="superscript"/>
        <sz val="10.5"/>
        <color theme="1"/>
        <rFont val="Calibri"/>
        <family val="2"/>
        <scheme val="minor"/>
      </rPr>
      <t>2</t>
    </r>
  </si>
  <si>
    <r>
      <t xml:space="preserve">Estimated for a typical reciprocating compressor, medium temperature refrigeration system, DOE 2009, Table 3-7. </t>
    </r>
    <r>
      <rPr>
        <vertAlign val="superscript"/>
        <sz val="10.5"/>
        <color theme="1"/>
        <rFont val="Calibri"/>
        <family val="2"/>
        <scheme val="minor"/>
      </rPr>
      <t>3</t>
    </r>
  </si>
  <si>
    <r>
      <t xml:space="preserve">Weighted average value used in DOE's reference case prototype for supermarkets, climate zone 1A: Miami (same as Hawaii), used in simulation models. </t>
    </r>
    <r>
      <rPr>
        <vertAlign val="superscript"/>
        <sz val="10.5"/>
        <color theme="1"/>
        <rFont val="Calibri"/>
        <family val="2"/>
        <scheme val="minor"/>
      </rPr>
      <t>4</t>
    </r>
    <r>
      <rPr>
        <sz val="10.5"/>
        <color theme="1"/>
        <rFont val="Calibri"/>
        <family val="2"/>
        <scheme val="minor"/>
      </rPr>
      <t xml:space="preserve"> </t>
    </r>
  </si>
  <si>
    <r>
      <t>For Honolulu, HI based on TMY3 data and base temperature of 65</t>
    </r>
    <r>
      <rPr>
        <sz val="10.5"/>
        <color theme="1"/>
        <rFont val="Calibri"/>
        <family val="2"/>
      </rPr>
      <t>°</t>
    </r>
    <r>
      <rPr>
        <sz val="10.5"/>
        <color theme="1"/>
        <rFont val="Calibri"/>
        <family val="2"/>
        <scheme val="minor"/>
      </rPr>
      <t xml:space="preserve">F. </t>
    </r>
    <r>
      <rPr>
        <vertAlign val="superscript"/>
        <sz val="10.5"/>
        <color theme="1"/>
        <rFont val="Calibri"/>
        <family val="2"/>
        <scheme val="minor"/>
      </rPr>
      <t>5</t>
    </r>
  </si>
  <si>
    <r>
      <t xml:space="preserve">Temperature of space (i.e., supermarket) based on set-point used in DOE's reference case prototype for supermarkets. </t>
    </r>
    <r>
      <rPr>
        <vertAlign val="superscript"/>
        <sz val="10.5"/>
        <color theme="1"/>
        <rFont val="Calibri"/>
        <family val="2"/>
        <scheme val="minor"/>
      </rPr>
      <t>4</t>
    </r>
  </si>
  <si>
    <t>Assumes refrigerated case operates 24 hr/day, 365 day/yr.</t>
  </si>
  <si>
    <t>Custom entry based on refrigerated case.</t>
  </si>
  <si>
    <t>Custom entry based on number of evaporator fans of a given horsepower rating.</t>
  </si>
  <si>
    <t>Selected based on site specific conditions.</t>
  </si>
  <si>
    <r>
      <t xml:space="preserve">Benchmarking review of typical SP and ECM products. </t>
    </r>
    <r>
      <rPr>
        <vertAlign val="superscript"/>
        <sz val="10.5"/>
        <color theme="1"/>
        <rFont val="Calibri"/>
        <family val="2"/>
        <scheme val="minor"/>
      </rPr>
      <t>1</t>
    </r>
  </si>
  <si>
    <t>Without controls, evaporator fans in coolers run continuously at full speed.</t>
  </si>
  <si>
    <r>
      <t xml:space="preserve">Bonus factor (1+1/COP) assumes 2.0 COP for low temperature and 3.5 COP for medium temperature refrigeration, based on the average of standard reciprocating and discus compressor efficiencies with Saturated Suction Temperatures of -20°F and 20°F, respectively, and a condensing temperature of 90°F. </t>
    </r>
    <r>
      <rPr>
        <vertAlign val="superscript"/>
        <sz val="10.5"/>
        <color theme="1"/>
        <rFont val="Calibri"/>
        <family val="2"/>
        <scheme val="minor"/>
      </rPr>
      <t>2</t>
    </r>
  </si>
  <si>
    <t>Assumes the controlled fan will cycle consistently throughout the day, including during the peak demand period.</t>
  </si>
  <si>
    <t>Assumes refrigeration space operates 24 hr/day, 365 day/yr.</t>
  </si>
  <si>
    <t>Equal to the minimum efficiency requirements of the ASHRAE 90.1-2016 standard, as applicable to the given baseline system type.</t>
  </si>
  <si>
    <t>As installed. At least 10% better than ASHRAE 90.1-2016, as applicable to the given system type.</t>
  </si>
  <si>
    <r>
      <t xml:space="preserve">11.0 </t>
    </r>
    <r>
      <rPr>
        <i/>
        <vertAlign val="superscript"/>
        <sz val="11"/>
        <rFont val="Calibri"/>
        <family val="2"/>
        <scheme val="minor"/>
      </rPr>
      <t>2</t>
    </r>
  </si>
  <si>
    <t>2. The Air Conditioning, Heating, and Refrigeration Institute (AHRI) equipment directory was used to determine the minimum value of 11.0 EER for 14.0 SEER AC systems (&lt; 65,000 Btu/h). (Data filters for AHRI Rating Conditions: Model Type = Systems; Status = Active, Location = USA; Region = All,  SEER = 14; Cooling Capacity = 30,000-65,000 Btu/h.) The EER for air-source heat pumps (&lt; 65,000 Btu/h) was also set to 11.0 EER for consistency with AC systems in the same capacity bin. Since full-load efficiencies are not specified for AC and air-source heat pumps with capacity &lt; 65,000 Btu/h, the peak efficiency of installed equipment does not have to be 10% more efficient for the EER parameter.</t>
  </si>
  <si>
    <t>AEG's PY19 Analysis File titled "AEG HPUC Update - Ductless Systems - Analysis File," and the PY20 files named "AEG HPUC C_HVAC_VRF AC &amp; HP - Analysis File," and "AEG HPUC - HVAC Measures - Analysis File_Jan 2021."</t>
  </si>
  <si>
    <t>Air-Conditioning, Heating, &amp; Refrigeration Institute (AHRI), Database of Certified Products, accessed Nov. 2020, available here: &lt;http://www.ahrinet.org/Contractors-Specifiers/Certified-Products&gt;.</t>
  </si>
  <si>
    <t>Step 1:  Enter nameplate data*</t>
  </si>
  <si>
    <t>* If EER or SEER/IEER is unknown, check AHRI Directory (www.ahridirectory.org).</t>
  </si>
  <si>
    <t>Step 1:  Enter AC or HP nameplate data*</t>
  </si>
  <si>
    <t>Ductless split systems are inverter-driven direct expansion AC and heat pump systems that use distributed refrigerant technology for cooling and heating. These systems consist of: an outdoor unit with a single variable speed compressor or multiple staged compressors, indoor evaporator unit(s) with variable speed fans designed for single zone air distribution, and zone temperature controls. Per the Air Conditioning, Heating, and Refrigeration Institute (AHRI), residential ductless split systems can be classified as:
- Ductless One-to-One (Single) Split Systems
- Space Constrained Ductless-Split Systems
- Ductless Multi-Split Systems
- Variable Refrigerant Flow (VRF) Ductless Split Systems
- Heat Recovery Multi-Split Systems
This measure addresses ductless split systems for space cooling.</t>
  </si>
  <si>
    <t xml:space="preserve">SEER rating of 16.0 or higher for ≥8,000 Btu/h and &lt;65,000 Btu/h. </t>
  </si>
  <si>
    <t>The installed equipment must meet the 16 SEER minimum requirement and will reflect the actual efficiency of the unit.</t>
  </si>
  <si>
    <r>
      <t>There is no minimum EER</t>
    </r>
    <r>
      <rPr>
        <vertAlign val="subscript"/>
        <sz val="10.5"/>
        <rFont val="Calibri"/>
        <family val="2"/>
        <scheme val="minor"/>
      </rPr>
      <t>EE</t>
    </r>
    <r>
      <rPr>
        <sz val="10.5"/>
        <rFont val="Calibri"/>
        <family val="2"/>
        <scheme val="minor"/>
      </rPr>
      <t xml:space="preserve"> requirement.</t>
    </r>
  </si>
  <si>
    <t>1. AEG's research of the AHRI database (Oct 2018 extract) showed that 10.0 EER represents the minimum EER value corresponding to 13 SEER for residential AC systems. (Data filters for AHRI Rating Conditions: Model Type = Systems; Status = Active, Location = USA; Region = All,  SEER = 13; Cooling Capacity = 30,000-65,000 Btu/h.)</t>
  </si>
  <si>
    <t>Updated in Fall 2020 for PY20 TRM v2.0. Continue to follow EISA GSL legislation and update the measure entry as needed.</t>
  </si>
  <si>
    <t>Original EISA backstop</t>
  </si>
  <si>
    <t>AEG's 2020 Analysis File titled "AEG HPUC - PY20 v2.0 Lighting Baselines - Analysis." AEG's 2018 Analysis Files titled "AEG HPUC Update of Residential Measures - Analysis file" and "HI - Res Lighting IEF Analysis."</t>
  </si>
  <si>
    <t>Recommendations for Addressing EISA in the Potential Study and PY20 TRM, Memorandum, Prepared by AEG, Submitted to EEM and HPUC, January 26, 2020.</t>
  </si>
  <si>
    <t>2019 Hawaii Statewide Baseline Energy Use Study, Final Report, Prepared for Hawaii Public Utilities Commission, Prepared by Applied Energy Group, 2020.</t>
  </si>
  <si>
    <t>Lifetime Energy Savings, kWh (Applicable through PY21)</t>
  </si>
  <si>
    <t>Lifetime Energy Savings, kWh (Applicable to PY22 and later)</t>
  </si>
  <si>
    <r>
      <t>2019 Hawaii Statewide Baseline Energy Use Study</t>
    </r>
    <r>
      <rPr>
        <vertAlign val="superscript"/>
        <sz val="10.5"/>
        <rFont val="Calibri"/>
        <family val="2"/>
        <scheme val="minor"/>
      </rPr>
      <t>1</t>
    </r>
  </si>
  <si>
    <r>
      <t>DOE 2012 Residential Lighting End-Use Consumption Study</t>
    </r>
    <r>
      <rPr>
        <vertAlign val="superscript"/>
        <sz val="10.5"/>
        <rFont val="Calibri"/>
        <family val="2"/>
        <scheme val="minor"/>
      </rPr>
      <t>2</t>
    </r>
  </si>
  <si>
    <r>
      <t>EUL</t>
    </r>
    <r>
      <rPr>
        <vertAlign val="subscript"/>
        <sz val="10.5"/>
        <rFont val="Calibri"/>
        <family val="2"/>
        <scheme val="minor"/>
      </rPr>
      <t>1st</t>
    </r>
  </si>
  <si>
    <r>
      <rPr>
        <vertAlign val="superscript"/>
        <sz val="9"/>
        <rFont val="Calibri"/>
        <family val="2"/>
        <scheme val="minor"/>
      </rPr>
      <t>1</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</si>
  <si>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2</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</si>
  <si>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3</t>
    </r>
    <r>
      <rPr>
        <sz val="9"/>
        <rFont val="Calibri"/>
        <family val="2"/>
        <scheme val="minor"/>
      </rPr>
      <t xml:space="preserve"> Use value of PF=1 until more data is available on PF of LEDs relative to new EISA Tier 2 baseline (CFL).</t>
    </r>
  </si>
  <si>
    <t>Deemed Savings (based on default values for wattages) - Dual Baseline</t>
  </si>
  <si>
    <r>
      <t xml:space="preserve">SAVINGS </t>
    </r>
    <r>
      <rPr>
        <b/>
        <i/>
        <sz val="11"/>
        <rFont val="Calibri"/>
        <family val="2"/>
        <scheme val="minor"/>
      </rPr>
      <t>(APPLICABLE FOR PY22 AND LATER)</t>
    </r>
  </si>
  <si>
    <t>Deemed Savings (based on default values for wattages) - Single Baseline</t>
  </si>
  <si>
    <t xml:space="preserve">The default deemed base case is assumed to be two omni-directional lightbulbs in operation 2.3 hours per day. The default deemed measure has a dual baseline for PY20 and PY21. The first baseline is two omni-directional halogen-incandescent lamps that comply with Energy Independence and Securities Act (EISA) 2007 legislation that had 2012-2014 effective dates (EISA Tier 1). The second baseline is two lamps that comply with the original EISA Tier 2 Backstop requirement of 45 lumens per Watt. For PY22 and later, there is a single baseline (EISA Tier 2). </t>
  </si>
  <si>
    <t>The semi-prescriptive calculator allows custom entry of the wattage controlled by the occupancy sensor. However, to use the semi-prescriptive calculator, the efficacy of the controlled lighting must meet or exceed the EISA Tier 2 Backstop requirement of 45 lumens per Watt. For example, LEDs, CFLs, and T5 or T8 fluorescent lamps would all be eligible for the semi-prescriptive calculator, but incandescent and halogen bulbs would not be.</t>
  </si>
  <si>
    <t xml:space="preserve">Effective useful life of 1st baseline lamps </t>
  </si>
  <si>
    <t>Note: For PY22 and later, controlled lighting is assumed to meet EISA Tier 2 efficacy.</t>
  </si>
  <si>
    <r>
      <t xml:space="preserve">AEG's Hawai‘i-specific simulation modeling; non-military home </t>
    </r>
    <r>
      <rPr>
        <vertAlign val="superscript"/>
        <sz val="10.5"/>
        <rFont val="Calibri"/>
        <family val="2"/>
        <scheme val="minor"/>
      </rPr>
      <t>1</t>
    </r>
  </si>
  <si>
    <r>
      <t xml:space="preserve">2019 Hawaii Statewide Baseline Energy Use Study; non-military home </t>
    </r>
    <r>
      <rPr>
        <vertAlign val="superscript"/>
        <sz val="10.5"/>
        <rFont val="Calibri"/>
        <family val="2"/>
        <scheme val="minor"/>
      </rPr>
      <t>2</t>
    </r>
  </si>
  <si>
    <r>
      <t xml:space="preserve">DOE 2012 Residential Lighting End-Use Consumption Study </t>
    </r>
    <r>
      <rPr>
        <vertAlign val="superscript"/>
        <sz val="10.5"/>
        <rFont val="Calibri"/>
        <family val="2"/>
        <scheme val="minor"/>
      </rPr>
      <t>3</t>
    </r>
  </si>
  <si>
    <r>
      <t xml:space="preserve">Length of first baseline period. Based on rated lamp life and HOU. Assumes existing EISA Tier 1 lamps have 1/3 of life left upon installation of sensor. </t>
    </r>
    <r>
      <rPr>
        <vertAlign val="superscript"/>
        <sz val="10.5"/>
        <rFont val="Calibri"/>
        <family val="2"/>
        <scheme val="minor"/>
      </rPr>
      <t>4</t>
    </r>
  </si>
  <si>
    <r>
      <rPr>
        <vertAlign val="superscript"/>
        <sz val="9"/>
        <rFont val="Calibri"/>
        <family val="2"/>
        <scheme val="minor"/>
      </rPr>
      <t>1</t>
    </r>
    <r>
      <rPr>
        <sz val="9"/>
        <rFont val="Calibri"/>
        <family val="2"/>
        <scheme val="minor"/>
      </rPr>
      <t xml:space="preserve"> This approach assumes that the occupancy pattern during 5-9 pm is consistent with rest of day.</t>
    </r>
  </si>
  <si>
    <r>
      <rPr>
        <vertAlign val="superscript"/>
        <sz val="9"/>
        <rFont val="Calibri"/>
        <family val="2"/>
        <scheme val="minor"/>
      </rPr>
      <t>2</t>
    </r>
    <r>
      <rPr>
        <sz val="9"/>
        <rFont val="Calibri"/>
        <family val="2"/>
        <scheme val="minor"/>
      </rPr>
      <t xml:space="preserve"> 2019 Hawaii Statewide Baseline Energy Use Study, Final Report, Prepared for Hawaii Public Utilities Commission, Prepared by Applied Energy Group, 2020, Figure 3-9.</t>
    </r>
  </si>
  <si>
    <r>
      <rPr>
        <vertAlign val="superscript"/>
        <sz val="9"/>
        <rFont val="Calibri"/>
        <family val="2"/>
        <scheme val="minor"/>
      </rPr>
      <t>3</t>
    </r>
    <r>
      <rPr>
        <sz val="9"/>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t>
    </r>
  </si>
  <si>
    <r>
      <rPr>
        <vertAlign val="superscript"/>
        <sz val="9"/>
        <rFont val="Calibri"/>
        <family val="2"/>
        <scheme val="minor"/>
      </rPr>
      <t>4</t>
    </r>
    <r>
      <rPr>
        <sz val="9"/>
        <rFont val="Calibri"/>
        <family val="2"/>
        <scheme val="minor"/>
      </rPr>
      <t xml:space="preserve"> The first baseline period (EUL</t>
    </r>
    <r>
      <rPr>
        <vertAlign val="subscript"/>
        <sz val="9"/>
        <rFont val="Calibri"/>
        <family val="2"/>
        <scheme val="minor"/>
      </rPr>
      <t>1st</t>
    </r>
    <r>
      <rPr>
        <sz val="9"/>
        <rFont val="Calibri"/>
        <family val="2"/>
        <scheme val="minor"/>
      </rPr>
      <t>) for PY20 assumes the existing EISA Tier 1 baseline lamps will need to be replaced once prior to the EISA Tier 2 baseline taking effect on June 30, 2022, while the first baseline period for PY21 assumes the EISA Tier 1 lamps will not reach the end of their useful life until after June 30, 2022.</t>
    </r>
  </si>
  <si>
    <r>
      <t xml:space="preserve">DEEMED SAVINGS </t>
    </r>
    <r>
      <rPr>
        <b/>
        <i/>
        <sz val="11"/>
        <rFont val="Calibri"/>
        <family val="2"/>
        <scheme val="minor"/>
      </rPr>
      <t>(APPLICABLE FOR PY20 AND PY21)</t>
    </r>
  </si>
  <si>
    <t>Deemed Savings (based on default values for wattage) - Dual Baseline</t>
  </si>
  <si>
    <r>
      <t xml:space="preserve">DEEMED SAVINGS </t>
    </r>
    <r>
      <rPr>
        <b/>
        <i/>
        <sz val="11"/>
        <rFont val="Calibri"/>
        <family val="2"/>
        <scheme val="minor"/>
      </rPr>
      <t>(APPLICABLE FOR PY22 AND LATER)</t>
    </r>
  </si>
  <si>
    <t>Deemed Savings (based on default values for wattage) - Single Baseline</t>
  </si>
  <si>
    <t>For PY20 and PY21:</t>
  </si>
  <si>
    <t>For PY22 and Later:</t>
  </si>
  <si>
    <t>Length of first baseline period. Based on rated lamp life and HOU.</t>
  </si>
  <si>
    <t>For PY20 and PY21</t>
  </si>
  <si>
    <t>For PY22 and Later</t>
  </si>
  <si>
    <t xml:space="preserve">AEG's 2020 Analysis file named "AEG HPUC - PY20 v2.0 Lighting Baselines - Analysis." </t>
  </si>
  <si>
    <r>
      <rPr>
        <u/>
        <sz val="11"/>
        <rFont val="Calibri"/>
        <family val="2"/>
        <scheme val="minor"/>
      </rPr>
      <t>Security Lights:</t>
    </r>
    <r>
      <rPr>
        <sz val="11"/>
        <rFont val="Calibri"/>
        <family val="2"/>
        <scheme val="minor"/>
      </rPr>
      <t xml:space="preserve"> (2) PAR38 Halogen 60W lamps (1st baseline, expires June 30, 2022) and (2) PAR38 EISA-compliant lamps rated at 45 lumens/Watt (2nd baseline).</t>
    </r>
  </si>
  <si>
    <r>
      <rPr>
        <u/>
        <sz val="11"/>
        <rFont val="Calibri"/>
        <family val="2"/>
        <scheme val="minor"/>
      </rPr>
      <t>Porch Lights:</t>
    </r>
    <r>
      <rPr>
        <sz val="11"/>
        <rFont val="Calibri"/>
        <family val="2"/>
        <scheme val="minor"/>
      </rPr>
      <t xml:space="preserve"> (1) Omni-directional A19 Halogen 60W bulb (1st baseline, expires June 30, 2022) and (1) Omni-directional A19 EISA-compliant bulb rated at 45 lumens/Watt (2nd baseline).</t>
    </r>
  </si>
  <si>
    <t>Dual baseline (PY20 and PY21):</t>
  </si>
  <si>
    <t>Single baseline (PY22 and later):</t>
  </si>
  <si>
    <r>
      <t>Note: The first baseline period (EUL</t>
    </r>
    <r>
      <rPr>
        <vertAlign val="subscript"/>
        <sz val="9"/>
        <rFont val="Calibri"/>
        <family val="2"/>
        <scheme val="minor"/>
      </rPr>
      <t>1</t>
    </r>
    <r>
      <rPr>
        <sz val="9"/>
        <rFont val="Calibri"/>
        <family val="2"/>
        <scheme val="minor"/>
      </rPr>
      <t>) for PY20 assumes the EISA Tier 1 baseline lamps will need to be replaced once prior to the EISA Tier 2 baseline taking effect on June 30, 2022, while the first baseline period for PY21 assumes the EISA Tier 1 lamps will not reach the end of their useful life until after June 30, 2022.</t>
    </r>
  </si>
  <si>
    <t>First Year, PY20-21</t>
  </si>
  <si>
    <t>First Year, PY22+</t>
  </si>
  <si>
    <t>Lifetime, PY20-21</t>
  </si>
  <si>
    <t>Lifetime, PY22+</t>
  </si>
  <si>
    <t xml:space="preserve">Several of the lighting measures require a dual baseline approach to account for either: 1) early replacement, or 2) changes in federal codes and standards that are expected to take place in the near future. </t>
  </si>
  <si>
    <r>
      <t>DEER2020</t>
    </r>
    <r>
      <rPr>
        <vertAlign val="superscript"/>
        <sz val="10"/>
        <rFont val="Calibri"/>
        <family val="2"/>
        <scheme val="minor"/>
      </rPr>
      <t>1</t>
    </r>
    <r>
      <rPr>
        <sz val="10"/>
        <rFont val="Calibri"/>
        <family val="2"/>
        <scheme val="minor"/>
      </rPr>
      <t xml:space="preserve"> interactive effect factors for San Diego, adjusted to Hawai‘i's weather zone using LBNL simulation results</t>
    </r>
    <r>
      <rPr>
        <vertAlign val="superscript"/>
        <sz val="10"/>
        <rFont val="Calibri"/>
        <family val="2"/>
        <scheme val="minor"/>
      </rPr>
      <t>2</t>
    </r>
  </si>
  <si>
    <t>Meets Current Standard 
(as of 2020)</t>
  </si>
  <si>
    <t>Meets Future Standard (2022+)</t>
  </si>
  <si>
    <r>
      <t>Note: For general service incandescent lamp (GSIL) measures affected by EISA, the PY20 EUL</t>
    </r>
    <r>
      <rPr>
        <vertAlign val="subscript"/>
        <sz val="9"/>
        <rFont val="Calibri"/>
        <family val="2"/>
        <scheme val="minor"/>
      </rPr>
      <t>1st</t>
    </r>
    <r>
      <rPr>
        <sz val="9"/>
        <rFont val="Calibri"/>
        <family val="2"/>
        <scheme val="minor"/>
      </rPr>
      <t xml:space="preserve"> values are set at a minimum of 2 years since the Tier 2 baseline will not take effect until PY22. </t>
    </r>
  </si>
  <si>
    <t>Table 13. Calculated First Year Unit Savings: Decorative LEDs (PY20 and PY21)</t>
  </si>
  <si>
    <t>Table 14. Calculated First Year Unit Savings: Decorative LEDs (PY22+)</t>
  </si>
  <si>
    <t>Table 15. Calculated Lifetime Unit Savings: Decorative LEDs (PY20 and PY21)</t>
  </si>
  <si>
    <t>Table 16. Calculated Lifetime Unit Savings: Decorative LEDs (PY22+)</t>
  </si>
  <si>
    <t>Table 31. Calculated First Year Unit Savings: Directional and Screw-Base Omni-Directional LEDs (PY20 and PY21)</t>
  </si>
  <si>
    <t>Table 32. Calculated First Year Unit Savings: Directional and Screw-Base Omni-Directional LEDs (PY22+)</t>
  </si>
  <si>
    <t>Table 33. Calculated Lifetime Unit Savings: Directional and Screw-Base Omni-Directional LEDs (PY20 and PY21)</t>
  </si>
  <si>
    <t>Table 34. Calculated Lifetime Unit Savings: Directional and Screw-Base Omni-Directional LEDs (PY22+)</t>
  </si>
  <si>
    <t xml:space="preserve">The pin-base omni-directional lamps have a single baseline. </t>
  </si>
  <si>
    <t>The baseline lamps are assumed to be undimmed.</t>
  </si>
  <si>
    <t>Table 4. Calculated First Year Unit Savings: Directional and Screw-Base Omni-Directional LEDs (PY20 and PY21)</t>
  </si>
  <si>
    <t>Table 5. Calculated First Year Unit Savings: Directional and Screw-Base Omni-Directional LEDs (PY22+)</t>
  </si>
  <si>
    <t>Table 6. Calculated Lifetime Unit Savings: Directional and Screw-Base Omni-Directional LEDs (PY20 and PY21)</t>
  </si>
  <si>
    <t>Table 7. Calculated Lifetime Unit Savings: Directional and Screw-Base Omni-Directional LEDs (PY22+)</t>
  </si>
  <si>
    <t>C_Refrig_Evap Motor Control</t>
  </si>
  <si>
    <t>C_Refrig_Add Case Doors</t>
  </si>
  <si>
    <t>C_Refrig_FHP Control</t>
  </si>
  <si>
    <t>Added to PY20 TRM v2.0</t>
  </si>
  <si>
    <t>Updated during mid-year PY20 TRM update process. Updates reflect 1) EISA ruling / HPUC decision; 2) dual baseline clarity; and 3) new data from AEG's 2019 baseline study</t>
  </si>
  <si>
    <t>Updated during mid-year PY20 TRM update process. Updates reflect EISA ruling / HPUC decision.</t>
  </si>
  <si>
    <t>Updated during mid-year PY20 TRM update process. Updates reflect 1) EISA ruling / HPUC decision and 2) dual baseline clarity.</t>
  </si>
  <si>
    <t>This is for measures where the baseline results from the Evergreen Economics study are referenced. All measures except those affected by EISA were updated for the PY20 TRM v1.0 (R_Light_LED and R_Light_Occupancy Sensor). Updates for the EISA-affected measures were addressed during mid-year update for PY20 TRM v2.0.</t>
  </si>
  <si>
    <t>Correct a cell reference error in cell H6</t>
  </si>
  <si>
    <t>Revised in PY20 TRM v2.0</t>
  </si>
  <si>
    <t>Add new measure</t>
  </si>
  <si>
    <t>Remove EER qualification requirement for high efficiency equipment of &lt; 65 kBtu/h capacity; revisit demand savings calculation</t>
  </si>
  <si>
    <t>R_HVAC_Ductless, R_HVAC_AC_WKST</t>
  </si>
  <si>
    <t>New addition to PY20 TRM v1.0 to summarize codes and standards (C&amp;S) that affect TRM measures; Change between v1.0 and v2.0 of PY20 TRM: Added Jul. 1, 2022 effective date for 45 lm/W GSIL baseline.</t>
  </si>
  <si>
    <t>Add EULs for new commercial refrigeration measures</t>
  </si>
  <si>
    <t>COMMERCIAL: Chiller; COMMERCIAL: Chiller Savings Calculator</t>
  </si>
  <si>
    <t>COMMERCIAL: A/C &amp; Heat Pump; COMMERCIAL: AC and Heat Pump Savings Calculator</t>
  </si>
  <si>
    <t>COMMERCIAL: VRF; COMMERCIAL: HVAC Savings Calculator - Variable Refrigerant Flow Systems</t>
  </si>
  <si>
    <t>RESIDENTIAL: Ductless Split Systems; RESIDENTIAL: HVAC Savings Calculator</t>
  </si>
  <si>
    <t>RESIDENTIAL: Central A/C Retrofit; RESIDENTIAL: HVAC Savings Calculator</t>
  </si>
  <si>
    <t xml:space="preserve">Updated in Winter 2019-2020 for PY20 TRM. </t>
  </si>
  <si>
    <r>
      <t>Added in Spring 2019 for PY19 TRM. 
One parameter was updated in Winter 2019-2020 for PY20 TRM: %DHW</t>
    </r>
    <r>
      <rPr>
        <vertAlign val="subscript"/>
        <sz val="11"/>
        <color theme="1"/>
        <rFont val="Calibri"/>
        <family val="2"/>
        <scheme val="minor"/>
      </rPr>
      <t>.electric</t>
    </r>
    <r>
      <rPr>
        <sz val="11"/>
        <color theme="1"/>
        <rFont val="Calibri"/>
        <family val="2"/>
        <scheme val="minor"/>
      </rPr>
      <t>.</t>
    </r>
  </si>
  <si>
    <t>Updated in Winter 2019-2020 for PY20 TRM.</t>
  </si>
  <si>
    <t>Updated in January 2019 for PY19 TRM. 
One parameter was updated in Winter 2019-2020 for PY20 TRM: #Occ.</t>
  </si>
  <si>
    <t>TRM Lead,
Applied Energy Group</t>
  </si>
  <si>
    <t>Executive Director, 
Hawai‘i Energy</t>
  </si>
  <si>
    <t>Utility Analyst, 
PUC Energy Efficiency Team</t>
  </si>
  <si>
    <t>Rated cooling capacity of installed window AC unit</t>
  </si>
  <si>
    <r>
      <t>Assumes rated capacity of &lt; 28,000 Btu/h.</t>
    </r>
    <r>
      <rPr>
        <vertAlign val="superscript"/>
        <sz val="10.5"/>
        <rFont val="Calibri"/>
        <family val="2"/>
        <scheme val="minor"/>
      </rPr>
      <t>1</t>
    </r>
  </si>
  <si>
    <t>Rated capacity, in Btu/h, of installed unit</t>
  </si>
  <si>
    <t>Rated cooling capacity of installed central AC unit</t>
  </si>
  <si>
    <r>
      <t xml:space="preserve">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</si>
  <si>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r>
      <t xml:space="preserve">Enter Rated AC Capacity </t>
    </r>
    <r>
      <rPr>
        <b/>
        <sz val="8"/>
        <color theme="1"/>
        <rFont val="Calibri"/>
        <family val="2"/>
        <scheme val="minor"/>
      </rPr>
      <t>(</t>
    </r>
    <r>
      <rPr>
        <b/>
        <sz val="11"/>
        <color theme="1"/>
        <rFont val="Calibri"/>
        <family val="2"/>
        <scheme val="minor"/>
      </rPr>
      <t>Btu/h</t>
    </r>
    <r>
      <rPr>
        <b/>
        <sz val="8"/>
        <color theme="1"/>
        <rFont val="Calibri"/>
        <family val="2"/>
        <scheme val="minor"/>
      </rPr>
      <t>)</t>
    </r>
    <r>
      <rPr>
        <b/>
        <sz val="11"/>
        <color theme="1"/>
        <rFont val="Calibri"/>
        <family val="2"/>
        <scheme val="minor"/>
      </rPr>
      <t>:</t>
    </r>
  </si>
  <si>
    <t>Enter AC Type:</t>
  </si>
  <si>
    <t>Chiller rated cooling capacity, in tons</t>
  </si>
  <si>
    <t>Enter rated chiller tonnage:</t>
  </si>
  <si>
    <t>Enter Rated AC or HP Capacity (Btu/h):</t>
  </si>
  <si>
    <r>
      <t xml:space="preserve">Added in Fall 2019 for PY19 TRM v2.0. Updated in Winter 2020 for PY19 TRM v2.1. Added "rated capacity" to the capacity description for the PY21 TRM v1.0 to clarify that </t>
    </r>
    <r>
      <rPr>
        <i/>
        <sz val="11"/>
        <color theme="1"/>
        <rFont val="Calibri"/>
        <family val="2"/>
        <scheme val="minor"/>
      </rPr>
      <t>rated</t>
    </r>
    <r>
      <rPr>
        <sz val="11"/>
        <color theme="1"/>
        <rFont val="Calibri"/>
        <family val="2"/>
        <scheme val="minor"/>
      </rPr>
      <t xml:space="preserve"> capacity instead of </t>
    </r>
    <r>
      <rPr>
        <i/>
        <sz val="11"/>
        <color theme="1"/>
        <rFont val="Calibri"/>
        <family val="2"/>
        <scheme val="minor"/>
      </rPr>
      <t>nominal</t>
    </r>
    <r>
      <rPr>
        <sz val="11"/>
        <color theme="1"/>
        <rFont val="Calibri"/>
        <family val="2"/>
        <scheme val="minor"/>
      </rPr>
      <t xml:space="preserve"> capacity should be used in savings estimates.</t>
    </r>
  </si>
  <si>
    <t>Enter New VRF Rated Capacity (Btu/h):</t>
  </si>
  <si>
    <t xml:space="preserve">State of Hawaii Market Potential Study, Prepared for Hawaii Public Utilities Commission, Prepared by Applied Energy Group, 2020. </t>
  </si>
  <si>
    <t>Energy Advantage</t>
  </si>
  <si>
    <t>Evaporator Fan Motor Controls</t>
  </si>
  <si>
    <t>Solar Water Heater</t>
  </si>
  <si>
    <t>Cool Wall</t>
  </si>
  <si>
    <t>Solar Light Tube</t>
  </si>
  <si>
    <t>AEG 2021 Analysis</t>
  </si>
  <si>
    <r>
      <t>AEG 2021 Analysis</t>
    </r>
    <r>
      <rPr>
        <vertAlign val="superscript"/>
        <sz val="10"/>
        <color theme="1"/>
        <rFont val="Calibri"/>
        <family val="2"/>
        <scheme val="minor"/>
      </rPr>
      <t>4</t>
    </r>
  </si>
  <si>
    <r>
      <t>Not updated</t>
    </r>
    <r>
      <rPr>
        <vertAlign val="superscript"/>
        <sz val="10"/>
        <color theme="1"/>
        <rFont val="Calibri"/>
        <family val="2"/>
        <scheme val="minor"/>
      </rPr>
      <t>5</t>
    </r>
  </si>
  <si>
    <r>
      <rPr>
        <vertAlign val="superscript"/>
        <sz val="9"/>
        <color theme="1"/>
        <rFont val="Calibri"/>
        <family val="2"/>
        <scheme val="minor"/>
      </rPr>
      <t>5</t>
    </r>
    <r>
      <rPr>
        <sz val="9"/>
        <color theme="1"/>
        <rFont val="Calibri"/>
        <family val="2"/>
        <scheme val="minor"/>
      </rPr>
      <t xml:space="preserve"> Not updated: EUL for measure was not updated because it was not listed in DEER2020 and/or was not a priority measure for update.</t>
    </r>
  </si>
  <si>
    <r>
      <rPr>
        <vertAlign val="superscript"/>
        <sz val="9"/>
        <color theme="1"/>
        <rFont val="Calibri"/>
        <family val="2"/>
        <scheme val="minor"/>
      </rPr>
      <t>4</t>
    </r>
    <r>
      <rPr>
        <sz val="9"/>
        <color theme="1"/>
        <rFont val="Calibri"/>
        <family val="2"/>
        <scheme val="minor"/>
      </rPr>
      <t xml:space="preserve"> AEG 2021 Analysis: Conducted EUL benchmarking for new and revised measures.</t>
    </r>
  </si>
  <si>
    <t>Updated in Winter 2020-2021 for PY21 TRM.</t>
  </si>
  <si>
    <t>Film must have a minimum five-year manufacturer’s warranty and one-year installer’s warranty.</t>
  </si>
  <si>
    <t>Rebates shall be paid on actual square footage of glass in a conditioned space.</t>
  </si>
  <si>
    <t>Windows may be clear or factory tinted, single or double pane, but must not have reflected glass.</t>
  </si>
  <si>
    <t>North-facing windows are not eligible for rebates.</t>
  </si>
  <si>
    <r>
      <t xml:space="preserve">Windows significantly shaded by buildings, trees or awnings are not eligible for rebates. The degree of shading will be assessed by a Hawai‘i Energy Engineer / Energy Advisor. Hawai‘i Energy will provide documentation of the eligibility assessment, such as a satellite image, photograph from an onsite inspection, or signed statement from the customer. Examples of significant shading include the following:
a) </t>
    </r>
    <r>
      <rPr>
        <u/>
        <sz val="11"/>
        <color theme="1"/>
        <rFont val="Calibri"/>
        <family val="2"/>
        <scheme val="minor"/>
      </rPr>
      <t>South-facing windows</t>
    </r>
    <r>
      <rPr>
        <sz val="11"/>
        <color theme="1"/>
        <rFont val="Calibri"/>
        <family val="2"/>
        <scheme val="minor"/>
      </rPr>
      <t xml:space="preserve">: if trees, awnings, buildings, or other structures cover more than 50% of the window during midday hours.
b) </t>
    </r>
    <r>
      <rPr>
        <u/>
        <sz val="11"/>
        <color theme="1"/>
        <rFont val="Calibri"/>
        <family val="2"/>
        <scheme val="minor"/>
      </rPr>
      <t>West-facing windows</t>
    </r>
    <r>
      <rPr>
        <sz val="11"/>
        <color theme="1"/>
        <rFont val="Calibri"/>
        <family val="2"/>
        <scheme val="minor"/>
      </rPr>
      <t xml:space="preserve">: if trees, awnings, buildings, or other structures cover more than 50% of the window during afternoon hours.
c) </t>
    </r>
    <r>
      <rPr>
        <u/>
        <sz val="11"/>
        <color theme="1"/>
        <rFont val="Calibri"/>
        <family val="2"/>
        <scheme val="minor"/>
      </rPr>
      <t>East-facing windows</t>
    </r>
    <r>
      <rPr>
        <sz val="11"/>
        <color theme="1"/>
        <rFont val="Calibri"/>
        <family val="2"/>
        <scheme val="minor"/>
      </rPr>
      <t>: if trees, awnings, buildings, or other structures cover more than 50% of the window during morning hours.</t>
    </r>
  </si>
  <si>
    <t>Replacement of deteriorated window film is eligible for 50% of the rebate if the customer did not receive a rebate for the existing film.</t>
  </si>
  <si>
    <r>
      <t>Per window film application in a given orientation, where the orientation and window area (ft</t>
    </r>
    <r>
      <rPr>
        <vertAlign val="superscript"/>
        <sz val="11"/>
        <color theme="1"/>
        <rFont val="Calibri"/>
        <family val="2"/>
        <scheme val="minor"/>
      </rPr>
      <t>2</t>
    </r>
    <r>
      <rPr>
        <sz val="11"/>
        <color theme="1"/>
        <rFont val="Calibri"/>
        <family val="2"/>
        <scheme val="minor"/>
      </rPr>
      <t>) are custom entries.</t>
    </r>
  </si>
  <si>
    <t>No window film installed.</t>
  </si>
  <si>
    <t>Solar Heat Gain Coefficient (SHGC) &lt; 0.435 or Shading Coefficient (SC) &lt; 0.5, where SHGC = 0.87*SC.</t>
  </si>
  <si>
    <t>o</t>
  </si>
  <si>
    <t>Orientation of window (i.e., direction the window is facing)</t>
  </si>
  <si>
    <r>
      <t>A</t>
    </r>
    <r>
      <rPr>
        <vertAlign val="subscript"/>
        <sz val="10.5"/>
        <color theme="1"/>
        <rFont val="Calibri"/>
        <family val="2"/>
      </rPr>
      <t>film,o</t>
    </r>
  </si>
  <si>
    <t>Area of window film applied to windows in orientation [o]</t>
  </si>
  <si>
    <r>
      <t>ft</t>
    </r>
    <r>
      <rPr>
        <vertAlign val="superscript"/>
        <sz val="10.5"/>
        <color theme="1"/>
        <rFont val="Calibri"/>
        <family val="2"/>
        <scheme val="minor"/>
      </rPr>
      <t>2</t>
    </r>
  </si>
  <si>
    <r>
      <t>SHGF</t>
    </r>
    <r>
      <rPr>
        <vertAlign val="subscript"/>
        <sz val="10.5"/>
        <color theme="1"/>
        <rFont val="Calibri"/>
        <family val="2"/>
        <scheme val="minor"/>
      </rPr>
      <t>o</t>
    </r>
  </si>
  <si>
    <t>Peak solar heat gain factor for orientation of interest</t>
  </si>
  <si>
    <r>
      <t>Btu/hr-ft</t>
    </r>
    <r>
      <rPr>
        <vertAlign val="superscript"/>
        <sz val="10.5"/>
        <color theme="1"/>
        <rFont val="Calibri"/>
        <family val="2"/>
        <scheme val="minor"/>
      </rPr>
      <t>2</t>
    </r>
    <r>
      <rPr>
        <sz val="10.5"/>
        <color theme="1"/>
        <rFont val="Calibri"/>
        <family val="2"/>
        <scheme val="minor"/>
      </rPr>
      <t>-year</t>
    </r>
  </si>
  <si>
    <t>Values derived by AEG using NREL's PVWatts calculation tool. Analysis was conducted for Honolulu, HI and for Hawaii's peak demand period of 5-9 pm on non-holiday weekdays. (See file named "PVWatts_Honolulu_All
_Orientations.")</t>
  </si>
  <si>
    <r>
      <t>SHG</t>
    </r>
    <r>
      <rPr>
        <vertAlign val="subscript"/>
        <sz val="10.5"/>
        <color theme="1"/>
        <rFont val="Calibri"/>
        <family val="2"/>
        <scheme val="minor"/>
      </rPr>
      <t>o</t>
    </r>
  </si>
  <si>
    <t>Solar heat gain for orientation of interest</t>
  </si>
  <si>
    <r>
      <t>Btu/ft</t>
    </r>
    <r>
      <rPr>
        <vertAlign val="superscript"/>
        <sz val="10.5"/>
        <color theme="1"/>
        <rFont val="Calibri"/>
        <family val="2"/>
        <scheme val="minor"/>
      </rPr>
      <t>2</t>
    </r>
    <r>
      <rPr>
        <sz val="10.5"/>
        <color theme="1"/>
        <rFont val="Calibri"/>
        <family val="2"/>
        <scheme val="minor"/>
      </rPr>
      <t>-year</t>
    </r>
  </si>
  <si>
    <r>
      <t>SHGC</t>
    </r>
    <r>
      <rPr>
        <vertAlign val="subscript"/>
        <sz val="10.5"/>
        <color theme="1"/>
        <rFont val="Calibri"/>
        <family val="2"/>
        <scheme val="minor"/>
      </rPr>
      <t>pre,o</t>
    </r>
  </si>
  <si>
    <t>Solar heat gain coefficient for existing windows in orientation of interest</t>
  </si>
  <si>
    <r>
      <t>See Note 1 below regarding the specification of SHGC  for existing windows.</t>
    </r>
    <r>
      <rPr>
        <vertAlign val="superscript"/>
        <sz val="10.5"/>
        <color theme="1"/>
        <rFont val="Calibri"/>
        <family val="2"/>
        <scheme val="minor"/>
      </rPr>
      <t>1</t>
    </r>
  </si>
  <si>
    <r>
      <t>SHGC</t>
    </r>
    <r>
      <rPr>
        <vertAlign val="subscript"/>
        <sz val="10.5"/>
        <color theme="1"/>
        <rFont val="Calibri"/>
        <family val="2"/>
        <scheme val="minor"/>
      </rPr>
      <t>post,o</t>
    </r>
  </si>
  <si>
    <t>Solar heat gain coefficient for windows with film in orientation of interest</t>
  </si>
  <si>
    <r>
      <t>See Note 2 below regarding the specification of SHGC for windows with film.</t>
    </r>
    <r>
      <rPr>
        <vertAlign val="superscript"/>
        <sz val="10.5"/>
        <color theme="1"/>
        <rFont val="Calibri"/>
        <family val="2"/>
        <scheme val="minor"/>
      </rPr>
      <t>2, 3</t>
    </r>
  </si>
  <si>
    <t>Coefficient of performance of cooling equipment serving the building</t>
  </si>
  <si>
    <t>If the COP is unknown, a default value (see Table 3) based on the cooling system type and the building year of construction can be selected by the user.</t>
  </si>
  <si>
    <t>Conversion factor (Btu to kWh)</t>
  </si>
  <si>
    <t>See Note 4 below.</t>
  </si>
  <si>
    <r>
      <rPr>
        <vertAlign val="superscript"/>
        <sz val="9"/>
        <color theme="1"/>
        <rFont val="Calibri"/>
        <family val="2"/>
        <scheme val="minor"/>
      </rPr>
      <t>1</t>
    </r>
    <r>
      <rPr>
        <sz val="9"/>
        <color theme="1"/>
        <rFont val="Calibri"/>
        <family val="2"/>
        <scheme val="minor"/>
      </rPr>
      <t xml:space="preserve"> Table 2 below contains examples of window and interior shading configurations along with their typical SHGC values.  When specifying the SHGC of existing windows, the practitioner should also be aware that the SHGC of the same windows with film should be a value relative to the SHGC of the existing windows (see Note 2 below).</t>
    </r>
  </si>
  <si>
    <r>
      <rPr>
        <vertAlign val="superscript"/>
        <sz val="9"/>
        <color theme="1"/>
        <rFont val="Calibri"/>
        <family val="2"/>
        <scheme val="minor"/>
      </rPr>
      <t>2</t>
    </r>
    <r>
      <rPr>
        <sz val="9"/>
        <color theme="1"/>
        <rFont val="Calibri"/>
        <family val="2"/>
        <scheme val="minor"/>
      </rPr>
      <t xml:space="preserve"> SHGC of new window film can be obtained from manufacturer specifications and/or an accredited rating organization such as the National Fenestration Rating Council (NFRC). For the purpose of savings calculation, the practitioner </t>
    </r>
    <r>
      <rPr>
        <u/>
        <sz val="9"/>
        <color theme="1"/>
        <rFont val="Calibri"/>
        <family val="2"/>
        <scheme val="minor"/>
      </rPr>
      <t>must</t>
    </r>
    <r>
      <rPr>
        <sz val="9"/>
        <color theme="1"/>
        <rFont val="Calibri"/>
        <family val="2"/>
        <scheme val="minor"/>
      </rPr>
      <t xml:space="preserve">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r>
  </si>
  <si>
    <r>
      <rPr>
        <vertAlign val="superscript"/>
        <sz val="9"/>
        <color theme="1"/>
        <rFont val="Calibri"/>
        <family val="2"/>
        <scheme val="minor"/>
      </rPr>
      <t>3</t>
    </r>
    <r>
      <rPr>
        <sz val="9"/>
        <color theme="1"/>
        <rFont val="Calibri"/>
        <family val="2"/>
        <scheme val="minor"/>
      </rPr>
      <t xml:space="preserve"> Older products may provide a shading coefficient (SC) instead of SHGC. Per Page 30.39 of the 2001 ASHRAE Fundamentals Handbook, SHGC can be estimated by multiplying SC by 0.87.</t>
    </r>
  </si>
  <si>
    <r>
      <rPr>
        <vertAlign val="superscript"/>
        <sz val="9"/>
        <color theme="1"/>
        <rFont val="Calibri"/>
        <family val="2"/>
        <scheme val="minor"/>
      </rPr>
      <t>4</t>
    </r>
    <r>
      <rPr>
        <sz val="9"/>
        <color theme="1"/>
        <rFont val="Calibri"/>
        <family val="2"/>
        <scheme val="minor"/>
      </rPr>
      <t xml:space="preserve"> EUL of 10 years is consistent with the EUL reported for window film in the California Database for Energy Efficiency Resources (DEER) 2020, Texas Technical Reference Manual (version 8.0), and New Mexico Technical Reference Manual (2/6/2019).</t>
    </r>
  </si>
  <si>
    <r>
      <t xml:space="preserve">Table 1. Solar Heat Gain (SHG) and Peak Solar Heat Gain Factor (SHGF) for Honolulu </t>
    </r>
    <r>
      <rPr>
        <b/>
        <vertAlign val="superscript"/>
        <sz val="10.5"/>
        <color theme="1"/>
        <rFont val="Calibri"/>
        <family val="2"/>
        <scheme val="minor"/>
      </rPr>
      <t>1</t>
    </r>
  </si>
  <si>
    <t>Window Orientation</t>
  </si>
  <si>
    <r>
      <t>SHG
(Btu/ft</t>
    </r>
    <r>
      <rPr>
        <b/>
        <vertAlign val="superscript"/>
        <sz val="10.5"/>
        <color theme="1"/>
        <rFont val="Calibri"/>
        <family val="2"/>
        <scheme val="minor"/>
      </rPr>
      <t>2</t>
    </r>
    <r>
      <rPr>
        <b/>
        <sz val="10.5"/>
        <color theme="1"/>
        <rFont val="Calibri"/>
        <family val="2"/>
        <scheme val="minor"/>
      </rPr>
      <t>-year)</t>
    </r>
  </si>
  <si>
    <r>
      <t>SHGF
(Btu/hr-ft</t>
    </r>
    <r>
      <rPr>
        <b/>
        <vertAlign val="superscript"/>
        <sz val="10.5"/>
        <color theme="1"/>
        <rFont val="Calibri"/>
        <family val="2"/>
        <scheme val="minor"/>
      </rPr>
      <t>2</t>
    </r>
    <r>
      <rPr>
        <b/>
        <sz val="10.5"/>
        <color theme="1"/>
        <rFont val="Calibri"/>
        <family val="2"/>
        <scheme val="minor"/>
      </rPr>
      <t>-year)</t>
    </r>
  </si>
  <si>
    <t>North-East</t>
  </si>
  <si>
    <t>East</t>
  </si>
  <si>
    <t>South-East</t>
  </si>
  <si>
    <t>South</t>
  </si>
  <si>
    <t>South-West</t>
  </si>
  <si>
    <t>West</t>
  </si>
  <si>
    <t>North-West</t>
  </si>
  <si>
    <r>
      <rPr>
        <vertAlign val="superscript"/>
        <sz val="9"/>
        <color theme="1"/>
        <rFont val="Calibri"/>
        <family val="2"/>
        <scheme val="minor"/>
      </rPr>
      <t>1</t>
    </r>
    <r>
      <rPr>
        <sz val="9"/>
        <color theme="1"/>
        <rFont val="Calibri"/>
        <family val="2"/>
        <scheme val="minor"/>
      </rPr>
      <t xml:space="preserve"> AEG derived SHG and SHGF values for Honolulu with the use of NREL's PVWatts Calculator (available online at:  https://pvwatts.nrel.gov/) by (1) specifying a 90-degree tilt angle to simulate the vertical plane of a window and (2) varying the azimuth to simulate each orientation. The final SHG and SHGF values were obtained by averaging the results across 45 degrees of azimuth with the listed orientation at the center (e.g. the values listed for South is the average of the results for South-South-West, South, and South-South-East). </t>
    </r>
  </si>
  <si>
    <r>
      <t xml:space="preserve">Table 2. Solar Heat Gain Coefficient (SHGC) for Various Window and Shading Configurations </t>
    </r>
    <r>
      <rPr>
        <b/>
        <vertAlign val="superscript"/>
        <sz val="10.5"/>
        <color theme="1"/>
        <rFont val="Calibri"/>
        <family val="2"/>
        <scheme val="minor"/>
      </rPr>
      <t>1</t>
    </r>
  </si>
  <si>
    <r>
      <t xml:space="preserve">Window and Shading </t>
    </r>
    <r>
      <rPr>
        <b/>
        <vertAlign val="superscript"/>
        <sz val="10.5"/>
        <color theme="1"/>
        <rFont val="Calibri"/>
        <family val="2"/>
        <scheme val="minor"/>
      </rPr>
      <t>2</t>
    </r>
  </si>
  <si>
    <r>
      <t>SHGC</t>
    </r>
    <r>
      <rPr>
        <b/>
        <vertAlign val="subscript"/>
        <sz val="10.5"/>
        <color theme="1"/>
        <rFont val="Calibri"/>
        <family val="2"/>
        <scheme val="minor"/>
      </rPr>
      <t>pre</t>
    </r>
  </si>
  <si>
    <t>Single-pane (no interior shade)</t>
  </si>
  <si>
    <t>Single-pane with roller shade</t>
  </si>
  <si>
    <t>Single-pane with louvered interior shades</t>
  </si>
  <si>
    <t>Single-pane with draperies (open weave)</t>
  </si>
  <si>
    <t>Single-pane with draperies (closed weave)</t>
  </si>
  <si>
    <t>Double-pane (no interior shade)</t>
  </si>
  <si>
    <t>Double-pane with roller shade</t>
  </si>
  <si>
    <t>Double-pane with louvered interior shades</t>
  </si>
  <si>
    <t>Double-pane with draperies (open weave)</t>
  </si>
  <si>
    <t>Double-pane with draperies (closed weave)</t>
  </si>
  <si>
    <r>
      <rPr>
        <vertAlign val="superscript"/>
        <sz val="9"/>
        <color theme="1"/>
        <rFont val="Calibri"/>
        <family val="2"/>
        <scheme val="minor"/>
      </rPr>
      <t>1</t>
    </r>
    <r>
      <rPr>
        <sz val="9"/>
        <color theme="1"/>
        <rFont val="Calibri"/>
        <family val="2"/>
        <scheme val="minor"/>
      </rPr>
      <t xml:space="preserve"> The SHGC values in this table are provided for reference only and are not used in the semi-prescriptive calculator for this measure. The window types and SHGC values are the same as those listed in the New Mexico Technical Resource Manual, which in turn are based on shading coefficients (SC) provided in Chapter 15 of the 2009 ASHRAE Fundamentals Handbook. AEG converted the listed SC values to SHGC values (per Page 30.39 of the 2001 ASHRAE Fundamentals Handbook, SHGC can be estimated by multiplying SC by 0.87).</t>
    </r>
  </si>
  <si>
    <r>
      <rPr>
        <vertAlign val="superscript"/>
        <sz val="9"/>
        <color theme="1"/>
        <rFont val="Calibri"/>
        <family val="2"/>
        <scheme val="minor"/>
      </rPr>
      <t>2</t>
    </r>
    <r>
      <rPr>
        <sz val="9"/>
        <color theme="1"/>
        <rFont val="Calibri"/>
        <family val="2"/>
        <scheme val="minor"/>
      </rPr>
      <t xml:space="preserve"> The window types listed in this table are all clear-glass windows with no existing treatments or coatings.</t>
    </r>
  </si>
  <si>
    <r>
      <t xml:space="preserve">Table 3. COP by Building Vintage and HVAC System Type </t>
    </r>
    <r>
      <rPr>
        <b/>
        <vertAlign val="superscript"/>
        <sz val="10.5"/>
        <color theme="1"/>
        <rFont val="Calibri"/>
        <family val="2"/>
        <scheme val="minor"/>
      </rPr>
      <t>1</t>
    </r>
  </si>
  <si>
    <t>Year of Construction
(applicable code)</t>
  </si>
  <si>
    <t>Packaged AC</t>
  </si>
  <si>
    <t>Air-Cooled Chiller</t>
  </si>
  <si>
    <t>Water-Cooled Chiller</t>
  </si>
  <si>
    <t>Before 2011 (2000 IECC)</t>
  </si>
  <si>
    <t>2011-2016 (2009 IECC)</t>
  </si>
  <si>
    <t>After 2016 (2015 IECC)</t>
  </si>
  <si>
    <r>
      <rPr>
        <vertAlign val="superscript"/>
        <sz val="9"/>
        <color theme="1"/>
        <rFont val="Calibri"/>
        <family val="2"/>
        <scheme val="minor"/>
      </rPr>
      <t>1</t>
    </r>
    <r>
      <rPr>
        <sz val="9"/>
        <color theme="1"/>
        <rFont val="Calibri"/>
        <family val="2"/>
        <scheme val="minor"/>
      </rPr>
      <t xml:space="preserve"> The COP values listed in this table are the same as those listed in the Texas Technical Reference Manual, which in turn are based on a review of minimum requirements specified in the International Energy Conservation Code (IECC) for 2000, 2009, and 2015. As such, these COP values also map to ASHRAE 90.1-2001, ASHRAE 90.1-2010, and ASHRAE 90.1-2016, respectively, which are the standards that HVAC manufacturers adhere to.</t>
    </r>
  </si>
  <si>
    <t>Note: If a project involves the application of film to windows in multiple orientations, then the total savings for the project is equal to the sum of the savings for each orientation.</t>
  </si>
  <si>
    <t>SHGC of new window film can be obtained from manufacturer specifications and/or an accredited rating organization such as the National Fenestration Rating Council (NFRC). For the purpose of savings calculation, the practitioner must select a SHGC value of the new window film that is relative to the SHGC of the existing window in order to capture the appropriate amount of SHGC reduction due to the window film. It is for this reason that the NFRC provides both the SHGC (no film) and SHGC (with film) values for each of their window film product ratings. An arbitrary SHGC value for the window film that has no relation to the existing window SHGC should not be used for the savings calculation.</t>
  </si>
  <si>
    <t>User Inputs</t>
  </si>
  <si>
    <t>Window orientation:</t>
  </si>
  <si>
    <t>SHGC of existing windows:</t>
  </si>
  <si>
    <t>SHGC of windows with film applied:</t>
  </si>
  <si>
    <t>Area of window film applied, in square feet:</t>
  </si>
  <si>
    <t>COP of HVAC system (leave blank if unknown):</t>
  </si>
  <si>
    <t>If COP is unknown, select the items below -</t>
  </si>
  <si>
    <t>Building year of construction:</t>
  </si>
  <si>
    <t>HVAC system type:</t>
  </si>
  <si>
    <t>AEG's 2021 Analysis Files titled "PY21 TRM NonRes Window Film Analysis File" and "PVWatts_Honolulu_All_Orientations."</t>
  </si>
  <si>
    <t xml:space="preserve">American Society of Heating, Refrigerating and Air-Conditioning Engineers (ASHRAE), 2001 ASHRAE Handbook: Fundamentals, 2001. </t>
  </si>
  <si>
    <t>National Fenestration Rating Council, Certified Products Directory, https://www.nfrc.org/certified-product-directory/, accessed 2/10/2021.</t>
  </si>
  <si>
    <t>National Renewable Energy Laboratory, PVWatts Calculator, https://pvwatts.nrel.gov/, accessed 2/9/2021.</t>
  </si>
  <si>
    <t>New Mexico Technical Resource Manual for the Calculation of Energy Efficiency Savings, Prepared for the New Mexico Public Regulation Commission, February 6, 2019, Evergreen Economics and EcoMetric Consulting.</t>
  </si>
  <si>
    <t>Savings Estimation Technical Reference Manual 2017, Third Edition, California Municipal Utilities Association.</t>
  </si>
  <si>
    <t>Southern California Edison, Work Paper SCE13HC002: Reflective Window Film, January 28, 2015.</t>
  </si>
  <si>
    <t>Texas Technical Reference Manual, Version 8.0, Volume 3: Nonresidential Measures, November 2020.</t>
  </si>
  <si>
    <t>Load sensing and interaction sensing advanced power strips.  This measure involves the purchase and installation of a new Tier 1 or Tier 2 load sensing advanced power strip (APS) in place of a power strip with no automated power shutoff function in a home office or entertainment center. This measure can be directly installed or owner installed. Savings are based on the average load of a 6 plug strip.</t>
  </si>
  <si>
    <t>Tier 1 or Tier 2 qualified power strip.</t>
  </si>
  <si>
    <t>One power strip.</t>
  </si>
  <si>
    <t>1) Tier 1 (Load or Occupancy Sensing): APS shuts off power to selected peripheral devices when the television or CPU enters sleep mode or is turned off. For Motion-sensing APS, the APS shuts off power to controlled devices when no motion is detected for a set period of time.
2) Tier 2  (Engagement Sensing or Active Controls): In entertainment applications, APS shuts off power to controlled devices (including television) when no user engagement is detected for a set period of time regardless of the level of power draw. All products currently on the market include Infrared (IR) Sensing to monitor remote control inputs. Additional layers of control over IR sensing in this measure application category may include: (1) Occupancy Sensing and (2) Additional Connectivity (ex: Smartphone application/control). In home office applications, APS shuts off power to controlled devices and puts the CPU into a low-energy, sleep mode when no user interaction (typically a combination of key-board, mouse, and/or motion) is detected for a set period of time. APS manages the active energy use of the control device (CPU) and the standby power consumption of peripheral devices.</t>
  </si>
  <si>
    <r>
      <t>KWH</t>
    </r>
    <r>
      <rPr>
        <vertAlign val="subscript"/>
        <sz val="10.5"/>
        <color theme="1"/>
        <rFont val="Calibri"/>
        <family val="2"/>
        <scheme val="minor"/>
      </rPr>
      <t>Baseline</t>
    </r>
  </si>
  <si>
    <t>Average deemed baseline kWh per power strip</t>
  </si>
  <si>
    <r>
      <t>Adapted from RTF analysis.</t>
    </r>
    <r>
      <rPr>
        <vertAlign val="superscript"/>
        <sz val="10.5"/>
        <color theme="1"/>
        <rFont val="Calibri"/>
        <family val="2"/>
        <scheme val="minor"/>
      </rPr>
      <t>1</t>
    </r>
  </si>
  <si>
    <t>% Savings</t>
  </si>
  <si>
    <t>Savings percentage due to power strip</t>
  </si>
  <si>
    <t>In Service Rate. For this measure, the ISR represents the % of units properly installed.</t>
  </si>
  <si>
    <r>
      <t>Adapted from RTF analysis.</t>
    </r>
    <r>
      <rPr>
        <vertAlign val="superscript"/>
        <sz val="10.5"/>
        <rFont val="Calibri"/>
        <family val="2"/>
        <scheme val="minor"/>
      </rPr>
      <t>1</t>
    </r>
  </si>
  <si>
    <t>Persistence Factor. For this measure, the PF represents the % of units retained within first year.</t>
  </si>
  <si>
    <t>Assumes no manual shutoff of equipment.</t>
  </si>
  <si>
    <t>% of maximum hourly Watt savings on average that were realized from 5-9 pm for residential A/V equipment. Assumed even distribution of savings.</t>
  </si>
  <si>
    <r>
      <t>Average of several TRMs and secondary sources.</t>
    </r>
    <r>
      <rPr>
        <vertAlign val="superscript"/>
        <sz val="10.5"/>
        <rFont val="Calibri"/>
        <family val="2"/>
        <scheme val="minor"/>
      </rPr>
      <t>2</t>
    </r>
  </si>
  <si>
    <t>1. Adapted from Reginal Technical Forum. (2019, January 24). Residential Advanced Power Strips Version 3.1. Retrieved from &lt;https://rtf.nwcouncil.org/measure/residential-advanced-power-strips&gt;.</t>
  </si>
  <si>
    <t>2. AEG's Analysis File titled "PY21 R_PlugProcess_Adv Power Strip Analysis File."</t>
  </si>
  <si>
    <t>KWH. Baseline</t>
  </si>
  <si>
    <t>kWh Savings</t>
  </si>
  <si>
    <t>kW Savings</t>
  </si>
  <si>
    <t>Tier 1: Home Office</t>
  </si>
  <si>
    <t>Tier 2: Home Office</t>
  </si>
  <si>
    <t>Owner Install</t>
  </si>
  <si>
    <t>Table 2. Plug Location</t>
  </si>
  <si>
    <t>Plug Location</t>
  </si>
  <si>
    <t>Home Office</t>
  </si>
  <si>
    <t>Equipment counts from Page 312 and 314 of 2019 Hawaii Statewide Baseline Energy Use Study, Prepared for Hawaii Public Utilities Commission, Prepared by Applied Energy Group, 2020. Volume 2 Appendices: Questionnaires, Ancillary Research Materials and Crosstabs</t>
  </si>
  <si>
    <t>Direct Install Tier 1 Average</t>
  </si>
  <si>
    <t>Direct Install Tier 2 Average</t>
  </si>
  <si>
    <t>Owner Install Tier 1 Average</t>
  </si>
  <si>
    <t>Owner Install Tier 2 Average</t>
  </si>
  <si>
    <t>AEG's Analysis File titled "PY21 R_PlugProcess_Adv Power Strip Analysis File."</t>
  </si>
  <si>
    <t xml:space="preserve"> 2019 Hawaii Statewide Baseline Energy Use Study, Prepared for Hawaii Public Utilities Commission, Prepared by Applied Energy Group, 2020. Volume 2 Appendices: Questionnaires, Ancillary Research Materials and Crosstabs.</t>
  </si>
  <si>
    <t>CalTF. (2015). Analysis of EULs for Residential Tier 2 Power Strips (WP WPSDGEREHE0004.0).</t>
  </si>
  <si>
    <t>DEER. (2020). SupportTable-EUL2020.xlsx. Retrieved from http://www.deeresources.com/files/DEER2020/download/SupportTable-EUL2020.xlsx.</t>
  </si>
  <si>
    <t>ComEd. (2018). 2018 ComEd Effective Useful Life Research Report. Retrieved from https://www.ilsag.info/evaluation-documents/final-evaluation-reports/https://www.ilsag.info/evaluation-documents/final-evaluation-reports/.</t>
  </si>
  <si>
    <t>RESIDENTIAL: Cool Wall</t>
  </si>
  <si>
    <t>Introduced in Winter 2020-2021 for PY21 TRM.</t>
  </si>
  <si>
    <t xml:space="preserve">Solar reflective "cool walls" save energy by increasing the solar reflectance (also known as albedo) of exterior above-grade wall surfaces over conventional walls. Solar reflectance (albedo) is defined as the fraction of incident solar radiation that is reflected by a surface. Increasing solar reflectance (alone or in combination with increasing thermal emittance) decreases the amount of solar radiation absorbed by the walls, which in turn reduces air conditioning and HVAC fan loads. Though cool walls also increase space heating loads by reducing the amount of solar radiation absorbed by walls, space heating energy use is assumed to be negligible in the average Hawaii home. (The 2019 Hawaii Statewide Baseline Energy Use Study found that 93% of Hawaii homes do not have space heating.) </t>
  </si>
  <si>
    <t xml:space="preserve">The savings for this measure are based on results from a solar reflective cool wall study conducted by Lawrence Berkeley National Laboratory (LBNL) for the California Energy Commission (CEC). As part of the study, LBNL/CEC developed building energy simulation models for various locations and ASHRAE climate zones. The savings included here are derived from simulations for Miami, FL, which has the same ASHRAE climate zone as Hawaii: USCZ 1A. </t>
  </si>
  <si>
    <t>New construction.</t>
  </si>
  <si>
    <t>Single family home.</t>
  </si>
  <si>
    <t>Home has room or central AC system(s).</t>
  </si>
  <si>
    <t>4.</t>
  </si>
  <si>
    <r>
      <t xml:space="preserve">Because the Energy Conservation Code 2015 of Hawaii has an option to use reflective walls (among other measures) as a means to eliminate continuous insulation in above-grade walls (see Section R407 of the Energy Conservation Code 2015 of Hawaii), the cool wall measure </t>
    </r>
    <r>
      <rPr>
        <i/>
        <sz val="11"/>
        <color theme="1"/>
        <rFont val="Calibri"/>
        <family val="2"/>
        <scheme val="minor"/>
      </rPr>
      <t>only</t>
    </r>
    <r>
      <rPr>
        <sz val="11"/>
        <color theme="1"/>
        <rFont val="Calibri"/>
        <family val="2"/>
        <scheme val="minor"/>
      </rPr>
      <t xml:space="preserve"> qualifies for a program incentive if it is being implemented to exceed minimum efficiency requirements from other code compliancy measures. </t>
    </r>
  </si>
  <si>
    <t>5.</t>
  </si>
  <si>
    <t>The color and type of the cool wall paint or spectrally selective pigments and materials should be documented.</t>
  </si>
  <si>
    <r>
      <t>Per home, where the net exterior surface area (ft</t>
    </r>
    <r>
      <rPr>
        <vertAlign val="superscript"/>
        <sz val="11"/>
        <color theme="1"/>
        <rFont val="Calibri"/>
        <family val="2"/>
        <scheme val="minor"/>
      </rPr>
      <t>2</t>
    </r>
    <r>
      <rPr>
        <sz val="11"/>
        <color theme="1"/>
        <rFont val="Calibri"/>
        <family val="2"/>
        <scheme val="minor"/>
      </rPr>
      <t>) of the above-grade solar reflective walls is a custom entry.</t>
    </r>
  </si>
  <si>
    <t xml:space="preserve">Conventional walls with assumed solar reflectance (albedo) of 0.25. This level of solar reflectance is associated with darker, less reflective coatings and materials. The solar reflectance value of 0.25 is the baseline value used in the LBNL/CEC building energy simulations. </t>
  </si>
  <si>
    <r>
      <t xml:space="preserve">"Cool walls" with a minimum initial solar reflectance (albedo) of 0.60. This level of solar reflectance is associated with light-colored conventional paints and materials (e.g., dull white or off-white at a minimum, or bright white for a higher solar reflectance) or non-white spectrally selective pigments and materials with solar reflectance </t>
    </r>
    <r>
      <rPr>
        <sz val="11"/>
        <color theme="1"/>
        <rFont val="Calibri"/>
        <family val="2"/>
      </rPr>
      <t>≥ 0.6</t>
    </r>
    <r>
      <rPr>
        <sz val="11"/>
        <color theme="1"/>
        <rFont val="Calibri"/>
        <family val="2"/>
        <scheme val="minor"/>
      </rPr>
      <t>. The wall surfaces are assumed to weather and soil over time, reducing the solar reflectance from an initial value of 0.60 to an aged value of 0.58 after the first year. The solar reflectance value of 0.60 is the high efficiency value used in the LBNL/CEC building energy simulations.</t>
    </r>
  </si>
  <si>
    <r>
      <t>ΔW</t>
    </r>
    <r>
      <rPr>
        <vertAlign val="subscript"/>
        <sz val="10.5"/>
        <color theme="1"/>
        <rFont val="Calibri"/>
        <family val="2"/>
        <scheme val="minor"/>
      </rPr>
      <t>HVAC</t>
    </r>
  </si>
  <si>
    <t>Annual HVAC site peak power demand absolute savings intensity</t>
  </si>
  <si>
    <r>
      <t>W/ft</t>
    </r>
    <r>
      <rPr>
        <vertAlign val="superscript"/>
        <sz val="10.5"/>
        <color theme="1"/>
        <rFont val="Calibri"/>
        <family val="2"/>
        <scheme val="minor"/>
      </rPr>
      <t>2</t>
    </r>
  </si>
  <si>
    <r>
      <t xml:space="preserve">LBNL/CEC simulations for USCZ 1A, Vintage group = new, Building category = single-family home, Modified surface = N E S W, Base wall albedo = 0.25, and Albedo of modified wall(s) = 0.6. </t>
    </r>
    <r>
      <rPr>
        <vertAlign val="superscript"/>
        <sz val="10.5"/>
        <color theme="1"/>
        <rFont val="Calibri"/>
        <family val="2"/>
        <scheme val="minor"/>
      </rPr>
      <t>1</t>
    </r>
  </si>
  <si>
    <r>
      <t>ΔkWh</t>
    </r>
    <r>
      <rPr>
        <vertAlign val="subscript"/>
        <sz val="10.5"/>
        <color theme="1"/>
        <rFont val="Calibri"/>
        <family val="2"/>
        <scheme val="minor"/>
      </rPr>
      <t>cool</t>
    </r>
  </si>
  <si>
    <t>Annual cooling site energy absolute savings intensity</t>
  </si>
  <si>
    <r>
      <t>kWh/ft</t>
    </r>
    <r>
      <rPr>
        <vertAlign val="superscript"/>
        <sz val="10.5"/>
        <color theme="1"/>
        <rFont val="Calibri"/>
        <family val="2"/>
        <scheme val="minor"/>
      </rPr>
      <t>2</t>
    </r>
  </si>
  <si>
    <r>
      <t>ΔkWh</t>
    </r>
    <r>
      <rPr>
        <vertAlign val="subscript"/>
        <sz val="10.5"/>
        <color theme="1"/>
        <rFont val="Calibri"/>
        <family val="2"/>
        <scheme val="minor"/>
      </rPr>
      <t>fan</t>
    </r>
  </si>
  <si>
    <t>Annual fan site energy absolute savings intensity</t>
  </si>
  <si>
    <t>NSA</t>
  </si>
  <si>
    <t>Net surface area</t>
  </si>
  <si>
    <r>
      <rPr>
        <sz val="10.5"/>
        <color theme="1"/>
        <rFont val="Calibri"/>
        <family val="2"/>
        <scheme val="minor"/>
      </rPr>
      <t>ft</t>
    </r>
    <r>
      <rPr>
        <vertAlign val="superscript"/>
        <sz val="10.5"/>
        <color theme="1"/>
        <rFont val="Calibri"/>
        <family val="2"/>
        <scheme val="minor"/>
      </rPr>
      <t>2</t>
    </r>
  </si>
  <si>
    <t>Gross area of above-grade exterior walls (height x width for each above-grade exterior cool wall of home) minus openings for doors and windows.</t>
  </si>
  <si>
    <t>SAF</t>
  </si>
  <si>
    <t>Solar availability factor</t>
  </si>
  <si>
    <r>
      <t xml:space="preserve">This factor scales the incident solar radiation by accounting for shading and reflection effects from neighboring buildings. Estimates in Table 2 are derived from LBNL/CEC, Appendix P, Table 31 for USCZ 1A. </t>
    </r>
    <r>
      <rPr>
        <vertAlign val="superscript"/>
        <sz val="10.5"/>
        <color theme="1"/>
        <rFont val="Calibri"/>
        <family val="2"/>
        <scheme val="minor"/>
      </rPr>
      <t>1</t>
    </r>
  </si>
  <si>
    <t>CF corresponding with system peak of 5-9pm on non-holiday weekdays. Determined based on Hawaii-specific EnergyPlus prototype simulations with Room AC and Central AC systems.</t>
  </si>
  <si>
    <r>
      <t xml:space="preserve">Adjustment to account for change of solar reflectance over lifetime due to natural exposure (i.e., weather and soiling). Assumes solar reflectance loss of 0.02 once aged; (0.02/0.60) = 3%. </t>
    </r>
    <r>
      <rPr>
        <vertAlign val="superscript"/>
        <sz val="10.5"/>
        <color theme="1"/>
        <rFont val="Calibri"/>
        <family val="2"/>
        <scheme val="minor"/>
      </rPr>
      <t>2</t>
    </r>
  </si>
  <si>
    <r>
      <t xml:space="preserve">Assumes the coat of paint will last 10 years per LBNL/CEC, Appendix P, pg. P-39. </t>
    </r>
    <r>
      <rPr>
        <vertAlign val="superscript"/>
        <sz val="10.5"/>
        <color theme="1"/>
        <rFont val="Calibri"/>
        <family val="2"/>
        <scheme val="minor"/>
      </rPr>
      <t>1</t>
    </r>
  </si>
  <si>
    <r>
      <rPr>
        <vertAlign val="superscript"/>
        <sz val="9"/>
        <color theme="1"/>
        <rFont val="Calibri"/>
        <family val="2"/>
        <scheme val="minor"/>
      </rPr>
      <t>1</t>
    </r>
    <r>
      <rPr>
        <sz val="9"/>
        <color theme="1"/>
        <rFont val="Calibri"/>
        <family val="2"/>
        <scheme val="minor"/>
      </rPr>
      <t xml:space="preserve"> [LBNL/CEC]. Levinson et al. 2019. Solar-Reflective “Cool” Walls: Benefits, Technologies, and Implementation. California Energy Commission. Publication Number: CEC-500-2019-040, &lt;https://ww2.energy.ca.gov/2019publications/CEC-500-2019-040/&gt;. See also Appendix P: Cool Wall Application Guidelines, &lt;https://ww2.energy.ca.gov/2019publications/CEC-500-2019-040/CEC-500-2019-040-APP.pdf&gt;. The tool named "Savings explorer v033.xlsm" and database named "Cool surface savings database_2018-06-27.csv" are available in a ZIP archive online: &lt;http://bit.ly/2Kwvtpu&gt;. </t>
    </r>
  </si>
  <si>
    <r>
      <rPr>
        <vertAlign val="superscript"/>
        <sz val="9"/>
        <color theme="1"/>
        <rFont val="Calibri"/>
        <family val="2"/>
        <scheme val="minor"/>
      </rPr>
      <t>2</t>
    </r>
    <r>
      <rPr>
        <sz val="9"/>
        <color theme="1"/>
        <rFont val="Calibri"/>
        <family val="2"/>
        <scheme val="minor"/>
      </rPr>
      <t xml:space="preserve"> Estimated using field data for cool wall coatings after 12 months of exposure in Miami, FL. See LBNL/CEC, Appendix P, Figure 8. For an initial albedo of ~0.60, the albedo loss is ~0.02.</t>
    </r>
  </si>
  <si>
    <r>
      <t xml:space="preserve">Table 1: </t>
    </r>
    <r>
      <rPr>
        <b/>
        <i/>
        <sz val="11"/>
        <color theme="1"/>
        <rFont val="Calibri"/>
        <family val="2"/>
        <scheme val="minor"/>
      </rPr>
      <t>Unadjusted</t>
    </r>
    <r>
      <rPr>
        <b/>
        <sz val="11"/>
        <color theme="1"/>
        <rFont val="Calibri"/>
        <family val="2"/>
        <scheme val="minor"/>
      </rPr>
      <t xml:space="preserve"> Savings per Unit of Net Surface Area</t>
    </r>
  </si>
  <si>
    <t>Building orientation (long axis of home)</t>
  </si>
  <si>
    <r>
      <t>Annual cooling site energy absolute savings intensity, 
ΔkWh</t>
    </r>
    <r>
      <rPr>
        <b/>
        <vertAlign val="subscript"/>
        <sz val="10.5"/>
        <color theme="1"/>
        <rFont val="Calibri"/>
        <family val="2"/>
        <scheme val="minor"/>
      </rPr>
      <t>cool</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</si>
  <si>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fan site energy absolute savings intensity, 
ΔkWh</t>
    </r>
    <r>
      <rPr>
        <b/>
        <vertAlign val="subscript"/>
        <sz val="10.5"/>
        <color theme="1"/>
        <rFont val="Calibri"/>
        <family val="2"/>
        <scheme val="minor"/>
      </rPr>
      <t>fan</t>
    </r>
    <r>
      <rPr>
        <b/>
        <sz val="10.5"/>
        <color theme="1"/>
        <rFont val="Calibri"/>
        <family val="2"/>
        <scheme val="minor"/>
      </rPr>
      <t xml:space="preserve"> [kWh/ft</t>
    </r>
    <r>
      <rPr>
        <b/>
        <vertAlign val="superscript"/>
        <sz val="10.5"/>
        <color theme="1"/>
        <rFont val="Calibri"/>
        <family val="2"/>
        <scheme val="minor"/>
      </rPr>
      <t>2</t>
    </r>
    <r>
      <rPr>
        <b/>
        <sz val="10.5"/>
        <color theme="1"/>
        <rFont val="Calibri"/>
        <family val="2"/>
        <scheme val="minor"/>
      </rPr>
      <t>]</t>
    </r>
  </si>
  <si>
    <r>
      <t>Annual HVAC site peak power demand absolute savings intensity, 
ΔW</t>
    </r>
    <r>
      <rPr>
        <b/>
        <vertAlign val="subscript"/>
        <sz val="10.5"/>
        <color theme="1"/>
        <rFont val="Calibri"/>
        <family val="2"/>
        <scheme val="minor"/>
      </rPr>
      <t>HVAC</t>
    </r>
    <r>
      <rPr>
        <b/>
        <sz val="10.5"/>
        <color theme="1"/>
        <rFont val="Calibri"/>
        <family val="2"/>
        <scheme val="minor"/>
      </rPr>
      <t xml:space="preserve"> [W/ft</t>
    </r>
    <r>
      <rPr>
        <b/>
        <vertAlign val="superscript"/>
        <sz val="10.5"/>
        <color theme="1"/>
        <rFont val="Calibri"/>
        <family val="2"/>
        <scheme val="minor"/>
      </rPr>
      <t>2</t>
    </r>
    <r>
      <rPr>
        <b/>
        <sz val="10.5"/>
        <color theme="1"/>
        <rFont val="Calibri"/>
        <family val="2"/>
        <scheme val="minor"/>
      </rPr>
      <t>]</t>
    </r>
  </si>
  <si>
    <t>East-West</t>
  </si>
  <si>
    <t>North-South</t>
  </si>
  <si>
    <t>Mean</t>
  </si>
  <si>
    <r>
      <t>Source: [LBNL/CEC]. Levinson et al. 2019. "Savings explorer v033.xlsm" and database named "Cool surface savings database_2018-06-27.csv." Simulations for USCZ 1A, Vintage group = new, Building category = single-family home, Modified surface = N E S W, Base wall albedo = 0.25, and Albedo of modified wall(s) = 0.6. The LBNL/CEC values were converted from per-unit of m</t>
    </r>
    <r>
      <rPr>
        <vertAlign val="superscript"/>
        <sz val="9"/>
        <color theme="1"/>
        <rFont val="Calibri"/>
        <family val="2"/>
        <scheme val="minor"/>
      </rPr>
      <t>2</t>
    </r>
    <r>
      <rPr>
        <sz val="9"/>
        <color theme="1"/>
        <rFont val="Calibri"/>
        <family val="2"/>
        <scheme val="minor"/>
      </rPr>
      <t xml:space="preserve"> to per-unit of ft</t>
    </r>
    <r>
      <rPr>
        <vertAlign val="superscript"/>
        <sz val="9"/>
        <color theme="1"/>
        <rFont val="Calibri"/>
        <family val="2"/>
        <scheme val="minor"/>
      </rPr>
      <t>2</t>
    </r>
    <r>
      <rPr>
        <sz val="9"/>
        <color theme="1"/>
        <rFont val="Calibri"/>
        <family val="2"/>
        <scheme val="minor"/>
      </rPr>
      <t xml:space="preserve"> using the following conversion factor: 1 m</t>
    </r>
    <r>
      <rPr>
        <vertAlign val="superscript"/>
        <sz val="9"/>
        <color theme="1"/>
        <rFont val="Calibri"/>
        <family val="2"/>
        <scheme val="minor"/>
      </rPr>
      <t>2</t>
    </r>
    <r>
      <rPr>
        <sz val="9"/>
        <color theme="1"/>
        <rFont val="Calibri"/>
        <family val="2"/>
        <scheme val="minor"/>
      </rPr>
      <t xml:space="preserve"> = 10.7639 ft</t>
    </r>
    <r>
      <rPr>
        <vertAlign val="superscript"/>
        <sz val="9"/>
        <color theme="1"/>
        <rFont val="Calibri"/>
        <family val="2"/>
        <scheme val="minor"/>
      </rPr>
      <t>2</t>
    </r>
    <r>
      <rPr>
        <sz val="9"/>
        <color theme="1"/>
        <rFont val="Calibri"/>
        <family val="2"/>
        <scheme val="minor"/>
      </rPr>
      <t>.</t>
    </r>
  </si>
  <si>
    <t>Table 2: Solar Availability Factor, SAF</t>
  </si>
  <si>
    <t>Neighbor Building Proximity</t>
  </si>
  <si>
    <t>Assumption</t>
  </si>
  <si>
    <t>Isolated</t>
  </si>
  <si>
    <t>Adjacent buildings are more than 100 ft apart. There is negligible effect from neighboring buildings.</t>
  </si>
  <si>
    <t>Close</t>
  </si>
  <si>
    <t>Adjacent buildings are within 10 ft of each other. *</t>
  </si>
  <si>
    <t>Adjacent buildings are between 10 and 100 ft apart.</t>
  </si>
  <si>
    <t xml:space="preserve">* The SAF for "Close" proximity was calculated by averaging the mean SAF values for R=0.2, R=1, R=2, and R=2 from LBNL/CEC Appendix P, Table 31, USCZ 1A. R is the canyon aspect ratio and is equal to the cool wall height divided by the distance to the neighboring building. There are four R values to represent four sides of the home. </t>
  </si>
  <si>
    <r>
      <t>Enter Net Surface Area for Cool Walls, ft</t>
    </r>
    <r>
      <rPr>
        <vertAlign val="superscript"/>
        <sz val="11"/>
        <rFont val="Calibri"/>
        <family val="2"/>
        <scheme val="minor"/>
      </rPr>
      <t>2</t>
    </r>
  </si>
  <si>
    <r>
      <t>Net surface area = Gross area of above-grade exterior walls (height x width for each above-grade exterior cool wall of home) minus openings for doors and windows. Use units of ft</t>
    </r>
    <r>
      <rPr>
        <i/>
        <vertAlign val="superscript"/>
        <sz val="11"/>
        <color theme="1"/>
        <rFont val="Calibri"/>
        <family val="2"/>
        <scheme val="minor"/>
      </rPr>
      <t>2</t>
    </r>
    <r>
      <rPr>
        <i/>
        <sz val="11"/>
        <color theme="1"/>
        <rFont val="Calibri"/>
        <family val="2"/>
        <scheme val="minor"/>
      </rPr>
      <t>.</t>
    </r>
  </si>
  <si>
    <t>Select Home Orientation</t>
  </si>
  <si>
    <t xml:space="preserve">The long axis of home is mainly in this direction… (where the “Mean” option is the average of east-west and north-south and should be used for homes that have the long axis in between the east-west and north-south orientations). </t>
  </si>
  <si>
    <t>Select Neighbor Building Proximity</t>
  </si>
  <si>
    <t>The "isolated" option assumes adjacent buildings are more than 100 ft apart. The "close" proximity option assumes adjacent buildings are within 10 ft of each other. The "average" proximity option should be selected when adjacent buildings are between 10 and 100 ft apart.</t>
  </si>
  <si>
    <t>Solar Availability Factor, SAF</t>
  </si>
  <si>
    <t>Select AC Type</t>
  </si>
  <si>
    <t>Coincidence Factor, CF</t>
  </si>
  <si>
    <t>Residential Cool Wall</t>
  </si>
  <si>
    <t>AEG's Analysis File titled "AEG HPUC PY21 TRM - Res Cool Walls - Analysis File." In addition, the file titled "AEG HPUC Update - Ductless Systems - Analysis file," worksheet tab named "Res_HVAC Key Parameters," includes Hawai‘i-specific simulation results for determining CF for Room AC and Window AC systems.</t>
  </si>
  <si>
    <r>
      <rPr>
        <i/>
        <sz val="11"/>
        <rFont val="Calibri"/>
        <family val="2"/>
        <scheme val="minor"/>
      </rPr>
      <t>Energy Conservation Code 2015 of Hawaii</t>
    </r>
    <r>
      <rPr>
        <sz val="11"/>
        <rFont val="Calibri"/>
        <family val="2"/>
        <scheme val="minor"/>
      </rPr>
      <t>, Chapter 4 [RE] Residential Energy Efficiency, R407 Points Option, &lt;https://up.codes/viewer/hawaii/iecc-2015/chapter/RE_4/re-residential-energy-efficiency#new_R407&gt;.</t>
    </r>
  </si>
  <si>
    <r>
      <t xml:space="preserve">Levinson, Ronnen, Haley Gilbert, Jiachen Zhang, George Ban-Weiss, Jan Kleissl, Matteo Pizzicotti, Weilong Zhang, Nathalie Dumas, Benjamin Kurtz, Yan Long, Negin Nazarian, Arash Mohegh, Yun Li, Xiaochen Tang, Sharon Chen, Marion Russell, Sébastien Houzé de l’Aulnoit, Paul Berdahl, Pablo Rosado, Jonathan Slack, Howdy Goudey, and Hugo Destaillats. 2019. </t>
    </r>
    <r>
      <rPr>
        <i/>
        <sz val="11"/>
        <rFont val="Calibri"/>
        <family val="2"/>
        <scheme val="minor"/>
      </rPr>
      <t>Solar-Reflective “Cool” Walls: Benefits, Technologies, and Implementation.</t>
    </r>
    <r>
      <rPr>
        <sz val="11"/>
        <rFont val="Calibri"/>
        <family val="2"/>
        <scheme val="minor"/>
      </rPr>
      <t xml:space="preserve"> California Energy Commission. Publication Number: CEC-500-2019-040, &lt;https://ww2.energy.ca.gov/2019publications/CEC-500-2019-040/&gt;. See also </t>
    </r>
    <r>
      <rPr>
        <i/>
        <sz val="11"/>
        <rFont val="Calibri"/>
        <family val="2"/>
        <scheme val="minor"/>
      </rPr>
      <t>Appendix P: Cool Wall Application Guidelines</t>
    </r>
    <r>
      <rPr>
        <sz val="11"/>
        <rFont val="Calibri"/>
        <family val="2"/>
        <scheme val="minor"/>
      </rPr>
      <t xml:space="preserve">, &lt;https://ww2.energy.ca.gov/2019publications/CEC-500-2019-040/CEC-500-2019-040-APP.pdf&gt;. The tool named "Savings explorer v033.xlsm" and database named "Cool surface savings database_2018-06-27.csv" are available in a ZIP archive online: &lt;http://bit.ly/2Kwvtpu&gt;. </t>
    </r>
  </si>
  <si>
    <t>"2015 IECC Residential: Overview of the Tropical Zone Requirements," Presentation, Howard Wiig, Hawaii State Energy Office, Eric Makela, Cadmus, &lt;https://energy.hawaii.gov/wp-content/uploads/2016/07/Webinar-One-Overview-of-Tropical-Zone-4282016.pdf&gt;.</t>
  </si>
  <si>
    <r>
      <rPr>
        <i/>
        <sz val="11"/>
        <rFont val="Calibri"/>
        <family val="2"/>
        <scheme val="minor"/>
      </rPr>
      <t>2019 Hawaii Statewide Baseline Energy Use Study</t>
    </r>
    <r>
      <rPr>
        <sz val="11"/>
        <rFont val="Calibri"/>
        <family val="2"/>
        <scheme val="minor"/>
      </rPr>
      <t xml:space="preserve">, Prepared for Hawaii Public Utilities Commission, Prepared by Applied Energy Group, 2020. </t>
    </r>
  </si>
  <si>
    <t>R_BEnvelope_Cool Wall</t>
  </si>
  <si>
    <t>GREENHOUSE GAS (GHG) CALCULATOR</t>
  </si>
  <si>
    <t>Table 8. State of Hawaii Emission Rates</t>
  </si>
  <si>
    <t>Gas</t>
  </si>
  <si>
    <t>Total Output Emission Rates</t>
  </si>
  <si>
    <t>lbs/MWh</t>
  </si>
  <si>
    <t>MT/MWh [1]</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</si>
  <si>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</si>
  <si>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</si>
  <si>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</si>
  <si>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CO</t>
    </r>
    <r>
      <rPr>
        <vertAlign val="subscript"/>
        <sz val="11"/>
        <color theme="1"/>
        <rFont val="Calibri"/>
        <family val="2"/>
        <scheme val="minor"/>
      </rPr>
      <t>2</t>
    </r>
    <r>
      <rPr>
        <sz val="11"/>
        <color theme="1"/>
        <rFont val="Calibri"/>
        <family val="2"/>
        <scheme val="minor"/>
      </rPr>
      <t>e</t>
    </r>
    <r>
      <rPr>
        <sz val="11"/>
        <color theme="1"/>
        <rFont val="Calibri"/>
        <family val="2"/>
        <scheme val="minor"/>
      </rPr>
      <t xml:space="preserve"> [2]</t>
    </r>
  </si>
  <si>
    <r>
      <t>Annual NO</t>
    </r>
    <r>
      <rPr>
        <vertAlign val="subscript"/>
        <sz val="11"/>
        <color theme="1"/>
        <rFont val="Calibri"/>
        <family val="2"/>
        <scheme val="minor"/>
      </rPr>
      <t>x</t>
    </r>
  </si>
  <si>
    <r>
      <t>Ozone Season NO</t>
    </r>
    <r>
      <rPr>
        <vertAlign val="subscript"/>
        <sz val="11"/>
        <color theme="1"/>
        <rFont val="Calibri"/>
        <family val="2"/>
        <scheme val="minor"/>
      </rPr>
      <t>x</t>
    </r>
  </si>
  <si>
    <r>
      <t>SO</t>
    </r>
    <r>
      <rPr>
        <vertAlign val="subscript"/>
        <sz val="11"/>
        <color theme="1"/>
        <rFont val="Calibri"/>
        <family val="2"/>
        <scheme val="minor"/>
      </rPr>
      <t>2</t>
    </r>
  </si>
  <si>
    <t>1. To convert between lbs and metric tons (MT) use this factor: 2,204.62 lbs/MT.</t>
  </si>
  <si>
    <r>
      <t>Table 9. Conversion of CO</t>
    </r>
    <r>
      <rPr>
        <b/>
        <vertAlign val="subscript"/>
        <sz val="11"/>
        <color theme="1"/>
        <rFont val="Calibri"/>
        <family val="2"/>
        <scheme val="minor"/>
      </rPr>
      <t>2</t>
    </r>
    <r>
      <rPr>
        <b/>
        <sz val="11"/>
        <color theme="1"/>
        <rFont val="Calibri"/>
        <family val="2"/>
        <scheme val="minor"/>
      </rPr>
      <t xml:space="preserve"> Emissions to Equivalent Barrels (bbl) of Crude Oil</t>
    </r>
  </si>
  <si>
    <t>1 bbl Oil =</t>
  </si>
  <si>
    <r>
      <t>MT of CO</t>
    </r>
    <r>
      <rPr>
        <vertAlign val="subscript"/>
        <sz val="11"/>
        <color theme="1"/>
        <rFont val="Calibri"/>
        <family val="2"/>
        <scheme val="minor"/>
      </rPr>
      <t>2</t>
    </r>
  </si>
  <si>
    <r>
      <t>Note: This conversion only uses CO</t>
    </r>
    <r>
      <rPr>
        <vertAlign val="subscript"/>
        <sz val="9"/>
        <color theme="1"/>
        <rFont val="Calibri"/>
        <family val="2"/>
        <scheme val="minor"/>
      </rPr>
      <t>2</t>
    </r>
    <r>
      <rPr>
        <sz val="9"/>
        <color theme="1"/>
        <rFont val="Calibri"/>
        <family val="2"/>
        <scheme val="minor"/>
      </rPr>
      <t xml:space="preserve"> emissions and not CO</t>
    </r>
    <r>
      <rPr>
        <vertAlign val="subscript"/>
        <sz val="9"/>
        <color theme="1"/>
        <rFont val="Calibri"/>
        <family val="2"/>
        <scheme val="minor"/>
      </rPr>
      <t>2</t>
    </r>
    <r>
      <rPr>
        <sz val="9"/>
        <color theme="1"/>
        <rFont val="Calibri"/>
        <family val="2"/>
        <scheme val="minor"/>
      </rPr>
      <t>e emissions from CH</t>
    </r>
    <r>
      <rPr>
        <vertAlign val="subscript"/>
        <sz val="9"/>
        <color theme="1"/>
        <rFont val="Calibri"/>
        <family val="2"/>
        <scheme val="minor"/>
      </rPr>
      <t>4</t>
    </r>
    <r>
      <rPr>
        <sz val="9"/>
        <color theme="1"/>
        <rFont val="Calibri"/>
        <family val="2"/>
        <scheme val="minor"/>
      </rPr>
      <t xml:space="preserve"> and N</t>
    </r>
    <r>
      <rPr>
        <vertAlign val="subscript"/>
        <sz val="9"/>
        <color theme="1"/>
        <rFont val="Calibri"/>
        <family val="2"/>
        <scheme val="minor"/>
      </rPr>
      <t>2</t>
    </r>
    <r>
      <rPr>
        <sz val="9"/>
        <color theme="1"/>
        <rFont val="Calibri"/>
        <family val="2"/>
        <scheme val="minor"/>
      </rPr>
      <t>O.</t>
    </r>
  </si>
  <si>
    <t>GHG Calculator</t>
  </si>
  <si>
    <t>Input Annual Program Level Energy Savings in kWh/yr:</t>
  </si>
  <si>
    <r>
      <t>Table 10. Equivalent CO</t>
    </r>
    <r>
      <rPr>
        <b/>
        <vertAlign val="subscript"/>
        <sz val="11"/>
        <color theme="1"/>
        <rFont val="Calibri"/>
        <family val="2"/>
        <scheme val="minor"/>
      </rPr>
      <t>2</t>
    </r>
    <r>
      <rPr>
        <b/>
        <sz val="11"/>
        <color theme="1"/>
        <rFont val="Calibri"/>
        <family val="2"/>
        <scheme val="minor"/>
      </rPr>
      <t xml:space="preserve"> Emissions:</t>
    </r>
  </si>
  <si>
    <r>
      <t>Equivalent CO</t>
    </r>
    <r>
      <rPr>
        <b/>
        <vertAlign val="subscript"/>
        <sz val="11"/>
        <color theme="1"/>
        <rFont val="Calibri"/>
        <family val="2"/>
        <scheme val="minor"/>
      </rPr>
      <t>2</t>
    </r>
    <r>
      <rPr>
        <b/>
        <sz val="11"/>
        <color theme="1"/>
        <rFont val="Calibri"/>
        <family val="2"/>
        <scheme val="minor"/>
      </rPr>
      <t xml:space="preserve"> Emissions</t>
    </r>
  </si>
  <si>
    <t>MT</t>
  </si>
  <si>
    <r>
      <t>CO</t>
    </r>
    <r>
      <rPr>
        <vertAlign val="subscript"/>
        <sz val="11"/>
        <color theme="1"/>
        <rFont val="Calibri"/>
        <family val="2"/>
        <scheme val="minor"/>
      </rPr>
      <t>2</t>
    </r>
    <r>
      <rPr>
        <sz val="11"/>
        <color theme="1"/>
        <rFont val="Calibri"/>
        <family val="2"/>
        <scheme val="minor"/>
      </rPr>
      <t>e</t>
    </r>
  </si>
  <si>
    <t>Table 11. Avoided Emissions by Type of Gas:</t>
  </si>
  <si>
    <t>Total Avoided Emissions</t>
  </si>
  <si>
    <t>Table 12. Avoided Barrels of Oil:</t>
  </si>
  <si>
    <t>Barrels of Oil</t>
  </si>
  <si>
    <t>RESIDENTIAL: Solar Light Tube</t>
  </si>
  <si>
    <t xml:space="preserve">Introduced in Winter 2020-2021 for PY21 TRM. 
</t>
  </si>
  <si>
    <t xml:space="preserve">A solar light tube with a 10'' to 21'' diameter with a prismatic or translucent lens installed on the roof of a home. The lens reflects light captured from the roof opening through a highly specular reflective tube down to the mounted fixture height. When in use, a solar light tube fixture resembles a metal halide fixture. </t>
  </si>
  <si>
    <t>This measure is applicable to single-family retrofit and new construction applications. We have assumed the retrofit would involve redesign of existing lighting system.
The solar light tube must have an ENERGY STAR label.</t>
  </si>
  <si>
    <t>One solar light tube.</t>
  </si>
  <si>
    <t xml:space="preserve">The baseline equipment is a lighting fixture with comparable brightness (lumens) to that of the solar light tube. The specifications for the baseline fixture depend on the size of the solar light tube (i.e., 10'', 14'', 21'' diameter) and the geographic location (i.e., Honolulu, Kahului, Hilo). This measure has a baseline for PY21 that consists of a mix of 25% CFL, 25% halogen, and 50% LED lamps. For PY22 and later, the baseline consists of a mix of 25% CFL and 75% LED lamps that complies with the original EISA Tier 2 Backstop requirement of 45 lumens per Watt. (Halogen lamps have &lt; 45 lumens/Watt and will be phased out. AEG has assumed they will be replaced with LED lamps.) The baseline lighting fixtures are assumed to be installed at the same time as the solar light tube. </t>
  </si>
  <si>
    <t>The efficient equipment is a solar light tube that concentrates and directs light from the roof to an area inside the home.</t>
  </si>
  <si>
    <t>First Baseline Wattage - Fixture with comparable luminosity - Lamp mix of 25% CFL, 25% halogen, 50% LED</t>
  </si>
  <si>
    <t>Solatube Lumen Output Use Tables 
Lamp mix based on 2019 Hawaii Statewide Baseline Energy Use Study
EISA legislation, effective dates of 2012-2014</t>
  </si>
  <si>
    <t>Second Baseline Wattage -  Fixture with comparable luminosity - Lamp mix of 25% CFL, 75% LED</t>
  </si>
  <si>
    <t>Solatube Lumen Output Use Tables
Lamp mix based on the assumption that all halogen lamps will be replaced with LED lamps
Original EISA backstop</t>
  </si>
  <si>
    <t>Assumes the solar light tube will not be removed once installed</t>
  </si>
  <si>
    <t>The solar light tube measure can only replace lighting during limited daylight hours that do not coincide with Hawaii's peak demand period of 5-9pm</t>
  </si>
  <si>
    <t>Engineering judgement</t>
  </si>
  <si>
    <t>2019 Hawaii Statewide Baseline Energy Use Study</t>
  </si>
  <si>
    <t xml:space="preserve">AEG's Hawai‘i-specific simulation modeling (from PY21 TRM v1.0, Residential LED measure). Solar light tube has negligible solar heat gain as it filters out most of the infrared rays (&gt;760 nm) and only allows for the visual rays (400-760 nm) to enter into the space </t>
  </si>
  <si>
    <t>Footnote 2</t>
  </si>
  <si>
    <t xml:space="preserve">Effective useful life of EISA Tier 1 (i.e., halogen) baseline lamps </t>
  </si>
  <si>
    <r>
      <t>EUL</t>
    </r>
    <r>
      <rPr>
        <vertAlign val="subscript"/>
        <sz val="10.5"/>
        <color theme="1"/>
        <rFont val="Calibri"/>
        <family val="2"/>
        <scheme val="minor"/>
      </rPr>
      <t>tube</t>
    </r>
  </si>
  <si>
    <t>Effective useful life of solar light tube</t>
  </si>
  <si>
    <t>2021 Illinois TRM v.9.0 Vol. 2, and Solatube product warranty</t>
  </si>
  <si>
    <r>
      <rPr>
        <vertAlign val="superscript"/>
        <sz val="9"/>
        <color theme="1"/>
        <rFont val="Calibri"/>
        <family val="2"/>
        <scheme val="minor"/>
      </rPr>
      <t>1</t>
    </r>
    <r>
      <rPr>
        <sz val="9"/>
        <color theme="1"/>
        <rFont val="Calibri"/>
        <family val="2"/>
        <scheme val="minor"/>
      </rPr>
      <t xml:space="preserve"> Residential Lighting End-Use Consumption Study: Estimation Framework and Initial Estimates, Prepared by DNV KEMA Energy and Sustainability, Pacific Northwest National Laboratory, Prepared for Solid-State Lighting Program, Building Technologies Program, Office of Energy Efficiency and Renewable Energy, U.S. Department of Energy, December 2012. Table 4.4 shows that 15% of CFLs are installed in garages and exterior locations. AEG assumes CFLs are reasonable proxy for LEDs.
</t>
    </r>
    <r>
      <rPr>
        <vertAlign val="superscript"/>
        <sz val="9"/>
        <color theme="1"/>
        <rFont val="Calibri"/>
        <family val="2"/>
        <scheme val="minor"/>
      </rPr>
      <t>2</t>
    </r>
    <r>
      <rPr>
        <sz val="9"/>
        <color theme="1"/>
        <rFont val="Calibri"/>
        <family val="2"/>
        <scheme val="minor"/>
      </rPr>
      <t xml:space="preserve"> Per Solatube Lumen Output Use document, the light loss factor is 0.92 for solar light tube and 0.8 for typical default light fixture. Conservatively, we chose a value of PF=1 for this measure. </t>
    </r>
  </si>
  <si>
    <t>Table 1a: Connected Wattage of the light fixture that the solar tube light replaces, for PY21</t>
  </si>
  <si>
    <r>
      <t>W</t>
    </r>
    <r>
      <rPr>
        <b/>
        <i/>
        <vertAlign val="subscript"/>
        <sz val="10.5"/>
        <rFont val="Calibri"/>
        <family val="2"/>
        <scheme val="minor"/>
      </rPr>
      <t xml:space="preserve">connected 
Honolulu </t>
    </r>
  </si>
  <si>
    <r>
      <t>W</t>
    </r>
    <r>
      <rPr>
        <b/>
        <i/>
        <vertAlign val="subscript"/>
        <sz val="10.5"/>
        <rFont val="Calibri"/>
        <family val="2"/>
        <scheme val="minor"/>
      </rPr>
      <t>connected 
Kahului</t>
    </r>
  </si>
  <si>
    <r>
      <t>W</t>
    </r>
    <r>
      <rPr>
        <b/>
        <i/>
        <vertAlign val="subscript"/>
        <sz val="10.5"/>
        <rFont val="Calibri"/>
        <family val="2"/>
        <scheme val="minor"/>
      </rPr>
      <t>connected 
Hilo</t>
    </r>
  </si>
  <si>
    <t>Solar Light Tube 21''</t>
  </si>
  <si>
    <t>Solar Light Tube 14''</t>
  </si>
  <si>
    <t>Solar Light Tube 10''</t>
  </si>
  <si>
    <t>Table 1b: Connected Wattage of the light fixture that the solar tube light replaces, for PY22 and later</t>
  </si>
  <si>
    <r>
      <t>CF</t>
    </r>
    <r>
      <rPr>
        <b/>
        <vertAlign val="superscript"/>
        <sz val="11"/>
        <color rgb="FF000000"/>
        <rFont val="Calibri"/>
        <family val="2"/>
      </rPr>
      <t>1</t>
    </r>
  </si>
  <si>
    <r>
      <t>HOU</t>
    </r>
    <r>
      <rPr>
        <b/>
        <vertAlign val="superscript"/>
        <sz val="11"/>
        <color rgb="FF000000"/>
        <rFont val="Calibri"/>
        <family val="2"/>
      </rPr>
      <t>2</t>
    </r>
  </si>
  <si>
    <r>
      <t>EUL</t>
    </r>
    <r>
      <rPr>
        <b/>
        <vertAlign val="subscript"/>
        <sz val="11"/>
        <color rgb="FF000000"/>
        <rFont val="Calibri"/>
        <family val="2"/>
      </rPr>
      <t>tube</t>
    </r>
  </si>
  <si>
    <r>
      <rPr>
        <vertAlign val="superscript"/>
        <sz val="9"/>
        <rFont val="Calibri"/>
        <family val="2"/>
      </rPr>
      <t>1</t>
    </r>
    <r>
      <rPr>
        <sz val="9"/>
        <rFont val="Calibri"/>
        <family val="2"/>
      </rPr>
      <t xml:space="preserve"> The solar light tube measure can only effectively replace lighting during limited daylight hours. Peak demand period is 5-9pm. Therefore, CF=0. </t>
    </r>
    <r>
      <rPr>
        <vertAlign val="superscript"/>
        <sz val="9"/>
        <rFont val="Calibri"/>
        <family val="2"/>
      </rPr>
      <t xml:space="preserve">
2</t>
    </r>
    <r>
      <rPr>
        <sz val="9"/>
        <rFont val="Calibri"/>
        <family val="2"/>
      </rPr>
      <t xml:space="preserve"> Non-Military HOU based on engineering judgement considering numerous factors including: typical home occupancy patterns; solar light tubes typically installed in interior and darker (often window-less) spaces like hallways, bathrooms, laundry rooms; and solar light tubes only provide savings during daylighting hours. Per the approach in previous versions of the Hawai‘i TRM, the Non-Military HOU has been multiplied by a factor of 1.5 to obtain the Military HOU .</t>
    </r>
  </si>
  <si>
    <t>Table 3.  Residential Households by County, 2018</t>
  </si>
  <si>
    <t>Households</t>
  </si>
  <si>
    <t>Source: Hawaii 2020 MPS_Appendix A_Final Annual Results.xlsx, "Summary" sheet, "Residential Control Totals by Island, 2018," Cells C26:D35. Revised to remove Kauai homes and to merge the islands of Maui, Molokai, and Lanai into Maui County.</t>
  </si>
  <si>
    <r>
      <t xml:space="preserve">SAVINGS </t>
    </r>
    <r>
      <rPr>
        <b/>
        <i/>
        <sz val="11"/>
        <rFont val="Calibri"/>
        <family val="2"/>
        <scheme val="minor"/>
      </rPr>
      <t>(APPLICABLE FOR PY21)</t>
    </r>
  </si>
  <si>
    <r>
      <t xml:space="preserve">Deemed Savings for </t>
    </r>
    <r>
      <rPr>
        <b/>
        <i/>
        <u/>
        <sz val="11"/>
        <rFont val="Calibri"/>
        <family val="2"/>
        <scheme val="minor"/>
      </rPr>
      <t>All Single-Family Homes across all Islands</t>
    </r>
    <r>
      <rPr>
        <b/>
        <i/>
        <sz val="11"/>
        <rFont val="Calibri"/>
        <family val="2"/>
        <scheme val="minor"/>
      </rPr>
      <t xml:space="preserve"> (based on tube diameter size)</t>
    </r>
  </si>
  <si>
    <t>Note: We have assumed all military homes are on Oahu.</t>
  </si>
  <si>
    <t>Deemed Savings (based on tube diameter size, geographic location of home, and type of home (i.e., non-military or military)</t>
  </si>
  <si>
    <t xml:space="preserve">Non-Military - Honolulu, HI </t>
  </si>
  <si>
    <t xml:space="preserve">Military - Honolulu, HI </t>
  </si>
  <si>
    <t>Non-Military - Kahului, HI</t>
  </si>
  <si>
    <t>Military - Kahului, HI</t>
  </si>
  <si>
    <t>Non-Military - Hilo, HI</t>
  </si>
  <si>
    <t>Military - Hilo, HI</t>
  </si>
  <si>
    <t>Non-Military -Kahului, HI</t>
  </si>
  <si>
    <t>Solatube, Solatube Lumen Output Table, Lumen Output Use Version 4.1 -7/05</t>
  </si>
  <si>
    <t>Hawaii Energy - Technical Reference Manual (TRM) PY 2021 V1.0 Measure Savings Calculations, Residential: LED.</t>
  </si>
  <si>
    <t>State of Hawaii Market Potential Study, Prepared for Hawaii Public Utilities Commission, Prepared by Applied Energy Group, 2020. Appendix A: Final Annual Results, filename: "Hawaii 2020 MPS_Appendix A_Final Annual Results.xlsx."</t>
  </si>
  <si>
    <t>National Oceanic and Atmospheric Administration, National Centers for Environmental Information, Comparative Climatic Data, Data Table: Sunshine - Average Percent of Possible (Cities Listed by Ranking Most to Least).</t>
  </si>
  <si>
    <t xml:space="preserve">Illinois Statewide Technical Reference Manual v9.0 Vol. 2_September 25, 2020_FINAL. Section 4.5.11 Solar Light Tubes (p. 545-547). </t>
  </si>
  <si>
    <t>Hawaii Energy - Technical Reference Manual (TRM) No. 2011 Measure Savings Calculations,  Residential Daylighting measure, p. 40-41.</t>
  </si>
  <si>
    <t>AEG's 2021 Analysis File titled "PY21 TRM_R_Light_Solar Tube Analysis File."</t>
  </si>
  <si>
    <t xml:space="preserve">ENERGY STAR V8.0 televisions. This measure is for a midstream incentive to retailers to stock, promote, and sell televisions that meet or exceed ENERGY STAR V8.0. </t>
  </si>
  <si>
    <t>ENERGY STAR V8.0 certified.</t>
  </si>
  <si>
    <t>One Television.</t>
  </si>
  <si>
    <t>Non-ENERGY STAR V8.0 certified television.</t>
  </si>
  <si>
    <t>ENERGY STAR V8.0 certified television</t>
  </si>
  <si>
    <t>4K Wattage Calculation</t>
  </si>
  <si>
    <t>On_Mode_ Watts_base</t>
  </si>
  <si>
    <t>On_Mode_ Watts_ee</t>
  </si>
  <si>
    <t>Energy efficient Watts (active)</t>
  </si>
  <si>
    <r>
      <t xml:space="preserve">ENERGY STAR V8.0 Program Requirements. </t>
    </r>
    <r>
      <rPr>
        <vertAlign val="superscript"/>
        <sz val="10.5"/>
        <color theme="1"/>
        <rFont val="Calibri"/>
        <family val="2"/>
        <scheme val="minor"/>
      </rPr>
      <t>2</t>
    </r>
  </si>
  <si>
    <t>Standby_ Mode_Watts_base</t>
  </si>
  <si>
    <t>Baseline Watts (standby)</t>
  </si>
  <si>
    <t>Standby_ Mode_Watts_ee</t>
  </si>
  <si>
    <t>Energy efficient Watts (standby)</t>
  </si>
  <si>
    <t>4K Wattage</t>
  </si>
  <si>
    <t>Wattage Multiplier for 4K TVs</t>
  </si>
  <si>
    <r>
      <t xml:space="preserve">ENERGY STAR V8.0 Program Requirements. </t>
    </r>
    <r>
      <rPr>
        <vertAlign val="superscript"/>
        <sz val="10.5"/>
        <color theme="1"/>
        <rFont val="Calibri"/>
        <family val="2"/>
        <scheme val="minor"/>
      </rPr>
      <t>2</t>
    </r>
    <r>
      <rPr>
        <sz val="10.5"/>
        <color theme="1"/>
        <rFont val="Calibri"/>
        <family val="2"/>
        <scheme val="minor"/>
      </rPr>
      <t xml:space="preserve"> ENERGY STAR requirements give a 50% wattage allowance for high resolution TVs.</t>
    </r>
  </si>
  <si>
    <t>Based on usage during Hawaii's peak period.</t>
  </si>
  <si>
    <r>
      <t xml:space="preserve">Average hours drawn from ENERGY STAR “Consumer Electronics Calculator”. </t>
    </r>
    <r>
      <rPr>
        <vertAlign val="superscript"/>
        <sz val="10.5"/>
        <color theme="1"/>
        <rFont val="Calibri"/>
        <family val="2"/>
        <scheme val="minor"/>
      </rPr>
      <t>1</t>
    </r>
  </si>
  <si>
    <t>HRS_Standby</t>
  </si>
  <si>
    <t>Average hours of use per day in Standby Mode</t>
  </si>
  <si>
    <t>Average of several TRMs and secondary sources.</t>
  </si>
  <si>
    <t>1. "Consumer_Electronics_Calculator Dec 2015_26-Jan-21 18-15-29.xlsx"
2. https://www.energystar.gov/sites/default/files/ Final%20V8.0%20TVs%20Program%20Requirements_0.pdf</t>
  </si>
  <si>
    <t>Standby Wattages (Non 4K)</t>
  </si>
  <si>
    <t>ENERGY STAR v8.0</t>
  </si>
  <si>
    <t>20" and under</t>
  </si>
  <si>
    <t>21" - 23"</t>
  </si>
  <si>
    <t>24" - 29"</t>
  </si>
  <si>
    <t>30" - 34"</t>
  </si>
  <si>
    <t>35" - 39"</t>
  </si>
  <si>
    <t>40" - 44"</t>
  </si>
  <si>
    <t>45" - 49"</t>
  </si>
  <si>
    <t>50" - 54"</t>
  </si>
  <si>
    <t>55" - 59"</t>
  </si>
  <si>
    <t>60" - 64"</t>
  </si>
  <si>
    <t>65" or greater</t>
  </si>
  <si>
    <t>Baseline standby and ENERGY STAR standby wattages for Non 4K TV are from the ENERGY STAR Calculator ("Consumer_Electronics_Calculator Dec 2015_26-Jan-21 18-15-29.xlsx").  4K wattage values are calculated by multiplying these wattages by 1.5 as documented in equation 3.</t>
  </si>
  <si>
    <t>On Mode Wattages (Non 4K)</t>
  </si>
  <si>
    <t>For the non 4K ENERGY STAR On Mode wattage, AEG first determined screen area with this equation and an assumed aspect ratio of 16:9. Screen Area=(((diagonal length^2)/(16^2+9^2))*(16*9)). Then, AEG determined on mode wattage with this equation: On Mode Power (W) =78.5*TANH(0.0005*(Screen Area-140)+0.038)+14. This equation is from the ENERGY STAR Program requirements V8. &lt;https://www.energystar.gov/sites/default/files/Final%20V8.0%20TVs%20Program%20Requirements_0.pdf&gt;. Equation 3 was utilized to calculate 4K wattages.</t>
  </si>
  <si>
    <t>Table 3</t>
  </si>
  <si>
    <t>ENERGY STAR non-4K</t>
  </si>
  <si>
    <t>ENERGY STAR 4K</t>
  </si>
  <si>
    <t>Table 4</t>
  </si>
  <si>
    <t>Annual kW Savings</t>
  </si>
  <si>
    <t xml:space="preserve">Table 5. Data from 2019 Hawaii Statewide Baseline Energy Use Study </t>
  </si>
  <si>
    <t>Market Share</t>
  </si>
  <si>
    <t>49" and under</t>
  </si>
  <si>
    <t>50" or greater</t>
  </si>
  <si>
    <t>Source: 2019 Hawaii Statewide Baseline Energy Use Study, Prepared for Hawaii Public Utilities Commission, Prepared by Applied Energy Group, 2020, Volume 2: Appendices: Questionnaires, Ancillary Research Materials and Crosstabs, page 314.</t>
  </si>
  <si>
    <t>Table 6. Data Adapted from 2015 EIA Residential Energy Consumption Survey</t>
  </si>
  <si>
    <t>29'' and under</t>
  </si>
  <si>
    <t>29" - 39"</t>
  </si>
  <si>
    <t>40" - 49"</t>
  </si>
  <si>
    <t>50" - 59"</t>
  </si>
  <si>
    <t>60" or greater</t>
  </si>
  <si>
    <t>Note: AEG mapped the EIA data to different size bins for the Hawaii analysis. See "PY21 R_Electronics_Television Analysis File" for details on the mapping.</t>
  </si>
  <si>
    <t xml:space="preserve">Source: 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</si>
  <si>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 xml:space="preserve">Table 7. Estimated Shares for Hawaii </t>
  </si>
  <si>
    <t xml:space="preserve">Note: Table 7 values approximate the sizes of TVs currently installed in peoples' homes, but do not necessarily reflect current purchasing trends. In general, TV sizes are trending upwards so the deemed savings values presented below are likely to be conservative. </t>
  </si>
  <si>
    <t>Source: AEG utilized Hawaii Baseline Data and secondary EIA data to fill in the gaps. AEG assumed market share was evenly split when data was not available.</t>
  </si>
  <si>
    <t>Deemed Savings (based on weighted average of TVs by size)</t>
  </si>
  <si>
    <t>Non-4K Television</t>
  </si>
  <si>
    <t>4K Television</t>
  </si>
  <si>
    <t>Semi-Prescriptive Savings Calculator (based on equivalent TV wattage)</t>
  </si>
  <si>
    <t>Enter Type</t>
  </si>
  <si>
    <t>Enter Size</t>
  </si>
  <si>
    <t>AEG's 2021 Analysis File titled "PY21 R_Electronics_Television Analysis File."</t>
  </si>
  <si>
    <t>2019 Hawaii Statewide Baseline Energy Use Study, Prepared for Hawaii Public Utilities Commission, Prepared by Applied Energy Group, 2020, Volume 2: Appendices: Questionnaires, Ancillary Research Materials and Crosstabs.</t>
  </si>
  <si>
    <t xml:space="preserve">U.S. Energy Information Administration, Office of Energy Consumption and Efficiency Statistics, Forms EIA-457A and EIA-457C of the 2015 Residential Energy Consumption Survey, May 2018, Table HC4.6 Electronics in homes by climate region (Hot-Humid),  Retrieved February 22, 2021, &lt;https://www.eia.gov/consumption/residential/data/2015/hc/hc4.6.xlsx&gt;. </t>
  </si>
  <si>
    <t>ENERGY STAR. (2019, March 1). V8 Program Requirements for Televisions. Retrieved February 22, 2021, from &lt;https://www.energystar.gov/sites/default/files/Final%20V8.0%20TVs%20Program%20Requirements_0.pdf&gt;.</t>
  </si>
  <si>
    <t>Consumer_Electronics_Calculator Dec 2015_26-Jan-21 18-15-29.xlsx.</t>
  </si>
  <si>
    <t>NEEP  (2020, March). MARYLAND/MID-ATLANTIC TECHNICAL REFERENCE MANUAL VERSION 10. Retrieved from &lt;https://neep.org/sites/default/files/resources/Maryland-MidAtlantic%20TRMv10.pdf&gt;.</t>
  </si>
  <si>
    <t>ERS. (2017). CMUA SAVINGS ESTIMATION TECHNICAL REFERENCE MANUAL. Retrieved from &lt;https://www.cmua.org/files/CMUA-POU-TRM_2017_FINAL_12-5-2017%20-%20Copy.pdf&gt;.</t>
  </si>
  <si>
    <t>Massachusetts Technical Reference Manual. (n.d.). Retrieved from &lt;https://fileservice.eea.comacloud.net/FileService.Api/file/FileRoom/9234826. 2013.&gt;.</t>
  </si>
  <si>
    <t>Update of cover page for PY21 TRM</t>
  </si>
  <si>
    <t>Update of TOC to include new and modified content for PY21 TRM</t>
  </si>
  <si>
    <t>Changes from PY20</t>
  </si>
  <si>
    <t>List of changes made for PY21 TRM</t>
  </si>
  <si>
    <t>Review/update of text for PY21 TRM</t>
  </si>
  <si>
    <t>Update of Signature sheet for PY21 TRM</t>
  </si>
  <si>
    <t>Addition of GHG Calculator</t>
  </si>
  <si>
    <t>Update of Codes &amp; Standards tracking sheet to include R407 of Hawaii State Energy Code for Cool Wall measure</t>
  </si>
  <si>
    <t>Revised in PY21 TRM v1.0</t>
  </si>
  <si>
    <t>Update of Issues Log for PY21 TRM</t>
  </si>
  <si>
    <t>•	The capacity is now defined as “Rated cooling capacity” or “Rated capacity” in the measure entries to clarify that the intention is to calculate savings with the capacity determined at AHRI Standard Rating Conditions.
•	The HVAC worksheets now specify “Enter Rated AC or HP Capacity (Btu/h)” or “Enter rated chiller tonnage.”</t>
  </si>
  <si>
    <t>RESIDENTIAL: Window AC, Ductless Split Systems, and Central AC Retrofit
COMMERCIAL: Chiller, AC &amp; Heat Pump, Window AC, and VRF</t>
  </si>
  <si>
    <t>R_HVAC_Window AC, R_HVAC_Ductless, R_HVAC_Central AC Retrofit, R_HVAC_AC_WKST, C_HVAC_Chiller, C_HVAC_Chiller_WKST, C_HVAC_AC &amp; Heat Pump, C_HVAC_AC_HP_WKST, C_HVAC_Window AC, C_HVAC_WindowAC_WKST, C_HVAC_VRF, C_HVAC_VRF_WKST</t>
  </si>
  <si>
    <t>Commercial Kitchen Dishwasher</t>
  </si>
  <si>
    <t>Clarification of description</t>
  </si>
  <si>
    <t>RESIDENTIAL: Advanced Power Strip</t>
  </si>
  <si>
    <t>Addition of new measure</t>
  </si>
  <si>
    <t>C_BEnvelope_Window Film</t>
  </si>
  <si>
    <t>R_Electronics_Television</t>
  </si>
  <si>
    <t>R_Light_Solar Tube</t>
  </si>
  <si>
    <t>Update of EULs for new/revised PY21 measures</t>
  </si>
  <si>
    <t>Revise headers, footers, and page set-up for printing to PDF</t>
  </si>
  <si>
    <t>See file named "Instructions for Printing the Hawaii TRM to a PDF"</t>
  </si>
  <si>
    <t>Tier 1: Entertain-ment Center</t>
  </si>
  <si>
    <t>Tier 2: Entertain-ment Center</t>
  </si>
  <si>
    <t>Entertain-ment Center</t>
  </si>
  <si>
    <t xml:space="preserve"> Regional Technical Forum. (2019, January 24). Residential Advanced Power Strips Version 3.1. Retrieved from https://rtf.nwcouncil.org/measure/residential-advanced-power-strips.</t>
  </si>
  <si>
    <t>Adapted from Regional Technical Forum. (2019, January 24). Residential Advanced Power Strips Version 3.1. Retrieved from &lt;https://rtf.nwcouncil.org/measure/residential-advanced-power-strips&gt;.</t>
  </si>
  <si>
    <t>Updated in Winter 2021-2022 for PY22 TRM.</t>
  </si>
  <si>
    <t>Hawai‘i Energy program data and annual verification results.</t>
  </si>
  <si>
    <t>Update of cover page for PY22 TRM</t>
  </si>
  <si>
    <t>Review/update of text to reflect updated dates</t>
  </si>
  <si>
    <t>Changes from PY21</t>
  </si>
  <si>
    <t>List of changes made for PY22 TRM</t>
  </si>
  <si>
    <t>C_Light_Downlight Retrofit</t>
  </si>
  <si>
    <t>Solar light tube, 10", 14", and 21"</t>
  </si>
  <si>
    <t>Mix of 25% CFL and 75% LED lamps</t>
  </si>
  <si>
    <t>See Table 6.8.1-3, ASHRAE 90.1 2016</t>
  </si>
  <si>
    <t>75 lm/W</t>
  </si>
  <si>
    <t>C_WH_Heat Pump</t>
  </si>
  <si>
    <t>Hawaii Adoption of ENERGY STAR V1.2</t>
  </si>
  <si>
    <t>ENERGY STAR V1.2; https://appliance-standards.org/product/air-purifiers</t>
  </si>
  <si>
    <t>Not a Hawai'i Energy Measure</t>
  </si>
  <si>
    <t>Hawaii HB 556, Act 141 6/26/2019</t>
  </si>
  <si>
    <t>Computer Monitor</t>
  </si>
  <si>
    <t>High Color Rendering Index Fluorescent Lamps</t>
  </si>
  <si>
    <t>Spray Sprinkler Bodies</t>
  </si>
  <si>
    <t>Portable Electric Spa</t>
  </si>
  <si>
    <t>Hawaii Adoption of ANSI/ASAP/ICC 14-2019</t>
  </si>
  <si>
    <t>ANSI/ASAP/ICC 14-2019; https://appliance-standards.org/product/portable-electric-spas</t>
  </si>
  <si>
    <t>Electric Vehicle Supply Equipment</t>
  </si>
  <si>
    <t>Hawaii Adoption of ENERGY STAR V1.0</t>
  </si>
  <si>
    <t>ENERGY STAR V1.0; https://appliance-standards.org/product/electric-vehicle-supply-equipment</t>
  </si>
  <si>
    <t>Residential Ventilating Fan</t>
  </si>
  <si>
    <t>Hawaii Adoption of ENERGY STAR V3.2</t>
  </si>
  <si>
    <t>ENERGY STAR V3.2; https://appliance-standards.org/product/residential-ventilating-fans</t>
  </si>
  <si>
    <t>Portable Air Conditioner</t>
  </si>
  <si>
    <t>Single-duct and dual-duct portable air conditioners</t>
  </si>
  <si>
    <t>Jan. 10, 2025</t>
  </si>
  <si>
    <t>10 CFR 430.32 (cc)</t>
  </si>
  <si>
    <t xml:space="preserve">Related to R_WH_Heat Pump </t>
  </si>
  <si>
    <t>Demand responsive water heating</t>
  </si>
  <si>
    <t>See 10 CFR 430.32 (d)</t>
  </si>
  <si>
    <t>R403 Requires grid-integrated controls on residential style electric storage water heaters (37-120 gallons).</t>
  </si>
  <si>
    <t>Draft Amendments for the Development of the 2024 IECC, https://www.codesforclimate.org/wp-content/uploads/2021/09/Electrification-Options-for-City-Review.pdf</t>
  </si>
  <si>
    <t>Related to R_HVAC_Smart Thermostat and other R_HVAC Measures</t>
  </si>
  <si>
    <t>Demand responsive thermostats</t>
  </si>
  <si>
    <t xml:space="preserve">See 10 CFR 430.32 (c) </t>
  </si>
  <si>
    <t>R403 Requires grid-integrated controls on space heating and cooling systems that adjust temperature within 4-degrees.</t>
  </si>
  <si>
    <t>Solar readiness</t>
  </si>
  <si>
    <t>R404 Requires single- and two-family solar readiness. Requires multifamily to comply with a sister provision under commercial section of energy code.</t>
  </si>
  <si>
    <t xml:space="preserve">Electric vehicles </t>
  </si>
  <si>
    <t>R404 Requires single- and two-family EV charging. Requires multifamily to comply with a sister provision under commercial section of energy code.</t>
  </si>
  <si>
    <t>Energy storage readiness</t>
  </si>
  <si>
    <t>R404 Requires single- and two-family energy storage readiness.</t>
  </si>
  <si>
    <t>Related to C_HVAC Measures</t>
  </si>
  <si>
    <t xml:space="preserve">See ASHRAE 90.1 2016, 10 CFR 431.97 (b) 
and 10 CFR 430.32 (c) </t>
  </si>
  <si>
    <t>C403 Requires grid-integrated controls on space heating and cooling systems that adjust temperature within 4-degrees</t>
  </si>
  <si>
    <t xml:space="preserve">Related to C_WH_Heat Pump </t>
  </si>
  <si>
    <t>See 10 CFR 431.110 and 10 CFR 430.32 (d)</t>
  </si>
  <si>
    <t>C404 Requires grid-integrated controls on residential style electric storage water heaters (37-120 gallons).</t>
  </si>
  <si>
    <t xml:space="preserve">C405 Requires EV charging for all commercial building types. </t>
  </si>
  <si>
    <t>C405 Requires commercial and multifamily energy storage readiness.</t>
  </si>
  <si>
    <t>Solar and storage inverters</t>
  </si>
  <si>
    <t>C405 Requires solar and energy storage systems be equipped with smart inverters for grid-integrated controls.</t>
  </si>
  <si>
    <t>Next C&amp;S Baseline</t>
  </si>
  <si>
    <r>
      <t xml:space="preserve">4-ft medium bipin, </t>
    </r>
    <r>
      <rPr>
        <sz val="11"/>
        <rFont val="Calibri"/>
        <family val="2"/>
      </rPr>
      <t>≤ 4,500K</t>
    </r>
  </si>
  <si>
    <r>
      <t xml:space="preserve">4-ft medium bipin, &gt; 4,500K and </t>
    </r>
    <r>
      <rPr>
        <sz val="11"/>
        <rFont val="Calibri"/>
        <family val="2"/>
      </rPr>
      <t>≤ 7,000K</t>
    </r>
  </si>
  <si>
    <r>
      <t>74.0−29.42 × 0.9983</t>
    </r>
    <r>
      <rPr>
        <vertAlign val="superscript"/>
        <sz val="11"/>
        <rFont val="Calibri"/>
        <family val="2"/>
        <scheme val="minor"/>
      </rPr>
      <t>lumens</t>
    </r>
    <r>
      <rPr>
        <sz val="11"/>
        <rFont val="Calibri"/>
        <family val="2"/>
        <scheme val="minor"/>
      </rPr>
      <t xml:space="preserve"> lm/W  (as of Jan. 21, 2020)</t>
    </r>
  </si>
  <si>
    <r>
      <t>UEF = 0.8808 − (0.0008 * V</t>
    </r>
    <r>
      <rPr>
        <vertAlign val="subscript"/>
        <sz val="11"/>
        <rFont val="Calibri"/>
        <family val="2"/>
        <scheme val="minor"/>
      </rPr>
      <t>r</t>
    </r>
    <r>
      <rPr>
        <sz val="11"/>
        <rFont val="Calibri"/>
        <family val="2"/>
        <scheme val="minor"/>
      </rPr>
      <t>)</t>
    </r>
  </si>
  <si>
    <r>
      <t>UEF = 0.9254 − (0.0003 * V</t>
    </r>
    <r>
      <rPr>
        <vertAlign val="subscript"/>
        <sz val="11"/>
        <rFont val="Calibri"/>
        <family val="2"/>
        <scheme val="minor"/>
      </rPr>
      <t>r</t>
    </r>
    <r>
      <rPr>
        <sz val="11"/>
        <rFont val="Calibri"/>
        <family val="2"/>
        <scheme val="minor"/>
      </rPr>
      <t>)</t>
    </r>
  </si>
  <si>
    <r>
      <t>UEF = 0.9307 − (0.0002 * V</t>
    </r>
    <r>
      <rPr>
        <vertAlign val="subscript"/>
        <sz val="11"/>
        <rFont val="Calibri"/>
        <family val="2"/>
        <scheme val="minor"/>
      </rPr>
      <t>r</t>
    </r>
    <r>
      <rPr>
        <sz val="11"/>
        <rFont val="Calibri"/>
        <family val="2"/>
        <scheme val="minor"/>
      </rPr>
      <t>)</t>
    </r>
  </si>
  <si>
    <r>
      <t>UEF = 0.9349 − (0.0001 * V</t>
    </r>
    <r>
      <rPr>
        <vertAlign val="subscript"/>
        <sz val="11"/>
        <rFont val="Calibri"/>
        <family val="2"/>
        <scheme val="minor"/>
      </rPr>
      <t>r</t>
    </r>
    <r>
      <rPr>
        <sz val="11"/>
        <rFont val="Calibri"/>
        <family val="2"/>
        <scheme val="minor"/>
      </rPr>
      <t>)</t>
    </r>
  </si>
  <si>
    <r>
      <t>UEF = 1.9236 − (0.0011 * V</t>
    </r>
    <r>
      <rPr>
        <vertAlign val="subscript"/>
        <sz val="11"/>
        <rFont val="Calibri"/>
        <family val="2"/>
        <scheme val="minor"/>
      </rPr>
      <t>r</t>
    </r>
    <r>
      <rPr>
        <sz val="11"/>
        <rFont val="Calibri"/>
        <family val="2"/>
        <scheme val="minor"/>
      </rPr>
      <t>)</t>
    </r>
  </si>
  <si>
    <r>
      <t>UEF = 2.0440 − (0.0011 * V</t>
    </r>
    <r>
      <rPr>
        <vertAlign val="subscript"/>
        <sz val="11"/>
        <rFont val="Calibri"/>
        <family val="2"/>
        <scheme val="minor"/>
      </rPr>
      <t>r</t>
    </r>
    <r>
      <rPr>
        <sz val="11"/>
        <rFont val="Calibri"/>
        <family val="2"/>
        <scheme val="minor"/>
      </rPr>
      <t>)</t>
    </r>
  </si>
  <si>
    <r>
      <t>UEF = 2.1171 − (0.0011 * V</t>
    </r>
    <r>
      <rPr>
        <vertAlign val="subscript"/>
        <sz val="11"/>
        <rFont val="Calibri"/>
        <family val="2"/>
        <scheme val="minor"/>
      </rPr>
      <t>r</t>
    </r>
    <r>
      <rPr>
        <sz val="11"/>
        <rFont val="Calibri"/>
        <family val="2"/>
        <scheme val="minor"/>
      </rPr>
      <t>)</t>
    </r>
  </si>
  <si>
    <r>
      <t>UEF = 2.2418 − (0.0011 * V</t>
    </r>
    <r>
      <rPr>
        <vertAlign val="subscript"/>
        <sz val="11"/>
        <rFont val="Calibri"/>
        <family val="2"/>
        <scheme val="minor"/>
      </rPr>
      <t>r</t>
    </r>
    <r>
      <rPr>
        <sz val="11"/>
        <rFont val="Calibri"/>
        <family val="2"/>
        <scheme val="minor"/>
      </rPr>
      <t>)</t>
    </r>
  </si>
  <si>
    <r>
      <t>EF = 0.960 − (0.0003 * V</t>
    </r>
    <r>
      <rPr>
        <vertAlign val="subscript"/>
        <sz val="11"/>
        <rFont val="Calibri"/>
        <family val="2"/>
        <scheme val="minor"/>
      </rPr>
      <t>r</t>
    </r>
    <r>
      <rPr>
        <sz val="11"/>
        <rFont val="Calibri"/>
        <family val="2"/>
        <scheme val="minor"/>
      </rPr>
      <t>)</t>
    </r>
  </si>
  <si>
    <r>
      <t>EF = 2.057 − (0.00113 * V</t>
    </r>
    <r>
      <rPr>
        <vertAlign val="subscript"/>
        <sz val="11"/>
        <rFont val="Calibri"/>
        <family val="2"/>
        <scheme val="minor"/>
      </rPr>
      <t>r</t>
    </r>
    <r>
      <rPr>
        <sz val="11"/>
        <rFont val="Calibri"/>
        <family val="2"/>
        <scheme val="minor"/>
      </rPr>
      <t>)</t>
    </r>
  </si>
  <si>
    <r>
      <t>Max standby loss = 0.30 + 27/V</t>
    </r>
    <r>
      <rPr>
        <vertAlign val="subscript"/>
        <sz val="11"/>
        <rFont val="Calibri"/>
        <family val="2"/>
        <scheme val="minor"/>
      </rPr>
      <t>m</t>
    </r>
    <r>
      <rPr>
        <sz val="11"/>
        <rFont val="Calibri"/>
        <family val="2"/>
        <scheme val="minor"/>
      </rPr>
      <t xml:space="preserve"> (%/hr)</t>
    </r>
  </si>
  <si>
    <r>
      <t>Top-loading, Compact, &lt; 1.6 ft</t>
    </r>
    <r>
      <rPr>
        <vertAlign val="superscript"/>
        <sz val="11"/>
        <rFont val="Calibri"/>
        <family val="2"/>
      </rPr>
      <t>3</t>
    </r>
    <r>
      <rPr>
        <sz val="11"/>
        <rFont val="Calibri"/>
        <family val="2"/>
      </rPr>
      <t> capacity</t>
    </r>
  </si>
  <si>
    <r>
      <t>Top-loading, Standard, ≥ 1.6 ft</t>
    </r>
    <r>
      <rPr>
        <vertAlign val="superscript"/>
        <sz val="11"/>
        <rFont val="Calibri"/>
        <family val="2"/>
      </rPr>
      <t>3</t>
    </r>
    <r>
      <rPr>
        <sz val="11"/>
        <rFont val="Calibri"/>
        <family val="2"/>
      </rPr>
      <t xml:space="preserve"> capacity</t>
    </r>
  </si>
  <si>
    <r>
      <t>Front-loading, Compact, &lt; 1.6 ft</t>
    </r>
    <r>
      <rPr>
        <vertAlign val="superscript"/>
        <sz val="11"/>
        <rFont val="Calibri"/>
        <family val="2"/>
      </rPr>
      <t>3</t>
    </r>
    <r>
      <rPr>
        <sz val="11"/>
        <rFont val="Calibri"/>
        <family val="2"/>
      </rPr>
      <t> capacity</t>
    </r>
  </si>
  <si>
    <r>
      <t>Front-loading, Standard, ≥ 1.6 ft</t>
    </r>
    <r>
      <rPr>
        <vertAlign val="superscript"/>
        <sz val="11"/>
        <rFont val="Calibri"/>
        <family val="2"/>
      </rPr>
      <t>3</t>
    </r>
    <r>
      <rPr>
        <sz val="11"/>
        <rFont val="Calibri"/>
        <family val="2"/>
      </rPr>
      <t> capacity</t>
    </r>
  </si>
  <si>
    <r>
      <t>Vented Electric, Standard, ≥ 4.4 ft</t>
    </r>
    <r>
      <rPr>
        <vertAlign val="superscript"/>
        <sz val="11"/>
        <rFont val="Calibri"/>
        <family val="2"/>
      </rPr>
      <t>3</t>
    </r>
    <r>
      <rPr>
        <sz val="11"/>
        <rFont val="Calibri"/>
        <family val="2"/>
      </rPr>
      <t> capacity</t>
    </r>
  </si>
  <si>
    <r>
      <t>Vented Electric, Compact (120V), &lt; 4.4 ft</t>
    </r>
    <r>
      <rPr>
        <vertAlign val="superscript"/>
        <sz val="11"/>
        <rFont val="Calibri"/>
        <family val="2"/>
      </rPr>
      <t>3</t>
    </r>
    <r>
      <rPr>
        <sz val="11"/>
        <rFont val="Calibri"/>
        <family val="2"/>
      </rPr>
      <t> capacity</t>
    </r>
  </si>
  <si>
    <r>
      <t>Vented Electric, Compact (240V), &lt; 4.4 ft</t>
    </r>
    <r>
      <rPr>
        <vertAlign val="superscript"/>
        <sz val="11"/>
        <rFont val="Calibri"/>
        <family val="2"/>
      </rPr>
      <t>3</t>
    </r>
    <r>
      <rPr>
        <sz val="11"/>
        <rFont val="Calibri"/>
        <family val="2"/>
      </rPr>
      <t> capacity</t>
    </r>
  </si>
  <si>
    <r>
      <t>Ventless Electric, Compact (240V), &lt; 4.4 ft</t>
    </r>
    <r>
      <rPr>
        <vertAlign val="superscript"/>
        <sz val="11"/>
        <rFont val="Calibri"/>
        <family val="2"/>
      </rPr>
      <t>3</t>
    </r>
    <r>
      <rPr>
        <sz val="11"/>
        <rFont val="Calibri"/>
        <family val="2"/>
      </rPr>
      <t> capacity</t>
    </r>
  </si>
  <si>
    <r>
      <t>CEER = 1.04 * SACC / (3.7117 * SACC</t>
    </r>
    <r>
      <rPr>
        <vertAlign val="superscript"/>
        <sz val="11"/>
        <rFont val="Calibri"/>
        <family val="2"/>
        <scheme val="minor"/>
      </rPr>
      <t>0.6384</t>
    </r>
    <r>
      <rPr>
        <sz val="11"/>
        <rFont val="Calibri"/>
        <family val="2"/>
        <scheme val="minor"/>
      </rPr>
      <t>)</t>
    </r>
  </si>
  <si>
    <r>
      <t xml:space="preserve">Residential Stretch Codes
</t>
    </r>
    <r>
      <rPr>
        <i/>
        <sz val="11"/>
        <rFont val="Calibri"/>
        <family val="2"/>
        <scheme val="minor"/>
      </rPr>
      <t>(Could apply to retrofits in existing buildings as well as new construction)</t>
    </r>
  </si>
  <si>
    <r>
      <t xml:space="preserve">Commercial Stretch Codes
</t>
    </r>
    <r>
      <rPr>
        <i/>
        <sz val="11"/>
        <rFont val="Calibri"/>
        <family val="2"/>
        <scheme val="minor"/>
      </rPr>
      <t>(Could apply to retrofits in existing buildings as well as new construction)</t>
    </r>
  </si>
  <si>
    <t>Update of avoided costs, update of system loss factors, and addition of the new Commercial LED Downlight Retrofit measure to the list of measures with a dual baseline</t>
  </si>
  <si>
    <t>Update of EULs for new/revised PY22 measures</t>
  </si>
  <si>
    <t>AEG 2022 Analysis</t>
  </si>
  <si>
    <t>Depends on HOU; RUL = 1 year</t>
  </si>
  <si>
    <t>AEG 2022 Analysis; Depends on type</t>
  </si>
  <si>
    <t xml:space="preserve">Updated in Winter 2021-2022 for PY22 TRM. </t>
  </si>
  <si>
    <t>CUSTOM PROJECT GUIDANCE DOCUMENT</t>
  </si>
  <si>
    <t>A Custom Project Guidance Document was created through a collaboration involving Hawai‘i Energy, the EM&amp;V Contractor, the EEM, and the HPUC. It is effective as of July 1, 2022. The purpose of the Custom Project Guidance Document is to define the types of projects applicable for a custom savings estimation path, to describe eligibility requirements and program rules for custom projects, and to provide guidance on custom project documentation and energy savings estimation approaches. The focus is on EM&amp;V-related considerations. This type of guidance is useful to ensure that custom projects are consistently and thoroughly described and analyzed during program implementation, which in turn facilitates an effective assessment of energy and demand savings during the annual EM&amp;V process.</t>
  </si>
  <si>
    <r>
      <t xml:space="preserve">Citation: </t>
    </r>
    <r>
      <rPr>
        <i/>
        <sz val="11"/>
        <color theme="1"/>
        <rFont val="Calibri"/>
        <family val="2"/>
        <scheme val="minor"/>
      </rPr>
      <t>Hawai'i Energy Custom Project Guidance: EM&amp;V-Related Considerations</t>
    </r>
    <r>
      <rPr>
        <sz val="11"/>
        <color theme="1"/>
        <rFont val="Calibri"/>
        <family val="2"/>
        <scheme val="minor"/>
      </rPr>
      <t>, Version 1.0, Effective July 1, 2022.</t>
    </r>
  </si>
  <si>
    <t>Window AC</t>
  </si>
  <si>
    <t>Window AC Worksheet</t>
  </si>
  <si>
    <t>Variable Refrigerant Flow AC</t>
  </si>
  <si>
    <t>VRF Worksheet</t>
  </si>
  <si>
    <t>Advanced Power Strip</t>
  </si>
  <si>
    <t>Residential Peer Group Comparison</t>
  </si>
  <si>
    <t>This measure is designated "inactive" as of PY22. Before it can be reinstated for a future program year, a full update of the savings approach will be needed.</t>
  </si>
  <si>
    <t>Refrigerator *</t>
  </si>
  <si>
    <t>Freezer *</t>
  </si>
  <si>
    <t>AC &amp; Heat Pump *</t>
  </si>
  <si>
    <t>AC &amp; Heat Pump Worksheet *</t>
  </si>
  <si>
    <t>Key Metrics *</t>
  </si>
  <si>
    <t>Addition of a section about the Custom Project Guidance Document; removal of examples about the custom commercial dishwasher measure and custom commercial heat pump water heater measure since there are now prescriptive options for both measure types</t>
  </si>
  <si>
    <t>Updated in Winter 2021-2022 for PY22 TRM. This measure essentially duplicates the R_Appliance_Refrigerator measure which was updated in Winter 2019-2020 for PY20 TRM.</t>
  </si>
  <si>
    <t xml:space="preserve">This measure pertains to the installation of a new residential-style ENERGY STAR v5.0 certified refrigerator/freezer (as specified below) in a commercial building and/or recycling of the pre-existing refrigerator/freezer in the commercial building. </t>
  </si>
  <si>
    <t>ENERGY STAR v5.0 certified. This measure is only applicable to residential-style refrigerators/freezers in commercial buildings. It is not applicable to commercial refrigerators/freezers. Refer to the C_Kitchen_Refrigerator and C_Kitchen_Freezer measures for commercial refrigerators/freezers.</t>
  </si>
  <si>
    <t>COMMERCIAL: Residential-Style Refrigerator and Freezer</t>
  </si>
  <si>
    <t>Note: ENERGY STAR v5.1 was finalized Aug 5, 2021. The change between v5.0 and v5.1 just expanded the scope to include coolers (e.g., wine coolers and beverage centers). The v5.0 to v5.1 amendment did not affect other currently certified products, like the refrigerators and freezers included in this measure.</t>
  </si>
  <si>
    <t xml:space="preserve">AEG's Analysis Files titled "PY22 C_Appliance_Refrigerator - Analysis File," "AEG HPUC Dual BL and TRB - Analysis File" and "AEG HPUC Update of Residential Measures - Analysis file." </t>
  </si>
  <si>
    <t>ENERGY STAR Version 5.1 Consumer Refrigeration Products Final Cover Memo, August 5, 2021, https://www.energystar.gov/products/spec/residential_refrigerators_and_freezers_specification_version_5_0_pd, accessed January 19, 2022.</t>
  </si>
  <si>
    <t>COMMERCIAL: Demand-Controlled Kitchen Ventilation</t>
  </si>
  <si>
    <t xml:space="preserve">Commercial demand-controlled kitchen ventilation (DCKV) is a demand-based energy management system for a commercial kitchen exhaust hood that minimizes fan energy use by reducing the exhaust and makeup air fan speeds during little or no cooking activity. The DCKV system uses a temperature or an optic sensor (or both sensors) and a microprocessor-based controller in conjunction with variable speed drive on the fan motor to automatically modulate fan speed based on cooking activity. (The temperature sensor detects when a cooking surface is in use and the optic sensor detects the amount of effluent in the air.) This saves energy over a traditional 100% ON/OFF kitchen ventilation system. Savings provided here include both the exhaust fan and makeup air fan energy use, but do not include the coincidental cooling savings from reduced makeup air. </t>
  </si>
  <si>
    <t xml:space="preserve">To qualify for a Hawai‘i Energy Commercial DCKV Rebate, the following conditions must be met:
1. The DCKV measure requires the installation of a temperature sensor in the hood exhaust collar or within the hood, or an optic sensor within the hood that senses cooking effluent conditions, or both types of sensors. The sensor(s) must allow for automatically varying the rate of exhaust and make-up (ventilation) air by adjusting the fan speeds accordingly. 
2. The DCKV system must be used in conjunction with variable speed drives on the exhaust fan and makeup air fan motors. </t>
  </si>
  <si>
    <t>Exhaust fan horsepower</t>
  </si>
  <si>
    <t xml:space="preserve">Commercial kitchen exhaust hood fan with manual ON/OFF switch and magnetic rely or motor starter that operates the exhaust fan at 100% or not at all. </t>
  </si>
  <si>
    <t xml:space="preserve">Commercial kitchen exhaust hood equipped with temperature and/or optic sensor(s) to control exhaust hood ventilation airflow and make-up air volume via variable speed drives on the exhaust fan motor and makeup air fan motor. </t>
  </si>
  <si>
    <t>∆kWh/HP</t>
  </si>
  <si>
    <t>Annual energy savings per controlled motor horsepower</t>
  </si>
  <si>
    <t>California Electronic Technical Reference Manual (eTRM). "Exhaust Hood Demand Controlled Ventilation, Commercial. Measure Characterization." [1]</t>
  </si>
  <si>
    <t>∆kW/HP</t>
  </si>
  <si>
    <t>Peak demand reduction per controlled motor horsepower</t>
  </si>
  <si>
    <t>kW/
hp</t>
  </si>
  <si>
    <t>California Electronic Technical Reference Manual (eTRM). "Exhaust Hood Demand Controlled Ventilation, Commercial. Measure Characterization." [2]</t>
  </si>
  <si>
    <t>Horsepower of exhaust fan</t>
  </si>
  <si>
    <t>Savings include both the exhaust fan and makeup air fan energy use of the average system, normalized to the rated exhaust fan horsepower.</t>
  </si>
  <si>
    <t>PY22 TRM Commercial Kitchen Demand-Controlled Ventilation Analysis File, "EUL Benchmarking" sheet.</t>
  </si>
  <si>
    <t xml:space="preserve">1. The energy savings are based on field meter data from 11 case studies from SCE, PG&amp;E, and ASHRAE.  </t>
  </si>
  <si>
    <t>2. The peak demand reduction was derived from field meter data from 4 of the 11 case studies for the peak period definition of 4-9 pm. Since that peak period definition is similar to Hawaii's definition (5-9 pm), the peak demand reduction was not adjusted further for Hawaii.</t>
  </si>
  <si>
    <t>Horsepower of exhaust fan:</t>
  </si>
  <si>
    <t>Demand-Controlled Kitchen Ventilation (DCKV)</t>
  </si>
  <si>
    <t>AEG's analysis file titled: "PY22 TRM Commercial Kitchen Demand-Controlled Ventilation Analysis File."</t>
  </si>
  <si>
    <t>California Technical Forum. California Electronic Technical Reference Manual (eTRM). "Exhaust Hood Demand Controlled Ventilation, Commercial. Measure Characterization". URL: https://www.caetrm.com/measure/SWFS012/01/. Published December 23, 2021.</t>
  </si>
  <si>
    <t>Idaho Power Company Technical Reference Manual 3.1. July 28th, 2021. URL: https://docs.idahopower.com/pdfs/EnergyEfficiency/Reports/2020TRM.pdf.</t>
  </si>
  <si>
    <t>New York Standard Approach for Estimating Energy Savings from Energy Efficiency Programs, Residential, Multi-Family, and Commercial/Industrial Measures, Version 9. August 30, 2021. URL: https://www3.dps.ny.gov/W/PSCWeb.nsf/96f0fec0b45a3c6485257688006a701a/72c23decff52920a85257f1100671bdd/$FILE/NYS%20TRM%20V9.pdf.</t>
  </si>
  <si>
    <t>State of Minnesota Technical Reference Manual for Energy Conservation Improvement Program Version 3.2 FINAL. January 7, 2021. URL:  https://mn.gov/commerce-stat/pdfs/20210201_trm_cip_vers3.2.pdf.</t>
  </si>
  <si>
    <t>2022 Illinois Statewide Technical Reference Manual for Energy Efficiency Version 10.0, Volume 2: Commercial and Industrial Measures FINAL. September 24, 2021. URL: https://ilsag.s3.amazonaws.com/IL-TRM_Effective_010122_v10.0_Vol_2_C_and_I_09242021.pdf.</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</si>
  <si>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 URL: https://www.njcleanenergy.com/files/file/Library/FY21/FY21%20Savings%20Protocols.pdf. </t>
    </r>
  </si>
  <si>
    <t xml:space="preserve">This measure relates to the installation of a new self-contained, reach-in commercial freezer with a door meeting ENERGY STAR efficiency standards. ENERGY STAR labeled commercial freezers are more energy efficient because they are designed with components such as ECM evaporator and condenser fan motors, hot gas anti-sweat heaters, or high-efficiency compressors, which will significantly reduce energy consumption. Commercial freezers are typically larger, more versatile, and robust than residential freezers. This measure is applicable to commercial freezers, only. It is not applicable to residential freezers operating in commercial buildings. </t>
  </si>
  <si>
    <t>Baseline equipment daily energy usage</t>
  </si>
  <si>
    <t>Code of Federal Regulations at 10 CFR 431.66</t>
  </si>
  <si>
    <t>High efficiency equipment daily energy usage</t>
  </si>
  <si>
    <t>Table 1. Summary of Savings Calculations</t>
  </si>
  <si>
    <t xml:space="preserve">Vertical Closed </t>
  </si>
  <si>
    <t xml:space="preserve">  Solid Door </t>
  </si>
  <si>
    <t>0 &lt; V &lt; 15</t>
  </si>
  <si>
    <t>15 ≤ V &lt; 30</t>
  </si>
  <si>
    <t>30 ≤ V &lt; 50</t>
  </si>
  <si>
    <t xml:space="preserve">50 ≤ V         </t>
  </si>
  <si>
    <t xml:space="preserve">  Glass Door</t>
  </si>
  <si>
    <t>Horizontal Closed</t>
  </si>
  <si>
    <t xml:space="preserve">  Solid Door</t>
  </si>
  <si>
    <t>Vertical Solid-Door, 
0 &lt; V &lt; 15</t>
  </si>
  <si>
    <t>Vertical Solid-Door, 
15 ≤ V &lt; 30</t>
  </si>
  <si>
    <t>Vertical Solid-Door, 
30 ≤ V &lt; 50</t>
  </si>
  <si>
    <t>Vertical Glass-Door, 
0 &lt; V &lt; 15</t>
  </si>
  <si>
    <t>Vertical Glass-Door, 
15 ≤ V &lt; 30</t>
  </si>
  <si>
    <t>Vertical Glass-Door, 
30 ≤ V &lt; 50</t>
  </si>
  <si>
    <t xml:space="preserve">Vertical Glass-Door, 
50 ≤ V        </t>
  </si>
  <si>
    <t>Horizontal Solid-Door, 
0 &lt; V &lt; 15</t>
  </si>
  <si>
    <t>Horizontal Solid-Door, 
15 ≤ V &lt; 30</t>
  </si>
  <si>
    <t>Horizontal Solid-Door, 
30 ≤ V &lt; 50</t>
  </si>
  <si>
    <t>Horizontal Glass-Door, 
0 &lt; V &lt; 15</t>
  </si>
  <si>
    <t>Horizontal Glass-Door, 
15 ≤ V &lt; 30</t>
  </si>
  <si>
    <t>Horizontal Glass-Door, 
30 ≤ V &lt; 50</t>
  </si>
  <si>
    <t xml:space="preserve">Horizontal Glass-Door, 
50 ≤ V        </t>
  </si>
  <si>
    <t>Code of Federal Regulations at 10 CFR 431.66. URL: https://www.ecfr.gov/current/title-10/chapter-II/subchapter-D/part-431/subpart-C/subject-group-ECFR8115bf7451f830f/section-431.66.</t>
  </si>
  <si>
    <t xml:space="preserve">2022 Illinois Statewide Technical Reference Manual for Energy Efficiency
Version 10.0, Volume 2: Commercial and Industrial Measures FINAL. September 24, 2021. </t>
  </si>
  <si>
    <r>
      <t>New Jersey Board of Public Utilities, New Jersey's Clean Energy Program</t>
    </r>
    <r>
      <rPr>
        <vertAlign val="superscript"/>
        <sz val="11"/>
        <rFont val="Calibri"/>
        <family val="2"/>
        <scheme val="minor"/>
      </rPr>
      <t>TM</t>
    </r>
    <r>
      <rPr>
        <sz val="11"/>
        <rFont val="Calibri"/>
        <family val="2"/>
        <scheme val="minor"/>
      </rPr>
      <t xml:space="preserve"> Protocols to Measure Resource Savings, FY2021 Addendum. December 2, 2020.</t>
    </r>
  </si>
  <si>
    <t xml:space="preserve">This measure relates to the installation of a new self-contained, reach-in commercial refrigerator with a door meeting ENERGY STAR efficiency standards. ENERGY STAR labeled commercial refrigerators are more energy efficient because they are designed with components such as ECM evaporator and condenser fan motors, hot gas anti-sweat heaters, or high-efficiency compressors, which will significantly reduce energy consumption. Commercial refrigerators  are typically larger, more versatile, and robust than residential refrigerators. This measure is applicable to commercial refrigerators, only. It is not applicable to residential refrigerators operating in commercial buildings. </t>
  </si>
  <si>
    <t>Volumetric Factor
(kWh/ft3)</t>
  </si>
  <si>
    <t xml:space="preserve">50 ≤ V       </t>
  </si>
  <si>
    <t>Horizontal Solid-Door, 
0 &lt; V ≤  15</t>
  </si>
  <si>
    <t>Horizontal Glass-Door, 
0 &lt; V ≤ 15</t>
  </si>
  <si>
    <t>Updated in Winter 2021-2022 for PY22 TRM. Changes include 1) temporarily removing the minimum full-load efficiency requirement for program eligibility to increase the number of qualifying projects, as long as each single-chiller project still meets cost-effectiveness criteria based on current avoided costs, and 2) modifying the Chiller Worksheet to prevent use for custom chiller projects. By PY25, the full-load efficiency requirement for eligibility will be reinstated. At that time, if the qualification issue related to full-load efficiency persists, Hawai'i Energy can provide evidence and request that the issue be reviewed as part of a TRM update.</t>
  </si>
  <si>
    <t>AEG's PY22 analysis file named "PY22 C_HVAC_Chiller - Analysis File", AEG's PY20 analysis file named "AEG HPUC - HVAC Measures - Analysis File_Jan 2021," and AEG's PY19 analysis files named "AEG HPUC Update - Commercial Chillers - Analysis File" and "AEG HPUC Mid-Year PY19 TRM Updates_Analysis File."</t>
  </si>
  <si>
    <t>ANSI/ASHRAE/IES Standard 90.1-2016. Available at: &lt;https://www.ashrae.org/technical-resources/bookstore/standard-90-1-document-history&gt;.</t>
  </si>
  <si>
    <t>The IECC 2015 with Hawai‘i Amendments Commercial Reviewer and Designer Checklist. Available at: &lt;https://hawaiienergy.com/files/resources/2015-IECC_CommercialReviewer_Checklist.pdf&gt;. Code baseline specification based on Hawai‘i Energy: &lt;https://hawaiienergy.com/resources#hawaii-codes&gt; and &lt;http://energy.hawaii.gov/hawaii-energy-building-code/2015-iecc-update&gt;.</t>
  </si>
  <si>
    <r>
      <t>To be eligible, chiller efficiency must exceed IECC 2015 code (consistent with ASHRAE 90.1-2016), Path A or Path B, by 10% or more.</t>
    </r>
    <r>
      <rPr>
        <vertAlign val="superscript"/>
        <sz val="11"/>
        <rFont val="Calibri"/>
        <family val="2"/>
        <scheme val="minor"/>
      </rPr>
      <t>2</t>
    </r>
  </si>
  <si>
    <r>
      <t>The baseline equipment meets the current State of Hawai‘i code, which is IECC 2015 and is consistent with the national ASHRAE 90.1-2016 standard that manufacturers adhere to. All counties have adopted IECC 2015 as of May 20, 2020.</t>
    </r>
    <r>
      <rPr>
        <vertAlign val="superscript"/>
        <sz val="11"/>
        <rFont val="Calibri"/>
        <family val="2"/>
        <scheme val="minor"/>
      </rPr>
      <t>3</t>
    </r>
    <r>
      <rPr>
        <sz val="11"/>
        <rFont val="Calibri"/>
        <family val="2"/>
        <scheme val="minor"/>
      </rPr>
      <t xml:space="preserve"> </t>
    </r>
  </si>
  <si>
    <r>
      <t xml:space="preserve">Note: In PY22 through PY24, only the part-load efficiency (IPLV) must exceed ASHRAE minimum efficiency requirements by 10% for Tier 1 (or 20% for Tier 2), while the full-load (peak efficiency) must at least meet ASHRAE minimum efficiencies. This is a temporary special exception to increase the number of qualifying chiller projects. </t>
    </r>
    <r>
      <rPr>
        <b/>
        <i/>
        <sz val="11"/>
        <rFont val="Calibri"/>
        <family val="2"/>
        <scheme val="minor"/>
      </rPr>
      <t>By PY25, the requirement for exceeding ASHRAE efficiencies by 10% (or 20% for Tier 2) for both the part-load and full-load efficiencies will be reinstated unless Hawai‘i Energy can provide evidence for keeping the full-load requirement out of the program.</t>
    </r>
  </si>
  <si>
    <r>
      <t xml:space="preserve">At least 10% better than the ASHRAE 90.1-2016 standard. (Refer to the </t>
    </r>
    <r>
      <rPr>
        <i/>
        <sz val="10.5"/>
        <rFont val="Calibri"/>
        <family val="2"/>
        <scheme val="minor"/>
      </rPr>
      <t>High Efficiency Equipment</t>
    </r>
    <r>
      <rPr>
        <sz val="10.5"/>
        <rFont val="Calibri"/>
        <family val="2"/>
        <scheme val="minor"/>
      </rPr>
      <t xml:space="preserve"> description above for more information.)</t>
    </r>
  </si>
  <si>
    <t>Step 1:  Enter chiller information</t>
  </si>
  <si>
    <t>Is the chiller part of a larger, multi-system plant?</t>
  </si>
  <si>
    <t>High efficiency equipment must exceed ASHRAE efficiencies by 10% or more, as applicable for the given system type. An additional tier (20% above ASHRAE) has also been included for this measure. Actual nameplate data for rated efficiency will be compared against ASHRAE standard efficiency.</t>
  </si>
  <si>
    <r>
      <t xml:space="preserve">As installed. At least 10% better than ASHRAE 90.1-2016,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</si>
  <si>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t>Added in Winter 2021-2022 for PY22 TRM.</t>
  </si>
  <si>
    <t xml:space="preserve">Replacement of a Light Duty Electric Resistance Storage Water Heater with an ENERGY STAR-certified Heat Pump Water Heater with a tank size of up to 120 gallons. The water heater is to be used for service water heating in an existing commercial building. </t>
  </si>
  <si>
    <r>
      <t xml:space="preserve">The deemed and semi-prescriptive approaches presented here are reserved for light duty, smaller, simpler systems installed in offices, grocery stores, or restaurants where the baseline Electric Storage Water Heater has an input rating of 12 kW (40,950 Btu/hr) or less. </t>
    </r>
    <r>
      <rPr>
        <b/>
        <i/>
        <sz val="11"/>
        <color theme="1"/>
        <rFont val="Calibri"/>
        <family val="2"/>
        <scheme val="minor"/>
      </rPr>
      <t>A fully custom approach should be used for different commercial building types and for larger or more complex installations.</t>
    </r>
  </si>
  <si>
    <t>One water heater</t>
  </si>
  <si>
    <t xml:space="preserve">Baseline equipment for the deemed and semi-prescriptive approach is a Light Duty Electric Storage Water Heater with an input rating of 12 kW (40,950 Btu/hr) or less that meets current Federal standards listed in Table 1 below, which were effective April 16, 2015. (Commercial water heaters with an input rating of ≤ 12 kW must meet the Residential standards per a ruling by the Department of Energy.) </t>
  </si>
  <si>
    <t>To qualify for this measure, the installed equipment must be an ENERGY STAR Heat Pump water heater with a tank size of up to 120 gallons. ENERGY STAR qualifying equipment must reach the requirements outlined below in Table 2.</t>
  </si>
  <si>
    <t>Uniform Energy Factor of the baseline</t>
  </si>
  <si>
    <t xml:space="preserve">User input or Table 1 </t>
  </si>
  <si>
    <r>
      <t>Must meet Federal Regulations.</t>
    </r>
    <r>
      <rPr>
        <vertAlign val="superscript"/>
        <sz val="10.5"/>
        <rFont val="Calibri"/>
        <family val="2"/>
        <scheme val="minor"/>
      </rPr>
      <t>1</t>
    </r>
  </si>
  <si>
    <t>DP</t>
  </si>
  <si>
    <t>Draw Pattern</t>
  </si>
  <si>
    <t>Default values in Table 3 are based on AEG's engineering judgement.</t>
  </si>
  <si>
    <r>
      <t>V</t>
    </r>
    <r>
      <rPr>
        <vertAlign val="subscript"/>
        <sz val="10.5"/>
        <color theme="1"/>
        <rFont val="Calibri"/>
        <family val="2"/>
        <scheme val="minor"/>
      </rPr>
      <t>r</t>
    </r>
  </si>
  <si>
    <t>Rated Storage Volume of Water Heater Tank</t>
  </si>
  <si>
    <r>
      <t>Default values in Table 3 are from Evergreen Economics' 2014 Baseline Study,</t>
    </r>
    <r>
      <rPr>
        <vertAlign val="superscript"/>
        <sz val="10.5"/>
        <rFont val="Calibri"/>
        <family val="2"/>
        <scheme val="minor"/>
      </rPr>
      <t>2</t>
    </r>
    <r>
      <rPr>
        <sz val="10.5"/>
        <rFont val="Calibri"/>
        <family val="2"/>
        <scheme val="minor"/>
      </rPr>
      <t xml:space="preserve"> Section E.2.1, Mean Storage Volume. Rounded to nearest gallon.</t>
    </r>
  </si>
  <si>
    <r>
      <t>UEF</t>
    </r>
    <r>
      <rPr>
        <vertAlign val="subscript"/>
        <sz val="10.5"/>
        <color theme="1"/>
        <rFont val="Calibri"/>
        <family val="2"/>
        <scheme val="minor"/>
      </rPr>
      <t>Eff</t>
    </r>
    <r>
      <rPr>
        <sz val="10.5"/>
        <color theme="1"/>
        <rFont val="Calibri"/>
        <family val="2"/>
        <scheme val="minor"/>
      </rPr>
      <t xml:space="preserve"> for ≤ 55 gal </t>
    </r>
  </si>
  <si>
    <t>ENERGY STAR Product Finder (Jan 2022): &lt;https://www.energystar.gov/productfinder/product/certified-water-heaters/results&gt;.</t>
  </si>
  <si>
    <r>
      <t>UEF</t>
    </r>
    <r>
      <rPr>
        <vertAlign val="subscript"/>
        <sz val="10.5"/>
        <color theme="1"/>
        <rFont val="Calibri"/>
        <family val="2"/>
        <scheme val="minor"/>
      </rPr>
      <t>Eff</t>
    </r>
    <r>
      <rPr>
        <sz val="10.5"/>
        <color theme="1"/>
        <rFont val="Calibri"/>
        <family val="2"/>
        <scheme val="minor"/>
      </rPr>
      <t xml:space="preserve">  for &gt; 55 gal</t>
    </r>
  </si>
  <si>
    <t>Uniform Energy Factor of the most common Heat Pump Water Heaters sized above 55 gallons according to the ENERGY STAR database</t>
  </si>
  <si>
    <r>
      <t>DEER 2015 "DEER-WaterHeater-Calculator-v1.1.xlsm."</t>
    </r>
    <r>
      <rPr>
        <vertAlign val="superscript"/>
        <sz val="10.5"/>
        <color theme="1"/>
        <rFont val="Calibri"/>
        <family val="2"/>
        <scheme val="minor"/>
      </rPr>
      <t>3</t>
    </r>
  </si>
  <si>
    <t>User input or Table 3</t>
  </si>
  <si>
    <r>
      <t>Default values in Table 3 from Evergreen Economics' 2014 Baseline Study,</t>
    </r>
    <r>
      <rPr>
        <vertAlign val="superscript"/>
        <sz val="10.5"/>
        <rFont val="Calibri"/>
        <family val="2"/>
        <scheme val="minor"/>
      </rPr>
      <t>2</t>
    </r>
    <r>
      <rPr>
        <sz val="10.5"/>
        <rFont val="Calibri"/>
        <family val="2"/>
        <scheme val="minor"/>
      </rPr>
      <t xml:space="preserve"> Section E.2.1, Mean Building Area.</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</si>
  <si>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4</t>
    </r>
  </si>
  <si>
    <r>
      <t>Hawai‘i Energy.</t>
    </r>
    <r>
      <rPr>
        <vertAlign val="superscript"/>
        <sz val="10.5"/>
        <rFont val="Calibri"/>
        <family val="2"/>
        <scheme val="minor"/>
      </rPr>
      <t>5</t>
    </r>
  </si>
  <si>
    <t>AEG's 2018 Hawaii-specific analysis of U.S. DOE OpenEI Load shapes for Commercial Water Heating.</t>
  </si>
  <si>
    <t>AEG's 2018 Hawaii-specific analysis of U.S. DOE OpenEI Load shapes for Commercial Water Heating; peak period defined as non-holiday weekdays from 5-9 pm.</t>
  </si>
  <si>
    <t>1. Source for UEF equation: Electronic Code of Federal Regulations, &lt;https://www.ecfr.gov/current/title-10/chapter-II/subchapter-D/part-430/subpart-C/section-430.32&gt;. (See Table 1 below.)</t>
  </si>
  <si>
    <t xml:space="preserve">2. Baseline Energy Appliance, Equipment and Building Characteristics Study Report, Prepared for the State of Hawaii Public Utilities Commission, Prepared by Evergreen Economics, February 26, 2014. Appendix E. </t>
  </si>
  <si>
    <t>3. AEG assumes average hot water use per square footage of commercial building space is similar in California and Hawaii.</t>
  </si>
  <si>
    <r>
      <t>4. Source for T</t>
    </r>
    <r>
      <rPr>
        <vertAlign val="subscript"/>
        <sz val="9"/>
        <rFont val="Calibri"/>
        <family val="2"/>
        <scheme val="minor"/>
      </rPr>
      <t>out</t>
    </r>
    <r>
      <rPr>
        <sz val="9"/>
        <rFont val="Calibri"/>
        <family val="2"/>
        <scheme val="minor"/>
      </rPr>
      <t xml:space="preserve">: Electronic Code of Federal Regulations, Appendix E to Subpart B of Part 430 &lt;https://www.ecfr.gov/current/title-10/chapter-II/subchapter-D/part-430/subpart-B&gt;. </t>
    </r>
  </si>
  <si>
    <t xml:space="preserve">5. Hawai‘i Energy's Solar Water Heating Program Handbook, Table 2. </t>
  </si>
  <si>
    <t>Table 1. Federal Standards for Electric Storage Water Heaters</t>
  </si>
  <si>
    <t>Source: Electronic Code of Federal Regulations, &lt;https://www.ecfr.gov/current/title-10/chapter-II/subchapter-D/part-430/subpart-C/section-430.32&gt;. Has been collapsed to show just electric storage water heaters.</t>
  </si>
  <si>
    <t>Table 1. Criteria for Certified Electric Water Heaters</t>
  </si>
  <si>
    <t>ENERGY STAR Version 4.0 Requirements, Effective Jan. 5, 2022</t>
  </si>
  <si>
    <t>Integrated HPWH</t>
  </si>
  <si>
    <t>UEF ≥ 3.30</t>
  </si>
  <si>
    <t>Integrated HPWH, 120 Volt / 15 Amp Circuit</t>
  </si>
  <si>
    <t>UEF ≥ 2.20</t>
  </si>
  <si>
    <t>Split-system HPWH</t>
  </si>
  <si>
    <t xml:space="preserve">Source: ENERGY STAR Program Requirements, Product Specification for Residential Water Heaters, V4.0, &lt;https://www.energystar.gov/sites/default/files/ENERGY%20STAR%20Version%204.0%20Water%20Heaters%20Final%20Specification%20and%20Partner%20Commitments_0.pdf&gt;. </t>
  </si>
  <si>
    <t>Table 3. Default Values for Key Parameters</t>
  </si>
  <si>
    <r>
      <t>V</t>
    </r>
    <r>
      <rPr>
        <b/>
        <vertAlign val="subscript"/>
        <sz val="10.5"/>
        <color theme="1"/>
        <rFont val="Calibri"/>
        <family val="2"/>
        <scheme val="minor"/>
      </rPr>
      <t>r</t>
    </r>
    <r>
      <rPr>
        <b/>
        <sz val="10.5"/>
        <color theme="1"/>
        <rFont val="Calibri"/>
        <family val="2"/>
        <scheme val="minor"/>
      </rPr>
      <t xml:space="preserve"> (gal)</t>
    </r>
  </si>
  <si>
    <t>Baseline UEF</t>
  </si>
  <si>
    <r>
      <t>HW</t>
    </r>
    <r>
      <rPr>
        <b/>
        <vertAlign val="subscript"/>
        <sz val="10.5"/>
        <color theme="1"/>
        <rFont val="Calibri"/>
        <family val="2"/>
        <scheme val="minor"/>
      </rPr>
      <t>per SqFt</t>
    </r>
    <r>
      <rPr>
        <b/>
        <sz val="10.5"/>
        <color theme="1"/>
        <rFont val="Calibri"/>
        <family val="2"/>
        <scheme val="minor"/>
      </rPr>
      <t xml:space="preserve"> (gal/ft</t>
    </r>
    <r>
      <rPr>
        <b/>
        <vertAlign val="superscript"/>
        <sz val="10.5"/>
        <color theme="1"/>
        <rFont val="Calibri"/>
        <family val="2"/>
        <scheme val="minor"/>
      </rPr>
      <t>2</t>
    </r>
    <r>
      <rPr>
        <b/>
        <sz val="10.5"/>
        <color theme="1"/>
        <rFont val="Calibri"/>
        <family val="2"/>
        <scheme val="minor"/>
      </rPr>
      <t>-yr)</t>
    </r>
  </si>
  <si>
    <r>
      <t>Building Area, A (ft</t>
    </r>
    <r>
      <rPr>
        <b/>
        <vertAlign val="superscript"/>
        <sz val="10.5"/>
        <color theme="1"/>
        <rFont val="Calibri"/>
        <family val="2"/>
        <scheme val="minor"/>
      </rPr>
      <t>2</t>
    </r>
    <r>
      <rPr>
        <b/>
        <sz val="10.5"/>
        <color theme="1"/>
        <rFont val="Calibri"/>
        <family val="2"/>
        <scheme val="minor"/>
      </rPr>
      <t>)</t>
    </r>
  </si>
  <si>
    <t>Very Small</t>
  </si>
  <si>
    <t>Low</t>
  </si>
  <si>
    <t>High</t>
  </si>
  <si>
    <t>Enter Building Type</t>
  </si>
  <si>
    <t>Enter Building Floor Area Served by Water Heater</t>
  </si>
  <si>
    <t>Enter Baseline UEF</t>
  </si>
  <si>
    <t>Enter ENERGY STAR UEF</t>
  </si>
  <si>
    <r>
      <t>HW</t>
    </r>
    <r>
      <rPr>
        <vertAlign val="subscript"/>
        <sz val="11"/>
        <color theme="1"/>
        <rFont val="Calibri"/>
        <family val="2"/>
        <scheme val="minor"/>
      </rPr>
      <t>per SqFt</t>
    </r>
    <r>
      <rPr>
        <sz val="11"/>
        <color theme="1"/>
        <rFont val="Calibri"/>
        <family val="2"/>
        <scheme val="minor"/>
      </rPr>
      <t xml:space="preserve"> =</t>
    </r>
  </si>
  <si>
    <t>EFLH =</t>
  </si>
  <si>
    <t>AEG's 2022 Analysis File titled "PY22 C_WH_Heat Pump - Analysis File."</t>
  </si>
  <si>
    <t>AEG's 2018 Analysis of U.S. DOE OpenEI Load shapes for Commercial Water Heating. Analyzed 16 commercial building types (based off the DOE commercial reference building models) for IECC Zone 1A and Hawai‘i weather stations (Keahole-Kona.Intl.AP, Honolulu.Intl.AP, Kahului.AP). Prototype data available here: &lt;https://openei.org/doe-opendata/dataset/commercial-and-residential-hourly-load-profiles-for-all-tmy3-locations-in-the-united-states&gt;.</t>
  </si>
  <si>
    <t>Baseline Energy Appliance, Equipment and Building Characteristics Study Report, Prepared for the State of Hawaii Public Utilities Commission, Prepared by Evergreen Economics, February 26, 2014. Appendix E. Section E.2.1 Means by Business Type.</t>
  </si>
  <si>
    <t>DEER 2020: &lt;http://www.deeresources.com/index.php/deer-versions/deer2020#EUL&gt;.</t>
  </si>
  <si>
    <t>Electronic Code of Federal Regulations: Title 10: Energy, Part 430 - Energy Conservation Program for Consumer Products. Subpart C - Energy and Water Conservation Standards. Section 6d. &lt;https://www.ecfr.gov/current/title-10/chapter-II/subchapter-D/part-430/subpart-C/section-430.32&gt;.</t>
  </si>
  <si>
    <t xml:space="preserve">Electronic Code of Federal Regulations, Appendix E to Subpart B of Part 430 &lt;https://www.ecfr.gov/current/title-10/chapter-II/subchapter-D/part-430/subpart-B&gt;. </t>
  </si>
  <si>
    <t>ENERGY STAR Product Finder: &lt;https://www.energystar.gov/productfinder/product/certified-water-heaters/results&gt;.</t>
  </si>
  <si>
    <t xml:space="preserve">ENERGY STAR Program Requirements, Product Specification for Residential Water Heaters, V4.0, effective Jan. 5, 2022, &lt;https://www.energystar.gov/sites/default/files/ENERGY%20STAR%20Version%204.0%20Water%20Heaters%20Final%20Specification%20and%20Partner%20Commitments_0.pdf&gt;. </t>
  </si>
  <si>
    <t xml:space="preserve">An ENERGY STAR smart thermostat replacing a manual or programmable thermostat serving a residential ducted central AC system. ENERGY STAR smart thermostats are Wi-Fi-enabled, allowing customers to control temperature settings wirelessly while at home or away with smart phones and other smart devices. Designs and components vary, but common features include the ability to learn temperature preferences, establish schedules that automatically adjust to energy-saving temperatures when occupants are away or asleep, use geofencing to determine when occupants are on the way home and to adjust temperatures accordingly, and provide information for tracking and managing equipment use and temperature data. </t>
  </si>
  <si>
    <t>Savings are provided for two types of program delivery: 1) self-install (purchased through Hawai'i Energy's upstream program or through the online marketplace), and 2) for direct install.</t>
  </si>
  <si>
    <t>Smart thermostat with ENERGY STAR label</t>
  </si>
  <si>
    <t>Manual or programmable thermostat (savings assume a mix of both)</t>
  </si>
  <si>
    <t>ENERGY STAR smart thermostat</t>
  </si>
  <si>
    <r>
      <t>Assumes zero peak demand savings in Hawaii.</t>
    </r>
    <r>
      <rPr>
        <vertAlign val="superscript"/>
        <sz val="10.5"/>
        <rFont val="Calibri"/>
        <family val="2"/>
        <scheme val="minor"/>
      </rPr>
      <t>1</t>
    </r>
  </si>
  <si>
    <t>Cooling capacity of central AC unit</t>
  </si>
  <si>
    <r>
      <t>Assumes 3.75 tons is the average installed capacity for central AC systems in Hawaii.</t>
    </r>
    <r>
      <rPr>
        <vertAlign val="superscript"/>
        <sz val="10.5"/>
        <rFont val="Calibri"/>
        <family val="2"/>
        <scheme val="minor"/>
      </rPr>
      <t>2</t>
    </r>
  </si>
  <si>
    <r>
      <t>EFLH</t>
    </r>
    <r>
      <rPr>
        <vertAlign val="subscript"/>
        <sz val="10.5"/>
        <color theme="1"/>
        <rFont val="Calibri"/>
        <family val="2"/>
        <scheme val="minor"/>
      </rPr>
      <t>.cool</t>
    </r>
  </si>
  <si>
    <t>Hawaii-specific EFLH determined as average of residential EnergyPlus prototype simulations with central AC cooling system by dividing total cooling kWh by maximum kW (proxy for capacity, adjusted for oversizing).</t>
  </si>
  <si>
    <t>Energy savings factor for cooling, 
Self-Install</t>
  </si>
  <si>
    <r>
      <t>AEG Benchmarking.</t>
    </r>
    <r>
      <rPr>
        <vertAlign val="superscript"/>
        <sz val="10.5"/>
        <color theme="1"/>
        <rFont val="Calibri"/>
        <family val="2"/>
        <scheme val="minor"/>
      </rPr>
      <t>3</t>
    </r>
  </si>
  <si>
    <t>Energy savings factor for cooling, 
Direct-Install</t>
  </si>
  <si>
    <r>
      <t>AEG Benchmarking.</t>
    </r>
    <r>
      <rPr>
        <vertAlign val="superscript"/>
        <sz val="10.5"/>
        <color theme="1"/>
        <rFont val="Calibri"/>
        <family val="2"/>
        <scheme val="minor"/>
      </rPr>
      <t>4</t>
    </r>
  </si>
  <si>
    <r>
      <t>Assumed to be average SEER of installed central AC systems in Hawaii.</t>
    </r>
    <r>
      <rPr>
        <vertAlign val="superscript"/>
        <sz val="10.5"/>
        <color theme="1"/>
        <rFont val="Calibri"/>
        <family val="2"/>
        <scheme val="minor"/>
      </rPr>
      <t>5</t>
    </r>
  </si>
  <si>
    <r>
      <t>AEG Benchmarking.</t>
    </r>
    <r>
      <rPr>
        <vertAlign val="superscript"/>
        <sz val="10.5"/>
        <color theme="1"/>
        <rFont val="Calibri"/>
        <family val="2"/>
        <scheme val="minor"/>
      </rPr>
      <t>6</t>
    </r>
  </si>
  <si>
    <t>1. Hawaii's peak period of 5-9 pm on non-holiday weekdays coincides with hours people are generally expected to be home and awake. Therefore, in the absence of targeted education, time-of-use rates, and/or a demand response program, meaningful peak demand savings are not expected from this measure in Hawaii.</t>
  </si>
  <si>
    <t>2. From AEG 2019 Baseline Study: The average capacity of central AC systems was derived from nameplate data from participants of the residential phone audit who provided photos (N=11).</t>
  </si>
  <si>
    <t>3. See AEG's 2022 Analysis File titled "PY22 R_HVAC_Smart Thermostat - Analysis File."</t>
  </si>
  <si>
    <t>4. The ISR is from benchmarking using two sources in particular: 1) PG&amp;E Smart Thermostat Study: Second Year Findings, Prepared by Applied Energy Group, March 20, 2018, ET Project Number ET14PGE8661 (90% of smart thermostats were still installed and connected to Wi-Fi after two years), and 2) Illinois 2021 TRM, Version 9.0 (energy savings algorithm uses ISR of 90%).</t>
  </si>
  <si>
    <t>5. From AEG 2019 Baseline Study: The average SEER of central AC systems was derived by averaging 1) nameplate SEER data from participants of the residential phone audit who provided photos (N=11) and 2) determination of minimum required SEER based on age of AC systems (N=70). See Appendices from AEG 2019 Baseline Study, Q52F. See also AEG's 2022 Analysis File titled "PY22 R_HVAC_Smart Thermostat - Analysis File."</t>
  </si>
  <si>
    <t>6. The 7-yr EUL is the average value from several sources with EULs ranging from 3 to 11 years.</t>
  </si>
  <si>
    <t>Smart Thermostat, Upstream or Online Marketplace</t>
  </si>
  <si>
    <t>Smart Thermostat, 
Direct-Install</t>
  </si>
  <si>
    <t>AEG's 2022 Analysis File titled "PY22 R_HVAC_Smart Thermostat - Analysis File."</t>
  </si>
  <si>
    <t>Arkansas Technical Reference Manual, Version 8.1, Arkansas Public Service Commission, August 31, 2019.</t>
  </si>
  <si>
    <t>California eTRM, Residential Smart Thermostat, Measure ID: SWHC039, effective dates: Jan 1 - Dec. 31, 2021</t>
  </si>
  <si>
    <t>Connecticut's 2021 Program Savings Document, 18th Edition, Filed on March 1, 2021.</t>
  </si>
  <si>
    <t xml:space="preserve">DEER 2020 "SupportTable-EUL2020.xlsx", accessed by AEG January 14, 2022. </t>
  </si>
  <si>
    <t>Energy Impacts of Smart Home Technologies, Jen King, ACEEE, April 2018, Report A1801.</t>
  </si>
  <si>
    <t>ENERGY STAR Smart Thermostats, &lt;https://www.energystar.gov/products/smart_thermostats&gt;.</t>
  </si>
  <si>
    <t xml:space="preserve">Federal Standards: 10 CFR 430.32 (c). </t>
  </si>
  <si>
    <t>Illinois Statewide Technical Reference Manual, 2021, Version 9.0, Volume 3: Residential Measures, Final, September 25, 2020.</t>
  </si>
  <si>
    <t>Maryland/Mid-Atlantic Technical Reference Manual, Version 10, Final, May 2020.</t>
  </si>
  <si>
    <t>PG&amp;E Smart Thermostat Study: First Year Findings, Prepared by Applied Energy Group, December 21, 2016, ET Project Number ET13PGE1462, available for download: &lt;https://www.etcc-ca.com/reports/smart-thermostat-study?dl=1642447625&gt;.</t>
  </si>
  <si>
    <t>PG&amp;E Smart Thermostat Study: Second Year Findings, Prepared by Applied Energy Group, March 20, 2018, ET Project Number ET14PGE8661, available for download: &lt;https://www.etcc-ca.com/reports/smart-thermostat-study?dl=1642447625&gt;.</t>
  </si>
  <si>
    <t>Regional Technical Forum, Residential Connected Thermostats, April 10, 2018, "ResConnectedTstats_v1.3.xlsm," accessed here: &lt;https://rtf.nwcouncil.org/measure/connected-thermostats&gt;.</t>
  </si>
  <si>
    <t>State of Pennsylvania Technical Reference Manual, Volume 2: Residential Measures, Revised February 2021, &lt;https://www.puc.pa.gov/filing-resources/issues-laws-regulations/act-129/technical-reference-manual/&gt;.</t>
  </si>
  <si>
    <t>2014 Evergreen Economics Hawaii Baseline Study, Appendices C and D, C.2 Percent by Home Type (page 127) and D.1 Percent by Home Type (page 147).</t>
  </si>
  <si>
    <t>Wisconsin Focus on Energy 2020 Technical Reference Manual, Public Service Commission of Wisconsin.</t>
  </si>
  <si>
    <t>Public Utility Commission of Texas, Texas TRM, Version 8.0, Volume 2: Residential Measures, Program Year 2021.</t>
  </si>
  <si>
    <t>Replacement of an Electric Resistance Storage Water Heater with an ENERGY STAR-certified Heat Pump Water Heater for residential use.</t>
  </si>
  <si>
    <t xml:space="preserve">Baseline equipment is an Electric Resistance Storage Water Heater that meets current Federal standards, which were effective April 16, 2015. </t>
  </si>
  <si>
    <t>To qualify for this measure the installed equipment must be an ENERGY STAR Heat Pump water heater. ENERGY STAR qualifying equipment must reach the requirements outlined below in Table 1.</t>
  </si>
  <si>
    <r>
      <t xml:space="preserve">Uniform Energy Factor of Baseline Equipment (Electric Storage Water Heater </t>
    </r>
    <r>
      <rPr>
        <b/>
        <i/>
        <sz val="11"/>
        <color theme="1"/>
        <rFont val="Calibri"/>
        <family val="2"/>
      </rPr>
      <t>≤ 55 gallons)</t>
    </r>
  </si>
  <si>
    <t>Assumes "low" draw pattern</t>
  </si>
  <si>
    <r>
      <t>Uniform Energy Factor of Baseline Equipment (Electric Storage Water Heater &gt;</t>
    </r>
    <r>
      <rPr>
        <b/>
        <i/>
        <sz val="11"/>
        <color theme="1"/>
        <rFont val="Calibri"/>
        <family val="2"/>
      </rPr>
      <t xml:space="preserve"> 55 gallons)</t>
    </r>
  </si>
  <si>
    <t>Baseline Annual Energy Use, kWh/yr</t>
  </si>
  <si>
    <t>Efficient Case Annual Energy Use, kWh/yr</t>
  </si>
  <si>
    <r>
      <t>Uniform Energy Factor</t>
    </r>
    <r>
      <rPr>
        <vertAlign val="superscript"/>
        <sz val="10.5"/>
        <color theme="1"/>
        <rFont val="Calibri"/>
        <family val="2"/>
        <scheme val="minor"/>
      </rPr>
      <t>1</t>
    </r>
    <r>
      <rPr>
        <sz val="10.5"/>
        <color theme="1"/>
        <rFont val="Calibri"/>
        <family val="2"/>
        <scheme val="minor"/>
      </rPr>
      <t xml:space="preserve"> of the baseline</t>
    </r>
  </si>
  <si>
    <t>See Eq'n 1 or 2 depending on Rated Storage Volume</t>
  </si>
  <si>
    <r>
      <t>Default UEF</t>
    </r>
    <r>
      <rPr>
        <vertAlign val="subscript"/>
        <sz val="10.5"/>
        <rFont val="Calibri"/>
        <family val="2"/>
        <scheme val="minor"/>
      </rPr>
      <t>base</t>
    </r>
    <r>
      <rPr>
        <sz val="10.5"/>
        <rFont val="Calibri"/>
        <family val="2"/>
        <scheme val="minor"/>
      </rPr>
      <t xml:space="preserve"> values assume 50 gallon or 60 gallon Electric Storage Water Heater and Low Draw Pattern.</t>
    </r>
  </si>
  <si>
    <r>
      <t>UEF</t>
    </r>
    <r>
      <rPr>
        <vertAlign val="subscript"/>
        <sz val="10.5"/>
        <color theme="1"/>
        <rFont val="Calibri"/>
        <family val="2"/>
        <scheme val="minor"/>
      </rPr>
      <t>Eff</t>
    </r>
    <r>
      <rPr>
        <sz val="10.5"/>
        <color theme="1"/>
        <rFont val="Calibri"/>
        <family val="2"/>
        <scheme val="minor"/>
      </rPr>
      <t xml:space="preserve"> for ≤ 55 gal</t>
    </r>
  </si>
  <si>
    <r>
      <t>UEF</t>
    </r>
    <r>
      <rPr>
        <vertAlign val="subscript"/>
        <sz val="10.5"/>
        <color theme="1"/>
        <rFont val="Calibri"/>
        <family val="2"/>
        <scheme val="minor"/>
      </rPr>
      <t>Eff</t>
    </r>
    <r>
      <rPr>
        <sz val="10.5"/>
        <color theme="1"/>
        <rFont val="Calibri"/>
        <family val="2"/>
        <scheme val="minor"/>
      </rPr>
      <t xml:space="preserve"> for &gt; 55 gal</t>
    </r>
  </si>
  <si>
    <t>AEG's Fall 2018 Benchmarking.</t>
  </si>
  <si>
    <t>Actual or Table 2 (default = 3.16)</t>
  </si>
  <si>
    <r>
      <t>2019 Hawaii Statewide Baseline Energy Use Study;</t>
    </r>
    <r>
      <rPr>
        <vertAlign val="superscript"/>
        <sz val="10.5"/>
        <rFont val="Calibri"/>
        <family val="2"/>
        <scheme val="minor"/>
      </rPr>
      <t>2</t>
    </r>
    <r>
      <rPr>
        <sz val="10.5"/>
        <rFont val="Calibri"/>
        <family val="2"/>
        <scheme val="minor"/>
      </rPr>
      <t xml:space="preserve"> default is occupancy for non-military single family homes.</t>
    </r>
  </si>
  <si>
    <r>
      <t xml:space="preserve">Outlet water temperatures typically range from 120 to 140°F. 125 </t>
    </r>
    <r>
      <rPr>
        <sz val="10.5"/>
        <rFont val="Calibri"/>
        <family val="2"/>
      </rPr>
      <t>± 5</t>
    </r>
    <r>
      <rPr>
        <sz val="10.5"/>
        <rFont val="Calibri"/>
        <family val="2"/>
        <scheme val="minor"/>
      </rPr>
      <t>°F is the temperature prescribed in Uniform Test Method for Measuring the Energy Consumption of Water Heaters.</t>
    </r>
    <r>
      <rPr>
        <vertAlign val="superscript"/>
        <sz val="10.5"/>
        <rFont val="Calibri"/>
        <family val="2"/>
        <scheme val="minor"/>
      </rPr>
      <t>3</t>
    </r>
  </si>
  <si>
    <t>See Table 3 (default = 75)</t>
  </si>
  <si>
    <r>
      <t>Hawai‘i Energy.</t>
    </r>
    <r>
      <rPr>
        <vertAlign val="superscript"/>
        <sz val="10.5"/>
        <rFont val="Calibri"/>
        <family val="2"/>
        <scheme val="minor"/>
      </rPr>
      <t>4</t>
    </r>
  </si>
  <si>
    <t>See Table 3 (default = 3,564)</t>
  </si>
  <si>
    <t>AEG's 2018 Hawaii-specific analysis of U.S. DOE OpenEI Load shapes for Residential Electric Water Heating.</t>
  </si>
  <si>
    <t>See Table 3 (default = 0.53)</t>
  </si>
  <si>
    <t>AEG's 2018 Hawaii-specific analysis of U.S. DOE OpenEI Load shapes for Residential Electric Water Heating; peak period defined as non-holiday weekdays from 5-9 pm.</t>
  </si>
  <si>
    <t>1. Assumed draw pattern is "low." Source for UEF equation: Electronic Code of Federal Regulations: &lt;https://www.ecfr.gov/current/title-10/chapter-II/subchapter-D/part-430/subpart-C/section-430.32&gt;.</t>
  </si>
  <si>
    <t>2. Source for occupancy: 2019 Hawaii Statewide Baseline Energy Use Study, Prepared for Hawaii Public Utilities Commission, Prepared by Applied Energy Group, 2020. (Responses to Question 71 of the Residential Phone / Audit Survey.)</t>
  </si>
  <si>
    <t xml:space="preserve">3. Source for Tout: Electronic Code of Federal Regulations, Appendix E to Subpart B of Part 430 &lt;https://www.ecfr.gov/current/title-10/chapter-II/subchapter-D/part-430/subpart-B&gt;. </t>
  </si>
  <si>
    <t xml:space="preserve">4. Hawai‘i Energy Solar Water Heating Program Handbook, Table 2. </t>
  </si>
  <si>
    <t>Table 2. Average Occupancy in Homes</t>
  </si>
  <si>
    <r>
      <t>Table 3. EFLH, CF, and T</t>
    </r>
    <r>
      <rPr>
        <b/>
        <vertAlign val="subscript"/>
        <sz val="11"/>
        <color theme="1"/>
        <rFont val="Calibri"/>
        <family val="2"/>
        <scheme val="minor"/>
      </rPr>
      <t>in</t>
    </r>
  </si>
  <si>
    <r>
      <t>T</t>
    </r>
    <r>
      <rPr>
        <vertAlign val="subscript"/>
        <sz val="10.5"/>
        <color theme="1"/>
        <rFont val="Calibri"/>
        <family val="2"/>
        <scheme val="minor"/>
      </rPr>
      <t>in</t>
    </r>
    <r>
      <rPr>
        <sz val="10.5"/>
        <color theme="1"/>
        <rFont val="Calibri"/>
        <family val="2"/>
        <scheme val="minor"/>
      </rPr>
      <t xml:space="preserve"> </t>
    </r>
  </si>
  <si>
    <r>
      <t xml:space="preserve">Residential Heat Pump Water Heater, </t>
    </r>
    <r>
      <rPr>
        <sz val="11"/>
        <color theme="1"/>
        <rFont val="Calibri"/>
        <family val="2"/>
      </rPr>
      <t>≤ 55 gal</t>
    </r>
  </si>
  <si>
    <r>
      <t xml:space="preserve">Residential Heat Pump Water Heater, </t>
    </r>
    <r>
      <rPr>
        <sz val="11"/>
        <color theme="1"/>
        <rFont val="Calibri"/>
        <family val="2"/>
      </rPr>
      <t>&gt; 55 gal</t>
    </r>
  </si>
  <si>
    <t>AEG's 2020 Analysis File titled "WHF SAF and HPWH PY20 Updates."</t>
  </si>
  <si>
    <t>AEG's 2018 analysis of U.S. DOE OpenEI Load shapes for Residential Electric Water Heating. Used B10 Benchmark, Base Load prototype for IECC Zone 1A and Hawai‘i weather stations (Keahole-Kona.Intl.AP, Honolulu.Intl.AP, Kahului.AP). Prototype data available here: &lt;https://openei.org/doe-opendata/dataset/commercial-and-residential-hourly-load-profiles-for-all-tmy3-locations-in-the-united-states&gt;.</t>
  </si>
  <si>
    <t>2019 Hawaii Statewide Baseline Energy Use Study, Appendices, Prepared for Hawaii Public Utilities Commission, Prepared by Applied Energy Group, DRAFT, in progress. (Responses to Question 71 of the Residential Phone /Audit Survey.)</t>
  </si>
  <si>
    <t>Electronic Code of Federal Regulations: Title 10: Energy, Part 430 - Energy Conservation Program for Consumer Products. Subpart C - Energy and Water Conservation Standards. Section 6d.  &lt;https://www.ecfr.gov/current/title-10/chapter-II/subchapter-D/part-430/subpart-C/section-430.32&gt;.</t>
  </si>
  <si>
    <t>Commercial Appliance Refrigerator</t>
  </si>
  <si>
    <t>Commercial Kitchen Freezer</t>
  </si>
  <si>
    <t>Commercial Kitchen Refrigerator</t>
  </si>
  <si>
    <t>C_Kitchen_Demand-Controlled Ventilation</t>
  </si>
  <si>
    <t>C_Kitchen_Dishwasher</t>
  </si>
  <si>
    <t>Temporary change to program eligibility</t>
  </si>
  <si>
    <t>Temporary change to program eligibility; modifications to the calculator to prevent use for custom chiller projects</t>
  </si>
  <si>
    <t>Expansion of measure to include larger capacity systems</t>
  </si>
  <si>
    <t>Addition of new and existing measures and inclusion of several types of building stretch codes</t>
  </si>
  <si>
    <t>Designation of measure as "inactive"</t>
  </si>
  <si>
    <t>Removal of TRM entry since Peer program has been discontinued</t>
  </si>
  <si>
    <t>Update of TOC to include new and modified content for PY22 TRM</t>
  </si>
  <si>
    <t>Update of Signature sheet for PY22 TRM</t>
  </si>
  <si>
    <t>Update of Issues Log for PY22 TRM</t>
  </si>
  <si>
    <t>Revised in PY22 TRM v1.0</t>
  </si>
  <si>
    <t>Commercial Kitchen Demand-Controlled Ventilation</t>
  </si>
  <si>
    <t>Commercial AC and Heat Pump and AC and Heat Pump Worksheet</t>
  </si>
  <si>
    <t>Commercial Chiller and Chiller Worksheet</t>
  </si>
  <si>
    <t>Commercial LED Downlight Retrofit</t>
  </si>
  <si>
    <t>Commercial Heat Pump Water Heater</t>
  </si>
  <si>
    <t>Residential Ceiling Fan</t>
  </si>
  <si>
    <t>Residential Smart Thermostat</t>
  </si>
  <si>
    <t>Residential Heat Pump Water Heater</t>
  </si>
  <si>
    <t>COMMERCIAL: Dishwasher</t>
  </si>
  <si>
    <t xml:space="preserve">Added in Winter 2021-2022 for PY22 TRM. </t>
  </si>
  <si>
    <t>This measure relates to installing a new commercial dishwasher that meets the ENERGY STAR efficiency standards. ENERGY STAR dishwashers use waste air heat recovery, drain heat recovery, rinse water re-use, double-walled insulated construction, high-efficiency anti-clogging nozzles, continuous filtering, and efficient booster heating. This measure applies to five commercial dishwasher types: under-counter, stationary single tank door, single tank conveyor, multi-tank conveyor, and pot, pan, utensil dishwashers. It does not apply to flight machines that are custom-built continuous conveyor machines designed for large institutions. The measure does not apply to residential dishwashers operating in commercial buildings.</t>
  </si>
  <si>
    <t>This measure can involve replacing an existing dishwasher at the end of its useful life or installing a new dishwasher in a new or existing building. The project documentation must capture the type of fuel used for water heating and booster heating (e.g., electricity, natural gas, propane, solar) to determine energy-saving estimates. An exception to this requirement is when program delivery is through the midstream approach and the customer's water heating type is unknown.</t>
  </si>
  <si>
    <t>One dishwasher</t>
  </si>
  <si>
    <t xml:space="preserve">The baseline equipment is a commercial dishwasher that is not ENERGY STAR certified. </t>
  </si>
  <si>
    <t>The efficient equipment must be a commercial dishwasher that meets the minimum ENERGY STAR Version 3.0 efficiency standards.</t>
  </si>
  <si>
    <t xml:space="preserve">Where: </t>
  </si>
  <si>
    <t>Baseline dishwasher annual energy use</t>
  </si>
  <si>
    <t>ENERGY STAR Commercial Kitchen Equipment Savings Calculator</t>
  </si>
  <si>
    <r>
      <t>E</t>
    </r>
    <r>
      <rPr>
        <vertAlign val="subscript"/>
        <sz val="10.5"/>
        <color theme="1"/>
        <rFont val="Calibri"/>
        <family val="2"/>
        <scheme val="minor"/>
      </rPr>
      <t>EnergyStar</t>
    </r>
  </si>
  <si>
    <t>ENERGY STAR equipment annual energy use</t>
  </si>
  <si>
    <r>
      <t>E</t>
    </r>
    <r>
      <rPr>
        <vertAlign val="subscript"/>
        <sz val="10.5"/>
        <color theme="1"/>
        <rFont val="Calibri"/>
        <family val="2"/>
        <scheme val="minor"/>
      </rPr>
      <t>waterheater base</t>
    </r>
  </si>
  <si>
    <t>Water heater annual energy use due to baseline dishwasher</t>
  </si>
  <si>
    <r>
      <t>E</t>
    </r>
    <r>
      <rPr>
        <vertAlign val="subscript"/>
        <sz val="10.5"/>
        <color theme="1"/>
        <rFont val="Calibri"/>
        <family val="2"/>
        <scheme val="minor"/>
      </rPr>
      <t>waterheater EnergyStar</t>
    </r>
  </si>
  <si>
    <t>Water heater annual energy use due to ENERGY STAR dishwasher</t>
  </si>
  <si>
    <r>
      <t>E</t>
    </r>
    <r>
      <rPr>
        <vertAlign val="subscript"/>
        <sz val="10.5"/>
        <color theme="1"/>
        <rFont val="Calibri"/>
        <family val="2"/>
        <scheme val="minor"/>
      </rPr>
      <t>boosterheater base</t>
    </r>
  </si>
  <si>
    <t>Booster heater annual energy use due to baseline dishwasher</t>
  </si>
  <si>
    <t>Booster heater equipment annual energy use due to ENERGY STAR dishwasher</t>
  </si>
  <si>
    <r>
      <t>E</t>
    </r>
    <r>
      <rPr>
        <vertAlign val="subscript"/>
        <sz val="10.5"/>
        <color theme="1"/>
        <rFont val="Calibri"/>
        <family val="2"/>
        <scheme val="minor"/>
      </rPr>
      <t>idledraw base</t>
    </r>
  </si>
  <si>
    <t>Baseline dishwasher idle draw annual energy use</t>
  </si>
  <si>
    <r>
      <t>E</t>
    </r>
    <r>
      <rPr>
        <vertAlign val="subscript"/>
        <sz val="10.5"/>
        <color theme="1"/>
        <rFont val="Calibri"/>
        <family val="2"/>
        <scheme val="minor"/>
      </rPr>
      <t>idledraw EnergyStar</t>
    </r>
  </si>
  <si>
    <t>ENERGY STAR dishwasher idle draw annual energy use</t>
  </si>
  <si>
    <r>
      <t>WaterUse</t>
    </r>
    <r>
      <rPr>
        <vertAlign val="subscript"/>
        <sz val="10.5"/>
        <color theme="1"/>
        <rFont val="Calibri"/>
        <family val="2"/>
        <scheme val="minor"/>
      </rPr>
      <t>base</t>
    </r>
  </si>
  <si>
    <t>Water use per rack of baseline dishwasher</t>
  </si>
  <si>
    <t>gallons/
rack</t>
  </si>
  <si>
    <t>Water use per rack of ENERGY STAR dishwasher</t>
  </si>
  <si>
    <t>RPD</t>
  </si>
  <si>
    <t>Racks washed per day</t>
  </si>
  <si>
    <t>California Technical Forum. 2022. California Electronic Technical Reference Material (eTRM) and Engineering Judgement.</t>
  </si>
  <si>
    <t>Annual days of dishwasher operation</t>
  </si>
  <si>
    <t xml:space="preserve">California Technical Forum. 2022. California Electronic Technical Reference Material (eTRM).  </t>
  </si>
  <si>
    <r>
      <t>ΔT</t>
    </r>
    <r>
      <rPr>
        <vertAlign val="subscript"/>
        <sz val="10.5"/>
        <color theme="1"/>
        <rFont val="Calibri"/>
        <family val="2"/>
      </rPr>
      <t>waterheater</t>
    </r>
  </si>
  <si>
    <t>Inlet water temperature increase for  water heater</t>
  </si>
  <si>
    <r>
      <rPr>
        <sz val="10.5"/>
        <color theme="1"/>
        <rFont val="Calibri"/>
        <family val="2"/>
      </rPr>
      <t>°</t>
    </r>
    <r>
      <rPr>
        <sz val="10.5"/>
        <color theme="1"/>
        <rFont val="Calibri"/>
        <family val="2"/>
        <scheme val="minor"/>
      </rPr>
      <t>F</t>
    </r>
  </si>
  <si>
    <t>Increase of inlet water temperature from the average groundwater temperature, which is 75°F in Hawaii, to 140°F. Consistent with other water heater measures in the HI TRM.</t>
  </si>
  <si>
    <r>
      <t>ΔT</t>
    </r>
    <r>
      <rPr>
        <vertAlign val="subscript"/>
        <sz val="10.5"/>
        <color theme="1"/>
        <rFont val="Calibri"/>
        <family val="2"/>
      </rPr>
      <t>boosterheater</t>
    </r>
  </si>
  <si>
    <t>Inlet water temperature increase for  booster heater</t>
  </si>
  <si>
    <r>
      <t>C</t>
    </r>
    <r>
      <rPr>
        <vertAlign val="subscript"/>
        <sz val="10.5"/>
        <color theme="1"/>
        <rFont val="Calibri"/>
        <family val="2"/>
        <scheme val="minor"/>
      </rPr>
      <t>P</t>
    </r>
  </si>
  <si>
    <t xml:space="preserve">Specific heat of water </t>
  </si>
  <si>
    <r>
      <t>Btu/lb/</t>
    </r>
    <r>
      <rPr>
        <sz val="10.5"/>
        <color theme="1"/>
        <rFont val="Calibri"/>
        <family val="2"/>
      </rPr>
      <t>°</t>
    </r>
    <r>
      <rPr>
        <sz val="10.5"/>
        <color theme="1"/>
        <rFont val="Calibri"/>
        <family val="2"/>
        <scheme val="minor"/>
      </rPr>
      <t>F</t>
    </r>
  </si>
  <si>
    <t>lb/gallon</t>
  </si>
  <si>
    <t>Average of density of water at 75°F (8.3 bs/gallon), 140°F (8.2 lb/gal) and 180°F (8.1 lb/gallon)</t>
  </si>
  <si>
    <t>DAILY HRS</t>
  </si>
  <si>
    <t>Average daily operating hours of dishwasher</t>
  </si>
  <si>
    <r>
      <t>Eff</t>
    </r>
    <r>
      <rPr>
        <vertAlign val="subscript"/>
        <sz val="10.5"/>
        <color theme="1"/>
        <rFont val="Calibri"/>
        <family val="2"/>
        <scheme val="minor"/>
      </rPr>
      <t>waterheater</t>
    </r>
  </si>
  <si>
    <t>Efficiency of the water heater</t>
  </si>
  <si>
    <t>electric: 98
gas: 80</t>
  </si>
  <si>
    <r>
      <t>Eff</t>
    </r>
    <r>
      <rPr>
        <vertAlign val="subscript"/>
        <sz val="10.5"/>
        <color theme="1"/>
        <rFont val="Calibri"/>
        <family val="2"/>
        <scheme val="minor"/>
      </rPr>
      <t>boosterheater</t>
    </r>
  </si>
  <si>
    <t>Efficiency of the booster heater</t>
  </si>
  <si>
    <t>kWh to Btu conversion factor</t>
  </si>
  <si>
    <t>kWh/Btu</t>
  </si>
  <si>
    <r>
      <t>IdleDraw</t>
    </r>
    <r>
      <rPr>
        <vertAlign val="subscript"/>
        <sz val="10.5"/>
        <color theme="1"/>
        <rFont val="Calibri"/>
        <family val="2"/>
        <scheme val="minor"/>
      </rPr>
      <t>base</t>
    </r>
  </si>
  <si>
    <t>Idle power draw of baseline dishwasher</t>
  </si>
  <si>
    <t>Idle power draw of ENERGY STAR dishwasher</t>
  </si>
  <si>
    <r>
      <t>WashTime</t>
    </r>
    <r>
      <rPr>
        <vertAlign val="subscript"/>
        <sz val="10.5"/>
        <color theme="1"/>
        <rFont val="Calibri"/>
        <family val="2"/>
        <scheme val="minor"/>
      </rPr>
      <t>base</t>
    </r>
  </si>
  <si>
    <t>Typical wash time of baseline dishwasher</t>
  </si>
  <si>
    <t>minutes</t>
  </si>
  <si>
    <t>Typical wash time of ENERGY STAR dishwasher</t>
  </si>
  <si>
    <t>ANNUAL HRS</t>
  </si>
  <si>
    <t>Annual operating hours of dishwasher</t>
  </si>
  <si>
    <t>DAILY HRS * DAYS = (12*365)</t>
  </si>
  <si>
    <t>PY22 TRM Commercial Kitchen Dishwasher Analysis File, "EUL Benchmarking" sheet.</t>
  </si>
  <si>
    <t>Table 1. Water Use Per Rack, by Dishwasher Type</t>
  </si>
  <si>
    <t>Dishwasher Type</t>
  </si>
  <si>
    <t>Baseline
Gallons/Rack</t>
  </si>
  <si>
    <t>ENERGY STAR
Gallons/Rack</t>
  </si>
  <si>
    <t>Low
Temperature</t>
  </si>
  <si>
    <t>Under Counter</t>
  </si>
  <si>
    <t>Stationary Single Tank Door</t>
  </si>
  <si>
    <t>Single Tank Conveyor</t>
  </si>
  <si>
    <t>Multi Tank Conveyor</t>
  </si>
  <si>
    <t>High Temperature</t>
  </si>
  <si>
    <t xml:space="preserve">Pot, Pan, Utensil </t>
  </si>
  <si>
    <t>Table 2. Racks per Day, by Dishwasher Type</t>
  </si>
  <si>
    <t>Racks Per Day</t>
  </si>
  <si>
    <t>Table 3. Idle Power Draw, by Dishwasher Type</t>
  </si>
  <si>
    <t>Baseline
kW</t>
  </si>
  <si>
    <t>ENERGY STAR
kW</t>
  </si>
  <si>
    <t>Table 4. Typical Wash Time, by Dishwasher Type</t>
  </si>
  <si>
    <t>Baseline
minutes</t>
  </si>
  <si>
    <t>ENERGY STAR
minutes</t>
  </si>
  <si>
    <t>Table 5. Effective Useful Life, by Dishwasher Type</t>
  </si>
  <si>
    <t>Table 6. Summary Savings for Commercial Dishwasher, Electric Water Heating and Electric Booster Water Heating</t>
  </si>
  <si>
    <r>
      <t>E</t>
    </r>
    <r>
      <rPr>
        <b/>
        <vertAlign val="subscript"/>
        <sz val="11"/>
        <color theme="1"/>
        <rFont val="Calibri"/>
        <family val="2"/>
        <scheme val="minor"/>
      </rPr>
      <t>base</t>
    </r>
    <r>
      <rPr>
        <b/>
        <sz val="11"/>
        <color theme="1"/>
        <rFont val="Calibri"/>
        <family val="2"/>
        <scheme val="minor"/>
      </rPr>
      <t xml:space="preserve">
(kWh/yr)</t>
    </r>
  </si>
  <si>
    <r>
      <t>E</t>
    </r>
    <r>
      <rPr>
        <b/>
        <vertAlign val="subscript"/>
        <sz val="11"/>
        <color theme="1"/>
        <rFont val="Calibri"/>
        <family val="2"/>
        <scheme val="minor"/>
      </rPr>
      <t>EnergyStar</t>
    </r>
    <r>
      <rPr>
        <b/>
        <sz val="11"/>
        <color theme="1"/>
        <rFont val="Calibri"/>
        <family val="2"/>
        <scheme val="minor"/>
      </rPr>
      <t xml:space="preserve">
(kWh/yr)</t>
    </r>
  </si>
  <si>
    <t>Energy Savings (kWh/yr)</t>
  </si>
  <si>
    <r>
      <t>Low
Temperature</t>
    </r>
    <r>
      <rPr>
        <b/>
        <vertAlign val="superscript"/>
        <sz val="11"/>
        <color theme="1"/>
        <rFont val="Calibri"/>
        <family val="2"/>
        <scheme val="minor"/>
      </rPr>
      <t>1</t>
    </r>
  </si>
  <si>
    <t xml:space="preserve">1. Low temperature dishwashers do not require booster heaters. </t>
  </si>
  <si>
    <t>Table 7. Summary Savings for Commercial Dishwasher, Electric Water Heating and Natural Gas Booster Water Heating</t>
  </si>
  <si>
    <t>Table 8. Summary Savings for Commercial Dishwasher, Natural Gas Water Heating and Electric Booster Water Heating</t>
  </si>
  <si>
    <t>Table 9. Summary Savings for Commercial Dishwasher, Natural Gas Water Heating and Natural Gas Booster Water Heating</t>
  </si>
  <si>
    <t>Table 10. Water Heating Fuel in Restaurants In Hawaii</t>
  </si>
  <si>
    <t>Fuel Used for Water Heating</t>
  </si>
  <si>
    <t>Share</t>
  </si>
  <si>
    <r>
      <t>Electric</t>
    </r>
    <r>
      <rPr>
        <sz val="11"/>
        <color theme="1"/>
        <rFont val="Calibri"/>
        <family val="2"/>
        <scheme val="minor"/>
      </rPr>
      <t>, including Solar Thermal with Electric Backup</t>
    </r>
  </si>
  <si>
    <t>Natural Gas, Synthetic Gas, or Propane</t>
  </si>
  <si>
    <t>Note: These shares are used to calculate blended savings values for use when the water heating fuel type is unknown. The blended savings calculation approach assumes that these share apply both to primary water heating fuel type and to booster heating fuel type.</t>
  </si>
  <si>
    <t>Data Source: These market shares were used by AEG to develop the restaurant market profiles for the 2020 Hawaii Statewide Market Potential Study. They were derived from water heating data for restaurants obtained during the 2019 Hawaii Statewide Baseline Energy Use Study.</t>
  </si>
  <si>
    <t>Dishwasher Temperature:</t>
  </si>
  <si>
    <r>
      <t xml:space="preserve">Dishwasher Type: 
</t>
    </r>
    <r>
      <rPr>
        <i/>
        <sz val="11"/>
        <color theme="1"/>
        <rFont val="Calibri"/>
        <family val="2"/>
        <scheme val="minor"/>
      </rPr>
      <t>Note: Pot, Pan and Utensil dishwasher is always High Temperature dishwasher.</t>
    </r>
  </si>
  <si>
    <r>
      <t xml:space="preserve">Primary Water Heating Type:
</t>
    </r>
    <r>
      <rPr>
        <i/>
        <sz val="11"/>
        <color theme="1"/>
        <rFont val="Calibri"/>
        <family val="2"/>
        <scheme val="minor"/>
      </rPr>
      <t xml:space="preserve">Note: If kitchen uses propane for water heating, please select natural gas water heating. </t>
    </r>
  </si>
  <si>
    <t>Unknown Water Heating</t>
  </si>
  <si>
    <r>
      <t xml:space="preserve">Booster Water Heating Type:
</t>
    </r>
    <r>
      <rPr>
        <i/>
        <sz val="11"/>
        <color theme="1"/>
        <rFont val="Calibri"/>
        <family val="2"/>
        <scheme val="minor"/>
      </rPr>
      <t>Note: Must select booster heating for high temperature dishwasher. 
If kitchen uses propane for booster water heating, please select natural gas booster heating. 
If primary water heating type is unknown, please select unknown booster heating as well.</t>
    </r>
    <r>
      <rPr>
        <sz val="11"/>
        <color theme="1"/>
        <rFont val="Calibri"/>
        <family val="2"/>
        <scheme val="minor"/>
      </rPr>
      <t xml:space="preserve">
</t>
    </r>
  </si>
  <si>
    <t>Unknown Booster Heating</t>
  </si>
  <si>
    <t>Low Temperature Under Counter, Electric Water Heating</t>
  </si>
  <si>
    <t>Low Temperature Stationary Single Tank Door, Electric Water Heating</t>
  </si>
  <si>
    <t>Low Temperature Single Tank Conveyor, Electric Water Heating</t>
  </si>
  <si>
    <t>Low Temperature Multi Tank Conveyor, Electric Water Heating</t>
  </si>
  <si>
    <t>Low Temperature Under Counter, Natural Gas Water Heating</t>
  </si>
  <si>
    <t>Low Temperature Stationary Single Tank Door, Natural Gas Water Heating</t>
  </si>
  <si>
    <t>Low Temperature Single Tank Conveyor, Natural Gas Water Heating</t>
  </si>
  <si>
    <t>Low Temperature Multi Tank Conveyor, Natural Gas Water Heating</t>
  </si>
  <si>
    <t>Low Temperature Under Counter, Unknown Water Heating</t>
  </si>
  <si>
    <t>Low Temperature Stationary Single Tank Door, Unknown Water Heating</t>
  </si>
  <si>
    <t>Low Temperature Single Tank Conveyor, Unknown Water Heating</t>
  </si>
  <si>
    <t>Low Temperature Multi Tank Conveyor, Unknown Water Heating</t>
  </si>
  <si>
    <t>High Temperature Under Counter, Electric Water Heating and Electric Booster Heating</t>
  </si>
  <si>
    <t>High Temperature Stationary Single Tank Door, Electric Water Heating and Electric Booster Heating</t>
  </si>
  <si>
    <t>High Temperature Single Tank Conveyor, Electric Water Heating and Electric Booster Heating</t>
  </si>
  <si>
    <t>High Temperature Multi Tank Conveyor, Electric Water Heating and Electric Booster Heating</t>
  </si>
  <si>
    <t>High Temperature Under Counter, Electric Water Heating and Natural Gas Booster Heating</t>
  </si>
  <si>
    <t>High Temperature Stationary Single Tank Door, Electric Water Heating and Natural Gas Booster Heating</t>
  </si>
  <si>
    <t>High Temperature Single Tank Conveyor, Electric Water Heating and Natural Gas Booster Heating</t>
  </si>
  <si>
    <t>High Temperature Multi Tank Conveyor, Electric Water Heating and Natural Gas Booster Heating</t>
  </si>
  <si>
    <t>High Temperature Under Counter, Natural Gas Water Heating and Electric Booster Heating</t>
  </si>
  <si>
    <t>High Temperature Stationary Single Tank Door, Natural Gas Water Heating and Electric Booster Heating</t>
  </si>
  <si>
    <t>High Temperature Single Tank Conveyor, Natural Gas Water Heating and Electric Booster Heating</t>
  </si>
  <si>
    <t>High Temperature Multi Tank Conveyor, Natural Gas Water Heating and Electric Booster Heating</t>
  </si>
  <si>
    <t>High Temperature Under Counter, Natural Gas Water Heating and Natural Gas Booster Heating</t>
  </si>
  <si>
    <t>High Temperature Stationary Single Tank Door, Natural Gas Water Heating and Natural Gas Booster Heating</t>
  </si>
  <si>
    <t>High Temperature Single Tank Conveyor, Natural Gas Water Heating and Natural Gas Booster Heating</t>
  </si>
  <si>
    <t>High Temperature Multi Tank Conveyor, Natural Gas Water Heating and Natural Gas Booster Heating</t>
  </si>
  <si>
    <t>High Temperature Under Counter, Unknown Water Heating and Unknown Booster Heating</t>
  </si>
  <si>
    <t>High Temperature Stationary Single Tank Door, Unknown Water Heating and Unknown Booster Heating</t>
  </si>
  <si>
    <t>High Temperature Single Tank Conveyor, Unknown Water Heating and Unknown Booster Heating</t>
  </si>
  <si>
    <t>High Temperature Multi Tank Conveyor, Unknown Water Heating and Unknown Booster Heating</t>
  </si>
  <si>
    <t>Deemed Savings Tables - Blended Water Heater Type (see Table 10 for Shares)</t>
  </si>
  <si>
    <t>Low Temperature Under Counter, Blended</t>
  </si>
  <si>
    <t>Low Temperature Stationary Single Tank Door, Blended</t>
  </si>
  <si>
    <t>Low Temperature Single Tank Conveyor, Blended</t>
  </si>
  <si>
    <t>Low Temperature Multi Tank Conveyor, Blended</t>
  </si>
  <si>
    <t>High Temperature Under Counter, Blended</t>
  </si>
  <si>
    <t>High Temperature Stationary Single Tank Door, Blended</t>
  </si>
  <si>
    <t>High Temperature Single Tank Conveyor, Blended</t>
  </si>
  <si>
    <t>High Temperature Multi Tank Conveyor, Blended</t>
  </si>
  <si>
    <t>AEG's analysis file titled: "PY22 TRM Commercial Kitchen Dishwasher Analysis File."</t>
  </si>
  <si>
    <t>ENERGY STAR. 2021. "ENERGY STAR® Program Requirements Product Specification for Commercial Dishwashers  - Eligibility Criteria Version 3.0." Effective on June 27, 2021. URL: https://www.energystar.gov/sites/default/files/Commercial%20Dishwashers%20Final%20Version%203.0%20Specification.pdf.</t>
  </si>
  <si>
    <t xml:space="preserve">ENERGY STAR. 2021. "ENERGY STAR Commercial Kitchen Equipment Savings Calculator" , URL: https://cmadmin.energystar.gov/sites/default/files/asset/document/CFS_calculator_03-02-2021.xlsx. </t>
  </si>
  <si>
    <t xml:space="preserve">California Technical Forum. 2022. California Electronic Technical Reference Material (eTRM). "Door-Type Dishwasher, Commercial. Characterization." Effective on November 7, 2021. URL: https://www.caetrm.com/measure/SWFS002/02/. </t>
  </si>
  <si>
    <t xml:space="preserve">California Technical Forum. 2022. California Electronic Technical Reference Material (eTRM). "Undercounter Dishwasher, Commercial. Characterization." Effective on  November 7, 2021. URL: https://www.caetrm.com/measure/SWFS018/03/. </t>
  </si>
  <si>
    <t xml:space="preserve">Applied Energy Group. 2019 Hawaii Statewide Baseline Study Energy Use Study. Prepared for the Hawaii Public Utilities Commission. April 27, 2020. Analysis of raw survey data related to water heating in restaurants. </t>
  </si>
  <si>
    <t>Applied Energy Group. State of Hawaii Market Potential Study. Prepared for the Hawaii Public Utilities Commission. July 27, 2020. Shares of water heating fuel type used in market profiles for restaurants.</t>
  </si>
  <si>
    <t>See 
Tables 6-9</t>
  </si>
  <si>
    <r>
      <rPr>
        <sz val="9"/>
        <color theme="1"/>
        <rFont val="Calibri"/>
        <family val="2"/>
        <scheme val="minor"/>
      </rPr>
      <t>IdleDraw</t>
    </r>
    <r>
      <rPr>
        <vertAlign val="subscript"/>
        <sz val="8.5"/>
        <color theme="1"/>
        <rFont val="Calibri"/>
        <family val="2"/>
        <scheme val="minor"/>
      </rPr>
      <t>EnergyStar</t>
    </r>
  </si>
  <si>
    <r>
      <rPr>
        <sz val="10.5"/>
        <color theme="1"/>
        <rFont val="Calibri"/>
        <family val="2"/>
        <scheme val="minor"/>
      </rPr>
      <t>E</t>
    </r>
    <r>
      <rPr>
        <vertAlign val="subscript"/>
        <sz val="8.5"/>
        <color theme="1"/>
        <rFont val="Calibri"/>
        <family val="2"/>
        <scheme val="minor"/>
      </rPr>
      <t>boosterheater EnergyStar</t>
    </r>
  </si>
  <si>
    <r>
      <rPr>
        <sz val="10.5"/>
        <color theme="1"/>
        <rFont val="Calibri"/>
        <family val="2"/>
        <scheme val="minor"/>
      </rPr>
      <t>WaterUse</t>
    </r>
    <r>
      <rPr>
        <vertAlign val="subscript"/>
        <sz val="8.5"/>
        <color theme="1"/>
        <rFont val="Calibri"/>
        <family val="2"/>
        <scheme val="minor"/>
      </rPr>
      <t>EnergyStar</t>
    </r>
  </si>
  <si>
    <r>
      <rPr>
        <sz val="10.5"/>
        <color theme="1"/>
        <rFont val="Calibri"/>
        <family val="2"/>
        <scheme val="minor"/>
      </rPr>
      <t>WashTime</t>
    </r>
    <r>
      <rPr>
        <vertAlign val="subscript"/>
        <sz val="8.5"/>
        <color theme="1"/>
        <rFont val="Calibri"/>
        <family val="2"/>
        <scheme val="minor"/>
      </rPr>
      <t>EnergyStar</t>
    </r>
  </si>
  <si>
    <t>PY22 TRM "Equipment Operating Hours and Coincidence Factors" sheet. CF is 0.74 for restaurant water heating which can be used as a proxy for commercial kitchen dishwasher end-use load.</t>
  </si>
  <si>
    <t>racks/ day</t>
  </si>
  <si>
    <t>ENERGY STAR Dishwasher (See C_Kitchen_Dishwasher, Table 5)</t>
  </si>
  <si>
    <t>Low Temperature</t>
  </si>
  <si>
    <t>High Temperature Pot Pan and Utensil, Electric Water Heating and Electric Booster Heating</t>
  </si>
  <si>
    <t>High Temperature Pot Pan and Utensil, Electric Water Heating and Natural Gas Booster Heating</t>
  </si>
  <si>
    <t>High Temperature Pot Pan and Utensil, Natural Gas Water Heating and Electric Booster Heating</t>
  </si>
  <si>
    <t>High Temperature Pot Pan and Utensil, Natural Gas Water Heating and Natural Gas Booster Heating</t>
  </si>
  <si>
    <t>High Temperature Pot Pan and Utensil, Unknown Water Heating and Unknown Booster Heating</t>
  </si>
  <si>
    <t>High Temperature Pot Pan and Utensil, Blended</t>
  </si>
  <si>
    <t>COMMERCIAL: LED Downlight Retrofit</t>
  </si>
  <si>
    <t>One downlight retrofit.</t>
  </si>
  <si>
    <t>The high efficiency case is an LED Downlight Retrofit that is certified to meet ENERGY STAR Version 2.2 specifications.</t>
  </si>
  <si>
    <t>Replace on Burnout Baseline</t>
  </si>
  <si>
    <t>Early Replacement Baseline</t>
  </si>
  <si>
    <r>
      <t>kW</t>
    </r>
    <r>
      <rPr>
        <vertAlign val="subscript"/>
        <sz val="10.5"/>
        <color theme="1"/>
        <rFont val="Calibri"/>
        <family val="2"/>
        <scheme val="minor"/>
      </rPr>
      <t>base,ROB</t>
    </r>
  </si>
  <si>
    <t>Wattage of the ROB baseline lamp</t>
  </si>
  <si>
    <t>Assumes 800 lumens [1] and 45 lm/W [2], rounded to nearest Watt.</t>
  </si>
  <si>
    <t>Wattage of the early replacement 1st baseline lamp</t>
  </si>
  <si>
    <t>Assumes 800 lumens [1] and a blend of 34% incandescent @ 9 lm/W, 33% halogen @ 13 lm/W, and 33% CFL @ 47 lm/W, rounded to nearest Watt. Luminous efficacies are based on data for a sample of lamps from various sources.</t>
  </si>
  <si>
    <t>Wattage of the early replacement 2nd baseline lamp</t>
  </si>
  <si>
    <t>Wattage of the ENERGY STAR LED Downlight Retrofit</t>
  </si>
  <si>
    <t>Assumes 800 lumens and 73 lm/W [3], rounded to nearest Watt.</t>
  </si>
  <si>
    <t xml:space="preserve">AEG's Fall 2018 Benchmarking for general lighting measures. </t>
  </si>
  <si>
    <t>AEG's analysis of DOE's OpenEI load shapes using Hawaii-specific prototypes, weather data, and peak demand period, adjusted to specific lighting types.</t>
  </si>
  <si>
    <t>DEER interactive effect factors for San Diego (CA's southern-most latitude), adjusted to Hawaii's weather zone using LBNL simulation results [4,5]. Assumes most, if not all, of the downlight retrofits will be installed indoors.</t>
  </si>
  <si>
    <t>DEER hours of use for San Diego; no occupancy sensor [4].</t>
  </si>
  <si>
    <t>Remaining useful life of 1st baseline lamp in early replacement scenario</t>
  </si>
  <si>
    <t>Derived by dividing the weighted EUL of the blended lamp by 3 and then rounding up to a minimum RUL = 1 yr. (See Table 6 in the C_Light_General sheet for EULs.)</t>
  </si>
  <si>
    <r>
      <t>Calculated by dividing rated lamp life of 50,000 hour [6] by HOU</t>
    </r>
    <r>
      <rPr>
        <vertAlign val="subscript"/>
        <sz val="10.5"/>
        <color theme="1"/>
        <rFont val="Calibri"/>
        <family val="2"/>
        <scheme val="minor"/>
      </rPr>
      <t>year</t>
    </r>
    <r>
      <rPr>
        <sz val="10.5"/>
        <color theme="1"/>
        <rFont val="Calibri"/>
        <family val="2"/>
        <scheme val="minor"/>
      </rPr>
      <t xml:space="preserve"> and setting upper bound EUL = 25 yr.</t>
    </r>
  </si>
  <si>
    <t>1. The median value of Total Light Output for ENERGY STAR Downlight Solid State Retrofit products is 800 lumens. Source: ENERGY STAR Product Finder, https://www.energystar.gov/productfinder/product/certified-light-fixtures/results, accessed Jan. 25, 2022.</t>
  </si>
  <si>
    <t>2. The baseline luminous efficacy of 45 lm/W is consistent with the assumption used in other GSL measures as of PY22.</t>
  </si>
  <si>
    <t>3. The median value of luminous efficacy for ENERGY STAR Downlight Solid State Retrofit products is 73 lm/W. Source: ENERGY STAR Product Finder, https://www.energystar.gov/productfinder/product/certified-light-fixtures/results, accessed Jan. 25, 2022.</t>
  </si>
  <si>
    <t>4. The DEER interactive effect factors and hours of use were developed for DEER2016 and are still applicable as of DEER2020.</t>
  </si>
  <si>
    <t>5. "Lighting/HVAC Interactions and Their Effects on Annual and Peak HVAC Requirements in Commercial Buildings," Sezgen, A. O., Y. J. Huang, Lawrence Berkeley Laboratory, ACEEE Summer Study, 1994.</t>
  </si>
  <si>
    <t>6. The median value of Light Source Life for ENERGY STAR Downlight Solid State Retrofit products is 50,000 hours. Source: ENERGY STAR Product Finder, https://www.energystar.gov/productfinder/product/certified-light-fixtures/results, accessed Jan. 25, 2022.</t>
  </si>
  <si>
    <t>Table 1. Values for Key Variables by Building Type</t>
  </si>
  <si>
    <r>
      <t>HOU</t>
    </r>
    <r>
      <rPr>
        <b/>
        <vertAlign val="subscript"/>
        <sz val="11"/>
        <color theme="1"/>
        <rFont val="Calibri"/>
        <family val="2"/>
        <scheme val="minor"/>
      </rPr>
      <t>year</t>
    </r>
  </si>
  <si>
    <r>
      <t>EUL</t>
    </r>
    <r>
      <rPr>
        <b/>
        <vertAlign val="subscript"/>
        <sz val="11"/>
        <color theme="1"/>
        <rFont val="Calibri"/>
        <family val="2"/>
        <scheme val="minor"/>
      </rPr>
      <t>EE</t>
    </r>
  </si>
  <si>
    <t>Option 1: Replace on Burnout Baseline</t>
  </si>
  <si>
    <t>ROB Deemed Savings</t>
  </si>
  <si>
    <t>ROB Semi-Prescriptive Savings Calculator (based on user input of actual light output in lumens)</t>
  </si>
  <si>
    <t>Enter light output of actual ENERGY STAR downlight retrofit product in lumens</t>
  </si>
  <si>
    <t>lumens</t>
  </si>
  <si>
    <r>
      <t xml:space="preserve">Note: Savings in </t>
    </r>
    <r>
      <rPr>
        <sz val="9"/>
        <color rgb="FF0070C0"/>
        <rFont val="Calibri"/>
        <family val="2"/>
        <scheme val="minor"/>
      </rPr>
      <t>blue</t>
    </r>
    <r>
      <rPr>
        <sz val="9"/>
        <color theme="1"/>
        <rFont val="Calibri"/>
        <family val="2"/>
        <scheme val="minor"/>
      </rPr>
      <t xml:space="preserve"> result from the sample entry above. </t>
    </r>
    <r>
      <rPr>
        <b/>
        <u/>
        <sz val="9"/>
        <color theme="1"/>
        <rFont val="Calibri"/>
        <family val="2"/>
        <scheme val="minor"/>
      </rPr>
      <t>They are for illustrative purposes only.</t>
    </r>
  </si>
  <si>
    <t>Option 2: Early Replacement Baseline</t>
  </si>
  <si>
    <t>Early Replacement Deemed Savings</t>
  </si>
  <si>
    <t>California Public Utilities Commission (CPUC), DEER2016, Interior Lighting Hours-of-Use (HOU), Peak Period Coincident Demand (CDF), and HVAC Interactive Effects (IE) for San Diego, CA, Updated May 27, 2015, available here: http://www.deeresources.com. (There were no additional updates to interior lighting HOU, CDF, and IE factors as of DEER2020.)</t>
  </si>
  <si>
    <t>ENERGY STAR Product Finder, https://www.energystar.gov/productfinder/product/certified-light-fixtures/results, accessed Jan. 25, 2022. Fixture Type: Downlight Solid State Retrofit.</t>
  </si>
  <si>
    <t>ENERGY STAR® Program Requirements Product Specification for Luminaires (Light Fixtures) Eligibility Criteria Version 2.2, finalized on Aug 15, 2019, https://www.energystar.gov/sites/default/files/Luminaires%20V2.2%20Final%20Specification.pdf.</t>
  </si>
  <si>
    <t>Maryland/Mid-Atlantic Technical Reference Manual, Version 10, May 2020, Final, page 217: Solid State Lighting (LED) Recessed Downlight Luminaire, https://neep.org/sites/default/files/media-files/trmv10.pdf.</t>
  </si>
  <si>
    <t>2019 Hawaii Statewide Baseline Energy Use Study, Prepared for Hawaii Public Utilities Commission, Prepared by Applied Energy Group, 2020, Table 4‑3: Mean Number of Interior Lamp / Fixture Counts by Lighting Type for SMB Nonresidential Establishments by Business Type.</t>
  </si>
  <si>
    <t>Web resources for typical luminous efficacy values for incandescent, halogen, and CFL products: Grainger.com, www.amazon.com, www.1000bulbs.com, www.homedepot.com, www.lightbulbs.com. Accessed February 2022.</t>
  </si>
  <si>
    <t>Downlight Retrofit (see C_Light_Downlight Retrofit, Table 1)</t>
  </si>
  <si>
    <t>For more information on the derivation of the PY22 SLF values, please refer to AEG's PY22 analysis file titled "PY22 Key Metrics - System Loss Factor - Analysis File." For background on the approach originally developed during the PY19 TRM updated, refer to the following memo: Recommendations for PY19 System Loss Factors (SLF) for Hawai‘i Energy Programs Goals and Reporting, Memorandum, Prepared by Steve Schiller, EEM team, Prepared for Ashley Norman and Dave Parsons, HPUC, January 4, 2019.</t>
  </si>
  <si>
    <t>Table 7 provides the SLF values updated for the PY22 TRM. The values were derived using the following approach:</t>
  </si>
  <si>
    <t>Obtaining data on "Losses and Unaccounted for Energy" from Hawaiian Electric Company's website &lt;https://www.hawaiianelectric.com/about-us/key-performance-metrics/power-supply-and-generation&gt;. (AEG downloaded file named "historical_02_losses.xlsx" on Jan. 7, 2022.) Note that the published losses include “…amount of energy that is lost as heat or through other means (such as theft) or used by the Company between the point where energy generated at power plants enters the grid to the point of measurement at customer’s meters.”</t>
  </si>
  <si>
    <t>Calculating average loss factors from the data in Step 1 for each island for the last five years (2017-2021).</t>
  </si>
  <si>
    <t>PY22-PY24 Avoided Capacity and Energy Cost Calculations, Version 2.1, Analysis Spreadsheet, Prepared by Kelly Parmenter, Applied Energy Group, March 10, 2022.</t>
  </si>
  <si>
    <t>Table 1 lists the annualized avoided capacity costs by county for PY22, PY23, and PY24. According to page A-9 of the 2018-06-29 HELCO 2018 Electric Utility System Cost Data Report that was submitted to the HPUC on June 29, 2018, no firm capacity generation facilities were projected to be added in the 2019-2028 planning horizon for the County of Hawaii, besides the 21.5 MW Honua biomass plant that was scheduled to begin operation in 2019. Therefore, the EEM and AEG team has assumed the avoided capacity costs for the County of Hawaii are zero ($0/kW-yr) for the purposes of the PY22-PY24 analysis, which is consistent with the analysis performed for PY19-PY21.</t>
  </si>
  <si>
    <t>There are several ways to determine avoided energy and capacity values, with perhaps the best way being an integrated resource planning approach with a capacity expansion model simulating distributed electricity resources competing against conventional generation options. Another approach is to utilize detailed information gathered from historic or projected power purchase agreements.  For the results presented here, a less rigorous approach was used in order to determine interim numbers that would only be used for and applicable to Hawai‘i Energy TRB calculations; and then only until HECO’s Integrated Grid Planning (IGP) process is able to provide values that could replace these estimates. Refer to the following memorandum and analysis spreadsheets for details on development of the avoided energy and capacity costs.</t>
  </si>
  <si>
    <t>$/kW-yr  2022$</t>
  </si>
  <si>
    <t>$/kW-yr  2023$</t>
  </si>
  <si>
    <t>$/kW-yr  2024$</t>
  </si>
  <si>
    <t>PY22</t>
  </si>
  <si>
    <t>PY23</t>
  </si>
  <si>
    <t>PY24</t>
  </si>
  <si>
    <t>Table 1 sources: Annualized values were derived from capacity costs in the following three sources using the methodology described in the PY22-PY24 Avoided Capacity and Energy Cost Calculations, Version 2.1, Analysis Spreadsheet, Prepared by Kelly Parmenter, Applied Energy Group, March 10, 2022.</t>
  </si>
  <si>
    <t>Table 2 lists the avoided energy costs by county for PY22, PY23, and PY24. The costs represent mostly fuel costs and a small share of variable O&amp;M costs.</t>
  </si>
  <si>
    <t>$/kWh-yr  2022$</t>
  </si>
  <si>
    <t>$/kWh-yr  2023$</t>
  </si>
  <si>
    <t>$/kWh-yr  2024$</t>
  </si>
  <si>
    <t>/yr</t>
  </si>
  <si>
    <t xml:space="preserve">Table 2 sources: Average annual avoided energy cost values were derived from Schedule Q monthly values for Oahu, Maui Division, and Hawaii using the last 9 months of data available as of 3/10/2022, which covers July 1, 2021 through March 1, 2022. (See https://www.hawaiianelectric.com/documents/billing_and_payment/rates/avoided_energy_cost/avoid_energy_cost_table.pdf). The escalation factor was derived based on a review of recent Schedule Q cost trends as well as a review of oil price forecasts. The EIA projects that the Brent crude oil price will increase to $132 per barrel by 2040. This equates to a 2-3% per year escalation relative to 2021/2022 costs. Since oil costs have a large influence on Schedule Q rates (particularly in the short-term), the projected escalation rate of oil costs is a reasonable proxy for the projected escalation of avoided energy costs. For more detail, refer to the PY22-PY24 Avoided Capacity and Energy Cost Calculations, Version 2.1, Analysis Spreadsheet, Prepared by Kelly Parmenter, Applied Energy Group, March 10, 2022. </t>
  </si>
  <si>
    <t xml:space="preserve">The time value of money is represented by a discount rate of 6%.  The 6% value has been the historic discount rate since 2013. (The TRMs for 2011 and 2012 don’t indicate a specific rate). The Commission may review and update this discount rate at a later date. The discount rate is used to convert all costs and benefits to a “net present value” for comparing alternative costs and benefits in the same years’ dollars. </t>
  </si>
  <si>
    <t>The cumulative NPV values can be used in the TRB calculations for measures with a single baseline. For example, the TRB calculation for a measure installed in Oahu in PY22 with a measure life of 8 years and a single baseline period could use the cumulative NPV values of $1,402/kW and $0.829/kWh from Table 3 in the calculation. Equation 1 below shows the algorithm for calculating the TRB for a single baseline measure.</t>
  </si>
  <si>
    <t>Table 3. Total Resource Benefit Calculation for PY22 (Do not use for PY23 or PY24)</t>
  </si>
  <si>
    <t>Table 4. Total Resource Benefit Calculation for PY23 (Do not use for PY22 or PY24)</t>
  </si>
  <si>
    <t>Table 5. Total Resource Benefit Calculation for PY24 (Do not use for PY22 or PY23)</t>
  </si>
  <si>
    <t>Table 2: Equivalent Full Load Hours and Coincident Factors for Commercial Cooling in Hawaii</t>
  </si>
  <si>
    <t>Commercial VRF and VRF Worksheet</t>
  </si>
  <si>
    <t>Removal of Peer program line item from NTG table</t>
  </si>
  <si>
    <t>Residential Lighting: LED</t>
  </si>
  <si>
    <t>Modification to program criteria</t>
  </si>
  <si>
    <t>This measure is applicable to both residential and commercial programs, provided the LEDs are for residential end-use applications.</t>
  </si>
  <si>
    <r>
      <t xml:space="preserve">Updated in Winter 2021-2022 for PY22 TRM to remove temporarily the requirement for the efficient case EER to exceed the ASHRAE minimum efficiency by 10% for air-source/air-cooled VRF systems with capacities ≥ 65,000 Btu/h, as long as the systems meet cost-effectiveness criteria based on current avoided costs. This temporary exception was made since there is currently a limited availability of HVAC systems in Hawaii that exceed the ASHRAE minimum requirements by 10% for both the IEER and EER. </t>
    </r>
    <r>
      <rPr>
        <b/>
        <sz val="11"/>
        <rFont val="Calibri"/>
        <family val="2"/>
        <scheme val="minor"/>
      </rPr>
      <t>By PY25, the requirement for exceeding ASHRAE efficiencies by 10% for both the IEER and EER will be reinstated for air-source/air-cooled VRF systems. At that time, if the supply chain issue persists, Hawai'i Energy can provide evidence and request that the issue be reviewed as part of a TRM update.</t>
    </r>
  </si>
  <si>
    <t>The baseline equipment meets the current State of Hawai‘i code, which is IECC 2015 and is consistent with the national ASHRAE 90.1-2016 standard that manufacturers adhere to. All counties have adopted IECC 2015 as of May 20, 2020.</t>
  </si>
  <si>
    <t>Air-source/air-cooled systems with capacities &lt; 65,000 Btu/h do not have an ASHRAE EER requirement. Therefore, they are only required to exceed the ASHRAE minimum SEER requirements by 10% (or 20% for Tier 2).</t>
  </si>
  <si>
    <t>Water-source heat pump systems do not have an ASHRAE SEER or IEER requirement. Therefore, the SEER and IEER values have been set equal to the EER requirements in the calculation worksheet.</t>
  </si>
  <si>
    <r>
      <rPr>
        <b/>
        <i/>
        <sz val="11"/>
        <rFont val="Calibri"/>
        <family val="2"/>
        <scheme val="minor"/>
      </rPr>
      <t xml:space="preserve">Note: </t>
    </r>
    <r>
      <rPr>
        <i/>
        <sz val="11"/>
        <rFont val="Calibri"/>
        <family val="2"/>
        <scheme val="minor"/>
      </rPr>
      <t xml:space="preserve">In PY22 through PY24, only the IEER must exceed ASHRAE minimum efficiency requirements by 10% for Tier 1 (or 20% for Tier 2) for air-source/air-cooled VRF systems ≥ 65,000 Btu/h in capacity, while the EER for these types of systems must at least meet ASHRAE minimum efficiencies. This is a temporary special exception since there is currently a limited availability of HVAC systems of this type in Hawaii that exceed the ASHRAE minimum requirements by 10% (or 20% for Tier 2) for both the IEER and EER. </t>
    </r>
    <r>
      <rPr>
        <b/>
        <i/>
        <sz val="11"/>
        <rFont val="Calibri"/>
        <family val="2"/>
        <scheme val="minor"/>
      </rPr>
      <t>By PY25, the requirement for exceeding ASHRAE efficiencies by 10% (or 20% for Tier 2) for both the IEER and EER will be reinstated for air-source/air-cooled VRF systems ≥ 65,000 Btu/h in capacity unless Hawai‘i Energy can provide evidence for keeping the EER requirement out of the program.</t>
    </r>
  </si>
  <si>
    <t>3. There are no ASHRAE requirements for water-source HP SEER or IEER, so values were set equal to EER for the purpose of calculating energy savings.</t>
  </si>
  <si>
    <t xml:space="preserve">AEG's PY22 Analysis File titled "PY22 C_HVAC_VRF - Analysis file." </t>
  </si>
  <si>
    <t>Residential Central AC Retrofit and Worksheet</t>
  </si>
  <si>
    <t>Revised in PY22 TRM v2.0</t>
  </si>
  <si>
    <t>Residential Ductless Split Systems and Worksheet</t>
  </si>
  <si>
    <t>Residential LED</t>
  </si>
  <si>
    <t>New, temporary dual baseline measure for Molokai and Lanai</t>
  </si>
  <si>
    <t>New baseline conditions</t>
  </si>
  <si>
    <t>Net-to-Gross Ratios</t>
  </si>
  <si>
    <t>New NTGRs for RGRID and BGRID</t>
  </si>
  <si>
    <t>Clarifications to existing content</t>
  </si>
  <si>
    <t>Multiple Lighting</t>
  </si>
  <si>
    <t>Added language to several measures in the TRM to explain that LED retrofit kit engines qualify as applicable LED replacement lighting</t>
  </si>
  <si>
    <t>Addition of custom occupancy option</t>
  </si>
  <si>
    <t>New baseline conditions, modified program criteria, and clarifications to existing content; creation of two separate entries - one for Jul-Dec and one for Jan-Jun</t>
  </si>
  <si>
    <t>New baseline conditions and clarifications to existing content; creation of two separate entries - one for Jul-Dec and one for Jan-Jun</t>
  </si>
  <si>
    <t>C_Light_General, C_Light_Exterior, C_Light_Dimmable(Nonlinear LED), C_Lighting_Refrigerated Case, R_Light_LED, R_Light_Linear LED, and R_Light_Security Light</t>
  </si>
  <si>
    <t>Updated in Fall 2022 for PY22 TRM V2. The dual baseline for Molokai and Lanai has a sunset date of March 31, 2023.</t>
  </si>
  <si>
    <t>This baseline approach applies the expanded GSL definition and Tier 2 backstop of 45 lumens per Watt reinstated by the U.S. Department of Energy in final rulings published on May 9, 2022 (Federal Register 87FR27461 and 87FR27439).</t>
  </si>
  <si>
    <t>U.S. Department of Energy, final rulings, May 9, 2022 (Federal Register 87FR27461 and 87FR27439)</t>
  </si>
  <si>
    <t>AEG's 2022 Analysis Files named "Mid-year PY22 TRM - LED Retrofit Kit Language - Analysis File" and "Mid-year PY22 TRM - Molokai-Lanai LED Updates - Analysis File."</t>
  </si>
  <si>
    <t>U.S. Department of Energy, Final Rulings, May 9, 2022, Federal Register 87FR27461 and 87FR27439, available here: &lt;https://www.federalregister.gov/&gt;.</t>
  </si>
  <si>
    <t>AEG's 2020 Analysis File named "AEG HPUC - PY20 v2.0 Lighting Baselines - Analysis." AEG's 2018 Analysis Files titled "AEG HPUC Update of Residential Measures - Analysis file" and "HI - Res Lighting IEF Analysis."</t>
  </si>
  <si>
    <r>
      <t xml:space="preserve">SAVINGS </t>
    </r>
    <r>
      <rPr>
        <b/>
        <i/>
        <sz val="11"/>
        <rFont val="Calibri"/>
        <family val="2"/>
        <scheme val="minor"/>
      </rPr>
      <t>(Only Applicable for Molokai &amp; Lanai through Mar '23)</t>
    </r>
  </si>
  <si>
    <r>
      <rPr>
        <u/>
        <sz val="11"/>
        <rFont val="Calibri"/>
        <family val="2"/>
      </rPr>
      <t>Dual Baseline:</t>
    </r>
    <r>
      <rPr>
        <sz val="11"/>
        <rFont val="Calibri"/>
        <family val="2"/>
      </rPr>
      <t xml:space="preserve"> This measure has a dual baseline that only applies to Molokai and Lanai and sunsets at the end of March 2023. The first baseline is an omni-directional halogen-incandescent lamp that complies with Energy Independence and Securities Act (EISA) 2007 legislation that had 2012-2014 effective dates (EISA Tier 1). The second baseline is a lamp that complies with the EISA Tier 2 Backstop requirement of 45 lumens per Watt. </t>
    </r>
  </si>
  <si>
    <t>The high efficiency case is an ENERGY STAR omni-directional LED lamp. As an alternative to more traditional LED bulbs or tubes, LED retrofit kit engines qualify as applicable LED replacement lighting, as long as the LED retrofit kit engines have appropriate form factors compared to the baseline lighting.</t>
  </si>
  <si>
    <t>Gross customer level coincident peak demand reduction in kW for the measure</t>
  </si>
  <si>
    <t>Net-to-Gross Ratio (see Table 6 below)</t>
  </si>
  <si>
    <t>In Fall 2018, AEG reviewed the NTGR values by updating the benchmarking approach taken by Evergreen Economics during the PY11 evaluation and leveraging NTGR data collected by Opinion Dynamics in 2018. The benchmarking analysis resulted in a new NTGR of 0.91 for BHTR. More details on the NTGR review and update are in the file named "AEG HPUC NTG Benchmarking Analysis." In Winter 2020, AEG updated the LED Upstream NTGR to include market effects. In Fall 2022, AEG added NTGRs for BGRID and RGRID.</t>
  </si>
  <si>
    <t>Table 6. Net-to-Gross Ratios by Program</t>
  </si>
  <si>
    <t>BGRID</t>
  </si>
  <si>
    <t>Business Grid Services Ready</t>
  </si>
  <si>
    <t>All BGRID Measures</t>
  </si>
  <si>
    <t>RGRID</t>
  </si>
  <si>
    <t>Residential Grid Services Ready</t>
  </si>
  <si>
    <t>All RGRID Measures</t>
  </si>
  <si>
    <t>5. AEG's 2022 Analysis File named "Mid-year PY22 TRM - BGRID and RGRID NTG - Analysis File."</t>
  </si>
  <si>
    <r>
      <t xml:space="preserve">LED (upstream) </t>
    </r>
    <r>
      <rPr>
        <vertAlign val="superscript"/>
        <sz val="11"/>
        <rFont val="Calibri"/>
        <family val="2"/>
        <scheme val="minor"/>
      </rPr>
      <t>i</t>
    </r>
  </si>
  <si>
    <t>1. AEG's 2018 Analysis File named "AEG HPUC NTG Benchmarking Analysis."</t>
  </si>
  <si>
    <t>Updated in Fall 2022 for the PY22 TRM V2 to correct a typo in Equation 4.</t>
  </si>
  <si>
    <t>AEG's Analysis Files named "Mid-year PY22 TRM - Energy Advantage - Analysis File" (developed for PY22 TRM), "AEG HPUC Energy Advantage - Analysis File" (developed for PY20 TRM), and "AEG HPUC Update of Com-Lighting Measures - Analysis file" (developed for PY19 TRM).</t>
  </si>
  <si>
    <t>Added in Winter 2021-2022 for the PY22 TRM. Updated in Fall 2022 for the PY22 TRM V2 to clarify applicability.</t>
  </si>
  <si>
    <t xml:space="preserve">This measure applies to the BEEM and BHTR programs. It only applies to replacing incandescent, halogen, and CFL bulbs. The downlight retrofit must be an ENERGY STAR-certified product. When the baseline lamp is a metal halide or high-pressure sodium lamp, the Commercial HID Replacement measure within the Commercial General lighting sheet of the TRM is used to estimate savings. </t>
  </si>
  <si>
    <t>AEG's 2022 Analysis Files named "PY22 TRM Commercial LED Downlight Retrofit - Analysis File" and "Mid-year PY22 TRM - LED Downlight Retrofit - Analysis File"</t>
  </si>
  <si>
    <t>AEG's 2018 Analysis File named "AEG HPUC Update of Com-Lighting Measures - Analysis file."</t>
  </si>
  <si>
    <r>
      <rPr>
        <u/>
        <sz val="11"/>
        <rFont val="Calibri"/>
        <family val="2"/>
        <scheme val="minor"/>
      </rPr>
      <t>Option 1</t>
    </r>
    <r>
      <rPr>
        <sz val="11"/>
        <rFont val="Calibri"/>
        <family val="2"/>
        <scheme val="minor"/>
      </rPr>
      <t xml:space="preserve">: Replace on burnout (ROB) of a non-LED (incandescent, halogen, or CFL) downlight lamp. There is a single baseline for Option 1. The baseline wattage is calculated assuming a luminous efficacy of 45 lm/W, which is consistent with other GSL measures as of PY22. </t>
    </r>
  </si>
  <si>
    <r>
      <rPr>
        <u/>
        <sz val="11"/>
        <rFont val="Calibri"/>
        <family val="2"/>
        <scheme val="minor"/>
      </rPr>
      <t>Option 2</t>
    </r>
    <r>
      <rPr>
        <sz val="11"/>
        <rFont val="Calibri"/>
        <family val="2"/>
        <scheme val="minor"/>
      </rPr>
      <t>: Early replacement of a non-LED (incandescent, halogen, or CFL) downlight lamp. There is a dual baseline for Option 2. The first baseline is the pre-existing lamp, which has been estimated as a blend of 34% incandescent, 33% halogen, and 33% CFL lamps. The pre-existing lamp is assumed to have a remaining useful life (RUL) of 1 year. The second baseline period wattage is calculated assuming a luminous efficacy of 45 lm/W. Only lamps that are in working order at the time of the replacement qualify for early replacement. If the pre-existing lamps cannot be verified to be in working order, an ROB baseline must be used.</t>
    </r>
  </si>
  <si>
    <t>Purchase and installation of an ENERGY STAR LED Downlight Retrofit for commercial buildings to replace a non-LED (incandescent, halogen, or CFL) downlight with comparable light output (measured in lumens).</t>
  </si>
  <si>
    <t>R_Light_LED (Oahu, Maui, Hawaii)</t>
  </si>
  <si>
    <t>45 lm/W (as of Jul. 25, 2022)</t>
  </si>
  <si>
    <t>10 CFR 430.32 (dd)</t>
  </si>
  <si>
    <t>R_Light_LED (Molokai and Lanai)</t>
  </si>
  <si>
    <t>(Molokai and Lanai only)</t>
  </si>
  <si>
    <t xml:space="preserve">Single-phase split-system AC, &lt;45,000 Btu/h </t>
  </si>
  <si>
    <t>Single-phase single-package AC, &lt; 65,000 Btu/h</t>
  </si>
  <si>
    <t>14.0 SEER</t>
  </si>
  <si>
    <t xml:space="preserve">13.4 SEER2 </t>
  </si>
  <si>
    <t xml:space="preserve">Three-phase split-system AC, &lt;65,000 Btu/h </t>
  </si>
  <si>
    <t>13.0 SEER</t>
  </si>
  <si>
    <t>Jan. 1, 2025 (pending)</t>
  </si>
  <si>
    <t>10 CFR 431.97 (b); ASHRAE 90.1; DOE 87 FR 18290</t>
  </si>
  <si>
    <t>Three-phase single-package AC, &lt; 65,000 Btu/h</t>
  </si>
  <si>
    <t>10 CFR 431.97 (b); ASHRAE 90.1</t>
  </si>
  <si>
    <t>Single-phase split-system HP, &lt; 65,000 Btu/h</t>
  </si>
  <si>
    <t>14.3 SEER2</t>
  </si>
  <si>
    <t>Single-phase single-package HP, &lt; 65,000 Btu/h</t>
  </si>
  <si>
    <t xml:space="preserve">Three-phase split-system HP, &lt;65,000 Btu/h </t>
  </si>
  <si>
    <t>Three-phase single-package HP, &lt; 65,000 Btu/h</t>
  </si>
  <si>
    <t>13.4 SEER2</t>
  </si>
  <si>
    <t>Standard, &lt; 7,000 Btu/h</t>
  </si>
  <si>
    <t>11.9 EER</t>
  </si>
  <si>
    <t>10 CFR 431.97 (c); ASHRAE 90.1</t>
  </si>
  <si>
    <t>Standard, &gt; 15,000 Btu/h</t>
  </si>
  <si>
    <t>9.5 EER</t>
  </si>
  <si>
    <t>Non-Standard, &lt; 7,000 Btu/h</t>
  </si>
  <si>
    <t>9.4 EER</t>
  </si>
  <si>
    <t>Non-Standard, &gt; 15,000 Btu/h</t>
  </si>
  <si>
    <t>7.7 EER</t>
  </si>
  <si>
    <t>9.3 EER</t>
  </si>
  <si>
    <t>7.6 EER</t>
  </si>
  <si>
    <t>Single-package, &lt; 65,000 Btu/h</t>
  </si>
  <si>
    <t>11.0 EER</t>
  </si>
  <si>
    <t>10 CFR 431.97 (d); ASHRAE 90.1</t>
  </si>
  <si>
    <t>1.2 gpm (as of Jan. 1, 2021)</t>
  </si>
  <si>
    <t>1.8 gpm (as of Jan. 1, 2021)</t>
  </si>
  <si>
    <t>WEF = −2.30 * ln (hhp) + 6.59 (as of Jul. 19, 2021)</t>
  </si>
  <si>
    <t>WEF = 5.55 (as of Jul. 19, 2021)</t>
  </si>
  <si>
    <t>WEF = −1.30 * ln (hhp) + 2.90 (as of Jul. 19, 2021)</t>
  </si>
  <si>
    <t>WEF = 4.60 (as of Jul. 19, 2021)</t>
  </si>
  <si>
    <t>WEF = −0.85 * ln (hhp) + 2.87 (as of Jul. 19, 2021)</t>
  </si>
  <si>
    <t>WEF = 0.42 (as of Jul. 19, 2021)</t>
  </si>
  <si>
    <t>IECC; Energy Conservation Code of Hawaii</t>
  </si>
  <si>
    <t>ANSI/ASHRAE/IES Standard 90.1 2016</t>
  </si>
  <si>
    <t>ANSI/ASHRAE/IES Standard 90.1 2019</t>
  </si>
  <si>
    <t>ANSI/ASHRAE/IES Standard 90.1</t>
  </si>
  <si>
    <t>Shall meet the requirements set forth in California Code of Regulations, Title 20, Section 1605.3, as amended. (As of Jan. 1, 2021)</t>
  </si>
  <si>
    <t>Shall meet the minimum efficacy requirements contained in Section 430.32(n)(4)  of Title 10  of the Code of Federal Regulations as in effect on January 3, 2017, as measured in accordance with Appendix R to  Subpart B of Part 430 of Title 10 of the Code of Federal Regulations - "Uniform Test Method for Measuring Average Lamp Efficacy (LE), Color Rendering Index (CRI), and Correlated Color Temperature (CCT) of Electric Lamps" - as  amended. (As of Jan. 1, 2021)</t>
  </si>
  <si>
    <t>Those that are not specifically excluded from the scope of the Environmental Protection Agency's WaterSense Specification for Spray Sprinkler Bodies, Version 1.0, shall include an integral pressure regulator and shall meet the water efficiency and performance criteria and other requirements of that specification, as amended. (As of Jan. 1, 2021)</t>
  </si>
  <si>
    <r>
      <rPr>
        <sz val="11"/>
        <rFont val="Calibri"/>
        <family val="2"/>
      </rPr>
      <t>Single-phase split-system AC, ≥</t>
    </r>
    <r>
      <rPr>
        <sz val="11"/>
        <rFont val="Calibri"/>
        <family val="2"/>
        <scheme val="minor"/>
      </rPr>
      <t xml:space="preserve"> 45,000 and &lt; 65,000 Btu/h</t>
    </r>
  </si>
  <si>
    <r>
      <rPr>
        <sz val="11"/>
        <rFont val="Calibri"/>
        <family val="2"/>
      </rPr>
      <t>Commerical packaged AC, ≥</t>
    </r>
    <r>
      <rPr>
        <sz val="11"/>
        <rFont val="Calibri"/>
        <family val="2"/>
        <scheme val="minor"/>
      </rPr>
      <t xml:space="preserve"> 65,000 and &lt; 135,000 Btu/h</t>
    </r>
  </si>
  <si>
    <r>
      <rPr>
        <sz val="11"/>
        <rFont val="Calibri"/>
        <family val="2"/>
      </rPr>
      <t>Commerical packaged AC, ≥</t>
    </r>
    <r>
      <rPr>
        <sz val="11"/>
        <rFont val="Calibri"/>
        <family val="2"/>
        <scheme val="minor"/>
      </rPr>
      <t xml:space="preserve"> 135,000 and &lt; 240,000 Btu/h</t>
    </r>
  </si>
  <si>
    <r>
      <rPr>
        <sz val="11"/>
        <rFont val="Calibri"/>
        <family val="2"/>
      </rPr>
      <t>Commerical packaged AC, ≥</t>
    </r>
    <r>
      <rPr>
        <sz val="11"/>
        <rFont val="Calibri"/>
        <family val="2"/>
        <scheme val="minor"/>
      </rPr>
      <t xml:space="preserve"> 240,000 Btu/h and &lt; 760,000 Btu/h</t>
    </r>
  </si>
  <si>
    <r>
      <rPr>
        <sz val="11"/>
        <rFont val="Calibri"/>
        <family val="2"/>
      </rPr>
      <t>Commerical packaged HP, ≥</t>
    </r>
    <r>
      <rPr>
        <sz val="11"/>
        <rFont val="Calibri"/>
        <family val="2"/>
        <scheme val="minor"/>
      </rPr>
      <t xml:space="preserve"> 65,000 and &lt; 135,000 Btu/h</t>
    </r>
  </si>
  <si>
    <r>
      <rPr>
        <sz val="11"/>
        <rFont val="Calibri"/>
        <family val="2"/>
      </rPr>
      <t>Commerical packaged HP, ≥</t>
    </r>
    <r>
      <rPr>
        <sz val="11"/>
        <rFont val="Calibri"/>
        <family val="2"/>
        <scheme val="minor"/>
      </rPr>
      <t xml:space="preserve"> 135,000 and &lt; 240,000 Btu/h</t>
    </r>
  </si>
  <si>
    <t>Commerical packaged HP, ≥ 240,000 and &lt; 760,000 Btu/h</t>
  </si>
  <si>
    <t>Commerical packaged HP, &lt; 17,000 Btu/h</t>
  </si>
  <si>
    <t>Commerical packaged HP, ≥ 17,000 and &lt; 65,000 Btu/h</t>
  </si>
  <si>
    <t>Commerical packaged HP, ≥ 65,000 and &lt; 135,000 Btu/h</t>
  </si>
  <si>
    <t>Single-package, ≥ 65,000 and &lt; 240,000 Btu/h</t>
  </si>
  <si>
    <t>Room AC, w/o reverse cycle, with louvered sides, &lt;8,000 Btu/h</t>
  </si>
  <si>
    <t xml:space="preserve">10 CFR 430.32 (b) </t>
  </si>
  <si>
    <t>Room AC, w/o reverse cycle, with louvered sides, 8,000-13,999 Btu/h</t>
  </si>
  <si>
    <t>Room AC, w/o reverse cycle, with louvered sides, 14,000-19,999 Btu/h</t>
  </si>
  <si>
    <t>Room AC, w/o reverse cycle, with louvered sides, 20,000-27,999 Btu/h</t>
  </si>
  <si>
    <t xml:space="preserve">Updated in Fall 2022 for the PY22 TRM V2. </t>
  </si>
  <si>
    <t>Actual</t>
  </si>
  <si>
    <t>Enter Type of Home or Custom Occupancy (if known)</t>
  </si>
  <si>
    <t xml:space="preserve">Average Occupancy = </t>
  </si>
  <si>
    <t>Custom Occupancy =</t>
  </si>
  <si>
    <t>AEG's 2022 Analysis Files titled "PY22 R_WH_Heat Pump - Analysis File" and Mid-year PY22 TRM - Residential Heat Pump Water Heater - Analysis File."</t>
  </si>
  <si>
    <t>Updated in Fall 2022 for PY22 TRM V2.</t>
  </si>
  <si>
    <t xml:space="preserve">For ROB projects, the baseline must comply with the federal codes and standards that are in place at the time of the replacement and any known future federal requirements expected to be in place during the equipment's lifetime. We applied the Tier 2 backstop of 45 lumens per Watt, which the U.S. Department of Energy reinstated in final rulings published on May 9, 2022 (Federal Register 87FR27461 and 87FR27439), to non-exempt general service lamps (GSLs) subject to Energy Independence and Securities Act (EISA) 2007 legislation. Therefore, for PY22 and later, there is a single baseline (EISA Tier 2) for non-exempt GSLs until a new standard is published. </t>
  </si>
  <si>
    <t>LED HID Replacement</t>
  </si>
  <si>
    <t>First Year Savings: HID Replacement, ROB, Single Baseline</t>
  </si>
  <si>
    <t>Table 27. Calculated First Year Unit Savings: HID Replacement</t>
  </si>
  <si>
    <t>Lifetime Savings: HID Replacement, ROB, Single Baseline</t>
  </si>
  <si>
    <t>Table 28. Calculated Lifetime Unit Savings: HID Replacement</t>
  </si>
  <si>
    <t>AEG's 2022 Analysis File named "Mid-year PY22 TRM - LED Retrofit Kit Language - Analysis File."</t>
  </si>
  <si>
    <t>For lamp replacement projects, the high efficiency case is an LED lamp that meets program criteria. As an alternative to more traditional LED bulbs or tubes, LED retrofit kit engines qualify as applicable LED replacement lighting, as long as the LED retrofit kit engines have appropriate form factors compared to the baseline lighting. For delamping projects, the high efficiency case is no lamp.</t>
  </si>
  <si>
    <t>AEG's 2020 Analysis File named "AEG HPUC - PY20 v2.0 Lighting Baselines - Analysis."</t>
  </si>
  <si>
    <t>Exterior LED fixture. As an alternative to more traditional LED bulbs or tubes, LED retrofit kit engines qualify as applicable LED replacement lighting, as long as the LED retrofit kit engines have appropriate form factors compared to the baseline lighting.</t>
  </si>
  <si>
    <t>The directional and screw-base omni-directional lamps have a dual baseline for PY20 and PY21. The first baseline is an omni-directional or directional halogen-incandescent or CFL lamp that complies with Energy Independence and Securities Act (EISA) 2007 legislation that had 2012-2014 effective dates (EISA Tier 1). The second baseline is a lamp that complies with the original EISA Tier 2 2020 Backstop requirement of 45 lumens per Watt. For PY22 and later, there is a single baseline (EISA Tier 2) until such time that a new standard is set. This approach applies the expanded GSL definition and Tier 2 backstop of 45 lumens per Watt that were reinstated by the U.S. Department of Energy in final rulings published on May 9, 2022 (Federal Register 87FR27461 and 87FR27439).</t>
  </si>
  <si>
    <t xml:space="preserve">The high efficiency case is an omni-directional or directional LED lamp. A percentage of the replacement lamps are assumed to be dimmable. As an alternative to more traditional LED bulbs or tubes, LED retrofit kit engines qualify as applicable LED replacement lighting, as long as the LED retrofit kit engines have appropriate form factors compared to the baseline lighting. </t>
  </si>
  <si>
    <r>
      <t>DEER2020</t>
    </r>
    <r>
      <rPr>
        <vertAlign val="superscript"/>
        <sz val="10.5"/>
        <rFont val="Calibri"/>
        <family val="2"/>
        <scheme val="minor"/>
      </rPr>
      <t>2</t>
    </r>
    <r>
      <rPr>
        <sz val="10.5"/>
        <rFont val="Calibri"/>
        <family val="2"/>
        <scheme val="minor"/>
      </rPr>
      <t xml:space="preserve"> interactive effect factors for San Diego, adjusted to Hawaii's weather zone using LBNL simulation results</t>
    </r>
    <r>
      <rPr>
        <vertAlign val="superscript"/>
        <sz val="10.5"/>
        <rFont val="Calibri"/>
        <family val="2"/>
        <scheme val="minor"/>
      </rPr>
      <t>3</t>
    </r>
  </si>
  <si>
    <t>AEG's Analysis Files named "AEG HPUC Dual BL and TRB - Analysis File" and "AEG HPUC Update of Com-Lighting Measures - Analysis file."</t>
  </si>
  <si>
    <t>LED replacement lamp unit. As an alternative to more traditional LED bulbs or tubes, LED retrofit kit engines qualify as applicable LED replacement lighting, as long as the LED retrofit kit engines have appropriate form factors compared to the baseline lighting.</t>
  </si>
  <si>
    <t>As an alternative to more traditional LED bulbs or tubes, LED retrofit kit engines qualify as applicable LED replacement lighting, as long as the LED retrofit kit engines have appropriate form factors compared to the baseline lighting.</t>
  </si>
  <si>
    <t>AEG's 2020 Analysis File named "AEG HPUC Baseline Study Data - Analysis File."</t>
  </si>
  <si>
    <t>AEG's 2019 Analysis File named "PY19 TRM - Residential Additions - Draft_20191113 AEG reviewed."</t>
  </si>
  <si>
    <t>AEG's 2018 Analysis Files named "AEG HPUC Update of Residential Measures - Analysis file" and "HI - Res Lighting IEF Analysis."</t>
  </si>
  <si>
    <t>AEG's 2018 Analysis Files named "AEG HPUC Update of Residential Measures - Analysis file."</t>
  </si>
  <si>
    <t>AEG's 2022 Analysis File named "Mid-year PY22 TRM - Residential HVAC - Analysis File."</t>
  </si>
  <si>
    <t>AEG's PY20 file named "AEG HPUC - HVAC Measures - Analysis File_Jan 2021."</t>
  </si>
  <si>
    <t>AEG's PY19 Analysis Files named "AEG HPUC Update - Ductless Systems - Analysis File" and "AEG HPUC Res HVAC Calculator - Analysis File."</t>
  </si>
  <si>
    <t>Updated in Fall 2022 for the PY22 TRM V2. Effective as of Jan. 1, 2023.</t>
  </si>
  <si>
    <t>The assumed baseline for capacities &lt; 28 kBtu/h is a louvered, non-reverse cycle room AC unit. The assumed baseline for capacities ≥ 28 kBtu/h is an air-cooled split-system central AC unit. The baseline equipment must meet or exceed current federal and state minimum efficiency standards in effect on the installation date (see Table 1.)</t>
  </si>
  <si>
    <t>CEER or SEER2</t>
  </si>
  <si>
    <t>EER or EER2</t>
  </si>
  <si>
    <t>SEER2 Converted to SEER</t>
  </si>
  <si>
    <t>EER2 Converted to EER</t>
  </si>
  <si>
    <t>SEER2</t>
  </si>
  <si>
    <t>EER2</t>
  </si>
  <si>
    <t>1. For minimum CEER and SEER2 requirements effective as of Jan. 1, 2023, see &lt;https://www.govinfo.gov/content/pkg/CFR-2022-title10-vol3/pdf/CFR-2022-title10-vol3-sec430-32.pdf&gt;. For Hawaii, there is no federal or state minimum EER or EER2 requirement. For Room AC units, EER is assumed to be CEER * 1.01. For Central AC units, AEG's research of the AHRI database (Nov. 7, 2022 extract) showed that 11.7 EE2 is the most common EER2 value for the 14.3 SEER2 minimum requirement and 11.2 EER2 is the most common EER2 value for 13.8 SEER2 minimum requirement. SEER2 and EER2 values for Central AC units have been converted to SEER and EER values, respectively, using conversion factors developed from analysis of AHRI Nov. 7, 2022 data. Refer to AEG's 2022 Analysis File named "Mid-year PY22 TRM - Residential HVAC - Analysis File" for more information.</t>
  </si>
  <si>
    <t>See footnote 1 under Table 1.</t>
  </si>
  <si>
    <t>Combined energy efficiency ratio (&lt; 28 kBtu/h) or seasonal energy efficiency ratio (≥ 28 kBtu/h) of baseline unit</t>
  </si>
  <si>
    <t>R_HVAC_AC_WKST_2</t>
  </si>
  <si>
    <t>Air-Conditioning, Heating, &amp; Refrigeration Institute (AHRI), Database of Certified Products, accessed Nov. 7 2022, available here: &lt;https://www.ahridirectory.org/&gt;.</t>
  </si>
  <si>
    <t>Code of Federal Regulations, 10 CFR 430.32, Subpart C, Energy and Water Conservation Standards and Their Effective Dates, (c) Central Air Conditioners and Heat Pumps, available here: &lt;https://www.govinfo.gov/content/pkg/CFR-2022-title10-vol3/pdf/CFR-2022-title10-vol3-sec430-32.pdf&gt;.</t>
  </si>
  <si>
    <r>
      <t>(C)SEER</t>
    </r>
    <r>
      <rPr>
        <vertAlign val="subscript"/>
        <sz val="10.5"/>
        <rFont val="Calibri"/>
        <family val="2"/>
        <scheme val="minor"/>
      </rPr>
      <t>BL</t>
    </r>
  </si>
  <si>
    <r>
      <rPr>
        <sz val="11"/>
        <rFont val="Calibri"/>
        <family val="2"/>
      </rPr>
      <t>≥20,</t>
    </r>
    <r>
      <rPr>
        <sz val="11"/>
        <rFont val="Calibri"/>
        <family val="2"/>
        <scheme val="minor"/>
      </rPr>
      <t>000 Btu/h and &lt;28,000 Btu/h</t>
    </r>
  </si>
  <si>
    <r>
      <rPr>
        <sz val="11"/>
        <rFont val="Calibri"/>
        <family val="2"/>
      </rPr>
      <t>≥28,</t>
    </r>
    <r>
      <rPr>
        <sz val="11"/>
        <rFont val="Calibri"/>
        <family val="2"/>
        <scheme val="minor"/>
      </rPr>
      <t>000 Btu/h and &lt;45,000 Btu/h</t>
    </r>
  </si>
  <si>
    <r>
      <rPr>
        <sz val="11"/>
        <rFont val="Calibri"/>
        <family val="2"/>
      </rPr>
      <t>≥45,</t>
    </r>
    <r>
      <rPr>
        <sz val="11"/>
        <rFont val="Calibri"/>
        <family val="2"/>
        <scheme val="minor"/>
      </rPr>
      <t>000 Btu/h and &lt;65,000 Btu/h</t>
    </r>
  </si>
  <si>
    <t xml:space="preserve">AEG's PY20 file named "AEG HPUC - HVAC Measures - Analysis File_Jan 2021." </t>
  </si>
  <si>
    <t>AEG's PY19 Analysis Files named "AEG HPUC Res HVAC Calculator - Analysis File" and "AEG HPUC Mid-Year PY19 TRM Updates_Analysis File." In addition, the file named "AEG HPUC Update - Ductless Systems - Analysis file," worksheet tab named "Res_HVAC Key Parameters," includes Hawai‘i-specific simulation results for determining Central AC EFLH and CF.</t>
  </si>
  <si>
    <t>Baseline equipment is assumed to be an air-cooled split-system or single-package central AC unit with a capacity of &lt;65,000 Btu/h. For early replacement, a dual baseline is required to estimate impacts. Federal and state requirements stipulate minimum SEER and SEER2 values that vary depending on the vintage and type of the AC equipment. For Hawaii, there are no federal or state minimum EER or EER2 requirements for AC systems. Instead, we determined proxy baseline values to estimate peak demand impacts for the Hawai'i Energy program. See Table 1 below for a summary of the baseline efficiency metrics.</t>
  </si>
  <si>
    <t>During the first baseline period, pre-existing equipment manufactured after Jan. 23, 2006 is assumed to be 13 SEER per the minimum federal requirement in effect between 2006 and 2015, while pre-existing equipment manufactured before Jan. 23, 2006 is assumed to be 11 SEER. In cases where the pre-existing AC unit's nameplate is corroded or otherwise illegible due to age, assume pre-2006 vintage. If the system cannot reasonably be assumed to be less than 20 years old, use the replace-on-burnout baseline and calculation approach.</t>
  </si>
  <si>
    <t xml:space="preserve">After the first baseline period ends, the second baseline must meet or exceed the federal and state minimum SEER2 requirement in effect on the installation date (see Table 1). </t>
  </si>
  <si>
    <t>Table 1: Baseline Efficiency Specifications*</t>
  </si>
  <si>
    <t>Early Replacement 1st Baseline
1st Baseline 
(Pre-2006)</t>
  </si>
  <si>
    <t>Early Replacement 
2nd Baseline or Replace-on-Burnout Single Baseline (as of Jan. 1, 2023)</t>
  </si>
  <si>
    <t>Split System, &lt;45 kBtu/h</t>
  </si>
  <si>
    <t>Split System, ≥45 kBtu/h</t>
  </si>
  <si>
    <t>Single-Package</t>
  </si>
  <si>
    <t>* Refer to Definitions &amp; Assumptions for the sources of these values.</t>
  </si>
  <si>
    <t>(also applies to the replace-on-burnout single baseline approach)</t>
  </si>
  <si>
    <t>Ratio of EER-to-EER2</t>
  </si>
  <si>
    <t>See Table 2 below</t>
  </si>
  <si>
    <t>AEG analysis of AHRI extract on Nov. 7, 2022</t>
  </si>
  <si>
    <t>Energy efficiency ratio 2 of baseline unit for second baseline period (also used for single baseline for replace-on-burnout projects)</t>
  </si>
  <si>
    <t>See Table 1 above</t>
  </si>
  <si>
    <t>Energy efficiency ratio 2 of installed high efficiency unit</t>
  </si>
  <si>
    <t>Ratio of SEER-to-SEER2</t>
  </si>
  <si>
    <t>Seasonal energy efficiency ratio 2 of baseline unit for second baseline period (also used for single baseline for replace-on-burnout projects)</t>
  </si>
  <si>
    <t>Seasonal energy efficiency ratio 2 of installed high efficiency unit</t>
  </si>
  <si>
    <t>2. There is no federal or state minimum EER2 requirement for Hawaii. AEG's research of the AHRI database (Nov. 7, 2022 extract) showed that each EER2 value in Table 1 represents the most common EER2 value for the given SEER2 minimum requirement. Refer to AEG's 2022 Analysis File named "Mid-year PY22 TRM - Residential HVAC - Analysis File" for more information.</t>
  </si>
  <si>
    <t>5. Table 1 shows the minimum SEER2 values for split-system central AC and single-package central AC systems installed in Hawaii on or after Jan. 1, 2023. See &lt;https://www.govinfo.gov/content/pkg/CFR-2022-title10-vol3/pdf/CFR-2022-title10-vol3-sec430-32.pdf&gt;.</t>
  </si>
  <si>
    <t>Table 2: Conversion Factors**</t>
  </si>
  <si>
    <t>(SEER/SEER2)</t>
  </si>
  <si>
    <t>(EER/EER2)</t>
  </si>
  <si>
    <t>** These values represent the weighted average of the ratios of average SEER-to-SEER2 (and EER-to-EER2) across discrete SEER2 (and EER2) values in the AHRI dataset as of 11/7/2022. Refer to AEG's 2022 Analysis File named "Mid-year PY22 TRM - Residential HVAC - Analysis File" for more information.</t>
  </si>
  <si>
    <t>ENERGY STAR Program Requirements, Product Specifications for Central Air Conditioner and Heat Pump Equipment, Eligibility Criteria, Version 6.1, available here: &lt;https://www.energystar.gov/sites/default/files/asset/document/ENERGY%20STAR%20Central%20Air%20Conditioner%20and%20Heat%20Pump%20Version%206.1%20Final%20Specification.pdf&gt;.</t>
  </si>
  <si>
    <t>Air-Conditioning, Heating, &amp; Refrigeration Institute (AHRI), Database of Certified Products, accessed Oct. 2018, Nov. 2020, and Nov. 7, 2022, available here: &lt;http://www.ahrinet.org/Contractors-Specifiers/Certified-Products&gt;.</t>
  </si>
  <si>
    <r>
      <t>"Conv</t>
    </r>
    <r>
      <rPr>
        <b/>
        <vertAlign val="subscript"/>
        <sz val="11"/>
        <rFont val="Calibri"/>
        <family val="2"/>
        <scheme val="minor"/>
      </rPr>
      <t>SEER2</t>
    </r>
    <r>
      <rPr>
        <b/>
        <sz val="11"/>
        <rFont val="Calibri"/>
        <family val="2"/>
        <scheme val="minor"/>
      </rPr>
      <t>"</t>
    </r>
  </si>
  <si>
    <r>
      <t>"Conv</t>
    </r>
    <r>
      <rPr>
        <b/>
        <vertAlign val="subscript"/>
        <sz val="11"/>
        <rFont val="Calibri"/>
        <family val="2"/>
        <scheme val="minor"/>
      </rPr>
      <t>EER2</t>
    </r>
    <r>
      <rPr>
        <b/>
        <sz val="11"/>
        <rFont val="Calibri"/>
        <family val="2"/>
        <scheme val="minor"/>
      </rPr>
      <t>"</t>
    </r>
  </si>
  <si>
    <r>
      <t>Conv</t>
    </r>
    <r>
      <rPr>
        <vertAlign val="subscript"/>
        <sz val="10.5"/>
        <rFont val="Calibri"/>
        <family val="2"/>
        <scheme val="minor"/>
      </rPr>
      <t>SEER2</t>
    </r>
  </si>
  <si>
    <r>
      <t>SEER2</t>
    </r>
    <r>
      <rPr>
        <vertAlign val="subscript"/>
        <sz val="10.5"/>
        <rFont val="Calibri"/>
        <family val="2"/>
        <scheme val="minor"/>
      </rPr>
      <t>BL,2</t>
    </r>
  </si>
  <si>
    <r>
      <t>SEER2</t>
    </r>
    <r>
      <rPr>
        <vertAlign val="subscript"/>
        <sz val="10.5"/>
        <rFont val="Calibri"/>
        <family val="2"/>
        <scheme val="minor"/>
      </rPr>
      <t>EE</t>
    </r>
  </si>
  <si>
    <r>
      <t>EER2</t>
    </r>
    <r>
      <rPr>
        <vertAlign val="subscript"/>
        <sz val="10.5"/>
        <rFont val="Calibri"/>
        <family val="2"/>
        <scheme val="minor"/>
      </rPr>
      <t>BL,2</t>
    </r>
  </si>
  <si>
    <r>
      <t>EER2</t>
    </r>
    <r>
      <rPr>
        <vertAlign val="subscript"/>
        <sz val="10.5"/>
        <rFont val="Calibri"/>
        <family val="2"/>
        <scheme val="minor"/>
      </rPr>
      <t>EE</t>
    </r>
  </si>
  <si>
    <r>
      <t>There is no minimum EER2</t>
    </r>
    <r>
      <rPr>
        <vertAlign val="subscript"/>
        <sz val="10.5"/>
        <rFont val="Calibri"/>
        <family val="2"/>
        <scheme val="minor"/>
      </rPr>
      <t>EE</t>
    </r>
    <r>
      <rPr>
        <sz val="10.5"/>
        <rFont val="Calibri"/>
        <family val="2"/>
        <scheme val="minor"/>
      </rPr>
      <t xml:space="preserve"> requirement.</t>
    </r>
  </si>
  <si>
    <t>See Note 3. This baseline option sunsets at the end of PY25.</t>
  </si>
  <si>
    <r>
      <t>Conv</t>
    </r>
    <r>
      <rPr>
        <vertAlign val="subscript"/>
        <sz val="10.5"/>
        <rFont val="Calibri"/>
        <family val="2"/>
        <scheme val="minor"/>
      </rPr>
      <t>EER2</t>
    </r>
  </si>
  <si>
    <r>
      <t>EER</t>
    </r>
    <r>
      <rPr>
        <vertAlign val="subscript"/>
        <sz val="10.5"/>
        <rFont val="Calibri"/>
        <family val="2"/>
        <scheme val="minor"/>
      </rPr>
      <t>BL,1</t>
    </r>
  </si>
  <si>
    <t>Assumed to be EER = 0.9 * SEER, for 11 SEER system. This baseline option sunsets at the end of PY25.</t>
  </si>
  <si>
    <r>
      <rPr>
        <b/>
        <i/>
        <sz val="11"/>
        <rFont val="Calibri"/>
        <family val="2"/>
        <scheme val="minor"/>
      </rPr>
      <t xml:space="preserve">Note: </t>
    </r>
    <r>
      <rPr>
        <i/>
        <sz val="11"/>
        <rFont val="Calibri"/>
        <family val="2"/>
        <scheme val="minor"/>
      </rPr>
      <t>The sunset date for the pre-2006 early replacement baseline option (SEER 11) is the end of PY25. Any AC systems retired after PY25 will be over 20 years old and must use a single-baseline, replace-on-burnout approach. For replace-on-burnout, the single baseline must meet or exceed the federal and state minimum SEER2 requirement in effect on the installation date (see Table 1).</t>
    </r>
  </si>
  <si>
    <t>Central AC Split-System (45,000-64,999 Btu/h)</t>
  </si>
  <si>
    <t>Enter Full Load Efficiency with Applicable Metric:</t>
  </si>
  <si>
    <t>Enter Part-Load Efficiency with Applicable Metric:</t>
  </si>
  <si>
    <t>Note: Enter SEER and EER for Ductless AC, SEER2 and EER2 for Central AC, and CEER and EER for Room AC. If a value is unknown, check AHRI Directory (www.ahridirectory.org). If product is not listed, use EER(2) = 0.9 * SEER(2), EER = 1.01 * CEER, SEER(2) = EER(2) / 0.9, or CEER = EER / 1.01.</t>
  </si>
  <si>
    <t>Lifetime kWh (ROB):</t>
  </si>
  <si>
    <t>Lifetime kWh (ER):</t>
  </si>
  <si>
    <t>≥20,000 Btu/h and &lt;28,000 Btu/h</t>
  </si>
  <si>
    <t>≥28,000 Btu/h and &lt;45,000 Btu/h</t>
  </si>
  <si>
    <t>≥45,000 Btu/h and &lt;65,000 Btu/h</t>
  </si>
  <si>
    <t>Central AC Split-System (&lt;45,000 Btu/h)</t>
  </si>
  <si>
    <t>Central AC Single-Package (&lt;65,000 Btu/h)</t>
  </si>
  <si>
    <t>SEER(2)/CEER_EE_Min</t>
  </si>
  <si>
    <t>SEER(2)/CEER_EE_Base</t>
  </si>
  <si>
    <t>Ductless (&lt;28,000 Btu/h)</t>
  </si>
  <si>
    <t>Ductless (≥28,000 Btu/h)</t>
  </si>
  <si>
    <t>1. CEER applies to Room AC, SEER applies to Ductless AC, and SEER2 applies to Central AC.</t>
  </si>
  <si>
    <r>
      <t xml:space="preserve">Enter Rated AC Capacity of New Unit </t>
    </r>
    <r>
      <rPr>
        <b/>
        <sz val="8"/>
        <rFont val="Calibri"/>
        <family val="2"/>
        <scheme val="minor"/>
      </rPr>
      <t>(</t>
    </r>
    <r>
      <rPr>
        <b/>
        <sz val="11"/>
        <rFont val="Calibri"/>
        <family val="2"/>
        <scheme val="minor"/>
      </rPr>
      <t>Btu/h</t>
    </r>
    <r>
      <rPr>
        <b/>
        <sz val="8"/>
        <rFont val="Calibri"/>
        <family val="2"/>
        <scheme val="minor"/>
      </rPr>
      <t>)</t>
    </r>
    <r>
      <rPr>
        <b/>
        <sz val="11"/>
        <rFont val="Calibri"/>
        <family val="2"/>
        <scheme val="minor"/>
      </rPr>
      <t>:</t>
    </r>
  </si>
  <si>
    <r>
      <t>EER(2)</t>
    </r>
    <r>
      <rPr>
        <b/>
        <vertAlign val="subscript"/>
        <sz val="11"/>
        <rFont val="Calibri"/>
        <family val="2"/>
        <scheme val="minor"/>
      </rPr>
      <t>BL,2</t>
    </r>
  </si>
  <si>
    <r>
      <t>SEER(2)/CEER</t>
    </r>
    <r>
      <rPr>
        <b/>
        <vertAlign val="subscript"/>
        <sz val="11"/>
        <rFont val="Calibri"/>
        <family val="2"/>
        <scheme val="minor"/>
      </rPr>
      <t>BL,2</t>
    </r>
  </si>
  <si>
    <r>
      <t>Conv</t>
    </r>
    <r>
      <rPr>
        <b/>
        <vertAlign val="subscript"/>
        <sz val="11"/>
        <rFont val="Calibri"/>
        <family val="2"/>
        <scheme val="minor"/>
      </rPr>
      <t>SEER2</t>
    </r>
  </si>
  <si>
    <r>
      <t>Conv</t>
    </r>
    <r>
      <rPr>
        <b/>
        <vertAlign val="subscript"/>
        <sz val="11"/>
        <rFont val="Calibri"/>
        <family val="2"/>
        <scheme val="minor"/>
      </rPr>
      <t>EER2</t>
    </r>
  </si>
  <si>
    <r>
      <t>CEER/SEER</t>
    </r>
    <r>
      <rPr>
        <b/>
        <vertAlign val="subscript"/>
        <sz val="11"/>
        <rFont val="Calibri"/>
        <family val="2"/>
        <scheme val="minor"/>
      </rPr>
      <t>BL</t>
    </r>
  </si>
  <si>
    <r>
      <t>SEER2/CEER</t>
    </r>
    <r>
      <rPr>
        <b/>
        <vertAlign val="subscript"/>
        <sz val="11"/>
        <rFont val="Calibri"/>
        <family val="2"/>
        <scheme val="minor"/>
      </rPr>
      <t>BL,2</t>
    </r>
  </si>
  <si>
    <r>
      <t>EER2/EER</t>
    </r>
    <r>
      <rPr>
        <b/>
        <vertAlign val="subscript"/>
        <sz val="11"/>
        <rFont val="Calibri"/>
        <family val="2"/>
        <scheme val="minor"/>
      </rPr>
      <t>BL,2</t>
    </r>
  </si>
  <si>
    <t xml:space="preserve">2. SEER/CEER_EE_Base only differs from SEER/CEER_EE_Min for Room AC systems. SEER/CEER_EE_Base represents the minimum ENERGY STAR efficiency for standard Room AC systems, while SEER/CEER_EE_Min represents the minimum ENERGY STAR efficiency for "Connected" (Smart) Room AC systems. The stricter SEER/CEER_EE_Base requirements for standard Room AC systems apply for PY20 and later. </t>
  </si>
  <si>
    <t>R_HVAC_AC_WKST_1, R_HVAC_AC_WKST_2</t>
  </si>
  <si>
    <t>Correction to typo</t>
  </si>
  <si>
    <t>Commercial HVAC: AC &amp; Heat Pump</t>
  </si>
  <si>
    <t xml:space="preserve">Update of efficiencies; expansion of measure </t>
  </si>
  <si>
    <t>Commercial Kitchen: Combination Oven</t>
  </si>
  <si>
    <t>Full measure review and update</t>
  </si>
  <si>
    <t>Commercial Kitchen: Convection Oven</t>
  </si>
  <si>
    <t>Commercial Kitchen: Ice Machine</t>
  </si>
  <si>
    <t>Full measure review and update; expansion of measure</t>
  </si>
  <si>
    <t>Commercial Kitchen: Low-Flow Spray Nozzle</t>
  </si>
  <si>
    <t xml:space="preserve">Commercial Kitchen: Freezer </t>
  </si>
  <si>
    <t>Update of ENERGY STAR criteria</t>
  </si>
  <si>
    <t>Commercial Kitchen: Refrigerator</t>
  </si>
  <si>
    <t>Residential Appliance: Clothes Washer</t>
  </si>
  <si>
    <t>Residential HVAC: Central AC Retrofit</t>
  </si>
  <si>
    <t>Residential Water Heating: Heat Pump</t>
  </si>
  <si>
    <t>Greenhouse Gas Calculator</t>
  </si>
  <si>
    <t>Update to use the most recent eGRID data</t>
  </si>
  <si>
    <t>Codes &amp; Standards Tracking</t>
  </si>
  <si>
    <t>Update of the set of baseline conditions in effect for PY23</t>
  </si>
  <si>
    <t xml:space="preserve">Commercial Plug and Process: Water Cooler Timer </t>
  </si>
  <si>
    <t>Label as inactive</t>
  </si>
  <si>
    <t>Revised in PY23 TRM v1.0</t>
  </si>
  <si>
    <t>R_HVAC_Central AC Retrofit; and R_HVAC_AC_WKST</t>
  </si>
  <si>
    <t>Update of efficiencies, effective Jul. 1, 2023</t>
  </si>
  <si>
    <t>C_HVAC_AC &amp; Heat Pump and C_HVAC_AC_HP_WKST</t>
  </si>
  <si>
    <t>C_Kitchen_Combination Oven</t>
  </si>
  <si>
    <t>C_Kitchen_Convection Oven</t>
  </si>
  <si>
    <t>C_Kitchen_LF Spray Nozzle</t>
  </si>
  <si>
    <t>Consider new NTGR - result was no change to NTGR table in Key Metrics</t>
  </si>
  <si>
    <t>No change to PY23 TR v1.0</t>
  </si>
  <si>
    <t>C_PlugProcess_Water Cooler Tmr</t>
  </si>
  <si>
    <t>This measure is designated "inactive" as of PY23. Before it can be reinstated for a future program year, a full update of the savings approach will be needed.</t>
  </si>
  <si>
    <t>Ceiling Fan (Inactive)</t>
  </si>
  <si>
    <t xml:space="preserve">Refrigerator </t>
  </si>
  <si>
    <t xml:space="preserve">Demand-Controlled Ventilation </t>
  </si>
  <si>
    <t>Combination Oven *</t>
  </si>
  <si>
    <t>Convection Oven *</t>
  </si>
  <si>
    <t>Ice Machine *</t>
  </si>
  <si>
    <t>Low-Flow Spray Nozzle *</t>
  </si>
  <si>
    <t>Chiller Worksheet</t>
  </si>
  <si>
    <t>Downlight Retrofit</t>
  </si>
  <si>
    <t>Dimmable (Non-linear LED)</t>
  </si>
  <si>
    <t>Refrigerated Case Light</t>
  </si>
  <si>
    <t>Water Cooler Timer *(Inactive)*</t>
  </si>
  <si>
    <t>*Updated for PY23 TRM</t>
  </si>
  <si>
    <t>*(Inactive)* Designated Inactive as of PY23</t>
  </si>
  <si>
    <t>Clothes Washer *</t>
  </si>
  <si>
    <t>Smart Thermostat</t>
  </si>
  <si>
    <t>LED</t>
  </si>
  <si>
    <t>July 1, 2023 through June 30, 2024</t>
  </si>
  <si>
    <t>PY 2023</t>
  </si>
  <si>
    <t xml:space="preserve">Over the years, updates have been made to some measures and aspects of the TRM to reflect program modifications, evolving market conditions, changes to codes and standards, and availability of newer data from program evaluations and benchmarking against industry best practices. However, prior to program year 2019 (PY19), the last major TRM review and update was conducted during the 2012 program year. Given this timeframe and general industry practice, the TRM was due for a major review and update. The current EM&amp;V Consultant (the AEG team) carried out comprehensive updates for the PY19 through PY23 TRMs, along with developing a TRM Framework to guide ongoing updates. </t>
  </si>
  <si>
    <t>The AEG team referred to over 100 resources during the PY19 through PY23 TRM updates. A few of the key information sources include the following:</t>
  </si>
  <si>
    <t>PY2023 (July 1, 2023 - June 30, 2024)</t>
  </si>
  <si>
    <t>Updated in Winter 2022-2023 for the PY23 TRM.</t>
  </si>
  <si>
    <t>C&amp;S Baseline as of PY23</t>
  </si>
  <si>
    <t>45 lm/W (as of Apr. 1, 2023)</t>
  </si>
  <si>
    <t>TBD*</t>
  </si>
  <si>
    <t>14.3 SEER2 (as of Jan. 1, 2023)</t>
  </si>
  <si>
    <t>10 CFR 430.32 (c)</t>
  </si>
  <si>
    <t>13.8 SEER2 (as of Jan. 1, 2023)</t>
  </si>
  <si>
    <t>13.4 SEER2 (as of Jan. 1, 2023)</t>
  </si>
  <si>
    <t>14.8 IEER (as of Jan. 1, 2023)</t>
  </si>
  <si>
    <t>14.2 IEER (as of Jan. 1, 2023)</t>
  </si>
  <si>
    <t>13.2 IEER (as of Jan. 1, 2023)</t>
  </si>
  <si>
    <t>14.1 IEER (as of Jan. 1, 2023)</t>
  </si>
  <si>
    <t>13.5 IEER (as of Jan. 1, 2023)</t>
  </si>
  <si>
    <t>12.5 IEER (as of Jan. 1, 2023)</t>
  </si>
  <si>
    <t>Standard, ≥ 7,000 and ≤ 15,000 Btu/h</t>
  </si>
  <si>
    <t>Non-Standard, ≥ 7,000 and ≤ 15,000 Btu/h</t>
  </si>
  <si>
    <t>Commercial Pre-Rinse Spray Valve</t>
  </si>
  <si>
    <t>Product Class 1 (≤5.0 ozf)</t>
  </si>
  <si>
    <t>1.00  gpm (as of Jan. 28, 2019)</t>
  </si>
  <si>
    <t>10 CFR 431.266</t>
  </si>
  <si>
    <t>Product Class 2 (&gt;5.0 ozf and ≤8.0 ozf)</t>
  </si>
  <si>
    <t>1.20 gpm (as of Jan. 28, 2019)</t>
  </si>
  <si>
    <t>Product Class 3 (&gt;8.0 ozf)</t>
  </si>
  <si>
    <t>1.28 gpm (as of Jan. 28, 2019)</t>
  </si>
  <si>
    <t>IECC 2018 w/ Hawaii Amendments (as of Dec. 15, 2022)</t>
  </si>
  <si>
    <t>Section R407, Hawaii Energy Code 2018 (as of Dec. 15, 2022)</t>
  </si>
  <si>
    <t>* The "next" baseline of 75 lm/W for lamps in the Ceiling Fan measure was recommended by the Hawaii State Energy Office in an 11/1/2021 email to the TRM administrator. It reflects market adoption of LED bulbs. Note that (as of the PY22 TRM) the Ceiling Fan's TRM measure entry is outdated, but it has not been prioritized for updating since this measure does not appear in the recent Hawai'i Energy triennial plan.</t>
  </si>
  <si>
    <t xml:space="preserve">The emission rates in the Greenhouse Gas (GHG) Calculator were updated in Winter 2022-2023 for the PY23 TRM with eGRID 2021 emission data, which became available on January 30, 2023. </t>
  </si>
  <si>
    <r>
      <t>Use the following calculator to estimate avoided emissions and equivalent avoided barrels of oil due to program-level annual energy savings. The calculator requires users to input Annual Program Level Energy Savings in kWh units. It then uses emission rates from Table 8 to calculate avoided emissions in pounds (lbs) and metric tons (MT). It also uses Table 9 to convert CO</t>
    </r>
    <r>
      <rPr>
        <vertAlign val="subscript"/>
        <sz val="11"/>
        <rFont val="Calibri"/>
        <family val="2"/>
        <scheme val="minor"/>
      </rPr>
      <t>2</t>
    </r>
    <r>
      <rPr>
        <sz val="11"/>
        <rFont val="Calibri"/>
        <family val="2"/>
        <scheme val="minor"/>
      </rPr>
      <t xml:space="preserve"> emissions to equivalent avoided barrels of oil (bbl).</t>
    </r>
  </si>
  <si>
    <r>
      <t>The eGRID emission rates in Table 8 should be updated periodically as new eGRID data becomes available. It is preferable to directly use the eGRID CO</t>
    </r>
    <r>
      <rPr>
        <vertAlign val="subscript"/>
        <sz val="11"/>
        <rFont val="Calibri"/>
        <family val="2"/>
        <scheme val="minor"/>
      </rPr>
      <t>2</t>
    </r>
    <r>
      <rPr>
        <sz val="11"/>
        <rFont val="Calibri"/>
        <family val="2"/>
        <scheme val="minor"/>
      </rPr>
      <t>e emission rate to estimate avoided CO</t>
    </r>
    <r>
      <rPr>
        <vertAlign val="subscript"/>
        <sz val="11"/>
        <rFont val="Calibri"/>
        <family val="2"/>
        <scheme val="minor"/>
      </rPr>
      <t>2</t>
    </r>
    <r>
      <rPr>
        <sz val="11"/>
        <rFont val="Calibri"/>
        <family val="2"/>
        <scheme val="minor"/>
      </rPr>
      <t>e emissions over using global warming potential (GWP) factors to calculate the CO</t>
    </r>
    <r>
      <rPr>
        <vertAlign val="subscript"/>
        <sz val="11"/>
        <rFont val="Calibri"/>
        <family val="2"/>
        <scheme val="minor"/>
      </rPr>
      <t>2</t>
    </r>
    <r>
      <rPr>
        <sz val="11"/>
        <rFont val="Calibri"/>
        <family val="2"/>
        <scheme val="minor"/>
      </rPr>
      <t xml:space="preserve"> equivalent emission rates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separately and then sum with the CO</t>
    </r>
    <r>
      <rPr>
        <vertAlign val="subscript"/>
        <sz val="11"/>
        <rFont val="Calibri"/>
        <family val="2"/>
        <scheme val="minor"/>
      </rPr>
      <t>2</t>
    </r>
    <r>
      <rPr>
        <sz val="11"/>
        <rFont val="Calibri"/>
        <family val="2"/>
        <scheme val="minor"/>
      </rPr>
      <t xml:space="preserve"> emission rate to estimate the avoided CO</t>
    </r>
    <r>
      <rPr>
        <vertAlign val="subscript"/>
        <sz val="11"/>
        <rFont val="Calibri"/>
        <family val="2"/>
        <scheme val="minor"/>
      </rPr>
      <t>2</t>
    </r>
    <r>
      <rPr>
        <sz val="11"/>
        <rFont val="Calibri"/>
        <family val="2"/>
        <scheme val="minor"/>
      </rPr>
      <t>e emissions. There are two main reasons for this: 1) using a single emission rate simplifies the calculation, and 2) since the GWP factors for CH</t>
    </r>
    <r>
      <rPr>
        <vertAlign val="subscript"/>
        <sz val="11"/>
        <rFont val="Calibri"/>
        <family val="2"/>
        <scheme val="minor"/>
      </rPr>
      <t>4</t>
    </r>
    <r>
      <rPr>
        <sz val="11"/>
        <rFont val="Calibri"/>
        <family val="2"/>
        <scheme val="minor"/>
      </rPr>
      <t xml:space="preserve"> and NO</t>
    </r>
    <r>
      <rPr>
        <vertAlign val="subscript"/>
        <sz val="11"/>
        <rFont val="Calibri"/>
        <family val="2"/>
        <scheme val="minor"/>
      </rPr>
      <t>2</t>
    </r>
    <r>
      <rPr>
        <sz val="11"/>
        <rFont val="Calibri"/>
        <family val="2"/>
        <scheme val="minor"/>
      </rPr>
      <t xml:space="preserve"> are occasionally updated by the EPA, using the pre-calculated CO</t>
    </r>
    <r>
      <rPr>
        <vertAlign val="subscript"/>
        <sz val="11"/>
        <rFont val="Calibri"/>
        <family val="2"/>
        <scheme val="minor"/>
      </rPr>
      <t>2</t>
    </r>
    <r>
      <rPr>
        <sz val="11"/>
        <rFont val="Calibri"/>
        <family val="2"/>
        <scheme val="minor"/>
      </rPr>
      <t>e emission rate from eGRID ensures the inherent use of the most recent GWP factors in the calculation.</t>
    </r>
  </si>
  <si>
    <r>
      <t>2. The CO</t>
    </r>
    <r>
      <rPr>
        <vertAlign val="subscript"/>
        <sz val="9"/>
        <rFont val="Calibri"/>
        <family val="2"/>
        <scheme val="minor"/>
      </rPr>
      <t>2</t>
    </r>
    <r>
      <rPr>
        <sz val="9"/>
        <rFont val="Calibri"/>
        <family val="2"/>
        <scheme val="minor"/>
      </rPr>
      <t>e metric represents equivalent CO</t>
    </r>
    <r>
      <rPr>
        <vertAlign val="subscript"/>
        <sz val="9"/>
        <rFont val="Calibri"/>
        <family val="2"/>
        <scheme val="minor"/>
      </rPr>
      <t>2</t>
    </r>
    <r>
      <rPr>
        <sz val="9"/>
        <rFont val="Calibri"/>
        <family val="2"/>
        <scheme val="minor"/>
      </rPr>
      <t xml:space="preserve"> emissions from CO</t>
    </r>
    <r>
      <rPr>
        <vertAlign val="subscript"/>
        <sz val="9"/>
        <rFont val="Calibri"/>
        <family val="2"/>
        <scheme val="minor"/>
      </rPr>
      <t>2</t>
    </r>
    <r>
      <rPr>
        <sz val="9"/>
        <rFont val="Calibri"/>
        <family val="2"/>
        <scheme val="minor"/>
      </rPr>
      <t>, CH</t>
    </r>
    <r>
      <rPr>
        <vertAlign val="subscript"/>
        <sz val="9"/>
        <rFont val="Calibri"/>
        <family val="2"/>
        <scheme val="minor"/>
      </rPr>
      <t>4</t>
    </r>
    <r>
      <rPr>
        <sz val="9"/>
        <rFont val="Calibri"/>
        <family val="2"/>
        <scheme val="minor"/>
      </rPr>
      <t>, and N</t>
    </r>
    <r>
      <rPr>
        <vertAlign val="subscript"/>
        <sz val="9"/>
        <rFont val="Calibri"/>
        <family val="2"/>
        <scheme val="minor"/>
      </rPr>
      <t>2</t>
    </r>
    <r>
      <rPr>
        <sz val="9"/>
        <rFont val="Calibri"/>
        <family val="2"/>
        <scheme val="minor"/>
      </rPr>
      <t>O emissions. The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emissions are converted to equivalent CO</t>
    </r>
    <r>
      <rPr>
        <vertAlign val="subscript"/>
        <sz val="9"/>
        <rFont val="Calibri"/>
        <family val="2"/>
        <scheme val="minor"/>
      </rPr>
      <t>2</t>
    </r>
    <r>
      <rPr>
        <sz val="9"/>
        <rFont val="Calibri"/>
        <family val="2"/>
        <scheme val="minor"/>
      </rPr>
      <t xml:space="preserve"> emissions using 100-year global warming potential (GWP) factors that account for the higher GWP of CH</t>
    </r>
    <r>
      <rPr>
        <vertAlign val="subscript"/>
        <sz val="9"/>
        <rFont val="Calibri"/>
        <family val="2"/>
        <scheme val="minor"/>
      </rPr>
      <t>4</t>
    </r>
    <r>
      <rPr>
        <sz val="9"/>
        <rFont val="Calibri"/>
        <family val="2"/>
        <scheme val="minor"/>
      </rPr>
      <t xml:space="preserve"> and N</t>
    </r>
    <r>
      <rPr>
        <vertAlign val="subscript"/>
        <sz val="9"/>
        <rFont val="Calibri"/>
        <family val="2"/>
        <scheme val="minor"/>
      </rPr>
      <t>2</t>
    </r>
    <r>
      <rPr>
        <sz val="9"/>
        <rFont val="Calibri"/>
        <family val="2"/>
        <scheme val="minor"/>
      </rPr>
      <t>O relative to CO</t>
    </r>
    <r>
      <rPr>
        <vertAlign val="subscript"/>
        <sz val="9"/>
        <rFont val="Calibri"/>
        <family val="2"/>
        <scheme val="minor"/>
      </rPr>
      <t>2</t>
    </r>
    <r>
      <rPr>
        <sz val="9"/>
        <rFont val="Calibri"/>
        <family val="2"/>
        <scheme val="minor"/>
      </rPr>
      <t>. The U.S. EPA periodically updates the 100-year GWP values and the corresponding conversion factors as the Intergovernmental Panel on Climate Change (IPCC) releases new data. For the eGRID 2021 CO</t>
    </r>
    <r>
      <rPr>
        <vertAlign val="subscript"/>
        <sz val="9"/>
        <rFont val="Calibri"/>
        <family val="2"/>
        <scheme val="minor"/>
      </rPr>
      <t>2</t>
    </r>
    <r>
      <rPr>
        <sz val="9"/>
        <rFont val="Calibri"/>
        <family val="2"/>
        <scheme val="minor"/>
      </rPr>
      <t>e calculations, the EPA uses GWP values from the Fourth IPCC Assessment and assumes CH</t>
    </r>
    <r>
      <rPr>
        <vertAlign val="subscript"/>
        <sz val="9"/>
        <rFont val="Calibri"/>
        <family val="2"/>
        <scheme val="minor"/>
      </rPr>
      <t>4</t>
    </r>
    <r>
      <rPr>
        <sz val="9"/>
        <rFont val="Calibri"/>
        <family val="2"/>
        <scheme val="minor"/>
      </rPr>
      <t xml:space="preserve"> has a GWP of 25 times that of CO</t>
    </r>
    <r>
      <rPr>
        <vertAlign val="subscript"/>
        <sz val="9"/>
        <rFont val="Calibri"/>
        <family val="2"/>
        <scheme val="minor"/>
      </rPr>
      <t>2</t>
    </r>
    <r>
      <rPr>
        <sz val="9"/>
        <rFont val="Calibri"/>
        <family val="2"/>
        <scheme val="minor"/>
      </rPr>
      <t xml:space="preserve"> over 100 years and N</t>
    </r>
    <r>
      <rPr>
        <vertAlign val="subscript"/>
        <sz val="9"/>
        <rFont val="Calibri"/>
        <family val="2"/>
        <scheme val="minor"/>
      </rPr>
      <t>2</t>
    </r>
    <r>
      <rPr>
        <sz val="9"/>
        <rFont val="Calibri"/>
        <family val="2"/>
        <scheme val="minor"/>
      </rPr>
      <t>O has a GWP of 298 times that of CO</t>
    </r>
    <r>
      <rPr>
        <vertAlign val="subscript"/>
        <sz val="9"/>
        <rFont val="Calibri"/>
        <family val="2"/>
        <scheme val="minor"/>
      </rPr>
      <t>2</t>
    </r>
    <r>
      <rPr>
        <sz val="9"/>
        <rFont val="Calibri"/>
        <family val="2"/>
        <scheme val="minor"/>
      </rPr>
      <t xml:space="preserve"> for a 100-year timescale.</t>
    </r>
  </si>
  <si>
    <t>1. U.S. Environmental Protection Agency, Emissions &amp; Generation Resource Integrated Database (eGRID), eGRID Explorer, Table 3. State Output Emission Rates (eGRID2021), Data for State of Hawaii, January 30, 2023, https://www.epa.gov/system/files/documents/2023-01/eGRID2021_summary_tables.pdf.</t>
  </si>
  <si>
    <t>2. The Emissions &amp; Generation Resource Integrated Database, eGRID Technical Guide with Year 2021 Data, U.S. Environmental Protection Agency, January 2023, https://www.epa.gov/system/files/documents/2023-01/eGRID2021_technical_guide.pdf.</t>
  </si>
  <si>
    <t>Source: Greenhouse Gases Equivalencies Calculator - Calculations and References, U.S Environmental Protection Agency, Barrels of Oil Consumed, accessed February 21, 2023, https://www.epa.gov/energy/greenhouse-gases-equivalencies-calculator-calculations-and-references.</t>
  </si>
  <si>
    <t xml:space="preserve">Updated in Winter 2022-2023 for PY23 TRM. </t>
  </si>
  <si>
    <t>This measure relates to installing a new commercial combination oven meeting ENERGY STAR efficiency standards. Commercial combination ovens are convection ovens with the added capability to inject steam into the oven capacity. They offer three distinct cooking modes: hot air convection, steam heating, and a combination of both modes. The combination oven is also referred to as a combination oven/steamer, combi, or combo. ENERGY STAR commercial combination ovens are about 20-40% more energy efficient than standard models.</t>
  </si>
  <si>
    <t xml:space="preserve">Eligible ovens must be compliant with the current ENERGY STAR requirements:
• Full-size electric combination ovens must accommodate two 12.7 x 20.8 x 2.5-inch steam table pans per rack position. 
• Half-size electric convection ovens must accommodate one 12.7 x 20.8 x 2.5-inch steam table pan per rack position. 
• Cooking energy efficiency and idle energy rate must meet or exceed those specified in ENERGY STAR Version 3.0. </t>
  </si>
  <si>
    <t xml:space="preserve">For this characterization to apply, the baseline equipment is assumed to be a full-size or half-size electric combination oven not meeting the ENERGY STAR key product criteria and with a pan capacity equal to or more than three pans and equal to or less than 40 pans. </t>
  </si>
  <si>
    <t xml:space="preserve">For this characterization to apply, the efficient equipment is assumed to be a full-size or half-size electric combination convection oven meeting the minimum ENERGY STAR key product criteria and with a pan capacity equal to or more than three pans and equal to or less than 40 pans. </t>
  </si>
  <si>
    <t>Baseline equipment daily energy use</t>
  </si>
  <si>
    <t>High efficiency equipment daily energy use</t>
  </si>
  <si>
    <t>Daily preheat energy use</t>
  </si>
  <si>
    <t>US EPA Savings Calculator for ENERGY STAR Commercial Food Service (CFS) Products (07-15-21)</t>
  </si>
  <si>
    <t>Daily convection energy use</t>
  </si>
  <si>
    <t>Daily steam energy use</t>
  </si>
  <si>
    <t>Daily idle energy use in convection mode</t>
  </si>
  <si>
    <t>Daily idle energy use in steam mode</t>
  </si>
  <si>
    <t>Energy needed to cook 1 lb of food</t>
  </si>
  <si>
    <t>Energy efficiency of convection mode</t>
  </si>
  <si>
    <t>ENERGY STAR Version 3.0, Texas TRM</t>
  </si>
  <si>
    <t>Energy efficiency of steam mode</t>
  </si>
  <si>
    <t>Percentage of time in convection mode</t>
  </si>
  <si>
    <t>Number of daily preheat cycles</t>
  </si>
  <si>
    <t>Duration of preheat</t>
  </si>
  <si>
    <t>mins</t>
  </si>
  <si>
    <t>Daily idle time in convection mode</t>
  </si>
  <si>
    <t>Daily idle time in steam mode</t>
  </si>
  <si>
    <t>Idle power draw of steam mode</t>
  </si>
  <si>
    <t>MASSDAY</t>
  </si>
  <si>
    <t xml:space="preserve">Amount of food cooked daily </t>
  </si>
  <si>
    <t>lb</t>
  </si>
  <si>
    <t>2023 California eTRM</t>
  </si>
  <si>
    <t>Production capacity in convection mode</t>
  </si>
  <si>
    <t>lb/hr</t>
  </si>
  <si>
    <t xml:space="preserve">US EPA Savings Calculator for ENERGY STAR Commercial Food Service (CFS) Products (07-15-21) &amp; 2023 Texas TRM </t>
  </si>
  <si>
    <t>Production capacity in steam mode</t>
  </si>
  <si>
    <t>Number of sheet pans in oven</t>
  </si>
  <si>
    <t>See Table 1 footnotes</t>
  </si>
  <si>
    <t>AEG assumption for each capacity bin</t>
  </si>
  <si>
    <t>DAYHRS</t>
  </si>
  <si>
    <t>365 days; 12 hrs/day</t>
  </si>
  <si>
    <t>Expected useful life of measure</t>
  </si>
  <si>
    <t>PY23 TRM Commercial Kitchen Combination Oven Analysis File, "EUL Benchmarking" sheet</t>
  </si>
  <si>
    <t xml:space="preserve">1. The commercial kitchen combination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</si>
  <si>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3- 4 Pan Capacity</t>
  </si>
  <si>
    <t>Convection Mode</t>
  </si>
  <si>
    <t>Steam Mode</t>
  </si>
  <si>
    <t>Amount of food cooked daily (lbs), MASSDAY</t>
  </si>
  <si>
    <t>Daily idle energy use (Wh)</t>
  </si>
  <si>
    <t>Total daily energy use (Wh)</t>
  </si>
  <si>
    <t>5-14 Pan Capacity</t>
  </si>
  <si>
    <t>15-28 Pan Capacity</t>
  </si>
  <si>
    <t>28-40 Pan Capacity</t>
  </si>
  <si>
    <t xml:space="preserve">a. The idle power draw for high efficiency case is calculated using an average pan capacity of 4. Convection mode: ((0.05*4)+0.55)*1000W=750W. Steam mode: (0.6*4)*1000W=2400W. </t>
  </si>
  <si>
    <t>b. The idle power draw for high efficiency case is calculated using an average pan capacity of 10. Convection mode: ((0.083*10)+0.35)*1000W=1180W. Steam mode: ((0.133*10)+0.64)*1000W=1970W</t>
  </si>
  <si>
    <t>c. The idle power draw for high efficiency case is calculated using an average pan capacity of 22. Convection mode: ((0.083*22)+0.35)*1000W=2176W. Steam mode: ((0.133*22)+0.64)*1000W=2926W</t>
  </si>
  <si>
    <t>d. The idle power draw for high efficiency case is calculated using an average pan capacity of 22. Convection mode: ((0.083*34)+0.35)*1000W=3172W. Steam mode: ((0.133*34)+0.64)*1000W=5162W</t>
  </si>
  <si>
    <t>Oven Capacity</t>
  </si>
  <si>
    <t>3-4 Pans</t>
  </si>
  <si>
    <t>15-28 Pans</t>
  </si>
  <si>
    <t>29-40 Pans</t>
  </si>
  <si>
    <t>AEG's analysis file titled "PY23 TRM Commercial Kitchen Combination Oven - Analysis File."</t>
  </si>
  <si>
    <t>ENERGY STAR. 2023. "ENERGY STAR® Program Requirements Product Specification for Commercial Ovens - Eligibility Criteria Version 3.0." Effective on January 12, 2023. URL: https://www.energystar.gov/sites/default/files/ENERGY%20STAR%20Version%203.0%20Commercial%20Ovens%20Final%20Specification_0.pdf</t>
  </si>
  <si>
    <t>US EPA and US DOE. ENERGY STAR Savings Calculator for ENERGY STAR Commercial Food Service (CFS) Products. June 7, 2021. URL: https://www.energystar.gov/sites/default/files/asset/document/CFS_calculator_07-15-2021.xlsx</t>
  </si>
  <si>
    <t>California eTRM. Combination Oven, Commercial. SWFS003-02. November 10, 2022. URL: https://www.caetrm.com/measure/SWFS003/02/</t>
  </si>
  <si>
    <t xml:space="preserve">Itron, Inc. 2005-2005 Database for Energy Efficiency Resources (DEER) Update Study. Final Report. Prepared for Southern California Edison. December 2005. Table 3-14, p. 3-17. </t>
  </si>
  <si>
    <t xml:space="preserve">California Technical Forum. 2023. "CPUC Support Tables. Effective Useful Life and Remaining Useful Life." URL: https://www.caetrm.com/cpuc/table/effusefullife/. February 1, 2023. </t>
  </si>
  <si>
    <t xml:space="preserve">2023 Illinois Statewide Technical Reference Manual for Energy Efficiency
Version 11.0, Volume 2: Commercial and Industrial Measures FINAL. September 22, 2022. </t>
  </si>
  <si>
    <t xml:space="preserve">Texas Technical Reference Manual Version 10.0, Volume 3: Nonresidential Measures. Program Years 2023. November 2022. </t>
  </si>
  <si>
    <t>State of Minnesota Technical Reference Manual for Energy Conservation Improvement Program Version 3.3 FINAL. January 31, 2021.</t>
  </si>
  <si>
    <t>AEG 2023 Analysis</t>
  </si>
  <si>
    <r>
      <t>Custom</t>
    </r>
    <r>
      <rPr>
        <vertAlign val="superscript"/>
        <sz val="10"/>
        <color theme="1"/>
        <rFont val="Calibri"/>
        <family val="2"/>
        <scheme val="minor"/>
      </rPr>
      <t>10</t>
    </r>
  </si>
  <si>
    <r>
      <rPr>
        <vertAlign val="superscript"/>
        <sz val="9"/>
        <color theme="1"/>
        <rFont val="Calibri"/>
        <family val="2"/>
        <scheme val="minor"/>
      </rPr>
      <t>10</t>
    </r>
    <r>
      <rPr>
        <sz val="9"/>
        <color theme="1"/>
        <rFont val="Calibri"/>
        <family val="2"/>
        <scheme val="minor"/>
      </rPr>
      <t xml:space="preserve"> Default EUL is 30 years for distribution transformers. Documentation that the transformer is underloaded during average and peak operating conditions and is in good working order is required to justify EUL&gt;30 years.</t>
    </r>
  </si>
  <si>
    <t>A major update was conducted in Fall 2018 for the PY19 TRM. There were subsequent updates during 2020 through 2023 for new measures.</t>
  </si>
  <si>
    <r>
      <t>E</t>
    </r>
    <r>
      <rPr>
        <vertAlign val="subscript"/>
        <sz val="10.5"/>
        <rFont val="Calibri"/>
        <family val="2"/>
        <scheme val="minor"/>
      </rPr>
      <t>Baseline</t>
    </r>
  </si>
  <si>
    <r>
      <t>E</t>
    </r>
    <r>
      <rPr>
        <vertAlign val="subscript"/>
        <sz val="10.5"/>
        <rFont val="Calibri"/>
        <family val="2"/>
        <scheme val="minor"/>
      </rPr>
      <t>HE</t>
    </r>
  </si>
  <si>
    <r>
      <t>E</t>
    </r>
    <r>
      <rPr>
        <vertAlign val="subscript"/>
        <sz val="10.5"/>
        <rFont val="Calibri"/>
        <family val="2"/>
        <scheme val="minor"/>
      </rPr>
      <t>preheat</t>
    </r>
  </si>
  <si>
    <r>
      <t>E</t>
    </r>
    <r>
      <rPr>
        <vertAlign val="subscript"/>
        <sz val="10.5"/>
        <rFont val="Calibri"/>
        <family val="2"/>
        <scheme val="minor"/>
      </rPr>
      <t>convection</t>
    </r>
  </si>
  <si>
    <r>
      <t>E</t>
    </r>
    <r>
      <rPr>
        <vertAlign val="subscript"/>
        <sz val="10.5"/>
        <rFont val="Calibri"/>
        <family val="2"/>
        <scheme val="minor"/>
      </rPr>
      <t>steam</t>
    </r>
  </si>
  <si>
    <r>
      <t>E</t>
    </r>
    <r>
      <rPr>
        <vertAlign val="subscript"/>
        <sz val="10.5"/>
        <rFont val="Calibri"/>
        <family val="2"/>
        <scheme val="minor"/>
      </rPr>
      <t>idle,convection</t>
    </r>
  </si>
  <si>
    <r>
      <t>E</t>
    </r>
    <r>
      <rPr>
        <vertAlign val="subscript"/>
        <sz val="10.5"/>
        <rFont val="Calibri"/>
        <family val="2"/>
        <scheme val="minor"/>
      </rPr>
      <t>idle,steam</t>
    </r>
  </si>
  <si>
    <r>
      <t>EPM</t>
    </r>
    <r>
      <rPr>
        <vertAlign val="subscript"/>
        <sz val="10.5"/>
        <rFont val="Calibri"/>
        <family val="2"/>
        <scheme val="minor"/>
      </rPr>
      <t>convection</t>
    </r>
  </si>
  <si>
    <r>
      <t>EPM</t>
    </r>
    <r>
      <rPr>
        <vertAlign val="subscript"/>
        <sz val="10.5"/>
        <rFont val="Calibri"/>
        <family val="2"/>
        <scheme val="minor"/>
      </rPr>
      <t>steam</t>
    </r>
  </si>
  <si>
    <r>
      <rPr>
        <sz val="10.5"/>
        <rFont val="Calibri"/>
        <family val="2"/>
      </rPr>
      <t>ƞ</t>
    </r>
    <r>
      <rPr>
        <vertAlign val="subscript"/>
        <sz val="10.5"/>
        <rFont val="Calibri"/>
        <family val="2"/>
        <scheme val="minor"/>
      </rPr>
      <t>convection</t>
    </r>
  </si>
  <si>
    <r>
      <rPr>
        <sz val="10.5"/>
        <rFont val="Calibri"/>
        <family val="2"/>
      </rPr>
      <t>ƞ</t>
    </r>
    <r>
      <rPr>
        <vertAlign val="subscript"/>
        <sz val="10.5"/>
        <rFont val="Calibri"/>
        <family val="2"/>
        <scheme val="minor"/>
      </rPr>
      <t>steam</t>
    </r>
  </si>
  <si>
    <r>
      <rPr>
        <sz val="10.5"/>
        <rFont val="Calibri"/>
        <family val="2"/>
      </rPr>
      <t>%</t>
    </r>
    <r>
      <rPr>
        <vertAlign val="subscript"/>
        <sz val="10.5"/>
        <rFont val="Calibri"/>
        <family val="2"/>
        <scheme val="minor"/>
      </rPr>
      <t>convection</t>
    </r>
  </si>
  <si>
    <r>
      <rPr>
        <sz val="10.5"/>
        <rFont val="Calibri"/>
        <family val="2"/>
      </rPr>
      <t>%</t>
    </r>
    <r>
      <rPr>
        <vertAlign val="subscript"/>
        <sz val="10.5"/>
        <rFont val="Calibri"/>
        <family val="2"/>
        <scheme val="minor"/>
      </rPr>
      <t>steam</t>
    </r>
  </si>
  <si>
    <r>
      <t>n</t>
    </r>
    <r>
      <rPr>
        <vertAlign val="subscript"/>
        <sz val="10.5"/>
        <rFont val="Calibri"/>
        <family val="2"/>
        <scheme val="minor"/>
      </rPr>
      <t>preheat</t>
    </r>
  </si>
  <si>
    <r>
      <t>t</t>
    </r>
    <r>
      <rPr>
        <vertAlign val="subscript"/>
        <sz val="10.5"/>
        <rFont val="Calibri"/>
        <family val="2"/>
        <scheme val="minor"/>
      </rPr>
      <t>preheat</t>
    </r>
  </si>
  <si>
    <r>
      <t>t</t>
    </r>
    <r>
      <rPr>
        <vertAlign val="subscript"/>
        <sz val="10.5"/>
        <rFont val="Calibri"/>
        <family val="2"/>
        <scheme val="minor"/>
      </rPr>
      <t>idle,convection</t>
    </r>
  </si>
  <si>
    <r>
      <t>t</t>
    </r>
    <r>
      <rPr>
        <vertAlign val="subscript"/>
        <sz val="10.5"/>
        <rFont val="Calibri"/>
        <family val="2"/>
        <scheme val="minor"/>
      </rPr>
      <t>idle,steam</t>
    </r>
  </si>
  <si>
    <r>
      <t>P</t>
    </r>
    <r>
      <rPr>
        <vertAlign val="subscript"/>
        <sz val="10.5"/>
        <rFont val="Calibri"/>
        <family val="2"/>
        <scheme val="minor"/>
      </rPr>
      <t>idle,convection</t>
    </r>
  </si>
  <si>
    <r>
      <t>P</t>
    </r>
    <r>
      <rPr>
        <vertAlign val="subscript"/>
        <sz val="10.5"/>
        <rFont val="Calibri"/>
        <family val="2"/>
        <scheme val="minor"/>
      </rPr>
      <t>idle,steam</t>
    </r>
  </si>
  <si>
    <r>
      <t>CAP</t>
    </r>
    <r>
      <rPr>
        <vertAlign val="subscript"/>
        <sz val="10.5"/>
        <rFont val="Calibri"/>
        <family val="2"/>
        <scheme val="minor"/>
      </rPr>
      <t>convection</t>
    </r>
  </si>
  <si>
    <r>
      <t>CAP</t>
    </r>
    <r>
      <rPr>
        <vertAlign val="subscript"/>
        <sz val="10.5"/>
        <rFont val="Calibri"/>
        <family val="2"/>
        <scheme val="minor"/>
      </rPr>
      <t>steam</t>
    </r>
  </si>
  <si>
    <r>
      <t>2004-2005 DEER Update Study</t>
    </r>
    <r>
      <rPr>
        <vertAlign val="superscript"/>
        <sz val="10.5"/>
        <rFont val="Calibri"/>
        <family val="2"/>
        <scheme val="minor"/>
      </rPr>
      <t>1</t>
    </r>
  </si>
  <si>
    <r>
      <t>Percentage of time in convection/steam mode, %</t>
    </r>
    <r>
      <rPr>
        <vertAlign val="subscript"/>
        <sz val="10.5"/>
        <rFont val="Calibri"/>
        <family val="2"/>
        <scheme val="minor"/>
      </rPr>
      <t>convection</t>
    </r>
    <r>
      <rPr>
        <sz val="10.5"/>
        <rFont val="Calibri"/>
        <family val="2"/>
        <scheme val="minor"/>
      </rPr>
      <t>, %</t>
    </r>
    <r>
      <rPr>
        <vertAlign val="subscript"/>
        <sz val="10.5"/>
        <rFont val="Calibri"/>
        <family val="2"/>
        <scheme val="minor"/>
      </rPr>
      <t>steam</t>
    </r>
  </si>
  <si>
    <r>
      <t>Energy efficiency of convection/steam mode, ƞ</t>
    </r>
    <r>
      <rPr>
        <vertAlign val="subscript"/>
        <sz val="10.5"/>
        <rFont val="Calibri"/>
        <family val="2"/>
        <scheme val="minor"/>
      </rPr>
      <t>convection</t>
    </r>
    <r>
      <rPr>
        <sz val="10.5"/>
        <rFont val="Calibri"/>
        <family val="2"/>
        <scheme val="minor"/>
      </rPr>
      <t>, ƞ</t>
    </r>
    <r>
      <rPr>
        <vertAlign val="subscript"/>
        <sz val="10.5"/>
        <rFont val="Calibri"/>
        <family val="2"/>
        <scheme val="minor"/>
      </rPr>
      <t>steam</t>
    </r>
  </si>
  <si>
    <r>
      <t>Production capacity in convection/steam mode (lbs/hr), CAP</t>
    </r>
    <r>
      <rPr>
        <vertAlign val="subscript"/>
        <sz val="10.5"/>
        <rFont val="Calibri"/>
        <family val="2"/>
        <scheme val="minor"/>
      </rPr>
      <t>convection</t>
    </r>
    <r>
      <rPr>
        <sz val="10.5"/>
        <rFont val="Calibri"/>
        <family val="2"/>
        <scheme val="minor"/>
      </rPr>
      <t>,  CAP</t>
    </r>
    <r>
      <rPr>
        <vertAlign val="subscript"/>
        <sz val="10.5"/>
        <rFont val="Calibri"/>
        <family val="2"/>
        <scheme val="minor"/>
      </rPr>
      <t>steam</t>
    </r>
  </si>
  <si>
    <r>
      <t>Number of daily preheat cycles, n</t>
    </r>
    <r>
      <rPr>
        <vertAlign val="subscript"/>
        <sz val="10.5"/>
        <rFont val="Calibri"/>
        <family val="2"/>
        <scheme val="minor"/>
      </rPr>
      <t>preheat</t>
    </r>
    <r>
      <rPr>
        <sz val="10.5"/>
        <rFont val="Calibri"/>
        <family val="2"/>
        <scheme val="minor"/>
      </rPr>
      <t xml:space="preserve"> </t>
    </r>
  </si>
  <si>
    <r>
      <t>Duration of preheat (minutes), t</t>
    </r>
    <r>
      <rPr>
        <vertAlign val="subscript"/>
        <sz val="10.5"/>
        <rFont val="Calibri"/>
        <family val="2"/>
        <scheme val="minor"/>
      </rPr>
      <t>preheat</t>
    </r>
  </si>
  <si>
    <r>
      <t>Preheat energy use (Wh), E</t>
    </r>
    <r>
      <rPr>
        <vertAlign val="subscript"/>
        <sz val="10.5"/>
        <rFont val="Calibri"/>
        <family val="2"/>
        <scheme val="minor"/>
      </rPr>
      <t>preheat</t>
    </r>
  </si>
  <si>
    <r>
      <t>Idle power draw of convection/steam mode (W)</t>
    </r>
    <r>
      <rPr>
        <vertAlign val="superscript"/>
        <sz val="10.5"/>
        <rFont val="Calibri"/>
        <family val="2"/>
        <scheme val="minor"/>
      </rPr>
      <t>a</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</si>
  <si>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Energy needed to cook/steam 1 lb of food (Wh/pound), EPM</t>
    </r>
    <r>
      <rPr>
        <vertAlign val="subscript"/>
        <sz val="10.5"/>
        <rFont val="Calibri"/>
        <family val="2"/>
        <scheme val="minor"/>
      </rPr>
      <t>convection</t>
    </r>
    <r>
      <rPr>
        <sz val="10.5"/>
        <rFont val="Calibri"/>
        <family val="2"/>
        <scheme val="minor"/>
      </rPr>
      <t>,  EPM</t>
    </r>
    <r>
      <rPr>
        <vertAlign val="subscript"/>
        <sz val="10.5"/>
        <rFont val="Calibri"/>
        <family val="2"/>
        <scheme val="minor"/>
      </rPr>
      <t>steam</t>
    </r>
  </si>
  <si>
    <r>
      <t>Daily convection/steam  energy use (Wh), E</t>
    </r>
    <r>
      <rPr>
        <vertAlign val="subscript"/>
        <sz val="10.5"/>
        <rFont val="Calibri"/>
        <family val="2"/>
        <scheme val="minor"/>
      </rPr>
      <t>convection</t>
    </r>
    <r>
      <rPr>
        <sz val="10.5"/>
        <rFont val="Calibri"/>
        <family val="2"/>
        <scheme val="minor"/>
      </rPr>
      <t>, E</t>
    </r>
    <r>
      <rPr>
        <vertAlign val="subscript"/>
        <sz val="10.5"/>
        <rFont val="Calibri"/>
        <family val="2"/>
        <scheme val="minor"/>
      </rPr>
      <t>steam</t>
    </r>
  </si>
  <si>
    <r>
      <t>Daily idle time in convection/steam mode (hours), t</t>
    </r>
    <r>
      <rPr>
        <vertAlign val="subscript"/>
        <sz val="10.5"/>
        <rFont val="Calibri"/>
        <family val="2"/>
        <scheme val="minor"/>
      </rPr>
      <t>idle,convection</t>
    </r>
    <r>
      <rPr>
        <sz val="10.5"/>
        <rFont val="Calibri"/>
        <family val="2"/>
        <scheme val="minor"/>
      </rPr>
      <t>, t</t>
    </r>
    <r>
      <rPr>
        <vertAlign val="subscript"/>
        <sz val="10.5"/>
        <rFont val="Calibri"/>
        <family val="2"/>
        <scheme val="minor"/>
      </rPr>
      <t>idle,steam</t>
    </r>
  </si>
  <si>
    <r>
      <t>Idle power draw of convection/steam mode (W)</t>
    </r>
    <r>
      <rPr>
        <vertAlign val="superscript"/>
        <sz val="10.5"/>
        <rFont val="Calibri"/>
        <family val="2"/>
        <scheme val="minor"/>
      </rPr>
      <t>b</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</si>
  <si>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r>
      <t>Daily idle energy use (Wh), E</t>
    </r>
    <r>
      <rPr>
        <vertAlign val="subscript"/>
        <sz val="10.5"/>
        <rFont val="Calibri"/>
        <family val="2"/>
        <scheme val="minor"/>
      </rPr>
      <t>idle,convection</t>
    </r>
    <r>
      <rPr>
        <sz val="10.5"/>
        <rFont val="Calibri"/>
        <family val="2"/>
        <scheme val="minor"/>
      </rPr>
      <t>, E</t>
    </r>
    <r>
      <rPr>
        <vertAlign val="subscript"/>
        <sz val="10.5"/>
        <rFont val="Calibri"/>
        <family val="2"/>
        <scheme val="minor"/>
      </rPr>
      <t>idle,steam</t>
    </r>
  </si>
  <si>
    <r>
      <t>Idle power draw of convection/steam mode (W)</t>
    </r>
    <r>
      <rPr>
        <vertAlign val="superscript"/>
        <sz val="10.5"/>
        <rFont val="Calibri"/>
        <family val="2"/>
        <scheme val="minor"/>
      </rPr>
      <t>c</t>
    </r>
    <r>
      <rPr>
        <sz val="10.5"/>
        <rFont val="Calibri"/>
        <family val="2"/>
        <scheme val="minor"/>
      </rPr>
      <t>, P</t>
    </r>
    <r>
      <rPr>
        <vertAlign val="subscript"/>
        <sz val="10.5"/>
        <rFont val="Calibri"/>
        <family val="2"/>
        <scheme val="minor"/>
      </rPr>
      <t>idle,convection</t>
    </r>
    <r>
      <rPr>
        <sz val="10.5"/>
        <rFont val="Calibri"/>
        <family val="2"/>
        <scheme val="minor"/>
      </rPr>
      <t>,  P</t>
    </r>
    <r>
      <rPr>
        <vertAlign val="subscript"/>
        <sz val="10.5"/>
        <rFont val="Calibri"/>
        <family val="2"/>
        <scheme val="minor"/>
      </rPr>
      <t>idle,steam</t>
    </r>
  </si>
  <si>
    <t>Cover Page *</t>
  </si>
  <si>
    <t>Changes from PY22 *</t>
  </si>
  <si>
    <t>Signatures *</t>
  </si>
  <si>
    <t>Introduction *</t>
  </si>
  <si>
    <t>Codes &amp; Standards Tracking *</t>
  </si>
  <si>
    <t>Master EUL *</t>
  </si>
  <si>
    <t>Issues Log *</t>
  </si>
  <si>
    <t>This measure relates to installing a new commercial convection oven meeting ENERGY STAR efficiency standards. Commercial convection ovens cook food by forcing hot, dry air over the food product surface. The rapidly moving hot air strips away the colder air layer next to the food surface and causes the food to absorb the heat. While this measure does not include convection ovens that can heat the cooking cavity with saturated or superheated steam, it encompasses convection ovens that may have moisture injection capabilities (e.g., baking ovens and moisture-assist ovens). Convection ovens with a hold feature are eligible as long as convection is the only method used to cook the food. ENERGY STAR commercial full-size convection ovens are about 10-30% more energy efficient than standard models.</t>
  </si>
  <si>
    <t xml:space="preserve">Eligible ovens must be compliant with the current ENERGY STAR requirements:
• Full-size electric convection ovens must accommodate standard full-size sheets pans measuring 18 x 26 x 1 inch. 
• Half-size electric convection ovens must accommodate half-size sheets pans measuring 18 x 13 x 1 inch. 
• Cooking energy efficiency and idle energy rate must meet or exceed those specified in ENERGY STAR Version 3.0. </t>
  </si>
  <si>
    <t>For this characterization to apply, the baseline equipment is assumed to be a full-size or half-size electric convection oven not meeting the ENERGY STAR key product criteria.</t>
  </si>
  <si>
    <t>For this characterization to apply, the efficient equipment is assumed to be a full-size or half-size convection oven meeting the minimum ENERGY STAR key product criteria.</t>
  </si>
  <si>
    <t>Daily cooking energy use</t>
  </si>
  <si>
    <t>Daily idle energy use</t>
  </si>
  <si>
    <t>EPM</t>
  </si>
  <si>
    <t>Cooking energey efficiency</t>
  </si>
  <si>
    <t>US EPA Savings Calculator for ENERGY STAR Commercial Food Service (CFS) Products (07-15-21) &amp; ENERGY STAR 5.0</t>
  </si>
  <si>
    <t>US EPA Savings Calculator for ENERGY STAR Commercial Food Service (CFS) Product</t>
  </si>
  <si>
    <t xml:space="preserve">Daily idle time </t>
  </si>
  <si>
    <t>Idle power draw</t>
  </si>
  <si>
    <t>270 days; 10 hrs/day</t>
  </si>
  <si>
    <t>Estimated useful life of measure</t>
  </si>
  <si>
    <t>PY23 TRM Commercial Kitchen Convection Oven Analysis File, "EUL Benchmarking" sheet</t>
  </si>
  <si>
    <t xml:space="preserve">1. The commercial kitchen convection oven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</si>
  <si>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Half-size Oven</t>
  </si>
  <si>
    <t>EnergyStar</t>
  </si>
  <si>
    <t>Production capacity (lbs/hr), CAP</t>
  </si>
  <si>
    <t>Energy need to cook 1 lb of food (Wh/pound), EPM</t>
  </si>
  <si>
    <t>Total daily energy (Wh), E</t>
  </si>
  <si>
    <t>AEG's analysis file titled "PY23 TRM Commercial Kitchen Convection Oven Analysis File."</t>
  </si>
  <si>
    <t>California eTRM. Convection Oven, Commercial. SWFS001-02. December 23, 2021. URL: https://www.caetrm.com/measure/SWFS001/02/</t>
  </si>
  <si>
    <t>Southern California Gas Company (SCG). "UpdatePlan_Conv Oven_12292019.xlsx." August 5, 2019. URL: https://www.caetrm.com/media/reference-documents/Update_Plan_Conv_Oven_12292019.xlsx</t>
  </si>
  <si>
    <r>
      <t>E</t>
    </r>
    <r>
      <rPr>
        <vertAlign val="subscript"/>
        <sz val="10.5"/>
        <rFont val="Calibri"/>
        <family val="2"/>
        <scheme val="minor"/>
      </rPr>
      <t>cook</t>
    </r>
  </si>
  <si>
    <r>
      <t>E</t>
    </r>
    <r>
      <rPr>
        <vertAlign val="subscript"/>
        <sz val="10.5"/>
        <rFont val="Calibri"/>
        <family val="2"/>
        <scheme val="minor"/>
      </rPr>
      <t>idle</t>
    </r>
  </si>
  <si>
    <r>
      <rPr>
        <sz val="10.5"/>
        <rFont val="Calibri"/>
        <family val="2"/>
      </rPr>
      <t>ƞ</t>
    </r>
    <r>
      <rPr>
        <vertAlign val="subscript"/>
        <sz val="10.5"/>
        <rFont val="Calibri"/>
        <family val="2"/>
        <scheme val="minor"/>
      </rPr>
      <t>cook</t>
    </r>
  </si>
  <si>
    <r>
      <t>t</t>
    </r>
    <r>
      <rPr>
        <vertAlign val="subscript"/>
        <sz val="10.5"/>
        <rFont val="Calibri"/>
        <family val="2"/>
        <scheme val="minor"/>
      </rPr>
      <t>Idle</t>
    </r>
  </si>
  <si>
    <r>
      <t>P</t>
    </r>
    <r>
      <rPr>
        <vertAlign val="subscript"/>
        <sz val="10.5"/>
        <rFont val="Calibri"/>
        <family val="2"/>
        <scheme val="minor"/>
      </rPr>
      <t>idle</t>
    </r>
  </si>
  <si>
    <r>
      <t xml:space="preserve">Full-size Oven </t>
    </r>
    <r>
      <rPr>
        <b/>
        <sz val="10.5"/>
        <rFont val="Calibri"/>
        <family val="2"/>
      </rPr>
      <t>≥</t>
    </r>
    <r>
      <rPr>
        <b/>
        <sz val="10.5"/>
        <rFont val="Calibri"/>
        <family val="2"/>
        <scheme val="minor"/>
      </rPr>
      <t>5 Pans</t>
    </r>
  </si>
  <si>
    <r>
      <t xml:space="preserve">Full-size Oven </t>
    </r>
    <r>
      <rPr>
        <b/>
        <sz val="10.5"/>
        <rFont val="Calibri"/>
        <family val="2"/>
      </rPr>
      <t>&lt;</t>
    </r>
    <r>
      <rPr>
        <b/>
        <sz val="10.5"/>
        <rFont val="Calibri"/>
        <family val="2"/>
        <scheme val="minor"/>
      </rPr>
      <t>5 Pans</t>
    </r>
  </si>
  <si>
    <r>
      <t>Cooking energy efficiency, ƞ</t>
    </r>
    <r>
      <rPr>
        <vertAlign val="subscript"/>
        <sz val="10.5"/>
        <rFont val="Calibri"/>
        <family val="2"/>
        <scheme val="minor"/>
      </rPr>
      <t>cook</t>
    </r>
  </si>
  <si>
    <r>
      <t>Number of daily preheat cycles, n</t>
    </r>
    <r>
      <rPr>
        <vertAlign val="subscript"/>
        <sz val="10.5"/>
        <rFont val="Calibri"/>
        <family val="2"/>
        <scheme val="minor"/>
      </rPr>
      <t xml:space="preserve">preheat </t>
    </r>
  </si>
  <si>
    <r>
      <t>Preheat energy (Wh), E</t>
    </r>
    <r>
      <rPr>
        <vertAlign val="subscript"/>
        <sz val="10.5"/>
        <rFont val="Calibri"/>
        <family val="2"/>
        <scheme val="minor"/>
      </rPr>
      <t>preheat</t>
    </r>
  </si>
  <si>
    <r>
      <t>Idle  power draw (W), P</t>
    </r>
    <r>
      <rPr>
        <vertAlign val="subscript"/>
        <sz val="10.5"/>
        <rFont val="Calibri"/>
        <family val="2"/>
        <scheme val="minor"/>
      </rPr>
      <t>idle</t>
    </r>
  </si>
  <si>
    <r>
      <t>Cooking daily energy usage (Wh), E</t>
    </r>
    <r>
      <rPr>
        <vertAlign val="subscript"/>
        <sz val="10.5"/>
        <rFont val="Calibri"/>
        <family val="2"/>
        <scheme val="minor"/>
      </rPr>
      <t>cook</t>
    </r>
  </si>
  <si>
    <r>
      <t>Daily idling time (hours), t</t>
    </r>
    <r>
      <rPr>
        <vertAlign val="subscript"/>
        <sz val="10.5"/>
        <rFont val="Calibri"/>
        <family val="2"/>
        <scheme val="minor"/>
      </rPr>
      <t>idle</t>
    </r>
  </si>
  <si>
    <r>
      <t>Idling daily energy usage (Wh), E</t>
    </r>
    <r>
      <rPr>
        <vertAlign val="subscript"/>
        <sz val="10.5"/>
        <rFont val="Calibri"/>
        <family val="2"/>
        <scheme val="minor"/>
      </rPr>
      <t>idle</t>
    </r>
  </si>
  <si>
    <r>
      <t xml:space="preserve">Full-size Oven </t>
    </r>
    <r>
      <rPr>
        <sz val="11"/>
        <rFont val="Calibri"/>
        <family val="2"/>
      </rPr>
      <t>≥5 Pans</t>
    </r>
  </si>
  <si>
    <r>
      <t xml:space="preserve">Full-size Oven </t>
    </r>
    <r>
      <rPr>
        <sz val="11"/>
        <rFont val="Calibri"/>
        <family val="2"/>
      </rPr>
      <t>&lt;</t>
    </r>
    <r>
      <rPr>
        <sz val="11"/>
        <rFont val="Calibri"/>
        <family val="2"/>
        <scheme val="minor"/>
      </rPr>
      <t>5 Pans</t>
    </r>
  </si>
  <si>
    <t xml:space="preserve">This measure relates to installing a new air cooled, automatic commercial ice machine meeting ENERGY STAR efficiency standards. Automatic commercial ice machines are factory-made assemblies consisting of a condensing unit and an ice making section operating as an integrated unit for making and harvesting ice. They can be of the batch type with alternating freezing and harvesting periods or the continuous type with continual freezing and harvesting of ice simultaneously. The measure applies to energy efficient air-cooled ice machines, both batch and continuous types.  Commercial automatic ice machines are categorized into three equipment types: ice maker heads (IMH), remote condensing units (TCUs), and self contained units (SCUs). ENERGY STAR batch type and continuous type ice machines are about 10% and 16% more energy efficient than standard models. </t>
  </si>
  <si>
    <t xml:space="preserve">This incentive applies to purchasing new or replacement with high efficiency air-cooled batch and continuous type ice machines of the following design types: ice making heads (IMHs), remote condensing units (RCUs), and self-contained units (SCUs). The high efficiency ice machines must meet or exceed the ENERGY STAR product criteria. Water cooled ice machines, ice machines with ice and water dispensing systems, and air cooled RCUs designed only for connection to remote track compressors are ineligible. Any commercial building type is eligible. </t>
  </si>
  <si>
    <t>For this characterization to apply, the baseline equipment is assumed to be a commercial ice machine meeting the federal standards published in 10 CFR 431, with an ice harvest rate capacity between 50 and 4000 pounds per 24 hour period. See Tables 1 and 2 below.</t>
  </si>
  <si>
    <t>For this characterization to apply, the high efficiency equipment is assumed to be a  commercial ice machine meeting or exceeding the ENERGY STAR key product criteria, with an  ice harvest rate capacity between 50 and 4000 pounds per 24 hour period. See Tables 1 and 2 below.</t>
  </si>
  <si>
    <t>Baseline equipment energy usage per 100 lbs of ice</t>
  </si>
  <si>
    <t>High efficiency equipment energy usage per 100 lbs of ice</t>
  </si>
  <si>
    <t>ENERGY STAR CFS Calculator</t>
  </si>
  <si>
    <t>H</t>
  </si>
  <si>
    <t>Ice harvest rate</t>
  </si>
  <si>
    <t>Tables 1, 2 &amp; 3</t>
  </si>
  <si>
    <t>lbs/24 hrs</t>
  </si>
  <si>
    <t>365 days * 0.75 *24 hrs</t>
  </si>
  <si>
    <t>PY23 TRM Commercial Kitchen Ice Machine Analysis File, "EUL Benchmarking" sheet</t>
  </si>
  <si>
    <t xml:space="preserve">1. The commercial kitchen ice machine measure is assumed to operate within the California DEER peak period of 4-9 pm on weekdays at a constant load throughout the day. Hawaii's peak period is 5-9 pm non-holiday weekdays (year-round), similar to California's peak period of 4-9 pm on weekdays. As such, a CF of 0.90 is appropriate to use for Hawaii. The CF value should be updated with Hawaii-specific load shape analysis in the future. </t>
  </si>
  <si>
    <t>Table 1.  ENERGY STAR Requirements and Federal Minimum Standards for Air Cooled Batch Type Ice Machines</t>
  </si>
  <si>
    <t>Ice Harvest Rate (H)
(lbs ice/24 hrs)</t>
  </si>
  <si>
    <t>Daily Energy Use Rate
(kWh/100 lbs)</t>
  </si>
  <si>
    <t xml:space="preserve"> Potable Water Use
(gal/100 lbs ice)</t>
  </si>
  <si>
    <t>Ice Maker Heads (IMH)</t>
  </si>
  <si>
    <t>H &lt; 300</t>
  </si>
  <si>
    <t>≤ 9.20 - 0.01134*H</t>
  </si>
  <si>
    <t>≤ 20.0</t>
  </si>
  <si>
    <t>10 - 0.01233*H</t>
  </si>
  <si>
    <t>≤ 6.49 - 0.0023*H</t>
  </si>
  <si>
    <t>7.05 - 0.0025*H</t>
  </si>
  <si>
    <t>≤ 5.11 - 0.00058*H</t>
  </si>
  <si>
    <t>5.55 - 0.00063*H</t>
  </si>
  <si>
    <t>≤ 4.24</t>
  </si>
  <si>
    <t>Remote Condensing Unit (RCU) but not Remote Compressor</t>
  </si>
  <si>
    <t>H &lt; 988</t>
  </si>
  <si>
    <t>≤ 7.17 - 0.00308*H</t>
  </si>
  <si>
    <t>7.97 - 0.00342*H</t>
  </si>
  <si>
    <t>≤ 4.13</t>
  </si>
  <si>
    <t>Self-Contained Units (SCU)</t>
  </si>
  <si>
    <t>&lt; 110</t>
  </si>
  <si>
    <t>≤ 12.57 - 0.0399*H</t>
  </si>
  <si>
    <t>≤ 25</t>
  </si>
  <si>
    <t>14.79 - 0.0469*H</t>
  </si>
  <si>
    <t>≤ 10.56 - 0.0215*H</t>
  </si>
  <si>
    <t>12.42 - 0.02533*H</t>
  </si>
  <si>
    <t>≤ 6.25</t>
  </si>
  <si>
    <t>Table 2.  ENERGY STAR Requirements and Federal Minimum Standards for Air Cooled Continuous Type Ice Machines</t>
  </si>
  <si>
    <t>H &lt; 310</t>
  </si>
  <si>
    <t>≤ 7.90 - 0.005409*H</t>
  </si>
  <si>
    <t>≤ 15.0</t>
  </si>
  <si>
    <t>9.19 - 0.00629*H</t>
  </si>
  <si>
    <t>≤ 7.08 - 0.002752*H</t>
  </si>
  <si>
    <t>8.23 - 0.0032*H</t>
  </si>
  <si>
    <t>≤ 4.82</t>
  </si>
  <si>
    <t>H &lt; 800</t>
  </si>
  <si>
    <t>≤ 7.76 - 0.00464*H</t>
  </si>
  <si>
    <t>9.7 - 0.0058*H</t>
  </si>
  <si>
    <t>≤ 4.05</t>
  </si>
  <si>
    <t>H &lt; 200</t>
  </si>
  <si>
    <t>≤ 12.37 - 0.0261*H</t>
  </si>
  <si>
    <t>14.22 - 0.03*H</t>
  </si>
  <si>
    <t>≤ 8.24 - 0.005429*H</t>
  </si>
  <si>
    <t>9.47 - 0.00624*H</t>
  </si>
  <si>
    <t>700 ≤ H &lt; 4000</t>
  </si>
  <si>
    <t>≤ 4.44</t>
  </si>
  <si>
    <t>Table 3.  Summary of Savings Calculations</t>
  </si>
  <si>
    <t>Air-Cooled Ice Machine, Batch Operation</t>
  </si>
  <si>
    <t>H
(lbs  ice/ 24 hrs)</t>
  </si>
  <si>
    <t>Energy Use per 100 lbs 
(kWh/100 lbs)</t>
  </si>
  <si>
    <t>Daily Energy Use 
(kWh)</t>
  </si>
  <si>
    <t>Annual Energy Use
 (kWh)</t>
  </si>
  <si>
    <t>High Eff</t>
  </si>
  <si>
    <t>IMH Batch,
H &lt; 300</t>
  </si>
  <si>
    <t>SCU Batch, 
H &lt; 110</t>
  </si>
  <si>
    <t>Air-Cooled Ice Machine, Continuous Operation</t>
  </si>
  <si>
    <t>IMH Continuous,
H &lt; 310</t>
  </si>
  <si>
    <t>IMH Continuous,
H &lt; 200</t>
  </si>
  <si>
    <t>IMH Continuous, 
H &lt; 310</t>
  </si>
  <si>
    <t>SCU Continuous, 
H &lt; 200</t>
  </si>
  <si>
    <t>AEG's analysis file titled "PY23 TRM Commercial Kitchen Ice Machine Analysis File."</t>
  </si>
  <si>
    <t>Code of Federal Regulations at 10 CFR 431.66. URL: https://www.ecfr.gov/current/title-10/chapter-II/subchapter-D/part-431/subpart-H?toc=1.</t>
  </si>
  <si>
    <t>ENERGY STAR. 2023. "ENERGY STAR® Program Requirements Product Specification for Commercial Ice Machines - Eligibility Criteria Version 3.0." Effective on January 28, 2018. URL: https://www.energystar.gov/sites/default/files/Final%20V3.0%20ACIM%20Specification%205-17-17_1_0.pdf</t>
  </si>
  <si>
    <t>California eTRM. Ice Machine, Commercial. SWFS006-02. January 19, 2023. URL: https://www.caetrm.com/measure/SWFS006/02/</t>
  </si>
  <si>
    <t xml:space="preserve">New Jersey Board of Public Utilities, New  Jersey's Clean Energy ProgramTM Protocols to Measure Resource Savings, FY2020. July 20, 2019, page 145. </t>
  </si>
  <si>
    <r>
      <rPr>
        <sz val="10.5"/>
        <rFont val="Calibri"/>
        <family val="2"/>
        <scheme val="minor"/>
      </rPr>
      <t>E</t>
    </r>
    <r>
      <rPr>
        <vertAlign val="subscript"/>
        <sz val="10.5"/>
        <rFont val="Calibri"/>
        <family val="2"/>
        <scheme val="minor"/>
      </rPr>
      <t>Baseline,100lb</t>
    </r>
  </si>
  <si>
    <r>
      <rPr>
        <sz val="10.5"/>
        <rFont val="Calibri"/>
        <family val="2"/>
        <scheme val="minor"/>
      </rPr>
      <t>E</t>
    </r>
    <r>
      <rPr>
        <vertAlign val="subscript"/>
        <sz val="10.5"/>
        <rFont val="Calibri"/>
        <family val="2"/>
        <scheme val="minor"/>
      </rPr>
      <t>HE,100lb</t>
    </r>
  </si>
  <si>
    <r>
      <t xml:space="preserve">300 </t>
    </r>
    <r>
      <rPr>
        <sz val="10"/>
        <rFont val="Calibri"/>
        <family val="2"/>
      </rPr>
      <t>≤ H</t>
    </r>
    <r>
      <rPr>
        <sz val="10"/>
        <rFont val="Calibri"/>
        <family val="2"/>
        <scheme val="minor"/>
      </rPr>
      <t xml:space="preserve"> &lt; 800</t>
    </r>
  </si>
  <si>
    <r>
      <t xml:space="preserve">800 </t>
    </r>
    <r>
      <rPr>
        <sz val="10"/>
        <rFont val="Calibri"/>
        <family val="2"/>
      </rPr>
      <t>≤ H</t>
    </r>
    <r>
      <rPr>
        <sz val="10"/>
        <rFont val="Calibri"/>
        <family val="2"/>
        <scheme val="minor"/>
      </rPr>
      <t xml:space="preserve"> &lt; 1500</t>
    </r>
  </si>
  <si>
    <r>
      <t xml:space="preserve">1500 </t>
    </r>
    <r>
      <rPr>
        <sz val="10"/>
        <rFont val="Calibri"/>
        <family val="2"/>
      </rPr>
      <t>≤ H</t>
    </r>
    <r>
      <rPr>
        <sz val="10"/>
        <rFont val="Calibri"/>
        <family val="2"/>
        <scheme val="minor"/>
      </rPr>
      <t xml:space="preserve"> &lt; 4000</t>
    </r>
  </si>
  <si>
    <r>
      <t xml:space="preserve">988 </t>
    </r>
    <r>
      <rPr>
        <sz val="10"/>
        <rFont val="Calibri"/>
        <family val="2"/>
      </rPr>
      <t xml:space="preserve">≤ </t>
    </r>
    <r>
      <rPr>
        <sz val="10"/>
        <rFont val="Calibri"/>
        <family val="2"/>
        <scheme val="minor"/>
      </rPr>
      <t>H &lt; 4000</t>
    </r>
  </si>
  <si>
    <r>
      <t xml:space="preserve">110 </t>
    </r>
    <r>
      <rPr>
        <sz val="10"/>
        <rFont val="Calibri"/>
        <family val="2"/>
      </rPr>
      <t xml:space="preserve">≤ </t>
    </r>
    <r>
      <rPr>
        <sz val="10"/>
        <rFont val="Calibri"/>
        <family val="2"/>
        <scheme val="minor"/>
      </rPr>
      <t>H &lt; 200</t>
    </r>
  </si>
  <si>
    <r>
      <t xml:space="preserve">200 </t>
    </r>
    <r>
      <rPr>
        <sz val="10"/>
        <rFont val="Calibri"/>
        <family val="2"/>
      </rPr>
      <t xml:space="preserve">≤ </t>
    </r>
    <r>
      <rPr>
        <sz val="10"/>
        <rFont val="Calibri"/>
        <family val="2"/>
        <scheme val="minor"/>
      </rPr>
      <t>H &lt; 4000</t>
    </r>
  </si>
  <si>
    <r>
      <t xml:space="preserve">310 </t>
    </r>
    <r>
      <rPr>
        <sz val="9"/>
        <rFont val="Calibri"/>
        <family val="2"/>
      </rPr>
      <t>≤ H</t>
    </r>
    <r>
      <rPr>
        <sz val="9"/>
        <rFont val="Calibri"/>
        <family val="2"/>
        <scheme val="minor"/>
      </rPr>
      <t xml:space="preserve"> &lt; 820</t>
    </r>
  </si>
  <si>
    <r>
      <t xml:space="preserve">820 </t>
    </r>
    <r>
      <rPr>
        <sz val="9"/>
        <rFont val="Calibri"/>
        <family val="2"/>
      </rPr>
      <t xml:space="preserve">≤ </t>
    </r>
    <r>
      <rPr>
        <sz val="9"/>
        <rFont val="Calibri"/>
        <family val="2"/>
        <scheme val="minor"/>
      </rPr>
      <t>H  &lt;  4000</t>
    </r>
  </si>
  <si>
    <r>
      <t xml:space="preserve">800 </t>
    </r>
    <r>
      <rPr>
        <sz val="9"/>
        <rFont val="Calibri"/>
        <family val="2"/>
      </rPr>
      <t xml:space="preserve">≤ </t>
    </r>
    <r>
      <rPr>
        <sz val="9"/>
        <rFont val="Calibri"/>
        <family val="2"/>
        <scheme val="minor"/>
      </rPr>
      <t>H &lt; 4000</t>
    </r>
  </si>
  <si>
    <r>
      <t xml:space="preserve">200 </t>
    </r>
    <r>
      <rPr>
        <sz val="9"/>
        <rFont val="Calibri"/>
        <family val="2"/>
      </rPr>
      <t xml:space="preserve">≤ </t>
    </r>
    <r>
      <rPr>
        <sz val="9"/>
        <rFont val="Calibri"/>
        <family val="2"/>
        <scheme val="minor"/>
      </rPr>
      <t>H &lt; 700</t>
    </r>
  </si>
  <si>
    <r>
      <t xml:space="preserve">IMH Batch,  
300 </t>
    </r>
    <r>
      <rPr>
        <sz val="11"/>
        <rFont val="Calibri"/>
        <family val="2"/>
      </rPr>
      <t xml:space="preserve">≤ </t>
    </r>
    <r>
      <rPr>
        <sz val="11"/>
        <rFont val="Calibri"/>
        <family val="2"/>
        <scheme val="minor"/>
      </rPr>
      <t>H &lt; 800</t>
    </r>
  </si>
  <si>
    <r>
      <t xml:space="preserve">IMH Batch,  
800 </t>
    </r>
    <r>
      <rPr>
        <sz val="11"/>
        <rFont val="Calibri"/>
        <family val="2"/>
      </rPr>
      <t xml:space="preserve">≤ </t>
    </r>
    <r>
      <rPr>
        <sz val="11"/>
        <rFont val="Calibri"/>
        <family val="2"/>
        <scheme val="minor"/>
      </rPr>
      <t>H &lt; 1500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</si>
  <si>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</si>
  <si>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t>
    </r>
    <r>
      <rPr>
        <sz val="11"/>
        <rFont val="Calibri"/>
        <family val="2"/>
        <scheme val="minor"/>
      </rPr>
      <t>H &lt; 988</t>
    </r>
  </si>
  <si>
    <r>
      <t xml:space="preserve">RCU Batch,  
988 </t>
    </r>
    <r>
      <rPr>
        <sz val="11"/>
        <rFont val="Calibri"/>
        <family val="2"/>
      </rPr>
      <t xml:space="preserve">≤ </t>
    </r>
    <r>
      <rPr>
        <sz val="11"/>
        <rFont val="Calibri"/>
        <family val="2"/>
        <scheme val="minor"/>
      </rPr>
      <t>H &lt; 4000</t>
    </r>
  </si>
  <si>
    <r>
      <t xml:space="preserve">SCU Batch,  
110 </t>
    </r>
    <r>
      <rPr>
        <sz val="11"/>
        <rFont val="Calibri"/>
        <family val="2"/>
      </rPr>
      <t xml:space="preserve">≤ </t>
    </r>
    <r>
      <rPr>
        <sz val="11"/>
        <rFont val="Calibri"/>
        <family val="2"/>
        <scheme val="minor"/>
      </rPr>
      <t>H &lt; 200</t>
    </r>
  </si>
  <si>
    <r>
      <t xml:space="preserve">SCU Batch,  
200 </t>
    </r>
    <r>
      <rPr>
        <sz val="11"/>
        <rFont val="Calibri"/>
        <family val="2"/>
      </rPr>
      <t xml:space="preserve">≤ </t>
    </r>
    <r>
      <rPr>
        <sz val="11"/>
        <rFont val="Calibri"/>
        <family val="2"/>
        <scheme val="minor"/>
      </rPr>
      <t>H &lt; 4000</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</si>
  <si>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</si>
  <si>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H</t>
    </r>
    <r>
      <rPr>
        <sz val="11"/>
        <rFont val="Calibri"/>
        <family val="2"/>
        <scheme val="minor"/>
      </rPr>
      <t xml:space="preserve"> &lt; 4000</t>
    </r>
  </si>
  <si>
    <r>
      <t xml:space="preserve">RCU Continuous,
</t>
    </r>
    <r>
      <rPr>
        <sz val="11"/>
        <rFont val="Calibri"/>
        <family val="2"/>
      </rPr>
      <t>H</t>
    </r>
    <r>
      <rPr>
        <sz val="11"/>
        <rFont val="Calibri"/>
        <family val="2"/>
        <scheme val="minor"/>
      </rPr>
      <t xml:space="preserve"> &lt; 800</t>
    </r>
  </si>
  <si>
    <r>
      <t xml:space="preserve">RCU Continuous,
800 </t>
    </r>
    <r>
      <rPr>
        <sz val="11"/>
        <rFont val="Calibri"/>
        <family val="2"/>
      </rPr>
      <t xml:space="preserve">≤ </t>
    </r>
    <r>
      <rPr>
        <sz val="11"/>
        <rFont val="Calibri"/>
        <family val="2"/>
        <scheme val="minor"/>
      </rPr>
      <t>H &lt; 4000</t>
    </r>
  </si>
  <si>
    <r>
      <t xml:space="preserve">IMH Continuous,
200 </t>
    </r>
    <r>
      <rPr>
        <sz val="11"/>
        <rFont val="Calibri"/>
        <family val="2"/>
      </rPr>
      <t xml:space="preserve">≤ </t>
    </r>
    <r>
      <rPr>
        <sz val="11"/>
        <rFont val="Calibri"/>
        <family val="2"/>
        <scheme val="minor"/>
      </rPr>
      <t>H &lt; 700</t>
    </r>
  </si>
  <si>
    <r>
      <t xml:space="preserve">IMH Continuous,
700 </t>
    </r>
    <r>
      <rPr>
        <sz val="11"/>
        <rFont val="Calibri"/>
        <family val="2"/>
      </rPr>
      <t>≤ H</t>
    </r>
    <r>
      <rPr>
        <sz val="11"/>
        <rFont val="Calibri"/>
        <family val="2"/>
        <scheme val="minor"/>
      </rPr>
      <t xml:space="preserve"> &lt; 4000</t>
    </r>
  </si>
  <si>
    <r>
      <t xml:space="preserve">IMH Batch,  
1500  </t>
    </r>
    <r>
      <rPr>
        <sz val="11"/>
        <rFont val="Calibri"/>
        <family val="2"/>
      </rPr>
      <t xml:space="preserve">≤ </t>
    </r>
    <r>
      <rPr>
        <sz val="11"/>
        <rFont val="Calibri"/>
        <family val="2"/>
        <scheme val="minor"/>
      </rPr>
      <t>H &lt; 4000</t>
    </r>
  </si>
  <si>
    <r>
      <t xml:space="preserve">RCU Batch,  
</t>
    </r>
    <r>
      <rPr>
        <sz val="11"/>
        <rFont val="Calibri"/>
        <family val="2"/>
      </rPr>
      <t xml:space="preserve"> H</t>
    </r>
    <r>
      <rPr>
        <sz val="11"/>
        <rFont val="Calibri"/>
        <family val="2"/>
        <scheme val="minor"/>
      </rPr>
      <t xml:space="preserve"> &lt; 988</t>
    </r>
  </si>
  <si>
    <r>
      <t xml:space="preserve">IMH Continuous, 
310 </t>
    </r>
    <r>
      <rPr>
        <sz val="11"/>
        <rFont val="Calibri"/>
        <family val="2"/>
      </rPr>
      <t xml:space="preserve">≤ </t>
    </r>
    <r>
      <rPr>
        <sz val="11"/>
        <rFont val="Calibri"/>
        <family val="2"/>
        <scheme val="minor"/>
      </rPr>
      <t>H &lt; 820</t>
    </r>
  </si>
  <si>
    <r>
      <t xml:space="preserve">IMH Continuous, 
820 </t>
    </r>
    <r>
      <rPr>
        <sz val="11"/>
        <rFont val="Calibri"/>
        <family val="2"/>
      </rPr>
      <t xml:space="preserve">≤ </t>
    </r>
    <r>
      <rPr>
        <sz val="11"/>
        <rFont val="Calibri"/>
        <family val="2"/>
        <scheme val="minor"/>
      </rPr>
      <t>H &lt; 4000</t>
    </r>
  </si>
  <si>
    <r>
      <t xml:space="preserve">RCU Continuous, 
</t>
    </r>
    <r>
      <rPr>
        <sz val="11"/>
        <rFont val="Calibri"/>
        <family val="2"/>
      </rPr>
      <t xml:space="preserve"> </t>
    </r>
    <r>
      <rPr>
        <sz val="11"/>
        <rFont val="Calibri"/>
        <family val="2"/>
        <scheme val="minor"/>
      </rPr>
      <t>H &lt; 800</t>
    </r>
  </si>
  <si>
    <r>
      <t xml:space="preserve">RCU Continuous, 
800 </t>
    </r>
    <r>
      <rPr>
        <sz val="11"/>
        <rFont val="Calibri"/>
        <family val="2"/>
      </rPr>
      <t xml:space="preserve">≤ </t>
    </r>
    <r>
      <rPr>
        <sz val="11"/>
        <rFont val="Calibri"/>
        <family val="2"/>
        <scheme val="minor"/>
      </rPr>
      <t>H &lt; 4000</t>
    </r>
  </si>
  <si>
    <r>
      <t xml:space="preserve">SCU Continuous, 
200 </t>
    </r>
    <r>
      <rPr>
        <sz val="11"/>
        <rFont val="Calibri"/>
        <family val="2"/>
      </rPr>
      <t xml:space="preserve">≤ </t>
    </r>
    <r>
      <rPr>
        <sz val="11"/>
        <rFont val="Calibri"/>
        <family val="2"/>
        <scheme val="minor"/>
      </rPr>
      <t>H &lt; 700</t>
    </r>
  </si>
  <si>
    <r>
      <t xml:space="preserve">SCU Continuous, 
700 </t>
    </r>
    <r>
      <rPr>
        <sz val="11"/>
        <rFont val="Calibri"/>
        <family val="2"/>
      </rPr>
      <t xml:space="preserve">≤ </t>
    </r>
    <r>
      <rPr>
        <sz val="11"/>
        <rFont val="Calibri"/>
        <family val="2"/>
        <scheme val="minor"/>
      </rPr>
      <t>H &lt; 4000</t>
    </r>
  </si>
  <si>
    <t>ENERGY STAR Ice Machine</t>
  </si>
  <si>
    <t>All pre-rinse valves use a spray of water to remove food waste from dishes prior to cleaning the dishes in a dishwasher. They reduce water consumption, water heating cost, and wastewater (sewer) charges. Pre-rinse spray valves include a nozzle, squeeze lever, and dish guard bumper. Energy savings depend on the facility type and the facility’s method of water heating (electric resistance or heat pump). The spray valves usually have a clip to lock the handle in the “on” position. Pre-rinse valves are inexpensive and easily interchangeable with different manufacturers’ assemblies.</t>
  </si>
  <si>
    <t>The facility must use electric water heating for this measure to be eligible. The flowrate of the new low-flow pre-rinse spray valve must be at least 10% less than required by the Federal Standards that have been in effect since Jan. 28, 2019. Table 1 shows the Federal Standards. Class 1, 2, and 3 products are eligible for rebates.</t>
  </si>
  <si>
    <t>Product Class (spray force in ounce-force, ozf)</t>
  </si>
  <si>
    <t>Flowrate (gallons per minute, gpm)</t>
  </si>
  <si>
    <t>1. Federal Energy Conservation Standard, Code of Federal Regulations, Title 10, Chapter 22, Subchapter D, Part 431, Subpart O, Section §431.266. Available here: &lt;https://www.ecfr.gov/current/title-10/chapter-II/subchapter-D/part-431/subpart-O#431.266&gt;, accessed Jan. 31, 2023.</t>
  </si>
  <si>
    <t>One spray valve.</t>
  </si>
  <si>
    <t>Flowrate of the baseline pre-rinse spray valve</t>
  </si>
  <si>
    <t>gpm</t>
  </si>
  <si>
    <t>Based on Federal Standards as of Jan. 28, 2019. This value is the maximum flowrate for Class 2 products with a spray force of &gt;5.0 ozf and ≤8.0 ozf. (See Table 1 above.)</t>
  </si>
  <si>
    <t>Flowrate of the low-flow pre-rinse spray valve</t>
  </si>
  <si>
    <t>This is a commonly available flowrate for Class 2 products and represents savings of 10.8% relative to the baseline.</t>
  </si>
  <si>
    <t>Daily operating minutes of the pre-rinse spray valve</t>
  </si>
  <si>
    <t>min/day</t>
  </si>
  <si>
    <t>day/year</t>
  </si>
  <si>
    <t>Hot/cold mixed water temperature</t>
  </si>
  <si>
    <t>Supply water temperature</t>
  </si>
  <si>
    <t>UEF</t>
  </si>
  <si>
    <t>Water heater uniform energy factor</t>
  </si>
  <si>
    <t>Peak demand coincidence factor from load shape analysis</t>
  </si>
  <si>
    <t>Equivalent full load hours of water heater operation from load shape analysis</t>
  </si>
  <si>
    <t>See Note 7.</t>
  </si>
  <si>
    <t>1. See AEG's 2023 Analysis File named "PY23 TRM - Commercial Low-Flow Spray Nozzle."</t>
  </si>
  <si>
    <t>2. Evergreen Economics, Baseline Energy Appliance, Equipment and Building Characteristics Study Report, Prepared for the State of Hawaii Public Utilities Commission, Feb. 26, 2014, Appendices, Table E.2.1 and Table E.2.2.</t>
  </si>
  <si>
    <t>3. California eTRM, Low-Flow Pre-Rinse Spray Valve, Food Service, SWFS013-02, effective Jan. 1, 2023,  available here: &lt;https://www.caetrm.com/measure/SWFS013/02/&gt;. The California eTRM cites field data from: Tso, B and J. Koeller. 2005. Pre- Rinse Spray Valves Programs: How are they Really Doing?  Bellevue (WA): SBW Consulting.</t>
  </si>
  <si>
    <t>4. Hawai‘i Energy Solar Water Heating Program Handbook, Table 2, for Hawaii and Honolulu counties. (Maui county average temperature is 71 °F).</t>
  </si>
  <si>
    <t>5. Electronic Code of Federal Regulations: Title 10: Energy, Part 430 - Energy Conservation Program for Consumer Products. Subpart C - Energy and Water Conservation Standards. Section 6d. &lt;https://www.ecfr.gov/current/title-10/chapter-II/subchapter-D/part-430/subpart-C/section-430.32&gt;.</t>
  </si>
  <si>
    <t>6. Refer to AEG's analysis file named "AEG HPUC EFLH and CF Analysis - Non-Holiday Weekdays."</t>
  </si>
  <si>
    <t>7. 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</si>
  <si>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Federal Standard Electric Resistance Water Heater UEF</t>
  </si>
  <si>
    <t>Federal Standard Heat Pump Water Heater 
UEF</t>
  </si>
  <si>
    <t>1. For derivation of the values in Table 2, see AEG's 2023 Analysis File named "PY23 TRM - Commercial Low-Flow Spray Nozzle," sheet named "Hawaii Data."</t>
  </si>
  <si>
    <t>Electric Resistance, 
Restaurants/ Institutions</t>
  </si>
  <si>
    <t>Heat Pump, 
Restaurants/ Institutions</t>
  </si>
  <si>
    <t>AEG's 2023 Analysis File named "PY23 TRM - Commercial Low-Flow Spray Nozzle."</t>
  </si>
  <si>
    <t>AEG's analysis file named "AEG HPUC EFLH and CF Analysis - Non-Holiday Weekdays."</t>
  </si>
  <si>
    <t>California eTRM, Low-Flow Pre-Rinse Spray Valve, Food Service, SWFS013-02, effective Jan. 1, 2023,  available here: &lt;https://www.caetrm.com/measure/SWFS013/02/&gt;.</t>
  </si>
  <si>
    <t>Energy Efficiency and Renewable Energy Office, 2021-08-18 Energy Conservation Program: Energy Conservation Standards for Commercial Prerinse Spray Valves; Notification of proposed determination and request for comment, Aug 17, 2021, Table IV.10—Summary of Inputs and Methods for the LCC and PBP Analysis, available here: &lt;https://www.regulations.gov/document/EERE-2019-BT-STD-0034-0012&gt;, accessed Feb. 1, 2023.</t>
  </si>
  <si>
    <t>Evergreen Economics, Baseline Energy Appliance, Equipment and Building Characteristics Study Report, Prepared for the State of Hawaii Public Utilities Commission, Feb. 26, 2014, Appendices, Table E.2.1 and Table E.2.2.</t>
  </si>
  <si>
    <t>Federal Energy Conservation Standard, Code of Federal Regulations, Title 10, Chapter 22, Subchapter D, Part 431, Subpart O, Section §431.266. Available here: &lt;https://www.ecfr.gov/current/title-10/chapter-II/subchapter-D/part-431/subpart-O#431.266&gt;, accessed Jan. 31, 2023.</t>
  </si>
  <si>
    <t>Hawai‘i Energy Solar Water Heating Program Handbook</t>
  </si>
  <si>
    <t>Maryland/Mid-Atlantic Technical Reference Manual, Version 10, Prepared by Shelter Analytics, Facilitated and Managed by Northeast Energy Efficiency Partnerships, March 2020.</t>
  </si>
  <si>
    <t>New York State Joint Utilities, New York Standard Approach for Estimating Energy Savings from Energy Efficiency Programs – Residential, Multi-Family, and Commercial/Industrial Measures, Version 10, Effective Date - Jan. 1, 2023.</t>
  </si>
  <si>
    <t>Public Utility Commission of Texas, Texas Technical Reference Manual, Version 10.0, Volume 2: Residential Measures, Program Year 2023.</t>
  </si>
  <si>
    <t>Tso, B and J. Koeller. 2005. Pre- Rinse Spray Valves Programs: How are they Really Doing?  Bellevue (WA): SBW Consulting.</t>
  </si>
  <si>
    <t>2023 Illinois Statewide Technical Reference Manual for Energy Efficiency, Version 11.0, Volume 2: Commercial and Industrial Measures, FINAL, September 22, 2022. Effective: January 1, 2023.</t>
  </si>
  <si>
    <r>
      <t>Table 1. Federal Standards for Commercial Pre-rinse Spray Valves. Effective as of Jan. 28, 2019.</t>
    </r>
    <r>
      <rPr>
        <b/>
        <vertAlign val="superscript"/>
        <sz val="11"/>
        <rFont val="Calibri"/>
        <family val="2"/>
        <scheme val="minor"/>
      </rPr>
      <t>1</t>
    </r>
    <r>
      <rPr>
        <b/>
        <sz val="11"/>
        <rFont val="Calibri"/>
        <family val="2"/>
        <scheme val="minor"/>
      </rPr>
      <t xml:space="preserve"> </t>
    </r>
  </si>
  <si>
    <t xml:space="preserve">The baseline equipment is assumed to be a pre-rinse spray valve with a flowrate of 1.2 gpm, consistent with the Federal Standard for Class 2 products with a spray force of &gt;5.0 ozf and ≤8.0 ozf (see Table 1 above). However, Class 1 and Class 3 products are also eligible for rebates. </t>
  </si>
  <si>
    <t>The efficient equipment is assumed to be a pre-rinse spray valve with a flowrate of 1.07 gpm. This is a commonly available flowrate for Class 2 products and represents savings of 10.8% relative to the baseline.</t>
  </si>
  <si>
    <r>
      <t>GPM</t>
    </r>
    <r>
      <rPr>
        <vertAlign val="subscript"/>
        <sz val="10.5"/>
        <rFont val="Calibri"/>
        <family val="2"/>
        <scheme val="minor"/>
      </rPr>
      <t>Base</t>
    </r>
  </si>
  <si>
    <r>
      <t>GPM</t>
    </r>
    <r>
      <rPr>
        <vertAlign val="subscript"/>
        <sz val="10.5"/>
        <rFont val="Calibri"/>
        <family val="2"/>
        <scheme val="minor"/>
      </rPr>
      <t>EE</t>
    </r>
  </si>
  <si>
    <r>
      <t>Min</t>
    </r>
    <r>
      <rPr>
        <vertAlign val="subscript"/>
        <sz val="10.5"/>
        <rFont val="Calibri"/>
        <family val="2"/>
        <scheme val="minor"/>
      </rPr>
      <t>day</t>
    </r>
  </si>
  <si>
    <r>
      <t>Consistent with benchmarking.</t>
    </r>
    <r>
      <rPr>
        <vertAlign val="superscript"/>
        <sz val="10.5"/>
        <rFont val="Calibri"/>
        <family val="2"/>
        <scheme val="minor"/>
      </rPr>
      <t>1</t>
    </r>
  </si>
  <si>
    <r>
      <t>Day</t>
    </r>
    <r>
      <rPr>
        <vertAlign val="subscript"/>
        <sz val="10.5"/>
        <rFont val="Calibri"/>
        <family val="2"/>
        <scheme val="minor"/>
      </rPr>
      <t>year</t>
    </r>
  </si>
  <si>
    <r>
      <t>Consistent with Hawaii Baseline Study data and benchmarking.</t>
    </r>
    <r>
      <rPr>
        <vertAlign val="superscript"/>
        <sz val="10.5"/>
        <rFont val="Calibri"/>
        <family val="2"/>
        <scheme val="minor"/>
      </rPr>
      <t>1,2</t>
    </r>
  </si>
  <si>
    <r>
      <t>lb</t>
    </r>
    <r>
      <rPr>
        <vertAlign val="subscript"/>
        <sz val="10.5"/>
        <rFont val="Calibri"/>
        <family val="2"/>
        <scheme val="minor"/>
      </rPr>
      <t>m</t>
    </r>
    <r>
      <rPr>
        <sz val="10.5"/>
        <rFont val="Calibri"/>
        <family val="2"/>
        <scheme val="minor"/>
      </rPr>
      <t>/gal</t>
    </r>
  </si>
  <si>
    <r>
      <t>c</t>
    </r>
    <r>
      <rPr>
        <i/>
        <vertAlign val="subscript"/>
        <sz val="10.5"/>
        <rFont val="Calibri"/>
        <family val="2"/>
        <scheme val="minor"/>
      </rPr>
      <t>p</t>
    </r>
  </si>
  <si>
    <r>
      <t>Btu/lb</t>
    </r>
    <r>
      <rPr>
        <vertAlign val="subscript"/>
        <sz val="10.5"/>
        <rFont val="Calibri"/>
        <family val="2"/>
        <scheme val="minor"/>
      </rPr>
      <t>m</t>
    </r>
    <r>
      <rPr>
        <sz val="10.5"/>
        <rFont val="Calibri"/>
        <family val="2"/>
        <scheme val="minor"/>
      </rPr>
      <t>°F</t>
    </r>
  </si>
  <si>
    <r>
      <t>T</t>
    </r>
    <r>
      <rPr>
        <vertAlign val="subscript"/>
        <sz val="10.5"/>
        <rFont val="Calibri"/>
        <family val="2"/>
        <scheme val="minor"/>
      </rPr>
      <t>mix</t>
    </r>
  </si>
  <si>
    <r>
      <t>California eTRM.</t>
    </r>
    <r>
      <rPr>
        <vertAlign val="superscript"/>
        <sz val="10.5"/>
        <rFont val="Calibri"/>
        <family val="2"/>
        <scheme val="minor"/>
      </rPr>
      <t>3</t>
    </r>
  </si>
  <si>
    <r>
      <t>T</t>
    </r>
    <r>
      <rPr>
        <vertAlign val="subscript"/>
        <sz val="10.5"/>
        <rFont val="Calibri"/>
        <family val="2"/>
        <scheme val="minor"/>
      </rPr>
      <t>supply</t>
    </r>
  </si>
  <si>
    <r>
      <t>Hawai'i Energy.</t>
    </r>
    <r>
      <rPr>
        <vertAlign val="superscript"/>
        <sz val="10.5"/>
        <rFont val="Calibri"/>
        <family val="2"/>
        <scheme val="minor"/>
      </rPr>
      <t>4</t>
    </r>
  </si>
  <si>
    <r>
      <t>Derived from mean water heater tank capacities from Hawaii Baseline Study and minimum Federal standards for water heater UEFs.</t>
    </r>
    <r>
      <rPr>
        <vertAlign val="superscript"/>
        <sz val="10.5"/>
        <rFont val="Calibri"/>
        <family val="2"/>
        <scheme val="minor"/>
      </rPr>
      <t>1,2,5</t>
    </r>
  </si>
  <si>
    <r>
      <t>AEG's 2018 Hawaii-specific analysis of U.S. DOE OpenEI Load shapes for Commercial Water Heating; peak period defined as non-holiday weekdays from 5-9 pm. Building type: Restaurant.</t>
    </r>
    <r>
      <rPr>
        <vertAlign val="superscript"/>
        <sz val="10.5"/>
        <rFont val="Calibri"/>
        <family val="2"/>
        <scheme val="minor"/>
      </rPr>
      <t>6</t>
    </r>
  </si>
  <si>
    <r>
      <t>AEG's 2018 Hawaii-specific analysis of U.S. DOE OpenEI Load shapes for Commercial Water Heating. Building type: Restaurant.</t>
    </r>
    <r>
      <rPr>
        <vertAlign val="superscript"/>
        <sz val="10.5"/>
        <rFont val="Calibri"/>
        <family val="2"/>
        <scheme val="minor"/>
      </rPr>
      <t>6</t>
    </r>
  </si>
  <si>
    <r>
      <t>Table 2. Values for Key Parameters</t>
    </r>
    <r>
      <rPr>
        <b/>
        <vertAlign val="superscript"/>
        <sz val="11"/>
        <rFont val="Calibri"/>
        <family val="2"/>
        <scheme val="minor"/>
      </rPr>
      <t>1</t>
    </r>
  </si>
  <si>
    <r>
      <t>Day</t>
    </r>
    <r>
      <rPr>
        <b/>
        <vertAlign val="subscript"/>
        <sz val="10.5"/>
        <rFont val="Calibri"/>
        <family val="2"/>
        <scheme val="minor"/>
      </rPr>
      <t>year</t>
    </r>
  </si>
  <si>
    <t>ENERGY STAR Version 5.0</t>
  </si>
  <si>
    <t>PY23 TRM Commercial Kitchen Freezer Analysis File, "EUL Benchmarking" sheet</t>
  </si>
  <si>
    <t>AEG's analysis file titled "PY23 TRM Commercial Kitchen Freezer Analysis File."</t>
  </si>
  <si>
    <t>ENERGY STAR. 2022. "ENERGY STAR® Program Requirements Product Specification for Commercial Refrigerators and Freezers - Eligibility Criteria Version 5.0." Effective on December 22, 2022. URL: https://www.energystar.gov/sites/default/files/asset/document/ENERGY%20STAR%20Version%205.0%20%28Rev.%20November%20-%202022%29%20Commercial%20Refrigerators%20and%20Freezers%20Specification_0.pdf.</t>
  </si>
  <si>
    <t xml:space="preserve">California Technical Forum. 2023. "CPUC Support Tables. Effective Useful Life and Remaining Useful Life." URL: https://www.caetrm.com/cpuc/table/effusefullife/. Accessed on January 31, 2023. </t>
  </si>
  <si>
    <t>Idaho Power Company Technical Reference Manual 3.2. November 24th, 2021.</t>
  </si>
  <si>
    <t>For this characterization to apply, the baseline equipment is assumed to be a solid or glass door freezer,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</si>
  <si>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freezer meeting the minimum ENERGY STAR efficiency level standards.</t>
  </si>
  <si>
    <r>
      <t>Volumetric Factor
(kWh/ft</t>
    </r>
    <r>
      <rPr>
        <b/>
        <vertAlign val="superscript"/>
        <sz val="11"/>
        <rFont val="Calibri"/>
        <family val="2"/>
        <scheme val="minor"/>
      </rPr>
      <t>3</t>
    </r>
    <r>
      <rPr>
        <b/>
        <sz val="11"/>
        <rFont val="Calibri"/>
        <family val="2"/>
        <scheme val="minor"/>
      </rPr>
      <t>)</t>
    </r>
  </si>
  <si>
    <r>
      <t xml:space="preserve">Vertical Solid-Door, 
50 </t>
    </r>
    <r>
      <rPr>
        <sz val="11"/>
        <rFont val="Calibri"/>
        <family val="2"/>
      </rPr>
      <t>≤</t>
    </r>
    <r>
      <rPr>
        <sz val="11"/>
        <rFont val="Calibri"/>
        <family val="2"/>
        <scheme val="minor"/>
      </rPr>
      <t xml:space="preserve"> V         </t>
    </r>
  </si>
  <si>
    <r>
      <t xml:space="preserve">Horizontal Solid-Door, 
50 </t>
    </r>
    <r>
      <rPr>
        <sz val="11"/>
        <rFont val="Calibri"/>
        <family val="2"/>
      </rPr>
      <t>≤</t>
    </r>
    <r>
      <rPr>
        <sz val="11"/>
        <rFont val="Calibri"/>
        <family val="2"/>
        <scheme val="minor"/>
      </rPr>
      <t xml:space="preserve"> V         </t>
    </r>
  </si>
  <si>
    <t>PY23 TRM Commercial Kitchen Refrigerator Analysis File, "EUL Benchmarking" sheet</t>
  </si>
  <si>
    <t>AEG's analysis file titled: "PY23 TRM Commercial Kitchen Refrigerator Analysis File."</t>
  </si>
  <si>
    <t>For this characterization to apply, the baseline equipment is assumed to be a solid or glass door refrigerator, closing either vertically or horizontally, meeting the minimum federal manufacturing standards. The volume for the baseline is assumed to be the average of the range. For example, if the range is 0 to 15, the average volume is 7.5.</t>
  </si>
  <si>
    <t>For this characterization to apply, the efficient equipment is assumed to be a solid or glass door refrigerator meeting the minimum ENERGY STAR efficiency level standards.</t>
  </si>
  <si>
    <t>Updated in Winter 2022-2023 for the PY23 TRM. Reinstate/reevaluate the full load efficiency requirement for split-system and single-package air-cooled AC and air-source heat pump systems by PY25.</t>
  </si>
  <si>
    <t>Single-phase split-system and single-package air-cooled AC and air-source HP with capacities &lt; 65,000 Btu/h (residential-scale)</t>
  </si>
  <si>
    <t>Three-phase split-system and single-package air-cooled AC and air-source HP with capacities &lt; 65,000 Btu/h (commercial-scale)</t>
  </si>
  <si>
    <t>Water-source HP (water-to-air, water loop) with capacities &lt; 135,000 Btu/h</t>
  </si>
  <si>
    <t>Single-package vertical AC and HP with capacities &lt; 135,000 Btu/h</t>
  </si>
  <si>
    <t>Residential-scale single-phase split-system and single-package air-cooled AC and air-source HP systems with capacities &lt; 65,000 Btu/h must meet or exceed 15.2 SEER2.</t>
  </si>
  <si>
    <t>Split-system and single-package air-cooled AC and air-source HP systems do not have state, federal, or ASHRAE minimum EER2 (or EER) requirements. An "industry standard practice" baseline was used to calculate the peak demand savings. It involved setting the baseline values equal to the most common EER2 (or EER) value for the given SEER2 (or IEER) minimum requirement, as determined through analysis of AHRI data.</t>
  </si>
  <si>
    <t xml:space="preserve">Water-source HP, PTAC, PTAC, vertical AC, and vertical HP systems do not have state, federal, or ASHRAE minimum SEER (or IEER) requirements. The baseline SEER (or IEER) values were set equal to the baseline EER requirements in the calculation worksheet to calculate energy savings. </t>
  </si>
  <si>
    <t>[EER2 used in place of EER for split/single-package AC and HP units &lt;65,000 Btu/h]</t>
  </si>
  <si>
    <t>[SEER2 used in place of IEER for split/single-package AC and HP units &lt;65,000 Btu/h]</t>
  </si>
  <si>
    <t>[SEER used in place of IEER for all other units &lt;65,000 Btu/h]</t>
  </si>
  <si>
    <t>Energy Efficiency Ratio of baseline unit. Used to represent full-load operation.</t>
  </si>
  <si>
    <t>Energy Efficiency Ratio of installed high efficiency unit. Used to represent full-load operation.</t>
  </si>
  <si>
    <t>Integrated or Seasonal Energy Efficiency Ratio of baseline unit. Used to represent part-load operation. SEER2 or SEER is used for units &lt;65,000 Btu/h.</t>
  </si>
  <si>
    <t>Integrated or Seasonal Energy Efficiency Ratio of installed high efficiency unit. Used to represent part-load operation. SEER2 or SEER is used for units &lt;65,000 Btu/h.</t>
  </si>
  <si>
    <t>AEG's analysis of DOE's OpenEI load shapes using Hawaii-specific prototypes and weather data</t>
  </si>
  <si>
    <t>AEG's analysis of DOE's OpenEI load shapes using Hawaii-specific prototypes, weather data, and peak demand period</t>
  </si>
  <si>
    <t xml:space="preserve">AEG's PY23 Analysis File named "PY23 TRM - Commercial AC and HP - Analysis File." </t>
  </si>
  <si>
    <t>Air-Conditioning, Heating, &amp; Refrigeration Institute (AHRI), Database of Certified Products, accessed Sep. 2022 and Nov. 2022, available here: &lt;http://www.ahrinet.org/Contractors-Specifiers/Certified-Products&gt;.</t>
  </si>
  <si>
    <t>ANSI/ASHRAE/IES Standard 90.1-2019, Energy Standard for Buildings Except Low-Rise Residential Buildings, (I-P Edition), 2019, available here: &lt;https://www.ashrae.org/technical-resources/bookstore/standard-90-1&gt;.</t>
  </si>
  <si>
    <t>Code of Federal Regulations, 10 CFR 430.32, Subpart C, Energy and Water Conservation Standards and their Effective Dates, Paragraph (c): Central Air Conditioners and Heat Pumps, available here: &lt;https://www.govinfo.gov/content/pkg/CFR-2022-title10-vol3/pdf/CFR-2022-title10-vol3-sec430-32.pdf&gt;.</t>
  </si>
  <si>
    <t>Code of Federal Regulations, 10 CFR 431.97, Subpart F, Energy Efficiency Standards and their Compliance Dates, Paragraphs (b), (c), and (d), available here: &lt;https://www.ecfr.gov/current/title-10/chapter-II/subchapter-D/part-431/subpart-F/subject-group-ECFR2640f6ad978e4e6/section-431.97&gt;.</t>
  </si>
  <si>
    <r>
      <t xml:space="preserve">Unitary split-system and single-package air-cooled AC and air-source HP with capacities </t>
    </r>
    <r>
      <rPr>
        <sz val="11"/>
        <rFont val="Calibri"/>
        <family val="2"/>
      </rPr>
      <t>≥</t>
    </r>
    <r>
      <rPr>
        <sz val="11"/>
        <rFont val="Calibri"/>
        <family val="2"/>
        <scheme val="minor"/>
      </rPr>
      <t xml:space="preserve"> 65,000 and &lt; 240,000 Btu/h</t>
    </r>
  </si>
  <si>
    <t xml:space="preserve">All other eligible equipment shall have a minimum rated efficiency that is at least 10% higher than the energy code-compliant standard for equivalently-sized equipment. </t>
  </si>
  <si>
    <r>
      <t xml:space="preserve">The baseline equipment meets the current federal and state requirements and ASHRAE 90.1-2019 standards as of January 1, 2023. Split-system and single-package air-cooled AC and air-source HP systems with capacities &lt; 65,000 Btu/h have minimum SEER2 requirements. Split-system and single-package air-cooled AC and air-source HP systems with capacities </t>
    </r>
    <r>
      <rPr>
        <sz val="11"/>
        <rFont val="Calibri"/>
        <family val="2"/>
      </rPr>
      <t>≥</t>
    </r>
    <r>
      <rPr>
        <sz val="11"/>
        <rFont val="Calibri"/>
        <family val="2"/>
        <scheme val="minor"/>
      </rPr>
      <t xml:space="preserve"> 65,000 Btu/h have minimum IEER requirements. Water-source HP, PTAC, PTAC, vertical AC, and vertical HP systems have minimum EER requirements.</t>
    </r>
  </si>
  <si>
    <t xml:space="preserve">The semi-prescriptive savings approach presented here assumes replace-on-burnout (ROB). A custom dual baseline approach is required for early retirement (ER) projects: use the pre-existing equipment for the 1st ER baseline; use ASHRAE 90.1-2019 and current state requirements for the 2nd ER baseline. Documentation that shows the pre-existing equipment was operating and had a meaningful remaining useful life before replacement is required to be eligible for a custom ER savings approach. </t>
  </si>
  <si>
    <t>Residential-scale high efficiency equipment must meet or exceed 15.2 SEER2. All other eligible high efficiency equipment must exceed ASHRAE minimum efficiencies by 10% or more, as applicable for the given system type. An additional tier (20% above ASHRAE) has also been included for this measure. Actual nameplate data for rated efficiency will be compared against the ASHRAE standard efficiency.</t>
  </si>
  <si>
    <r>
      <t xml:space="preserve">For split-system and single-package air-cooled AC and air-source HP systems, there are no program requirements for full-load efficiency (EER2 or EER) through PY24. This is a temporary special exception since there is currently a limited availability of HVAC systems of this type in Hawaii that exceed the baseline full-load efficiency requirements by 10% for Tier 1 (or 20% for Tier 2). </t>
    </r>
    <r>
      <rPr>
        <b/>
        <sz val="11"/>
        <rFont val="Calibri"/>
        <family val="2"/>
        <scheme val="minor"/>
      </rPr>
      <t>The full-load efficiency requirements will be reinstated/reevaluated by PY25.</t>
    </r>
  </si>
  <si>
    <t>Water-source heat pump, PTAC, PTAC, vertical AC, and vertical HP systems do not have state, federal, or ASHRAE minimum SEER (or IEER) requirements. Therefore, the high efficiency SEER (or IEER) values have been set equal to the high efficiency EER requirements in the calculation worksheet.</t>
  </si>
  <si>
    <r>
      <t>EER</t>
    </r>
    <r>
      <rPr>
        <vertAlign val="subscript"/>
        <sz val="10.5"/>
        <rFont val="Calibri"/>
        <family val="2"/>
        <scheme val="minor"/>
      </rPr>
      <t>BL</t>
    </r>
    <r>
      <rPr>
        <sz val="10.5"/>
        <rFont val="Calibri"/>
        <family val="2"/>
        <scheme val="minor"/>
      </rPr>
      <t xml:space="preserve"> or EER2</t>
    </r>
    <r>
      <rPr>
        <vertAlign val="subscript"/>
        <sz val="10.5"/>
        <rFont val="Calibri"/>
        <family val="2"/>
        <scheme val="minor"/>
      </rPr>
      <t>BL</t>
    </r>
  </si>
  <si>
    <r>
      <t xml:space="preserve">Equal to the state, federal, and ASHRAE 90.1-2019 minimum efficiency requirements, as applicable to the given system type. (Refer to the </t>
    </r>
    <r>
      <rPr>
        <i/>
        <sz val="10.5"/>
        <rFont val="Calibri"/>
        <family val="2"/>
        <scheme val="minor"/>
      </rPr>
      <t xml:space="preserve">Baseline Equipment </t>
    </r>
    <r>
      <rPr>
        <sz val="10.5"/>
        <rFont val="Calibri"/>
        <family val="2"/>
        <scheme val="minor"/>
      </rPr>
      <t>description above for more information.)</t>
    </r>
  </si>
  <si>
    <r>
      <t>EER</t>
    </r>
    <r>
      <rPr>
        <vertAlign val="subscript"/>
        <sz val="10.5"/>
        <rFont val="Calibri"/>
        <family val="2"/>
        <scheme val="minor"/>
      </rPr>
      <t>EE</t>
    </r>
    <r>
      <rPr>
        <sz val="10.5"/>
        <rFont val="Calibri"/>
        <family val="2"/>
        <scheme val="minor"/>
      </rPr>
      <t xml:space="preserve"> or EER2</t>
    </r>
    <r>
      <rPr>
        <vertAlign val="subscript"/>
        <sz val="10.5"/>
        <rFont val="Calibri"/>
        <family val="2"/>
        <scheme val="minor"/>
      </rPr>
      <t>EE</t>
    </r>
  </si>
  <si>
    <r>
      <t xml:space="preserve">As installed. At least 10% better than the baseline efficiency, as applicable to the given system type. (Refer to the </t>
    </r>
    <r>
      <rPr>
        <i/>
        <sz val="10.5"/>
        <rFont val="Calibri"/>
        <family val="2"/>
        <scheme val="minor"/>
      </rPr>
      <t>High Efficiency Equipment</t>
    </r>
    <r>
      <rPr>
        <sz val="10.5"/>
        <rFont val="Calibri"/>
        <family val="2"/>
        <scheme val="minor"/>
      </rPr>
      <t xml:space="preserve"> description above for more information.)</t>
    </r>
  </si>
  <si>
    <r>
      <t>IEER</t>
    </r>
    <r>
      <rPr>
        <vertAlign val="subscript"/>
        <sz val="10.5"/>
        <rFont val="Calibri"/>
        <family val="2"/>
        <scheme val="minor"/>
      </rPr>
      <t>BL</t>
    </r>
    <r>
      <rPr>
        <sz val="10.5"/>
        <rFont val="Calibri"/>
        <family val="2"/>
        <scheme val="minor"/>
      </rPr>
      <t>, SEER2</t>
    </r>
    <r>
      <rPr>
        <vertAlign val="subscript"/>
        <sz val="10.5"/>
        <rFont val="Calibri"/>
        <family val="2"/>
        <scheme val="minor"/>
      </rPr>
      <t>BL</t>
    </r>
    <r>
      <rPr>
        <sz val="10.5"/>
        <rFont val="Calibri"/>
        <family val="2"/>
        <scheme val="minor"/>
      </rPr>
      <t xml:space="preserve"> or SEER</t>
    </r>
    <r>
      <rPr>
        <vertAlign val="subscript"/>
        <sz val="10.5"/>
        <rFont val="Calibri"/>
        <family val="2"/>
        <scheme val="minor"/>
      </rPr>
      <t>BL</t>
    </r>
  </si>
  <si>
    <r>
      <t>IEER</t>
    </r>
    <r>
      <rPr>
        <vertAlign val="subscript"/>
        <sz val="10.5"/>
        <rFont val="Calibri"/>
        <family val="2"/>
        <scheme val="minor"/>
      </rPr>
      <t>EE</t>
    </r>
    <r>
      <rPr>
        <sz val="10.5"/>
        <rFont val="Calibri"/>
        <family val="2"/>
        <scheme val="minor"/>
      </rPr>
      <t>, SEER2</t>
    </r>
    <r>
      <rPr>
        <vertAlign val="subscript"/>
        <sz val="10.5"/>
        <rFont val="Calibri"/>
        <family val="2"/>
        <scheme val="minor"/>
      </rPr>
      <t>EE</t>
    </r>
    <r>
      <rPr>
        <sz val="10.5"/>
        <rFont val="Calibri"/>
        <family val="2"/>
        <scheme val="minor"/>
      </rPr>
      <t xml:space="preserve"> or SEER</t>
    </r>
    <r>
      <rPr>
        <vertAlign val="subscript"/>
        <sz val="10.5"/>
        <rFont val="Calibri"/>
        <family val="2"/>
        <scheme val="minor"/>
      </rPr>
      <t>EE</t>
    </r>
  </si>
  <si>
    <t xml:space="preserve">AEG's PY22 Analysis File named "PY22 C_HVAC_AC &amp; Heat Pump - Analysis file." </t>
  </si>
  <si>
    <t>AEG's PY20 Analysis Files named "AEG HPUC C_HVAC_VRF AC &amp; HP - Analysis File" and "AEG HPUC - HVAC Measures - Analysis File_Jan 2021."</t>
  </si>
  <si>
    <t>Revise or remove notes in Cells G6 and G7</t>
  </si>
  <si>
    <t>Single-Phase Split System AC</t>
  </si>
  <si>
    <t>Single-Phase Single Package AC</t>
  </si>
  <si>
    <t>Three-Phase Split System AC</t>
  </si>
  <si>
    <t>Three-Phase Single Package AC</t>
  </si>
  <si>
    <t>Split System &amp; Single Package AC</t>
  </si>
  <si>
    <t>Single-Phase Split System HP</t>
  </si>
  <si>
    <t>Single-Phase Single Package HP</t>
  </si>
  <si>
    <t>Notes: 1) If an efficiency value is unknown, check AHRI Directory (www.ahridirectory.org); 2) Use EER2 and SEER2 for Split System and Single Package Systems &lt; 65,000 Btu/h.</t>
  </si>
  <si>
    <t>Three-Phase Split System Air-Source HP</t>
  </si>
  <si>
    <t>Three-Phase Single Package Air-Source HP</t>
  </si>
  <si>
    <t>Table 1: Minimum Baseline Efficiencies; Assumes Like-for-Like Replacement</t>
  </si>
  <si>
    <t>SEER or SEER2</t>
  </si>
  <si>
    <t>&lt; 45,000 Btu/h</t>
  </si>
  <si>
    <t>≥ 45,000 and &lt; 65,000 Btu/h</t>
  </si>
  <si>
    <t>&lt; 7,000 Btu/h</t>
  </si>
  <si>
    <t>≥ 65,000</t>
  </si>
  <si>
    <t>&gt; 15,000 and &lt; 65,000 Btu/h</t>
  </si>
  <si>
    <t>Table 2: Minimum Qualifying Efficiencies - Tier 1</t>
  </si>
  <si>
    <t>Table 3: Minimum Qualifying Efficiencies - Tier 2</t>
  </si>
  <si>
    <r>
      <t xml:space="preserve">≥ 7,000 and </t>
    </r>
    <r>
      <rPr>
        <sz val="11"/>
        <rFont val="Calibri"/>
        <family val="2"/>
      </rPr>
      <t>≤</t>
    </r>
    <r>
      <rPr>
        <sz val="11"/>
        <rFont val="Calibri"/>
        <family val="2"/>
        <scheme val="minor"/>
      </rPr>
      <t xml:space="preserve"> 15,000 Btu/h</t>
    </r>
  </si>
  <si>
    <r>
      <rPr>
        <sz val="11"/>
        <rFont val="Calibri"/>
        <family val="2"/>
      </rPr>
      <t>≥</t>
    </r>
    <r>
      <rPr>
        <sz val="11"/>
        <rFont val="Calibri"/>
        <family val="2"/>
        <scheme val="minor"/>
      </rPr>
      <t xml:space="preserve"> 65,000 and &lt; 240,000 Btu/h</t>
    </r>
  </si>
  <si>
    <t>Residential standard-sized front- or top-loading energy efficient clothes washer for use in a single family home or in-unit installation in a multifamily home.</t>
  </si>
  <si>
    <t>Must be ENERGY STAR v8.1-certified and/or have a Consortium for Energy Efficiency (CEE) rating of Tier 1 or higher.</t>
  </si>
  <si>
    <t>One clothes washer.</t>
  </si>
  <si>
    <t xml:space="preserve">Clothes washer meeting the federal requirements in effect for the given program year. Table 1 shows the current requirements, which have been in effect since Jan. 1, 2018. The Integrated Modified Energy Factor (IMEF) is used in the savings calculations. IMEF is a measure of energy efficiency that considers the energy used by the washer during the cycle and while on standby, the energy used to heat the water, and the energy used to run the dryer. </t>
  </si>
  <si>
    <t>Product Class</t>
  </si>
  <si>
    <t>Minimum Integrated Modified Energy Factor (IMEF), cu.ft./kWh/cycle</t>
  </si>
  <si>
    <t>Maximum Integrated Water Factor (IWF), gal/cycle/cu.ft.</t>
  </si>
  <si>
    <t>Share by Type 
(Hot-Humid Climate Region)</t>
  </si>
  <si>
    <t>Top-loading, Standard, 
≥ 1.6 cu.ft. capacity</t>
  </si>
  <si>
    <t>Front-loading, Standard, 
≥ 1.6 cu.ft. capacity</t>
  </si>
  <si>
    <t>Weighted Average Across Top- and Front-loading Washers, Hot-Humid Climate</t>
  </si>
  <si>
    <t>1. Code of Federal Regulations, 10 CFR 430.32, Subpart C, Energy and Water Conservation Standards and their Effective Dates, Paragraph (g): Clothes Washers, available here: &lt;https://www.govinfo.gov/content/pkg/CFR-2022-title10-vol3/pdf/CFR-2022-title10-vol3-sec430-32.pdf&gt;, accessed 1/23/2023.</t>
  </si>
  <si>
    <t>2. 2020 Residential Energy Consumption Survey (RECS), Table HC3.6 Appliances in U.S. Homes, by Climate Region, Hot-Humid Climate, available here: &lt;https://www.eia.gov/consumption/residential/data/2020/#appliances&gt;, accessed 1/23/2023.</t>
  </si>
  <si>
    <t>Three tiers of efficient equipment:</t>
  </si>
  <si>
    <t xml:space="preserve">1) ENERGY STAR or CEE Tier 1 certified
</t>
  </si>
  <si>
    <t>2) ENERGY STAR Most Efficient, or CEE Tier 2 certified</t>
  </si>
  <si>
    <t>3) CEE Tier 3 certified</t>
  </si>
  <si>
    <t>See Table 2 for criteria.</t>
  </si>
  <si>
    <t>Product Type</t>
  </si>
  <si>
    <t>Minimum IMEF, cu.ft./kWh/cycle</t>
  </si>
  <si>
    <t>Maximum IWF, gal/cycle/cu.ft.</t>
  </si>
  <si>
    <t>Not Connected</t>
  </si>
  <si>
    <t>ENERGY STAR: 
Top-loading, &gt; 2.5 cu.ft.</t>
  </si>
  <si>
    <t>ENERGY STAR: 
Front-loading, &gt; 2.5 cu.ft.</t>
  </si>
  <si>
    <t>ENERGY STAR Most Efficient or CEE Tier 2: Top- or Front-loading, ≤ 2.5 cu.ft.</t>
  </si>
  <si>
    <t>ENERGY STAR Most Efficient or CEE Tier 2: Top- or Front-loading, &gt; 2.5 cu.ft.</t>
  </si>
  <si>
    <t>CEE Tier 3: Top- or Front-loading, &gt; 2.5 cu.ft.</t>
  </si>
  <si>
    <t>1. ENERGY STAR Version 8.1 Clothes Washer Specification, available here:  &lt;https://www.energystar.gov/sites/default/files/asset/document/ENERGY%20STAR%20Version%208.1%20Clothes%20Washer%20Final%20Specificaiton%20-%20Partner%20Commitments%20and%20Eligibility%20Criteria.pdf&gt;.</t>
  </si>
  <si>
    <t>2. CEE Super Efficient Home Appliances Initiative, High Efficiency Specifications for Residential Clothes Washers, Effective Feb. 5, 2018, available here: &lt;https://library.cee1.org/system/files/library/13445/CEE_ResidentialClothesWasherSpecification_05Feb2018.pdf&gt;, accessed Jan. 26, 2023.</t>
  </si>
  <si>
    <t>3. Connected systems include hardware and software required to enable communication in response to consumer-authorized energy related commands.</t>
  </si>
  <si>
    <t>Average clothes washer capacity in cubic feet (cu.ft.)</t>
  </si>
  <si>
    <t>cu.ft.</t>
  </si>
  <si>
    <t>cu.ft./
kWh/
cycle</t>
  </si>
  <si>
    <t>Based on Federal Standards as of Jan. 1, 2018. This value represents the weighted average across front- and top-loading units using 2020 RECS data for the hot-humid climate region. See Table 1 above for derivation.</t>
  </si>
  <si>
    <t>Equivalent full load hours from load shape analysis</t>
  </si>
  <si>
    <t>1. ENERGY STAR Product Finder, available here: &lt;https://www.energystar.gov/productfinder/product/certified-clothes-washers/results&gt;.</t>
  </si>
  <si>
    <t>2. CEE Residential Clothes Washers Qualifying Product List, available here:  &lt;https://library.cee1.org/content/qualifying-product-lists-residential-clothes-washers&gt;.</t>
  </si>
  <si>
    <t>3. Refer to AEG's analysis file named "PY23 TRM - Residential Clothes Washer - Analysis File." Relevant analysis sheets include "Variables &amp; Assumptions," "CAP Analysis," "IMEF Analysis," "CEE Data &gt;2.5 cu.ft.," "CEE Data &lt;=2.5 cu.ft.," ENERGY STAR Data," "RECS 2020," and "Loadshape Analysis."</t>
  </si>
  <si>
    <t>4. Maryland/Mid-Atlantic Technical Reference Manual, Version 10, Prepared by Shelter Analytics, Facilitated and Managed by Northeast Energy Efficiency Partnerships, March 2020.</t>
  </si>
  <si>
    <t>5. See "EERE-2008-BT-STD-0019-0047_attachment_23.pdf" for user instructions for life-cycle cost and payback period spreadsheets, available here: &lt;https://www.regulations.gov/docket/EERE-2008-BT-STD-0019&gt;.</t>
  </si>
  <si>
    <t>AEG's 2023 Analysis File named "PY23 TRM - Residential Clothes Washer - Analysis File."</t>
  </si>
  <si>
    <t>California eTRM, Clothes Washer, Residential, SWAP004-03, effective Jan. 1, 2023, available here: &lt;https://www.caetrm.com/measure/SWAP004/03/&gt;, accessed Jan. 23, 2023.</t>
  </si>
  <si>
    <t>CEE Residential Clothes Washers Qualifying Product List, available here:  &lt;https://library.cee1.org/content/qualifying-product-lists-residential-clothes-washers&gt;, accessed Jan. 23, 2023.</t>
  </si>
  <si>
    <t>CEE Super Efficient Home Appliances Initiative, High Efficiency Specifications for Residential Clothes Washers, Effective Feb. 5, 2018, available here: &lt;https://library.cee1.org/system/files/library/13445/CEE_ResidentialClothesWasherSpecification_05Feb2018.pdf&gt;, accessed Jan. 26, 2023.</t>
  </si>
  <si>
    <t>Code of Federal Regulations, 10 CFR 430.32, Subpart C, Energy and Water Conservation Standards and their Effective Dates, Paragraph (g): Clothes Washers, available here: &lt;https://www.govinfo.gov/content/pkg/CFR-2022-title10-vol3/pdf/CFR-2022-title10-vol3-sec430-32.pdf&gt;.</t>
  </si>
  <si>
    <t>Consortium for Energy Efficiency, CEE Tiers and ENERGY STAR, &lt;https://cee1.org/content/cee-tiers-and-energy-star&gt;.</t>
  </si>
  <si>
    <t>ENERGY STAR Version 8.1 Clothes Washer Specification, available here:  &lt;https://www.energystar.gov/sites/default/files/asset/document/ENERGY%20STAR%20Version%208.1%20Clothes%20Washer%20Final%20Specificaiton%20-%20Partner%20Commitments%20and%20Eligibility%20Criteria.pdf&gt;.</t>
  </si>
  <si>
    <t>ENERGY STAR Product Finder, available here: &lt;https://www.energystar.gov/productfinder/product/certified-clothes-washers/results&gt;, accessed Jan. 23, 2023.</t>
  </si>
  <si>
    <t>2023 Illinois Statewide Technical Reference Manual for Energy Efficiency, Version 11.0, Volume 3: Residential Measures, FINAL, September 22, 2022. Effective: January 1, 2023.</t>
  </si>
  <si>
    <t>Regional Technical Forum, UES Measures, Residential Clothes Washers, Version 8.0, Apr. 18, 2022, available here: &lt;https://rtf.nwcouncil.org/measure/clothes-washers-0/&gt;.</t>
  </si>
  <si>
    <t>2020 Residential Energy Consumption Survey (RECS), Table HC3.6 Appliances in U.S. Homes, by Climate Region, available here: &lt;https://www.eia.gov/consumption/residential/data/2020/#appliances&gt;, accessed Jan. 23, 2023.</t>
  </si>
  <si>
    <t>Technical Support Document: Energy Efficiency Program for Consumer Products and Commercial and Industrial Equipment: Residential Clothes Washers, April 2012, U.S. Department of Energy, available here: &lt;https://www.regulations.gov/document/EERE-2008-BT-STD-0019-0047&gt;.</t>
  </si>
  <si>
    <t>The Spruce, T. Dale, How Long Does a Washing Machine Last?, Sep. 2, 2022, available here: &lt;https://www.thespruce.com/how-long-does-a-washing-machine-last-5272534&gt;.</t>
  </si>
  <si>
    <t>U.S. Department of Energy, Energy Conservation Program: Energy Conservation Standards for Residential Clothes Washers, EERE-2008-BT-STD-0019, available here: &lt;https://www.regulations.gov/docket/EERE-2008-BT-STD-0019&gt;.</t>
  </si>
  <si>
    <r>
      <t>AEG 2023 Analysis</t>
    </r>
    <r>
      <rPr>
        <vertAlign val="superscript"/>
        <sz val="10"/>
        <color theme="1"/>
        <rFont val="Calibri"/>
        <family val="2"/>
        <scheme val="minor"/>
      </rPr>
      <t>6</t>
    </r>
  </si>
  <si>
    <r>
      <t>No data found</t>
    </r>
    <r>
      <rPr>
        <vertAlign val="superscript"/>
        <sz val="10"/>
        <color theme="1"/>
        <rFont val="Calibri"/>
        <family val="2"/>
        <scheme val="minor"/>
      </rPr>
      <t>7</t>
    </r>
  </si>
  <si>
    <r>
      <t>AEG 2022 Analysis</t>
    </r>
    <r>
      <rPr>
        <vertAlign val="superscript"/>
        <sz val="10"/>
        <color theme="1"/>
        <rFont val="Calibri"/>
        <family val="2"/>
        <scheme val="minor"/>
      </rPr>
      <t>8</t>
    </r>
  </si>
  <si>
    <r>
      <t>AEG 2020 Analysis</t>
    </r>
    <r>
      <rPr>
        <vertAlign val="superscript"/>
        <sz val="10"/>
        <color theme="1"/>
        <rFont val="Calibri"/>
        <family val="2"/>
        <scheme val="minor"/>
      </rPr>
      <t>9</t>
    </r>
  </si>
  <si>
    <r>
      <rPr>
        <vertAlign val="superscript"/>
        <sz val="9"/>
        <color theme="1"/>
        <rFont val="Calibri"/>
        <family val="2"/>
        <scheme val="minor"/>
      </rPr>
      <t>6</t>
    </r>
    <r>
      <rPr>
        <sz val="9"/>
        <color theme="1"/>
        <rFont val="Calibri"/>
        <family val="2"/>
        <scheme val="minor"/>
      </rPr>
      <t xml:space="preserve"> AEG 2023 Analysis: Conducted EUL benchmarking for revised kitchen measures.</t>
    </r>
  </si>
  <si>
    <r>
      <rPr>
        <vertAlign val="superscript"/>
        <sz val="9"/>
        <color theme="1"/>
        <rFont val="Calibri"/>
        <family val="2"/>
        <scheme val="minor"/>
      </rPr>
      <t>7</t>
    </r>
    <r>
      <rPr>
        <sz val="9"/>
        <color theme="1"/>
        <rFont val="Calibri"/>
        <family val="2"/>
        <scheme val="minor"/>
      </rPr>
      <t xml:space="preserve"> No data found: This was a priority measure, but no EUL could be found during benchmarking.</t>
    </r>
  </si>
  <si>
    <r>
      <rPr>
        <vertAlign val="superscript"/>
        <sz val="9"/>
        <color theme="1"/>
        <rFont val="Calibri"/>
        <family val="2"/>
        <scheme val="minor"/>
      </rPr>
      <t>8</t>
    </r>
    <r>
      <rPr>
        <sz val="9"/>
        <color theme="1"/>
        <rFont val="Calibri"/>
        <family val="2"/>
        <scheme val="minor"/>
      </rPr>
      <t xml:space="preserve"> AEG 2022 Analysis: Conducted EUL benchmarking for new and revised measures.</t>
    </r>
  </si>
  <si>
    <r>
      <rPr>
        <vertAlign val="superscript"/>
        <sz val="9"/>
        <color theme="1"/>
        <rFont val="Calibri"/>
        <family val="2"/>
        <scheme val="minor"/>
      </rPr>
      <t>9</t>
    </r>
    <r>
      <rPr>
        <sz val="9"/>
        <color theme="1"/>
        <rFont val="Calibri"/>
        <family val="2"/>
        <scheme val="minor"/>
      </rPr>
      <t xml:space="preserve"> AEG 2020 Analysis: Conducted EUL benchmarking for new measures as they were introduced.</t>
    </r>
  </si>
  <si>
    <r>
      <t>Table 1. Federal Standards for Standard-Sized Clothes Washers. Effective as of Jan. 1, 2018.</t>
    </r>
    <r>
      <rPr>
        <b/>
        <vertAlign val="superscript"/>
        <sz val="11"/>
        <rFont val="Calibri"/>
        <family val="2"/>
        <scheme val="minor"/>
      </rPr>
      <t>1</t>
    </r>
    <r>
      <rPr>
        <b/>
        <sz val="11"/>
        <rFont val="Calibri"/>
        <family val="2"/>
        <scheme val="minor"/>
      </rPr>
      <t xml:space="preserve"> Weighted by Shares of Top- and Front-Loading Clothes Washers per RECS 2020.</t>
    </r>
    <r>
      <rPr>
        <b/>
        <vertAlign val="superscript"/>
        <sz val="11"/>
        <rFont val="Calibri"/>
        <family val="2"/>
        <scheme val="minor"/>
      </rPr>
      <t>2</t>
    </r>
  </si>
  <si>
    <r>
      <t>Table 2. ENERGY STAR v8.1 and CEE Criteria for Residential Clothes Washers.</t>
    </r>
    <r>
      <rPr>
        <b/>
        <vertAlign val="superscript"/>
        <sz val="11"/>
        <rFont val="Calibri"/>
        <family val="2"/>
        <scheme val="minor"/>
      </rPr>
      <t>1,2</t>
    </r>
  </si>
  <si>
    <r>
      <t>Connected</t>
    </r>
    <r>
      <rPr>
        <b/>
        <vertAlign val="superscript"/>
        <sz val="10.5"/>
        <rFont val="Calibri"/>
        <family val="2"/>
        <scheme val="minor"/>
      </rPr>
      <t>3</t>
    </r>
  </si>
  <si>
    <r>
      <t xml:space="preserve">ENERGY STAR or CEE Tier 1: Top- or Front-loading, </t>
    </r>
    <r>
      <rPr>
        <sz val="10.5"/>
        <rFont val="Calibri"/>
        <family val="2"/>
      </rPr>
      <t>≤</t>
    </r>
    <r>
      <rPr>
        <sz val="10.5"/>
        <rFont val="Calibri"/>
        <family val="2"/>
        <scheme val="minor"/>
      </rPr>
      <t xml:space="preserve"> 2.5 cu.ft.</t>
    </r>
  </si>
  <si>
    <r>
      <t xml:space="preserve">CEE Tier 1: Top- or Front-loading, </t>
    </r>
    <r>
      <rPr>
        <sz val="10.5"/>
        <rFont val="Calibri"/>
        <family val="2"/>
      </rPr>
      <t>&gt;</t>
    </r>
    <r>
      <rPr>
        <sz val="10.5"/>
        <rFont val="Calibri"/>
        <family val="2"/>
        <scheme val="minor"/>
      </rPr>
      <t xml:space="preserve"> 2.5 cu.ft.</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</si>
  <si>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This value represents the weighted average across the three tiers and across all front- and top-loading models in the datasets.</t>
    </r>
  </si>
  <si>
    <r>
      <t>Based on AEG's analysis of CEE and ENERGY STAR qualifying clothes washer data, accessed Jan. 23, 2023.</t>
    </r>
    <r>
      <rPr>
        <vertAlign val="superscript"/>
        <sz val="10.5"/>
        <rFont val="Calibri"/>
        <family val="2"/>
        <scheme val="minor"/>
      </rPr>
      <t>1,2,3</t>
    </r>
    <r>
      <rPr>
        <sz val="10.5"/>
        <rFont val="Calibri"/>
        <family val="2"/>
        <scheme val="minor"/>
      </rPr>
      <t xml:space="preserve"> These values represent the weighted averages across all front- and top-loading models in the datasets, for each tier.</t>
    </r>
  </si>
  <si>
    <r>
      <t>Based on AEG's analysis of 2020 RECS data, Table HC3.6, Clothes washer usage, hot-humid climate zone. This value represents the weighted average of usage per week across usage bins, multiplied by 52 weeks per year.</t>
    </r>
    <r>
      <rPr>
        <vertAlign val="superscript"/>
        <sz val="10.5"/>
        <rFont val="Calibri"/>
        <family val="2"/>
        <scheme val="minor"/>
      </rPr>
      <t>3</t>
    </r>
  </si>
  <si>
    <r>
      <t>Values are derived from the Maryland/Mid-Atlantic TRM v10.</t>
    </r>
    <r>
      <rPr>
        <vertAlign val="superscript"/>
        <sz val="10.5"/>
        <rFont val="Calibri"/>
        <family val="2"/>
        <scheme val="minor"/>
      </rPr>
      <t>4</t>
    </r>
    <r>
      <rPr>
        <sz val="10.5"/>
        <rFont val="Calibri"/>
        <family val="2"/>
        <scheme val="minor"/>
      </rPr>
      <t xml:space="preserve"> The percentages were initially based on a weighted average of top-loading and front-loading units for each tier and each capacity bin (&gt; 2.5 cu.ft. and ≤ 2.5 cu.ft.) using data from the ENERGY STAR qualified product list (accessed on Mar. 17, 2020) and consumption data from the U.S. DOE's Life-Cycle Cost and Payback Period Excel-based analytical tool.</t>
    </r>
    <r>
      <rPr>
        <vertAlign val="superscript"/>
        <sz val="10.5"/>
        <rFont val="Calibri"/>
        <family val="2"/>
        <scheme val="minor"/>
      </rPr>
      <t>5</t>
    </r>
    <r>
      <rPr>
        <sz val="10.5"/>
        <rFont val="Calibri"/>
        <family val="2"/>
        <scheme val="minor"/>
      </rPr>
      <t xml:space="preserve"> AEG then developed weighted averages of the percentages for the two capacity bins using CEE and ENERGY STAR qualifying clothes washer data, accessed Jan. 23, 2023.</t>
    </r>
    <r>
      <rPr>
        <vertAlign val="superscript"/>
        <sz val="10.5"/>
        <rFont val="Calibri"/>
        <family val="2"/>
        <scheme val="minor"/>
      </rPr>
      <t>1,2,3</t>
    </r>
  </si>
  <si>
    <r>
      <t>AEG 2023 load shape analysis for Hawaii peak period of 5-9 pm weekdays.</t>
    </r>
    <r>
      <rPr>
        <vertAlign val="superscript"/>
        <sz val="10.5"/>
        <rFont val="Calibri"/>
        <family val="2"/>
        <scheme val="minor"/>
      </rPr>
      <t>3,6</t>
    </r>
    <r>
      <rPr>
        <sz val="10.5"/>
        <rFont val="Calibri"/>
        <family val="2"/>
        <scheme val="minor"/>
      </rPr>
      <t xml:space="preserve"> </t>
    </r>
  </si>
  <si>
    <r>
      <t>AEG 2023 load shape analysis for Hawaii peak period of 5-9 pm weekdays.</t>
    </r>
    <r>
      <rPr>
        <vertAlign val="superscript"/>
        <sz val="10.5"/>
        <rFont val="Calibri"/>
        <family val="2"/>
        <scheme val="minor"/>
      </rPr>
      <t>3,7</t>
    </r>
  </si>
  <si>
    <r>
      <t>AEG 2023 benchmarking. Several sources say front-loading machines typically last 11 years while top-loading machines typically last 14 years. This value represents a weighted average across front- and top-loading counts using CEE and ENERGY STAR data, accessed Jan. 23, 2023.</t>
    </r>
    <r>
      <rPr>
        <vertAlign val="superscript"/>
        <sz val="10.5"/>
        <rFont val="Calibri"/>
        <family val="2"/>
        <scheme val="minor"/>
      </rPr>
      <t>1,2,3</t>
    </r>
    <r>
      <rPr>
        <sz val="10.5"/>
        <rFont val="Calibri"/>
        <family val="2"/>
        <scheme val="minor"/>
      </rPr>
      <t xml:space="preserve"> </t>
    </r>
  </si>
  <si>
    <r>
      <t xml:space="preserve">6. The EFLH value was derived from 8760 hourly load shape data for an average clothes washer, assuming EFLH = Annual kWh/Max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Note: The EFLH value is </t>
    </r>
    <r>
      <rPr>
        <u/>
        <sz val="9"/>
        <rFont val="Calibri"/>
        <family val="2"/>
        <scheme val="minor"/>
      </rPr>
      <t>not</t>
    </r>
    <r>
      <rPr>
        <sz val="9"/>
        <rFont val="Calibri"/>
        <family val="2"/>
        <scheme val="minor"/>
      </rPr>
      <t xml:space="preserve"> intended to represent the operating hours of a single clothes washer. This EFLH value </t>
    </r>
    <r>
      <rPr>
        <u/>
        <sz val="9"/>
        <rFont val="Calibri"/>
        <family val="2"/>
        <scheme val="minor"/>
      </rPr>
      <t>must be</t>
    </r>
    <r>
      <rPr>
        <sz val="9"/>
        <rFont val="Calibri"/>
        <family val="2"/>
        <scheme val="minor"/>
      </rPr>
      <t xml:space="preserve"> paired with the CF value below to yield meaningful peak demand savings.</t>
    </r>
  </si>
  <si>
    <r>
      <t xml:space="preserve">7. The CF value was derived from 8760 hourly load shape data for an average clothes washer, assuming  CF = Average kW during average weekday peak period/Max kW during year. The analysis leverages load shapes compiled for the 2020 State of Hawaii Market Potential Study. The source of the clothes washer load shape data is the California Energy Commission. This analysis assumes the clothes washer's load shape is a reasonable proxy for the savings load shape. This CF value </t>
    </r>
    <r>
      <rPr>
        <u/>
        <sz val="9"/>
        <rFont val="Calibri"/>
        <family val="2"/>
        <scheme val="minor"/>
      </rPr>
      <t>must be</t>
    </r>
    <r>
      <rPr>
        <sz val="9"/>
        <rFont val="Calibri"/>
        <family val="2"/>
        <scheme val="minor"/>
      </rPr>
      <t xml:space="preserve"> paired with the EFLH value above to yield meaningful peak demand savings.</t>
    </r>
  </si>
  <si>
    <t>AEG's Analysis File named "AEG HPUC Baseline Study Data - Analysis File."</t>
  </si>
  <si>
    <t>Remove the measure sheets that have a sunset date of December 31, 2022 or June 30, 2023 (“R_HVAC_Central AC Retrofit_1,” “R_HVAC_Central AC Retrofit_2,” “R_HVAC_Ductless_1,” “R_HVAC_AC_WKST_1,” and “R_HVAC_AC_WKST_2). At the same time, rename “R_HVAC_Ductless_2, to remove the "_2" extension and remove "Version 2" from the measure title. Add in the PY23 version of the AC Retrofit measure (“R_HVAC_Central AC Retrofit_PY23”) and corresponding calculator (“R_HVAC_AC_WKST_PY23”).</t>
  </si>
  <si>
    <t>Residential HVAC: Central AC Retrofit and Residential HVAC: Ductless</t>
  </si>
  <si>
    <t>R_HVAC_Ductless; R_HVAC_Central AC Retrofit; and R_HVAC_AC_WKST</t>
  </si>
  <si>
    <t>Ductless Split Systems</t>
  </si>
  <si>
    <t>AC Worksheet *</t>
  </si>
  <si>
    <t>Central AC Retrofit *</t>
  </si>
  <si>
    <t>Must meet 15.2 SEER2 minimum. See Note 6.</t>
  </si>
  <si>
    <t>6. The 15.2 SEER2 requirement is consistent with ENERGY STAR V6.1 standards for central AC systems.</t>
  </si>
  <si>
    <t>Hawaii-specific energy simulations of single family home prototypes in BEopt™ with EnergyPlus v8.8 as the simulation engine.</t>
  </si>
  <si>
    <t>Updated in Fall 2022 for the PY23 TRM. Effective as of Jul. 1, 2023. The pre-2006 early replacement baseline option sunsets at the end of PY25.</t>
  </si>
  <si>
    <r>
      <t xml:space="preserve">Contact Hawai'i Energy's residential team for more information. For early replacement, the pre-existing unit must be less than 20 years old and documentation must be provided to show that the pre-existing unit was operating and had a meaningful remaining useful life prior to replacement. Examples of acceptable documentation include a signed statement from the homeowner or a video showing the pre-existing unit in operation. In addition, a photo of the nameplate is required, even if it is corroded or otherwise illegible. In cases where the nameplate is missing, the age is unknown, and/or the unit is assumed to have been manufactured prior to Jan. 23, 2006, </t>
    </r>
    <r>
      <rPr>
        <u/>
        <sz val="11"/>
        <rFont val="Calibri"/>
        <family val="2"/>
        <scheme val="minor"/>
      </rPr>
      <t>both</t>
    </r>
    <r>
      <rPr>
        <sz val="11"/>
        <rFont val="Calibri"/>
        <family val="2"/>
        <scheme val="minor"/>
      </rPr>
      <t xml:space="preserve"> a video of the pre-existing unit in operation and a signed statement from the homeowner verifying that it is operational are required.</t>
    </r>
  </si>
  <si>
    <t>For systems installed on Jul. 1, 2023 or later, the high efficiency equipment is a new split-system or single-package central AC unit (&lt;65,000 Btu/h) with at least 15.2 SEER2.</t>
  </si>
  <si>
    <t>RESIDENTIAL: HVAC Savings Calculator</t>
  </si>
  <si>
    <t>Kelly Parmenter</t>
  </si>
  <si>
    <t>MAJOR CHANGES FROM PY2022 TO PY2023 TRM</t>
  </si>
  <si>
    <t>Caroline Carl</t>
  </si>
  <si>
    <t>Ashley Norman</t>
  </si>
  <si>
    <r>
      <rPr>
        <u/>
        <sz val="11"/>
        <rFont val="Calibri"/>
        <family val="2"/>
      </rPr>
      <t>Single Baseline:</t>
    </r>
    <r>
      <rPr>
        <sz val="11"/>
        <rFont val="Calibri"/>
        <family val="2"/>
      </rPr>
      <t xml:space="preserve"> For Maui, Hawaii, and Oahu, a single baseline (EISA Tier 2) approach must be used as of July 2022. For Molokai and Lanai, the single baseline (EISA Tier 2) approach is effective as of April 2023.  </t>
    </r>
  </si>
  <si>
    <r>
      <t xml:space="preserve">SAVINGS </t>
    </r>
    <r>
      <rPr>
        <b/>
        <i/>
        <sz val="11"/>
        <rFont val="Calibri"/>
        <family val="2"/>
        <scheme val="minor"/>
      </rPr>
      <t>(Applicable for Maui, Hawaii &amp; Oahu as of Jul '22 and Molokai &amp; Lanai as of Apr '23)</t>
    </r>
  </si>
  <si>
    <t xml:space="preserve">  V2.0</t>
  </si>
  <si>
    <t>RESIDENTIAL: Heat Pump Clothes Dryer</t>
  </si>
  <si>
    <t xml:space="preserve">Added in Fall 2023 for the Mid-Year PY23 TRM V2. </t>
  </si>
  <si>
    <t>Replacement of an Electric Resistance Clothes Dryer with an ENERGY STAR Heat Pump Clothes Dryer in an existing home, or installation of an Heat Pump Clothes Dryer in a newly constructed home.</t>
  </si>
  <si>
    <t xml:space="preserve">The High Efficiency Equipment must be an ENERGY STAR certified Heat Pump Clothes Dryer. </t>
  </si>
  <si>
    <t>One clothes dryer.</t>
  </si>
  <si>
    <t>The Baseline Equipment is an Electric Resistance Clothes Dryer.</t>
  </si>
  <si>
    <t>The High Efficiency equipment is an ENERGY STAR certified Heat Pump Clothes Dryer.</t>
  </si>
  <si>
    <t>High Efficiency Annual Energy Use, kWh/yr</t>
  </si>
  <si>
    <r>
      <t>kWh</t>
    </r>
    <r>
      <rPr>
        <vertAlign val="subscript"/>
        <sz val="10.5"/>
        <color theme="1"/>
        <rFont val="Calibri"/>
        <family val="2"/>
        <scheme val="minor"/>
      </rPr>
      <t>base</t>
    </r>
  </si>
  <si>
    <t>Annual energy use of electric resistance clothes dryer</t>
  </si>
  <si>
    <t>See Equation 1</t>
  </si>
  <si>
    <r>
      <t>kWh</t>
    </r>
    <r>
      <rPr>
        <vertAlign val="subscript"/>
        <sz val="10.5"/>
        <color theme="1"/>
        <rFont val="Calibri"/>
        <family val="2"/>
        <scheme val="minor"/>
      </rPr>
      <t>ee</t>
    </r>
  </si>
  <si>
    <t>Annual energy use of heat pump clothes dryer</t>
  </si>
  <si>
    <t>See Equation 2</t>
  </si>
  <si>
    <t>Average weight of load in compact electric dryer</t>
  </si>
  <si>
    <t>lbs/cycle</t>
  </si>
  <si>
    <r>
      <t>Code for Federal Regulations for clothes dryer.</t>
    </r>
    <r>
      <rPr>
        <vertAlign val="superscript"/>
        <sz val="10.5"/>
        <rFont val="Calibri"/>
        <family val="2"/>
        <scheme val="minor"/>
      </rPr>
      <t>1</t>
    </r>
  </si>
  <si>
    <t xml:space="preserve">Average weight of load in standard electric dryer </t>
  </si>
  <si>
    <r>
      <t>CEF</t>
    </r>
    <r>
      <rPr>
        <vertAlign val="subscript"/>
        <sz val="10.5"/>
        <color theme="1"/>
        <rFont val="Calibri"/>
        <family val="2"/>
        <scheme val="minor"/>
      </rPr>
      <t>base</t>
    </r>
  </si>
  <si>
    <t>Combined Energy Factor of vented and ventless 120-V compact electric clothes dryer</t>
  </si>
  <si>
    <t>lbs/kWh</t>
  </si>
  <si>
    <r>
      <t>Code for Federal Regulations for clothes dryer</t>
    </r>
    <r>
      <rPr>
        <vertAlign val="superscript"/>
        <sz val="10.5"/>
        <color theme="1"/>
        <rFont val="Calibri"/>
        <family val="2"/>
        <scheme val="minor"/>
      </rPr>
      <t>1</t>
    </r>
  </si>
  <si>
    <t>Combined Energy Factor of vented 240-V compact electric clothes dryer</t>
  </si>
  <si>
    <t>Combined Energy Factor of ventless 240-V compact electric clothes dryer</t>
  </si>
  <si>
    <t>Combined Energy Factor of vented and ventless standard electric clothes dryer</t>
  </si>
  <si>
    <r>
      <t>CEF</t>
    </r>
    <r>
      <rPr>
        <vertAlign val="subscript"/>
        <sz val="10.5"/>
        <color theme="1"/>
        <rFont val="Calibri"/>
        <family val="2"/>
        <scheme val="minor"/>
      </rPr>
      <t>ee</t>
    </r>
  </si>
  <si>
    <t>Combined Energy Factor of heat pump clothes dryer</t>
  </si>
  <si>
    <r>
      <t>California Technical Forum.</t>
    </r>
    <r>
      <rPr>
        <vertAlign val="superscript"/>
        <sz val="10.5"/>
        <rFont val="Calibri"/>
        <family val="2"/>
        <scheme val="minor"/>
      </rPr>
      <t>2</t>
    </r>
    <r>
      <rPr>
        <sz val="10.5"/>
        <rFont val="Calibri"/>
        <family val="2"/>
        <scheme val="minor"/>
      </rPr>
      <t xml:space="preserve"> CEF applies to all voltage levels, vented and ventless, and dryer sizes. </t>
    </r>
  </si>
  <si>
    <t>Annual number of cycles for compact size electric dryer</t>
  </si>
  <si>
    <r>
      <t>California Technical Forum.</t>
    </r>
    <r>
      <rPr>
        <vertAlign val="superscript"/>
        <sz val="10.5"/>
        <rFont val="Calibri"/>
        <family val="2"/>
        <scheme val="minor"/>
      </rPr>
      <t>2</t>
    </r>
  </si>
  <si>
    <t>Annual number of cycles for standard size electric dryer</t>
  </si>
  <si>
    <t>See Equation 3</t>
  </si>
  <si>
    <t>See Equation 4</t>
  </si>
  <si>
    <t>Equivalent full load hours, defined here as the sum of the 8760 hourly loads (kWh) from an average single family clothes drying load shape divided by the maximum hourly load (kW) from the same load shape</t>
  </si>
  <si>
    <r>
      <t>Results of clothes drying load shape analysis using Hawaii's peak demand period of non-holiday weekdays, from 5 to 9 pm.</t>
    </r>
    <r>
      <rPr>
        <vertAlign val="superscript"/>
        <sz val="10.5"/>
        <color theme="1"/>
        <rFont val="Calibri"/>
        <family val="2"/>
        <scheme val="minor"/>
      </rPr>
      <t xml:space="preserve">3 </t>
    </r>
    <r>
      <rPr>
        <sz val="10.5"/>
        <color theme="1"/>
        <rFont val="Calibri"/>
        <family val="2"/>
        <scheme val="minor"/>
      </rPr>
      <t xml:space="preserve"> </t>
    </r>
  </si>
  <si>
    <r>
      <t xml:space="preserve">Peak demand coincidence factor, defined here as the average hourly load (kW) for clothes drying during the average weekday peak period divided by the maximum hourly load (kW) for clothes drying during the year. The CF is calculated using the </t>
    </r>
    <r>
      <rPr>
        <u/>
        <sz val="10.5"/>
        <rFont val="Calibri"/>
        <family val="2"/>
        <scheme val="minor"/>
      </rPr>
      <t>same</t>
    </r>
    <r>
      <rPr>
        <sz val="10.5"/>
        <rFont val="Calibri"/>
        <family val="2"/>
        <scheme val="minor"/>
      </rPr>
      <t xml:space="preserve"> load shape used for the EFLH calculation.</t>
    </r>
  </si>
  <si>
    <r>
      <t>Results of clothes drying load shape analysis using Hawaii's peak demand period of non-holiday weekdays, from 5 to 9 pm.</t>
    </r>
    <r>
      <rPr>
        <vertAlign val="superscript"/>
        <sz val="10.5"/>
        <color theme="1"/>
        <rFont val="Calibri"/>
        <family val="2"/>
        <scheme val="minor"/>
      </rPr>
      <t>3</t>
    </r>
    <r>
      <rPr>
        <sz val="10.5"/>
        <color theme="1"/>
        <rFont val="Calibri"/>
        <family val="2"/>
        <scheme val="minor"/>
      </rPr>
      <t xml:space="preserve">  </t>
    </r>
  </si>
  <si>
    <r>
      <t>ΔkWh</t>
    </r>
    <r>
      <rPr>
        <vertAlign val="subscript"/>
        <sz val="10.5"/>
        <color theme="1"/>
        <rFont val="Calibri"/>
        <family val="2"/>
        <scheme val="minor"/>
      </rPr>
      <t>life</t>
    </r>
  </si>
  <si>
    <t>Lifetime energy savings</t>
  </si>
  <si>
    <r>
      <t>EUL</t>
    </r>
    <r>
      <rPr>
        <vertAlign val="subscript"/>
        <sz val="10.5"/>
        <color theme="1"/>
        <rFont val="Calibri"/>
        <family val="2"/>
        <scheme val="minor"/>
      </rPr>
      <t>ee</t>
    </r>
  </si>
  <si>
    <t>1.  Federal Standard 10 CFR 430.32(h) Federal Required Minimum CEF Requirements for Clothes Dryers. Title 10 was last amended on 9/29/2023. &lt;https://www.ecfr.gov/current/title-10/chapter-II/subchapter-D/part-430&gt;</t>
  </si>
  <si>
    <t>2. California Technical Forum, SWAP003-04, Clothes Dryer, Residential, CPUC Approved January 1, 2023. &lt;https://www.caetrm.com/measure/SWAP003/04/&gt;</t>
  </si>
  <si>
    <t>3. AEG's analysis of an average clothes drying load shape for a single family house using the Hawaii peak demand period of non-holiday weekdays, from 5 to 9 pm: "Load_shape_by_segment_110519_Clothes Drying 10032023." The source of the clothes drying load shape data is the California Energy Commission. The load shape was compiled along with other load shapes during the 2020 Market Potential Study for Hawaii. The clothes drying load shape analysis provides EFLH=3432 hours and CF=0.50. See "SF_Clothes Drying" tab in AEG's 2023 Analysis File titled "Mid-year PY23 TRM - Residential Heat Pump Dryer - Analysis File." This analysis assumes the clothes drying load shape is a reasonable proxy for the heat pump clothes dryer savings shape. Note: The EFLH value is not intended to represent the operating hours of a single heat pump dryer. This EFLH value must be paired with the CF value to yield meaningful peak demand savings.</t>
  </si>
  <si>
    <t>Residential Vented and Ventless Compact 120-V Heat Pump Dryer</t>
  </si>
  <si>
    <t>Residential Vented Compact 240-V Heat Pump Dryer</t>
  </si>
  <si>
    <t>Residential Ventless Compact 240-V Heat Pump Dryer</t>
  </si>
  <si>
    <t>Residential Vented and Ventless Standard Heat Pump Dryer</t>
  </si>
  <si>
    <t>AEG's 2023 Analysis File titled Mid-year PY23 TRM - Residential Heat Pump Dryer - Analysis File."</t>
  </si>
  <si>
    <t>AEG's Load Shape Analysis File titled "Load_shape_by_segment_110519_Clothes Drying 10032023."</t>
  </si>
  <si>
    <t xml:space="preserve">California Technical Forum, SWAP003-04, Clothes Dryer, Residential, CPUC Approved January 1, 2023. &lt;https://www.caetrm.com/measure/SWAP003/04/&gt;. </t>
  </si>
  <si>
    <t xml:space="preserve"> Federal Standard 10 CFR 430.32(h) Federal Required Minimum CEF Requirements for Clothes Dryers. Title 10 was last amended on 9/29/2023. &lt;https://www.ecfr.gov/current/title-10/chapter-II/subchapter-D/part-430&gt;.</t>
  </si>
  <si>
    <t>Heat Pump Clothes Dryer</t>
  </si>
  <si>
    <t>Heat Pump Clothes Dryer *(New)*</t>
  </si>
  <si>
    <t>*(New)* Added to PY23 TRM</t>
  </si>
  <si>
    <t>CA eTRM, Jan 2023</t>
  </si>
  <si>
    <t>Induction Cooktop *(New)*</t>
  </si>
  <si>
    <t>RESIDENTIAL: Induction Cooktop</t>
  </si>
  <si>
    <t>Replacement of an Electric Resistance Cooktop with an ENERGY STAR Induction Cooktop in an existing home, or installation of an ENERGY STAR Induction Cooktop in a newly constructed home.</t>
  </si>
  <si>
    <t>The High Efficiency Equipment must be a standalone induction cooktop or an electric range with an induction cooktop. The induction cooktop must be ENERGY STAR certified and include four or five burner units.</t>
  </si>
  <si>
    <t>One cooktop.</t>
  </si>
  <si>
    <t>The Baseline Equipment is an Electric Resistance Cooktop, either a standalone unit or part of a range.</t>
  </si>
  <si>
    <t xml:space="preserve">The High Efficiency equipment is an ENERGY STAR certified Induction Cooktop, either a standalone unit or a part of a range. </t>
  </si>
  <si>
    <t>Annual energy use of electric resistance cooktop</t>
  </si>
  <si>
    <t xml:space="preserve">Annual energy use of induction cooktop </t>
  </si>
  <si>
    <r>
      <t>The average annual energy use of induction cooktops from 2021-2022 ENERGY STAR® Emerging Technology Award Winning Residential Induction Cooking Top Models.</t>
    </r>
    <r>
      <rPr>
        <vertAlign val="superscript"/>
        <sz val="10.5"/>
        <rFont val="Calibri"/>
        <family val="2"/>
        <scheme val="minor"/>
      </rPr>
      <t>1</t>
    </r>
  </si>
  <si>
    <r>
      <t>η</t>
    </r>
    <r>
      <rPr>
        <vertAlign val="subscript"/>
        <sz val="10.5"/>
        <color theme="1"/>
        <rFont val="Calibri"/>
        <family val="2"/>
        <scheme val="minor"/>
      </rPr>
      <t>base</t>
    </r>
  </si>
  <si>
    <t>Cooking efficiency of electric resistance cooktop</t>
  </si>
  <si>
    <r>
      <t>California Technical Forum.</t>
    </r>
    <r>
      <rPr>
        <vertAlign val="superscript"/>
        <sz val="10.5"/>
        <color theme="1"/>
        <rFont val="Calibri"/>
        <family val="2"/>
        <scheme val="minor"/>
      </rPr>
      <t>2</t>
    </r>
  </si>
  <si>
    <r>
      <t>η</t>
    </r>
    <r>
      <rPr>
        <vertAlign val="subscript"/>
        <sz val="10.5"/>
        <rFont val="Calibri"/>
        <family val="2"/>
        <scheme val="minor"/>
      </rPr>
      <t>ee</t>
    </r>
  </si>
  <si>
    <t>Cooking efficiency of induction cooktop</t>
  </si>
  <si>
    <t>Equivalent full load hours, defined here as the sum of the 8760 hourly loads (kWh) from an average single family cooking load shape divided by the maximum hourly load (kW) from the same load shape</t>
  </si>
  <si>
    <r>
      <t>Results of cooking load shape analysis using Hawaii's peak demand period of non-holiday weekdays, from 5 to 9 pm.</t>
    </r>
    <r>
      <rPr>
        <vertAlign val="superscript"/>
        <sz val="10.5"/>
        <color theme="1"/>
        <rFont val="Calibri"/>
        <family val="2"/>
        <scheme val="minor"/>
      </rPr>
      <t xml:space="preserve">3 </t>
    </r>
    <r>
      <rPr>
        <sz val="10.5"/>
        <color theme="1"/>
        <rFont val="Calibri"/>
        <family val="2"/>
        <scheme val="minor"/>
      </rPr>
      <t xml:space="preserve"> </t>
    </r>
  </si>
  <si>
    <r>
      <t xml:space="preserve">Peak demand coincidence factor, defined here as the average hourly load (kW) for cooking during the average weekday peak period divided by the maximum hourly load (kW) for cooking during the year. The CF is calculated using the </t>
    </r>
    <r>
      <rPr>
        <u/>
        <sz val="10.5"/>
        <rFont val="Calibri"/>
        <family val="2"/>
        <scheme val="minor"/>
      </rPr>
      <t>same</t>
    </r>
    <r>
      <rPr>
        <sz val="10.5"/>
        <rFont val="Calibri"/>
        <family val="2"/>
        <scheme val="minor"/>
      </rPr>
      <t xml:space="preserve"> load shape used for the EFLH calculation.</t>
    </r>
  </si>
  <si>
    <r>
      <t>Results of cooking load shape analysis using Hawaii's peak demand period of non-holiday weekdays, from 5 to 9 pm.</t>
    </r>
    <r>
      <rPr>
        <vertAlign val="superscript"/>
        <sz val="10.5"/>
        <color theme="1"/>
        <rFont val="Calibri"/>
        <family val="2"/>
        <scheme val="minor"/>
      </rPr>
      <t>3</t>
    </r>
    <r>
      <rPr>
        <sz val="10.5"/>
        <color theme="1"/>
        <rFont val="Calibri"/>
        <family val="2"/>
        <scheme val="minor"/>
      </rPr>
      <t xml:space="preserve">  </t>
    </r>
  </si>
  <si>
    <t xml:space="preserve">1.  Average "Integrated Annual Energy Consumption" for all units included in the 2021-2022 EnergyStar Induction Cooktops Qualified Product List. The average value across all induction cooktops (e.g., standalone induction cooktops and those in an electric range) is 109.82 kWh/yr. See "QLP Data" tab in AEG's 2023 Analysis File titled "Mid-year PY23 TRM - Residential Induction Cooktop - Analysis File." &lt;https://www.energystar.gov/sites/default/files/asset/document/2021%202022%20ETA%20QPL%20Residential%20Induction%20Cooking%20Tops%206.23.2022.xlsx&gt; </t>
  </si>
  <si>
    <t>2. California Technical Forum, SWAP015-02, Induction Cooking with or without Electric Range, CPUC Approved January 1, 2023.  &lt;https://www.caetrm.com/measure/SWAP015/02/&gt;</t>
  </si>
  <si>
    <r>
      <t xml:space="preserve">3. AEG's analysis of an average cooking load shape for a single family house using the Hawaii peak demand period of non-holiday weekdays, from 5 to 9 pm: "Load_shape_by_segment_110519_Cooking 09192023.xlsx." The source of the cooking load shape data is the California Energy Commission. The load shape was compiled along with other load shapes during the 2020 Market Potential Study for Hawaii. The cooking load shape analysis provides EFLH=2588 hours and CF=0.60. See "SF_Cooking" tab in AEG's 2023 Analysis File titled "Mid-year PY23 TRM - Residential Induction Cooktop - Analysis File." This analysis assumes the cooking load shape is a reasonable proxy for the cooktop savings shape. Note: The EFLH value is </t>
    </r>
    <r>
      <rPr>
        <u/>
        <sz val="9"/>
        <rFont val="Calibri"/>
        <family val="2"/>
        <scheme val="minor"/>
      </rPr>
      <t>not</t>
    </r>
    <r>
      <rPr>
        <sz val="9"/>
        <rFont val="Calibri"/>
        <family val="2"/>
        <scheme val="minor"/>
      </rPr>
      <t xml:space="preserve"> intended to represent the operating hours of a single cooktop. This EFLH value </t>
    </r>
    <r>
      <rPr>
        <u/>
        <sz val="9"/>
        <rFont val="Calibri"/>
        <family val="2"/>
        <scheme val="minor"/>
      </rPr>
      <t>must be</t>
    </r>
    <r>
      <rPr>
        <sz val="9"/>
        <rFont val="Calibri"/>
        <family val="2"/>
        <scheme val="minor"/>
      </rPr>
      <t xml:space="preserve"> paired with the CF value to yield meaningful peak demand savings.</t>
    </r>
  </si>
  <si>
    <t>Residential Induction Cooktop</t>
  </si>
  <si>
    <t>AEG's 2023 Analysis File titled "Mid-year PY23 TRM - Residential Induction Cooktop - Analysis File."</t>
  </si>
  <si>
    <t>AEG's Load Shape Analysis File titled "Load_shape_by_segment_110519_Cooking 09192023."</t>
  </si>
  <si>
    <t xml:space="preserve">California Technical Forum, SWAP015-02, Induction Cooking with or without Electric Range, CPUC Approved January 1, 2023. &lt;https://www.caetrm.com/measure/SWAP015/02/&gt;. </t>
  </si>
  <si>
    <t>2021-2022 ENERGY STAR® Emerging Technology Award Winning Residential Induction Cooking Top Models. &lt;https://www.energystar.gov/sites/default/files/asset/document/2021%202022%20ETA%20QPL%20Residential%20Induction%20Cooking%20Tops%206.23.2022.xlsx&gt;.</t>
  </si>
  <si>
    <t>Induction Cooktop</t>
  </si>
  <si>
    <t>EV Charger</t>
  </si>
  <si>
    <t>RESIDENTIAL: Level 2 Electric Vehicle Charger</t>
  </si>
  <si>
    <t>Replacement of a non-ENERGY STAR Level 2 Electric Vehicle Charger with an ENERGY STAR-certified Level 2 Electric Vehicle Charger in an existing home or installation of an ENERGY STAR Level 2 Electric Vehicle Charger in a new or existing home instead of installation of a non-ENERGY STAR charger. The savings are due to a reduction in standby energy losses. The savings are due to a reduction in standby energy losses.</t>
  </si>
  <si>
    <t>The High Efficiency Equipment must be an ENERGY STAR certified Level 2 Electric Vehicle Charger.</t>
  </si>
  <si>
    <t>One Level 2 EV charger.</t>
  </si>
  <si>
    <t>The Baseline Equipment is a non-ENERGY STAR Level 2 Electric Vehicle Charger.</t>
  </si>
  <si>
    <t>The High Efficiency equipment is an ENERGY STAR certified Level 2 Electric Vehicle Charger.</t>
  </si>
  <si>
    <t>Annual Plugged in Hours in Standby Mode, hrs/yr</t>
  </si>
  <si>
    <t>Average Power Demand Reduction in Standby Mode, kW</t>
  </si>
  <si>
    <r>
      <t>kWh</t>
    </r>
    <r>
      <rPr>
        <vertAlign val="subscript"/>
        <sz val="10.5"/>
        <rFont val="Calibri"/>
        <family val="2"/>
        <scheme val="minor"/>
      </rPr>
      <t>base</t>
    </r>
  </si>
  <si>
    <t>Annual standby energy use of non-ENERGY STAR Level 2 EV charger</t>
  </si>
  <si>
    <r>
      <t>Only standby energy is considered here since the ENERGY STAR electric vehicle supply equipment specification does not explicitly call for testing of steady state charging efficiency.</t>
    </r>
    <r>
      <rPr>
        <vertAlign val="superscript"/>
        <sz val="10.5"/>
        <rFont val="Calibri"/>
        <family val="2"/>
        <scheme val="minor"/>
      </rPr>
      <t>1</t>
    </r>
    <r>
      <rPr>
        <sz val="10.5"/>
        <rFont val="Calibri"/>
        <family val="2"/>
        <scheme val="minor"/>
      </rPr>
      <t xml:space="preserve"> </t>
    </r>
  </si>
  <si>
    <r>
      <t>kWh</t>
    </r>
    <r>
      <rPr>
        <vertAlign val="subscript"/>
        <sz val="10.5"/>
        <rFont val="Calibri"/>
        <family val="2"/>
        <scheme val="minor"/>
      </rPr>
      <t>ee</t>
    </r>
  </si>
  <si>
    <t>Annual standby energy use of ENERGY STAR-certified Level 2 EV Charger</t>
  </si>
  <si>
    <r>
      <t>HRS</t>
    </r>
    <r>
      <rPr>
        <vertAlign val="subscript"/>
        <sz val="10.5"/>
        <rFont val="Calibri"/>
        <family val="2"/>
        <scheme val="minor"/>
      </rPr>
      <t>sp</t>
    </r>
  </si>
  <si>
    <t>Annual plugged-in hours of Level 2 EV Charger in standby mode</t>
  </si>
  <si>
    <r>
      <t>Regional Technical Forum.</t>
    </r>
    <r>
      <rPr>
        <vertAlign val="superscript"/>
        <sz val="10.5"/>
        <rFont val="Calibri"/>
        <family val="2"/>
        <scheme val="minor"/>
      </rPr>
      <t>1</t>
    </r>
    <r>
      <rPr>
        <sz val="10.5"/>
        <rFont val="Calibri"/>
        <family val="2"/>
        <scheme val="minor"/>
      </rPr>
      <t xml:space="preserve"> Calculated using Equation 3. 3511 hours - 278 hours = 3233 hours</t>
    </r>
  </si>
  <si>
    <r>
      <t>HRS</t>
    </r>
    <r>
      <rPr>
        <vertAlign val="subscript"/>
        <sz val="10.5"/>
        <rFont val="Calibri"/>
        <family val="2"/>
        <scheme val="minor"/>
      </rPr>
      <t>su</t>
    </r>
  </si>
  <si>
    <t>Annual unplugged hours of Level 2 EV Charger in standby mode</t>
  </si>
  <si>
    <r>
      <t>Regional Technical Forum.</t>
    </r>
    <r>
      <rPr>
        <vertAlign val="superscript"/>
        <sz val="10.5"/>
        <rFont val="Calibri"/>
        <family val="2"/>
        <scheme val="minor"/>
      </rPr>
      <t>1</t>
    </r>
    <r>
      <rPr>
        <sz val="10.5"/>
        <rFont val="Calibri"/>
        <family val="2"/>
        <scheme val="minor"/>
      </rPr>
      <t xml:space="preserve">  Calculated from 8760 hours - 3511 hours = 5249 hours.</t>
    </r>
  </si>
  <si>
    <r>
      <t>HRS</t>
    </r>
    <r>
      <rPr>
        <vertAlign val="subscript"/>
        <sz val="10.5"/>
        <rFont val="Calibri"/>
        <family val="2"/>
        <scheme val="minor"/>
      </rPr>
      <t>p</t>
    </r>
  </si>
  <si>
    <t xml:space="preserve">Total annual plugged-in hours of Level 2 EV Charger </t>
  </si>
  <si>
    <r>
      <t>Regional Technical Forum.</t>
    </r>
    <r>
      <rPr>
        <vertAlign val="superscript"/>
        <sz val="10.5"/>
        <rFont val="Calibri"/>
        <family val="2"/>
        <scheme val="minor"/>
      </rPr>
      <t>1</t>
    </r>
    <r>
      <rPr>
        <sz val="10.5"/>
        <rFont val="Calibri"/>
        <family val="2"/>
        <scheme val="minor"/>
      </rPr>
      <t xml:space="preserve"> See sheet named "Res Measure UES Analysis" in the RTF workbook for derivation of the hours. </t>
    </r>
  </si>
  <si>
    <r>
      <t>HRS</t>
    </r>
    <r>
      <rPr>
        <vertAlign val="subscript"/>
        <sz val="10.5"/>
        <rFont val="Calibri"/>
        <family val="2"/>
        <scheme val="minor"/>
      </rPr>
      <t>c</t>
    </r>
  </si>
  <si>
    <t>Annual plugged-in hours of Level 2 EV Charger in charging mode</t>
  </si>
  <si>
    <t>Average standby power of non-ENERGY STAR Level 2 EV Charger</t>
  </si>
  <si>
    <r>
      <rPr>
        <sz val="10.5"/>
        <color rgb="FF000000"/>
        <rFont val="Calibri"/>
        <family val="2"/>
      </rPr>
      <t>Regional Technical Forum and Idaho National Laboratory.</t>
    </r>
    <r>
      <rPr>
        <vertAlign val="superscript"/>
        <sz val="10.5"/>
        <color rgb="FF000000"/>
        <rFont val="Calibri"/>
        <family val="2"/>
      </rPr>
      <t>2</t>
    </r>
    <r>
      <rPr>
        <sz val="10.5"/>
        <color rgb="FF000000"/>
        <rFont val="Calibri"/>
        <family val="2"/>
      </rPr>
      <t xml:space="preserve"> </t>
    </r>
  </si>
  <si>
    <r>
      <t>W</t>
    </r>
    <r>
      <rPr>
        <vertAlign val="subscript"/>
        <sz val="10.5"/>
        <rFont val="Calibri"/>
        <family val="2"/>
        <scheme val="minor"/>
      </rPr>
      <t>eep</t>
    </r>
  </si>
  <si>
    <t>Plugged-in standby power of ENERGY STAR-certified Level 2 EV Charger</t>
  </si>
  <si>
    <r>
      <t>ENERGY STAR.</t>
    </r>
    <r>
      <rPr>
        <vertAlign val="superscript"/>
        <sz val="10.5"/>
        <rFont val="Calibri"/>
        <family val="2"/>
        <scheme val="minor"/>
      </rPr>
      <t>3</t>
    </r>
    <r>
      <rPr>
        <sz val="10.5"/>
        <rFont val="Calibri"/>
        <family val="2"/>
        <scheme val="minor"/>
      </rPr>
      <t xml:space="preserve"> </t>
    </r>
  </si>
  <si>
    <r>
      <t>W</t>
    </r>
    <r>
      <rPr>
        <vertAlign val="subscript"/>
        <sz val="10.5"/>
        <rFont val="Calibri"/>
        <family val="2"/>
        <scheme val="minor"/>
      </rPr>
      <t>eeu</t>
    </r>
  </si>
  <si>
    <t>Unplugged standby power of ENERGY STAR-certified Level 2 EV Charger</t>
  </si>
  <si>
    <t>Annual energy savings of Level 2 EV Charger in standby mode</t>
  </si>
  <si>
    <t>Any energy savings during the charging mode are assumed to be relatively small and are therefore ignored.</t>
  </si>
  <si>
    <r>
      <rPr>
        <sz val="10.5"/>
        <rFont val="Calibri"/>
        <family val="2"/>
      </rPr>
      <t>∆</t>
    </r>
    <r>
      <rPr>
        <sz val="10.5"/>
        <rFont val="Calibri"/>
        <family val="2"/>
        <scheme val="minor"/>
      </rPr>
      <t>kW</t>
    </r>
    <r>
      <rPr>
        <vertAlign val="subscript"/>
        <sz val="10.5"/>
        <rFont val="Calibri"/>
        <family val="2"/>
        <scheme val="minor"/>
      </rPr>
      <t>s,average</t>
    </r>
  </si>
  <si>
    <t>Average power demand reduction of Level 2 EV Charger in standby mode</t>
  </si>
  <si>
    <t>See Equation 5</t>
  </si>
  <si>
    <t>Any demand reduction during the charging mode are assumed to be relatively small and are therefore ignored.</t>
  </si>
  <si>
    <t>See Equation 6</t>
  </si>
  <si>
    <t>Peak demand coincidence factor for the average power demand reduction of Level 2 EV Charger in standby mode</t>
  </si>
  <si>
    <r>
      <t>This CF assumes that EVs are charged during off-peak hours and that the standby energy use and demand savings are fully coincident with the peak demand period. The CF would be lower for charging that occurs during the on-peak hours. Time-of-use rates heavily influence when EVs are charged.</t>
    </r>
    <r>
      <rPr>
        <vertAlign val="superscript"/>
        <sz val="10.5"/>
        <rFont val="Calibri"/>
        <family val="2"/>
        <scheme val="minor"/>
      </rPr>
      <t>4</t>
    </r>
  </si>
  <si>
    <r>
      <t>ΔkWh</t>
    </r>
    <r>
      <rPr>
        <vertAlign val="subscript"/>
        <sz val="10.5"/>
        <rFont val="Calibri"/>
        <family val="2"/>
        <scheme val="minor"/>
      </rPr>
      <t>life</t>
    </r>
  </si>
  <si>
    <t>See Equation 7</t>
  </si>
  <si>
    <r>
      <t>EUL</t>
    </r>
    <r>
      <rPr>
        <vertAlign val="subscript"/>
        <sz val="10.5"/>
        <rFont val="Calibri"/>
        <family val="2"/>
        <scheme val="minor"/>
      </rPr>
      <t>ee</t>
    </r>
  </si>
  <si>
    <r>
      <t>Regional Technical Forum.</t>
    </r>
    <r>
      <rPr>
        <vertAlign val="superscript"/>
        <sz val="10.5"/>
        <rFont val="Calibri"/>
        <family val="2"/>
        <scheme val="minor"/>
      </rPr>
      <t>1</t>
    </r>
    <r>
      <rPr>
        <sz val="10.5"/>
        <rFont val="Calibri"/>
        <family val="2"/>
        <scheme val="minor"/>
      </rPr>
      <t xml:space="preserve"> The EUL was established by RTF using professional judgment and from a literature review.</t>
    </r>
  </si>
  <si>
    <t xml:space="preserve">1. Northwest Power and Conservation Council, Regional Technical Forum (RTF), Level 2 Electric Vehicle Charger Workbook Version 3.1, Jul 18, 2023.  &lt;https://nwcouncil.app.box.com/v/leve2evcharg-3-1&gt;. </t>
  </si>
  <si>
    <t>2. Derived by the Regional Technical Forum using Idaho National Laboratory charger testing data.</t>
  </si>
  <si>
    <t>3. ENERGY STAR Certified Electric Vehicle Supply Equipment - AC-Output, Metadata Updated October 13, 2023. &lt;https://catalog.data.gov/dataset/energy-star-certified-electric-vehicle-supply-equipment-ac-output-v1-1&gt;.</t>
  </si>
  <si>
    <t>4. To realize the peak demand reductions, customers receiving rebates for EV chargers through the Hawai'i Energy program should be encouraged to charge during off-peak hours, whether or not they are on a TOU rate.</t>
  </si>
  <si>
    <t>Table 1. Standby Power of Level 2 Electric Vehicle Charger</t>
  </si>
  <si>
    <t>Level 2 EV Charger Type</t>
  </si>
  <si>
    <r>
      <t>W</t>
    </r>
    <r>
      <rPr>
        <b/>
        <vertAlign val="subscript"/>
        <sz val="11"/>
        <rFont val="Calibri"/>
        <family val="2"/>
        <scheme val="minor"/>
      </rPr>
      <t>base</t>
    </r>
    <r>
      <rPr>
        <b/>
        <sz val="11"/>
        <rFont val="Calibri"/>
        <family val="2"/>
        <scheme val="minor"/>
      </rPr>
      <t xml:space="preserve"> (W)</t>
    </r>
  </si>
  <si>
    <r>
      <t>W</t>
    </r>
    <r>
      <rPr>
        <b/>
        <vertAlign val="subscript"/>
        <sz val="11"/>
        <rFont val="Calibri"/>
        <family val="2"/>
        <scheme val="minor"/>
      </rPr>
      <t>eep</t>
    </r>
    <r>
      <rPr>
        <b/>
        <sz val="11"/>
        <rFont val="Calibri"/>
        <family val="2"/>
        <scheme val="minor"/>
      </rPr>
      <t xml:space="preserve"> (W)</t>
    </r>
  </si>
  <si>
    <r>
      <t>W</t>
    </r>
    <r>
      <rPr>
        <b/>
        <vertAlign val="subscript"/>
        <sz val="11"/>
        <rFont val="Calibri"/>
        <family val="2"/>
        <scheme val="minor"/>
      </rPr>
      <t>eeu</t>
    </r>
    <r>
      <rPr>
        <b/>
        <sz val="11"/>
        <rFont val="Calibri"/>
        <family val="2"/>
        <scheme val="minor"/>
      </rPr>
      <t xml:space="preserve"> (W)</t>
    </r>
  </si>
  <si>
    <r>
      <rPr>
        <b/>
        <sz val="11"/>
        <rFont val="Calibri"/>
        <family val="2"/>
      </rPr>
      <t>∆</t>
    </r>
    <r>
      <rPr>
        <b/>
        <sz val="11"/>
        <rFont val="Calibri"/>
        <family val="2"/>
        <scheme val="minor"/>
      </rPr>
      <t>kW</t>
    </r>
    <r>
      <rPr>
        <b/>
        <vertAlign val="subscript"/>
        <sz val="11"/>
        <rFont val="Calibri"/>
        <family val="2"/>
        <scheme val="minor"/>
      </rPr>
      <t>s,average</t>
    </r>
    <r>
      <rPr>
        <b/>
        <sz val="11"/>
        <rFont val="Calibri"/>
        <family val="2"/>
        <scheme val="minor"/>
      </rPr>
      <t xml:space="preserve"> (kW)</t>
    </r>
  </si>
  <si>
    <t>Networked Level 2 EV Charger</t>
  </si>
  <si>
    <t>Non-networked Level 2  EV Charger</t>
  </si>
  <si>
    <t>Sources:
1. Baseline wattages were derived by the Regional Technical Forum using Idaho National Laboratory charger testing data. See Northwest Power and Conservation Council, Regional Technical Forum, Level 2 Electric Vehicle Charger Workbook Version 3.1, Jul 18, 2023. &lt;https://nwcouncil.app.box.com/v/leve2evcharg-3-1&gt;. Refer to sheet named "Baseline EPA Charger Efficiency" in the RTF workbook.</t>
  </si>
  <si>
    <t>2. Energy efficient case wattages were derived by AEG from ENERGY STAR Certified Electric Vehicle Supply Equipment - AC-Output, Metadata Updated October 13, 2023. &lt;https://catalog.data.gov/dataset/energy-star-certified-electric-vehicle-supply-equipment-ac-output-v1-1&gt;. See AEG's analysis file named "Mid-year PY23 TRM - Residential Level 2 Electric Vehicle Charger - Analysis File," sheet named "ESTAR QPL Pivot."</t>
  </si>
  <si>
    <t>Non-networked Level EV Charger</t>
  </si>
  <si>
    <t>AEG's 2023 Analysis File named "Mid-year PY23 TRM - Residential Level 2 Electric Vehicle Charger - Analysis File."</t>
  </si>
  <si>
    <t>ENERGY STAR Certified Electric Vehicle Supply Equipment - AC-Output, Metadata Updated October 13, 2023. &lt;https://catalog.data.gov/dataset/energy-star-certified-electric-vehicle-supply-equipment-ac-output-v1-1&gt;.</t>
  </si>
  <si>
    <t xml:space="preserve"> ENERGY STAR Program Requirements for Electric Vehicle Supply Equipment - Eligibility Criteria. Version 1.2.  &lt;https://www.energystar.gov/sites/default/files/asset/document/ENERGY%20STAR%20Version%201.2%20EVSE%20Final%20Specification.pdf&gt;.</t>
  </si>
  <si>
    <t xml:space="preserve">Northwest Council Regional Technical Forum, Level 2 Electric Vehicle Charger v 3.1, Approved July 18, 2023. &lt;https://nwcouncil.box.com/v/leve2evcharg-3-1&gt;. </t>
  </si>
  <si>
    <t>EV Charger *(New)*</t>
  </si>
  <si>
    <t>NPCC RTF Jul 2023</t>
  </si>
  <si>
    <t>General *</t>
  </si>
  <si>
    <t>Updated in Fall 2023 for the PY23 TRM V2. The update consisted of adding an option for a single LED U-bend lamp to replace a single fluorescent U-bend lamp.</t>
  </si>
  <si>
    <t>(1) LED U-bend replace (1) Fl. U-bend</t>
  </si>
  <si>
    <t xml:space="preserve">(1) FU31T8/6 </t>
  </si>
  <si>
    <t>(1) x U-Bend Type A</t>
  </si>
  <si>
    <t>(1) x U-Bend Type B/C</t>
  </si>
  <si>
    <t>AEG's 2023 Analysis File named "Mid-Year PY23 TRM - Commercial General Lighting - U-Bends - Analysis File."</t>
  </si>
  <si>
    <r>
      <t>(1) x U-Bend Type A</t>
    </r>
    <r>
      <rPr>
        <b/>
        <vertAlign val="superscript"/>
        <sz val="9.5"/>
        <rFont val="Calibri"/>
        <family val="2"/>
      </rPr>
      <t>1</t>
    </r>
  </si>
  <si>
    <t>Update of cover page for PY23 TRM V1.0
Update of cover page for PY23 TRM V2.0</t>
  </si>
  <si>
    <t>Update of TOC to include new and modified content for PY23 TRM V1.0 and V2.0</t>
  </si>
  <si>
    <t>List of changes made for PY23 TRM V1.0 and V2.0</t>
  </si>
  <si>
    <t>For PY23 TRM V1.0: Review/update of text to reflect updated dates for PY23 TRM</t>
  </si>
  <si>
    <t>Update of Signature sheet for PY23 TRM V1.0
Update of Signature sheet for PY23 TRM V2.0</t>
  </si>
  <si>
    <t>For PY23 TRM V1.0: Update of the set of baseline conditions in effect for PY23</t>
  </si>
  <si>
    <t>For PY23 TRM V1.0: Update of greenhouse gas calculator to use the most recent eGRID data</t>
  </si>
  <si>
    <t>For PY23 TRM V1.0: Complete review and update of measure</t>
  </si>
  <si>
    <t>For PY23 TRM V1.0: Full measure review and update; expansion of measure</t>
  </si>
  <si>
    <t>For PY23 TRM V1.0: Update of ENERGY STAR criteria</t>
  </si>
  <si>
    <t xml:space="preserve">For PY23 TRM V1.0: Update of efficiencies; expansion of measure </t>
  </si>
  <si>
    <t>For PY23 TRM V1.0: Labeled as inactive</t>
  </si>
  <si>
    <t>For PY23 TRM V1.0: Full measure review and update</t>
  </si>
  <si>
    <t>For PY23 TRM V1.0: Removed entry that had sunset date of December 31, 2022; renamed remaining entry (no other changes to measure)</t>
  </si>
  <si>
    <t>For PY23 TRM V1.0: Removed entries that had sunset dates of December 31, 2022 and June 30, 2023; added new entry with updated efficiencies effective July 1, 2023</t>
  </si>
  <si>
    <t>For PY23 TRM V2.0: Added an option for a single LED U-bend lamp to replace a single fluorescent U-bend lamp</t>
  </si>
  <si>
    <t>For PY23 TRM V2.0: Added a new measure</t>
  </si>
  <si>
    <t>R_Appliance_Heat Pump Dryer</t>
  </si>
  <si>
    <t>R_Appliance_Induction Cooktop</t>
  </si>
  <si>
    <t>R_PlugProcess_EV Charger</t>
  </si>
  <si>
    <t>Commercial Lighting, U-bend</t>
  </si>
  <si>
    <t>Residential Heat Pump Clothes Dryer</t>
  </si>
  <si>
    <t>Residential EV Charger</t>
  </si>
  <si>
    <t>Add an option for a single LED U-bend lamp to replace a single fluorescent U-bend lamp</t>
  </si>
  <si>
    <t>Revised in PY23 TRM v2.0</t>
  </si>
  <si>
    <t>Part of PY23 v1.0 or v2.0 Update</t>
  </si>
  <si>
    <t>For PY23 TRM V1.0: Update of EULs for revised PY23 measures
For PY23 TRM V2.0: Addition of EULs for new PY23 measures</t>
  </si>
  <si>
    <t>Update of Issues Log for PY23 TRM V1.0
Update of Issues Log for PY23 TRM V2.0</t>
  </si>
  <si>
    <t>PY23.2.0</t>
  </si>
  <si>
    <t>Tami Rasmussen</t>
  </si>
  <si>
    <t>Senior Vice President, Evergreen Economics</t>
  </si>
  <si>
    <t>January 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</si>
</sst>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6" formatCode="&quot;$&quot;#,##0_);[Red]\(&quot;$&quot;#,##0\)"/>
    <numFmt numFmtId="44" formatCode="_(&quot;$&quot;* #,##0.00_);_(&quot;$&quot;* \(#,##0.00\);_(&quot;$&quot;* &quot;-&quot;??_);_(@_)"/>
    <numFmt numFmtId="43" formatCode="_(* #,##0.00_);_(* \(#,##0.00\);_(* &quot;-&quot;??_);_(@_)"/>
    <numFmt numFmtId="164" formatCode="0.0"/>
    <numFmt numFmtId="165" formatCode="0.000"/>
    <numFmt numFmtId="166" formatCode="_(* #,##0.0_);_(* \(#,##0.0\);_(* &quot;-&quot;??_);_(@_)"/>
    <numFmt numFmtId="167" formatCode="0.0000"/>
    <numFmt numFmtId="168" formatCode="0.0%"/>
    <numFmt numFmtId="169" formatCode="#,##0.0"/>
    <numFmt numFmtId="170" formatCode="#,##0;[Red]#,##0"/>
    <numFmt numFmtId="171" formatCode="0\ &quot;cubic ft&quot;"/>
    <numFmt numFmtId="172" formatCode="&quot;$&quot;#,##0.0000"/>
    <numFmt numFmtId="173" formatCode="0.00\ &quot;W/cubic ft&quot;"/>
    <numFmt numFmtId="174" formatCode="#&quot;-foot lamp&quot;"/>
    <numFmt numFmtId="175" formatCode="0.000\ &quot;kW/ft&quot;"/>
    <numFmt numFmtId="176" formatCode="0.00\ &quot;kWh/ft&quot;"/>
    <numFmt numFmtId="177" formatCode="0.000\ &quot;kW&quot;"/>
    <numFmt numFmtId="178" formatCode="0.00\ &quot;kWh&quot;"/>
    <numFmt numFmtId="179" formatCode="0\ &quot;kWh&quot;"/>
    <numFmt numFmtId="180" formatCode="0.000\ &quot;kW/pan&quot;"/>
    <numFmt numFmtId="181" formatCode="0.00\ &quot;kWh/pan&quot;"/>
    <numFmt numFmtId="182" formatCode="_(&quot;$&quot;* #,##0.000_);_(&quot;$&quot;* \(#,##0.000\);_(&quot;$&quot;* &quot;-&quot;??_);_(@_)"/>
    <numFmt numFmtId="183" formatCode="[$-409]mmmm\ d\,\ yyyy;@"/>
    <numFmt numFmtId="184" formatCode="0.000\ &quot;kW/ton&quot;"/>
    <numFmt numFmtId="185" formatCode="General\ &quot;tons&quot;"/>
    <numFmt numFmtId="186" formatCode="0.0\ &quot;EER&quot;"/>
    <numFmt numFmtId="187" formatCode="#,##0.000"/>
    <numFmt numFmtId="188" formatCode="0.000\ &quot;kW/hp&quot;"/>
    <numFmt numFmtId="189" formatCode="0.00\ &quot;kWh/hp&quot;"/>
    <numFmt numFmtId="190" formatCode="#,#00.00\ &quot;kWh&quot;"/>
    <numFmt numFmtId="191" formatCode="General\ &quot;kW&quot;"/>
    <numFmt numFmtId="192" formatCode="General\ &quot;kWh&quot;"/>
    <numFmt numFmtId="193" formatCode="&quot;=&quot;0.000&quot;/η&quot;"/>
    <numFmt numFmtId="194" formatCode="&quot;=&quot;0.00&quot;/η&quot;"/>
    <numFmt numFmtId="195" formatCode="0.000\ &quot;kW/room&quot;"/>
    <numFmt numFmtId="196" formatCode="#,##0.00\ &quot;kWh/room&quot;"/>
    <numFmt numFmtId="197" formatCode="0.000\ &quot;W&quot;"/>
    <numFmt numFmtId="198" formatCode="0.00\ &quot;kWh/yr&quot;"/>
    <numFmt numFmtId="199" formatCode="&quot;$&quot;#,##0.000_);[Red]\(&quot;$&quot;#,##0.000\)"/>
    <numFmt numFmtId="200" formatCode="0.0\ &quot;CEER&quot;"/>
    <numFmt numFmtId="201" formatCode="0.000000\ &quot;kW/bulb&quot;"/>
    <numFmt numFmtId="202" formatCode="0.000000\ &quot;kWh/bulb&quot;"/>
    <numFmt numFmtId="203" formatCode="#,#00\ &quot;kWh&quot;"/>
    <numFmt numFmtId="204" formatCode="0.000000000000000%"/>
    <numFmt numFmtId="205" formatCode="00,000\ &quot;Btu/hr&quot;"/>
    <numFmt numFmtId="206" formatCode="00\ &quot;SEER&quot;"/>
    <numFmt numFmtId="207" formatCode="0.00000"/>
    <numFmt numFmtId="208" formatCode="#,##0.00\ &quot;kWh&quot;"/>
    <numFmt numFmtId="209" formatCode="0.000000"/>
    <numFmt numFmtId="210" formatCode="_(* #,##0_)&quot;kWh&quot;"/>
    <numFmt numFmtId="211" formatCode="_(* #,##0_)&quot;bbl&quot;"/>
    <numFmt numFmtId="212" formatCode="_(* #,##0_);_(* \(#,##0\);_(* &quot;-&quot;??_);_(@_)"/>
    <numFmt numFmtId="213" formatCode="0.0\ &quot;SEER&quot;"/>
    <numFmt numFmtId="214" formatCode="0.0\ &quot;EER(2)&quot;"/>
    <numFmt numFmtId="215" formatCode="0.0\ &quot;SEER(2) or CEER&quot;"/>
    <numFmt numFmtId="216" formatCode="0.0\ &quot;SEER2&quot;"/>
    <numFmt numFmtId="217" formatCode="0.0\ &quot;EER2&quot;"/>
    <numFmt numFmtId="218" formatCode="0.0000000000"/>
    <numFmt numFmtId="219" formatCode="0.0\ &quot;IEER&quot;"/>
    <numFmt numFmtId="220" formatCode="#,###.00\ &quot;kWh&quot;"/>
  </numFmts>
  <fonts count="237" x14ac:knownFonts="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11"/>
      <color theme="1"/>
      <name val="Calibri"/>
      <family val="2"/>
    </font>
    <font>
      <b/>
      <i/>
      <sz val="11"/>
      <color theme="1"/>
      <name val="Calibri"/>
      <family val="2"/>
      <scheme val="minor"/>
    </font>
    <font>
      <vertAlign val="superscript"/>
      <sz val="11"/>
      <color theme="1"/>
      <name val="Calibri"/>
      <family val="2"/>
      <scheme val="minor"/>
    </font>
    <font>
      <b/>
      <sz val="11"/>
      <color rgb="FFC00000"/>
      <name val="Calibri"/>
      <family val="2"/>
      <scheme val="minor"/>
    </font>
    <font>
      <b/>
      <sz val="11"/>
      <color rgb="FFC00000"/>
      <name val="Calibri"/>
      <family val="2"/>
    </font>
    <font>
      <i/>
      <sz val="11"/>
      <color theme="1"/>
      <name val="Calibri"/>
      <family val="2"/>
      <scheme val="minor"/>
    </font>
    <font>
      <sz val="7"/>
      <color theme="1"/>
      <name val="Times New Roman"/>
      <family val="1"/>
    </font>
    <font>
      <b/>
      <vertAlign val="superscript"/>
      <sz val="11"/>
      <color theme="1"/>
      <name val="Calibri"/>
      <family val="2"/>
      <scheme val="minor"/>
    </font>
    <font>
      <b/>
      <sz val="10"/>
      <color theme="1"/>
      <name val="Calibri"/>
      <family val="2"/>
      <scheme val="minor"/>
    </font>
    <font>
      <b/>
      <u/>
      <sz val="12"/>
      <color theme="1"/>
      <name val="Calibri"/>
      <family val="2"/>
      <scheme val="minor"/>
    </font>
    <font>
      <b/>
      <sz val="14"/>
      <color theme="1"/>
      <name val="Calibri"/>
      <family val="2"/>
      <scheme val="minor"/>
    </font>
    <font>
      <u/>
      <sz val="11"/>
      <color theme="10"/>
      <name val="Calibri"/>
      <family val="2"/>
      <scheme val="minor"/>
    </font>
    <font>
      <b/>
      <sz val="11"/>
      <color rgb="FF000000"/>
      <name val="Calibri"/>
      <family val="2"/>
    </font>
    <font>
      <sz val="11"/>
      <color rgb="FF9C0006"/>
      <name val="Calibri"/>
      <family val="2"/>
      <scheme val="minor"/>
    </font>
    <font>
      <sz val="11"/>
      <color rgb="FFFF0000"/>
      <name val="Calibri"/>
      <family val="2"/>
      <scheme val="minor"/>
    </font>
    <font>
      <sz val="11"/>
      <color rgb="FF000000"/>
      <name val="Calibri"/>
      <family val="2"/>
    </font>
    <font>
      <sz val="10"/>
      <color rgb="FF000000"/>
      <name val="Calibri"/>
      <family val="2"/>
    </font>
    <font>
      <b/>
      <sz val="12"/>
      <color theme="1"/>
      <name val="Calibri"/>
      <family val="2"/>
      <scheme val="minor"/>
    </font>
    <font>
      <sz val="11"/>
      <name val="Calibri"/>
      <family val="2"/>
      <scheme val="minor"/>
    </font>
    <font>
      <sz val="10"/>
      <name val="Arial"/>
      <family val="2"/>
    </font>
    <font>
      <b/>
      <sz val="12"/>
      <color rgb="FF000000"/>
      <name val="Calibri"/>
      <family val="2"/>
    </font>
    <font>
      <sz val="10"/>
      <color theme="1"/>
      <name val="Times New Roman"/>
      <family val="1"/>
    </font>
    <font>
      <b/>
      <u/>
      <sz val="11"/>
      <color theme="1"/>
      <name val="Calibri"/>
      <family val="2"/>
      <scheme val="minor"/>
    </font>
    <font>
      <sz val="11"/>
      <color theme="1"/>
      <name val="Symbol"/>
      <family val="1"/>
      <charset val="2"/>
    </font>
    <font>
      <i/>
      <sz val="11"/>
      <name val="Calibri"/>
      <family val="2"/>
      <scheme val="minor"/>
    </font>
    <font>
      <sz val="8"/>
      <color theme="1"/>
      <name val="Calibri"/>
      <family val="2"/>
      <scheme val="minor"/>
    </font>
    <font>
      <b/>
      <sz val="11"/>
      <color rgb="FFFF0000"/>
      <name val="Calibri"/>
      <family val="2"/>
      <scheme val="minor"/>
    </font>
    <font>
      <b/>
      <sz val="11"/>
      <name val="Calibri"/>
      <family val="2"/>
      <scheme val="minor"/>
    </font>
    <font>
      <sz val="11"/>
      <color rgb="FFC00000"/>
      <name val="Calibri"/>
      <family val="2"/>
      <scheme val="minor"/>
    </font>
    <font>
      <vertAlign val="superscript"/>
      <sz val="8"/>
      <color theme="1"/>
      <name val="Calibri"/>
      <family val="2"/>
      <scheme val="minor"/>
    </font>
    <font>
      <sz val="8"/>
      <name val="Calibri"/>
      <family val="2"/>
      <scheme val="minor"/>
    </font>
    <font>
      <vertAlign val="superscript"/>
      <sz val="8"/>
      <name val="Calibri"/>
      <family val="2"/>
      <scheme val="minor"/>
    </font>
    <font>
      <b/>
      <sz val="10"/>
      <color theme="1"/>
      <name val="Arial"/>
      <family val="2"/>
    </font>
    <font>
      <b/>
      <sz val="10"/>
      <color rgb="FF000000"/>
      <name val="Calibri"/>
      <family val="2"/>
    </font>
    <font>
      <b/>
      <sz val="11"/>
      <color theme="1"/>
      <name val="Calibri"/>
      <family val="2"/>
    </font>
    <font>
      <sz val="8"/>
      <color rgb="FF000000"/>
      <name val="Calibri"/>
      <family val="2"/>
      <scheme val="minor"/>
    </font>
    <font>
      <vertAlign val="superscript"/>
      <sz val="8"/>
      <color rgb="FF000000"/>
      <name val="Calibri"/>
      <family val="2"/>
      <scheme val="minor"/>
    </font>
    <font>
      <b/>
      <vertAlign val="superscript"/>
      <sz val="11"/>
      <color rgb="FF000000"/>
      <name val="Calibri"/>
      <family val="2"/>
    </font>
    <font>
      <u/>
      <sz val="10"/>
      <color indexed="12"/>
      <name val="Arial"/>
      <family val="2"/>
    </font>
    <font>
      <sz val="11"/>
      <color indexed="45"/>
      <name val="Calibri"/>
      <family val="2"/>
      <scheme val="minor"/>
    </font>
    <font>
      <sz val="11"/>
      <color indexed="9"/>
      <name val="Calibri"/>
      <family val="2"/>
      <scheme val="minor"/>
    </font>
    <font>
      <sz val="11"/>
      <color indexed="48"/>
      <name val="Calibri"/>
      <family val="2"/>
      <scheme val="minor"/>
    </font>
    <font>
      <strike/>
      <sz val="11"/>
      <color theme="1"/>
      <name val="Calibri"/>
      <family val="2"/>
      <scheme val="minor"/>
    </font>
    <font>
      <sz val="9"/>
      <color indexed="81"/>
      <name val="Tahoma"/>
      <family val="2"/>
    </font>
    <font>
      <vertAlign val="subscript"/>
      <sz val="11"/>
      <color theme="1"/>
      <name val="Calibri"/>
      <family val="2"/>
      <scheme val="minor"/>
    </font>
    <font>
      <b/>
      <i/>
      <sz val="11"/>
      <name val="Calibri"/>
      <family val="2"/>
      <scheme val="minor"/>
    </font>
    <font>
      <sz val="10"/>
      <name val="Calibri"/>
      <family val="2"/>
      <scheme val="minor"/>
    </font>
    <font>
      <b/>
      <sz val="10"/>
      <name val="Calibri"/>
      <family val="2"/>
      <scheme val="minor"/>
    </font>
    <font>
      <sz val="11"/>
      <name val="Calibri"/>
      <family val="2"/>
    </font>
    <font>
      <b/>
      <u/>
      <sz val="11"/>
      <name val="Calibri"/>
      <family val="2"/>
      <scheme val="minor"/>
    </font>
    <font>
      <b/>
      <sz val="11"/>
      <color theme="3"/>
      <name val="Calibri"/>
      <family val="2"/>
      <scheme val="minor"/>
    </font>
    <font>
      <sz val="11"/>
      <color theme="0"/>
      <name val="Calibri"/>
      <family val="2"/>
      <scheme val="minor"/>
    </font>
    <font>
      <b/>
      <i/>
      <u/>
      <sz val="11"/>
      <color theme="1"/>
      <name val="Calibri"/>
      <family val="2"/>
      <scheme val="minor"/>
    </font>
    <font>
      <b/>
      <sz val="9"/>
      <color theme="1"/>
      <name val="Calibri"/>
      <family val="2"/>
      <scheme val="minor"/>
    </font>
    <font>
      <sz val="9"/>
      <color theme="1"/>
      <name val="Calibri"/>
      <family val="2"/>
      <scheme val="minor"/>
    </font>
    <font>
      <b/>
      <sz val="9"/>
      <color rgb="FF000000"/>
      <name val="Calibri"/>
      <family val="2"/>
    </font>
    <font>
      <b/>
      <sz val="8"/>
      <color theme="1"/>
      <name val="Calibri"/>
      <family val="2"/>
      <scheme val="minor"/>
    </font>
    <font>
      <sz val="9"/>
      <color rgb="FF000000"/>
      <name val="Calibri"/>
      <family val="2"/>
    </font>
    <font>
      <sz val="8"/>
      <color rgb="FF000000"/>
      <name val="Calibri"/>
      <family val="2"/>
    </font>
    <font>
      <vertAlign val="superscript"/>
      <sz val="9"/>
      <color theme="1"/>
      <name val="Calibri"/>
      <family val="2"/>
      <scheme val="minor"/>
    </font>
    <font>
      <b/>
      <sz val="14"/>
      <color theme="0"/>
      <name val="Calibri"/>
      <family val="2"/>
      <scheme val="minor"/>
    </font>
    <font>
      <b/>
      <sz val="12"/>
      <color rgb="FF00BCE4"/>
      <name val="Calibri"/>
      <family val="2"/>
      <scheme val="minor"/>
    </font>
    <font>
      <vertAlign val="superscript"/>
      <sz val="10"/>
      <color theme="1"/>
      <name val="Calibri"/>
      <family val="2"/>
      <scheme val="minor"/>
    </font>
    <font>
      <b/>
      <sz val="14"/>
      <name val="Calibri"/>
      <family val="2"/>
      <scheme val="minor"/>
    </font>
    <font>
      <vertAlign val="subscript"/>
      <sz val="11"/>
      <color theme="1"/>
      <name val="Calibri"/>
      <family val="2"/>
    </font>
    <font>
      <b/>
      <vertAlign val="superscript"/>
      <sz val="10"/>
      <color rgb="FF000000"/>
      <name val="Calibri"/>
      <family val="2"/>
    </font>
    <font>
      <b/>
      <sz val="12"/>
      <name val="Calibri"/>
      <family val="2"/>
      <scheme val="minor"/>
    </font>
    <font>
      <b/>
      <sz val="9"/>
      <color indexed="81"/>
      <name val="Tahoma"/>
      <family val="2"/>
    </font>
    <font>
      <vertAlign val="subscript"/>
      <sz val="10"/>
      <color theme="1"/>
      <name val="Calibri"/>
      <family val="2"/>
      <scheme val="minor"/>
    </font>
    <font>
      <b/>
      <sz val="12"/>
      <color rgb="FFFFFFFF"/>
      <name val="Calibri"/>
      <family val="2"/>
      <scheme val="minor"/>
    </font>
    <font>
      <vertAlign val="subscript"/>
      <sz val="11"/>
      <name val="Calibri"/>
      <family val="2"/>
      <scheme val="minor"/>
    </font>
    <font>
      <vertAlign val="subscript"/>
      <sz val="10"/>
      <name val="Calibri"/>
      <family val="2"/>
      <scheme val="minor"/>
    </font>
    <font>
      <sz val="14"/>
      <color rgb="FF2B2A29"/>
      <name val="Arial Bold"/>
      <family val="2"/>
    </font>
    <font>
      <sz val="12"/>
      <color rgb="FF2B2A29"/>
      <name val="Arial"/>
      <family val="2"/>
    </font>
    <font>
      <sz val="13"/>
      <color rgb="FF2B2A29"/>
      <name val="Arial"/>
      <family val="2"/>
    </font>
    <font>
      <sz val="10"/>
      <color rgb="FF2B2A29"/>
      <name val="Arial"/>
      <family val="2"/>
    </font>
    <font>
      <sz val="10"/>
      <color rgb="FF2B2A29"/>
      <name val="Arial Bold"/>
      <family val="2"/>
    </font>
    <font>
      <sz val="10"/>
      <color rgb="FF2B2A29"/>
      <name val="Arial Italic"/>
      <family val="2"/>
    </font>
    <font>
      <b/>
      <sz val="10"/>
      <color rgb="FF2B2A29"/>
      <name val="Arial"/>
      <family val="2"/>
    </font>
    <font>
      <b/>
      <sz val="10"/>
      <name val="Arial"/>
      <family val="2"/>
    </font>
    <font>
      <sz val="11"/>
      <color rgb="FF2B2A29"/>
      <name val="Arial Bold Italic"/>
      <family val="2"/>
    </font>
    <font>
      <sz val="9"/>
      <color rgb="FF2B2A29"/>
      <name val="Arial Bold"/>
      <family val="2"/>
    </font>
    <font>
      <sz val="9"/>
      <color rgb="FF2B2A29"/>
      <name val="Arial"/>
      <family val="2"/>
    </font>
    <font>
      <sz val="9"/>
      <name val="Arial"/>
      <family val="2"/>
    </font>
    <font>
      <sz val="8"/>
      <color rgb="FF2B2A29"/>
      <name val="Arial"/>
      <family val="2"/>
    </font>
    <font>
      <i/>
      <sz val="12"/>
      <color theme="1"/>
      <name val="Calibri"/>
      <family val="2"/>
      <scheme val="minor"/>
    </font>
    <font>
      <b/>
      <i/>
      <sz val="13"/>
      <color theme="0"/>
      <name val="Calibri"/>
      <family val="2"/>
      <scheme val="minor"/>
    </font>
    <font>
      <b/>
      <sz val="10.5"/>
      <color theme="1"/>
      <name val="Calibri"/>
      <family val="2"/>
      <scheme val="minor"/>
    </font>
    <font>
      <sz val="10.5"/>
      <color theme="1"/>
      <name val="Calibri"/>
      <family val="2"/>
      <scheme val="minor"/>
    </font>
    <font>
      <sz val="10.5"/>
      <color rgb="FFFF0000"/>
      <name val="Calibri"/>
      <family val="2"/>
      <scheme val="minor"/>
    </font>
    <font>
      <vertAlign val="superscript"/>
      <sz val="10.5"/>
      <color theme="1"/>
      <name val="Calibri"/>
      <family val="2"/>
      <scheme val="minor"/>
    </font>
    <font>
      <vertAlign val="subscript"/>
      <sz val="10.5"/>
      <color theme="1"/>
      <name val="Calibri"/>
      <family val="2"/>
      <scheme val="minor"/>
    </font>
    <font>
      <sz val="10.5"/>
      <color theme="1"/>
      <name val="Calibri"/>
      <family val="2"/>
    </font>
    <font>
      <sz val="10.5"/>
      <color rgb="FF000000"/>
      <name val="Calibri"/>
      <family val="2"/>
    </font>
    <font>
      <vertAlign val="subscript"/>
      <sz val="10.5"/>
      <color theme="1"/>
      <name val="Calibri"/>
      <family val="2"/>
    </font>
    <font>
      <b/>
      <vertAlign val="superscript"/>
      <sz val="10.5"/>
      <color theme="1"/>
      <name val="Calibri"/>
      <family val="2"/>
      <scheme val="minor"/>
    </font>
    <font>
      <sz val="10.5"/>
      <name val="Calibri"/>
      <family val="2"/>
      <scheme val="minor"/>
    </font>
    <font>
      <i/>
      <sz val="10.5"/>
      <color theme="1"/>
      <name val="Calibri"/>
      <family val="2"/>
      <scheme val="minor"/>
    </font>
    <font>
      <b/>
      <sz val="10.5"/>
      <name val="Calibri"/>
      <family val="2"/>
      <scheme val="minor"/>
    </font>
    <font>
      <vertAlign val="subscript"/>
      <sz val="10.5"/>
      <name val="Calibri"/>
      <family val="2"/>
      <scheme val="minor"/>
    </font>
    <font>
      <u/>
      <sz val="10"/>
      <color theme="10"/>
      <name val="Calibri"/>
      <family val="2"/>
      <scheme val="minor"/>
    </font>
    <font>
      <i/>
      <sz val="10.5"/>
      <color theme="1"/>
      <name val="Calibri"/>
      <family val="2"/>
    </font>
    <font>
      <i/>
      <vertAlign val="subscript"/>
      <sz val="10.5"/>
      <color theme="1"/>
      <name val="Calibri"/>
      <family val="2"/>
      <scheme val="minor"/>
    </font>
    <font>
      <b/>
      <i/>
      <sz val="11"/>
      <color theme="1"/>
      <name val="Calibri"/>
      <family val="2"/>
    </font>
    <font>
      <sz val="9"/>
      <color theme="1"/>
      <name val="Calibri"/>
      <family val="2"/>
    </font>
    <font>
      <vertAlign val="superscript"/>
      <sz val="9"/>
      <color theme="1"/>
      <name val="Calibri"/>
      <family val="2"/>
    </font>
    <font>
      <sz val="9"/>
      <color theme="1"/>
      <name val="Franklin Gothic Book"/>
      <family val="2"/>
    </font>
    <font>
      <b/>
      <vertAlign val="subscript"/>
      <sz val="11"/>
      <color rgb="FF000000"/>
      <name val="Calibri"/>
      <family val="2"/>
    </font>
    <font>
      <vertAlign val="superscript"/>
      <sz val="10"/>
      <name val="Calibri"/>
      <family val="2"/>
      <scheme val="minor"/>
    </font>
    <font>
      <vertAlign val="superscript"/>
      <sz val="11"/>
      <name val="Calibri"/>
      <family val="2"/>
      <scheme val="minor"/>
    </font>
    <font>
      <b/>
      <sz val="9.5"/>
      <color theme="1"/>
      <name val="Calibri"/>
      <family val="2"/>
      <scheme val="minor"/>
    </font>
    <font>
      <sz val="9.5"/>
      <color theme="1"/>
      <name val="Calibri"/>
      <family val="2"/>
      <scheme val="minor"/>
    </font>
    <font>
      <vertAlign val="superscript"/>
      <sz val="9.5"/>
      <color theme="1"/>
      <name val="Calibri"/>
      <family val="2"/>
      <scheme val="minor"/>
    </font>
    <font>
      <b/>
      <vertAlign val="superscript"/>
      <sz val="9.5"/>
      <color theme="1"/>
      <name val="Calibri"/>
      <family val="2"/>
      <scheme val="minor"/>
    </font>
    <font>
      <sz val="9.5"/>
      <name val="Calibri"/>
      <family val="2"/>
      <scheme val="minor"/>
    </font>
    <font>
      <b/>
      <sz val="9.5"/>
      <name val="Calibri"/>
      <family val="2"/>
      <scheme val="minor"/>
    </font>
    <font>
      <sz val="9.5"/>
      <color rgb="FF000000"/>
      <name val="Calibri"/>
      <family val="2"/>
    </font>
    <font>
      <vertAlign val="subscript"/>
      <sz val="9.5"/>
      <color theme="1"/>
      <name val="Calibri"/>
      <family val="2"/>
      <scheme val="minor"/>
    </font>
    <font>
      <b/>
      <vertAlign val="subscript"/>
      <sz val="9.5"/>
      <color theme="1"/>
      <name val="Calibri"/>
      <family val="2"/>
      <scheme val="minor"/>
    </font>
    <font>
      <vertAlign val="subscript"/>
      <sz val="9"/>
      <color theme="1"/>
      <name val="Calibri"/>
      <family val="2"/>
      <scheme val="minor"/>
    </font>
    <font>
      <b/>
      <vertAlign val="subscript"/>
      <sz val="11"/>
      <name val="Calibri"/>
      <family val="2"/>
      <scheme val="minor"/>
    </font>
    <font>
      <sz val="9"/>
      <name val="Calibri"/>
      <family val="2"/>
    </font>
    <font>
      <sz val="9.5"/>
      <name val="Calibri"/>
      <family val="2"/>
    </font>
    <font>
      <vertAlign val="subscript"/>
      <sz val="9"/>
      <name val="Calibri"/>
      <family val="2"/>
    </font>
    <font>
      <b/>
      <u/>
      <sz val="11"/>
      <color rgb="FF002060"/>
      <name val="Calibri"/>
      <family val="2"/>
      <scheme val="minor"/>
    </font>
    <font>
      <b/>
      <sz val="11"/>
      <color rgb="FF002060"/>
      <name val="Calibri"/>
      <family val="2"/>
      <scheme val="minor"/>
    </font>
    <font>
      <b/>
      <sz val="9.5"/>
      <color rgb="FF000000"/>
      <name val="Calibri"/>
      <family val="2"/>
    </font>
    <font>
      <u/>
      <sz val="9.5"/>
      <color theme="10"/>
      <name val="Calibri"/>
      <family val="2"/>
      <scheme val="minor"/>
    </font>
    <font>
      <sz val="8"/>
      <color theme="0" tint="-0.14999847407452621"/>
      <name val="Calibri"/>
      <family val="2"/>
      <scheme val="minor"/>
    </font>
    <font>
      <b/>
      <vertAlign val="subscript"/>
      <sz val="10.5"/>
      <color theme="1"/>
      <name val="Calibri"/>
      <family val="2"/>
      <scheme val="minor"/>
    </font>
    <font>
      <b/>
      <sz val="10.5"/>
      <color theme="1"/>
      <name val="Calibri"/>
      <family val="2"/>
    </font>
    <font>
      <b/>
      <sz val="10.5"/>
      <color rgb="FFC00000"/>
      <name val="Calibri"/>
      <family val="2"/>
      <scheme val="minor"/>
    </font>
    <font>
      <b/>
      <u/>
      <sz val="9"/>
      <color theme="1"/>
      <name val="Calibri"/>
      <family val="2"/>
      <scheme val="minor"/>
    </font>
    <font>
      <sz val="9.35"/>
      <name val="Calibri"/>
      <family val="2"/>
    </font>
    <font>
      <sz val="10.5"/>
      <name val="Calibri"/>
      <family val="2"/>
    </font>
    <font>
      <b/>
      <u/>
      <sz val="10"/>
      <name val="Calibri"/>
      <family val="2"/>
      <scheme val="minor"/>
    </font>
    <font>
      <sz val="18"/>
      <name val="Calibri"/>
      <family val="2"/>
      <scheme val="minor"/>
    </font>
    <font>
      <sz val="9"/>
      <name val="Calibri"/>
      <family val="2"/>
      <scheme val="minor"/>
    </font>
    <font>
      <u/>
      <sz val="10.5"/>
      <color theme="10"/>
      <name val="Calibri"/>
      <family val="2"/>
      <scheme val="minor"/>
    </font>
    <font>
      <b/>
      <i/>
      <vertAlign val="subscript"/>
      <sz val="11"/>
      <color theme="1"/>
      <name val="Calibri"/>
      <family val="2"/>
      <scheme val="minor"/>
    </font>
    <font>
      <u/>
      <sz val="11"/>
      <color theme="1"/>
      <name val="Calibri"/>
      <family val="2"/>
      <scheme val="minor"/>
    </font>
    <font>
      <vertAlign val="superscript"/>
      <sz val="10.5"/>
      <name val="Calibri"/>
      <family val="2"/>
      <scheme val="minor"/>
    </font>
    <font>
      <b/>
      <vertAlign val="subscript"/>
      <sz val="11"/>
      <color theme="1"/>
      <name val="Calibri"/>
      <family val="2"/>
      <scheme val="minor"/>
    </font>
    <font>
      <sz val="9"/>
      <color theme="0" tint="-0.14999847407452621"/>
      <name val="Calibri"/>
      <family val="2"/>
      <scheme val="minor"/>
    </font>
    <font>
      <sz val="11"/>
      <color rgb="FF0070C0"/>
      <name val="Calibri"/>
      <family val="2"/>
      <scheme val="minor"/>
    </font>
    <font>
      <sz val="9"/>
      <color rgb="FF0070C0"/>
      <name val="Calibri"/>
      <family val="2"/>
      <scheme val="minor"/>
    </font>
    <font>
      <vertAlign val="superscript"/>
      <sz val="9"/>
      <name val="Calibri"/>
      <family val="2"/>
      <scheme val="minor"/>
    </font>
    <font>
      <b/>
      <sz val="11"/>
      <name val="Calibri"/>
      <family val="2"/>
    </font>
    <font>
      <sz val="8"/>
      <name val="Calibri"/>
      <family val="2"/>
    </font>
    <font>
      <sz val="11"/>
      <name val="Franklin Gothic Book"/>
      <family val="2"/>
    </font>
    <font>
      <b/>
      <vertAlign val="subscript"/>
      <sz val="10"/>
      <color theme="1"/>
      <name val="Calibri"/>
      <family val="2"/>
      <scheme val="minor"/>
    </font>
    <font>
      <b/>
      <vertAlign val="superscript"/>
      <sz val="9"/>
      <color rgb="FF000000"/>
      <name val="Calibri"/>
      <family val="2"/>
    </font>
    <font>
      <u/>
      <sz val="10.5"/>
      <color theme="1"/>
      <name val="Calibri"/>
      <family val="2"/>
      <scheme val="minor"/>
    </font>
    <font>
      <b/>
      <sz val="11"/>
      <color rgb="FF0070C0"/>
      <name val="Calibri"/>
      <family val="2"/>
      <scheme val="minor"/>
    </font>
    <font>
      <u/>
      <sz val="10"/>
      <color rgb="FFFF0000"/>
      <name val="Calibri"/>
      <family val="2"/>
      <scheme val="minor"/>
    </font>
    <font>
      <i/>
      <sz val="11"/>
      <color rgb="FF0070C0"/>
      <name val="Calibri"/>
      <family val="2"/>
      <scheme val="minor"/>
    </font>
    <font>
      <b/>
      <vertAlign val="superscript"/>
      <sz val="11"/>
      <name val="Calibri"/>
      <family val="2"/>
      <scheme val="minor"/>
    </font>
    <font>
      <i/>
      <vertAlign val="superscript"/>
      <sz val="11"/>
      <name val="Calibri"/>
      <family val="2"/>
      <scheme val="minor"/>
    </font>
    <font>
      <u/>
      <sz val="10"/>
      <name val="Calibri"/>
      <family val="2"/>
      <scheme val="minor"/>
    </font>
    <font>
      <sz val="10.5"/>
      <name val="Tahoma"/>
      <family val="2"/>
    </font>
    <font>
      <sz val="8.9499999999999993"/>
      <name val="Calibri"/>
      <family val="2"/>
    </font>
    <font>
      <sz val="16"/>
      <color theme="1"/>
      <name val="Calibri"/>
      <family val="2"/>
      <scheme val="minor"/>
    </font>
    <font>
      <b/>
      <sz val="18"/>
      <color theme="1"/>
      <name val="Calibri"/>
      <family val="2"/>
      <scheme val="minor"/>
    </font>
    <font>
      <sz val="18"/>
      <color theme="1"/>
      <name val="Calibri"/>
      <family val="2"/>
      <scheme val="minor"/>
    </font>
    <font>
      <sz val="10"/>
      <color rgb="FF000000"/>
      <name val="Segoe UI"/>
      <family val="2"/>
    </font>
    <font>
      <b/>
      <vertAlign val="superscript"/>
      <sz val="9.5"/>
      <color rgb="FF000000"/>
      <name val="Calibri"/>
      <family val="2"/>
    </font>
    <font>
      <strike/>
      <sz val="10.5"/>
      <color theme="1"/>
      <name val="Calibri"/>
      <family val="2"/>
      <scheme val="minor"/>
    </font>
    <font>
      <b/>
      <sz val="9"/>
      <name val="Calibri"/>
      <family val="2"/>
      <scheme val="minor"/>
    </font>
    <font>
      <u/>
      <sz val="10"/>
      <color theme="10"/>
      <name val="Arial"/>
      <family val="2"/>
    </font>
    <font>
      <b/>
      <vertAlign val="subscript"/>
      <sz val="10.5"/>
      <name val="Calibri"/>
      <family val="2"/>
      <scheme val="minor"/>
    </font>
    <font>
      <sz val="10.5"/>
      <color rgb="FFC00000"/>
      <name val="Calibri"/>
      <family val="2"/>
      <scheme val="minor"/>
    </font>
    <font>
      <b/>
      <u/>
      <sz val="10.5"/>
      <name val="Calibri"/>
      <family val="2"/>
      <scheme val="minor"/>
    </font>
    <font>
      <b/>
      <u/>
      <vertAlign val="superscript"/>
      <sz val="10.5"/>
      <name val="Calibri"/>
      <family val="2"/>
      <scheme val="minor"/>
    </font>
    <font>
      <b/>
      <vertAlign val="superscript"/>
      <sz val="10.5"/>
      <name val="Calibri"/>
      <family val="2"/>
      <scheme val="minor"/>
    </font>
    <font>
      <b/>
      <vertAlign val="subscript"/>
      <sz val="11"/>
      <color rgb="FFC00000"/>
      <name val="Calibri"/>
      <family val="2"/>
      <scheme val="minor"/>
    </font>
    <font>
      <vertAlign val="subscript"/>
      <sz val="9"/>
      <name val="Calibri"/>
      <family val="2"/>
      <scheme val="minor"/>
    </font>
    <font>
      <vertAlign val="superscript"/>
      <sz val="10.5"/>
      <name val="Calibri"/>
      <family val="2"/>
    </font>
    <font>
      <b/>
      <i/>
      <sz val="10.5"/>
      <name val="Calibri"/>
      <family val="2"/>
      <scheme val="minor"/>
    </font>
    <font>
      <b/>
      <i/>
      <vertAlign val="subscript"/>
      <sz val="10.5"/>
      <name val="Calibri"/>
      <family val="2"/>
      <scheme val="minor"/>
    </font>
    <font>
      <u/>
      <sz val="11"/>
      <name val="Calibri"/>
      <family val="2"/>
      <scheme val="minor"/>
    </font>
    <font>
      <i/>
      <sz val="11"/>
      <color rgb="FFFF0000"/>
      <name val="Calibri"/>
      <family val="2"/>
      <scheme val="minor"/>
    </font>
    <font>
      <vertAlign val="superscript"/>
      <sz val="9"/>
      <name val="Calibri"/>
      <family val="2"/>
    </font>
    <font>
      <i/>
      <strike/>
      <sz val="11"/>
      <name val="Calibri"/>
      <family val="2"/>
      <scheme val="minor"/>
    </font>
    <font>
      <b/>
      <sz val="18"/>
      <color theme="0"/>
      <name val="Calibri"/>
      <family val="2"/>
      <scheme val="minor"/>
    </font>
    <font>
      <sz val="9"/>
      <color rgb="FFFF0000"/>
      <name val="Calibri"/>
      <family val="2"/>
      <scheme val="minor"/>
    </font>
    <font>
      <b/>
      <u/>
      <sz val="9"/>
      <color rgb="FFFF0000"/>
      <name val="Calibri"/>
      <family val="2"/>
      <scheme val="minor"/>
    </font>
    <font>
      <b/>
      <sz val="9"/>
      <color rgb="FFFF0000"/>
      <name val="Calibri"/>
      <family val="2"/>
      <scheme val="minor"/>
    </font>
    <font>
      <b/>
      <sz val="9"/>
      <color rgb="FF0070C0"/>
      <name val="Calibri"/>
      <family val="2"/>
      <scheme val="minor"/>
    </font>
    <font>
      <sz val="11"/>
      <name val="Symbol"/>
      <family val="1"/>
      <charset val="2"/>
    </font>
    <font>
      <sz val="11"/>
      <name val="Times New Roman"/>
      <family val="1"/>
    </font>
    <font>
      <i/>
      <vertAlign val="subscript"/>
      <sz val="11"/>
      <name val="Calibri"/>
      <family val="2"/>
      <scheme val="minor"/>
    </font>
    <font>
      <sz val="7"/>
      <name val="Times New Roman"/>
      <family val="1"/>
    </font>
    <font>
      <sz val="11"/>
      <color rgb="FF7030A0"/>
      <name val="Calibri"/>
      <family val="2"/>
      <scheme val="minor"/>
    </font>
    <font>
      <b/>
      <sz val="11"/>
      <color rgb="FF7030A0"/>
      <name val="Calibri"/>
      <family val="2"/>
      <scheme val="minor"/>
    </font>
    <font>
      <b/>
      <sz val="10"/>
      <color indexed="8"/>
      <name val="Arial"/>
      <family val="2"/>
    </font>
    <font>
      <i/>
      <sz val="11"/>
      <color rgb="FF7030A0"/>
      <name val="Calibri"/>
      <family val="2"/>
      <scheme val="minor"/>
    </font>
    <font>
      <strike/>
      <sz val="8"/>
      <name val="Calibri"/>
      <family val="2"/>
      <scheme val="minor"/>
    </font>
    <font>
      <sz val="10"/>
      <name val="Calibri"/>
      <family val="2"/>
    </font>
    <font>
      <b/>
      <vertAlign val="subscript"/>
      <sz val="11"/>
      <name val="Calibri"/>
      <family val="2"/>
    </font>
    <font>
      <sz val="9"/>
      <color theme="2"/>
      <name val="Calibri"/>
      <family val="2"/>
      <scheme val="minor"/>
    </font>
    <font>
      <vertAlign val="superscript"/>
      <sz val="11"/>
      <name val="Calibri"/>
      <family val="2"/>
    </font>
    <font>
      <u/>
      <sz val="10.5"/>
      <name val="Calibri"/>
      <family val="2"/>
      <scheme val="minor"/>
    </font>
    <font>
      <u/>
      <sz val="9"/>
      <color theme="1"/>
      <name val="Calibri"/>
      <family val="2"/>
      <scheme val="minor"/>
    </font>
    <font>
      <sz val="8.5"/>
      <color theme="1"/>
      <name val="Calibri"/>
      <family val="2"/>
      <scheme val="minor"/>
    </font>
    <font>
      <i/>
      <vertAlign val="superscript"/>
      <sz val="11"/>
      <color theme="1"/>
      <name val="Calibri"/>
      <family val="2"/>
      <scheme val="minor"/>
    </font>
    <font>
      <b/>
      <i/>
      <u/>
      <sz val="11"/>
      <name val="Calibri"/>
      <family val="2"/>
      <scheme val="minor"/>
    </font>
    <font>
      <b/>
      <sz val="10"/>
      <color theme="0" tint="-0.249977111117893"/>
      <name val="Calibri"/>
      <family val="2"/>
      <scheme val="minor"/>
    </font>
    <font>
      <sz val="10"/>
      <color theme="0" tint="-0.249977111117893"/>
      <name val="Calibri"/>
      <family val="2"/>
      <scheme val="minor"/>
    </font>
    <font>
      <sz val="11"/>
      <color theme="0" tint="-0.249977111117893"/>
      <name val="Calibri"/>
      <family val="2"/>
      <scheme val="minor"/>
    </font>
    <font>
      <strike/>
      <sz val="11"/>
      <name val="Calibri"/>
      <family val="2"/>
      <scheme val="minor"/>
    </font>
    <font>
      <b/>
      <sz val="10.5"/>
      <color rgb="FF0070C0"/>
      <name val="Calibri"/>
      <family val="2"/>
      <scheme val="minor"/>
    </font>
    <font>
      <i/>
      <sz val="10.5"/>
      <name val="Calibri"/>
      <family val="2"/>
      <scheme val="minor"/>
    </font>
    <font>
      <b/>
      <sz val="10.5"/>
      <color indexed="8"/>
      <name val="Calibri"/>
      <family val="2"/>
      <scheme val="minor"/>
    </font>
    <font>
      <sz val="10.5"/>
      <color indexed="8"/>
      <name val="Calibri"/>
      <family val="2"/>
      <scheme val="minor"/>
    </font>
    <font>
      <b/>
      <sz val="8"/>
      <name val="Calibri"/>
      <family val="2"/>
      <scheme val="minor"/>
    </font>
    <font>
      <vertAlign val="subscript"/>
      <sz val="8.5"/>
      <color theme="1"/>
      <name val="Calibri"/>
      <family val="2"/>
      <scheme val="minor"/>
    </font>
    <font>
      <i/>
      <sz val="12"/>
      <name val="Calibri"/>
      <family val="2"/>
      <scheme val="minor"/>
    </font>
    <font>
      <u/>
      <sz val="11"/>
      <name val="Calibri"/>
      <family val="2"/>
    </font>
    <font>
      <sz val="11"/>
      <color rgb="FF548235"/>
      <name val="Calibri"/>
      <family val="2"/>
      <scheme val="minor"/>
    </font>
    <font>
      <sz val="11"/>
      <color theme="9" tint="-0.249977111117893"/>
      <name val="Calibri"/>
      <family val="2"/>
      <scheme val="minor"/>
    </font>
    <font>
      <b/>
      <sz val="10.5"/>
      <name val="Calibri"/>
      <family val="2"/>
    </font>
    <font>
      <sz val="12"/>
      <color rgb="FF7030A0"/>
      <name val="Calibri"/>
      <family val="2"/>
      <scheme val="minor"/>
    </font>
    <font>
      <b/>
      <sz val="10"/>
      <name val="Calibri"/>
      <family val="2"/>
    </font>
    <font>
      <b/>
      <sz val="9"/>
      <name val="Calibri"/>
      <family val="2"/>
    </font>
    <font>
      <i/>
      <sz val="10.5"/>
      <name val="Calibri"/>
      <family val="2"/>
    </font>
    <font>
      <i/>
      <vertAlign val="subscript"/>
      <sz val="10.5"/>
      <name val="Calibri"/>
      <family val="2"/>
      <scheme val="minor"/>
    </font>
    <font>
      <sz val="11"/>
      <color theme="4"/>
      <name val="Calibri"/>
      <family val="2"/>
      <scheme val="minor"/>
    </font>
    <font>
      <sz val="10"/>
      <color rgb="FF7030A0"/>
      <name val="Segoe UI Semilight"/>
      <family val="2"/>
    </font>
    <font>
      <u/>
      <sz val="9"/>
      <name val="Calibri"/>
      <family val="2"/>
      <scheme val="minor"/>
    </font>
    <font>
      <sz val="12"/>
      <name val="Calibri"/>
      <family val="2"/>
      <scheme val="minor"/>
    </font>
    <font>
      <vertAlign val="superscript"/>
      <sz val="10.5"/>
      <color rgb="FF000000"/>
      <name val="Calibri"/>
      <family val="2"/>
    </font>
    <font>
      <b/>
      <sz val="9.5"/>
      <name val="Calibri"/>
      <family val="2"/>
    </font>
    <font>
      <b/>
      <vertAlign val="superscript"/>
      <sz val="9.5"/>
      <name val="Calibri"/>
      <family val="2"/>
    </font>
  </fonts>
  <fills count="33">
    <fill>
      <patternFill patternType="none"/>
    </fill>
    <fill>
      <patternFill patternType="gray125"/>
    </fill>
    <fill>
      <patternFill patternType="solid">
        <fgColor theme="2" tint="-9.9978637043366805E-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C7CE"/>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1"/>
        <bgColor indexed="64"/>
      </patternFill>
    </fill>
    <fill>
      <patternFill patternType="solid">
        <fgColor theme="1" tint="0.249977111117893"/>
        <bgColor indexed="64"/>
      </patternFill>
    </fill>
    <fill>
      <patternFill patternType="solid">
        <fgColor rgb="FFDDEBF7"/>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9"/>
        <bgColor indexed="64"/>
      </patternFill>
    </fill>
    <fill>
      <patternFill patternType="solid">
        <fgColor theme="7"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D9D9D9"/>
        <bgColor indexed="64"/>
      </patternFill>
    </fill>
    <fill>
      <patternFill patternType="solid">
        <fgColor rgb="FFFCE4D6"/>
        <bgColor indexed="64"/>
      </patternFill>
    </fill>
    <fill>
      <patternFill patternType="solid">
        <fgColor theme="4" tint="0.79998168889431442"/>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medium">
        <color indexed="64"/>
      </bottom>
      <diagonal/>
    </border>
    <border>
      <left style="medium">
        <color auto="1"/>
      </left>
      <right style="medium">
        <color auto="1"/>
      </right>
      <top/>
      <bottom/>
      <diagonal/>
    </border>
    <border>
      <left style="medium">
        <color auto="1"/>
      </left>
      <right style="medium">
        <color auto="1"/>
      </right>
      <top/>
      <bottom style="thin">
        <color indexed="64"/>
      </bottom>
      <diagonal/>
    </border>
    <border>
      <left style="medium">
        <color indexed="64"/>
      </left>
      <right style="medium">
        <color indexed="64"/>
      </right>
      <top style="medium">
        <color indexed="64"/>
      </top>
      <bottom style="medium">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medium">
        <color indexed="64"/>
      </left>
      <right style="thin">
        <color indexed="64"/>
      </right>
      <top/>
      <bottom style="medium">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5" fillId="0" borderId="0" applyNumberFormat="0" applyFill="0" applyBorder="0" applyAlignment="0" applyProtection="0"/>
    <xf numFmtId="0" fontId="17" fillId="6"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42" fillId="0" borderId="0" applyNumberFormat="0" applyFill="0" applyBorder="0" applyAlignment="0" applyProtection="0">
      <alignment vertical="top"/>
      <protection locked="0"/>
    </xf>
    <xf numFmtId="0" fontId="23" fillId="0" borderId="0"/>
    <xf numFmtId="183" fontId="23" fillId="0" borderId="0"/>
    <xf numFmtId="44" fontId="23" fillId="0" borderId="0" applyFont="0" applyFill="0" applyBorder="0" applyAlignment="0" applyProtection="0"/>
    <xf numFmtId="43" fontId="23" fillId="0" borderId="0" applyFont="0" applyFill="0" applyBorder="0" applyAlignment="0" applyProtection="0"/>
    <xf numFmtId="0" fontId="23" fillId="0" borderId="0">
      <alignment readingOrder="1"/>
    </xf>
    <xf numFmtId="0" fontId="1" fillId="0" borderId="0"/>
    <xf numFmtId="0" fontId="172" fillId="0" borderId="0" applyNumberFormat="0" applyFill="0" applyBorder="0" applyAlignment="0" applyProtection="0"/>
  </cellStyleXfs>
  <cellXfs count="3424">
    <xf numFmtId="0" fontId="0" fillId="0" borderId="0" xfId="0"/>
    <xf numFmtId="0" fontId="0" fillId="0" borderId="0" xfId="0" applyAlignment="1">
      <alignment vertical="center"/>
    </xf>
    <xf numFmtId="0" fontId="0" fillId="0" borderId="0" xfId="0" applyAlignment="1">
      <alignment horizontal="left" vertical="center" wrapText="1"/>
    </xf>
    <xf numFmtId="0" fontId="3" fillId="0" borderId="0" xfId="0" applyFont="1" applyAlignment="1">
      <alignment horizontal="left" vertical="center"/>
    </xf>
    <xf numFmtId="0" fontId="0" fillId="0" borderId="0" xfId="0" applyAlignment="1">
      <alignment vertical="center" wrapText="1"/>
    </xf>
    <xf numFmtId="165" fontId="0" fillId="0" borderId="0" xfId="0" applyNumberFormat="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left" vertical="center"/>
    </xf>
    <xf numFmtId="164" fontId="0" fillId="0" borderId="0" xfId="0" applyNumberFormat="1" applyAlignment="1">
      <alignment vertical="center"/>
    </xf>
    <xf numFmtId="0" fontId="3" fillId="0" borderId="0" xfId="0" applyFont="1" applyAlignment="1">
      <alignment vertical="center"/>
    </xf>
    <xf numFmtId="0" fontId="9" fillId="0" borderId="0" xfId="0" applyFont="1" applyAlignment="1">
      <alignment vertical="center"/>
    </xf>
    <xf numFmtId="2" fontId="0" fillId="0" borderId="0" xfId="0" applyNumberFormat="1" applyAlignment="1">
      <alignment vertical="center" wrapText="1"/>
    </xf>
    <xf numFmtId="0" fontId="0" fillId="0" borderId="0" xfId="0" applyAlignment="1">
      <alignment horizontal="left" vertical="center" indent="2"/>
    </xf>
    <xf numFmtId="0" fontId="0" fillId="0" borderId="0" xfId="0" applyAlignment="1">
      <alignment horizontal="left" vertical="center" indent="6"/>
    </xf>
    <xf numFmtId="0" fontId="0" fillId="0" borderId="0" xfId="0" applyAlignment="1">
      <alignment horizontal="left" vertical="center" indent="5"/>
    </xf>
    <xf numFmtId="0" fontId="0" fillId="0" borderId="0" xfId="0" applyAlignment="1">
      <alignment horizontal="left" vertical="center" indent="9"/>
    </xf>
    <xf numFmtId="0" fontId="0" fillId="0" borderId="0" xfId="0" applyAlignment="1">
      <alignment horizontal="left" indent="5"/>
    </xf>
    <xf numFmtId="0" fontId="3" fillId="0" borderId="0" xfId="0" applyFont="1" applyAlignment="1">
      <alignment horizontal="left" indent="1"/>
    </xf>
    <xf numFmtId="0" fontId="0" fillId="0" borderId="0" xfId="0" quotePrefix="1"/>
    <xf numFmtId="0" fontId="2" fillId="0" borderId="0" xfId="0" applyFont="1"/>
    <xf numFmtId="0" fontId="13" fillId="0" borderId="0" xfId="0" applyFont="1" applyAlignment="1">
      <alignment horizontal="left"/>
    </xf>
    <xf numFmtId="0" fontId="3" fillId="0" borderId="0" xfId="0" applyFont="1" applyAlignment="1">
      <alignment horizontal="right"/>
    </xf>
    <xf numFmtId="0" fontId="3" fillId="0" borderId="0" xfId="0" applyFont="1"/>
    <xf numFmtId="0" fontId="14" fillId="0" borderId="0" xfId="0" applyFont="1"/>
    <xf numFmtId="0" fontId="15" fillId="0" borderId="0" xfId="4"/>
    <xf numFmtId="0" fontId="0" fillId="0" borderId="0" xfId="0" applyAlignment="1">
      <alignment wrapText="1"/>
    </xf>
    <xf numFmtId="0" fontId="24" fillId="0" borderId="0" xfId="0" applyFont="1" applyAlignment="1">
      <alignment vertical="center"/>
    </xf>
    <xf numFmtId="0" fontId="0" fillId="0" borderId="14" xfId="0" applyBorder="1"/>
    <xf numFmtId="0" fontId="0" fillId="0" borderId="1" xfId="0" applyBorder="1" applyAlignment="1">
      <alignment horizontal="center"/>
    </xf>
    <xf numFmtId="0" fontId="9" fillId="0" borderId="0" xfId="0" applyFont="1"/>
    <xf numFmtId="0" fontId="0" fillId="0" borderId="0" xfId="0" applyAlignment="1">
      <alignment horizontal="center"/>
    </xf>
    <xf numFmtId="0" fontId="27" fillId="0" borderId="0" xfId="0" applyFont="1" applyAlignment="1">
      <alignment horizontal="left" vertical="center" indent="5"/>
    </xf>
    <xf numFmtId="3" fontId="22" fillId="0" borderId="1" xfId="0" applyNumberFormat="1" applyFont="1" applyBorder="1" applyAlignment="1">
      <alignment horizontal="center"/>
    </xf>
    <xf numFmtId="0" fontId="22" fillId="0" borderId="1" xfId="0" applyFont="1" applyBorder="1" applyAlignment="1">
      <alignment horizontal="center"/>
    </xf>
    <xf numFmtId="0" fontId="29" fillId="0" borderId="0" xfId="0" applyFont="1"/>
    <xf numFmtId="2" fontId="0" fillId="0" borderId="0" xfId="0" applyNumberFormat="1" applyAlignment="1">
      <alignment horizontal="center"/>
    </xf>
    <xf numFmtId="0" fontId="29" fillId="0" borderId="0" xfId="0" applyFont="1" applyAlignment="1">
      <alignment vertical="center"/>
    </xf>
    <xf numFmtId="0" fontId="34" fillId="0" borderId="0" xfId="0" applyFont="1"/>
    <xf numFmtId="0" fontId="2" fillId="0" borderId="0" xfId="0" applyFont="1" applyAlignment="1">
      <alignment horizontal="left"/>
    </xf>
    <xf numFmtId="0" fontId="0" fillId="0" borderId="0" xfId="0" applyAlignment="1">
      <alignment horizontal="left"/>
    </xf>
    <xf numFmtId="0" fontId="39" fillId="0" borderId="0" xfId="0" applyFont="1"/>
    <xf numFmtId="0" fontId="4" fillId="0" borderId="0" xfId="0" applyFont="1" applyAlignment="1">
      <alignment vertical="center" wrapText="1"/>
    </xf>
    <xf numFmtId="165" fontId="3" fillId="0" borderId="0" xfId="0" applyNumberFormat="1" applyFont="1" applyAlignment="1">
      <alignment horizontal="left" indent="1"/>
    </xf>
    <xf numFmtId="0" fontId="43" fillId="0" borderId="0" xfId="9" applyFont="1" applyAlignment="1" applyProtection="1">
      <alignment horizontal="left" vertical="center"/>
      <protection locked="0"/>
    </xf>
    <xf numFmtId="0" fontId="43" fillId="0" borderId="0" xfId="10" applyFont="1" applyAlignment="1" applyProtection="1">
      <alignment horizontal="left" vertical="center"/>
      <protection locked="0"/>
    </xf>
    <xf numFmtId="0" fontId="43" fillId="0" borderId="0" xfId="9" applyFont="1" applyAlignment="1">
      <alignment horizontal="left" vertical="center"/>
    </xf>
    <xf numFmtId="0" fontId="22" fillId="0" borderId="0" xfId="10" applyFont="1" applyAlignment="1" applyProtection="1">
      <alignment horizontal="left" vertical="center"/>
      <protection locked="0"/>
    </xf>
    <xf numFmtId="0" fontId="22" fillId="0" borderId="0" xfId="10" applyFont="1" applyAlignment="1">
      <alignment horizontal="left" vertical="center"/>
    </xf>
    <xf numFmtId="0" fontId="22" fillId="0" borderId="0" xfId="10" applyFont="1" applyAlignment="1" applyProtection="1">
      <alignment vertical="center"/>
      <protection locked="0"/>
    </xf>
    <xf numFmtId="0" fontId="22" fillId="0" borderId="0" xfId="10" applyFont="1" applyAlignment="1">
      <alignment vertical="center"/>
    </xf>
    <xf numFmtId="0" fontId="5" fillId="0" borderId="0" xfId="0" applyFont="1" applyAlignment="1">
      <alignment vertical="center"/>
    </xf>
    <xf numFmtId="0" fontId="14" fillId="0" borderId="0" xfId="0" applyFont="1" applyAlignment="1">
      <alignment vertical="center"/>
    </xf>
    <xf numFmtId="0" fontId="2" fillId="0" borderId="0" xfId="0" applyFont="1" applyAlignment="1">
      <alignment vertical="center"/>
    </xf>
    <xf numFmtId="0" fontId="13" fillId="0" borderId="0" xfId="0" applyFont="1" applyAlignment="1">
      <alignment horizontal="left" vertical="center"/>
    </xf>
    <xf numFmtId="0" fontId="0" fillId="0" borderId="0" xfId="0" applyAlignment="1">
      <alignment horizontal="right" vertical="center"/>
    </xf>
    <xf numFmtId="0" fontId="0" fillId="0" borderId="0" xfId="0" applyAlignment="1">
      <alignment horizontal="left" vertical="center" wrapText="1" indent="4"/>
    </xf>
    <xf numFmtId="0" fontId="31" fillId="0" borderId="0" xfId="0" applyFont="1" applyAlignment="1">
      <alignment horizontal="left" vertical="center"/>
    </xf>
    <xf numFmtId="0" fontId="22" fillId="0" borderId="0" xfId="0" applyFont="1" applyAlignment="1">
      <alignment horizontal="center" vertical="center"/>
    </xf>
    <xf numFmtId="0" fontId="22" fillId="0" borderId="0" xfId="0" applyFont="1" applyAlignment="1">
      <alignment horizontal="left" vertical="center"/>
    </xf>
    <xf numFmtId="0" fontId="22" fillId="0" borderId="0" xfId="0" applyFont="1" applyAlignment="1">
      <alignment horizontal="right" vertical="center" wrapText="1"/>
    </xf>
    <xf numFmtId="0" fontId="22" fillId="0" borderId="0" xfId="0" applyFont="1" applyAlignment="1">
      <alignment horizontal="center" vertical="center" wrapText="1"/>
    </xf>
    <xf numFmtId="0" fontId="31" fillId="0" borderId="0" xfId="0" quotePrefix="1" applyFont="1" applyAlignment="1">
      <alignment vertical="center" wrapText="1"/>
    </xf>
    <xf numFmtId="0" fontId="22" fillId="0" borderId="0" xfId="0" quotePrefix="1" applyFont="1" applyAlignment="1">
      <alignment vertical="center" wrapText="1"/>
    </xf>
    <xf numFmtId="0" fontId="50" fillId="0" borderId="0" xfId="0" applyFont="1" applyAlignment="1">
      <alignment vertical="center"/>
    </xf>
    <xf numFmtId="0" fontId="50" fillId="0" borderId="0" xfId="0" applyFont="1" applyAlignment="1">
      <alignment horizontal="left" vertical="center"/>
    </xf>
    <xf numFmtId="0" fontId="3" fillId="0" borderId="0" xfId="10" applyFont="1" applyAlignment="1">
      <alignment horizontal="left" vertical="center"/>
    </xf>
    <xf numFmtId="0" fontId="22" fillId="0" borderId="0" xfId="9" applyFont="1" applyAlignment="1" applyProtection="1">
      <alignment horizontal="left" vertical="center"/>
      <protection locked="0"/>
    </xf>
    <xf numFmtId="0" fontId="45" fillId="0" borderId="0" xfId="9" applyFont="1" applyAlignment="1">
      <alignment horizontal="left" vertical="center"/>
    </xf>
    <xf numFmtId="3" fontId="22" fillId="0" borderId="0" xfId="9" applyNumberFormat="1" applyFont="1" applyAlignment="1">
      <alignment horizontal="left" vertical="center"/>
    </xf>
    <xf numFmtId="165" fontId="22" fillId="0" borderId="0" xfId="9" applyNumberFormat="1" applyFont="1" applyAlignment="1">
      <alignment horizontal="left" vertical="center"/>
    </xf>
    <xf numFmtId="0" fontId="0" fillId="0" borderId="0" xfId="0" quotePrefix="1" applyAlignment="1">
      <alignment vertical="center"/>
    </xf>
    <xf numFmtId="0" fontId="0" fillId="0" borderId="0" xfId="10" applyFont="1" applyAlignment="1" applyProtection="1">
      <alignment horizontal="left" vertical="center"/>
      <protection locked="0"/>
    </xf>
    <xf numFmtId="0" fontId="22" fillId="0" borderId="0" xfId="9" applyFont="1" applyAlignment="1">
      <alignment horizontal="left" vertical="center"/>
    </xf>
    <xf numFmtId="0" fontId="55" fillId="0" borderId="16" xfId="9" applyFont="1" applyBorder="1" applyAlignment="1">
      <alignment horizontal="left" vertical="center" wrapText="1"/>
    </xf>
    <xf numFmtId="0" fontId="55" fillId="0" borderId="0" xfId="0" applyFont="1" applyAlignment="1">
      <alignment horizontal="left" vertical="center" wrapText="1"/>
    </xf>
    <xf numFmtId="0" fontId="55" fillId="0" borderId="16" xfId="0" applyFont="1" applyBorder="1" applyAlignment="1">
      <alignment horizontal="left" vertical="center" wrapText="1"/>
    </xf>
    <xf numFmtId="0" fontId="22" fillId="0" borderId="0" xfId="11" applyFont="1" applyAlignment="1">
      <alignment horizontal="left" vertical="center"/>
    </xf>
    <xf numFmtId="9" fontId="22" fillId="0" borderId="0" xfId="11" applyNumberFormat="1" applyFont="1" applyAlignment="1">
      <alignment horizontal="left" vertical="center"/>
    </xf>
    <xf numFmtId="0" fontId="22" fillId="0" borderId="0" xfId="12" applyFont="1" applyAlignment="1">
      <alignment horizontal="left" vertical="center"/>
    </xf>
    <xf numFmtId="0" fontId="44" fillId="0" borderId="0" xfId="11" applyFont="1" applyAlignment="1">
      <alignment horizontal="left" vertical="center"/>
    </xf>
    <xf numFmtId="3" fontId="54" fillId="0" borderId="0" xfId="11" applyNumberFormat="1" applyFont="1" applyAlignment="1">
      <alignment horizontal="left" vertical="center"/>
    </xf>
    <xf numFmtId="9" fontId="44" fillId="0" borderId="0" xfId="11" applyNumberFormat="1" applyFont="1" applyAlignment="1">
      <alignment horizontal="left" vertical="center"/>
    </xf>
    <xf numFmtId="0" fontId="44" fillId="0" borderId="0" xfId="12" applyFont="1" applyAlignment="1">
      <alignment horizontal="left" vertical="center"/>
    </xf>
    <xf numFmtId="0" fontId="43" fillId="0" borderId="0" xfId="0" applyFont="1" applyAlignment="1">
      <alignment horizontal="left" vertical="center"/>
    </xf>
    <xf numFmtId="170" fontId="45" fillId="0" borderId="0" xfId="11" applyNumberFormat="1" applyFont="1" applyAlignment="1">
      <alignment horizontal="left" vertical="center"/>
    </xf>
    <xf numFmtId="38" fontId="45" fillId="0" borderId="0" xfId="11" applyNumberFormat="1" applyFont="1" applyAlignment="1">
      <alignment horizontal="left" vertical="center"/>
    </xf>
    <xf numFmtId="170" fontId="45" fillId="0" borderId="0" xfId="12" applyNumberFormat="1" applyFont="1" applyAlignment="1">
      <alignment horizontal="left" vertical="center"/>
    </xf>
    <xf numFmtId="0" fontId="45" fillId="0" borderId="0" xfId="12" applyFont="1" applyAlignment="1">
      <alignment horizontal="left" vertical="center"/>
    </xf>
    <xf numFmtId="3" fontId="22" fillId="0" borderId="0" xfId="0" applyNumberFormat="1" applyFont="1" applyAlignment="1">
      <alignment horizontal="left" vertical="center"/>
    </xf>
    <xf numFmtId="0" fontId="31" fillId="0" borderId="0" xfId="9" applyFont="1" applyAlignment="1">
      <alignment horizontal="left" vertical="center"/>
    </xf>
    <xf numFmtId="169" fontId="22" fillId="0" borderId="0" xfId="0" applyNumberFormat="1" applyFont="1" applyAlignment="1">
      <alignment horizontal="left" vertical="center"/>
    </xf>
    <xf numFmtId="0" fontId="43" fillId="0" borderId="0" xfId="0" applyFont="1"/>
    <xf numFmtId="0" fontId="31" fillId="0" borderId="12" xfId="0" applyFont="1" applyBorder="1" applyAlignment="1">
      <alignment vertical="center"/>
    </xf>
    <xf numFmtId="0" fontId="22" fillId="0" borderId="0" xfId="0" applyFont="1"/>
    <xf numFmtId="0" fontId="22" fillId="0" borderId="0" xfId="0" applyFont="1" applyAlignment="1">
      <alignment horizontal="left" indent="2"/>
    </xf>
    <xf numFmtId="0" fontId="22" fillId="0" borderId="0" xfId="0" quotePrefix="1" applyFont="1" applyAlignment="1">
      <alignment horizontal="left"/>
    </xf>
    <xf numFmtId="0" fontId="43" fillId="0" borderId="0" xfId="9" applyFont="1"/>
    <xf numFmtId="0" fontId="43" fillId="0" borderId="0" xfId="9" applyFont="1" applyAlignment="1">
      <alignment vertical="top"/>
    </xf>
    <xf numFmtId="0" fontId="45" fillId="0" borderId="0" xfId="14" applyFont="1" applyAlignment="1">
      <alignment horizontal="left" indent="2"/>
    </xf>
    <xf numFmtId="0" fontId="45" fillId="0" borderId="0" xfId="14" applyFont="1" applyAlignment="1">
      <alignment horizontal="center"/>
    </xf>
    <xf numFmtId="172" fontId="45" fillId="0" borderId="0" xfId="14" applyNumberFormat="1" applyFont="1" applyAlignment="1">
      <alignment horizontal="center"/>
    </xf>
    <xf numFmtId="0" fontId="45" fillId="0" borderId="0" xfId="14" applyFont="1" applyAlignment="1">
      <alignment horizontal="left"/>
    </xf>
    <xf numFmtId="0" fontId="45" fillId="0" borderId="0" xfId="14" applyFont="1"/>
    <xf numFmtId="3" fontId="54" fillId="0" borderId="0" xfId="11" applyNumberFormat="1" applyFont="1"/>
    <xf numFmtId="0" fontId="45" fillId="0" borderId="0" xfId="14" applyFont="1" applyAlignment="1">
      <alignment horizontal="right"/>
    </xf>
    <xf numFmtId="0" fontId="22" fillId="0" borderId="0" xfId="9" applyFont="1"/>
    <xf numFmtId="3" fontId="22" fillId="0" borderId="0" xfId="11" applyNumberFormat="1" applyFont="1"/>
    <xf numFmtId="0" fontId="44" fillId="0" borderId="0" xfId="9" applyFont="1"/>
    <xf numFmtId="0" fontId="43" fillId="0" borderId="0" xfId="9" applyFont="1" applyAlignment="1">
      <alignment horizontal="left" vertical="top"/>
    </xf>
    <xf numFmtId="0" fontId="4" fillId="0" borderId="0" xfId="0" applyFont="1" applyAlignment="1">
      <alignment vertical="center"/>
    </xf>
    <xf numFmtId="0" fontId="2" fillId="0" borderId="0" xfId="0" applyFont="1" applyAlignment="1">
      <alignment horizontal="left" vertical="center"/>
    </xf>
    <xf numFmtId="0" fontId="46" fillId="0" borderId="0" xfId="0" applyFont="1" applyAlignment="1">
      <alignment horizontal="left" vertical="center"/>
    </xf>
    <xf numFmtId="0" fontId="58" fillId="0" borderId="0" xfId="0" applyFont="1" applyAlignment="1">
      <alignment horizontal="left" vertical="center"/>
    </xf>
    <xf numFmtId="0" fontId="12" fillId="0" borderId="0" xfId="0" applyFont="1" applyAlignment="1">
      <alignment vertical="center"/>
    </xf>
    <xf numFmtId="164" fontId="0" fillId="0" borderId="0" xfId="0" applyNumberFormat="1" applyAlignment="1">
      <alignment horizontal="left" vertical="center"/>
    </xf>
    <xf numFmtId="0" fontId="2" fillId="0" borderId="0" xfId="0" applyFont="1" applyAlignment="1">
      <alignment horizontal="left" vertical="center" wrapText="1"/>
    </xf>
    <xf numFmtId="0" fontId="0" fillId="0" borderId="0" xfId="0" applyAlignment="1">
      <alignment horizontal="left" wrapText="1"/>
    </xf>
    <xf numFmtId="0" fontId="0" fillId="0" borderId="0" xfId="0" quotePrefix="1" applyAlignment="1">
      <alignment vertical="center" wrapText="1"/>
    </xf>
    <xf numFmtId="0" fontId="29" fillId="0" borderId="0" xfId="0" applyFont="1" applyAlignment="1">
      <alignment horizontal="left" vertical="center"/>
    </xf>
    <xf numFmtId="0" fontId="0" fillId="0" borderId="11" xfId="0" applyBorder="1" applyAlignment="1">
      <alignment horizontal="center" vertical="center"/>
    </xf>
    <xf numFmtId="0" fontId="22" fillId="0" borderId="0" xfId="0" applyFont="1" applyAlignment="1">
      <alignment vertical="center"/>
    </xf>
    <xf numFmtId="0" fontId="22" fillId="0" borderId="0" xfId="0" applyFont="1" applyAlignment="1">
      <alignment vertical="center" wrapText="1"/>
    </xf>
    <xf numFmtId="178" fontId="3" fillId="0" borderId="0" xfId="2" applyNumberFormat="1" applyFont="1" applyAlignment="1">
      <alignment horizontal="left" vertical="center"/>
    </xf>
    <xf numFmtId="177" fontId="3" fillId="0" borderId="0" xfId="2" applyNumberFormat="1"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9" fontId="22" fillId="0" borderId="0" xfId="15" applyNumberFormat="1" applyFont="1" applyAlignment="1">
      <alignment horizontal="center" vertical="center"/>
    </xf>
    <xf numFmtId="0" fontId="0" fillId="0" borderId="0" xfId="0" applyAlignment="1">
      <alignment horizontal="left" vertical="top" wrapText="1"/>
    </xf>
    <xf numFmtId="0" fontId="39"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horizontal="left"/>
    </xf>
    <xf numFmtId="0" fontId="19" fillId="0" borderId="0" xfId="0" applyFont="1" applyAlignment="1">
      <alignment horizontal="left" vertical="center"/>
    </xf>
    <xf numFmtId="0" fontId="25" fillId="0" borderId="0" xfId="0" applyFont="1" applyAlignment="1">
      <alignment horizontal="left" vertical="center"/>
    </xf>
    <xf numFmtId="167" fontId="19" fillId="0" borderId="0" xfId="0" applyNumberFormat="1" applyFont="1" applyAlignment="1">
      <alignment horizontal="left" vertical="center"/>
    </xf>
    <xf numFmtId="0" fontId="16" fillId="0" borderId="0" xfId="0" applyFont="1" applyAlignment="1">
      <alignment horizontal="left" vertical="center"/>
    </xf>
    <xf numFmtId="0" fontId="16" fillId="0" borderId="0" xfId="0" applyFont="1" applyAlignment="1">
      <alignment vertical="center"/>
    </xf>
    <xf numFmtId="165" fontId="19" fillId="0" borderId="0" xfId="0" applyNumberFormat="1" applyFont="1" applyAlignment="1">
      <alignment horizontal="left" vertical="center"/>
    </xf>
    <xf numFmtId="0" fontId="16" fillId="0" borderId="11" xfId="0" applyFont="1" applyBorder="1" applyAlignment="1">
      <alignment vertical="center"/>
    </xf>
    <xf numFmtId="0" fontId="3" fillId="0" borderId="11" xfId="0" applyFont="1" applyBorder="1" applyAlignment="1">
      <alignment vertical="center"/>
    </xf>
    <xf numFmtId="0" fontId="36" fillId="0" borderId="0" xfId="0" applyFont="1" applyAlignment="1">
      <alignment horizontal="left" vertical="center"/>
    </xf>
    <xf numFmtId="0" fontId="67" fillId="0" borderId="0" xfId="0" applyFont="1" applyAlignment="1">
      <alignment horizontal="left" vertical="center"/>
    </xf>
    <xf numFmtId="0" fontId="64" fillId="0" borderId="0" xfId="0" applyFont="1" applyAlignment="1">
      <alignment horizontal="left" vertical="center"/>
    </xf>
    <xf numFmtId="2" fontId="3" fillId="0" borderId="0" xfId="0" applyNumberFormat="1" applyFont="1" applyAlignment="1">
      <alignment horizontal="left" indent="1"/>
    </xf>
    <xf numFmtId="0" fontId="29" fillId="0" borderId="0" xfId="0" applyFont="1" applyAlignment="1">
      <alignment vertical="top"/>
    </xf>
    <xf numFmtId="0" fontId="0" fillId="0" borderId="0" xfId="0" applyAlignment="1">
      <alignment horizontal="center" vertical="center" wrapText="1"/>
    </xf>
    <xf numFmtId="0" fontId="19" fillId="0" borderId="0" xfId="0" applyFont="1" applyAlignment="1">
      <alignment horizontal="center" vertical="center"/>
    </xf>
    <xf numFmtId="0" fontId="19" fillId="0" borderId="0" xfId="0" applyFont="1" applyAlignment="1">
      <alignment vertical="center"/>
    </xf>
    <xf numFmtId="0" fontId="22" fillId="0" borderId="0" xfId="5" applyFont="1" applyFill="1" applyAlignment="1">
      <alignment horizontal="left" vertical="center"/>
    </xf>
    <xf numFmtId="0" fontId="37" fillId="0" borderId="0" xfId="0" applyFont="1" applyAlignment="1">
      <alignment vertical="center"/>
    </xf>
    <xf numFmtId="9" fontId="0" fillId="0" borderId="0" xfId="1" applyFont="1" applyAlignment="1">
      <alignment horizontal="left" vertical="center"/>
    </xf>
    <xf numFmtId="0" fontId="62" fillId="0" borderId="0" xfId="0" applyFont="1" applyAlignment="1">
      <alignment vertical="top"/>
    </xf>
    <xf numFmtId="0" fontId="58" fillId="0" borderId="0" xfId="0" applyFont="1" applyAlignment="1">
      <alignment vertical="top"/>
    </xf>
    <xf numFmtId="0" fontId="0" fillId="11" borderId="0" xfId="0" applyFill="1"/>
    <xf numFmtId="0" fontId="0" fillId="11" borderId="0" xfId="0" applyFill="1" applyAlignment="1">
      <alignment vertical="top"/>
    </xf>
    <xf numFmtId="0" fontId="3" fillId="11" borderId="0" xfId="0" applyFont="1" applyFill="1" applyAlignment="1">
      <alignment horizontal="right" vertical="top"/>
    </xf>
    <xf numFmtId="0" fontId="0" fillId="11" borderId="0" xfId="0" applyFill="1" applyAlignment="1">
      <alignment horizontal="center" vertical="top"/>
    </xf>
    <xf numFmtId="0" fontId="0" fillId="11" borderId="0" xfId="0" applyFill="1" applyAlignment="1">
      <alignment horizontal="left" vertical="top" wrapText="1"/>
    </xf>
    <xf numFmtId="0" fontId="0" fillId="11" borderId="0" xfId="0" applyFill="1" applyAlignment="1">
      <alignment horizontal="right" vertical="top"/>
    </xf>
    <xf numFmtId="0" fontId="0" fillId="0" borderId="0" xfId="0" quotePrefix="1" applyAlignment="1">
      <alignment horizontal="left" vertical="center"/>
    </xf>
    <xf numFmtId="0" fontId="3" fillId="11" borderId="0" xfId="0" applyFont="1" applyFill="1" applyAlignment="1">
      <alignment horizontal="right"/>
    </xf>
    <xf numFmtId="0" fontId="3" fillId="11" borderId="0" xfId="0" applyFont="1" applyFill="1"/>
    <xf numFmtId="0" fontId="2" fillId="0" borderId="0" xfId="0" applyFont="1" applyAlignment="1">
      <alignment horizontal="center" vertical="center"/>
    </xf>
    <xf numFmtId="0" fontId="0" fillId="0" borderId="0" xfId="0" applyAlignment="1">
      <alignment horizontal="right"/>
    </xf>
    <xf numFmtId="0" fontId="43" fillId="0" borderId="0" xfId="0" applyFont="1" applyAlignment="1">
      <alignment horizontal="left"/>
    </xf>
    <xf numFmtId="0" fontId="43" fillId="0" borderId="0" xfId="0" applyFont="1" applyAlignment="1">
      <alignment horizontal="center"/>
    </xf>
    <xf numFmtId="0" fontId="22" fillId="0" borderId="0" xfId="0" applyFont="1" applyAlignment="1">
      <alignment horizontal="left"/>
    </xf>
    <xf numFmtId="0" fontId="22" fillId="0" borderId="0" xfId="0" applyFont="1" applyAlignment="1">
      <alignment horizontal="center"/>
    </xf>
    <xf numFmtId="0" fontId="49" fillId="0" borderId="0" xfId="4" applyFont="1" applyAlignment="1">
      <alignment horizontal="left" indent="2"/>
    </xf>
    <xf numFmtId="0" fontId="15" fillId="0" borderId="0" xfId="4" applyAlignment="1">
      <alignment horizontal="left" indent="4"/>
    </xf>
    <xf numFmtId="0" fontId="70" fillId="0" borderId="0" xfId="4" applyFont="1"/>
    <xf numFmtId="0" fontId="70" fillId="0" borderId="0" xfId="4" applyFont="1" applyAlignment="1">
      <alignment horizontal="left"/>
    </xf>
    <xf numFmtId="0" fontId="29" fillId="0" borderId="0" xfId="0" applyFont="1" applyAlignment="1">
      <alignment vertical="center" wrapText="1"/>
    </xf>
    <xf numFmtId="0" fontId="64" fillId="0" borderId="0" xfId="0" applyFont="1" applyAlignment="1">
      <alignment vertical="top"/>
    </xf>
    <xf numFmtId="0" fontId="0" fillId="11" borderId="0" xfId="0" applyFill="1" applyAlignment="1">
      <alignment horizontal="left"/>
    </xf>
    <xf numFmtId="0" fontId="64" fillId="0" borderId="0" xfId="0" applyFont="1" applyAlignment="1">
      <alignment vertical="center"/>
    </xf>
    <xf numFmtId="0" fontId="3" fillId="11" borderId="0" xfId="0" applyFont="1" applyFill="1" applyAlignment="1">
      <alignment horizontal="right" vertical="center"/>
    </xf>
    <xf numFmtId="0" fontId="26" fillId="11" borderId="0" xfId="0" applyFont="1" applyFill="1"/>
    <xf numFmtId="2" fontId="0" fillId="0" borderId="0" xfId="0" applyNumberFormat="1"/>
    <xf numFmtId="0" fontId="0" fillId="0" borderId="0" xfId="0" applyAlignment="1">
      <alignment horizontal="right" vertical="top"/>
    </xf>
    <xf numFmtId="0" fontId="0" fillId="0" borderId="0" xfId="0" applyAlignment="1">
      <alignment horizontal="right" vertical="top" wrapText="1"/>
    </xf>
    <xf numFmtId="0" fontId="0" fillId="0" borderId="0" xfId="0" quotePrefix="1" applyAlignment="1">
      <alignment vertical="top" wrapText="1"/>
    </xf>
    <xf numFmtId="0" fontId="0" fillId="0" borderId="0" xfId="0" quotePrefix="1" applyAlignment="1">
      <alignment horizontal="right" vertical="top"/>
    </xf>
    <xf numFmtId="0" fontId="73" fillId="0" borderId="0" xfId="0" applyFont="1" applyAlignment="1">
      <alignment vertical="center" wrapText="1"/>
    </xf>
    <xf numFmtId="0" fontId="31" fillId="0" borderId="0" xfId="0" applyFont="1" applyAlignment="1">
      <alignment vertical="center"/>
    </xf>
    <xf numFmtId="0" fontId="22" fillId="0" borderId="0" xfId="0" quotePrefix="1" applyFont="1" applyAlignment="1">
      <alignment horizontal="left" vertical="center"/>
    </xf>
    <xf numFmtId="0" fontId="76" fillId="0" borderId="0" xfId="10" applyFont="1"/>
    <xf numFmtId="0" fontId="23" fillId="0" borderId="0" xfId="10"/>
    <xf numFmtId="0" fontId="77" fillId="0" borderId="0" xfId="10" applyFont="1"/>
    <xf numFmtId="0" fontId="78" fillId="0" borderId="0" xfId="10" applyFont="1"/>
    <xf numFmtId="0" fontId="79" fillId="0" borderId="0" xfId="10" applyFont="1"/>
    <xf numFmtId="0" fontId="80" fillId="0" borderId="0" xfId="10" applyFont="1"/>
    <xf numFmtId="0" fontId="81" fillId="0" borderId="0" xfId="10" applyFont="1"/>
    <xf numFmtId="0" fontId="82" fillId="0" borderId="1" xfId="10" applyFont="1" applyBorder="1" applyAlignment="1">
      <alignment horizontal="center"/>
    </xf>
    <xf numFmtId="0" fontId="83" fillId="0" borderId="0" xfId="10" applyFont="1"/>
    <xf numFmtId="0" fontId="79" fillId="0" borderId="1" xfId="10" applyFont="1" applyBorder="1" applyAlignment="1">
      <alignment horizontal="center"/>
    </xf>
    <xf numFmtId="1" fontId="79" fillId="0" borderId="1" xfId="10" applyNumberFormat="1" applyFont="1" applyBorder="1" applyAlignment="1">
      <alignment horizontal="center"/>
    </xf>
    <xf numFmtId="0" fontId="23" fillId="0" borderId="1" xfId="10" applyBorder="1" applyAlignment="1">
      <alignment horizontal="center"/>
    </xf>
    <xf numFmtId="164" fontId="79" fillId="0" borderId="1" xfId="10" applyNumberFormat="1" applyFont="1" applyBorder="1" applyAlignment="1">
      <alignment horizontal="center"/>
    </xf>
    <xf numFmtId="0" fontId="84" fillId="0" borderId="0" xfId="10" applyFont="1"/>
    <xf numFmtId="0" fontId="85" fillId="0" borderId="0" xfId="10" applyFont="1" applyAlignment="1">
      <alignment horizontal="left"/>
    </xf>
    <xf numFmtId="0" fontId="86" fillId="0" borderId="0" xfId="10" applyFont="1"/>
    <xf numFmtId="0" fontId="87" fillId="0" borderId="0" xfId="10" applyFont="1"/>
    <xf numFmtId="0" fontId="85" fillId="0" borderId="0" xfId="10" applyFont="1"/>
    <xf numFmtId="0" fontId="88" fillId="0" borderId="0" xfId="10" applyFont="1"/>
    <xf numFmtId="0" fontId="64" fillId="20" borderId="27" xfId="0" applyFont="1" applyFill="1" applyBorder="1" applyAlignment="1">
      <alignment vertical="top"/>
    </xf>
    <xf numFmtId="0" fontId="64" fillId="20" borderId="28" xfId="0" applyFont="1" applyFill="1" applyBorder="1" applyAlignment="1">
      <alignment vertical="top"/>
    </xf>
    <xf numFmtId="0" fontId="64" fillId="20" borderId="34" xfId="0" applyFont="1" applyFill="1" applyBorder="1" applyAlignment="1">
      <alignment vertical="center"/>
    </xf>
    <xf numFmtId="0" fontId="89" fillId="11" borderId="0" xfId="0" applyFont="1" applyFill="1"/>
    <xf numFmtId="0" fontId="27" fillId="0" borderId="0" xfId="0" applyFont="1" applyAlignment="1">
      <alignment horizontal="center" vertical="top" wrapText="1"/>
    </xf>
    <xf numFmtId="14" fontId="0" fillId="0" borderId="0" xfId="0" applyNumberFormat="1" applyAlignment="1">
      <alignment horizontal="left" vertical="center"/>
    </xf>
    <xf numFmtId="0" fontId="31" fillId="24" borderId="0" xfId="0" applyFont="1" applyFill="1" applyAlignment="1">
      <alignment horizontal="left" vertical="center" wrapText="1"/>
    </xf>
    <xf numFmtId="0" fontId="31" fillId="24" borderId="0" xfId="0" applyFont="1" applyFill="1" applyAlignment="1">
      <alignment horizontal="left" vertical="center"/>
    </xf>
    <xf numFmtId="0" fontId="64" fillId="20" borderId="34" xfId="0" applyFont="1" applyFill="1" applyBorder="1" applyAlignment="1">
      <alignment vertical="center" wrapText="1"/>
    </xf>
    <xf numFmtId="0" fontId="4" fillId="0" borderId="0" xfId="0" applyFont="1" applyAlignment="1">
      <alignment horizontal="left" vertical="center" wrapText="1"/>
    </xf>
    <xf numFmtId="0" fontId="31" fillId="24" borderId="0" xfId="0" applyFont="1" applyFill="1" applyAlignment="1">
      <alignment horizontal="center" vertical="center"/>
    </xf>
    <xf numFmtId="0" fontId="0" fillId="11" borderId="0" xfId="0" applyFill="1" applyAlignment="1">
      <alignment vertical="top" wrapText="1"/>
    </xf>
    <xf numFmtId="0" fontId="22" fillId="11" borderId="0" xfId="0" applyFont="1" applyFill="1" applyAlignment="1">
      <alignment vertical="top"/>
    </xf>
    <xf numFmtId="0" fontId="22" fillId="11" borderId="0" xfId="0" applyFont="1" applyFill="1" applyAlignment="1">
      <alignment vertical="top" wrapText="1"/>
    </xf>
    <xf numFmtId="0" fontId="22" fillId="11" borderId="0" xfId="0" applyFont="1" applyFill="1" applyAlignment="1">
      <alignment horizontal="left" vertical="top" wrapText="1"/>
    </xf>
    <xf numFmtId="0" fontId="22" fillId="11" borderId="0" xfId="0" applyFont="1" applyFill="1" applyAlignment="1">
      <alignment horizontal="right" vertical="top" wrapText="1"/>
    </xf>
    <xf numFmtId="0" fontId="92" fillId="0" borderId="0" xfId="0" applyFont="1" applyAlignment="1">
      <alignment vertical="center"/>
    </xf>
    <xf numFmtId="0" fontId="92" fillId="0" borderId="0" xfId="0" applyFont="1" applyAlignment="1">
      <alignment horizontal="left" vertical="center" wrapText="1"/>
    </xf>
    <xf numFmtId="0" fontId="15" fillId="0" borderId="0" xfId="4" applyAlignment="1">
      <alignment horizontal="center" vertical="top"/>
    </xf>
    <xf numFmtId="0" fontId="104" fillId="0" borderId="0" xfId="4" applyFont="1" applyAlignment="1">
      <alignment horizontal="center" vertical="top"/>
    </xf>
    <xf numFmtId="0" fontId="104" fillId="0" borderId="0" xfId="4" applyFont="1" applyAlignment="1">
      <alignment horizontal="left" vertical="top"/>
    </xf>
    <xf numFmtId="0" fontId="92" fillId="0" borderId="0" xfId="0" applyFont="1" applyAlignment="1">
      <alignment horizontal="center" vertical="center"/>
    </xf>
    <xf numFmtId="0" fontId="92" fillId="0" borderId="0" xfId="0" applyFont="1" applyAlignment="1">
      <alignment horizontal="left" vertical="center"/>
    </xf>
    <xf numFmtId="0" fontId="5" fillId="0" borderId="0" xfId="0" applyFont="1" applyAlignment="1">
      <alignment horizontal="left" vertical="center"/>
    </xf>
    <xf numFmtId="0" fontId="5" fillId="0" borderId="0" xfId="0" applyFont="1"/>
    <xf numFmtId="0" fontId="108" fillId="0" borderId="0" xfId="0" applyFont="1" applyAlignment="1">
      <alignment horizontal="left" vertical="top"/>
    </xf>
    <xf numFmtId="0" fontId="110" fillId="0" borderId="0" xfId="0" applyFont="1" applyAlignment="1">
      <alignment horizontal="center" vertical="center" wrapText="1"/>
    </xf>
    <xf numFmtId="0" fontId="58" fillId="0" borderId="0" xfId="0" applyFont="1"/>
    <xf numFmtId="0" fontId="108" fillId="0" borderId="0" xfId="0" applyFont="1" applyAlignment="1">
      <alignment vertical="center" wrapText="1"/>
    </xf>
    <xf numFmtId="0" fontId="18" fillId="0" borderId="0" xfId="0" applyFont="1" applyAlignment="1">
      <alignment horizontal="center"/>
    </xf>
    <xf numFmtId="0" fontId="18" fillId="0" borderId="0" xfId="0" applyFont="1"/>
    <xf numFmtId="0" fontId="115" fillId="0" borderId="0" xfId="0" applyFont="1" applyAlignment="1">
      <alignment horizontal="left" vertical="center"/>
    </xf>
    <xf numFmtId="0" fontId="114" fillId="0" borderId="0" xfId="0" applyFont="1" applyAlignment="1">
      <alignment horizontal="left" vertical="center"/>
    </xf>
    <xf numFmtId="0" fontId="118" fillId="0" borderId="0" xfId="5" applyFont="1" applyFill="1" applyAlignment="1">
      <alignment horizontal="left" vertical="center"/>
    </xf>
    <xf numFmtId="0" fontId="119" fillId="0" borderId="0" xfId="5" applyFont="1" applyFill="1" applyAlignment="1">
      <alignment horizontal="left" vertical="center"/>
    </xf>
    <xf numFmtId="0" fontId="29" fillId="0" borderId="14" xfId="0" applyFont="1" applyBorder="1" applyAlignment="1">
      <alignment vertical="top"/>
    </xf>
    <xf numFmtId="0" fontId="58" fillId="0" borderId="14" xfId="0" applyFont="1" applyBorder="1" applyAlignment="1">
      <alignment vertical="center"/>
    </xf>
    <xf numFmtId="0" fontId="58" fillId="0" borderId="0" xfId="0" applyFont="1" applyAlignment="1">
      <alignment vertical="center"/>
    </xf>
    <xf numFmtId="0" fontId="0" fillId="0" borderId="16" xfId="0" applyBorder="1" applyAlignment="1">
      <alignment horizontal="left" vertical="center"/>
    </xf>
    <xf numFmtId="0" fontId="129" fillId="0" borderId="0" xfId="0" applyFont="1" applyAlignment="1">
      <alignment horizontal="center" vertical="center" wrapText="1"/>
    </xf>
    <xf numFmtId="0" fontId="62" fillId="0" borderId="14" xfId="0" applyFont="1" applyBorder="1" applyAlignment="1">
      <alignment vertical="top"/>
    </xf>
    <xf numFmtId="0" fontId="115" fillId="0" borderId="0" xfId="0" applyFont="1" applyAlignment="1">
      <alignment vertical="center" wrapText="1"/>
    </xf>
    <xf numFmtId="0" fontId="115" fillId="0" borderId="0" xfId="0" applyFont="1" applyAlignment="1">
      <alignment horizontal="left" vertical="center" wrapText="1"/>
    </xf>
    <xf numFmtId="2" fontId="2" fillId="0" borderId="0" xfId="0" applyNumberFormat="1" applyFont="1" applyAlignment="1">
      <alignment horizontal="center" vertical="center"/>
    </xf>
    <xf numFmtId="0" fontId="114" fillId="0" borderId="0" xfId="0" applyFont="1" applyAlignment="1">
      <alignment vertical="center"/>
    </xf>
    <xf numFmtId="0" fontId="132" fillId="0" borderId="0" xfId="0" applyFont="1" applyAlignment="1">
      <alignment horizontal="left" vertical="center"/>
    </xf>
    <xf numFmtId="165" fontId="0" fillId="0" borderId="0" xfId="0" applyNumberFormat="1" applyAlignment="1">
      <alignment horizontal="left" vertical="center"/>
    </xf>
    <xf numFmtId="4" fontId="20" fillId="0" borderId="0" xfId="0" applyNumberFormat="1" applyFont="1" applyAlignment="1">
      <alignment vertical="center"/>
    </xf>
    <xf numFmtId="0" fontId="20" fillId="0" borderId="14" xfId="0" applyFont="1" applyBorder="1" applyAlignment="1">
      <alignment vertical="center"/>
    </xf>
    <xf numFmtId="2" fontId="20" fillId="0" borderId="14" xfId="0" applyNumberFormat="1" applyFont="1" applyBorder="1" applyAlignment="1">
      <alignment vertical="center"/>
    </xf>
    <xf numFmtId="165" fontId="20" fillId="0" borderId="14" xfId="0" applyNumberFormat="1" applyFont="1" applyBorder="1" applyAlignment="1">
      <alignment vertical="center"/>
    </xf>
    <xf numFmtId="4" fontId="20" fillId="0" borderId="14" xfId="0" applyNumberFormat="1" applyFont="1" applyBorder="1" applyAlignment="1">
      <alignment vertical="center"/>
    </xf>
    <xf numFmtId="0" fontId="58" fillId="0" borderId="0" xfId="0" applyFont="1" applyAlignment="1">
      <alignment vertical="top" wrapText="1"/>
    </xf>
    <xf numFmtId="0" fontId="29" fillId="0" borderId="0" xfId="0" applyFont="1" applyAlignment="1">
      <alignment vertical="top" wrapText="1"/>
    </xf>
    <xf numFmtId="0" fontId="91" fillId="0" borderId="16" xfId="0" applyFont="1" applyBorder="1" applyAlignment="1">
      <alignment vertical="center" wrapText="1"/>
    </xf>
    <xf numFmtId="0" fontId="91" fillId="0" borderId="0" xfId="0" applyFont="1" applyAlignment="1">
      <alignment vertical="center" wrapText="1"/>
    </xf>
    <xf numFmtId="0" fontId="92" fillId="0" borderId="16" xfId="0" applyFont="1" applyBorder="1" applyAlignment="1">
      <alignment vertical="center" wrapText="1"/>
    </xf>
    <xf numFmtId="0" fontId="92" fillId="0" borderId="0" xfId="0" applyFont="1" applyAlignment="1">
      <alignment vertical="center" wrapText="1"/>
    </xf>
    <xf numFmtId="0" fontId="4" fillId="0" borderId="0" xfId="0" applyFont="1" applyAlignment="1">
      <alignment horizontal="right" vertical="center"/>
    </xf>
    <xf numFmtId="0" fontId="49" fillId="0" borderId="0" xfId="0" applyFont="1" applyAlignment="1">
      <alignment vertical="center"/>
    </xf>
    <xf numFmtId="0" fontId="3" fillId="0" borderId="0" xfId="0" applyFont="1" applyAlignment="1">
      <alignment horizontal="right" vertical="center"/>
    </xf>
    <xf numFmtId="0" fontId="58" fillId="0" borderId="0" xfId="0" applyFont="1" applyAlignment="1">
      <alignment horizontal="left"/>
    </xf>
    <xf numFmtId="0" fontId="22" fillId="0" borderId="3" xfId="0" applyFont="1" applyBorder="1" applyAlignment="1">
      <alignment horizontal="left" vertical="center"/>
    </xf>
    <xf numFmtId="0" fontId="31" fillId="0" borderId="4" xfId="0" applyFont="1" applyBorder="1" applyAlignment="1">
      <alignment horizontal="left" vertical="center"/>
    </xf>
    <xf numFmtId="0" fontId="22" fillId="0" borderId="0" xfId="0" quotePrefix="1" applyFont="1" applyAlignment="1">
      <alignment vertical="center"/>
    </xf>
    <xf numFmtId="0" fontId="31" fillId="11" borderId="0" xfId="0" applyFont="1" applyFill="1"/>
    <xf numFmtId="0" fontId="51" fillId="11" borderId="0" xfId="0" applyFont="1" applyFill="1"/>
    <xf numFmtId="0" fontId="139" fillId="11" borderId="0" xfId="0" applyFont="1" applyFill="1" applyAlignment="1">
      <alignment horizontal="left"/>
    </xf>
    <xf numFmtId="0" fontId="31" fillId="0" borderId="0" xfId="0" applyFont="1"/>
    <xf numFmtId="0" fontId="22" fillId="11" borderId="0" xfId="0" applyFont="1" applyFill="1"/>
    <xf numFmtId="0" fontId="50" fillId="11" borderId="0" xfId="0" applyFont="1" applyFill="1" applyAlignment="1">
      <alignment horizontal="center"/>
    </xf>
    <xf numFmtId="0" fontId="50" fillId="11" borderId="0" xfId="0" applyFont="1" applyFill="1"/>
    <xf numFmtId="0" fontId="51" fillId="11" borderId="0" xfId="0" applyFont="1" applyFill="1" applyAlignment="1">
      <alignment horizontal="right"/>
    </xf>
    <xf numFmtId="0" fontId="51" fillId="11" borderId="0" xfId="0" applyFont="1" applyFill="1" applyAlignment="1">
      <alignment horizontal="center" vertical="center" wrapText="1"/>
    </xf>
    <xf numFmtId="0" fontId="51" fillId="11" borderId="0" xfId="0" applyFont="1" applyFill="1" applyAlignment="1">
      <alignment horizontal="right" vertical="center"/>
    </xf>
    <xf numFmtId="0" fontId="51" fillId="0" borderId="1" xfId="0" applyFont="1" applyBorder="1" applyAlignment="1">
      <alignment horizontal="center" vertical="center" wrapText="1"/>
    </xf>
    <xf numFmtId="2" fontId="50" fillId="11" borderId="0" xfId="0" applyNumberFormat="1" applyFont="1" applyFill="1" applyAlignment="1">
      <alignment horizontal="center" vertical="center"/>
    </xf>
    <xf numFmtId="3" fontId="50" fillId="11" borderId="0" xfId="0" applyNumberFormat="1" applyFont="1" applyFill="1" applyAlignment="1">
      <alignment horizontal="center" vertical="center"/>
    </xf>
    <xf numFmtId="0" fontId="51" fillId="11" borderId="1" xfId="0" applyFont="1" applyFill="1" applyBorder="1"/>
    <xf numFmtId="0" fontId="50" fillId="11" borderId="1" xfId="0" applyFont="1" applyFill="1" applyBorder="1"/>
    <xf numFmtId="165" fontId="22" fillId="11" borderId="0" xfId="0" applyNumberFormat="1" applyFont="1" applyFill="1"/>
    <xf numFmtId="0" fontId="50" fillId="11" borderId="0" xfId="0" applyFont="1" applyFill="1" applyAlignment="1">
      <alignment horizontal="center" vertical="center" wrapText="1"/>
    </xf>
    <xf numFmtId="4" fontId="50" fillId="11" borderId="0" xfId="0" applyNumberFormat="1" applyFont="1" applyFill="1" applyAlignment="1">
      <alignment horizontal="center" vertical="center"/>
    </xf>
    <xf numFmtId="44" fontId="50" fillId="11" borderId="0" xfId="3" applyFont="1" applyFill="1"/>
    <xf numFmtId="184" fontId="50" fillId="24" borderId="1" xfId="0" applyNumberFormat="1" applyFont="1" applyFill="1" applyBorder="1" applyAlignment="1">
      <alignment horizontal="center"/>
    </xf>
    <xf numFmtId="184" fontId="50" fillId="0" borderId="1" xfId="0" applyNumberFormat="1" applyFont="1" applyBorder="1" applyAlignment="1">
      <alignment horizontal="center"/>
    </xf>
    <xf numFmtId="182" fontId="50" fillId="11" borderId="0" xfId="3" applyNumberFormat="1" applyFont="1" applyFill="1" applyAlignment="1">
      <alignment horizontal="center"/>
    </xf>
    <xf numFmtId="0" fontId="51" fillId="11" borderId="0" xfId="0" applyFont="1" applyFill="1" applyAlignment="1">
      <alignment horizontal="center"/>
    </xf>
    <xf numFmtId="0" fontId="50" fillId="0" borderId="0" xfId="0" applyFont="1"/>
    <xf numFmtId="0" fontId="51" fillId="0" borderId="1" xfId="0" applyFont="1" applyBorder="1" applyAlignment="1">
      <alignment horizontal="center" vertical="center"/>
    </xf>
    <xf numFmtId="0" fontId="50" fillId="0" borderId="1" xfId="0" applyFont="1" applyBorder="1"/>
    <xf numFmtId="0" fontId="51" fillId="0" borderId="0" xfId="0" applyFont="1" applyAlignment="1">
      <alignment horizontal="center" vertical="center" wrapText="1"/>
    </xf>
    <xf numFmtId="0" fontId="50" fillId="0" borderId="1" xfId="0" applyFont="1" applyBorder="1" applyAlignment="1">
      <alignment horizontal="center" vertical="center"/>
    </xf>
    <xf numFmtId="165" fontId="50" fillId="0" borderId="1" xfId="0" applyNumberFormat="1" applyFont="1" applyBorder="1" applyAlignment="1">
      <alignment horizontal="center" vertical="center" wrapText="1"/>
    </xf>
    <xf numFmtId="0" fontId="50" fillId="11" borderId="0" xfId="0" applyFont="1" applyFill="1" applyAlignment="1">
      <alignment wrapText="1"/>
    </xf>
    <xf numFmtId="0" fontId="50" fillId="0" borderId="0" xfId="0" applyFont="1" applyAlignment="1">
      <alignment horizontal="center" vertical="center" wrapText="1"/>
    </xf>
    <xf numFmtId="0" fontId="50" fillId="0" borderId="0" xfId="0" applyFont="1" applyAlignment="1">
      <alignment horizontal="center" vertical="center"/>
    </xf>
    <xf numFmtId="165" fontId="50" fillId="0" borderId="0" xfId="0" applyNumberFormat="1" applyFont="1" applyAlignment="1">
      <alignment horizontal="center" wrapText="1"/>
    </xf>
    <xf numFmtId="164" fontId="50" fillId="0" borderId="1" xfId="0" applyNumberFormat="1" applyFont="1" applyBorder="1" applyAlignment="1">
      <alignment horizontal="center" vertical="center" wrapText="1"/>
    </xf>
    <xf numFmtId="0" fontId="50" fillId="11" borderId="0" xfId="0" applyFont="1" applyFill="1" applyAlignment="1">
      <alignment vertical="center" wrapText="1"/>
    </xf>
    <xf numFmtId="165" fontId="50" fillId="0" borderId="1" xfId="0" applyNumberFormat="1" applyFont="1" applyBorder="1" applyAlignment="1">
      <alignment horizontal="center" wrapText="1"/>
    </xf>
    <xf numFmtId="165" fontId="50" fillId="0" borderId="1" xfId="0" applyNumberFormat="1" applyFont="1" applyBorder="1" applyAlignment="1">
      <alignment horizontal="center"/>
    </xf>
    <xf numFmtId="0" fontId="50" fillId="0" borderId="1" xfId="0" applyFont="1" applyBorder="1" applyAlignment="1">
      <alignment horizontal="center" vertical="center" wrapText="1"/>
    </xf>
    <xf numFmtId="0" fontId="50" fillId="0" borderId="1" xfId="0" applyFont="1" applyBorder="1" applyAlignment="1">
      <alignment horizontal="center" wrapText="1"/>
    </xf>
    <xf numFmtId="0" fontId="141" fillId="0" borderId="0" xfId="0" applyFont="1"/>
    <xf numFmtId="0" fontId="22" fillId="0" borderId="0" xfId="0" applyFont="1" applyAlignment="1">
      <alignment horizontal="left" vertical="center" wrapText="1"/>
    </xf>
    <xf numFmtId="9" fontId="22" fillId="0" borderId="0" xfId="15" applyNumberFormat="1" applyFont="1" applyAlignment="1">
      <alignment horizontal="center" vertical="center" wrapText="1"/>
    </xf>
    <xf numFmtId="0" fontId="3" fillId="0" borderId="0" xfId="0" applyFont="1" applyAlignment="1">
      <alignment vertical="top"/>
    </xf>
    <xf numFmtId="0" fontId="58" fillId="0" borderId="0" xfId="0" applyFont="1" applyAlignment="1">
      <alignment horizontal="left" vertical="top" wrapText="1"/>
    </xf>
    <xf numFmtId="0" fontId="19" fillId="0" borderId="0" xfId="0" applyFont="1" applyAlignment="1">
      <alignment horizontal="right" vertical="center"/>
    </xf>
    <xf numFmtId="0" fontId="61" fillId="0" borderId="0" xfId="0" applyFont="1" applyAlignment="1">
      <alignment horizontal="left" vertical="center"/>
    </xf>
    <xf numFmtId="0" fontId="147" fillId="0" borderId="0" xfId="0" applyFont="1"/>
    <xf numFmtId="3" fontId="18" fillId="0" borderId="0" xfId="0" applyNumberFormat="1" applyFont="1" applyAlignment="1">
      <alignment horizontal="center"/>
    </xf>
    <xf numFmtId="164" fontId="0" fillId="0" borderId="0" xfId="0" applyNumberFormat="1" applyAlignment="1">
      <alignment horizontal="center"/>
    </xf>
    <xf numFmtId="0" fontId="0" fillId="0" borderId="0" xfId="0" quotePrefix="1" applyAlignment="1">
      <alignment horizontal="center"/>
    </xf>
    <xf numFmtId="0" fontId="141" fillId="0" borderId="0" xfId="0" applyFont="1" applyAlignment="1">
      <alignment vertical="top"/>
    </xf>
    <xf numFmtId="0" fontId="0" fillId="0" borderId="0" xfId="0" quotePrefix="1" applyAlignment="1">
      <alignment horizontal="righ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13" fillId="0" borderId="0" xfId="0" applyFont="1" applyAlignment="1">
      <alignment horizontal="right" vertical="top"/>
    </xf>
    <xf numFmtId="0" fontId="152" fillId="0" borderId="0" xfId="0" applyFont="1" applyAlignment="1">
      <alignment vertical="top" wrapText="1"/>
    </xf>
    <xf numFmtId="0" fontId="31" fillId="0" borderId="0" xfId="0" applyFont="1" applyAlignment="1">
      <alignment vertical="center" wrapText="1"/>
    </xf>
    <xf numFmtId="3" fontId="22" fillId="0" borderId="0" xfId="0" applyNumberFormat="1" applyFont="1" applyAlignment="1">
      <alignment vertical="center" wrapText="1"/>
    </xf>
    <xf numFmtId="4" fontId="22" fillId="0" borderId="0" xfId="0" applyNumberFormat="1" applyFont="1" applyAlignment="1">
      <alignment vertical="center" wrapText="1"/>
    </xf>
    <xf numFmtId="3" fontId="0" fillId="0" borderId="0" xfId="0" applyNumberFormat="1"/>
    <xf numFmtId="4" fontId="0" fillId="0" borderId="0" xfId="0" applyNumberFormat="1"/>
    <xf numFmtId="0" fontId="3" fillId="0" borderId="0" xfId="0" applyFont="1" applyAlignment="1">
      <alignment wrapText="1"/>
    </xf>
    <xf numFmtId="3" fontId="126" fillId="0" borderId="0" xfId="0" applyNumberFormat="1" applyFont="1" applyAlignment="1">
      <alignment vertical="center"/>
    </xf>
    <xf numFmtId="0" fontId="125" fillId="0" borderId="0" xfId="0" applyFont="1" applyAlignment="1">
      <alignment vertical="center" wrapText="1"/>
    </xf>
    <xf numFmtId="0" fontId="126" fillId="0" borderId="0" xfId="0" applyFont="1" applyAlignment="1">
      <alignment vertical="center"/>
    </xf>
    <xf numFmtId="0" fontId="126" fillId="0" borderId="0" xfId="0" applyFont="1" applyAlignment="1">
      <alignment vertical="center" wrapText="1"/>
    </xf>
    <xf numFmtId="0" fontId="119" fillId="0" borderId="0" xfId="0" applyFont="1" applyAlignment="1">
      <alignment vertical="center"/>
    </xf>
    <xf numFmtId="0" fontId="119" fillId="0" borderId="0" xfId="0" applyFont="1" applyAlignment="1">
      <alignment vertical="center" wrapText="1"/>
    </xf>
    <xf numFmtId="0" fontId="114" fillId="0" borderId="0" xfId="0" applyFont="1" applyAlignment="1">
      <alignment vertical="center" wrapText="1"/>
    </xf>
    <xf numFmtId="0" fontId="120" fillId="0" borderId="0" xfId="0" applyFont="1" applyAlignment="1">
      <alignment vertical="center" wrapText="1"/>
    </xf>
    <xf numFmtId="2" fontId="115" fillId="0" borderId="0" xfId="0" applyNumberFormat="1" applyFont="1" applyAlignment="1">
      <alignment vertical="center"/>
    </xf>
    <xf numFmtId="3" fontId="22" fillId="0" borderId="0" xfId="0" applyNumberFormat="1" applyFont="1" applyAlignment="1">
      <alignment horizontal="center" vertical="center" wrapText="1"/>
    </xf>
    <xf numFmtId="4" fontId="22" fillId="0" borderId="0" xfId="0" applyNumberFormat="1" applyFont="1" applyAlignment="1">
      <alignment horizontal="center" vertical="center" wrapText="1"/>
    </xf>
    <xf numFmtId="2" fontId="114" fillId="0" borderId="0" xfId="0" applyNumberFormat="1" applyFont="1" applyAlignment="1">
      <alignment vertical="center"/>
    </xf>
    <xf numFmtId="0" fontId="120" fillId="0" borderId="0" xfId="0" applyFont="1" applyAlignment="1">
      <alignment horizontal="left" vertical="center" wrapText="1"/>
    </xf>
    <xf numFmtId="2" fontId="115" fillId="0" borderId="0" xfId="0" applyNumberFormat="1" applyFont="1" applyAlignment="1">
      <alignment horizontal="center" vertical="center"/>
    </xf>
    <xf numFmtId="0" fontId="58" fillId="0" borderId="0" xfId="0" applyFont="1" applyAlignment="1">
      <alignment vertical="center" wrapText="1"/>
    </xf>
    <xf numFmtId="0" fontId="58" fillId="0" borderId="0" xfId="0" applyFont="1" applyAlignment="1">
      <alignment horizontal="left" vertical="top"/>
    </xf>
    <xf numFmtId="0" fontId="91" fillId="0" borderId="13" xfId="0" applyFont="1" applyBorder="1" applyAlignment="1">
      <alignment vertical="center"/>
    </xf>
    <xf numFmtId="0" fontId="91" fillId="0" borderId="14" xfId="0" applyFont="1" applyBorder="1" applyAlignment="1">
      <alignment vertical="center"/>
    </xf>
    <xf numFmtId="0" fontId="91" fillId="0" borderId="15" xfId="0" applyFont="1" applyBorder="1" applyAlignment="1">
      <alignment vertical="center"/>
    </xf>
    <xf numFmtId="0" fontId="100" fillId="0" borderId="0" xfId="0" applyFont="1" applyAlignment="1">
      <alignment vertical="center" wrapText="1"/>
    </xf>
    <xf numFmtId="0" fontId="153" fillId="0" borderId="0" xfId="0" applyFont="1"/>
    <xf numFmtId="0" fontId="12" fillId="0" borderId="0" xfId="0" applyFont="1" applyAlignment="1">
      <alignment vertical="center" wrapText="1"/>
    </xf>
    <xf numFmtId="168" fontId="2" fillId="0" borderId="0" xfId="0" applyNumberFormat="1" applyFont="1" applyAlignment="1">
      <alignment vertical="center"/>
    </xf>
    <xf numFmtId="0" fontId="147" fillId="0" borderId="0" xfId="0" applyFont="1" applyAlignment="1">
      <alignment horizontal="left" vertical="top" wrapText="1"/>
    </xf>
    <xf numFmtId="0" fontId="62" fillId="0" borderId="0" xfId="0" applyFont="1" applyAlignment="1">
      <alignment horizontal="left" vertical="top"/>
    </xf>
    <xf numFmtId="0" fontId="0" fillId="0" borderId="0" xfId="0" quotePrefix="1" applyAlignment="1">
      <alignment horizontal="left" vertical="center" wrapText="1"/>
    </xf>
    <xf numFmtId="0" fontId="0" fillId="0" borderId="0" xfId="0" quotePrefix="1" applyAlignment="1">
      <alignment horizontal="center" vertical="center" wrapText="1"/>
    </xf>
    <xf numFmtId="0" fontId="107" fillId="0" borderId="0" xfId="0" applyFont="1" applyAlignment="1">
      <alignment horizontal="right" vertical="center"/>
    </xf>
    <xf numFmtId="0" fontId="5" fillId="0" borderId="0" xfId="0" applyFont="1" applyAlignment="1">
      <alignment horizontal="right" vertical="center"/>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6" fillId="0" borderId="0" xfId="0" applyFont="1" applyAlignment="1">
      <alignment vertical="center"/>
    </xf>
    <xf numFmtId="0" fontId="4" fillId="0" borderId="0" xfId="0" applyFont="1" applyAlignment="1">
      <alignment horizontal="right" vertical="top"/>
    </xf>
    <xf numFmtId="0" fontId="31" fillId="11" borderId="0" xfId="0" applyFont="1" applyFill="1" applyAlignment="1">
      <alignment horizontal="left" vertical="top"/>
    </xf>
    <xf numFmtId="0" fontId="52" fillId="0" borderId="0" xfId="0" applyFont="1" applyAlignment="1">
      <alignment horizontal="right" vertical="top"/>
    </xf>
    <xf numFmtId="0" fontId="158" fillId="0" borderId="0" xfId="4" applyFont="1" applyAlignment="1">
      <alignment horizontal="left" vertical="top"/>
    </xf>
    <xf numFmtId="0" fontId="49" fillId="0" borderId="0" xfId="0" applyFont="1" applyAlignment="1">
      <alignment horizontal="left" vertical="center"/>
    </xf>
    <xf numFmtId="0" fontId="22" fillId="0" borderId="0" xfId="0" quotePrefix="1" applyFont="1" applyAlignment="1">
      <alignment horizontal="left" vertical="center" wrapText="1"/>
    </xf>
    <xf numFmtId="0" fontId="159" fillId="0" borderId="0" xfId="0" applyFont="1"/>
    <xf numFmtId="0" fontId="22" fillId="0" borderId="16" xfId="0" applyFont="1" applyBorder="1" applyAlignment="1">
      <alignment horizontal="left" vertical="center"/>
    </xf>
    <xf numFmtId="0" fontId="28" fillId="0" borderId="0" xfId="0" applyFont="1"/>
    <xf numFmtId="0" fontId="22" fillId="0" borderId="18" xfId="0" applyFont="1" applyBorder="1" applyAlignment="1">
      <alignment horizontal="center" vertical="center" wrapText="1"/>
    </xf>
    <xf numFmtId="164" fontId="22" fillId="0" borderId="16" xfId="0" applyNumberFormat="1" applyFont="1" applyBorder="1" applyAlignment="1">
      <alignment horizontal="center" vertical="center" wrapText="1"/>
    </xf>
    <xf numFmtId="0" fontId="31" fillId="0" borderId="0" xfId="0" applyFont="1" applyAlignment="1">
      <alignment horizontal="center" vertical="center"/>
    </xf>
    <xf numFmtId="0" fontId="31" fillId="0" borderId="22" xfId="0" applyFont="1" applyBorder="1" applyAlignment="1">
      <alignment horizontal="center" vertical="center"/>
    </xf>
    <xf numFmtId="2" fontId="22" fillId="0" borderId="0" xfId="0" applyNumberFormat="1" applyFont="1"/>
    <xf numFmtId="0" fontId="162" fillId="0" borderId="0" xfId="4" applyFont="1" applyAlignment="1">
      <alignment horizontal="left" vertical="top"/>
    </xf>
    <xf numFmtId="0" fontId="31" fillId="0" borderId="0" xfId="0" applyFont="1" applyAlignment="1">
      <alignment horizontal="right"/>
    </xf>
    <xf numFmtId="0" fontId="55" fillId="0" borderId="0" xfId="0" applyFont="1"/>
    <xf numFmtId="0" fontId="65" fillId="0" borderId="0" xfId="0" applyFont="1" applyAlignment="1">
      <alignment horizontal="left" vertical="top"/>
    </xf>
    <xf numFmtId="0" fontId="15" fillId="0" borderId="0" xfId="4" applyAlignment="1">
      <alignment horizontal="left" vertical="top"/>
    </xf>
    <xf numFmtId="0" fontId="4" fillId="0" borderId="0" xfId="0" quotePrefix="1" applyFont="1" applyAlignment="1">
      <alignment horizontal="right" vertical="top"/>
    </xf>
    <xf numFmtId="0" fontId="22" fillId="0" borderId="0" xfId="0" quotePrefix="1" applyFont="1"/>
    <xf numFmtId="0" fontId="52" fillId="0" borderId="0" xfId="0" applyFont="1" applyAlignment="1">
      <alignment horizontal="center" vertical="top" wrapText="1"/>
    </xf>
    <xf numFmtId="0" fontId="165" fillId="0" borderId="0" xfId="0" applyFont="1" applyAlignment="1">
      <alignment horizontal="center"/>
    </xf>
    <xf numFmtId="0" fontId="15" fillId="0" borderId="0" xfId="4" applyAlignment="1">
      <alignment vertical="top"/>
    </xf>
    <xf numFmtId="0" fontId="92" fillId="0" borderId="0" xfId="0" quotePrefix="1" applyFont="1" applyAlignment="1">
      <alignment vertical="center" wrapText="1"/>
    </xf>
    <xf numFmtId="0" fontId="168" fillId="0" borderId="0" xfId="0" applyFont="1" applyAlignment="1">
      <alignment vertical="center"/>
    </xf>
    <xf numFmtId="3" fontId="0" fillId="0" borderId="0" xfId="0" applyNumberFormat="1" applyAlignment="1">
      <alignment horizontal="center"/>
    </xf>
    <xf numFmtId="49" fontId="29" fillId="0" borderId="0" xfId="0" applyNumberFormat="1" applyFont="1" applyAlignment="1">
      <alignment vertical="top"/>
    </xf>
    <xf numFmtId="0" fontId="64" fillId="0" borderId="0" xfId="19" applyFont="1" applyAlignment="1">
      <alignment horizontal="left" vertical="center"/>
    </xf>
    <xf numFmtId="0" fontId="1" fillId="0" borderId="0" xfId="19" applyAlignment="1">
      <alignment horizontal="left" vertical="center"/>
    </xf>
    <xf numFmtId="0" fontId="1" fillId="0" borderId="0" xfId="19" applyAlignment="1">
      <alignment vertical="center"/>
    </xf>
    <xf numFmtId="0" fontId="1" fillId="0" borderId="0" xfId="19" applyAlignment="1">
      <alignment vertical="center" wrapText="1"/>
    </xf>
    <xf numFmtId="0" fontId="3" fillId="0" borderId="0" xfId="19" applyFont="1" applyAlignment="1">
      <alignment horizontal="left"/>
    </xf>
    <xf numFmtId="0" fontId="1" fillId="0" borderId="0" xfId="19" applyAlignment="1">
      <alignment horizontal="left"/>
    </xf>
    <xf numFmtId="0" fontId="3" fillId="0" borderId="0" xfId="19" applyFont="1" applyAlignment="1">
      <alignment horizontal="left" indent="1"/>
    </xf>
    <xf numFmtId="0" fontId="5" fillId="0" borderId="0" xfId="19" applyFont="1" applyAlignment="1">
      <alignment vertical="center"/>
    </xf>
    <xf numFmtId="0" fontId="64" fillId="0" borderId="0" xfId="10" applyFont="1" applyAlignment="1">
      <alignment horizontal="left" vertical="center"/>
    </xf>
    <xf numFmtId="0" fontId="50" fillId="0" borderId="0" xfId="10" applyFont="1" applyAlignment="1">
      <alignment vertical="center"/>
    </xf>
    <xf numFmtId="0" fontId="5" fillId="0" borderId="0" xfId="10" applyFont="1" applyAlignment="1">
      <alignment vertical="center"/>
    </xf>
    <xf numFmtId="0" fontId="50" fillId="0" borderId="0" xfId="10" applyFont="1" applyAlignment="1">
      <alignment vertical="center" wrapText="1"/>
    </xf>
    <xf numFmtId="0" fontId="50" fillId="0" borderId="0" xfId="10" applyFont="1" applyAlignment="1">
      <alignment horizontal="center" vertical="center"/>
    </xf>
    <xf numFmtId="0" fontId="3" fillId="0" borderId="14" xfId="10" applyFont="1" applyBorder="1" applyAlignment="1">
      <alignment horizontal="left" vertical="center"/>
    </xf>
    <xf numFmtId="0" fontId="50" fillId="0" borderId="0" xfId="9" applyFont="1"/>
    <xf numFmtId="0" fontId="50" fillId="0" borderId="0" xfId="10" applyFont="1" applyAlignment="1">
      <alignment horizontal="center"/>
    </xf>
    <xf numFmtId="0" fontId="50" fillId="0" borderId="0" xfId="10" applyFont="1" applyAlignment="1">
      <alignment horizontal="left" vertical="center" indent="1"/>
    </xf>
    <xf numFmtId="0" fontId="141" fillId="0" borderId="0" xfId="10" applyFont="1" applyAlignment="1">
      <alignment horizontal="left" vertical="center" indent="1"/>
    </xf>
    <xf numFmtId="0" fontId="171" fillId="0" borderId="0" xfId="10" applyFont="1"/>
    <xf numFmtId="0" fontId="141" fillId="0" borderId="0" xfId="9" applyFont="1"/>
    <xf numFmtId="3" fontId="141" fillId="0" borderId="0" xfId="10" applyNumberFormat="1" applyFont="1" applyAlignment="1">
      <alignment horizontal="center" vertical="center"/>
    </xf>
    <xf numFmtId="0" fontId="141" fillId="0" borderId="0" xfId="10" applyFont="1" applyAlignment="1">
      <alignment vertical="center"/>
    </xf>
    <xf numFmtId="0" fontId="141" fillId="0" borderId="0" xfId="9" applyFont="1" applyAlignment="1">
      <alignment vertical="top"/>
    </xf>
    <xf numFmtId="0" fontId="141" fillId="0" borderId="0" xfId="9" applyFont="1" applyAlignment="1">
      <alignment horizontal="right" vertical="top"/>
    </xf>
    <xf numFmtId="0" fontId="141" fillId="0" borderId="0" xfId="9" applyFont="1" applyAlignment="1">
      <alignment horizontal="left" vertical="top"/>
    </xf>
    <xf numFmtId="0" fontId="100" fillId="0" borderId="0" xfId="10" applyFont="1" applyAlignment="1">
      <alignment vertical="center"/>
    </xf>
    <xf numFmtId="0" fontId="100" fillId="0" borderId="0" xfId="10" applyFont="1"/>
    <xf numFmtId="0" fontId="100" fillId="0" borderId="0" xfId="9" applyFont="1"/>
    <xf numFmtId="0" fontId="100" fillId="0" borderId="0" xfId="10" applyFont="1" applyAlignment="1">
      <alignment horizontal="center"/>
    </xf>
    <xf numFmtId="2" fontId="3" fillId="0" borderId="0" xfId="1" applyNumberFormat="1" applyFont="1" applyAlignment="1">
      <alignment vertical="center" wrapText="1"/>
    </xf>
    <xf numFmtId="164" fontId="3" fillId="0" borderId="0" xfId="1" applyNumberFormat="1" applyFont="1" applyAlignment="1">
      <alignment vertical="center"/>
    </xf>
    <xf numFmtId="1" fontId="3" fillId="0" borderId="0" xfId="1" applyNumberFormat="1" applyFont="1" applyAlignment="1">
      <alignment vertical="center"/>
    </xf>
    <xf numFmtId="10" fontId="3" fillId="0" borderId="0" xfId="0" applyNumberFormat="1" applyFont="1" applyAlignment="1">
      <alignment vertical="center"/>
    </xf>
    <xf numFmtId="164" fontId="3" fillId="0" borderId="0" xfId="0" applyNumberFormat="1" applyFont="1" applyAlignment="1">
      <alignment horizontal="right" vertical="center"/>
    </xf>
    <xf numFmtId="197" fontId="0" fillId="0" borderId="0" xfId="0" applyNumberFormat="1" applyAlignment="1">
      <alignment horizontal="center" vertical="center"/>
    </xf>
    <xf numFmtId="198" fontId="0" fillId="0" borderId="0" xfId="0" applyNumberFormat="1" applyAlignment="1">
      <alignment horizontal="center" vertical="center"/>
    </xf>
    <xf numFmtId="2" fontId="0" fillId="0" borderId="0" xfId="1" applyNumberFormat="1" applyFont="1" applyAlignment="1">
      <alignment vertical="center"/>
    </xf>
    <xf numFmtId="164" fontId="0" fillId="0" borderId="0" xfId="1" applyNumberFormat="1" applyFont="1" applyAlignment="1">
      <alignment vertical="center"/>
    </xf>
    <xf numFmtId="1" fontId="0" fillId="0" borderId="0" xfId="1" applyNumberFormat="1" applyFont="1" applyAlignment="1">
      <alignment vertical="center"/>
    </xf>
    <xf numFmtId="10" fontId="0" fillId="0" borderId="0" xfId="1" applyNumberFormat="1" applyFont="1" applyAlignment="1">
      <alignment vertical="center"/>
    </xf>
    <xf numFmtId="10" fontId="0" fillId="0" borderId="0" xfId="0" applyNumberFormat="1" applyAlignment="1">
      <alignment vertical="center"/>
    </xf>
    <xf numFmtId="0" fontId="57" fillId="0" borderId="0" xfId="0" applyFont="1" applyAlignment="1">
      <alignment horizontal="right" vertical="center"/>
    </xf>
    <xf numFmtId="0" fontId="148" fillId="0" borderId="0" xfId="0" applyFont="1"/>
    <xf numFmtId="0" fontId="2" fillId="0" borderId="0" xfId="19" applyFont="1" applyAlignment="1">
      <alignment horizontal="center" vertical="center"/>
    </xf>
    <xf numFmtId="0" fontId="2" fillId="0" borderId="0" xfId="19" applyFont="1" applyAlignment="1">
      <alignment horizontal="left" vertical="center" wrapText="1"/>
    </xf>
    <xf numFmtId="0" fontId="2" fillId="0" borderId="0" xfId="19" applyFont="1" applyAlignment="1">
      <alignment horizontal="center" vertical="center" wrapText="1"/>
    </xf>
    <xf numFmtId="164" fontId="22" fillId="0" borderId="3" xfId="0" applyNumberFormat="1" applyFont="1" applyBorder="1" applyAlignment="1">
      <alignment horizontal="center" vertical="center" wrapText="1"/>
    </xf>
    <xf numFmtId="0" fontId="30" fillId="0" borderId="0" xfId="0" applyFont="1"/>
    <xf numFmtId="0" fontId="70" fillId="0" borderId="0" xfId="0" applyFont="1"/>
    <xf numFmtId="0" fontId="31" fillId="0" borderId="1" xfId="0" applyFont="1" applyBorder="1"/>
    <xf numFmtId="0" fontId="31" fillId="0" borderId="1" xfId="0" applyFont="1" applyBorder="1" applyAlignment="1">
      <alignment horizontal="center" vertical="center" wrapText="1"/>
    </xf>
    <xf numFmtId="0" fontId="22" fillId="0" borderId="1" xfId="0" applyFont="1" applyBorder="1"/>
    <xf numFmtId="164" fontId="22" fillId="0" borderId="1" xfId="0" applyNumberFormat="1" applyFont="1" applyBorder="1" applyAlignment="1">
      <alignment horizontal="center" vertical="center" wrapText="1"/>
    </xf>
    <xf numFmtId="0" fontId="22" fillId="0" borderId="14" xfId="0" applyFont="1" applyBorder="1"/>
    <xf numFmtId="0" fontId="22" fillId="0" borderId="19" xfId="0" applyFont="1" applyBorder="1"/>
    <xf numFmtId="0" fontId="70" fillId="0" borderId="0" xfId="0" applyFont="1" applyAlignment="1">
      <alignment horizontal="left" vertical="center"/>
    </xf>
    <xf numFmtId="164" fontId="22" fillId="0" borderId="13" xfId="0" applyNumberFormat="1" applyFont="1" applyBorder="1" applyAlignment="1">
      <alignment horizontal="center" vertical="center" wrapText="1"/>
    </xf>
    <xf numFmtId="164" fontId="22" fillId="0" borderId="14" xfId="0" applyNumberFormat="1" applyFont="1" applyBorder="1" applyAlignment="1">
      <alignment horizontal="center" vertical="center" wrapText="1"/>
    </xf>
    <xf numFmtId="0" fontId="0" fillId="0" borderId="0" xfId="19" applyFont="1" applyAlignment="1">
      <alignment vertical="top" wrapText="1"/>
    </xf>
    <xf numFmtId="0" fontId="1" fillId="0" borderId="0" xfId="19" applyAlignment="1">
      <alignment vertical="top" wrapText="1"/>
    </xf>
    <xf numFmtId="0" fontId="29" fillId="0" borderId="14" xfId="0" applyFont="1" applyBorder="1" applyAlignment="1">
      <alignment vertical="top" wrapText="1"/>
    </xf>
    <xf numFmtId="183" fontId="51" fillId="0" borderId="16" xfId="15" applyFont="1" applyBorder="1" applyAlignment="1">
      <alignment vertical="center" wrapText="1"/>
    </xf>
    <xf numFmtId="183" fontId="51" fillId="0" borderId="0" xfId="15" applyFont="1" applyAlignment="1">
      <alignment vertical="center" wrapText="1"/>
    </xf>
    <xf numFmtId="0" fontId="50" fillId="0" borderId="0" xfId="2" applyNumberFormat="1" applyFont="1" applyBorder="1" applyAlignment="1">
      <alignment horizontal="center" vertical="center"/>
    </xf>
    <xf numFmtId="6" fontId="0" fillId="0" borderId="0" xfId="0" applyNumberFormat="1" applyAlignment="1">
      <alignment horizontal="center"/>
    </xf>
    <xf numFmtId="199" fontId="0" fillId="0" borderId="0" xfId="0" applyNumberFormat="1" applyAlignment="1">
      <alignment horizontal="center"/>
    </xf>
    <xf numFmtId="0" fontId="108" fillId="0" borderId="0" xfId="0" applyFont="1" applyAlignment="1">
      <alignment horizontal="right" vertical="top"/>
    </xf>
    <xf numFmtId="4" fontId="22" fillId="0" borderId="1" xfId="0" applyNumberFormat="1" applyFont="1" applyBorder="1" applyAlignment="1">
      <alignment horizontal="center"/>
    </xf>
    <xf numFmtId="164" fontId="0" fillId="0" borderId="1" xfId="0" applyNumberFormat="1" applyBorder="1" applyAlignment="1">
      <alignment horizontal="center"/>
    </xf>
    <xf numFmtId="164" fontId="0" fillId="0" borderId="1" xfId="0" applyNumberFormat="1" applyBorder="1" applyAlignment="1">
      <alignment horizontal="center" vertical="center" wrapText="1"/>
    </xf>
    <xf numFmtId="0" fontId="1" fillId="0" borderId="0" xfId="19" applyAlignment="1">
      <alignment vertical="top"/>
    </xf>
    <xf numFmtId="0" fontId="26" fillId="0" borderId="0" xfId="0" applyFont="1"/>
    <xf numFmtId="165" fontId="0" fillId="0" borderId="1" xfId="0" applyNumberFormat="1" applyBorder="1" applyAlignment="1">
      <alignment horizontal="center"/>
    </xf>
    <xf numFmtId="4" fontId="0" fillId="0" borderId="1" xfId="0" applyNumberFormat="1" applyBorder="1" applyAlignment="1">
      <alignment horizontal="center"/>
    </xf>
    <xf numFmtId="164" fontId="148" fillId="0" borderId="0" xfId="0" applyNumberFormat="1" applyFont="1" applyAlignment="1">
      <alignment horizontal="center" vertical="center" wrapText="1"/>
    </xf>
    <xf numFmtId="164" fontId="22" fillId="0" borderId="2" xfId="0" applyNumberFormat="1" applyFont="1" applyBorder="1" applyAlignment="1">
      <alignment horizontal="center" vertical="center" wrapText="1"/>
    </xf>
    <xf numFmtId="164" fontId="22" fillId="0" borderId="1" xfId="0" applyNumberFormat="1" applyFont="1" applyBorder="1" applyAlignment="1">
      <alignment horizontal="center"/>
    </xf>
    <xf numFmtId="169" fontId="22" fillId="0" borderId="1" xfId="0" applyNumberFormat="1" applyFont="1" applyBorder="1" applyAlignment="1">
      <alignment horizontal="center"/>
    </xf>
    <xf numFmtId="3" fontId="0" fillId="0" borderId="1" xfId="0" applyNumberFormat="1" applyBorder="1" applyAlignment="1">
      <alignment horizontal="center"/>
    </xf>
    <xf numFmtId="0" fontId="148" fillId="0" borderId="0" xfId="19" applyFont="1" applyAlignment="1">
      <alignment vertical="top"/>
    </xf>
    <xf numFmtId="0" fontId="148" fillId="0" borderId="0" xfId="19" applyFont="1" applyAlignment="1">
      <alignment vertical="top" wrapText="1"/>
    </xf>
    <xf numFmtId="0" fontId="18" fillId="0" borderId="0" xfId="19" applyFont="1" applyAlignment="1">
      <alignment vertical="top"/>
    </xf>
    <xf numFmtId="0" fontId="148" fillId="0" borderId="0" xfId="0" applyFont="1" applyAlignment="1">
      <alignment vertical="top"/>
    </xf>
    <xf numFmtId="0" fontId="31" fillId="0" borderId="0" xfId="0" applyFont="1" applyAlignment="1">
      <alignment horizontal="right" vertical="center"/>
    </xf>
    <xf numFmtId="164" fontId="22" fillId="0" borderId="0" xfId="0" applyNumberFormat="1" applyFont="1" applyAlignment="1">
      <alignment horizontal="center" vertical="center" wrapText="1"/>
    </xf>
    <xf numFmtId="0" fontId="15" fillId="0" borderId="0" xfId="4" applyFill="1" applyAlignment="1">
      <alignment horizontal="left" indent="4"/>
    </xf>
    <xf numFmtId="0" fontId="141" fillId="0" borderId="0" xfId="0" applyFont="1" applyAlignment="1">
      <alignment horizontal="left" vertical="center"/>
    </xf>
    <xf numFmtId="0" fontId="100" fillId="0" borderId="0" xfId="0" applyFont="1" applyAlignment="1">
      <alignment horizontal="left" vertical="center"/>
    </xf>
    <xf numFmtId="0" fontId="100" fillId="0" borderId="0" xfId="0" applyFont="1" applyAlignment="1">
      <alignment horizontal="left" vertical="center" wrapText="1"/>
    </xf>
    <xf numFmtId="0" fontId="100" fillId="0" borderId="0" xfId="1" applyNumberFormat="1" applyFont="1" applyAlignment="1">
      <alignment horizontal="center" vertical="center" wrapText="1"/>
    </xf>
    <xf numFmtId="0" fontId="100" fillId="0" borderId="0" xfId="0" applyFont="1" applyAlignment="1">
      <alignment horizontal="center" vertical="center"/>
    </xf>
    <xf numFmtId="0" fontId="31" fillId="0" borderId="0" xfId="0" applyFont="1" applyAlignment="1">
      <alignment horizontal="left" indent="1"/>
    </xf>
    <xf numFmtId="0" fontId="22" fillId="0" borderId="0" xfId="10" applyFont="1" applyAlignment="1">
      <alignment horizontal="center" vertical="center"/>
    </xf>
    <xf numFmtId="177" fontId="22" fillId="0" borderId="0" xfId="10" applyNumberFormat="1" applyFont="1" applyAlignment="1">
      <alignment horizontal="center" vertical="center"/>
    </xf>
    <xf numFmtId="178" fontId="22" fillId="0" borderId="0" xfId="10" applyNumberFormat="1" applyFont="1" applyAlignment="1">
      <alignment horizontal="center" vertical="center"/>
    </xf>
    <xf numFmtId="0" fontId="141" fillId="0" borderId="0" xfId="0" applyFont="1" applyAlignment="1">
      <alignment horizontal="left"/>
    </xf>
    <xf numFmtId="2" fontId="31" fillId="0" borderId="0" xfId="0" applyNumberFormat="1" applyFont="1" applyAlignment="1">
      <alignment horizontal="left" indent="1"/>
    </xf>
    <xf numFmtId="0" fontId="31" fillId="0" borderId="0" xfId="0" applyFont="1" applyAlignment="1">
      <alignment horizontal="left"/>
    </xf>
    <xf numFmtId="0" fontId="22" fillId="0" borderId="0" xfId="0" applyFont="1" applyAlignment="1">
      <alignment vertical="top"/>
    </xf>
    <xf numFmtId="0" fontId="26" fillId="11" borderId="0" xfId="0" applyFont="1" applyFill="1" applyAlignment="1">
      <alignment horizontal="left"/>
    </xf>
    <xf numFmtId="0" fontId="18" fillId="0" borderId="0" xfId="0" applyFont="1" applyAlignment="1">
      <alignment vertical="center"/>
    </xf>
    <xf numFmtId="0" fontId="184" fillId="0" borderId="0" xfId="0" applyFont="1"/>
    <xf numFmtId="0" fontId="49" fillId="0" borderId="0" xfId="0" applyFont="1"/>
    <xf numFmtId="0" fontId="31" fillId="0" borderId="0" xfId="19" applyFont="1" applyAlignment="1">
      <alignment horizontal="right" vertical="center"/>
    </xf>
    <xf numFmtId="0" fontId="64" fillId="19" borderId="0" xfId="0" applyFont="1" applyFill="1"/>
    <xf numFmtId="0" fontId="149" fillId="0" borderId="0" xfId="0" applyFont="1"/>
    <xf numFmtId="0" fontId="31" fillId="0" borderId="1" xfId="19" applyFont="1" applyBorder="1" applyAlignment="1">
      <alignment horizontal="center" vertical="center"/>
    </xf>
    <xf numFmtId="0" fontId="22" fillId="0" borderId="0" xfId="0" applyFont="1" applyAlignment="1">
      <alignment vertical="top" wrapText="1"/>
    </xf>
    <xf numFmtId="0" fontId="125" fillId="0" borderId="0" xfId="0" applyFont="1" applyAlignment="1">
      <alignment vertical="top" wrapText="1"/>
    </xf>
    <xf numFmtId="0" fontId="183" fillId="0" borderId="0" xfId="0" applyFont="1" applyAlignment="1">
      <alignment vertical="top" wrapText="1"/>
    </xf>
    <xf numFmtId="0" fontId="49" fillId="0" borderId="0" xfId="0" applyFont="1" applyAlignment="1">
      <alignment vertical="top"/>
    </xf>
    <xf numFmtId="0" fontId="183" fillId="0" borderId="0" xfId="0" applyFont="1" applyAlignment="1">
      <alignment vertical="center"/>
    </xf>
    <xf numFmtId="0" fontId="22" fillId="0" borderId="0" xfId="0" applyFont="1" applyAlignment="1">
      <alignment horizontal="left" vertical="top" wrapText="1"/>
    </xf>
    <xf numFmtId="0" fontId="22" fillId="0" borderId="1" xfId="0" applyFont="1" applyBorder="1" applyAlignment="1">
      <alignment horizontal="center" vertical="center" wrapText="1"/>
    </xf>
    <xf numFmtId="0" fontId="22" fillId="0" borderId="16" xfId="0" applyFont="1" applyBorder="1" applyAlignment="1">
      <alignment horizontal="center" vertical="center" wrapText="1"/>
    </xf>
    <xf numFmtId="0" fontId="141" fillId="0" borderId="0" xfId="0" applyFont="1" applyAlignment="1">
      <alignment vertical="top" wrapText="1"/>
    </xf>
    <xf numFmtId="0" fontId="104" fillId="0" borderId="0" xfId="4" applyFont="1" applyFill="1" applyAlignment="1">
      <alignment horizontal="left" vertical="top"/>
    </xf>
    <xf numFmtId="0" fontId="148" fillId="0" borderId="0" xfId="0" applyFont="1" applyAlignment="1">
      <alignment vertical="center"/>
    </xf>
    <xf numFmtId="0" fontId="31" fillId="11" borderId="0" xfId="0" applyFont="1" applyFill="1" applyAlignment="1">
      <alignment horizontal="right" vertical="center"/>
    </xf>
    <xf numFmtId="0" fontId="186" fillId="0" borderId="0" xfId="0" applyFont="1"/>
    <xf numFmtId="164" fontId="22" fillId="0" borderId="16" xfId="0" quotePrefix="1" applyNumberFormat="1" applyFont="1" applyBorder="1" applyAlignment="1">
      <alignment horizontal="center" vertical="center" wrapText="1"/>
    </xf>
    <xf numFmtId="164" fontId="28" fillId="0" borderId="16" xfId="0" applyNumberFormat="1" applyFont="1" applyBorder="1" applyAlignment="1">
      <alignment horizontal="center" vertical="center" wrapText="1"/>
    </xf>
    <xf numFmtId="164" fontId="22" fillId="0" borderId="0" xfId="0" applyNumberFormat="1" applyFont="1"/>
    <xf numFmtId="164" fontId="22" fillId="0" borderId="18" xfId="0" applyNumberFormat="1" applyFont="1" applyBorder="1" applyAlignment="1">
      <alignment horizontal="center" vertical="center" wrapText="1"/>
    </xf>
    <xf numFmtId="164" fontId="28" fillId="0" borderId="16" xfId="0" quotePrefix="1" applyNumberFormat="1" applyFont="1" applyBorder="1" applyAlignment="1">
      <alignment horizontal="center" vertical="center" wrapText="1"/>
    </xf>
    <xf numFmtId="0" fontId="159" fillId="0" borderId="0" xfId="0" applyFont="1" applyAlignment="1">
      <alignment horizontal="left" vertical="center"/>
    </xf>
    <xf numFmtId="0" fontId="157" fillId="0" borderId="0" xfId="0" applyFont="1" applyAlignment="1">
      <alignment vertical="center" wrapText="1"/>
    </xf>
    <xf numFmtId="3" fontId="148" fillId="0" borderId="0" xfId="0" applyNumberFormat="1" applyFont="1" applyAlignment="1">
      <alignment vertical="center" wrapText="1"/>
    </xf>
    <xf numFmtId="3" fontId="22" fillId="0" borderId="25" xfId="0" applyNumberFormat="1" applyFont="1" applyBorder="1" applyAlignment="1">
      <alignment horizontal="center" vertical="center" wrapText="1"/>
    </xf>
    <xf numFmtId="2" fontId="22" fillId="0" borderId="25" xfId="0" applyNumberFormat="1" applyFont="1" applyBorder="1" applyAlignment="1">
      <alignment horizontal="center"/>
    </xf>
    <xf numFmtId="0" fontId="187" fillId="10" borderId="2" xfId="0" applyFont="1" applyFill="1" applyBorder="1"/>
    <xf numFmtId="0" fontId="187" fillId="10" borderId="3" xfId="0" applyFont="1" applyFill="1" applyBorder="1"/>
    <xf numFmtId="0" fontId="15" fillId="0" borderId="0" xfId="4" applyFill="1" applyAlignment="1">
      <alignment horizontal="left" indent="2"/>
    </xf>
    <xf numFmtId="165" fontId="191" fillId="0" borderId="0" xfId="0" applyNumberFormat="1" applyFont="1" applyAlignment="1">
      <alignment horizontal="center" vertical="center" wrapText="1"/>
    </xf>
    <xf numFmtId="2" fontId="191" fillId="0" borderId="0" xfId="0" applyNumberFormat="1" applyFont="1" applyAlignment="1">
      <alignment horizontal="center" vertical="center" wrapText="1"/>
    </xf>
    <xf numFmtId="190" fontId="191" fillId="0" borderId="0" xfId="0" applyNumberFormat="1" applyFont="1" applyAlignment="1">
      <alignment horizontal="center" vertical="center" wrapText="1"/>
    </xf>
    <xf numFmtId="0" fontId="141" fillId="0" borderId="0" xfId="0" applyFont="1" applyAlignment="1">
      <alignment vertical="center"/>
    </xf>
    <xf numFmtId="0" fontId="141" fillId="0" borderId="0" xfId="0" applyFont="1" applyAlignment="1">
      <alignment vertical="center" wrapText="1"/>
    </xf>
    <xf numFmtId="165" fontId="171" fillId="0" borderId="0" xfId="0" applyNumberFormat="1" applyFont="1" applyAlignment="1">
      <alignment horizontal="center" vertical="center" wrapText="1"/>
    </xf>
    <xf numFmtId="2" fontId="171" fillId="0" borderId="0" xfId="0" applyNumberFormat="1" applyFont="1" applyAlignment="1">
      <alignment horizontal="center" vertical="center" wrapText="1"/>
    </xf>
    <xf numFmtId="190" fontId="171" fillId="0" borderId="0" xfId="0" applyNumberFormat="1" applyFont="1" applyAlignment="1">
      <alignment horizontal="center" vertical="center" wrapText="1"/>
    </xf>
    <xf numFmtId="0" fontId="52" fillId="0" borderId="0" xfId="0" applyFont="1" applyAlignment="1">
      <alignment horizontal="left" vertical="top"/>
    </xf>
    <xf numFmtId="0" fontId="31" fillId="0" borderId="0" xfId="0" applyFont="1" applyAlignment="1">
      <alignment horizontal="left" vertical="top" wrapText="1"/>
    </xf>
    <xf numFmtId="0" fontId="192" fillId="0" borderId="0" xfId="0" applyFont="1" applyAlignment="1">
      <alignment horizontal="left" vertical="center"/>
    </xf>
    <xf numFmtId="0" fontId="100" fillId="0" borderId="0" xfId="0" applyFont="1" applyAlignment="1">
      <alignment vertical="center"/>
    </xf>
    <xf numFmtId="0" fontId="100" fillId="0" borderId="0" xfId="0" quotePrefix="1" applyFont="1" applyAlignment="1">
      <alignment horizontal="left" vertical="center" wrapText="1"/>
    </xf>
    <xf numFmtId="165" fontId="100" fillId="0" borderId="0" xfId="0" applyNumberFormat="1" applyFont="1" applyAlignment="1">
      <alignment horizontal="center" vertical="center" wrapText="1"/>
    </xf>
    <xf numFmtId="0" fontId="22" fillId="0" borderId="0" xfId="0" applyFont="1" applyAlignment="1">
      <alignment horizontal="left" vertical="top"/>
    </xf>
    <xf numFmtId="0" fontId="196" fillId="0" borderId="0" xfId="0" applyFont="1" applyAlignment="1">
      <alignment vertical="center"/>
    </xf>
    <xf numFmtId="0" fontId="197" fillId="0" borderId="0" xfId="0" applyFont="1" applyAlignment="1">
      <alignment horizontal="left" vertical="center"/>
    </xf>
    <xf numFmtId="0" fontId="22" fillId="0" borderId="0" xfId="0" quotePrefix="1" applyFont="1" applyAlignment="1">
      <alignment horizontal="center" vertical="center"/>
    </xf>
    <xf numFmtId="0" fontId="3" fillId="0" borderId="0" xfId="0" applyFont="1" applyAlignment="1">
      <alignment horizontal="center" vertical="center"/>
    </xf>
    <xf numFmtId="0" fontId="198" fillId="0" borderId="0" xfId="0" applyFont="1" applyAlignment="1">
      <alignment vertical="top"/>
    </xf>
    <xf numFmtId="0" fontId="18" fillId="0" borderId="0" xfId="0" applyFont="1" applyAlignment="1">
      <alignment horizontal="center" vertical="center"/>
    </xf>
    <xf numFmtId="0" fontId="199" fillId="0" borderId="0" xfId="0" applyFont="1"/>
    <xf numFmtId="204" fontId="31" fillId="0" borderId="0" xfId="0" applyNumberFormat="1" applyFont="1" applyAlignment="1">
      <alignment horizontal="left" vertical="center"/>
    </xf>
    <xf numFmtId="0" fontId="141" fillId="0" borderId="0" xfId="0" applyFont="1" applyAlignment="1">
      <alignment horizontal="left" vertical="top"/>
    </xf>
    <xf numFmtId="0" fontId="196" fillId="0" borderId="0" xfId="0" applyFont="1"/>
    <xf numFmtId="0" fontId="200" fillId="0" borderId="0" xfId="0" applyFont="1" applyAlignment="1">
      <alignment horizontal="left" vertical="top"/>
    </xf>
    <xf numFmtId="0" fontId="30" fillId="0" borderId="0" xfId="0" applyFont="1" applyAlignment="1">
      <alignment horizontal="center" vertical="center"/>
    </xf>
    <xf numFmtId="9" fontId="50" fillId="0" borderId="0" xfId="1" applyFont="1" applyBorder="1" applyAlignment="1">
      <alignment horizontal="center" vertical="center"/>
    </xf>
    <xf numFmtId="0" fontId="51" fillId="0" borderId="0" xfId="0" applyFont="1"/>
    <xf numFmtId="9" fontId="22" fillId="0" borderId="0" xfId="0" applyNumberFormat="1" applyFont="1"/>
    <xf numFmtId="0" fontId="31" fillId="24" borderId="0" xfId="0" applyFont="1" applyFill="1" applyAlignment="1">
      <alignment horizontal="center" vertical="center" wrapText="1"/>
    </xf>
    <xf numFmtId="0" fontId="64" fillId="19" borderId="0" xfId="0" applyFont="1" applyFill="1" applyAlignment="1">
      <alignment vertical="top"/>
    </xf>
    <xf numFmtId="0" fontId="55" fillId="19" borderId="0" xfId="0" applyFont="1" applyFill="1" applyAlignment="1">
      <alignment vertical="top"/>
    </xf>
    <xf numFmtId="0" fontId="0" fillId="19" borderId="0" xfId="0" applyFill="1" applyAlignment="1">
      <alignment vertical="top"/>
    </xf>
    <xf numFmtId="0" fontId="0" fillId="19" borderId="0" xfId="0" applyFill="1" applyAlignment="1">
      <alignment vertical="top" wrapText="1"/>
    </xf>
    <xf numFmtId="0" fontId="55" fillId="0" borderId="0" xfId="0" applyFont="1" applyAlignment="1">
      <alignment vertical="top"/>
    </xf>
    <xf numFmtId="0" fontId="22" fillId="11" borderId="85" xfId="0" applyFont="1" applyFill="1" applyBorder="1" applyAlignment="1">
      <alignment vertical="top"/>
    </xf>
    <xf numFmtId="0" fontId="22" fillId="11" borderId="86" xfId="0" applyFont="1" applyFill="1" applyBorder="1" applyAlignment="1">
      <alignment vertical="top"/>
    </xf>
    <xf numFmtId="0" fontId="22" fillId="18" borderId="82" xfId="0" applyFont="1" applyFill="1" applyBorder="1" applyAlignment="1">
      <alignment vertical="top"/>
    </xf>
    <xf numFmtId="0" fontId="22" fillId="11" borderId="80" xfId="0" applyFont="1" applyFill="1" applyBorder="1" applyAlignment="1">
      <alignment vertical="top"/>
    </xf>
    <xf numFmtId="0" fontId="22" fillId="11" borderId="82" xfId="0" applyFont="1" applyFill="1" applyBorder="1" applyAlignment="1">
      <alignment vertical="top"/>
    </xf>
    <xf numFmtId="0" fontId="22" fillId="11" borderId="77" xfId="0" applyFont="1" applyFill="1" applyBorder="1" applyAlignment="1">
      <alignment vertical="top"/>
    </xf>
    <xf numFmtId="0" fontId="22" fillId="18" borderId="79" xfId="0" applyFont="1" applyFill="1" applyBorder="1" applyAlignment="1">
      <alignment vertical="top"/>
    </xf>
    <xf numFmtId="0" fontId="22" fillId="11" borderId="87" xfId="0" applyFont="1" applyFill="1" applyBorder="1" applyAlignment="1">
      <alignment vertical="top"/>
    </xf>
    <xf numFmtId="0" fontId="22" fillId="18" borderId="80" xfId="0" applyFont="1" applyFill="1" applyBorder="1" applyAlignment="1">
      <alignment vertical="top"/>
    </xf>
    <xf numFmtId="0" fontId="22" fillId="18" borderId="83" xfId="0" applyFont="1" applyFill="1" applyBorder="1" applyAlignment="1">
      <alignment vertical="top"/>
    </xf>
    <xf numFmtId="0" fontId="22" fillId="11" borderId="83" xfId="0" applyFont="1" applyFill="1" applyBorder="1" applyAlignment="1">
      <alignment vertical="top"/>
    </xf>
    <xf numFmtId="0" fontId="31" fillId="0" borderId="0" xfId="0" applyFont="1" applyAlignment="1">
      <alignment horizontal="left" vertical="top"/>
    </xf>
    <xf numFmtId="0" fontId="22" fillId="0" borderId="0" xfId="0" quotePrefix="1" applyFont="1" applyAlignment="1">
      <alignment horizontal="right" vertical="center"/>
    </xf>
    <xf numFmtId="0" fontId="183" fillId="0" borderId="0" xfId="0" applyFont="1" applyAlignment="1">
      <alignment vertical="top"/>
    </xf>
    <xf numFmtId="0" fontId="64" fillId="20" borderId="1" xfId="0" applyFont="1" applyFill="1" applyBorder="1" applyAlignment="1">
      <alignment vertical="center"/>
    </xf>
    <xf numFmtId="0" fontId="4" fillId="0" borderId="0" xfId="0" applyFont="1" applyAlignment="1">
      <alignment horizontal="left" vertical="top"/>
    </xf>
    <xf numFmtId="0" fontId="22" fillId="0" borderId="11" xfId="0" applyFont="1" applyBorder="1" applyAlignment="1">
      <alignment vertical="center"/>
    </xf>
    <xf numFmtId="0" fontId="31" fillId="0" borderId="11" xfId="0" applyFont="1" applyBorder="1" applyAlignment="1">
      <alignment horizontal="left" vertical="center"/>
    </xf>
    <xf numFmtId="0" fontId="34" fillId="0" borderId="0" xfId="0" applyFont="1" applyAlignment="1">
      <alignment horizontal="left" vertical="top"/>
    </xf>
    <xf numFmtId="0" fontId="1" fillId="0" borderId="14" xfId="19" applyBorder="1" applyAlignment="1">
      <alignment vertical="center"/>
    </xf>
    <xf numFmtId="0" fontId="22" fillId="0" borderId="14" xfId="0" applyFont="1" applyBorder="1" applyAlignment="1">
      <alignment vertical="center"/>
    </xf>
    <xf numFmtId="0" fontId="22" fillId="0" borderId="0" xfId="0" applyFont="1" applyAlignment="1">
      <alignment horizontal="left" wrapText="1"/>
    </xf>
    <xf numFmtId="0" fontId="31" fillId="0" borderId="0" xfId="0" applyFont="1" applyAlignment="1">
      <alignment horizontal="center" vertical="center" wrapText="1"/>
    </xf>
    <xf numFmtId="164" fontId="22" fillId="0" borderId="0" xfId="0" quotePrefix="1" applyNumberFormat="1" applyFont="1" applyAlignment="1">
      <alignment horizontal="center" vertical="center" wrapText="1"/>
    </xf>
    <xf numFmtId="164" fontId="28" fillId="0" borderId="0" xfId="0" quotePrefix="1" applyNumberFormat="1" applyFont="1" applyAlignment="1">
      <alignment horizontal="center" vertical="center" wrapText="1"/>
    </xf>
    <xf numFmtId="164" fontId="28" fillId="0" borderId="0" xfId="0" applyNumberFormat="1" applyFont="1" applyAlignment="1">
      <alignment horizontal="center" vertical="center" wrapText="1"/>
    </xf>
    <xf numFmtId="9" fontId="50" fillId="0" borderId="16" xfId="0" applyNumberFormat="1" applyFont="1" applyBorder="1" applyAlignment="1">
      <alignment vertical="center"/>
    </xf>
    <xf numFmtId="9" fontId="50" fillId="0" borderId="0" xfId="0" applyNumberFormat="1" applyFont="1" applyAlignment="1">
      <alignment vertical="center"/>
    </xf>
    <xf numFmtId="9" fontId="22" fillId="0" borderId="0" xfId="0" applyNumberFormat="1" applyFont="1" applyAlignment="1">
      <alignment horizontal="center" vertical="center"/>
    </xf>
    <xf numFmtId="0" fontId="115" fillId="0" borderId="16" xfId="0" applyFont="1" applyBorder="1" applyAlignment="1">
      <alignment vertical="center"/>
    </xf>
    <xf numFmtId="0" fontId="115" fillId="0" borderId="0" xfId="0" applyFont="1" applyAlignment="1">
      <alignment vertical="center"/>
    </xf>
    <xf numFmtId="0" fontId="203" fillId="0" borderId="0" xfId="0" applyFont="1" applyAlignment="1">
      <alignment horizontal="left" vertical="center"/>
    </xf>
    <xf numFmtId="0" fontId="92" fillId="0" borderId="0" xfId="0" quotePrefix="1" applyFont="1" applyAlignment="1">
      <alignment horizontal="center" vertical="center"/>
    </xf>
    <xf numFmtId="177" fontId="0" fillId="0" borderId="0" xfId="0" applyNumberFormat="1" applyAlignment="1">
      <alignment horizontal="center" vertical="center"/>
    </xf>
    <xf numFmtId="178" fontId="0" fillId="0" borderId="0" xfId="0" applyNumberFormat="1" applyAlignment="1">
      <alignment horizontal="center" vertical="center"/>
    </xf>
    <xf numFmtId="0" fontId="31" fillId="0" borderId="0" xfId="0" applyFont="1" applyAlignment="1">
      <alignment vertical="top"/>
    </xf>
    <xf numFmtId="0" fontId="22" fillId="0" borderId="0" xfId="0" quotePrefix="1" applyFont="1" applyAlignment="1">
      <alignment vertical="top" wrapText="1"/>
    </xf>
    <xf numFmtId="0" fontId="102" fillId="0" borderId="14" xfId="0" applyFont="1" applyBorder="1" applyAlignment="1">
      <alignment horizontal="center" vertical="center"/>
    </xf>
    <xf numFmtId="207" fontId="100" fillId="0" borderId="14" xfId="0" applyNumberFormat="1" applyFont="1" applyBorder="1" applyAlignment="1">
      <alignment horizontal="center" vertical="center"/>
    </xf>
    <xf numFmtId="9" fontId="22" fillId="0" borderId="0" xfId="1" applyFont="1" applyBorder="1" applyAlignment="1">
      <alignment vertical="center"/>
    </xf>
    <xf numFmtId="0" fontId="53" fillId="0" borderId="0" xfId="0" applyFont="1"/>
    <xf numFmtId="164" fontId="22" fillId="0" borderId="11" xfId="0" applyNumberFormat="1" applyFont="1" applyBorder="1" applyAlignment="1">
      <alignment horizontal="center" vertical="center" wrapText="1"/>
    </xf>
    <xf numFmtId="0" fontId="0" fillId="0" borderId="11" xfId="0" applyBorder="1" applyAlignment="1">
      <alignment horizontal="center"/>
    </xf>
    <xf numFmtId="0" fontId="31" fillId="0" borderId="6" xfId="10" applyFont="1" applyBorder="1" applyAlignment="1">
      <alignment vertical="center"/>
    </xf>
    <xf numFmtId="0" fontId="31" fillId="0" borderId="7" xfId="10" applyFont="1" applyBorder="1" applyAlignment="1">
      <alignment vertical="center"/>
    </xf>
    <xf numFmtId="0" fontId="151" fillId="0" borderId="0" xfId="0" applyFont="1" applyAlignment="1">
      <alignment vertical="center"/>
    </xf>
    <xf numFmtId="0" fontId="151" fillId="0" borderId="11" xfId="0" applyFont="1" applyBorder="1" applyAlignment="1">
      <alignment vertical="center"/>
    </xf>
    <xf numFmtId="0" fontId="34" fillId="0" borderId="0" xfId="0" applyFont="1" applyAlignment="1">
      <alignment vertical="top"/>
    </xf>
    <xf numFmtId="0" fontId="152" fillId="0" borderId="0" xfId="0" applyFont="1" applyAlignment="1">
      <alignment vertical="top"/>
    </xf>
    <xf numFmtId="0" fontId="92" fillId="0" borderId="1" xfId="0" applyFont="1" applyBorder="1" applyAlignment="1">
      <alignment horizontal="left" vertical="center"/>
    </xf>
    <xf numFmtId="0" fontId="0" fillId="0" borderId="1" xfId="0" applyBorder="1" applyAlignment="1">
      <alignment horizontal="left" vertical="center"/>
    </xf>
    <xf numFmtId="0" fontId="3" fillId="0" borderId="1" xfId="0" applyFont="1" applyBorder="1" applyAlignment="1">
      <alignment vertical="center"/>
    </xf>
    <xf numFmtId="0" fontId="58" fillId="0" borderId="0" xfId="0" applyFont="1" applyAlignment="1">
      <alignment wrapText="1"/>
    </xf>
    <xf numFmtId="0" fontId="29" fillId="0" borderId="0" xfId="0" applyFont="1" applyAlignment="1">
      <alignment horizontal="left" vertical="top"/>
    </xf>
    <xf numFmtId="0" fontId="29" fillId="0" borderId="0" xfId="0" applyFont="1" applyAlignment="1">
      <alignment horizontal="left" vertical="top" wrapText="1"/>
    </xf>
    <xf numFmtId="0" fontId="108" fillId="0" borderId="0" xfId="0" applyFont="1" applyAlignment="1">
      <alignment horizontal="left" vertical="top" wrapText="1"/>
    </xf>
    <xf numFmtId="0" fontId="91" fillId="0" borderId="0" xfId="0" applyFont="1" applyAlignment="1">
      <alignment horizontal="left" vertical="center"/>
    </xf>
    <xf numFmtId="0" fontId="92" fillId="0" borderId="0" xfId="0" applyFont="1" applyAlignment="1">
      <alignment horizontal="left"/>
    </xf>
    <xf numFmtId="0" fontId="22" fillId="0" borderId="0" xfId="0" applyFont="1" applyAlignment="1">
      <alignment horizontal="right"/>
    </xf>
    <xf numFmtId="0" fontId="56" fillId="0" borderId="0" xfId="0" applyFont="1"/>
    <xf numFmtId="210" fontId="18" fillId="0" borderId="0" xfId="0" applyNumberFormat="1" applyFont="1" applyAlignment="1">
      <alignment horizontal="center"/>
    </xf>
    <xf numFmtId="3" fontId="157" fillId="0" borderId="0" xfId="0" applyNumberFormat="1" applyFont="1" applyAlignment="1">
      <alignment horizontal="right" vertical="center"/>
    </xf>
    <xf numFmtId="0" fontId="92" fillId="0" borderId="0" xfId="1" applyNumberFormat="1" applyFont="1" applyAlignment="1">
      <alignment horizontal="center" vertical="center" wrapText="1"/>
    </xf>
    <xf numFmtId="0" fontId="125" fillId="0" borderId="0" xfId="0" applyFont="1" applyAlignment="1">
      <alignment horizontal="left" vertical="top" wrapText="1"/>
    </xf>
    <xf numFmtId="1" fontId="100" fillId="0" borderId="0" xfId="0" applyNumberFormat="1" applyFont="1" applyAlignment="1">
      <alignment horizontal="center" vertical="center" wrapText="1"/>
    </xf>
    <xf numFmtId="0" fontId="29" fillId="0" borderId="11" xfId="0" applyFont="1" applyBorder="1" applyAlignment="1">
      <alignment horizontal="left" vertical="top" wrapText="1"/>
    </xf>
    <xf numFmtId="0" fontId="3" fillId="0" borderId="1" xfId="0" applyFont="1" applyBorder="1"/>
    <xf numFmtId="177" fontId="0" fillId="0" borderId="0" xfId="0" applyNumberFormat="1" applyAlignment="1">
      <alignment horizontal="center"/>
    </xf>
    <xf numFmtId="177" fontId="22" fillId="0" borderId="0" xfId="0" applyNumberFormat="1" applyFont="1" applyAlignment="1">
      <alignment horizontal="right"/>
    </xf>
    <xf numFmtId="0" fontId="15" fillId="0" borderId="0" xfId="4" applyFill="1"/>
    <xf numFmtId="0" fontId="212" fillId="0" borderId="0" xfId="0" applyFont="1" applyAlignment="1">
      <alignment horizontal="left" vertical="center" wrapText="1"/>
    </xf>
    <xf numFmtId="9" fontId="212" fillId="0" borderId="0" xfId="15" applyNumberFormat="1" applyFont="1" applyAlignment="1">
      <alignment horizontal="center" vertical="center" wrapText="1"/>
    </xf>
    <xf numFmtId="183" fontId="210" fillId="0" borderId="16" xfId="15" applyFont="1" applyBorder="1" applyAlignment="1">
      <alignment vertical="center" wrapText="1"/>
    </xf>
    <xf numFmtId="183" fontId="210" fillId="0" borderId="0" xfId="15" applyFont="1" applyAlignment="1">
      <alignment vertical="center" wrapText="1"/>
    </xf>
    <xf numFmtId="0" fontId="212" fillId="0" borderId="0" xfId="0" applyFont="1" applyAlignment="1">
      <alignment vertical="center" wrapText="1"/>
    </xf>
    <xf numFmtId="0" fontId="212" fillId="0" borderId="0" xfId="0" applyFont="1" applyAlignment="1">
      <alignment horizontal="left" wrapText="1"/>
    </xf>
    <xf numFmtId="0" fontId="212" fillId="0" borderId="0" xfId="0" applyFont="1"/>
    <xf numFmtId="0" fontId="212" fillId="0" borderId="0" xfId="0" applyFont="1" applyAlignment="1">
      <alignment horizontal="left" vertical="center"/>
    </xf>
    <xf numFmtId="9" fontId="212" fillId="0" borderId="0" xfId="15" applyNumberFormat="1" applyFont="1" applyAlignment="1">
      <alignment horizontal="center" vertical="center"/>
    </xf>
    <xf numFmtId="9" fontId="211" fillId="0" borderId="16" xfId="0" applyNumberFormat="1" applyFont="1" applyBorder="1" applyAlignment="1">
      <alignment vertical="center"/>
    </xf>
    <xf numFmtId="9" fontId="211" fillId="0" borderId="0" xfId="0" applyNumberFormat="1" applyFont="1" applyAlignment="1">
      <alignment vertical="center"/>
    </xf>
    <xf numFmtId="0" fontId="212" fillId="0" borderId="0" xfId="0" applyFont="1" applyAlignment="1">
      <alignment vertical="center"/>
    </xf>
    <xf numFmtId="0" fontId="212" fillId="0" borderId="0" xfId="0" applyFont="1" applyAlignment="1">
      <alignment horizontal="left"/>
    </xf>
    <xf numFmtId="9" fontId="212" fillId="0" borderId="0" xfId="0" applyNumberFormat="1" applyFont="1" applyAlignment="1">
      <alignment horizontal="center" vertical="center"/>
    </xf>
    <xf numFmtId="0" fontId="31" fillId="2" borderId="2" xfId="0" applyFont="1" applyFill="1" applyBorder="1" applyAlignment="1">
      <alignment vertical="center"/>
    </xf>
    <xf numFmtId="0" fontId="31" fillId="2" borderId="3" xfId="0" applyFont="1" applyFill="1" applyBorder="1" applyAlignment="1">
      <alignment vertical="center"/>
    </xf>
    <xf numFmtId="0" fontId="31" fillId="2" borderId="4" xfId="0" applyFont="1" applyFill="1" applyBorder="1" applyAlignment="1">
      <alignment vertical="center"/>
    </xf>
    <xf numFmtId="0" fontId="31" fillId="2" borderId="77" xfId="0" applyFont="1" applyFill="1" applyBorder="1" applyAlignment="1">
      <alignment vertical="top"/>
    </xf>
    <xf numFmtId="0" fontId="31" fillId="2" borderId="78" xfId="0" applyFont="1" applyFill="1" applyBorder="1" applyAlignment="1">
      <alignment vertical="top"/>
    </xf>
    <xf numFmtId="0" fontId="31" fillId="2" borderId="79" xfId="0" applyFont="1" applyFill="1" applyBorder="1" applyAlignment="1">
      <alignment vertical="top" wrapText="1"/>
    </xf>
    <xf numFmtId="0" fontId="22" fillId="18" borderId="81" xfId="0" applyFont="1" applyFill="1" applyBorder="1" applyAlignment="1">
      <alignment vertical="top"/>
    </xf>
    <xf numFmtId="0" fontId="22" fillId="18" borderId="77" xfId="0" applyFont="1" applyFill="1" applyBorder="1" applyAlignment="1">
      <alignment vertical="top"/>
    </xf>
    <xf numFmtId="0" fontId="22" fillId="18" borderId="78" xfId="0" applyFont="1" applyFill="1" applyBorder="1" applyAlignment="1">
      <alignment vertical="top"/>
    </xf>
    <xf numFmtId="0" fontId="22" fillId="18" borderId="79" xfId="0" applyFont="1" applyFill="1" applyBorder="1" applyAlignment="1">
      <alignment vertical="top" wrapText="1"/>
    </xf>
    <xf numFmtId="0" fontId="22" fillId="18" borderId="0" xfId="0" applyFont="1" applyFill="1" applyAlignment="1">
      <alignment vertical="top"/>
    </xf>
    <xf numFmtId="0" fontId="22" fillId="18" borderId="84" xfId="0" applyFont="1" applyFill="1" applyBorder="1" applyAlignment="1">
      <alignment vertical="top"/>
    </xf>
    <xf numFmtId="0" fontId="22" fillId="11" borderId="78" xfId="0" applyFont="1" applyFill="1" applyBorder="1" applyAlignment="1">
      <alignment vertical="top"/>
    </xf>
    <xf numFmtId="0" fontId="22" fillId="11" borderId="79" xfId="0" applyFont="1" applyFill="1" applyBorder="1" applyAlignment="1">
      <alignment vertical="top" wrapText="1"/>
    </xf>
    <xf numFmtId="0" fontId="22" fillId="11" borderId="81" xfId="0" applyFont="1" applyFill="1" applyBorder="1" applyAlignment="1">
      <alignment vertical="top"/>
    </xf>
    <xf numFmtId="0" fontId="22" fillId="11" borderId="85" xfId="0" applyFont="1" applyFill="1" applyBorder="1" applyAlignment="1">
      <alignment vertical="top" wrapText="1"/>
    </xf>
    <xf numFmtId="0" fontId="22" fillId="11" borderId="84" xfId="0" applyFont="1" applyFill="1" applyBorder="1" applyAlignment="1">
      <alignment vertical="top"/>
    </xf>
    <xf numFmtId="0" fontId="52" fillId="11" borderId="82" xfId="0" applyFont="1" applyFill="1" applyBorder="1" applyAlignment="1">
      <alignment vertical="top"/>
    </xf>
    <xf numFmtId="0" fontId="52" fillId="11" borderId="0" xfId="0" applyFont="1" applyFill="1" applyAlignment="1">
      <alignment vertical="top"/>
    </xf>
    <xf numFmtId="0" fontId="22" fillId="11" borderId="86" xfId="0" applyFont="1" applyFill="1" applyBorder="1" applyAlignment="1">
      <alignment vertical="top" wrapText="1"/>
    </xf>
    <xf numFmtId="0" fontId="22" fillId="18" borderId="80" xfId="0" applyFont="1" applyFill="1" applyBorder="1" applyAlignment="1">
      <alignment vertical="top" wrapText="1"/>
    </xf>
    <xf numFmtId="0" fontId="22" fillId="18" borderId="85" xfId="0" applyFont="1" applyFill="1" applyBorder="1" applyAlignment="1">
      <alignment vertical="top"/>
    </xf>
    <xf numFmtId="0" fontId="22" fillId="18" borderId="78" xfId="0" applyFont="1" applyFill="1" applyBorder="1" applyAlignment="1">
      <alignment vertical="center"/>
    </xf>
    <xf numFmtId="0" fontId="22" fillId="18" borderId="78" xfId="0" applyFont="1" applyFill="1" applyBorder="1" applyAlignment="1">
      <alignment horizontal="left" vertical="center"/>
    </xf>
    <xf numFmtId="0" fontId="52" fillId="11" borderId="77" xfId="0" applyFont="1" applyFill="1" applyBorder="1" applyAlignment="1">
      <alignment vertical="top"/>
    </xf>
    <xf numFmtId="0" fontId="52" fillId="11" borderId="78" xfId="0" applyFont="1" applyFill="1" applyBorder="1" applyAlignment="1">
      <alignment vertical="top"/>
    </xf>
    <xf numFmtId="0" fontId="22" fillId="18" borderId="82" xfId="0" applyFont="1" applyFill="1" applyBorder="1" applyAlignment="1">
      <alignment vertical="top" wrapText="1"/>
    </xf>
    <xf numFmtId="0" fontId="22" fillId="18" borderId="84" xfId="0" applyFont="1" applyFill="1" applyBorder="1" applyAlignment="1">
      <alignment vertical="center"/>
    </xf>
    <xf numFmtId="0" fontId="22" fillId="18" borderId="84" xfId="0" applyFont="1" applyFill="1" applyBorder="1" applyAlignment="1">
      <alignment horizontal="left" vertical="center"/>
    </xf>
    <xf numFmtId="0" fontId="22" fillId="18" borderId="87" xfId="0" applyFont="1" applyFill="1" applyBorder="1" applyAlignment="1">
      <alignment vertical="top" wrapText="1"/>
    </xf>
    <xf numFmtId="0" fontId="22" fillId="11" borderId="80" xfId="0" applyFont="1" applyFill="1" applyBorder="1" applyAlignment="1">
      <alignment vertical="top" wrapText="1"/>
    </xf>
    <xf numFmtId="0" fontId="22" fillId="11" borderId="78" xfId="0" applyFont="1" applyFill="1" applyBorder="1" applyAlignment="1">
      <alignment vertical="center"/>
    </xf>
    <xf numFmtId="0" fontId="22" fillId="11" borderId="78" xfId="0" applyFont="1" applyFill="1" applyBorder="1" applyAlignment="1">
      <alignment horizontal="left" vertical="center"/>
    </xf>
    <xf numFmtId="0" fontId="22" fillId="11" borderId="82" xfId="0" applyFont="1" applyFill="1" applyBorder="1" applyAlignment="1">
      <alignment vertical="top" wrapText="1"/>
    </xf>
    <xf numFmtId="0" fontId="22" fillId="11" borderId="83" xfId="0" applyFont="1" applyFill="1" applyBorder="1" applyAlignment="1">
      <alignment vertical="top" wrapText="1"/>
    </xf>
    <xf numFmtId="0" fontId="22" fillId="18" borderId="86" xfId="0" applyFont="1" applyFill="1" applyBorder="1" applyAlignment="1">
      <alignment vertical="top"/>
    </xf>
    <xf numFmtId="0" fontId="22" fillId="18" borderId="83" xfId="0" applyFont="1" applyFill="1" applyBorder="1" applyAlignment="1">
      <alignment vertical="top" wrapText="1"/>
    </xf>
    <xf numFmtId="0" fontId="22" fillId="18" borderId="87" xfId="0" applyFont="1" applyFill="1" applyBorder="1" applyAlignment="1">
      <alignment vertical="top"/>
    </xf>
    <xf numFmtId="0" fontId="52" fillId="11" borderId="80" xfId="0" applyFont="1" applyFill="1" applyBorder="1" applyAlignment="1">
      <alignment vertical="top"/>
    </xf>
    <xf numFmtId="0" fontId="52" fillId="18" borderId="77" xfId="0" applyFont="1" applyFill="1" applyBorder="1" applyAlignment="1">
      <alignment vertical="top"/>
    </xf>
    <xf numFmtId="0" fontId="52" fillId="18" borderId="80" xfId="0" applyFont="1" applyFill="1" applyBorder="1" applyAlignment="1">
      <alignment vertical="top"/>
    </xf>
    <xf numFmtId="0" fontId="22" fillId="18" borderId="85" xfId="0" applyFont="1" applyFill="1" applyBorder="1" applyAlignment="1">
      <alignment vertical="top" wrapText="1"/>
    </xf>
    <xf numFmtId="0" fontId="52" fillId="11" borderId="83" xfId="0" applyFont="1" applyFill="1" applyBorder="1" applyAlignment="1">
      <alignment vertical="top"/>
    </xf>
    <xf numFmtId="0" fontId="52" fillId="18" borderId="81" xfId="0" applyFont="1" applyFill="1" applyBorder="1" applyAlignment="1">
      <alignment vertical="top"/>
    </xf>
    <xf numFmtId="0" fontId="52" fillId="18" borderId="83" xfId="0" applyFont="1" applyFill="1" applyBorder="1" applyAlignment="1">
      <alignment vertical="top"/>
    </xf>
    <xf numFmtId="0" fontId="52" fillId="18" borderId="84" xfId="0" applyFont="1" applyFill="1" applyBorder="1" applyAlignment="1">
      <alignment vertical="top"/>
    </xf>
    <xf numFmtId="0" fontId="22" fillId="18" borderId="86" xfId="0" applyFont="1" applyFill="1" applyBorder="1" applyAlignment="1">
      <alignment vertical="top" wrapText="1"/>
    </xf>
    <xf numFmtId="0" fontId="52" fillId="11" borderId="84" xfId="0" applyFont="1" applyFill="1" applyBorder="1" applyAlignment="1">
      <alignment vertical="top"/>
    </xf>
    <xf numFmtId="0" fontId="52" fillId="18" borderId="78" xfId="0" applyFont="1" applyFill="1" applyBorder="1" applyAlignment="1">
      <alignment vertical="top"/>
    </xf>
    <xf numFmtId="0" fontId="52" fillId="11" borderId="79" xfId="0" applyFont="1" applyFill="1" applyBorder="1" applyAlignment="1">
      <alignment vertical="top"/>
    </xf>
    <xf numFmtId="0" fontId="28" fillId="11" borderId="84" xfId="0" applyFont="1" applyFill="1" applyBorder="1" applyAlignment="1">
      <alignment vertical="top"/>
    </xf>
    <xf numFmtId="0" fontId="52" fillId="11" borderId="84" xfId="0" applyFont="1" applyFill="1" applyBorder="1" applyAlignment="1">
      <alignment vertical="top" wrapText="1"/>
    </xf>
    <xf numFmtId="0" fontId="28" fillId="18" borderId="84" xfId="0" applyFont="1" applyFill="1" applyBorder="1" applyAlignment="1">
      <alignment vertical="top"/>
    </xf>
    <xf numFmtId="0" fontId="52" fillId="18" borderId="84" xfId="0" applyFont="1" applyFill="1" applyBorder="1" applyAlignment="1">
      <alignment vertical="top" wrapText="1"/>
    </xf>
    <xf numFmtId="0" fontId="52" fillId="18" borderId="79" xfId="0" applyFont="1" applyFill="1" applyBorder="1" applyAlignment="1">
      <alignment vertical="top"/>
    </xf>
    <xf numFmtId="0" fontId="28" fillId="11" borderId="79" xfId="0" applyFont="1" applyFill="1" applyBorder="1" applyAlignment="1">
      <alignment vertical="top"/>
    </xf>
    <xf numFmtId="0" fontId="22" fillId="11" borderId="78" xfId="0" applyFont="1" applyFill="1" applyBorder="1" applyAlignment="1">
      <alignment vertical="top" wrapText="1"/>
    </xf>
    <xf numFmtId="0" fontId="22" fillId="18" borderId="78" xfId="0" applyFont="1" applyFill="1" applyBorder="1" applyAlignment="1">
      <alignment vertical="top" wrapText="1"/>
    </xf>
    <xf numFmtId="0" fontId="28" fillId="18" borderId="79" xfId="0" applyFont="1" applyFill="1" applyBorder="1" applyAlignment="1">
      <alignment vertical="top"/>
    </xf>
    <xf numFmtId="0" fontId="5" fillId="0" borderId="0" xfId="0" applyFont="1" applyAlignment="1">
      <alignment vertical="center" wrapText="1"/>
    </xf>
    <xf numFmtId="0" fontId="196" fillId="0" borderId="0" xfId="0" applyFont="1" applyAlignment="1">
      <alignment vertical="top"/>
    </xf>
    <xf numFmtId="0" fontId="213" fillId="0" borderId="0" xfId="0" applyFont="1" applyAlignment="1">
      <alignment vertical="top"/>
    </xf>
    <xf numFmtId="0" fontId="51" fillId="0" borderId="0" xfId="0" applyFont="1" applyAlignment="1">
      <alignment horizontal="right"/>
    </xf>
    <xf numFmtId="0" fontId="28" fillId="0" borderId="0" xfId="0" applyFont="1" applyAlignment="1">
      <alignment horizontal="left" vertical="top" wrapText="1"/>
    </xf>
    <xf numFmtId="0" fontId="196" fillId="0" borderId="0" xfId="0" applyFont="1" applyAlignment="1">
      <alignment horizontal="left" vertical="center"/>
    </xf>
    <xf numFmtId="0" fontId="197" fillId="0" borderId="0" xfId="0" applyFont="1"/>
    <xf numFmtId="0" fontId="3" fillId="0" borderId="0" xfId="0" quotePrefix="1" applyFont="1" applyAlignment="1">
      <alignment vertical="center"/>
    </xf>
    <xf numFmtId="0" fontId="9" fillId="0" borderId="0" xfId="0" quotePrefix="1" applyFont="1" applyAlignment="1">
      <alignment vertical="center"/>
    </xf>
    <xf numFmtId="0" fontId="3" fillId="0" borderId="0" xfId="0" quotePrefix="1" applyFont="1" applyAlignment="1">
      <alignment horizontal="center" vertical="center"/>
    </xf>
    <xf numFmtId="0" fontId="3" fillId="0" borderId="0" xfId="0" quotePrefix="1" applyFont="1" applyAlignment="1">
      <alignment horizontal="left" vertical="center"/>
    </xf>
    <xf numFmtId="0" fontId="31" fillId="0" borderId="11" xfId="0" applyFont="1" applyBorder="1" applyAlignment="1">
      <alignment vertical="center"/>
    </xf>
    <xf numFmtId="0" fontId="218" fillId="0" borderId="0" xfId="0" applyFont="1" applyAlignment="1">
      <alignment vertical="center"/>
    </xf>
    <xf numFmtId="0" fontId="197" fillId="0" borderId="0" xfId="0" applyFont="1" applyAlignment="1">
      <alignment vertical="center"/>
    </xf>
    <xf numFmtId="177" fontId="148" fillId="0" borderId="0" xfId="2" applyNumberFormat="1" applyFont="1" applyFill="1" applyBorder="1" applyAlignment="1">
      <alignment horizontal="center" vertical="center"/>
    </xf>
    <xf numFmtId="208" fontId="148" fillId="0" borderId="0" xfId="0" applyNumberFormat="1" applyFont="1" applyAlignment="1">
      <alignment horizontal="center" vertical="center"/>
    </xf>
    <xf numFmtId="177" fontId="0" fillId="0" borderId="0" xfId="2" applyNumberFormat="1" applyFont="1" applyFill="1" applyBorder="1" applyAlignment="1">
      <alignment horizontal="center" vertical="center"/>
    </xf>
    <xf numFmtId="208" fontId="0" fillId="0" borderId="0" xfId="0" applyNumberFormat="1" applyAlignment="1">
      <alignment horizontal="center" vertical="center"/>
    </xf>
    <xf numFmtId="0" fontId="49" fillId="0" borderId="0" xfId="4" applyFont="1" applyFill="1" applyAlignment="1">
      <alignment horizontal="left" indent="2"/>
    </xf>
    <xf numFmtId="0" fontId="52" fillId="0" borderId="0" xfId="0" quotePrefix="1" applyFont="1" applyAlignment="1">
      <alignment horizontal="right" vertical="top"/>
    </xf>
    <xf numFmtId="0" fontId="197" fillId="0" borderId="0" xfId="0" applyFont="1" applyAlignment="1">
      <alignment horizontal="center" vertical="center" wrapText="1"/>
    </xf>
    <xf numFmtId="0" fontId="151" fillId="0" borderId="16" xfId="0" applyFont="1" applyBorder="1" applyAlignment="1">
      <alignment vertical="center" wrapText="1"/>
    </xf>
    <xf numFmtId="0" fontId="151" fillId="0" borderId="0" xfId="0" applyFont="1" applyAlignment="1">
      <alignment vertical="center" wrapText="1"/>
    </xf>
    <xf numFmtId="2" fontId="52" fillId="0" borderId="16" xfId="0" applyNumberFormat="1" applyFont="1" applyBorder="1" applyAlignment="1">
      <alignment vertical="center"/>
    </xf>
    <xf numFmtId="2" fontId="52" fillId="0" borderId="0" xfId="0" applyNumberFormat="1" applyFont="1" applyAlignment="1">
      <alignment vertical="center"/>
    </xf>
    <xf numFmtId="0" fontId="22" fillId="18" borderId="84" xfId="0" applyFont="1" applyFill="1" applyBorder="1" applyAlignment="1">
      <alignment vertical="top" wrapText="1"/>
    </xf>
    <xf numFmtId="0" fontId="52" fillId="11" borderId="77" xfId="0" applyFont="1" applyFill="1" applyBorder="1"/>
    <xf numFmtId="0" fontId="52" fillId="11" borderId="78" xfId="0" applyFont="1" applyFill="1" applyBorder="1"/>
    <xf numFmtId="0" fontId="22" fillId="11" borderId="78" xfId="0" applyFont="1" applyFill="1" applyBorder="1"/>
    <xf numFmtId="0" fontId="22" fillId="0" borderId="78" xfId="0" applyFont="1" applyBorder="1"/>
    <xf numFmtId="0" fontId="22" fillId="11" borderId="79" xfId="0" applyFont="1" applyFill="1" applyBorder="1" applyAlignment="1">
      <alignment wrapText="1"/>
    </xf>
    <xf numFmtId="0" fontId="28" fillId="0" borderId="0" xfId="0" applyFont="1" applyAlignment="1">
      <alignment vertical="center"/>
    </xf>
    <xf numFmtId="0" fontId="22" fillId="0" borderId="0" xfId="19" applyFont="1" applyAlignment="1">
      <alignment vertical="top" wrapText="1"/>
    </xf>
    <xf numFmtId="0" fontId="52" fillId="0" borderId="0" xfId="0" applyFont="1" applyAlignment="1">
      <alignment horizontal="right" vertical="center"/>
    </xf>
    <xf numFmtId="0" fontId="22" fillId="0" borderId="0" xfId="0" applyFont="1" applyAlignment="1">
      <alignment horizontal="right" vertical="center"/>
    </xf>
    <xf numFmtId="0" fontId="141" fillId="0" borderId="0" xfId="0" applyFont="1" applyAlignment="1">
      <alignment horizontal="left" vertical="top" wrapText="1"/>
    </xf>
    <xf numFmtId="165" fontId="22" fillId="0" borderId="1" xfId="0" applyNumberFormat="1" applyFont="1" applyBorder="1" applyAlignment="1">
      <alignment horizontal="center" vertical="center" wrapText="1"/>
    </xf>
    <xf numFmtId="0" fontId="22" fillId="18" borderId="85" xfId="0" applyFont="1" applyFill="1" applyBorder="1"/>
    <xf numFmtId="0" fontId="22" fillId="18" borderId="87" xfId="0" applyFont="1" applyFill="1" applyBorder="1"/>
    <xf numFmtId="0" fontId="22" fillId="18" borderId="79" xfId="0" applyFont="1" applyFill="1" applyBorder="1"/>
    <xf numFmtId="0" fontId="22" fillId="16" borderId="83" xfId="0" applyFont="1" applyFill="1" applyBorder="1" applyAlignment="1">
      <alignment vertical="top"/>
    </xf>
    <xf numFmtId="0" fontId="28" fillId="16" borderId="84" xfId="0" applyFont="1" applyFill="1" applyBorder="1" applyAlignment="1">
      <alignment vertical="top"/>
    </xf>
    <xf numFmtId="0" fontId="52" fillId="16" borderId="77" xfId="0" applyFont="1" applyFill="1" applyBorder="1" applyAlignment="1">
      <alignment vertical="top"/>
    </xf>
    <xf numFmtId="0" fontId="52" fillId="16" borderId="84" xfId="0" applyFont="1" applyFill="1" applyBorder="1" applyAlignment="1">
      <alignment vertical="top" wrapText="1"/>
    </xf>
    <xf numFmtId="0" fontId="22" fillId="16" borderId="78" xfId="0" applyFont="1" applyFill="1" applyBorder="1" applyAlignment="1">
      <alignment vertical="top"/>
    </xf>
    <xf numFmtId="0" fontId="52" fillId="16" borderId="79" xfId="0" applyFont="1" applyFill="1" applyBorder="1" applyAlignment="1">
      <alignment vertical="top"/>
    </xf>
    <xf numFmtId="0" fontId="28" fillId="11" borderId="87" xfId="0" applyFont="1" applyFill="1" applyBorder="1" applyAlignment="1">
      <alignment vertical="top"/>
    </xf>
    <xf numFmtId="0" fontId="22" fillId="11" borderId="79" xfId="0" applyFont="1" applyFill="1" applyBorder="1" applyAlignment="1">
      <alignment vertical="top"/>
    </xf>
    <xf numFmtId="0" fontId="52" fillId="11" borderId="78" xfId="0" applyFont="1" applyFill="1" applyBorder="1" applyAlignment="1">
      <alignment vertical="top" wrapText="1"/>
    </xf>
    <xf numFmtId="0" fontId="196" fillId="0" borderId="0" xfId="0" applyFont="1" applyAlignment="1">
      <alignment vertical="center" wrapText="1"/>
    </xf>
    <xf numFmtId="0" fontId="196" fillId="0" borderId="0" xfId="0" applyFont="1" applyAlignment="1">
      <alignment vertical="top" wrapText="1"/>
    </xf>
    <xf numFmtId="0" fontId="222" fillId="0" borderId="0" xfId="0" applyFont="1" applyAlignment="1">
      <alignment vertical="center"/>
    </xf>
    <xf numFmtId="0" fontId="52" fillId="0" borderId="0" xfId="0" applyFont="1" applyAlignment="1">
      <alignment horizontal="left" vertical="center"/>
    </xf>
    <xf numFmtId="0" fontId="100" fillId="0" borderId="0" xfId="0" applyFont="1" applyAlignment="1">
      <alignment horizontal="center" vertical="center" wrapText="1"/>
    </xf>
    <xf numFmtId="0" fontId="141" fillId="0" borderId="0" xfId="10" applyFont="1" applyAlignment="1">
      <alignment horizontal="left" vertical="center" wrapText="1"/>
    </xf>
    <xf numFmtId="0" fontId="141" fillId="0" borderId="0" xfId="10" applyFont="1" applyAlignment="1">
      <alignment horizontal="left" vertical="center"/>
    </xf>
    <xf numFmtId="3" fontId="100" fillId="0" borderId="0" xfId="0" applyNumberFormat="1" applyFont="1" applyAlignment="1">
      <alignment horizontal="center" vertical="center" wrapText="1"/>
    </xf>
    <xf numFmtId="0" fontId="197" fillId="0" borderId="0" xfId="0" applyFont="1" applyAlignment="1">
      <alignment vertical="top"/>
    </xf>
    <xf numFmtId="0" fontId="18" fillId="0" borderId="0" xfId="0" applyFont="1" applyAlignment="1">
      <alignment vertical="top"/>
    </xf>
    <xf numFmtId="0" fontId="223" fillId="0" borderId="0" xfId="0" applyFont="1" applyAlignment="1">
      <alignment vertical="center"/>
    </xf>
    <xf numFmtId="0" fontId="223" fillId="0" borderId="0" xfId="0" applyFont="1"/>
    <xf numFmtId="0" fontId="57" fillId="0" borderId="0" xfId="0" applyFont="1" applyAlignment="1">
      <alignment horizontal="left" vertical="center"/>
    </xf>
    <xf numFmtId="218" fontId="0" fillId="0" borderId="0" xfId="0" applyNumberFormat="1" applyAlignment="1">
      <alignment vertical="center"/>
    </xf>
    <xf numFmtId="0" fontId="223" fillId="0" borderId="0" xfId="10" applyFont="1" applyAlignment="1" applyProtection="1">
      <alignment horizontal="left" vertical="center"/>
      <protection locked="0"/>
    </xf>
    <xf numFmtId="0" fontId="225" fillId="0" borderId="0" xfId="0" applyFont="1" applyAlignment="1">
      <alignment vertical="center"/>
    </xf>
    <xf numFmtId="2" fontId="201" fillId="0" borderId="0" xfId="0" applyNumberFormat="1" applyFont="1" applyAlignment="1">
      <alignment horizontal="center" vertical="center" wrapText="1"/>
    </xf>
    <xf numFmtId="0" fontId="149" fillId="0" borderId="0" xfId="0" applyFont="1" applyAlignment="1">
      <alignment horizontal="left" vertical="top" wrapText="1"/>
    </xf>
    <xf numFmtId="0" fontId="157" fillId="0" borderId="0" xfId="0" applyFont="1" applyAlignment="1">
      <alignment vertical="top"/>
    </xf>
    <xf numFmtId="2" fontId="141" fillId="0" borderId="0" xfId="0" applyNumberFormat="1" applyFont="1" applyAlignment="1">
      <alignment horizontal="center" vertical="top" wrapText="1"/>
    </xf>
    <xf numFmtId="0" fontId="141" fillId="0" borderId="0" xfId="0" applyFont="1" applyAlignment="1">
      <alignment horizontal="center" vertical="top" wrapText="1"/>
    </xf>
    <xf numFmtId="0" fontId="52" fillId="0" borderId="0" xfId="0" applyFont="1" applyAlignment="1">
      <alignment vertical="center"/>
    </xf>
    <xf numFmtId="0" fontId="91" fillId="0" borderId="0" xfId="0" applyFont="1" applyAlignment="1">
      <alignment horizontal="center" vertical="center"/>
    </xf>
    <xf numFmtId="164" fontId="22" fillId="0" borderId="0" xfId="0" applyNumberFormat="1" applyFont="1" applyAlignment="1">
      <alignment horizontal="right" vertical="center"/>
    </xf>
    <xf numFmtId="165" fontId="22" fillId="0" borderId="0" xfId="0" applyNumberFormat="1" applyFont="1" applyAlignment="1">
      <alignment horizontal="right" vertical="center"/>
    </xf>
    <xf numFmtId="2" fontId="22" fillId="0" borderId="0" xfId="0" applyNumberFormat="1" applyFont="1" applyAlignment="1">
      <alignment horizontal="right" vertical="center"/>
    </xf>
    <xf numFmtId="0" fontId="230" fillId="0" borderId="0" xfId="0" applyFont="1" applyAlignment="1">
      <alignment horizontal="left" vertical="center" wrapText="1"/>
    </xf>
    <xf numFmtId="0" fontId="230" fillId="0" borderId="0" xfId="0" applyFont="1" applyAlignment="1">
      <alignment vertical="center"/>
    </xf>
    <xf numFmtId="0" fontId="231" fillId="0" borderId="0" xfId="0" applyFont="1" applyAlignment="1">
      <alignment horizontal="justify" vertical="center"/>
    </xf>
    <xf numFmtId="164" fontId="22" fillId="0" borderId="0" xfId="0" applyNumberFormat="1" applyFont="1" applyAlignment="1">
      <alignment vertical="center"/>
    </xf>
    <xf numFmtId="165" fontId="22" fillId="0" borderId="0" xfId="0" applyNumberFormat="1" applyFont="1" applyAlignment="1">
      <alignment vertical="center"/>
    </xf>
    <xf numFmtId="2" fontId="22" fillId="0" borderId="0" xfId="0" applyNumberFormat="1" applyFont="1" applyAlignment="1">
      <alignment vertical="center"/>
    </xf>
    <xf numFmtId="0" fontId="183" fillId="0" borderId="0" xfId="4" applyFont="1" applyFill="1"/>
    <xf numFmtId="0" fontId="183" fillId="0" borderId="0" xfId="4" applyFont="1" applyFill="1" applyAlignment="1">
      <alignment vertical="center"/>
    </xf>
    <xf numFmtId="216" fontId="22" fillId="0" borderId="16" xfId="0" applyNumberFormat="1" applyFont="1" applyBorder="1" applyAlignment="1">
      <alignment horizontal="center" vertical="center" wrapText="1"/>
    </xf>
    <xf numFmtId="217" fontId="22" fillId="0" borderId="13" xfId="0" applyNumberFormat="1" applyFont="1" applyBorder="1" applyAlignment="1">
      <alignment horizontal="center" vertical="center" wrapText="1"/>
    </xf>
    <xf numFmtId="217" fontId="22" fillId="0" borderId="16" xfId="0" applyNumberFormat="1" applyFont="1" applyBorder="1" applyAlignment="1">
      <alignment horizontal="center" vertical="center" wrapText="1"/>
    </xf>
    <xf numFmtId="219" fontId="22" fillId="0" borderId="16" xfId="0" applyNumberFormat="1" applyFont="1" applyBorder="1" applyAlignment="1">
      <alignment horizontal="center" vertical="center" wrapText="1"/>
    </xf>
    <xf numFmtId="186" fontId="22" fillId="0" borderId="16" xfId="0" applyNumberFormat="1" applyFont="1" applyBorder="1" applyAlignment="1">
      <alignment horizontal="center" vertical="center" wrapText="1"/>
    </xf>
    <xf numFmtId="213" fontId="22" fillId="0" borderId="16" xfId="0" applyNumberFormat="1" applyFont="1" applyBorder="1" applyAlignment="1">
      <alignment horizontal="center" vertical="center" wrapText="1"/>
    </xf>
    <xf numFmtId="213" fontId="22" fillId="4" borderId="16" xfId="0" applyNumberFormat="1" applyFont="1" applyFill="1" applyBorder="1" applyAlignment="1">
      <alignment horizontal="center" vertical="center" wrapText="1"/>
    </xf>
    <xf numFmtId="186" fontId="22" fillId="4" borderId="16" xfId="0" applyNumberFormat="1" applyFont="1" applyFill="1" applyBorder="1" applyAlignment="1">
      <alignment horizontal="center" vertical="center" wrapText="1"/>
    </xf>
    <xf numFmtId="0" fontId="31" fillId="0" borderId="0" xfId="0" applyFont="1" applyAlignment="1">
      <alignment horizontal="center" vertical="top" wrapText="1"/>
    </xf>
    <xf numFmtId="168" fontId="31" fillId="0" borderId="0" xfId="0" applyNumberFormat="1" applyFont="1" applyAlignment="1">
      <alignment horizontal="center" vertical="top" wrapText="1"/>
    </xf>
    <xf numFmtId="0" fontId="52" fillId="0" borderId="0" xfId="0" applyFont="1" applyAlignment="1">
      <alignment vertical="top"/>
    </xf>
    <xf numFmtId="0" fontId="22" fillId="0" borderId="0" xfId="0" applyFont="1" applyAlignment="1">
      <alignment horizontal="right" vertical="top"/>
    </xf>
    <xf numFmtId="0" fontId="30" fillId="0" borderId="0" xfId="0" applyFont="1" applyAlignment="1">
      <alignment vertical="center"/>
    </xf>
    <xf numFmtId="164" fontId="0" fillId="0" borderId="0" xfId="0" applyNumberFormat="1"/>
    <xf numFmtId="165" fontId="0" fillId="0" borderId="0" xfId="0" applyNumberFormat="1"/>
    <xf numFmtId="164" fontId="196" fillId="0" borderId="0" xfId="0" applyNumberFormat="1" applyFont="1" applyAlignment="1">
      <alignment vertical="center"/>
    </xf>
    <xf numFmtId="0" fontId="67" fillId="20" borderId="1" xfId="0" applyFont="1" applyFill="1" applyBorder="1" applyAlignment="1">
      <alignment vertical="center"/>
    </xf>
    <xf numFmtId="165" fontId="22" fillId="0" borderId="1" xfId="0" applyNumberFormat="1" applyFont="1" applyBorder="1" applyAlignment="1">
      <alignment horizontal="center"/>
    </xf>
    <xf numFmtId="216" fontId="31" fillId="0" borderId="1" xfId="0" applyNumberFormat="1" applyFont="1" applyBorder="1" applyAlignment="1">
      <alignment horizontal="center"/>
    </xf>
    <xf numFmtId="200" fontId="22" fillId="0" borderId="1" xfId="0" applyNumberFormat="1" applyFont="1" applyBorder="1" applyAlignment="1">
      <alignment horizontal="center" vertical="center" wrapText="1"/>
    </xf>
    <xf numFmtId="186" fontId="22" fillId="0" borderId="1" xfId="0" applyNumberFormat="1" applyFont="1" applyBorder="1" applyAlignment="1">
      <alignment horizontal="center" vertical="center" wrapText="1"/>
    </xf>
    <xf numFmtId="213" fontId="22" fillId="0" borderId="1" xfId="0" applyNumberFormat="1" applyFont="1" applyBorder="1" applyAlignment="1">
      <alignment horizontal="center" vertical="center" wrapText="1"/>
    </xf>
    <xf numFmtId="216" fontId="22" fillId="0" borderId="1" xfId="0" applyNumberFormat="1" applyFont="1" applyBorder="1" applyAlignment="1">
      <alignment horizontal="center" vertical="center" wrapText="1"/>
    </xf>
    <xf numFmtId="217" fontId="22" fillId="0" borderId="1" xfId="0" applyNumberFormat="1" applyFont="1" applyBorder="1" applyAlignment="1">
      <alignment horizontal="center" vertical="center" wrapText="1"/>
    </xf>
    <xf numFmtId="213" fontId="22" fillId="0" borderId="1" xfId="0" applyNumberFormat="1" applyFont="1" applyBorder="1" applyAlignment="1">
      <alignment horizontal="center"/>
    </xf>
    <xf numFmtId="216" fontId="22" fillId="0" borderId="1" xfId="0" applyNumberFormat="1" applyFont="1" applyBorder="1" applyAlignment="1">
      <alignment horizontal="center"/>
    </xf>
    <xf numFmtId="0" fontId="21" fillId="0" borderId="0" xfId="0" applyFont="1"/>
    <xf numFmtId="0" fontId="2" fillId="0" borderId="13"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18" xfId="0" applyFont="1" applyBorder="1" applyAlignment="1">
      <alignment vertical="center"/>
    </xf>
    <xf numFmtId="0" fontId="2" fillId="0" borderId="11" xfId="0" applyFont="1" applyBorder="1" applyAlignment="1">
      <alignment vertical="center"/>
    </xf>
    <xf numFmtId="0" fontId="2" fillId="0" borderId="19" xfId="0" applyFont="1" applyBorder="1" applyAlignment="1">
      <alignment vertical="center"/>
    </xf>
    <xf numFmtId="0" fontId="49" fillId="0" borderId="0" xfId="0" applyFont="1" applyAlignment="1">
      <alignment horizontal="left"/>
    </xf>
    <xf numFmtId="0" fontId="28" fillId="0" borderId="0" xfId="0" applyFont="1" applyAlignment="1">
      <alignment horizontal="left"/>
    </xf>
    <xf numFmtId="15" fontId="22" fillId="0" borderId="0" xfId="0" quotePrefix="1" applyNumberFormat="1" applyFont="1"/>
    <xf numFmtId="0" fontId="0" fillId="0" borderId="0" xfId="0" applyProtection="1">
      <protection locked="0"/>
    </xf>
    <xf numFmtId="0" fontId="50" fillId="13" borderId="1" xfId="0" applyFont="1" applyFill="1" applyBorder="1" applyAlignment="1" applyProtection="1">
      <alignment horizontal="center"/>
      <protection locked="0"/>
    </xf>
    <xf numFmtId="185" fontId="50" fillId="13" borderId="1" xfId="0" applyNumberFormat="1" applyFont="1" applyFill="1" applyBorder="1" applyAlignment="1" applyProtection="1">
      <alignment horizontal="center"/>
      <protection locked="0"/>
    </xf>
    <xf numFmtId="184" fontId="50" fillId="13" borderId="1" xfId="0" applyNumberFormat="1" applyFont="1" applyFill="1" applyBorder="1" applyAlignment="1" applyProtection="1">
      <alignment horizontal="center"/>
      <protection locked="0"/>
    </xf>
    <xf numFmtId="0" fontId="51" fillId="0" borderId="0" xfId="0" applyFont="1" applyAlignment="1" applyProtection="1">
      <alignment horizontal="right"/>
      <protection locked="0"/>
    </xf>
    <xf numFmtId="0" fontId="22" fillId="13" borderId="1" xfId="0" applyFont="1" applyFill="1" applyBorder="1" applyAlignment="1" applyProtection="1">
      <alignment horizontal="center"/>
      <protection locked="0"/>
    </xf>
    <xf numFmtId="3" fontId="0" fillId="13" borderId="1" xfId="0" applyNumberFormat="1" applyFill="1" applyBorder="1" applyAlignment="1" applyProtection="1">
      <alignment horizontal="center"/>
      <protection locked="0"/>
    </xf>
    <xf numFmtId="0" fontId="0" fillId="13" borderId="1" xfId="0" applyFill="1" applyBorder="1" applyAlignment="1" applyProtection="1">
      <alignment horizontal="center"/>
      <protection locked="0"/>
    </xf>
    <xf numFmtId="164" fontId="0" fillId="13" borderId="1" xfId="0" applyNumberFormat="1" applyFill="1" applyBorder="1" applyAlignment="1" applyProtection="1">
      <alignment horizontal="center"/>
      <protection locked="0"/>
    </xf>
    <xf numFmtId="186" fontId="0" fillId="13" borderId="1" xfId="0" applyNumberFormat="1" applyFill="1" applyBorder="1" applyAlignment="1" applyProtection="1">
      <alignment horizontal="center"/>
      <protection locked="0"/>
    </xf>
    <xf numFmtId="200" fontId="0" fillId="13" borderId="1" xfId="0" applyNumberFormat="1" applyFill="1" applyBorder="1" applyAlignment="1" applyProtection="1">
      <alignment horizontal="center"/>
      <protection locked="0"/>
    </xf>
    <xf numFmtId="0" fontId="22" fillId="0" borderId="0" xfId="0" applyFont="1" applyProtection="1">
      <protection locked="0"/>
    </xf>
    <xf numFmtId="3" fontId="22" fillId="13" borderId="1" xfId="0" applyNumberFormat="1" applyFont="1" applyFill="1" applyBorder="1" applyAlignment="1" applyProtection="1">
      <alignment horizontal="center"/>
      <protection locked="0"/>
    </xf>
    <xf numFmtId="214" fontId="22" fillId="13" borderId="1" xfId="0" applyNumberFormat="1" applyFont="1" applyFill="1" applyBorder="1" applyAlignment="1" applyProtection="1">
      <alignment horizontal="center"/>
      <protection locked="0"/>
    </xf>
    <xf numFmtId="215" fontId="22" fillId="13" borderId="1" xfId="0" applyNumberFormat="1" applyFont="1" applyFill="1"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left" vertical="center"/>
      <protection locked="0"/>
    </xf>
    <xf numFmtId="15" fontId="233" fillId="0" borderId="0" xfId="0" quotePrefix="1" applyNumberFormat="1" applyFont="1" applyAlignment="1">
      <alignment horizontal="center"/>
    </xf>
    <xf numFmtId="0" fontId="233" fillId="0" borderId="0" xfId="0" applyFont="1" applyAlignment="1">
      <alignment horizontal="center"/>
    </xf>
    <xf numFmtId="0" fontId="166" fillId="0" borderId="0" xfId="0" applyFont="1" applyAlignment="1">
      <alignment horizontal="center"/>
    </xf>
    <xf numFmtId="0" fontId="165" fillId="0" borderId="0" xfId="0" applyFont="1" applyAlignment="1">
      <alignment horizontal="center"/>
    </xf>
    <xf numFmtId="0" fontId="167" fillId="0" borderId="0" xfId="0" applyFont="1" applyAlignment="1">
      <alignment horizontal="center"/>
    </xf>
    <xf numFmtId="0" fontId="64" fillId="20" borderId="34" xfId="0" applyFont="1" applyFill="1" applyBorder="1" applyAlignment="1">
      <alignment horizontal="left" vertical="center"/>
    </xf>
    <xf numFmtId="0" fontId="64" fillId="20" borderId="23" xfId="0" applyFont="1" applyFill="1" applyBorder="1" applyAlignment="1">
      <alignment horizontal="left" vertical="center"/>
    </xf>
    <xf numFmtId="0" fontId="100" fillId="0" borderId="1" xfId="0" applyFont="1" applyBorder="1" applyAlignment="1">
      <alignment horizontal="left" vertical="center"/>
    </xf>
    <xf numFmtId="0" fontId="100" fillId="0" borderId="1" xfId="0" applyFont="1" applyBorder="1" applyAlignment="1">
      <alignment horizontal="left" vertical="center" wrapText="1"/>
    </xf>
    <xf numFmtId="0" fontId="92" fillId="0" borderId="1" xfId="0" applyFont="1" applyBorder="1" applyAlignment="1">
      <alignment horizontal="left" vertical="center"/>
    </xf>
    <xf numFmtId="0" fontId="92" fillId="0" borderId="1" xfId="0" applyFont="1" applyBorder="1" applyAlignment="1">
      <alignment horizontal="left" vertical="center" wrapText="1"/>
    </xf>
    <xf numFmtId="0" fontId="64" fillId="20" borderId="33" xfId="0" applyFont="1" applyFill="1" applyBorder="1" applyAlignment="1">
      <alignment vertical="center"/>
    </xf>
    <xf numFmtId="0" fontId="64" fillId="20" borderId="0" xfId="0" applyFont="1" applyFill="1" applyAlignment="1">
      <alignment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xf>
    <xf numFmtId="0" fontId="3" fillId="0" borderId="3" xfId="0" applyFont="1" applyBorder="1" applyAlignment="1">
      <alignment horizontal="center" vertical="top"/>
    </xf>
    <xf numFmtId="0" fontId="3" fillId="0" borderId="4" xfId="0" applyFont="1" applyBorder="1" applyAlignment="1">
      <alignment horizontal="center" vertical="top"/>
    </xf>
    <xf numFmtId="0" fontId="0" fillId="0" borderId="0" xfId="0" applyAlignment="1">
      <alignment horizontal="left" vertical="top" wrapText="1"/>
    </xf>
    <xf numFmtId="0" fontId="0" fillId="0" borderId="0" xfId="0" applyAlignment="1">
      <alignment horizontal="left" vertical="top"/>
    </xf>
    <xf numFmtId="0" fontId="26" fillId="0" borderId="0" xfId="0" applyFont="1" applyAlignment="1">
      <alignment horizontal="left" vertical="top"/>
    </xf>
    <xf numFmtId="0" fontId="64" fillId="20" borderId="24" xfId="0" applyFont="1" applyFill="1" applyBorder="1" applyAlignment="1">
      <alignment horizontal="left" vertical="center"/>
    </xf>
    <xf numFmtId="0" fontId="21" fillId="2" borderId="11" xfId="0" applyFont="1" applyFill="1" applyBorder="1" applyAlignment="1">
      <alignment horizontal="left" vertical="top"/>
    </xf>
    <xf numFmtId="0" fontId="0" fillId="0" borderId="14" xfId="0" applyBorder="1" applyAlignment="1">
      <alignment horizontal="left" vertical="top" wrapText="1"/>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0" fillId="0" borderId="0" xfId="0" applyAlignment="1">
      <alignment vertical="center" wrapText="1"/>
    </xf>
    <xf numFmtId="15" fontId="220" fillId="0" borderId="11" xfId="0" applyNumberFormat="1" applyFont="1" applyBorder="1" applyAlignment="1">
      <alignment horizontal="center"/>
    </xf>
    <xf numFmtId="0" fontId="220" fillId="0" borderId="11" xfId="0" applyFont="1" applyBorder="1" applyAlignment="1">
      <alignment horizontal="center"/>
    </xf>
    <xf numFmtId="0" fontId="0" fillId="11" borderId="0" xfId="0" applyFill="1" applyAlignment="1">
      <alignment horizontal="center" vertical="top"/>
    </xf>
    <xf numFmtId="0" fontId="0" fillId="11" borderId="14" xfId="0" applyFill="1" applyBorder="1" applyAlignment="1">
      <alignment horizontal="center" vertical="top"/>
    </xf>
    <xf numFmtId="0" fontId="89" fillId="11" borderId="11" xfId="0" applyFont="1" applyFill="1" applyBorder="1" applyAlignment="1">
      <alignment horizontal="center"/>
    </xf>
    <xf numFmtId="0" fontId="89" fillId="11" borderId="11" xfId="0" applyFont="1" applyFill="1" applyBorder="1" applyAlignment="1">
      <alignment horizontal="center" vertical="center" wrapText="1"/>
    </xf>
    <xf numFmtId="0" fontId="89" fillId="11" borderId="11" xfId="0" applyFont="1" applyFill="1" applyBorder="1" applyAlignment="1">
      <alignment horizontal="center" vertical="center"/>
    </xf>
    <xf numFmtId="0" fontId="89" fillId="11" borderId="11" xfId="0" applyFont="1" applyFill="1" applyBorder="1" applyAlignment="1">
      <alignment horizontal="center" wrapText="1"/>
    </xf>
    <xf numFmtId="15" fontId="220" fillId="11" borderId="11" xfId="0" applyNumberFormat="1" applyFont="1" applyFill="1" applyBorder="1" applyAlignment="1">
      <alignment horizontal="center"/>
    </xf>
    <xf numFmtId="0" fontId="220" fillId="11" borderId="11" xfId="0" applyFont="1" applyFill="1" applyBorder="1" applyAlignment="1">
      <alignment horizontal="center"/>
    </xf>
    <xf numFmtId="0" fontId="3" fillId="0" borderId="0" xfId="0" applyFont="1" applyAlignment="1">
      <alignment horizontal="left" vertical="top" wrapText="1"/>
    </xf>
    <xf numFmtId="0" fontId="22" fillId="0" borderId="0" xfId="0" applyFont="1" applyAlignment="1">
      <alignment horizontal="left" vertical="top" wrapText="1"/>
    </xf>
    <xf numFmtId="0" fontId="3" fillId="0" borderId="0" xfId="0" applyFont="1" applyAlignment="1">
      <alignment horizontal="right" vertical="top" wrapText="1"/>
    </xf>
    <xf numFmtId="0" fontId="64" fillId="20" borderId="27" xfId="0" applyFont="1" applyFill="1" applyBorder="1" applyAlignment="1">
      <alignment horizontal="left" vertical="top"/>
    </xf>
    <xf numFmtId="0" fontId="64" fillId="20" borderId="28" xfId="0" applyFont="1" applyFill="1" applyBorder="1" applyAlignment="1">
      <alignment horizontal="left" vertical="top"/>
    </xf>
    <xf numFmtId="0" fontId="64" fillId="20" borderId="29" xfId="0" applyFont="1" applyFill="1" applyBorder="1" applyAlignment="1">
      <alignment horizontal="left" vertical="top"/>
    </xf>
    <xf numFmtId="0" fontId="22" fillId="0" borderId="0" xfId="0" applyFont="1" applyAlignment="1">
      <alignment vertical="top" wrapText="1"/>
    </xf>
    <xf numFmtId="0" fontId="22" fillId="18" borderId="89" xfId="0" applyFont="1" applyFill="1" applyBorder="1" applyAlignment="1">
      <alignment vertical="top" wrapText="1"/>
    </xf>
    <xf numFmtId="0" fontId="22" fillId="18" borderId="90" xfId="0" applyFont="1" applyFill="1" applyBorder="1" applyAlignment="1">
      <alignment vertical="top" wrapText="1"/>
    </xf>
    <xf numFmtId="0" fontId="22" fillId="18" borderId="91" xfId="0" applyFont="1" applyFill="1" applyBorder="1" applyAlignment="1">
      <alignment vertical="top" wrapText="1"/>
    </xf>
    <xf numFmtId="0" fontId="22" fillId="11" borderId="89" xfId="0" applyFont="1" applyFill="1" applyBorder="1" applyAlignment="1">
      <alignment vertical="top" wrapText="1"/>
    </xf>
    <xf numFmtId="0" fontId="22" fillId="11" borderId="90" xfId="0" applyFont="1" applyFill="1" applyBorder="1" applyAlignment="1">
      <alignment vertical="top" wrapText="1"/>
    </xf>
    <xf numFmtId="0" fontId="22" fillId="11" borderId="91" xfId="0" applyFont="1" applyFill="1" applyBorder="1" applyAlignment="1">
      <alignment vertical="top" wrapText="1"/>
    </xf>
    <xf numFmtId="6" fontId="212" fillId="0" borderId="13" xfId="0" applyNumberFormat="1" applyFont="1" applyBorder="1" applyAlignment="1">
      <alignment horizontal="center"/>
    </xf>
    <xf numFmtId="6" fontId="212" fillId="0" borderId="14" xfId="0" applyNumberFormat="1" applyFont="1" applyBorder="1" applyAlignment="1">
      <alignment horizontal="center"/>
    </xf>
    <xf numFmtId="6" fontId="212" fillId="0" borderId="15" xfId="0" applyNumberFormat="1" applyFont="1" applyBorder="1" applyAlignment="1">
      <alignment horizontal="center"/>
    </xf>
    <xf numFmtId="6" fontId="212" fillId="0" borderId="2" xfId="0" applyNumberFormat="1" applyFont="1" applyBorder="1" applyAlignment="1">
      <alignment horizontal="center"/>
    </xf>
    <xf numFmtId="6" fontId="212" fillId="0" borderId="3" xfId="0" applyNumberFormat="1" applyFont="1" applyBorder="1" applyAlignment="1">
      <alignment horizontal="center"/>
    </xf>
    <xf numFmtId="6" fontId="212" fillId="0" borderId="4" xfId="0" applyNumberFormat="1" applyFont="1" applyBorder="1" applyAlignment="1">
      <alignment horizontal="center"/>
    </xf>
    <xf numFmtId="199" fontId="212" fillId="0" borderId="2" xfId="0" applyNumberFormat="1" applyFont="1" applyBorder="1" applyAlignment="1">
      <alignment horizontal="center"/>
    </xf>
    <xf numFmtId="199" fontId="212" fillId="0" borderId="3" xfId="0" applyNumberFormat="1" applyFont="1" applyBorder="1" applyAlignment="1">
      <alignment horizontal="center"/>
    </xf>
    <xf numFmtId="199" fontId="212" fillId="0" borderId="4" xfId="0" applyNumberFormat="1" applyFont="1" applyBorder="1" applyAlignment="1">
      <alignment horizontal="center"/>
    </xf>
    <xf numFmtId="0" fontId="211" fillId="0" borderId="2" xfId="2" applyNumberFormat="1" applyFont="1" applyBorder="1" applyAlignment="1">
      <alignment horizontal="center" vertical="center"/>
    </xf>
    <xf numFmtId="0" fontId="211" fillId="0" borderId="3" xfId="2" applyNumberFormat="1" applyFont="1" applyBorder="1" applyAlignment="1">
      <alignment horizontal="center" vertical="center"/>
    </xf>
    <xf numFmtId="0" fontId="211" fillId="0" borderId="4" xfId="2" applyNumberFormat="1" applyFont="1" applyBorder="1" applyAlignment="1">
      <alignment horizontal="center" vertical="center"/>
    </xf>
    <xf numFmtId="0" fontId="211" fillId="0" borderId="1" xfId="2" applyNumberFormat="1" applyFont="1" applyBorder="1" applyAlignment="1">
      <alignment horizontal="center" vertical="center"/>
    </xf>
    <xf numFmtId="166" fontId="210" fillId="16" borderId="2" xfId="17" applyNumberFormat="1" applyFont="1" applyFill="1" applyBorder="1" applyAlignment="1">
      <alignment horizontal="center" vertical="center"/>
    </xf>
    <xf numFmtId="166" fontId="210" fillId="16" borderId="3" xfId="17" applyNumberFormat="1" applyFont="1" applyFill="1" applyBorder="1" applyAlignment="1">
      <alignment horizontal="center" vertical="center"/>
    </xf>
    <xf numFmtId="166" fontId="210" fillId="16" borderId="4" xfId="17" applyNumberFormat="1" applyFont="1" applyFill="1" applyBorder="1" applyAlignment="1">
      <alignment horizontal="center" vertical="center"/>
    </xf>
    <xf numFmtId="183" fontId="210" fillId="16" borderId="1" xfId="15" applyFont="1" applyFill="1" applyBorder="1" applyAlignment="1">
      <alignment horizontal="center" vertical="center"/>
    </xf>
    <xf numFmtId="183" fontId="210" fillId="16" borderId="1" xfId="15" applyFont="1" applyFill="1" applyBorder="1" applyAlignment="1">
      <alignment horizontal="center" vertical="center" wrapText="1"/>
    </xf>
    <xf numFmtId="183" fontId="210" fillId="16" borderId="2" xfId="15" applyFont="1" applyFill="1" applyBorder="1" applyAlignment="1">
      <alignment horizontal="center" vertical="center" wrapText="1"/>
    </xf>
    <xf numFmtId="183" fontId="210" fillId="16" borderId="3" xfId="15" applyFont="1" applyFill="1" applyBorder="1" applyAlignment="1">
      <alignment horizontal="center" vertical="center" wrapText="1"/>
    </xf>
    <xf numFmtId="183" fontId="210" fillId="16" borderId="4" xfId="15" applyFont="1" applyFill="1" applyBorder="1" applyAlignment="1">
      <alignment horizontal="center" vertical="center" wrapText="1"/>
    </xf>
    <xf numFmtId="166" fontId="210" fillId="16" borderId="1" xfId="17" applyNumberFormat="1" applyFont="1" applyFill="1" applyBorder="1" applyAlignment="1">
      <alignment horizontal="center" vertical="center"/>
    </xf>
    <xf numFmtId="9" fontId="211" fillId="0" borderId="2" xfId="15" applyNumberFormat="1" applyFont="1" applyBorder="1" applyAlignment="1">
      <alignment horizontal="center" vertical="center"/>
    </xf>
    <xf numFmtId="9" fontId="211" fillId="0" borderId="3" xfId="15" applyNumberFormat="1" applyFont="1" applyBorder="1" applyAlignment="1">
      <alignment horizontal="center" vertical="center"/>
    </xf>
    <xf numFmtId="9" fontId="211" fillId="0" borderId="4" xfId="15" applyNumberFormat="1" applyFont="1" applyBorder="1" applyAlignment="1">
      <alignment horizontal="center" vertical="center"/>
    </xf>
    <xf numFmtId="0" fontId="210" fillId="16" borderId="1" xfId="0" applyFont="1" applyFill="1" applyBorder="1" applyAlignment="1">
      <alignment horizontal="center" vertical="center" wrapText="1"/>
    </xf>
    <xf numFmtId="0" fontId="210" fillId="16" borderId="1" xfId="0" applyFont="1" applyFill="1" applyBorder="1" applyAlignment="1">
      <alignment horizontal="center" vertical="center"/>
    </xf>
    <xf numFmtId="6" fontId="22" fillId="0" borderId="13" xfId="0" applyNumberFormat="1" applyFont="1" applyBorder="1" applyAlignment="1">
      <alignment horizontal="center"/>
    </xf>
    <xf numFmtId="6" fontId="22" fillId="0" borderId="14" xfId="0" applyNumberFormat="1" applyFont="1" applyBorder="1" applyAlignment="1">
      <alignment horizontal="center"/>
    </xf>
    <xf numFmtId="6" fontId="22" fillId="0" borderId="15" xfId="0" applyNumberFormat="1" applyFont="1" applyBorder="1" applyAlignment="1">
      <alignment horizontal="center"/>
    </xf>
    <xf numFmtId="199" fontId="22" fillId="0" borderId="2" xfId="0" applyNumberFormat="1" applyFont="1" applyBorder="1" applyAlignment="1">
      <alignment horizontal="center"/>
    </xf>
    <xf numFmtId="199" fontId="22" fillId="0" borderId="3" xfId="0" applyNumberFormat="1" applyFont="1" applyBorder="1" applyAlignment="1">
      <alignment horizontal="center"/>
    </xf>
    <xf numFmtId="199" fontId="22" fillId="0" borderId="4" xfId="0" applyNumberFormat="1" applyFont="1" applyBorder="1" applyAlignment="1">
      <alignment horizontal="center"/>
    </xf>
    <xf numFmtId="0" fontId="50" fillId="0" borderId="2" xfId="2" applyNumberFormat="1" applyFont="1" applyBorder="1" applyAlignment="1">
      <alignment horizontal="center" vertical="center"/>
    </xf>
    <xf numFmtId="0" fontId="50" fillId="0" borderId="3" xfId="2" applyNumberFormat="1" applyFont="1" applyBorder="1" applyAlignment="1">
      <alignment horizontal="center" vertical="center"/>
    </xf>
    <xf numFmtId="0" fontId="50" fillId="0" borderId="4" xfId="2" applyNumberFormat="1" applyFont="1" applyBorder="1" applyAlignment="1">
      <alignment horizontal="center" vertical="center"/>
    </xf>
    <xf numFmtId="0" fontId="50" fillId="0" borderId="1" xfId="2" applyNumberFormat="1" applyFont="1" applyBorder="1" applyAlignment="1">
      <alignment horizontal="center" vertical="center"/>
    </xf>
    <xf numFmtId="6" fontId="22" fillId="0" borderId="2" xfId="0" applyNumberFormat="1" applyFont="1" applyBorder="1" applyAlignment="1">
      <alignment horizontal="center"/>
    </xf>
    <xf numFmtId="6" fontId="22" fillId="0" borderId="3" xfId="0" applyNumberFormat="1" applyFont="1" applyBorder="1" applyAlignment="1">
      <alignment horizontal="center"/>
    </xf>
    <xf numFmtId="6" fontId="22" fillId="0" borderId="4" xfId="0" applyNumberFormat="1" applyFont="1" applyBorder="1" applyAlignment="1">
      <alignment horizontal="center"/>
    </xf>
    <xf numFmtId="166" fontId="51" fillId="5" borderId="2" xfId="17" applyNumberFormat="1" applyFont="1" applyFill="1" applyBorder="1" applyAlignment="1">
      <alignment horizontal="center" vertical="center"/>
    </xf>
    <xf numFmtId="166" fontId="51" fillId="5" borderId="3" xfId="17" applyNumberFormat="1" applyFont="1" applyFill="1" applyBorder="1" applyAlignment="1">
      <alignment horizontal="center" vertical="center"/>
    </xf>
    <xf numFmtId="166" fontId="51" fillId="5" borderId="4" xfId="17" applyNumberFormat="1" applyFont="1" applyFill="1" applyBorder="1" applyAlignment="1">
      <alignment horizontal="center" vertical="center"/>
    </xf>
    <xf numFmtId="183" fontId="51" fillId="5" borderId="1" xfId="15" applyFont="1" applyFill="1" applyBorder="1" applyAlignment="1">
      <alignment horizontal="center" vertical="center"/>
    </xf>
    <xf numFmtId="183" fontId="51" fillId="5" borderId="1" xfId="15" applyFont="1" applyFill="1" applyBorder="1" applyAlignment="1">
      <alignment horizontal="center" vertical="center" wrapText="1"/>
    </xf>
    <xf numFmtId="183" fontId="51" fillId="5" borderId="2" xfId="15" applyFont="1" applyFill="1" applyBorder="1" applyAlignment="1">
      <alignment horizontal="center" vertical="center" wrapText="1"/>
    </xf>
    <xf numFmtId="183" fontId="51" fillId="5" borderId="3" xfId="15" applyFont="1" applyFill="1" applyBorder="1" applyAlignment="1">
      <alignment horizontal="center" vertical="center" wrapText="1"/>
    </xf>
    <xf numFmtId="183" fontId="51" fillId="5" borderId="4" xfId="15" applyFont="1" applyFill="1" applyBorder="1" applyAlignment="1">
      <alignment horizontal="center" vertical="center" wrapText="1"/>
    </xf>
    <xf numFmtId="166" fontId="51" fillId="5" borderId="1" xfId="17" applyNumberFormat="1" applyFont="1" applyFill="1" applyBorder="1" applyAlignment="1">
      <alignment horizontal="center" vertical="center"/>
    </xf>
    <xf numFmtId="0" fontId="51" fillId="5" borderId="1" xfId="0" applyFont="1" applyFill="1" applyBorder="1" applyAlignment="1">
      <alignment horizontal="center" vertical="center"/>
    </xf>
    <xf numFmtId="168" fontId="58" fillId="0" borderId="0" xfId="0" applyNumberFormat="1" applyFont="1" applyAlignment="1">
      <alignment horizontal="center"/>
    </xf>
    <xf numFmtId="0" fontId="58" fillId="0" borderId="0" xfId="0" quotePrefix="1" applyFont="1"/>
    <xf numFmtId="0" fontId="58" fillId="0" borderId="0" xfId="0" applyFont="1" applyAlignment="1">
      <alignment vertical="top" wrapText="1"/>
    </xf>
    <xf numFmtId="0" fontId="0" fillId="0" borderId="1" xfId="0" applyBorder="1" applyAlignment="1">
      <alignment horizontal="center" vertical="center"/>
    </xf>
    <xf numFmtId="0" fontId="0" fillId="0" borderId="1" xfId="0" applyBorder="1" applyAlignment="1">
      <alignment horizontal="center" vertical="top"/>
    </xf>
    <xf numFmtId="0" fontId="0" fillId="0" borderId="1" xfId="0" applyBorder="1" applyAlignment="1">
      <alignment horizontal="center"/>
    </xf>
    <xf numFmtId="0" fontId="4" fillId="0" borderId="0" xfId="0" applyFont="1" applyAlignment="1">
      <alignment horizontal="left" vertical="top" wrapText="1"/>
    </xf>
    <xf numFmtId="0" fontId="0" fillId="0" borderId="0" xfId="0" applyAlignment="1">
      <alignment vertical="top" wrapText="1"/>
    </xf>
    <xf numFmtId="0" fontId="3" fillId="5" borderId="1" xfId="0" applyFont="1" applyFill="1" applyBorder="1" applyAlignment="1">
      <alignment horizontal="center"/>
    </xf>
    <xf numFmtId="0" fontId="22" fillId="0" borderId="1" xfId="0" applyFont="1" applyBorder="1" applyAlignment="1">
      <alignment horizontal="left"/>
    </xf>
    <xf numFmtId="168" fontId="22" fillId="0" borderId="1" xfId="0" applyNumberFormat="1" applyFont="1" applyBorder="1" applyAlignment="1">
      <alignment horizontal="center"/>
    </xf>
    <xf numFmtId="0" fontId="52" fillId="0" borderId="1" xfId="0" applyFont="1" applyBorder="1" applyAlignment="1">
      <alignment horizontal="left" vertical="center" wrapText="1"/>
    </xf>
    <xf numFmtId="0" fontId="3" fillId="2" borderId="2" xfId="0" applyFont="1" applyFill="1" applyBorder="1" applyAlignment="1">
      <alignment horizontal="left" vertical="top"/>
    </xf>
    <xf numFmtId="0" fontId="3" fillId="2" borderId="3" xfId="0" applyFont="1" applyFill="1" applyBorder="1" applyAlignment="1">
      <alignment horizontal="left" vertical="top"/>
    </xf>
    <xf numFmtId="0" fontId="3" fillId="2" borderId="4" xfId="0" applyFont="1" applyFill="1" applyBorder="1" applyAlignment="1">
      <alignment horizontal="left" vertical="top"/>
    </xf>
    <xf numFmtId="0" fontId="52" fillId="0" borderId="13" xfId="0" applyFont="1" applyBorder="1" applyAlignment="1">
      <alignment horizontal="left" vertical="center"/>
    </xf>
    <xf numFmtId="0" fontId="52" fillId="0" borderId="14" xfId="0" applyFont="1" applyBorder="1" applyAlignment="1">
      <alignment horizontal="left" vertical="center"/>
    </xf>
    <xf numFmtId="0" fontId="52" fillId="0" borderId="15" xfId="0" applyFont="1" applyBorder="1" applyAlignment="1">
      <alignment horizontal="left" vertical="center"/>
    </xf>
    <xf numFmtId="0" fontId="52" fillId="0" borderId="18" xfId="0" applyFont="1" applyBorder="1" applyAlignment="1">
      <alignment horizontal="left" vertical="center"/>
    </xf>
    <xf numFmtId="0" fontId="52" fillId="0" borderId="11" xfId="0" applyFont="1" applyBorder="1" applyAlignment="1">
      <alignment horizontal="left" vertical="center"/>
    </xf>
    <xf numFmtId="0" fontId="52" fillId="0" borderId="19" xfId="0" applyFont="1" applyBorder="1" applyAlignment="1">
      <alignment horizontal="left" vertical="center"/>
    </xf>
    <xf numFmtId="0" fontId="3" fillId="0" borderId="0" xfId="0" applyFont="1" applyAlignment="1">
      <alignment horizontal="left"/>
    </xf>
    <xf numFmtId="0" fontId="19" fillId="0" borderId="1" xfId="0" applyFont="1" applyBorder="1" applyAlignment="1">
      <alignment horizontal="left" vertical="center" wrapText="1"/>
    </xf>
    <xf numFmtId="0" fontId="16" fillId="21" borderId="1" xfId="0" applyFont="1" applyFill="1" applyBorder="1" applyAlignment="1">
      <alignment horizontal="left" vertical="center"/>
    </xf>
    <xf numFmtId="0" fontId="19" fillId="0" borderId="1" xfId="0" applyFont="1" applyBorder="1" applyAlignment="1">
      <alignment horizontal="left" vertical="center"/>
    </xf>
    <xf numFmtId="0" fontId="16" fillId="21" borderId="2" xfId="0" applyFont="1" applyFill="1" applyBorder="1" applyAlignment="1">
      <alignment horizontal="center" vertical="center"/>
    </xf>
    <xf numFmtId="0" fontId="16" fillId="21" borderId="3" xfId="0" applyFont="1" applyFill="1" applyBorder="1" applyAlignment="1">
      <alignment horizontal="center" vertical="center"/>
    </xf>
    <xf numFmtId="0" fontId="16" fillId="21" borderId="4" xfId="0" applyFont="1" applyFill="1" applyBorder="1" applyAlignment="1">
      <alignment horizontal="center" vertical="center"/>
    </xf>
    <xf numFmtId="2" fontId="19" fillId="0" borderId="1" xfId="0" applyNumberFormat="1" applyFont="1" applyBorder="1" applyAlignment="1">
      <alignment horizontal="center" vertical="center"/>
    </xf>
    <xf numFmtId="9" fontId="50" fillId="0" borderId="2" xfId="15" applyNumberFormat="1" applyFont="1" applyBorder="1" applyAlignment="1">
      <alignment horizontal="center" vertical="center"/>
    </xf>
    <xf numFmtId="9" fontId="50" fillId="0" borderId="3" xfId="15" applyNumberFormat="1" applyFont="1" applyBorder="1" applyAlignment="1">
      <alignment horizontal="center" vertical="center"/>
    </xf>
    <xf numFmtId="9" fontId="50" fillId="0" borderId="4" xfId="15" applyNumberFormat="1" applyFont="1" applyBorder="1" applyAlignment="1">
      <alignment horizontal="center" vertical="center"/>
    </xf>
    <xf numFmtId="0" fontId="51" fillId="5" borderId="1" xfId="0" applyFont="1" applyFill="1" applyBorder="1" applyAlignment="1">
      <alignment horizontal="center" vertical="center" wrapText="1"/>
    </xf>
    <xf numFmtId="0" fontId="64" fillId="20" borderId="27" xfId="0" applyFont="1" applyFill="1" applyBorder="1" applyAlignment="1">
      <alignment horizontal="left" vertical="center"/>
    </xf>
    <xf numFmtId="0" fontId="64" fillId="20" borderId="28" xfId="0" applyFont="1" applyFill="1" applyBorder="1" applyAlignment="1">
      <alignment horizontal="left" vertical="center"/>
    </xf>
    <xf numFmtId="0" fontId="53" fillId="0" borderId="0" xfId="0" applyFont="1" applyAlignment="1">
      <alignment horizontal="left" vertical="top"/>
    </xf>
    <xf numFmtId="0" fontId="0" fillId="0" borderId="0" xfId="0" applyAlignment="1">
      <alignment horizontal="center"/>
    </xf>
    <xf numFmtId="0" fontId="0" fillId="0" borderId="1" xfId="0" applyBorder="1" applyAlignment="1">
      <alignment horizontal="left" vertical="center"/>
    </xf>
    <xf numFmtId="2" fontId="52" fillId="0" borderId="1" xfId="0" applyNumberFormat="1" applyFont="1" applyBorder="1" applyAlignment="1">
      <alignment horizontal="center" vertical="center"/>
    </xf>
    <xf numFmtId="0" fontId="52" fillId="0" borderId="1" xfId="0" applyFont="1" applyBorder="1" applyAlignment="1">
      <alignment horizontal="left" vertical="center"/>
    </xf>
    <xf numFmtId="165" fontId="52" fillId="0" borderId="1" xfId="0" applyNumberFormat="1" applyFont="1" applyBorder="1" applyAlignment="1">
      <alignment horizontal="center" vertical="center"/>
    </xf>
    <xf numFmtId="0" fontId="22" fillId="0" borderId="1" xfId="0" applyFont="1" applyBorder="1" applyAlignment="1">
      <alignment horizontal="left" vertical="center"/>
    </xf>
    <xf numFmtId="0" fontId="125" fillId="0" borderId="14" xfId="0" applyFont="1" applyBorder="1" applyAlignment="1">
      <alignment vertical="top" wrapText="1"/>
    </xf>
    <xf numFmtId="0" fontId="125" fillId="0" borderId="0" xfId="0" applyFont="1" applyAlignment="1">
      <alignment vertical="top" wrapText="1"/>
    </xf>
    <xf numFmtId="0" fontId="125" fillId="0" borderId="14" xfId="0" applyFont="1" applyBorder="1" applyAlignment="1">
      <alignment horizontal="left" vertical="top"/>
    </xf>
    <xf numFmtId="0" fontId="125" fillId="0" borderId="0" xfId="0" applyFont="1" applyAlignment="1">
      <alignment horizontal="left" vertical="top"/>
    </xf>
    <xf numFmtId="3" fontId="148" fillId="0" borderId="1" xfId="0" applyNumberFormat="1" applyFont="1" applyBorder="1" applyAlignment="1">
      <alignment horizontal="right" vertical="center"/>
    </xf>
    <xf numFmtId="0" fontId="22" fillId="0" borderId="1" xfId="0" applyFont="1" applyBorder="1" applyAlignment="1">
      <alignment horizontal="center" vertical="center"/>
    </xf>
    <xf numFmtId="209" fontId="22" fillId="0" borderId="1" xfId="0" applyNumberFormat="1" applyFont="1" applyBorder="1" applyAlignment="1">
      <alignment horizontal="center" vertical="center"/>
    </xf>
    <xf numFmtId="0" fontId="15" fillId="0" borderId="0" xfId="4" applyAlignment="1">
      <alignment vertical="top"/>
    </xf>
    <xf numFmtId="0" fontId="22" fillId="0" borderId="0" xfId="0" applyFont="1" applyAlignment="1">
      <alignment vertical="top"/>
    </xf>
    <xf numFmtId="0" fontId="58" fillId="0" borderId="0" xfId="0" applyFont="1" applyAlignment="1">
      <alignment vertical="top"/>
    </xf>
    <xf numFmtId="0" fontId="141" fillId="0" borderId="0" xfId="0" applyFont="1" applyAlignment="1">
      <alignment vertical="top" wrapText="1"/>
    </xf>
    <xf numFmtId="0" fontId="0" fillId="0" borderId="2" xfId="0" applyBorder="1" applyAlignment="1">
      <alignment horizontal="right"/>
    </xf>
    <xf numFmtId="0" fontId="0" fillId="0" borderId="3" xfId="0" applyBorder="1" applyAlignment="1">
      <alignment horizontal="right"/>
    </xf>
    <xf numFmtId="0" fontId="0" fillId="0" borderId="3" xfId="0" applyBorder="1" applyAlignment="1">
      <alignment horizontal="center"/>
    </xf>
    <xf numFmtId="0" fontId="0" fillId="0" borderId="3" xfId="0" applyBorder="1" applyAlignment="1">
      <alignment horizontal="left"/>
    </xf>
    <xf numFmtId="0" fontId="0" fillId="0" borderId="4" xfId="0" applyBorder="1" applyAlignment="1">
      <alignment horizontal="left"/>
    </xf>
    <xf numFmtId="211" fontId="157" fillId="32" borderId="1" xfId="0" applyNumberFormat="1" applyFont="1" applyFill="1" applyBorder="1" applyAlignment="1">
      <alignment horizontal="right" vertical="center"/>
    </xf>
    <xf numFmtId="210" fontId="18" fillId="13" borderId="2" xfId="0" applyNumberFormat="1" applyFont="1" applyFill="1" applyBorder="1" applyAlignment="1" applyProtection="1">
      <alignment horizontal="center"/>
      <protection locked="0"/>
    </xf>
    <xf numFmtId="210" fontId="18" fillId="13" borderId="3" xfId="0" applyNumberFormat="1" applyFont="1" applyFill="1" applyBorder="1" applyAlignment="1" applyProtection="1">
      <alignment horizontal="center"/>
      <protection locked="0"/>
    </xf>
    <xf numFmtId="210" fontId="18" fillId="13" borderId="4" xfId="0" applyNumberFormat="1" applyFont="1" applyFill="1" applyBorder="1" applyAlignment="1" applyProtection="1">
      <alignment horizontal="center"/>
      <protection locked="0"/>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 xfId="0" applyFont="1" applyBorder="1" applyAlignment="1">
      <alignment horizontal="center" wrapText="1"/>
    </xf>
    <xf numFmtId="0" fontId="3" fillId="0" borderId="1" xfId="0" applyFont="1" applyBorder="1" applyAlignment="1">
      <alignment horizontal="center" vertical="center"/>
    </xf>
    <xf numFmtId="3" fontId="157" fillId="32" borderId="1" xfId="0" applyNumberFormat="1" applyFont="1" applyFill="1" applyBorder="1" applyAlignment="1">
      <alignment horizontal="righ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18" xfId="0" applyFont="1" applyBorder="1" applyAlignment="1">
      <alignment horizontal="center" vertical="center"/>
    </xf>
    <xf numFmtId="0" fontId="3" fillId="0" borderId="11" xfId="0" applyFont="1" applyBorder="1" applyAlignment="1">
      <alignment horizontal="center" vertical="center"/>
    </xf>
    <xf numFmtId="0" fontId="3" fillId="0" borderId="19" xfId="0" applyFont="1" applyBorder="1" applyAlignment="1">
      <alignment horizontal="center" vertical="center"/>
    </xf>
    <xf numFmtId="0" fontId="3" fillId="0" borderId="1" xfId="0" applyFont="1" applyBorder="1" applyAlignment="1">
      <alignment horizontal="center" vertical="center" wrapText="1"/>
    </xf>
    <xf numFmtId="0" fontId="22" fillId="0" borderId="14" xfId="0" applyFont="1" applyBorder="1" applyAlignment="1">
      <alignment vertical="top" wrapText="1"/>
    </xf>
    <xf numFmtId="164" fontId="22" fillId="0" borderId="1" xfId="0" applyNumberFormat="1" applyFont="1" applyBorder="1" applyAlignment="1">
      <alignment horizontal="center" vertical="center"/>
    </xf>
    <xf numFmtId="0" fontId="58" fillId="0" borderId="14" xfId="0" applyFont="1" applyBorder="1"/>
    <xf numFmtId="0" fontId="22" fillId="0" borderId="0" xfId="0" applyFont="1" applyAlignment="1">
      <alignment wrapText="1"/>
    </xf>
    <xf numFmtId="0" fontId="52" fillId="0" borderId="13" xfId="0" applyFont="1" applyBorder="1" applyAlignment="1">
      <alignment horizontal="left" vertical="center" wrapText="1"/>
    </xf>
    <xf numFmtId="0" fontId="52" fillId="0" borderId="14" xfId="0" applyFont="1" applyBorder="1" applyAlignment="1">
      <alignment horizontal="left" vertical="center" wrapText="1"/>
    </xf>
    <xf numFmtId="0" fontId="52" fillId="0" borderId="15" xfId="0" applyFont="1" applyBorder="1" applyAlignment="1">
      <alignment horizontal="left" vertical="center" wrapText="1"/>
    </xf>
    <xf numFmtId="0" fontId="52" fillId="0" borderId="18" xfId="0" applyFont="1" applyBorder="1" applyAlignment="1">
      <alignment horizontal="left" vertical="center" wrapText="1"/>
    </xf>
    <xf numFmtId="0" fontId="52" fillId="0" borderId="11" xfId="0" applyFont="1" applyBorder="1" applyAlignment="1">
      <alignment horizontal="left" vertical="center" wrapText="1"/>
    </xf>
    <xf numFmtId="0" fontId="52" fillId="0" borderId="19" xfId="0" applyFont="1" applyBorder="1" applyAlignment="1">
      <alignment horizontal="left" vertical="center" wrapText="1"/>
    </xf>
    <xf numFmtId="0" fontId="104" fillId="0" borderId="1" xfId="4"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104" fillId="0" borderId="1" xfId="4" applyFont="1" applyBorder="1" applyAlignment="1">
      <alignment horizontal="lef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31" fillId="2" borderId="2"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0" fontId="64" fillId="20" borderId="33" xfId="0" applyFont="1" applyFill="1" applyBorder="1" applyAlignment="1">
      <alignment horizontal="left" vertical="center"/>
    </xf>
    <xf numFmtId="0" fontId="64" fillId="20" borderId="0" xfId="0" applyFont="1" applyFill="1" applyAlignment="1">
      <alignment horizontal="left" vertical="center"/>
    </xf>
    <xf numFmtId="0" fontId="0" fillId="0" borderId="0" xfId="0" applyAlignment="1">
      <alignment horizontal="lef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04" fillId="0" borderId="1" xfId="4" applyFont="1" applyBorder="1" applyAlignment="1">
      <alignment horizontal="left" vertical="center"/>
    </xf>
    <xf numFmtId="0" fontId="12" fillId="0" borderId="1" xfId="0" applyFont="1" applyBorder="1" applyAlignment="1">
      <alignment horizontal="center" vertical="center" wrapText="1"/>
    </xf>
    <xf numFmtId="1" fontId="2" fillId="0" borderId="1" xfId="0" applyNumberFormat="1" applyFont="1" applyBorder="1" applyAlignment="1">
      <alignment horizontal="center" vertical="center"/>
    </xf>
    <xf numFmtId="0" fontId="12" fillId="12" borderId="1" xfId="0" applyFont="1" applyFill="1" applyBorder="1" applyAlignment="1">
      <alignment horizontal="center" vertical="center"/>
    </xf>
    <xf numFmtId="0" fontId="12" fillId="0" borderId="1" xfId="0" applyFont="1" applyBorder="1" applyAlignment="1">
      <alignment horizontal="center" vertical="center"/>
    </xf>
    <xf numFmtId="0" fontId="3" fillId="12" borderId="2" xfId="0" applyFont="1" applyFill="1" applyBorder="1" applyAlignment="1">
      <alignment horizontal="center" vertical="center"/>
    </xf>
    <xf numFmtId="0" fontId="3" fillId="12" borderId="3" xfId="0" applyFont="1" applyFill="1" applyBorder="1" applyAlignment="1">
      <alignment horizontal="center" vertical="center"/>
    </xf>
    <xf numFmtId="0" fontId="3" fillId="12" borderId="4" xfId="0" applyFont="1" applyFill="1" applyBorder="1" applyAlignment="1">
      <alignment horizontal="center" vertical="center"/>
    </xf>
    <xf numFmtId="0" fontId="104" fillId="0" borderId="2" xfId="4" applyFont="1" applyBorder="1" applyAlignment="1">
      <alignment vertical="center"/>
    </xf>
    <xf numFmtId="0" fontId="104" fillId="0" borderId="3" xfId="4" applyFont="1" applyBorder="1" applyAlignment="1">
      <alignment vertical="center"/>
    </xf>
    <xf numFmtId="0" fontId="104" fillId="0" borderId="4" xfId="4" applyFont="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2" fontId="0" fillId="0" borderId="2" xfId="0" applyNumberFormat="1" applyBorder="1" applyAlignment="1">
      <alignment horizontal="center" vertical="center"/>
    </xf>
    <xf numFmtId="2" fontId="0" fillId="0" borderId="3" xfId="0" applyNumberFormat="1" applyBorder="1" applyAlignment="1">
      <alignment horizontal="center" vertical="center"/>
    </xf>
    <xf numFmtId="2" fontId="0" fillId="0" borderId="4" xfId="0" applyNumberFormat="1" applyBorder="1" applyAlignment="1">
      <alignment horizontal="center" vertical="center"/>
    </xf>
    <xf numFmtId="0" fontId="58" fillId="0" borderId="0" xfId="0" applyFont="1" applyAlignment="1">
      <alignment horizontal="left" vertical="top" wrapText="1"/>
    </xf>
    <xf numFmtId="0" fontId="58" fillId="0" borderId="14" xfId="0" applyFont="1" applyBorder="1" applyAlignment="1">
      <alignment horizontal="left" vertical="top"/>
    </xf>
    <xf numFmtId="0" fontId="58" fillId="0" borderId="0" xfId="0" applyFont="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4" fillId="20" borderId="29" xfId="0" applyFont="1" applyFill="1" applyBorder="1" applyAlignment="1">
      <alignment horizontal="left" vertical="center"/>
    </xf>
    <xf numFmtId="0" fontId="3" fillId="0" borderId="0" xfId="0" applyFont="1" applyAlignment="1">
      <alignment horizontal="left" vertical="top"/>
    </xf>
    <xf numFmtId="2" fontId="3" fillId="0" borderId="2"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3" fontId="22" fillId="0" borderId="2" xfId="0" applyNumberFormat="1" applyFont="1" applyBorder="1" applyAlignment="1">
      <alignment horizontal="center" vertical="center" wrapText="1"/>
    </xf>
    <xf numFmtId="3" fontId="22" fillId="0" borderId="3" xfId="0" applyNumberFormat="1" applyFont="1" applyBorder="1" applyAlignment="1">
      <alignment horizontal="center" vertical="center" wrapText="1"/>
    </xf>
    <xf numFmtId="3" fontId="22" fillId="0" borderId="4" xfId="0" applyNumberFormat="1" applyFont="1" applyBorder="1" applyAlignment="1">
      <alignment horizontal="center" vertical="center" wrapText="1"/>
    </xf>
    <xf numFmtId="4" fontId="22" fillId="0" borderId="2" xfId="0" applyNumberFormat="1" applyFont="1" applyBorder="1" applyAlignment="1">
      <alignment horizontal="center" vertical="center" wrapText="1"/>
    </xf>
    <xf numFmtId="4" fontId="22" fillId="0" borderId="3" xfId="0" applyNumberFormat="1" applyFont="1" applyBorder="1" applyAlignment="1">
      <alignment horizontal="center" vertical="center" wrapText="1"/>
    </xf>
    <xf numFmtId="4" fontId="22" fillId="0" borderId="4" xfId="0" applyNumberFormat="1" applyFont="1" applyBorder="1" applyAlignment="1">
      <alignment horizontal="center" vertical="center" wrapText="1"/>
    </xf>
    <xf numFmtId="0" fontId="3" fillId="0" borderId="1" xfId="0" applyFont="1" applyBorder="1" applyAlignment="1">
      <alignment horizontal="center"/>
    </xf>
    <xf numFmtId="3" fontId="52" fillId="0" borderId="2" xfId="0" applyNumberFormat="1" applyFont="1" applyBorder="1" applyAlignment="1">
      <alignment horizontal="center" vertical="center"/>
    </xf>
    <xf numFmtId="3" fontId="52" fillId="0" borderId="3" xfId="0" applyNumberFormat="1" applyFont="1" applyBorder="1" applyAlignment="1">
      <alignment horizontal="center" vertical="center"/>
    </xf>
    <xf numFmtId="3" fontId="52" fillId="0" borderId="4" xfId="0" applyNumberFormat="1" applyFont="1" applyBorder="1" applyAlignment="1">
      <alignment horizontal="center" vertical="center"/>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22" fillId="0" borderId="2" xfId="0" applyFont="1" applyBorder="1" applyAlignment="1">
      <alignment vertical="center"/>
    </xf>
    <xf numFmtId="0" fontId="22" fillId="0" borderId="3" xfId="0" applyFont="1" applyBorder="1" applyAlignment="1">
      <alignment vertical="center"/>
    </xf>
    <xf numFmtId="0" fontId="22" fillId="0" borderId="4" xfId="0" applyFont="1" applyBorder="1" applyAlignment="1">
      <alignment vertical="center"/>
    </xf>
    <xf numFmtId="4" fontId="52" fillId="0" borderId="2" xfId="0" applyNumberFormat="1" applyFont="1" applyBorder="1" applyAlignment="1">
      <alignment horizontal="center" vertical="center"/>
    </xf>
    <xf numFmtId="4" fontId="52" fillId="0" borderId="3" xfId="0" applyNumberFormat="1" applyFont="1" applyBorder="1" applyAlignment="1">
      <alignment horizontal="center" vertical="center"/>
    </xf>
    <xf numFmtId="4" fontId="52" fillId="0" borderId="4" xfId="0" applyNumberFormat="1" applyFont="1" applyBorder="1" applyAlignment="1">
      <alignment horizontal="center" vertical="center"/>
    </xf>
    <xf numFmtId="3" fontId="22" fillId="0" borderId="2" xfId="0" applyNumberFormat="1"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4" fontId="22" fillId="0" borderId="1" xfId="0" applyNumberFormat="1" applyFont="1" applyBorder="1" applyAlignment="1">
      <alignment horizontal="center"/>
    </xf>
    <xf numFmtId="0" fontId="22" fillId="0" borderId="1" xfId="0" applyFont="1" applyBorder="1" applyAlignment="1">
      <alignment horizontal="center"/>
    </xf>
    <xf numFmtId="0" fontId="22" fillId="0" borderId="2" xfId="0" applyFont="1" applyBorder="1"/>
    <xf numFmtId="0" fontId="22" fillId="0" borderId="3" xfId="0" applyFont="1" applyBorder="1"/>
    <xf numFmtId="0" fontId="22" fillId="0" borderId="4" xfId="0" applyFont="1" applyBorder="1"/>
    <xf numFmtId="0" fontId="58" fillId="0" borderId="0" xfId="0" applyFont="1"/>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125" fillId="0" borderId="14" xfId="0" applyFont="1" applyBorder="1" applyAlignment="1">
      <alignment horizontal="left" vertical="top" wrapText="1"/>
    </xf>
    <xf numFmtId="0" fontId="141" fillId="0" borderId="14" xfId="0" applyFont="1" applyBorder="1" applyAlignment="1">
      <alignment vertical="center"/>
    </xf>
    <xf numFmtId="0" fontId="115" fillId="0" borderId="0" xfId="0" applyFont="1" applyAlignment="1">
      <alignment horizontal="left" vertical="top" wrapText="1"/>
    </xf>
    <xf numFmtId="0" fontId="115" fillId="0" borderId="0" xfId="0" applyFont="1" applyAlignment="1">
      <alignment vertical="top" wrapText="1"/>
    </xf>
    <xf numFmtId="0" fontId="64" fillId="20" borderId="1" xfId="0" applyFont="1" applyFill="1" applyBorder="1" applyAlignment="1">
      <alignment horizontal="left" vertical="center"/>
    </xf>
    <xf numFmtId="0" fontId="0" fillId="11" borderId="0" xfId="0" applyFill="1" applyAlignment="1">
      <alignment horizontal="left" vertical="top" wrapText="1"/>
    </xf>
    <xf numFmtId="0" fontId="90" fillId="20" borderId="1" xfId="0" applyFont="1" applyFill="1" applyBorder="1" applyAlignment="1">
      <alignment horizontal="left" vertical="center"/>
    </xf>
    <xf numFmtId="0" fontId="3" fillId="11" borderId="0" xfId="0" applyFont="1" applyFill="1" applyAlignment="1">
      <alignment horizontal="left" vertical="top" wrapText="1"/>
    </xf>
    <xf numFmtId="0" fontId="0" fillId="11" borderId="0" xfId="0" applyFill="1" applyAlignment="1">
      <alignment vertical="top" wrapText="1"/>
    </xf>
    <xf numFmtId="0" fontId="49" fillId="11" borderId="0" xfId="0" applyFont="1" applyFill="1" applyAlignment="1">
      <alignment horizontal="left" vertical="top" wrapText="1"/>
    </xf>
    <xf numFmtId="0" fontId="22" fillId="11" borderId="0" xfId="0" applyFont="1" applyFill="1" applyAlignment="1">
      <alignment horizontal="left" vertical="top" wrapText="1"/>
    </xf>
    <xf numFmtId="0" fontId="0" fillId="11" borderId="0" xfId="0" applyFill="1" applyAlignment="1">
      <alignment horizontal="left" vertical="top"/>
    </xf>
    <xf numFmtId="0" fontId="22" fillId="11" borderId="0" xfId="0" applyFont="1" applyFill="1" applyAlignment="1">
      <alignment vertical="top" wrapText="1"/>
    </xf>
    <xf numFmtId="0" fontId="22" fillId="11" borderId="0" xfId="0" applyFont="1" applyFill="1" applyAlignment="1">
      <alignment vertical="top"/>
    </xf>
    <xf numFmtId="0" fontId="3" fillId="2" borderId="1" xfId="0" applyFont="1" applyFill="1" applyBorder="1" applyAlignment="1">
      <alignment horizontal="left" vertical="center"/>
    </xf>
    <xf numFmtId="0" fontId="0" fillId="0" borderId="0" xfId="0" applyAlignment="1">
      <alignment vertical="center"/>
    </xf>
    <xf numFmtId="0" fontId="91" fillId="0" borderId="1" xfId="0" applyFont="1" applyBorder="1" applyAlignment="1">
      <alignment horizontal="center" vertical="center"/>
    </xf>
    <xf numFmtId="0" fontId="5" fillId="0" borderId="0" xfId="0" applyFont="1" applyAlignment="1">
      <alignment vertical="center"/>
    </xf>
    <xf numFmtId="0" fontId="0" fillId="0" borderId="0" xfId="0" applyAlignment="1">
      <alignment vertical="top"/>
    </xf>
    <xf numFmtId="0" fontId="28" fillId="0" borderId="0" xfId="0" applyFont="1" applyAlignment="1">
      <alignment vertical="top" wrapText="1"/>
    </xf>
    <xf numFmtId="0" fontId="28" fillId="0" borderId="0" xfId="0" applyFont="1" applyAlignment="1">
      <alignment vertical="top"/>
    </xf>
    <xf numFmtId="0" fontId="92" fillId="0" borderId="2" xfId="0" applyFont="1" applyBorder="1" applyAlignment="1">
      <alignment horizontal="left" vertical="center" wrapText="1"/>
    </xf>
    <xf numFmtId="0" fontId="92" fillId="0" borderId="3" xfId="0" applyFont="1" applyBorder="1" applyAlignment="1">
      <alignment horizontal="left" vertical="center" wrapText="1"/>
    </xf>
    <xf numFmtId="0" fontId="92" fillId="0" borderId="4" xfId="0" applyFont="1" applyBorder="1" applyAlignment="1">
      <alignment horizontal="left" vertical="center" wrapText="1"/>
    </xf>
    <xf numFmtId="0" fontId="92" fillId="0" borderId="2" xfId="0" applyFont="1" applyBorder="1" applyAlignment="1">
      <alignment horizontal="center" vertical="center" wrapText="1"/>
    </xf>
    <xf numFmtId="0" fontId="92" fillId="0" borderId="3" xfId="0" applyFont="1" applyBorder="1" applyAlignment="1">
      <alignment horizontal="center" vertical="center" wrapText="1"/>
    </xf>
    <xf numFmtId="0" fontId="92" fillId="0" borderId="4" xfId="0" applyFont="1" applyBorder="1" applyAlignment="1">
      <alignment horizontal="center" vertical="center" wrapText="1"/>
    </xf>
    <xf numFmtId="0" fontId="92" fillId="0" borderId="2" xfId="0" applyFont="1" applyBorder="1" applyAlignment="1">
      <alignment horizontal="left" vertical="center"/>
    </xf>
    <xf numFmtId="0" fontId="92" fillId="0" borderId="3" xfId="0" applyFont="1" applyBorder="1" applyAlignment="1">
      <alignment horizontal="left" vertical="center"/>
    </xf>
    <xf numFmtId="0" fontId="92" fillId="0" borderId="4" xfId="0" applyFont="1" applyBorder="1" applyAlignment="1">
      <alignment horizontal="left" vertical="center"/>
    </xf>
    <xf numFmtId="0" fontId="100" fillId="0" borderId="13" xfId="0" applyFont="1" applyBorder="1" applyAlignment="1">
      <alignment horizontal="left" vertical="center"/>
    </xf>
    <xf numFmtId="0" fontId="100" fillId="0" borderId="14" xfId="0" applyFont="1" applyBorder="1" applyAlignment="1">
      <alignment horizontal="left" vertical="center"/>
    </xf>
    <xf numFmtId="0" fontId="100" fillId="0" borderId="15" xfId="0" applyFont="1" applyBorder="1" applyAlignment="1">
      <alignment horizontal="left" vertical="center"/>
    </xf>
    <xf numFmtId="0" fontId="100" fillId="0" borderId="18" xfId="0" applyFont="1" applyBorder="1" applyAlignment="1">
      <alignment horizontal="left" vertical="center"/>
    </xf>
    <xf numFmtId="0" fontId="100" fillId="0" borderId="11" xfId="0" applyFont="1" applyBorder="1" applyAlignment="1">
      <alignment horizontal="left" vertical="center"/>
    </xf>
    <xf numFmtId="0" fontId="100" fillId="0" borderId="19" xfId="0" applyFont="1" applyBorder="1" applyAlignment="1">
      <alignment horizontal="left" vertical="center"/>
    </xf>
    <xf numFmtId="0" fontId="100" fillId="0" borderId="2" xfId="0" applyFont="1" applyBorder="1" applyAlignment="1">
      <alignment horizontal="left" vertical="center" wrapText="1"/>
    </xf>
    <xf numFmtId="0" fontId="100" fillId="0" borderId="3" xfId="0" applyFont="1" applyBorder="1" applyAlignment="1">
      <alignment horizontal="left" vertical="center" wrapText="1"/>
    </xf>
    <xf numFmtId="0" fontId="100" fillId="0" borderId="4" xfId="0" applyFont="1" applyBorder="1" applyAlignment="1">
      <alignment horizontal="left" vertical="center" wrapText="1"/>
    </xf>
    <xf numFmtId="0" fontId="100" fillId="0" borderId="2" xfId="0" applyFont="1" applyBorder="1" applyAlignment="1">
      <alignment horizontal="center" vertical="center" wrapText="1"/>
    </xf>
    <xf numFmtId="0" fontId="100" fillId="0" borderId="3" xfId="0" applyFont="1" applyBorder="1" applyAlignment="1">
      <alignment horizontal="center" vertical="center" wrapText="1"/>
    </xf>
    <xf numFmtId="0" fontId="100" fillId="0" borderId="4" xfId="0" applyFont="1" applyBorder="1" applyAlignment="1">
      <alignment horizontal="center" vertical="center" wrapText="1"/>
    </xf>
    <xf numFmtId="164" fontId="92" fillId="0" borderId="2" xfId="1" applyNumberFormat="1" applyFont="1" applyBorder="1" applyAlignment="1">
      <alignment horizontal="center" vertical="center" wrapText="1"/>
    </xf>
    <xf numFmtId="164" fontId="92" fillId="0" borderId="3" xfId="1" applyNumberFormat="1" applyFont="1" applyBorder="1" applyAlignment="1">
      <alignment horizontal="center" vertical="center" wrapText="1"/>
    </xf>
    <xf numFmtId="164" fontId="92" fillId="0" borderId="4" xfId="1" applyNumberFormat="1" applyFont="1" applyBorder="1" applyAlignment="1">
      <alignment horizontal="center" vertical="center" wrapText="1"/>
    </xf>
    <xf numFmtId="0" fontId="92" fillId="0" borderId="2" xfId="0" applyFont="1" applyBorder="1" applyAlignment="1">
      <alignment horizontal="left" vertical="top" wrapText="1"/>
    </xf>
    <xf numFmtId="0" fontId="92" fillId="0" borderId="3" xfId="0" applyFont="1" applyBorder="1" applyAlignment="1">
      <alignment horizontal="left" vertical="top" wrapText="1"/>
    </xf>
    <xf numFmtId="0" fontId="92" fillId="0" borderId="4" xfId="0" applyFont="1" applyBorder="1" applyAlignment="1">
      <alignment horizontal="left" vertical="top" wrapText="1"/>
    </xf>
    <xf numFmtId="0" fontId="3" fillId="0" borderId="1" xfId="0" applyFont="1" applyBorder="1" applyAlignment="1">
      <alignment vertical="center"/>
    </xf>
    <xf numFmtId="0" fontId="3" fillId="0" borderId="1" xfId="0" applyFont="1" applyBorder="1" applyAlignment="1">
      <alignment horizontal="right" vertical="center"/>
    </xf>
    <xf numFmtId="0" fontId="0" fillId="0" borderId="1" xfId="0" applyBorder="1" applyAlignment="1">
      <alignment vertical="center" wrapText="1"/>
    </xf>
    <xf numFmtId="2"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3" fillId="0" borderId="11" xfId="0" applyFont="1" applyBorder="1" applyAlignment="1">
      <alignment horizontal="left" vertical="top" wrapText="1"/>
    </xf>
    <xf numFmtId="0" fontId="91" fillId="0" borderId="1" xfId="0" applyFont="1" applyBorder="1" applyAlignment="1">
      <alignment vertical="center" wrapText="1"/>
    </xf>
    <xf numFmtId="0" fontId="91" fillId="0" borderId="1" xfId="0" applyFont="1" applyBorder="1" applyAlignment="1">
      <alignment vertical="center"/>
    </xf>
    <xf numFmtId="0" fontId="91" fillId="0" borderId="2"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4" xfId="0" applyFont="1" applyBorder="1" applyAlignment="1">
      <alignment horizontal="center" vertical="center" wrapText="1"/>
    </xf>
    <xf numFmtId="0" fontId="92" fillId="0" borderId="1" xfId="0" applyFont="1" applyBorder="1" applyAlignment="1">
      <alignment vertical="center" wrapText="1"/>
    </xf>
    <xf numFmtId="177" fontId="91" fillId="3" borderId="2" xfId="0" applyNumberFormat="1" applyFont="1" applyFill="1" applyBorder="1" applyAlignment="1">
      <alignment horizontal="center" vertical="center" wrapText="1"/>
    </xf>
    <xf numFmtId="177" fontId="91" fillId="3" borderId="3" xfId="0" applyNumberFormat="1" applyFont="1" applyFill="1" applyBorder="1" applyAlignment="1">
      <alignment horizontal="center" vertical="center" wrapText="1"/>
    </xf>
    <xf numFmtId="177" fontId="91" fillId="3" borderId="4" xfId="0" applyNumberFormat="1" applyFont="1" applyFill="1" applyBorder="1" applyAlignment="1">
      <alignment horizontal="center" vertical="center" wrapText="1"/>
    </xf>
    <xf numFmtId="190" fontId="91" fillId="3" borderId="2" xfId="0" applyNumberFormat="1" applyFont="1" applyFill="1" applyBorder="1" applyAlignment="1">
      <alignment horizontal="center" vertical="center" wrapText="1"/>
    </xf>
    <xf numFmtId="190" fontId="91" fillId="3" borderId="3" xfId="0" applyNumberFormat="1" applyFont="1" applyFill="1" applyBorder="1" applyAlignment="1">
      <alignment horizontal="center" vertical="center" wrapText="1"/>
    </xf>
    <xf numFmtId="190" fontId="91" fillId="3" borderId="4" xfId="0" applyNumberFormat="1" applyFont="1" applyFill="1" applyBorder="1" applyAlignment="1">
      <alignment horizontal="center" vertical="center" wrapText="1"/>
    </xf>
    <xf numFmtId="190" fontId="91" fillId="18" borderId="2" xfId="0" applyNumberFormat="1" applyFont="1" applyFill="1" applyBorder="1" applyAlignment="1">
      <alignment horizontal="center" vertical="center" wrapText="1"/>
    </xf>
    <xf numFmtId="190" fontId="91" fillId="18" borderId="3" xfId="0" applyNumberFormat="1" applyFont="1" applyFill="1" applyBorder="1" applyAlignment="1">
      <alignment horizontal="center" vertical="center" wrapText="1"/>
    </xf>
    <xf numFmtId="190" fontId="91" fillId="18" borderId="4" xfId="0" applyNumberFormat="1" applyFont="1" applyFill="1" applyBorder="1" applyAlignment="1">
      <alignment horizontal="center" vertical="center" wrapText="1"/>
    </xf>
    <xf numFmtId="0" fontId="188" fillId="0" borderId="11" xfId="0" applyFont="1" applyBorder="1" applyAlignment="1">
      <alignment vertical="top" wrapText="1"/>
    </xf>
    <xf numFmtId="0" fontId="102" fillId="0" borderId="13"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8"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9" xfId="0" applyFont="1" applyBorder="1" applyAlignment="1">
      <alignment horizontal="center" vertical="center" wrapText="1"/>
    </xf>
    <xf numFmtId="0" fontId="102" fillId="0" borderId="2" xfId="0" applyFont="1" applyBorder="1" applyAlignment="1">
      <alignment horizontal="center" vertical="center" wrapText="1"/>
    </xf>
    <xf numFmtId="0" fontId="102" fillId="0" borderId="3" xfId="0" applyFont="1" applyBorder="1" applyAlignment="1">
      <alignment horizontal="center" vertical="center" wrapText="1"/>
    </xf>
    <xf numFmtId="0" fontId="102" fillId="0" borderId="4" xfId="0" applyFont="1" applyBorder="1" applyAlignment="1">
      <alignment horizontal="center" vertical="center" wrapText="1"/>
    </xf>
    <xf numFmtId="0" fontId="102" fillId="0" borderId="1" xfId="0" applyFont="1" applyBorder="1" applyAlignment="1">
      <alignment horizontal="center" vertical="center" wrapText="1"/>
    </xf>
    <xf numFmtId="0" fontId="100" fillId="0" borderId="2" xfId="0" applyFont="1" applyBorder="1" applyAlignment="1">
      <alignment vertical="center" wrapText="1"/>
    </xf>
    <xf numFmtId="0" fontId="100" fillId="0" borderId="3" xfId="0" applyFont="1" applyBorder="1" applyAlignment="1">
      <alignment vertical="center" wrapText="1"/>
    </xf>
    <xf numFmtId="0" fontId="100" fillId="0" borderId="4" xfId="0" applyFont="1" applyBorder="1" applyAlignment="1">
      <alignment vertical="center" wrapText="1"/>
    </xf>
    <xf numFmtId="165" fontId="102" fillId="3" borderId="2" xfId="0" applyNumberFormat="1" applyFont="1" applyFill="1" applyBorder="1" applyAlignment="1">
      <alignment horizontal="center" vertical="center" wrapText="1"/>
    </xf>
    <xf numFmtId="165" fontId="102" fillId="3" borderId="3" xfId="0" applyNumberFormat="1" applyFont="1" applyFill="1" applyBorder="1" applyAlignment="1">
      <alignment horizontal="center" vertical="center" wrapText="1"/>
    </xf>
    <xf numFmtId="2" fontId="102" fillId="3" borderId="2" xfId="0" applyNumberFormat="1" applyFont="1" applyFill="1" applyBorder="1" applyAlignment="1">
      <alignment horizontal="center" vertical="center" wrapText="1"/>
    </xf>
    <xf numFmtId="2" fontId="102" fillId="3" borderId="3" xfId="0" applyNumberFormat="1" applyFont="1" applyFill="1" applyBorder="1" applyAlignment="1">
      <alignment horizontal="center" vertical="center" wrapText="1"/>
    </xf>
    <xf numFmtId="190" fontId="102" fillId="18" borderId="2" xfId="0" applyNumberFormat="1" applyFont="1" applyFill="1" applyBorder="1" applyAlignment="1">
      <alignment horizontal="center" vertical="center" wrapText="1"/>
    </xf>
    <xf numFmtId="190" fontId="102" fillId="18" borderId="3" xfId="0" applyNumberFormat="1" applyFont="1" applyFill="1" applyBorder="1" applyAlignment="1">
      <alignment horizontal="center" vertical="center" wrapText="1"/>
    </xf>
    <xf numFmtId="190" fontId="102" fillId="18" borderId="4" xfId="0" applyNumberFormat="1" applyFont="1" applyFill="1" applyBorder="1" applyAlignment="1">
      <alignment horizontal="center" vertical="center" wrapText="1"/>
    </xf>
    <xf numFmtId="0" fontId="92" fillId="0" borderId="1" xfId="0" applyFont="1" applyBorder="1" applyAlignment="1">
      <alignment vertical="center"/>
    </xf>
    <xf numFmtId="177" fontId="102" fillId="3" borderId="2" xfId="0" applyNumberFormat="1" applyFont="1" applyFill="1" applyBorder="1" applyAlignment="1">
      <alignment horizontal="center" vertical="center" wrapText="1"/>
    </xf>
    <xf numFmtId="177" fontId="102" fillId="3" borderId="3" xfId="0" applyNumberFormat="1" applyFont="1" applyFill="1" applyBorder="1" applyAlignment="1">
      <alignment horizontal="center" vertical="center" wrapText="1"/>
    </xf>
    <xf numFmtId="177" fontId="102" fillId="3" borderId="4" xfId="0" applyNumberFormat="1" applyFont="1" applyFill="1" applyBorder="1" applyAlignment="1">
      <alignment horizontal="center" vertical="center" wrapText="1"/>
    </xf>
    <xf numFmtId="190" fontId="102" fillId="3" borderId="2" xfId="0" applyNumberFormat="1" applyFont="1" applyFill="1" applyBorder="1" applyAlignment="1">
      <alignment horizontal="center" vertical="center" wrapText="1"/>
    </xf>
    <xf numFmtId="190" fontId="102" fillId="3" borderId="3" xfId="0" applyNumberFormat="1" applyFont="1" applyFill="1" applyBorder="1" applyAlignment="1">
      <alignment horizontal="center" vertical="center" wrapText="1"/>
    </xf>
    <xf numFmtId="190" fontId="102" fillId="3" borderId="4" xfId="0" applyNumberFormat="1" applyFont="1" applyFill="1" applyBorder="1" applyAlignment="1">
      <alignment horizontal="center" vertical="center" wrapText="1"/>
    </xf>
    <xf numFmtId="164" fontId="18" fillId="13" borderId="2" xfId="0" applyNumberFormat="1" applyFont="1" applyFill="1" applyBorder="1" applyAlignment="1" applyProtection="1">
      <alignment horizontal="center" vertical="center"/>
      <protection locked="0"/>
    </xf>
    <xf numFmtId="164" fontId="18" fillId="13" borderId="3" xfId="0" applyNumberFormat="1" applyFont="1" applyFill="1" applyBorder="1" applyAlignment="1" applyProtection="1">
      <alignment horizontal="center" vertical="center"/>
      <protection locked="0"/>
    </xf>
    <xf numFmtId="164" fontId="18" fillId="13" borderId="4" xfId="0" applyNumberFormat="1" applyFont="1" applyFill="1" applyBorder="1" applyAlignment="1" applyProtection="1">
      <alignment horizontal="center" vertical="center"/>
      <protection locked="0"/>
    </xf>
    <xf numFmtId="164" fontId="0" fillId="0" borderId="2" xfId="0" applyNumberFormat="1" applyBorder="1" applyAlignment="1">
      <alignment horizontal="center" vertical="center"/>
    </xf>
    <xf numFmtId="164" fontId="0" fillId="0" borderId="3" xfId="0" applyNumberFormat="1" applyBorder="1" applyAlignment="1">
      <alignment horizontal="center" vertical="center"/>
    </xf>
    <xf numFmtId="164" fontId="0" fillId="0" borderId="4" xfId="0" applyNumberFormat="1" applyBorder="1" applyAlignment="1">
      <alignment horizontal="center" vertical="center"/>
    </xf>
    <xf numFmtId="177" fontId="214" fillId="3" borderId="2" xfId="0" applyNumberFormat="1" applyFont="1" applyFill="1" applyBorder="1" applyAlignment="1">
      <alignment horizontal="center" vertical="center" wrapText="1"/>
    </xf>
    <xf numFmtId="177" fontId="214" fillId="3" borderId="3" xfId="0" applyNumberFormat="1" applyFont="1" applyFill="1" applyBorder="1" applyAlignment="1">
      <alignment horizontal="center" vertical="center" wrapText="1"/>
    </xf>
    <xf numFmtId="177" fontId="214" fillId="3" borderId="4" xfId="0" applyNumberFormat="1" applyFont="1" applyFill="1" applyBorder="1" applyAlignment="1">
      <alignment horizontal="center" vertical="center" wrapText="1"/>
    </xf>
    <xf numFmtId="190" fontId="214" fillId="3" borderId="2" xfId="0" applyNumberFormat="1" applyFont="1" applyFill="1" applyBorder="1" applyAlignment="1">
      <alignment horizontal="center" vertical="center" wrapText="1"/>
    </xf>
    <xf numFmtId="190" fontId="214" fillId="3" borderId="3" xfId="0" applyNumberFormat="1" applyFont="1" applyFill="1" applyBorder="1" applyAlignment="1">
      <alignment horizontal="center" vertical="center" wrapText="1"/>
    </xf>
    <xf numFmtId="190" fontId="214" fillId="3" borderId="4" xfId="0" applyNumberFormat="1" applyFont="1" applyFill="1" applyBorder="1" applyAlignment="1">
      <alignment horizontal="center" vertical="center" wrapText="1"/>
    </xf>
    <xf numFmtId="190" fontId="214" fillId="18" borderId="2" xfId="0" applyNumberFormat="1" applyFont="1" applyFill="1" applyBorder="1" applyAlignment="1">
      <alignment horizontal="center" vertical="center" wrapText="1"/>
    </xf>
    <xf numFmtId="190" fontId="214" fillId="18" borderId="3" xfId="0" applyNumberFormat="1" applyFont="1" applyFill="1" applyBorder="1" applyAlignment="1">
      <alignment horizontal="center" vertical="center" wrapText="1"/>
    </xf>
    <xf numFmtId="190" fontId="214" fillId="18" borderId="4" xfId="0" applyNumberFormat="1" applyFont="1" applyFill="1" applyBorder="1" applyAlignment="1">
      <alignment horizontal="center" vertical="center" wrapText="1"/>
    </xf>
    <xf numFmtId="165" fontId="214" fillId="3" borderId="2" xfId="0" applyNumberFormat="1" applyFont="1" applyFill="1" applyBorder="1" applyAlignment="1">
      <alignment horizontal="center" vertical="center" wrapText="1"/>
    </xf>
    <xf numFmtId="165" fontId="214" fillId="3" borderId="3" xfId="0" applyNumberFormat="1" applyFont="1" applyFill="1" applyBorder="1" applyAlignment="1">
      <alignment horizontal="center" vertical="center" wrapText="1"/>
    </xf>
    <xf numFmtId="2" fontId="214" fillId="3" borderId="2" xfId="0" applyNumberFormat="1" applyFont="1" applyFill="1" applyBorder="1" applyAlignment="1">
      <alignment horizontal="center" vertical="center" wrapText="1"/>
    </xf>
    <xf numFmtId="2" fontId="214" fillId="3" borderId="3" xfId="0" applyNumberFormat="1" applyFont="1" applyFill="1" applyBorder="1" applyAlignment="1">
      <alignment horizontal="center" vertical="center" wrapText="1"/>
    </xf>
    <xf numFmtId="0" fontId="92" fillId="0" borderId="2" xfId="0" applyFont="1" applyBorder="1" applyAlignment="1">
      <alignment horizontal="center" vertical="center"/>
    </xf>
    <xf numFmtId="0" fontId="92" fillId="0" borderId="3" xfId="0" applyFont="1" applyBorder="1" applyAlignment="1">
      <alignment horizontal="center" vertical="center"/>
    </xf>
    <xf numFmtId="0" fontId="92" fillId="0" borderId="4" xfId="0" applyFont="1" applyBorder="1" applyAlignment="1">
      <alignment horizontal="center" vertical="center"/>
    </xf>
    <xf numFmtId="0" fontId="96" fillId="0" borderId="2" xfId="0" applyFont="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3" borderId="9" xfId="0" applyFill="1" applyBorder="1" applyAlignment="1">
      <alignment horizontal="center" vertical="center"/>
    </xf>
    <xf numFmtId="0" fontId="0" fillId="3" borderId="10" xfId="0" applyFill="1" applyBorder="1" applyAlignment="1">
      <alignment horizontal="center" vertical="center"/>
    </xf>
    <xf numFmtId="0" fontId="3" fillId="2" borderId="0" xfId="0" applyFont="1" applyFill="1" applyAlignment="1">
      <alignment horizontal="lef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0" fillId="0" borderId="0" xfId="0" applyAlignment="1">
      <alignment horizontal="right" vertical="center"/>
    </xf>
    <xf numFmtId="0" fontId="0" fillId="0" borderId="0" xfId="0" quotePrefix="1" applyAlignment="1">
      <alignment horizontal="left" vertical="center"/>
    </xf>
    <xf numFmtId="0" fontId="5" fillId="0" borderId="0" xfId="0" applyFont="1" applyAlignment="1">
      <alignment vertical="center" wrapText="1"/>
    </xf>
    <xf numFmtId="0" fontId="22" fillId="0" borderId="0" xfId="0" applyFont="1" applyAlignment="1">
      <alignment vertical="center" wrapText="1"/>
    </xf>
    <xf numFmtId="0" fontId="91" fillId="0" borderId="2" xfId="0" applyFont="1" applyBorder="1" applyAlignment="1">
      <alignment horizontal="center" vertical="center"/>
    </xf>
    <xf numFmtId="0" fontId="91" fillId="0" borderId="3" xfId="0" applyFont="1" applyBorder="1" applyAlignment="1">
      <alignment horizontal="center" vertical="center"/>
    </xf>
    <xf numFmtId="0" fontId="92" fillId="0" borderId="2" xfId="0" quotePrefix="1" applyFont="1" applyBorder="1" applyAlignment="1">
      <alignment horizontal="center" vertical="center"/>
    </xf>
    <xf numFmtId="0" fontId="92" fillId="0" borderId="13" xfId="0" applyFont="1" applyBorder="1" applyAlignment="1">
      <alignment vertical="center" wrapText="1"/>
    </xf>
    <xf numFmtId="0" fontId="92" fillId="0" borderId="14" xfId="0" applyFont="1" applyBorder="1" applyAlignment="1">
      <alignment vertical="center" wrapText="1"/>
    </xf>
    <xf numFmtId="0" fontId="92" fillId="0" borderId="15" xfId="0" applyFont="1" applyBorder="1" applyAlignment="1">
      <alignment vertical="center" wrapText="1"/>
    </xf>
    <xf numFmtId="0" fontId="92" fillId="0" borderId="18" xfId="0" applyFont="1" applyBorder="1" applyAlignment="1">
      <alignment vertical="center" wrapText="1"/>
    </xf>
    <xf numFmtId="0" fontId="92" fillId="0" borderId="11" xfId="0" applyFont="1" applyBorder="1" applyAlignment="1">
      <alignment vertical="center" wrapText="1"/>
    </xf>
    <xf numFmtId="0" fontId="92" fillId="0" borderId="19" xfId="0" applyFont="1" applyBorder="1" applyAlignment="1">
      <alignment vertical="center" wrapText="1"/>
    </xf>
    <xf numFmtId="3" fontId="92" fillId="0" borderId="2" xfId="0" applyNumberFormat="1" applyFont="1" applyBorder="1" applyAlignment="1">
      <alignment horizontal="left" vertical="center"/>
    </xf>
    <xf numFmtId="3" fontId="92" fillId="0" borderId="1" xfId="0" applyNumberFormat="1" applyFont="1" applyBorder="1" applyAlignment="1">
      <alignment horizontal="center" vertical="center"/>
    </xf>
    <xf numFmtId="0" fontId="58" fillId="0" borderId="14" xfId="0" applyFont="1" applyBorder="1" applyAlignment="1">
      <alignment horizontal="left" vertical="top" wrapText="1"/>
    </xf>
    <xf numFmtId="0" fontId="91" fillId="0" borderId="1" xfId="0" applyFont="1" applyBorder="1" applyAlignment="1">
      <alignment horizontal="left" vertical="center" wrapText="1"/>
    </xf>
    <xf numFmtId="0" fontId="91" fillId="0" borderId="1" xfId="0" applyFont="1" applyBorder="1" applyAlignment="1">
      <alignment horizontal="center" vertical="center" wrapText="1"/>
    </xf>
    <xf numFmtId="2" fontId="92" fillId="0" borderId="1" xfId="0" applyNumberFormat="1" applyFont="1" applyBorder="1" applyAlignment="1">
      <alignment horizontal="center" vertical="center"/>
    </xf>
    <xf numFmtId="0" fontId="91" fillId="0" borderId="1" xfId="0" applyFont="1" applyBorder="1" applyAlignment="1">
      <alignment horizontal="left" vertical="center"/>
    </xf>
    <xf numFmtId="0" fontId="92" fillId="0" borderId="1" xfId="0" applyFont="1" applyBorder="1" applyAlignment="1">
      <alignment horizontal="center" vertical="center"/>
    </xf>
    <xf numFmtId="0" fontId="18" fillId="13" borderId="1" xfId="0" applyFont="1" applyFill="1" applyBorder="1" applyAlignment="1" applyProtection="1">
      <alignment horizontal="center"/>
      <protection locked="0"/>
    </xf>
    <xf numFmtId="2" fontId="18" fillId="13" borderId="1" xfId="0" applyNumberFormat="1" applyFont="1" applyFill="1" applyBorder="1" applyAlignment="1" applyProtection="1">
      <alignment horizontal="center"/>
      <protection locked="0"/>
    </xf>
    <xf numFmtId="0" fontId="3" fillId="0" borderId="6" xfId="0" applyFont="1" applyBorder="1" applyAlignment="1">
      <alignment horizontal="center" vertical="center" wrapText="1"/>
    </xf>
    <xf numFmtId="0" fontId="3" fillId="0" borderId="50" xfId="0" applyFont="1" applyBorder="1" applyAlignment="1">
      <alignment horizontal="center" vertical="center"/>
    </xf>
    <xf numFmtId="177" fontId="148" fillId="3" borderId="9" xfId="0" applyNumberFormat="1" applyFont="1" applyFill="1" applyBorder="1" applyAlignment="1">
      <alignment horizontal="center"/>
    </xf>
    <xf numFmtId="190" fontId="148" fillId="3" borderId="9" xfId="0" applyNumberFormat="1" applyFont="1" applyFill="1" applyBorder="1" applyAlignment="1">
      <alignment horizontal="center"/>
    </xf>
    <xf numFmtId="190" fontId="148" fillId="3" borderId="40" xfId="0" applyNumberFormat="1" applyFont="1" applyFill="1" applyBorder="1" applyAlignment="1">
      <alignment horizontal="center"/>
    </xf>
    <xf numFmtId="190" fontId="148" fillId="18" borderId="9" xfId="0" applyNumberFormat="1" applyFont="1" applyFill="1" applyBorder="1" applyAlignment="1">
      <alignment horizontal="center"/>
    </xf>
    <xf numFmtId="190" fontId="148" fillId="18" borderId="10" xfId="0" applyNumberFormat="1" applyFont="1" applyFill="1" applyBorder="1" applyAlignment="1">
      <alignment horizontal="center"/>
    </xf>
    <xf numFmtId="2" fontId="18" fillId="13" borderId="2" xfId="0" applyNumberFormat="1" applyFont="1" applyFill="1" applyBorder="1" applyAlignment="1" applyProtection="1">
      <alignment horizontal="center"/>
      <protection locked="0"/>
    </xf>
    <xf numFmtId="2" fontId="18" fillId="13" borderId="3" xfId="0" applyNumberFormat="1" applyFont="1" applyFill="1" applyBorder="1" applyAlignment="1" applyProtection="1">
      <alignment horizontal="center"/>
      <protection locked="0"/>
    </xf>
    <xf numFmtId="2" fontId="18" fillId="13" borderId="4" xfId="0" applyNumberFormat="1" applyFont="1" applyFill="1" applyBorder="1" applyAlignment="1" applyProtection="1">
      <alignment horizontal="center"/>
      <protection locked="0"/>
    </xf>
    <xf numFmtId="3" fontId="18" fillId="13" borderId="1" xfId="0" applyNumberFormat="1" applyFont="1" applyFill="1" applyBorder="1" applyAlignment="1" applyProtection="1">
      <alignment horizontal="center"/>
      <protection locked="0"/>
    </xf>
    <xf numFmtId="164" fontId="18" fillId="13" borderId="1" xfId="0" applyNumberFormat="1" applyFont="1" applyFill="1" applyBorder="1" applyAlignment="1" applyProtection="1">
      <alignment horizontal="center"/>
      <protection locked="0"/>
    </xf>
    <xf numFmtId="0" fontId="31" fillId="2" borderId="1" xfId="0" applyFont="1" applyFill="1" applyBorder="1" applyAlignment="1">
      <alignment horizontal="left" vertical="center"/>
    </xf>
    <xf numFmtId="0" fontId="52" fillId="0" borderId="0" xfId="0" applyFont="1" applyAlignment="1">
      <alignment vertical="top" wrapText="1"/>
    </xf>
    <xf numFmtId="0" fontId="22" fillId="0" borderId="20" xfId="0" quotePrefix="1" applyFont="1" applyBorder="1" applyAlignment="1">
      <alignment horizontal="center" vertical="center"/>
    </xf>
    <xf numFmtId="177" fontId="22" fillId="3" borderId="1" xfId="0" applyNumberFormat="1" applyFont="1" applyFill="1" applyBorder="1" applyAlignment="1">
      <alignment horizontal="center" vertical="center"/>
    </xf>
    <xf numFmtId="208" fontId="22" fillId="3" borderId="2" xfId="0" applyNumberFormat="1" applyFont="1" applyFill="1" applyBorder="1" applyAlignment="1">
      <alignment horizontal="center" vertical="center"/>
    </xf>
    <xf numFmtId="208" fontId="22" fillId="3" borderId="3" xfId="0" applyNumberFormat="1" applyFont="1" applyFill="1" applyBorder="1" applyAlignment="1">
      <alignment horizontal="center" vertical="center"/>
    </xf>
    <xf numFmtId="208" fontId="22" fillId="3" borderId="4" xfId="0" applyNumberFormat="1" applyFont="1" applyFill="1" applyBorder="1" applyAlignment="1">
      <alignment horizontal="center" vertical="center"/>
    </xf>
    <xf numFmtId="208" fontId="22" fillId="18" borderId="1" xfId="0" applyNumberFormat="1" applyFont="1" applyFill="1" applyBorder="1" applyAlignment="1">
      <alignment horizontal="center" vertical="center"/>
    </xf>
    <xf numFmtId="208" fontId="22" fillId="18" borderId="21" xfId="0" applyNumberFormat="1" applyFont="1" applyFill="1" applyBorder="1" applyAlignment="1">
      <alignment horizontal="center" vertical="center"/>
    </xf>
    <xf numFmtId="0" fontId="52" fillId="0" borderId="20" xfId="0" quotePrefix="1" applyFont="1" applyBorder="1" applyAlignment="1">
      <alignment horizontal="center" vertical="center"/>
    </xf>
    <xf numFmtId="0" fontId="52" fillId="0" borderId="1" xfId="0" applyFont="1" applyBorder="1" applyAlignment="1">
      <alignment horizontal="center" vertical="center"/>
    </xf>
    <xf numFmtId="0" fontId="52" fillId="0" borderId="8" xfId="0" quotePrefix="1" applyFont="1" applyBorder="1" applyAlignment="1">
      <alignment horizontal="center" vertical="center"/>
    </xf>
    <xf numFmtId="0" fontId="52" fillId="0" borderId="9" xfId="0" applyFont="1" applyBorder="1" applyAlignment="1">
      <alignment horizontal="center" vertical="center"/>
    </xf>
    <xf numFmtId="177" fontId="22" fillId="3" borderId="9" xfId="0" applyNumberFormat="1" applyFont="1" applyFill="1" applyBorder="1" applyAlignment="1">
      <alignment horizontal="center" vertical="center"/>
    </xf>
    <xf numFmtId="208" fontId="22" fillId="3" borderId="40" xfId="0" applyNumberFormat="1" applyFont="1" applyFill="1" applyBorder="1" applyAlignment="1">
      <alignment horizontal="center" vertical="center"/>
    </xf>
    <xf numFmtId="208" fontId="22" fillId="3" borderId="41" xfId="0" applyNumberFormat="1" applyFont="1" applyFill="1" applyBorder="1" applyAlignment="1">
      <alignment horizontal="center" vertical="center"/>
    </xf>
    <xf numFmtId="208" fontId="22" fillId="3" borderId="42" xfId="0" applyNumberFormat="1" applyFont="1" applyFill="1" applyBorder="1" applyAlignment="1">
      <alignment horizontal="center" vertical="center"/>
    </xf>
    <xf numFmtId="208" fontId="22" fillId="18" borderId="9" xfId="0" applyNumberFormat="1" applyFont="1" applyFill="1" applyBorder="1" applyAlignment="1">
      <alignment horizontal="center" vertical="center"/>
    </xf>
    <xf numFmtId="208" fontId="22" fillId="18" borderId="10" xfId="0" applyNumberFormat="1" applyFont="1" applyFill="1" applyBorder="1" applyAlignment="1">
      <alignment horizontal="center" vertical="center"/>
    </xf>
    <xf numFmtId="0" fontId="141" fillId="0" borderId="0" xfId="10" applyFont="1" applyAlignment="1">
      <alignment horizontal="left"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horizontal="center" vertical="center"/>
    </xf>
    <xf numFmtId="0" fontId="31" fillId="0" borderId="7" xfId="0" applyFont="1" applyBorder="1" applyAlignment="1">
      <alignment horizontal="center" vertical="center"/>
    </xf>
    <xf numFmtId="16" fontId="22" fillId="0" borderId="20" xfId="0" quotePrefix="1" applyNumberFormat="1" applyFont="1" applyBorder="1" applyAlignment="1">
      <alignment horizontal="center" vertical="center"/>
    </xf>
    <xf numFmtId="208" fontId="22" fillId="3" borderId="1" xfId="0" applyNumberFormat="1" applyFont="1" applyFill="1" applyBorder="1" applyAlignment="1">
      <alignment horizontal="center" vertical="center"/>
    </xf>
    <xf numFmtId="0" fontId="100" fillId="0" borderId="2" xfId="10" applyFont="1" applyBorder="1" applyAlignment="1">
      <alignment horizontal="left" vertical="center"/>
    </xf>
    <xf numFmtId="0" fontId="100" fillId="0" borderId="3" xfId="10" applyFont="1" applyBorder="1" applyAlignment="1">
      <alignment horizontal="left" vertical="center"/>
    </xf>
    <xf numFmtId="0" fontId="100" fillId="0" borderId="4" xfId="10" applyFont="1" applyBorder="1" applyAlignment="1">
      <alignment horizontal="left" vertical="center"/>
    </xf>
    <xf numFmtId="4" fontId="100" fillId="0" borderId="2" xfId="0" applyNumberFormat="1" applyFont="1" applyBorder="1" applyAlignment="1">
      <alignment horizontal="center" vertical="center" wrapText="1"/>
    </xf>
    <xf numFmtId="4" fontId="100" fillId="0" borderId="3" xfId="0" applyNumberFormat="1" applyFont="1" applyBorder="1" applyAlignment="1">
      <alignment horizontal="center" vertical="center" wrapText="1"/>
    </xf>
    <xf numFmtId="4" fontId="100" fillId="0" borderId="4" xfId="0" applyNumberFormat="1" applyFont="1" applyBorder="1" applyAlignment="1">
      <alignment horizontal="center" vertical="center" wrapText="1"/>
    </xf>
    <xf numFmtId="0" fontId="100" fillId="0" borderId="2" xfId="10" applyFont="1" applyBorder="1" applyAlignment="1">
      <alignment horizontal="left" vertical="center" wrapText="1"/>
    </xf>
    <xf numFmtId="0" fontId="100" fillId="0" borderId="3" xfId="10" applyFont="1" applyBorder="1" applyAlignment="1">
      <alignment horizontal="left" vertical="center" wrapText="1"/>
    </xf>
    <xf numFmtId="0" fontId="100" fillId="0" borderId="4" xfId="10" applyFont="1" applyBorder="1" applyAlignment="1">
      <alignment horizontal="left" vertical="center" wrapText="1"/>
    </xf>
    <xf numFmtId="3" fontId="100" fillId="0" borderId="2" xfId="0" applyNumberFormat="1" applyFont="1" applyBorder="1" applyAlignment="1">
      <alignment horizontal="center" vertical="center" wrapText="1"/>
    </xf>
    <xf numFmtId="3" fontId="100" fillId="0" borderId="3" xfId="0" applyNumberFormat="1" applyFont="1" applyBorder="1" applyAlignment="1">
      <alignment horizontal="center" vertical="center" wrapText="1"/>
    </xf>
    <xf numFmtId="3" fontId="100" fillId="0" borderId="4" xfId="0" applyNumberFormat="1" applyFont="1" applyBorder="1" applyAlignment="1">
      <alignment horizontal="center" vertical="center" wrapText="1"/>
    </xf>
    <xf numFmtId="0" fontId="141" fillId="0" borderId="14" xfId="10" applyFont="1" applyBorder="1" applyAlignment="1">
      <alignment horizontal="left" vertical="center" wrapText="1"/>
    </xf>
    <xf numFmtId="0" fontId="22" fillId="0" borderId="14" xfId="0" applyFont="1" applyBorder="1" applyAlignment="1">
      <alignment vertical="center" wrapText="1"/>
    </xf>
    <xf numFmtId="2" fontId="100" fillId="0" borderId="2" xfId="0" applyNumberFormat="1" applyFont="1" applyBorder="1" applyAlignment="1">
      <alignment horizontal="center" vertical="center" wrapText="1"/>
    </xf>
    <xf numFmtId="2" fontId="100" fillId="0" borderId="3" xfId="0" applyNumberFormat="1" applyFont="1" applyBorder="1" applyAlignment="1">
      <alignment horizontal="center" vertical="center" wrapText="1"/>
    </xf>
    <xf numFmtId="2" fontId="100" fillId="0" borderId="4" xfId="0" applyNumberFormat="1" applyFont="1" applyBorder="1" applyAlignment="1">
      <alignment horizontal="center" vertical="center" wrapText="1"/>
    </xf>
    <xf numFmtId="9" fontId="100" fillId="0" borderId="2" xfId="0" applyNumberFormat="1" applyFont="1" applyBorder="1" applyAlignment="1">
      <alignment horizontal="center" vertical="center" wrapText="1"/>
    </xf>
    <xf numFmtId="9" fontId="100" fillId="0" borderId="3" xfId="0" applyNumberFormat="1" applyFont="1" applyBorder="1" applyAlignment="1">
      <alignment horizontal="center" vertical="center" wrapText="1"/>
    </xf>
    <xf numFmtId="9" fontId="100" fillId="0" borderId="4" xfId="0" applyNumberFormat="1" applyFont="1" applyBorder="1" applyAlignment="1">
      <alignment horizontal="center" vertical="center" wrapText="1"/>
    </xf>
    <xf numFmtId="0" fontId="31" fillId="16" borderId="2" xfId="0" applyFont="1" applyFill="1" applyBorder="1" applyAlignment="1">
      <alignment horizontal="center" vertical="center"/>
    </xf>
    <xf numFmtId="0" fontId="31" fillId="16" borderId="3" xfId="0" applyFont="1" applyFill="1" applyBorder="1" applyAlignment="1">
      <alignment horizontal="center" vertical="center"/>
    </xf>
    <xf numFmtId="0" fontId="31" fillId="16" borderId="4" xfId="0" applyFont="1" applyFill="1" applyBorder="1" applyAlignment="1">
      <alignment horizontal="center" vertical="center"/>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2" fontId="100" fillId="0" borderId="1" xfId="0" applyNumberFormat="1" applyFont="1" applyBorder="1" applyAlignment="1">
      <alignment horizontal="center" vertical="center" wrapText="1"/>
    </xf>
    <xf numFmtId="4" fontId="100" fillId="0" borderId="1" xfId="0" applyNumberFormat="1" applyFont="1" applyBorder="1" applyAlignment="1">
      <alignment horizontal="center" vertical="center" wrapText="1"/>
    </xf>
    <xf numFmtId="0" fontId="100" fillId="0" borderId="1" xfId="0" applyFont="1" applyBorder="1" applyAlignment="1">
      <alignment horizontal="center" vertical="center" wrapText="1"/>
    </xf>
    <xf numFmtId="3" fontId="100" fillId="0" borderId="1" xfId="0" applyNumberFormat="1" applyFont="1" applyBorder="1" applyAlignment="1">
      <alignment horizontal="center" vertical="center" wrapText="1"/>
    </xf>
    <xf numFmtId="9" fontId="100" fillId="0" borderId="1" xfId="0" applyNumberFormat="1" applyFont="1" applyBorder="1" applyAlignment="1">
      <alignment horizontal="center" vertical="center" wrapText="1"/>
    </xf>
    <xf numFmtId="0" fontId="102" fillId="0" borderId="0" xfId="0" applyFont="1" applyAlignment="1">
      <alignment horizontal="center" vertical="center" wrapText="1"/>
    </xf>
    <xf numFmtId="0" fontId="102" fillId="0" borderId="17" xfId="0" applyFont="1" applyBorder="1" applyAlignment="1">
      <alignment horizontal="center" vertical="center" wrapText="1"/>
    </xf>
    <xf numFmtId="0" fontId="102" fillId="0" borderId="22" xfId="0" applyFont="1" applyBorder="1" applyAlignment="1">
      <alignment horizontal="center" vertical="center" wrapText="1"/>
    </xf>
    <xf numFmtId="0" fontId="100" fillId="0" borderId="2" xfId="0" applyFont="1" applyBorder="1" applyAlignment="1">
      <alignment horizontal="left" vertical="center"/>
    </xf>
    <xf numFmtId="0" fontId="100" fillId="0" borderId="3" xfId="0" applyFont="1" applyBorder="1" applyAlignment="1">
      <alignment horizontal="left" vertical="center"/>
    </xf>
    <xf numFmtId="0" fontId="100" fillId="0" borderId="4" xfId="0" applyFont="1" applyBorder="1" applyAlignment="1">
      <alignment horizontal="left" vertical="center"/>
    </xf>
    <xf numFmtId="0" fontId="100" fillId="0" borderId="2" xfId="0" applyFont="1" applyBorder="1" applyAlignment="1">
      <alignment horizontal="center" vertical="center"/>
    </xf>
    <xf numFmtId="0" fontId="100" fillId="0" borderId="3" xfId="0" applyFont="1" applyBorder="1" applyAlignment="1">
      <alignment horizontal="center" vertical="center"/>
    </xf>
    <xf numFmtId="0" fontId="100" fillId="0" borderId="4" xfId="0" applyFont="1" applyBorder="1" applyAlignment="1">
      <alignment horizontal="center" vertical="center"/>
    </xf>
    <xf numFmtId="0" fontId="141" fillId="0" borderId="0" xfId="0" applyFont="1" applyAlignment="1">
      <alignment horizontal="left" vertical="top" wrapText="1"/>
    </xf>
    <xf numFmtId="0" fontId="31" fillId="0" borderId="0" xfId="0" applyFont="1" applyAlignment="1">
      <alignment horizontal="left" vertical="center" wrapText="1"/>
    </xf>
    <xf numFmtId="0" fontId="22" fillId="16" borderId="3" xfId="0" applyFont="1" applyFill="1" applyBorder="1" applyAlignment="1">
      <alignment horizontal="center" vertical="center"/>
    </xf>
    <xf numFmtId="0" fontId="22" fillId="16" borderId="4" xfId="0" applyFont="1" applyFill="1" applyBorder="1" applyAlignment="1">
      <alignment horizontal="center" vertical="center"/>
    </xf>
    <xf numFmtId="3" fontId="100" fillId="0" borderId="2" xfId="0" applyNumberFormat="1" applyFont="1" applyBorder="1" applyAlignment="1">
      <alignment horizontal="center" vertical="center"/>
    </xf>
    <xf numFmtId="3" fontId="100" fillId="0" borderId="3" xfId="0" applyNumberFormat="1" applyFont="1" applyBorder="1" applyAlignment="1">
      <alignment horizontal="center" vertical="center"/>
    </xf>
    <xf numFmtId="3" fontId="100" fillId="0" borderId="4" xfId="0" applyNumberFormat="1" applyFont="1" applyBorder="1" applyAlignment="1">
      <alignment horizontal="center" vertical="center"/>
    </xf>
    <xf numFmtId="9" fontId="100" fillId="0" borderId="2" xfId="0" applyNumberFormat="1" applyFont="1" applyBorder="1" applyAlignment="1">
      <alignment horizontal="center" vertical="center"/>
    </xf>
    <xf numFmtId="9" fontId="100" fillId="0" borderId="3" xfId="0" applyNumberFormat="1" applyFont="1" applyBorder="1" applyAlignment="1">
      <alignment horizontal="center" vertical="center"/>
    </xf>
    <xf numFmtId="9" fontId="100" fillId="0" borderId="4" xfId="0" applyNumberFormat="1" applyFont="1" applyBorder="1" applyAlignment="1">
      <alignment horizontal="center" vertical="center"/>
    </xf>
    <xf numFmtId="0" fontId="100" fillId="0" borderId="2" xfId="0" quotePrefix="1" applyFont="1" applyBorder="1" applyAlignment="1">
      <alignment horizontal="center" vertical="center"/>
    </xf>
    <xf numFmtId="0" fontId="102" fillId="0" borderId="2" xfId="0" applyFont="1" applyBorder="1" applyAlignment="1">
      <alignment horizontal="center" vertical="center"/>
    </xf>
    <xf numFmtId="0" fontId="102" fillId="0" borderId="3" xfId="0" applyFont="1" applyBorder="1" applyAlignment="1">
      <alignment horizontal="center" vertical="center"/>
    </xf>
    <xf numFmtId="0" fontId="102" fillId="0" borderId="4" xfId="0" applyFont="1" applyBorder="1" applyAlignment="1">
      <alignment horizontal="center" vertical="center"/>
    </xf>
    <xf numFmtId="1" fontId="100" fillId="0" borderId="2" xfId="0" applyNumberFormat="1" applyFont="1" applyBorder="1" applyAlignment="1">
      <alignment horizontal="center" vertical="center"/>
    </xf>
    <xf numFmtId="1" fontId="100" fillId="0" borderId="3" xfId="0" applyNumberFormat="1" applyFont="1" applyBorder="1" applyAlignment="1">
      <alignment horizontal="center" vertical="center"/>
    </xf>
    <xf numFmtId="1" fontId="100" fillId="0" borderId="4" xfId="0" applyNumberFormat="1" applyFont="1" applyBorder="1" applyAlignment="1">
      <alignment horizontal="center" vertical="center"/>
    </xf>
    <xf numFmtId="0" fontId="22" fillId="0" borderId="0" xfId="0" applyFont="1" applyAlignment="1">
      <alignment vertical="center"/>
    </xf>
    <xf numFmtId="0" fontId="22" fillId="0" borderId="0" xfId="0" applyFont="1" applyAlignment="1">
      <alignment horizontal="left" vertical="center" wrapText="1"/>
    </xf>
    <xf numFmtId="0" fontId="22" fillId="0" borderId="0" xfId="10" applyFont="1" applyAlignment="1">
      <alignment vertical="center"/>
    </xf>
    <xf numFmtId="4" fontId="100" fillId="0" borderId="2" xfId="0" applyNumberFormat="1" applyFont="1" applyBorder="1" applyAlignment="1">
      <alignment horizontal="center" vertical="center"/>
    </xf>
    <xf numFmtId="4" fontId="100" fillId="0" borderId="3" xfId="0" applyNumberFormat="1" applyFont="1" applyBorder="1" applyAlignment="1">
      <alignment horizontal="center" vertical="center"/>
    </xf>
    <xf numFmtId="4" fontId="100" fillId="0" borderId="4" xfId="0" applyNumberFormat="1" applyFont="1" applyBorder="1" applyAlignment="1">
      <alignment horizontal="center" vertical="center"/>
    </xf>
    <xf numFmtId="0" fontId="31" fillId="0" borderId="1" xfId="0" applyFont="1" applyBorder="1" applyAlignment="1">
      <alignment horizontal="center" vertical="center"/>
    </xf>
    <xf numFmtId="0" fontId="22" fillId="0" borderId="3" xfId="0" applyFont="1" applyBorder="1" applyAlignment="1">
      <alignment vertical="center" wrapText="1"/>
    </xf>
    <xf numFmtId="0" fontId="22" fillId="0" borderId="4" xfId="0" applyFont="1" applyBorder="1" applyAlignment="1">
      <alignment vertical="center" wrapText="1"/>
    </xf>
    <xf numFmtId="2" fontId="100" fillId="0" borderId="2" xfId="0" applyNumberFormat="1" applyFont="1" applyBorder="1" applyAlignment="1">
      <alignment horizontal="center" vertical="center"/>
    </xf>
    <xf numFmtId="2" fontId="100" fillId="0" borderId="3" xfId="0" applyNumberFormat="1" applyFont="1" applyBorder="1" applyAlignment="1">
      <alignment horizontal="center" vertical="center"/>
    </xf>
    <xf numFmtId="2" fontId="100" fillId="0" borderId="4" xfId="0" applyNumberFormat="1" applyFont="1" applyBorder="1" applyAlignment="1">
      <alignment horizontal="center" vertical="center"/>
    </xf>
    <xf numFmtId="0" fontId="100" fillId="0" borderId="1" xfId="10" applyFont="1" applyBorder="1" applyAlignment="1">
      <alignment horizontal="left" vertical="center" wrapText="1"/>
    </xf>
    <xf numFmtId="0" fontId="100" fillId="0" borderId="1" xfId="0" applyFont="1" applyBorder="1" applyAlignment="1">
      <alignment vertical="center" wrapText="1"/>
    </xf>
    <xf numFmtId="164" fontId="100" fillId="0" borderId="2" xfId="0" applyNumberFormat="1" applyFont="1" applyBorder="1" applyAlignment="1">
      <alignment horizontal="center" vertical="center"/>
    </xf>
    <xf numFmtId="164" fontId="100" fillId="0" borderId="3" xfId="0" applyNumberFormat="1" applyFont="1" applyBorder="1" applyAlignment="1">
      <alignment horizontal="center" vertical="center"/>
    </xf>
    <xf numFmtId="164" fontId="22" fillId="0" borderId="3" xfId="0" applyNumberFormat="1" applyFont="1" applyBorder="1" applyAlignment="1">
      <alignment horizontal="center" vertical="center"/>
    </xf>
    <xf numFmtId="164" fontId="22" fillId="0" borderId="4" xfId="0" applyNumberFormat="1" applyFont="1" applyBorder="1" applyAlignment="1">
      <alignment horizontal="center" vertical="center"/>
    </xf>
    <xf numFmtId="0" fontId="31" fillId="0" borderId="14"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9" xfId="0" applyFont="1" applyBorder="1" applyAlignment="1">
      <alignment horizontal="center" vertical="center" wrapText="1"/>
    </xf>
    <xf numFmtId="9" fontId="100" fillId="0" borderId="2" xfId="1" applyFont="1" applyBorder="1" applyAlignment="1">
      <alignment horizontal="center" vertical="center"/>
    </xf>
    <xf numFmtId="9" fontId="100" fillId="0" borderId="3" xfId="1" applyFont="1" applyBorder="1" applyAlignment="1">
      <alignment horizontal="center" vertical="center"/>
    </xf>
    <xf numFmtId="9" fontId="100" fillId="0" borderId="4" xfId="1" applyFont="1" applyBorder="1" applyAlignment="1">
      <alignment horizontal="center" vertical="center"/>
    </xf>
    <xf numFmtId="0" fontId="100" fillId="0" borderId="1" xfId="10" applyFont="1" applyBorder="1" applyAlignment="1">
      <alignment horizontal="left" vertical="center"/>
    </xf>
    <xf numFmtId="0" fontId="100" fillId="0" borderId="1" xfId="0" applyFont="1" applyBorder="1" applyAlignment="1">
      <alignment vertical="center"/>
    </xf>
    <xf numFmtId="0" fontId="100" fillId="0" borderId="2" xfId="0" applyFont="1" applyBorder="1" applyAlignment="1">
      <alignment horizontal="left" vertical="top" wrapText="1"/>
    </xf>
    <xf numFmtId="0" fontId="100" fillId="0" borderId="3" xfId="0" applyFont="1" applyBorder="1" applyAlignment="1">
      <alignment horizontal="left" vertical="top" wrapText="1"/>
    </xf>
    <xf numFmtId="0" fontId="100" fillId="0" borderId="4" xfId="0" applyFont="1" applyBorder="1" applyAlignment="1">
      <alignment horizontal="left" vertical="top" wrapText="1"/>
    </xf>
    <xf numFmtId="3" fontId="92" fillId="0" borderId="2" xfId="0" applyNumberFormat="1" applyFont="1" applyBorder="1" applyAlignment="1">
      <alignment horizontal="center" vertical="center"/>
    </xf>
    <xf numFmtId="0" fontId="0" fillId="0" borderId="0" xfId="0" applyAlignment="1">
      <alignment wrapText="1"/>
    </xf>
    <xf numFmtId="0" fontId="102" fillId="0" borderId="1" xfId="0" applyFont="1" applyBorder="1" applyAlignment="1">
      <alignment horizontal="center" vertical="center"/>
    </xf>
    <xf numFmtId="0" fontId="141" fillId="0" borderId="14" xfId="0" applyFont="1" applyBorder="1" applyAlignment="1">
      <alignment vertical="top" wrapText="1"/>
    </xf>
    <xf numFmtId="0" fontId="3"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177" fontId="148" fillId="3" borderId="9" xfId="2" applyNumberFormat="1" applyFont="1" applyFill="1" applyBorder="1" applyAlignment="1">
      <alignment horizontal="center" vertical="center"/>
    </xf>
    <xf numFmtId="208" fontId="148" fillId="3" borderId="9" xfId="0" applyNumberFormat="1" applyFont="1" applyFill="1" applyBorder="1" applyAlignment="1">
      <alignment horizontal="center" vertical="center"/>
    </xf>
    <xf numFmtId="208" fontId="148" fillId="18" borderId="9" xfId="0" applyNumberFormat="1" applyFont="1" applyFill="1" applyBorder="1" applyAlignment="1">
      <alignment horizontal="center" vertical="center"/>
    </xf>
    <xf numFmtId="208" fontId="148" fillId="18" borderId="10" xfId="0" applyNumberFormat="1" applyFont="1" applyFill="1" applyBorder="1" applyAlignment="1">
      <alignment horizontal="center" vertical="center"/>
    </xf>
    <xf numFmtId="177" fontId="0" fillId="3" borderId="9" xfId="0" applyNumberFormat="1" applyFill="1" applyBorder="1" applyAlignment="1">
      <alignment horizontal="center" vertical="center"/>
    </xf>
    <xf numFmtId="178" fontId="0" fillId="3" borderId="9" xfId="0" applyNumberFormat="1" applyFill="1" applyBorder="1" applyAlignment="1">
      <alignment horizontal="center" vertical="center"/>
    </xf>
    <xf numFmtId="178" fontId="0" fillId="3" borderId="10" xfId="0" applyNumberFormat="1" applyFill="1" applyBorder="1" applyAlignment="1">
      <alignment horizontal="center" vertical="center"/>
    </xf>
    <xf numFmtId="179" fontId="0" fillId="0" borderId="1" xfId="0" applyNumberFormat="1" applyBorder="1" applyAlignment="1">
      <alignment horizontal="right" vertical="center"/>
    </xf>
    <xf numFmtId="177" fontId="0" fillId="0" borderId="1" xfId="0" applyNumberFormat="1" applyBorder="1" applyAlignment="1">
      <alignment horizontal="right" vertical="center"/>
    </xf>
    <xf numFmtId="2" fontId="0" fillId="0" borderId="1" xfId="0" applyNumberFormat="1" applyBorder="1" applyAlignment="1">
      <alignment horizontal="center" vertical="center"/>
    </xf>
    <xf numFmtId="9" fontId="0" fillId="0" borderId="1" xfId="1" applyFont="1" applyBorder="1" applyAlignment="1">
      <alignment horizontal="center" vertical="center"/>
    </xf>
    <xf numFmtId="0" fontId="91" fillId="0" borderId="4" xfId="0" applyFont="1" applyBorder="1" applyAlignment="1">
      <alignment horizontal="center" vertical="center"/>
    </xf>
    <xf numFmtId="0" fontId="4" fillId="0" borderId="0" xfId="0" applyFont="1" applyAlignment="1">
      <alignment horizontal="right" vertical="center"/>
    </xf>
    <xf numFmtId="0" fontId="0" fillId="0" borderId="0" xfId="0" applyAlignment="1">
      <alignment horizontal="left" vertical="center"/>
    </xf>
    <xf numFmtId="0" fontId="0" fillId="0" borderId="1" xfId="0" applyBorder="1" applyAlignment="1">
      <alignment vertical="center"/>
    </xf>
    <xf numFmtId="180" fontId="0" fillId="3" borderId="9" xfId="0" applyNumberFormat="1" applyFill="1" applyBorder="1" applyAlignment="1">
      <alignment horizontal="center" vertical="center"/>
    </xf>
    <xf numFmtId="181" fontId="0" fillId="3" borderId="9" xfId="0" applyNumberFormat="1" applyFill="1" applyBorder="1" applyAlignment="1">
      <alignment horizontal="center" vertical="center"/>
    </xf>
    <xf numFmtId="181" fontId="0" fillId="3" borderId="10" xfId="0" applyNumberFormat="1" applyFill="1" applyBorder="1" applyAlignment="1">
      <alignment horizontal="center" vertical="center"/>
    </xf>
    <xf numFmtId="0" fontId="102" fillId="0" borderId="1" xfId="9" applyFont="1" applyBorder="1" applyAlignment="1">
      <alignment horizontal="left" vertical="center"/>
    </xf>
    <xf numFmtId="4" fontId="22" fillId="0" borderId="1" xfId="0" applyNumberFormat="1" applyFont="1" applyBorder="1" applyAlignment="1">
      <alignment horizontal="center" vertical="center"/>
    </xf>
    <xf numFmtId="0" fontId="31" fillId="0" borderId="1" xfId="0" applyFont="1" applyBorder="1" applyAlignment="1">
      <alignment horizontal="left" vertical="center"/>
    </xf>
    <xf numFmtId="4" fontId="22" fillId="0" borderId="2" xfId="0" applyNumberFormat="1" applyFont="1" applyBorder="1" applyAlignment="1">
      <alignment horizontal="center" vertical="center"/>
    </xf>
    <xf numFmtId="4" fontId="22" fillId="0" borderId="3" xfId="0" applyNumberFormat="1" applyFont="1" applyBorder="1" applyAlignment="1">
      <alignment horizontal="center" vertical="center"/>
    </xf>
    <xf numFmtId="4" fontId="22" fillId="0" borderId="4" xfId="0" applyNumberFormat="1" applyFont="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22" fillId="0" borderId="1" xfId="0" applyFont="1" applyBorder="1" applyAlignment="1" applyProtection="1">
      <alignment horizontal="center" vertical="center"/>
      <protection locked="0"/>
    </xf>
    <xf numFmtId="0" fontId="22" fillId="0" borderId="1" xfId="8" applyNumberFormat="1" applyFont="1" applyBorder="1" applyAlignment="1" applyProtection="1">
      <alignment horizontal="center" vertical="center"/>
      <protection locked="0"/>
    </xf>
    <xf numFmtId="0" fontId="22" fillId="0" borderId="1" xfId="0" applyFont="1" applyBorder="1" applyAlignment="1">
      <alignment horizontal="left" vertical="center" wrapText="1"/>
    </xf>
    <xf numFmtId="0" fontId="22" fillId="0" borderId="1" xfId="11" applyFont="1" applyBorder="1" applyAlignment="1" applyProtection="1">
      <alignment horizontal="center" vertical="center"/>
      <protection locked="0"/>
    </xf>
    <xf numFmtId="3" fontId="22" fillId="0" borderId="1" xfId="0" applyNumberFormat="1" applyFont="1" applyBorder="1" applyAlignment="1">
      <alignment horizontal="center" vertical="center"/>
    </xf>
    <xf numFmtId="9" fontId="22" fillId="0" borderId="1" xfId="9" applyNumberFormat="1" applyFont="1" applyBorder="1" applyAlignment="1" applyProtection="1">
      <alignment horizontal="center" vertical="center"/>
      <protection locked="0"/>
    </xf>
    <xf numFmtId="9" fontId="22" fillId="0" borderId="1" xfId="9" applyNumberFormat="1" applyFont="1" applyBorder="1" applyAlignment="1">
      <alignment horizontal="center" vertical="center"/>
    </xf>
    <xf numFmtId="3" fontId="22" fillId="0" borderId="1" xfId="0" applyNumberFormat="1" applyFont="1" applyBorder="1" applyAlignment="1">
      <alignment horizontal="left" vertical="center"/>
    </xf>
    <xf numFmtId="0" fontId="22" fillId="0" borderId="1" xfId="9" applyFont="1" applyBorder="1" applyAlignment="1" applyProtection="1">
      <alignment horizontal="center" vertical="center" wrapText="1"/>
      <protection locked="0"/>
    </xf>
    <xf numFmtId="9" fontId="92" fillId="0" borderId="2" xfId="1" applyFont="1" applyBorder="1" applyAlignment="1">
      <alignment horizontal="center" vertical="center"/>
    </xf>
    <xf numFmtId="9" fontId="92" fillId="0" borderId="3" xfId="1" applyFont="1" applyBorder="1" applyAlignment="1">
      <alignment horizontal="center" vertical="center"/>
    </xf>
    <xf numFmtId="9" fontId="92" fillId="0" borderId="4" xfId="1" applyFont="1" applyBorder="1" applyAlignment="1">
      <alignment horizontal="center" vertical="center"/>
    </xf>
    <xf numFmtId="0" fontId="0" fillId="0" borderId="0" xfId="0" applyAlignment="1">
      <alignment horizontal="center" vertical="center"/>
    </xf>
    <xf numFmtId="3" fontId="22" fillId="0" borderId="0" xfId="11" applyNumberFormat="1" applyFont="1" applyAlignment="1">
      <alignment horizontal="left" vertical="top" wrapText="1"/>
    </xf>
    <xf numFmtId="0" fontId="22" fillId="0" borderId="0" xfId="0" applyFont="1" applyAlignment="1">
      <alignment horizontal="left" vertical="top"/>
    </xf>
    <xf numFmtId="0" fontId="22" fillId="0" borderId="0" xfId="0" applyFont="1" applyAlignment="1">
      <alignment horizontal="left" wrapText="1"/>
    </xf>
    <xf numFmtId="0" fontId="22" fillId="0" borderId="0" xfId="0" applyFont="1" applyAlignment="1">
      <alignment horizontal="left"/>
    </xf>
    <xf numFmtId="0" fontId="0" fillId="0" borderId="20" xfId="0" applyBorder="1" applyAlignment="1">
      <alignment horizontal="center" vertical="center"/>
    </xf>
    <xf numFmtId="177" fontId="0" fillId="3" borderId="1" xfId="0" applyNumberFormat="1" applyFill="1" applyBorder="1" applyAlignment="1">
      <alignment horizontal="center" vertical="center"/>
    </xf>
    <xf numFmtId="178" fontId="0" fillId="3" borderId="1" xfId="0" applyNumberFormat="1" applyFill="1" applyBorder="1" applyAlignment="1">
      <alignment horizontal="center" vertical="center"/>
    </xf>
    <xf numFmtId="178" fontId="0" fillId="3" borderId="21" xfId="0" applyNumberFormat="1" applyFill="1" applyBorder="1" applyAlignment="1">
      <alignment horizontal="center" vertical="center"/>
    </xf>
    <xf numFmtId="177" fontId="0" fillId="0" borderId="1" xfId="0" applyNumberFormat="1" applyBorder="1" applyAlignment="1">
      <alignment vertical="center"/>
    </xf>
    <xf numFmtId="179" fontId="0" fillId="0" borderId="1" xfId="0" applyNumberForma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171" fontId="0" fillId="0" borderId="1" xfId="0" applyNumberFormat="1" applyBorder="1" applyAlignment="1">
      <alignment horizontal="center" vertical="center"/>
    </xf>
    <xf numFmtId="173" fontId="0" fillId="0" borderId="1" xfId="0" applyNumberFormat="1" applyBorder="1" applyAlignment="1">
      <alignment horizontal="center" vertical="center"/>
    </xf>
    <xf numFmtId="177" fontId="0" fillId="0" borderId="1" xfId="0" applyNumberFormat="1" applyBorder="1" applyAlignment="1">
      <alignment horizontal="center" vertical="center"/>
    </xf>
    <xf numFmtId="178" fontId="0" fillId="0" borderId="1" xfId="0" applyNumberFormat="1" applyBorder="1" applyAlignment="1">
      <alignment horizontal="center" vertical="center"/>
    </xf>
    <xf numFmtId="0" fontId="22" fillId="0" borderId="20" xfId="0" applyFont="1" applyBorder="1" applyAlignment="1">
      <alignment horizontal="center" vertical="center" wrapText="1"/>
    </xf>
    <xf numFmtId="177" fontId="22" fillId="3" borderId="2" xfId="0" applyNumberFormat="1" applyFont="1" applyFill="1" applyBorder="1" applyAlignment="1">
      <alignment horizontal="center" vertical="center"/>
    </xf>
    <xf numFmtId="177" fontId="22" fillId="3" borderId="3" xfId="0" applyNumberFormat="1" applyFont="1" applyFill="1" applyBorder="1" applyAlignment="1">
      <alignment horizontal="center" vertical="center"/>
    </xf>
    <xf numFmtId="177" fontId="22" fillId="3" borderId="4" xfId="0" applyNumberFormat="1" applyFont="1" applyFill="1" applyBorder="1" applyAlignment="1">
      <alignment horizontal="center" vertical="center"/>
    </xf>
    <xf numFmtId="208" fontId="22" fillId="18" borderId="2" xfId="0" applyNumberFormat="1" applyFont="1" applyFill="1" applyBorder="1" applyAlignment="1">
      <alignment horizontal="center" vertical="center"/>
    </xf>
    <xf numFmtId="208" fontId="22" fillId="18" borderId="3" xfId="0" applyNumberFormat="1" applyFont="1" applyFill="1" applyBorder="1" applyAlignment="1">
      <alignment horizontal="center" vertical="center"/>
    </xf>
    <xf numFmtId="208" fontId="22" fillId="18" borderId="36" xfId="0" applyNumberFormat="1" applyFont="1" applyFill="1" applyBorder="1" applyAlignment="1">
      <alignment horizontal="center"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xf>
    <xf numFmtId="177" fontId="22" fillId="3" borderId="40" xfId="0" applyNumberFormat="1" applyFont="1" applyFill="1" applyBorder="1" applyAlignment="1">
      <alignment horizontal="center" vertical="center"/>
    </xf>
    <xf numFmtId="177" fontId="22" fillId="3" borderId="41" xfId="0" applyNumberFormat="1" applyFont="1" applyFill="1" applyBorder="1" applyAlignment="1">
      <alignment horizontal="center" vertical="center"/>
    </xf>
    <xf numFmtId="177" fontId="22" fillId="3" borderId="42" xfId="0" applyNumberFormat="1" applyFont="1" applyFill="1" applyBorder="1" applyAlignment="1">
      <alignment horizontal="center" vertical="center"/>
    </xf>
    <xf numFmtId="208" fontId="22" fillId="18" borderId="40" xfId="0" applyNumberFormat="1" applyFont="1" applyFill="1" applyBorder="1" applyAlignment="1">
      <alignment horizontal="center" vertical="center"/>
    </xf>
    <xf numFmtId="208" fontId="22" fillId="18" borderId="41" xfId="0" applyNumberFormat="1" applyFont="1" applyFill="1" applyBorder="1" applyAlignment="1">
      <alignment horizontal="center" vertical="center"/>
    </xf>
    <xf numFmtId="208" fontId="22" fillId="18" borderId="51" xfId="0" applyNumberFormat="1" applyFont="1" applyFill="1" applyBorder="1" applyAlignment="1">
      <alignment horizontal="center" vertical="center"/>
    </xf>
    <xf numFmtId="0" fontId="31" fillId="0" borderId="5" xfId="0" applyFont="1" applyBorder="1" applyAlignment="1">
      <alignment horizontal="center" vertical="center"/>
    </xf>
    <xf numFmtId="0" fontId="22" fillId="0" borderId="35" xfId="0" applyFont="1" applyBorder="1" applyAlignment="1">
      <alignment horizontal="center" vertical="center" wrapText="1"/>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2" xfId="0" applyFont="1" applyBorder="1" applyAlignment="1">
      <alignment horizontal="center" vertical="center"/>
    </xf>
    <xf numFmtId="2" fontId="22" fillId="0" borderId="1" xfId="0" applyNumberFormat="1" applyFont="1" applyBorder="1" applyAlignment="1">
      <alignment horizontal="center" vertical="center"/>
    </xf>
    <xf numFmtId="2" fontId="22" fillId="0" borderId="2" xfId="0" applyNumberFormat="1" applyFont="1" applyBorder="1" applyAlignment="1">
      <alignment horizontal="center" vertical="center"/>
    </xf>
    <xf numFmtId="2" fontId="22" fillId="0" borderId="3"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31" fillId="0" borderId="13" xfId="0" applyFont="1" applyBorder="1" applyAlignment="1">
      <alignment horizontal="center" vertical="center" wrapText="1"/>
    </xf>
    <xf numFmtId="0" fontId="22" fillId="0" borderId="18"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9" xfId="0" applyFont="1" applyBorder="1" applyAlignment="1">
      <alignment vertical="center" wrapText="1"/>
    </xf>
    <xf numFmtId="0" fontId="22" fillId="0" borderId="22" xfId="0" applyFont="1" applyBorder="1" applyAlignment="1">
      <alignment vertical="center" wrapText="1"/>
    </xf>
    <xf numFmtId="0" fontId="22" fillId="0" borderId="18" xfId="0" applyFont="1" applyBorder="1" applyAlignment="1">
      <alignment vertical="center" wrapText="1"/>
    </xf>
    <xf numFmtId="0" fontId="141" fillId="0" borderId="1" xfId="0" applyFont="1" applyBorder="1" applyAlignment="1">
      <alignment horizontal="center" vertical="center" wrapText="1"/>
    </xf>
    <xf numFmtId="0" fontId="125" fillId="0" borderId="1" xfId="0" applyFont="1" applyBorder="1" applyAlignment="1">
      <alignment horizontal="center" vertical="center" wrapText="1"/>
    </xf>
    <xf numFmtId="0" fontId="141" fillId="0" borderId="1" xfId="0" applyFont="1" applyBorder="1" applyAlignment="1">
      <alignment horizontal="center" vertical="center"/>
    </xf>
    <xf numFmtId="2" fontId="125" fillId="0" borderId="1" xfId="0" applyNumberFormat="1" applyFont="1" applyBorder="1" applyAlignment="1">
      <alignment horizontal="center" vertical="center" wrapText="1"/>
    </xf>
    <xf numFmtId="0" fontId="141" fillId="0" borderId="1" xfId="0" applyFont="1" applyBorder="1" applyAlignment="1">
      <alignment vertical="center" wrapText="1"/>
    </xf>
    <xf numFmtId="0" fontId="141" fillId="0" borderId="1" xfId="0" applyFont="1" applyBorder="1" applyAlignment="1">
      <alignment vertical="center"/>
    </xf>
    <xf numFmtId="2" fontId="141" fillId="0" borderId="1" xfId="0" applyNumberFormat="1" applyFont="1" applyBorder="1" applyAlignment="1">
      <alignment horizontal="center" vertical="center" wrapText="1"/>
    </xf>
    <xf numFmtId="0" fontId="226" fillId="0" borderId="1" xfId="0" applyFont="1" applyBorder="1" applyAlignment="1">
      <alignment horizontal="center" vertical="center" wrapText="1"/>
    </xf>
    <xf numFmtId="0" fontId="50" fillId="0" borderId="1" xfId="0" applyFont="1" applyBorder="1" applyAlignment="1">
      <alignment vertical="center"/>
    </xf>
    <xf numFmtId="0" fontId="50" fillId="0" borderId="1" xfId="0" applyFont="1" applyBorder="1" applyAlignment="1">
      <alignment horizontal="center" vertical="center"/>
    </xf>
    <xf numFmtId="0" fontId="50" fillId="0" borderId="1" xfId="0" applyFont="1" applyBorder="1" applyAlignment="1">
      <alignment horizontal="center" vertical="center" wrapText="1"/>
    </xf>
    <xf numFmtId="2" fontId="50" fillId="0" borderId="1" xfId="0" applyNumberFormat="1" applyFont="1" applyBorder="1" applyAlignment="1">
      <alignment horizontal="center" vertical="center" wrapText="1"/>
    </xf>
    <xf numFmtId="0" fontId="201" fillId="0" borderId="1" xfId="0" applyFont="1" applyBorder="1" applyAlignment="1">
      <alignment horizontal="center" vertical="center" wrapText="1"/>
    </xf>
    <xf numFmtId="0" fontId="171" fillId="0" borderId="1" xfId="0" applyFont="1" applyBorder="1" applyAlignment="1">
      <alignment horizontal="center" vertical="center" wrapText="1"/>
    </xf>
    <xf numFmtId="0" fontId="227" fillId="0" borderId="1" xfId="0" applyFont="1" applyBorder="1" applyAlignment="1">
      <alignment horizontal="center" vertical="center" wrapText="1"/>
    </xf>
    <xf numFmtId="2" fontId="201" fillId="0" borderId="1" xfId="0" applyNumberFormat="1" applyFont="1" applyBorder="1" applyAlignment="1">
      <alignment horizontal="center" vertical="center" wrapText="1"/>
    </xf>
    <xf numFmtId="0" fontId="50" fillId="0" borderId="1" xfId="0" applyFont="1" applyBorder="1" applyAlignment="1">
      <alignment vertical="center" wrapText="1"/>
    </xf>
    <xf numFmtId="0" fontId="100" fillId="0" borderId="1" xfId="0" applyFont="1" applyBorder="1" applyAlignment="1">
      <alignment horizontal="center" vertical="center"/>
    </xf>
    <xf numFmtId="0" fontId="22" fillId="0" borderId="1" xfId="0" applyFont="1" applyBorder="1" applyAlignment="1">
      <alignment vertical="center"/>
    </xf>
    <xf numFmtId="0" fontId="51" fillId="0" borderId="1" xfId="0" applyFont="1" applyBorder="1" applyAlignment="1">
      <alignment horizontal="center" vertical="center" wrapText="1"/>
    </xf>
    <xf numFmtId="0" fontId="103" fillId="0" borderId="2" xfId="0" applyFont="1" applyBorder="1" applyAlignment="1">
      <alignment horizontal="left" vertical="center"/>
    </xf>
    <xf numFmtId="0" fontId="49" fillId="0" borderId="0" xfId="0" applyFont="1" applyAlignment="1">
      <alignment vertical="center"/>
    </xf>
    <xf numFmtId="0" fontId="22" fillId="0" borderId="20" xfId="0" applyFont="1" applyBorder="1" applyAlignment="1">
      <alignment horizontal="left" vertical="center" wrapText="1"/>
    </xf>
    <xf numFmtId="177" fontId="22" fillId="3" borderId="1" xfId="0" applyNumberFormat="1" applyFont="1" applyFill="1" applyBorder="1" applyAlignment="1">
      <alignment horizontal="center" vertical="center" wrapText="1"/>
    </xf>
    <xf numFmtId="178" fontId="22" fillId="3" borderId="1" xfId="0" applyNumberFormat="1" applyFont="1" applyFill="1" applyBorder="1" applyAlignment="1">
      <alignment horizontal="center" vertical="center" wrapText="1"/>
    </xf>
    <xf numFmtId="208" fontId="22" fillId="18" borderId="1" xfId="0" applyNumberFormat="1" applyFont="1" applyFill="1" applyBorder="1" applyAlignment="1">
      <alignment horizontal="center" vertical="center" wrapText="1"/>
    </xf>
    <xf numFmtId="208" fontId="22" fillId="18" borderId="21" xfId="0" applyNumberFormat="1" applyFont="1" applyFill="1" applyBorder="1" applyAlignment="1">
      <alignment horizontal="center"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177" fontId="22" fillId="3" borderId="9" xfId="0" applyNumberFormat="1" applyFont="1" applyFill="1" applyBorder="1" applyAlignment="1">
      <alignment horizontal="center" vertical="center" wrapText="1"/>
    </xf>
    <xf numFmtId="178" fontId="22" fillId="3" borderId="9" xfId="0" applyNumberFormat="1" applyFont="1" applyFill="1" applyBorder="1" applyAlignment="1">
      <alignment horizontal="center" vertical="center" wrapText="1"/>
    </xf>
    <xf numFmtId="208" fontId="22" fillId="18" borderId="9" xfId="0" applyNumberFormat="1" applyFont="1" applyFill="1" applyBorder="1" applyAlignment="1">
      <alignment horizontal="center" vertical="center" wrapText="1"/>
    </xf>
    <xf numFmtId="208" fontId="22" fillId="18" borderId="10" xfId="0" applyNumberFormat="1" applyFont="1" applyFill="1" applyBorder="1" applyAlignment="1">
      <alignment horizontal="center" vertical="center" wrapText="1"/>
    </xf>
    <xf numFmtId="178" fontId="22" fillId="3" borderId="2" xfId="0" applyNumberFormat="1" applyFont="1" applyFill="1" applyBorder="1" applyAlignment="1">
      <alignment horizontal="center" vertical="center" wrapText="1"/>
    </xf>
    <xf numFmtId="0" fontId="31" fillId="0" borderId="50" xfId="0" applyFont="1" applyBorder="1" applyAlignment="1">
      <alignment horizontal="center" vertical="center" wrapText="1"/>
    </xf>
    <xf numFmtId="0" fontId="31" fillId="0" borderId="7" xfId="0" applyFont="1" applyBorder="1" applyAlignment="1">
      <alignment horizontal="center" vertical="center" wrapText="1"/>
    </xf>
    <xf numFmtId="0" fontId="100" fillId="0" borderId="1" xfId="0" applyFont="1" applyBorder="1" applyAlignment="1">
      <alignment horizontal="center"/>
    </xf>
    <xf numFmtId="0" fontId="100" fillId="0" borderId="2" xfId="0" applyFont="1" applyBorder="1" applyAlignment="1">
      <alignment horizontal="center"/>
    </xf>
    <xf numFmtId="0" fontId="100" fillId="0" borderId="3" xfId="0" applyFont="1" applyBorder="1" applyAlignment="1">
      <alignment horizontal="center"/>
    </xf>
    <xf numFmtId="0" fontId="100" fillId="0" borderId="4" xfId="0" applyFont="1" applyBorder="1" applyAlignment="1">
      <alignment horizontal="center"/>
    </xf>
    <xf numFmtId="3" fontId="100" fillId="0" borderId="1" xfId="0" applyNumberFormat="1" applyFont="1" applyBorder="1" applyAlignment="1">
      <alignment horizontal="center" vertical="center"/>
    </xf>
    <xf numFmtId="0" fontId="100" fillId="0" borderId="1" xfId="0" quotePrefix="1" applyFont="1" applyBorder="1" applyAlignment="1">
      <alignment horizontal="center" vertical="center" wrapText="1"/>
    </xf>
    <xf numFmtId="0" fontId="215" fillId="0" borderId="1" xfId="0" applyFont="1" applyBorder="1" applyAlignment="1">
      <alignment horizontal="left" vertical="center"/>
    </xf>
    <xf numFmtId="0" fontId="228" fillId="0" borderId="1" xfId="0" applyFont="1" applyBorder="1" applyAlignment="1">
      <alignment horizontal="left" vertical="center"/>
    </xf>
    <xf numFmtId="0" fontId="31" fillId="0" borderId="0" xfId="0" applyFont="1" applyAlignment="1">
      <alignment vertical="center" wrapText="1"/>
    </xf>
    <xf numFmtId="0" fontId="102" fillId="0" borderId="1" xfId="0" applyFont="1" applyBorder="1" applyAlignment="1">
      <alignment horizontal="center" vertical="top" wrapText="1"/>
    </xf>
    <xf numFmtId="2" fontId="100" fillId="0" borderId="1" xfId="0" applyNumberFormat="1" applyFont="1" applyBorder="1" applyAlignment="1">
      <alignment horizontal="center" vertical="top" wrapText="1"/>
    </xf>
    <xf numFmtId="0" fontId="100" fillId="0" borderId="1" xfId="0" applyFont="1" applyBorder="1" applyAlignment="1">
      <alignment horizontal="center" vertical="top" wrapText="1"/>
    </xf>
    <xf numFmtId="0" fontId="49" fillId="0" borderId="1" xfId="0" quotePrefix="1" applyFont="1" applyBorder="1" applyAlignment="1">
      <alignment vertical="center"/>
    </xf>
    <xf numFmtId="0" fontId="49" fillId="0" borderId="1" xfId="0" applyFont="1" applyBorder="1" applyAlignment="1">
      <alignment vertical="center"/>
    </xf>
    <xf numFmtId="0" fontId="22" fillId="0" borderId="1" xfId="0" applyFont="1" applyBorder="1" applyAlignment="1">
      <alignment horizontal="center" vertical="center" wrapText="1"/>
    </xf>
    <xf numFmtId="164" fontId="22" fillId="0" borderId="1" xfId="0" applyNumberFormat="1" applyFont="1" applyBorder="1" applyAlignment="1">
      <alignment horizontal="right" vertical="center"/>
    </xf>
    <xf numFmtId="165" fontId="22" fillId="0" borderId="1" xfId="0" applyNumberFormat="1" applyFont="1" applyBorder="1" applyAlignment="1">
      <alignment horizontal="right" vertical="center"/>
    </xf>
    <xf numFmtId="2" fontId="22" fillId="0" borderId="1" xfId="0" applyNumberFormat="1" applyFont="1" applyBorder="1" applyAlignment="1">
      <alignment horizontal="right" vertical="center"/>
    </xf>
    <xf numFmtId="0" fontId="31" fillId="0" borderId="1" xfId="0" applyFont="1" applyBorder="1" applyAlignment="1">
      <alignment vertical="center"/>
    </xf>
    <xf numFmtId="0" fontId="31" fillId="0" borderId="50" xfId="0" applyFont="1" applyBorder="1" applyAlignment="1">
      <alignment horizontal="center" vertical="center"/>
    </xf>
    <xf numFmtId="0" fontId="22" fillId="0" borderId="47" xfId="0" applyFont="1" applyBorder="1" applyAlignment="1">
      <alignment horizontal="center" vertical="center"/>
    </xf>
    <xf numFmtId="0" fontId="22" fillId="0" borderId="48" xfId="0" applyFont="1" applyBorder="1" applyAlignment="1">
      <alignment horizontal="center" vertical="center"/>
    </xf>
    <xf numFmtId="178" fontId="22" fillId="3" borderId="1" xfId="0" applyNumberFormat="1" applyFont="1" applyFill="1" applyBorder="1" applyAlignment="1">
      <alignment horizontal="center" vertical="center"/>
    </xf>
    <xf numFmtId="190" fontId="22" fillId="18" borderId="1" xfId="10" applyNumberFormat="1" applyFont="1" applyFill="1" applyBorder="1" applyAlignment="1">
      <alignment horizontal="center" vertical="center"/>
    </xf>
    <xf numFmtId="190" fontId="22" fillId="18" borderId="21" xfId="10" applyNumberFormat="1" applyFont="1" applyFill="1" applyBorder="1" applyAlignment="1">
      <alignment horizontal="center" vertical="center"/>
    </xf>
    <xf numFmtId="190" fontId="22" fillId="3" borderId="1" xfId="10" applyNumberFormat="1" applyFont="1" applyFill="1" applyBorder="1" applyAlignment="1">
      <alignment horizontal="center" vertical="center"/>
    </xf>
    <xf numFmtId="190" fontId="22" fillId="18" borderId="4" xfId="10" applyNumberFormat="1" applyFont="1" applyFill="1" applyBorder="1" applyAlignment="1">
      <alignment horizontal="center" vertical="center"/>
    </xf>
    <xf numFmtId="0" fontId="22" fillId="0" borderId="9" xfId="0" applyFont="1" applyBorder="1" applyAlignment="1">
      <alignment horizontal="center" vertical="center" wrapText="1"/>
    </xf>
    <xf numFmtId="178" fontId="22" fillId="3" borderId="9" xfId="0" applyNumberFormat="1" applyFont="1" applyFill="1" applyBorder="1" applyAlignment="1">
      <alignment horizontal="center" vertical="center"/>
    </xf>
    <xf numFmtId="190" fontId="22" fillId="18" borderId="9" xfId="10" applyNumberFormat="1" applyFont="1" applyFill="1" applyBorder="1" applyAlignment="1">
      <alignment horizontal="center" vertical="center"/>
    </xf>
    <xf numFmtId="190" fontId="22" fillId="18" borderId="10" xfId="10" applyNumberFormat="1" applyFont="1" applyFill="1" applyBorder="1" applyAlignment="1">
      <alignment horizontal="center" vertical="center"/>
    </xf>
    <xf numFmtId="0" fontId="49" fillId="0" borderId="1" xfId="0" quotePrefix="1" applyFont="1" applyBorder="1" applyAlignment="1">
      <alignment vertical="center" wrapText="1"/>
    </xf>
    <xf numFmtId="0" fontId="49" fillId="0" borderId="1" xfId="0" applyFont="1" applyBorder="1" applyAlignment="1">
      <alignment vertical="center" wrapText="1"/>
    </xf>
    <xf numFmtId="164" fontId="22" fillId="0" borderId="1" xfId="0" applyNumberFormat="1" applyFont="1" applyBorder="1" applyAlignment="1">
      <alignment horizontal="right" vertical="center" wrapText="1"/>
    </xf>
    <xf numFmtId="165" fontId="22" fillId="0" borderId="2" xfId="0" applyNumberFormat="1" applyFont="1" applyBorder="1" applyAlignment="1">
      <alignment horizontal="right" vertical="center" wrapText="1"/>
    </xf>
    <xf numFmtId="165" fontId="22" fillId="0" borderId="3" xfId="0" applyNumberFormat="1" applyFont="1" applyBorder="1" applyAlignment="1">
      <alignment horizontal="right" vertical="center" wrapText="1"/>
    </xf>
    <xf numFmtId="165" fontId="22" fillId="0" borderId="4" xfId="0" applyNumberFormat="1" applyFont="1" applyBorder="1" applyAlignment="1">
      <alignment horizontal="right" vertical="center" wrapText="1"/>
    </xf>
    <xf numFmtId="2" fontId="22" fillId="0" borderId="2" xfId="0" applyNumberFormat="1" applyFont="1" applyBorder="1" applyAlignment="1">
      <alignment horizontal="right" vertical="center" wrapText="1"/>
    </xf>
    <xf numFmtId="2" fontId="22" fillId="0" borderId="3" xfId="0" applyNumberFormat="1" applyFont="1" applyBorder="1" applyAlignment="1">
      <alignment horizontal="right" vertical="center" wrapText="1"/>
    </xf>
    <xf numFmtId="2" fontId="22" fillId="0" borderId="4" xfId="0" applyNumberFormat="1" applyFont="1" applyBorder="1" applyAlignment="1">
      <alignment horizontal="right" vertical="center" wrapText="1"/>
    </xf>
    <xf numFmtId="0" fontId="31" fillId="0" borderId="1" xfId="0" applyFont="1" applyBorder="1" applyAlignment="1">
      <alignment vertical="center" wrapText="1"/>
    </xf>
    <xf numFmtId="165" fontId="22" fillId="0" borderId="1" xfId="0" applyNumberFormat="1" applyFont="1" applyBorder="1" applyAlignment="1">
      <alignment horizontal="right" vertical="center" wrapText="1"/>
    </xf>
    <xf numFmtId="2" fontId="22" fillId="0" borderId="1" xfId="0" applyNumberFormat="1" applyFont="1" applyBorder="1" applyAlignment="1">
      <alignment horizontal="right"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91" fillId="0" borderId="13" xfId="0" applyFont="1" applyBorder="1" applyAlignment="1">
      <alignment horizontal="center" vertical="center" wrapText="1"/>
    </xf>
    <xf numFmtId="0" fontId="91" fillId="0" borderId="14" xfId="0" applyFont="1" applyBorder="1" applyAlignment="1">
      <alignment horizontal="center" vertical="center" wrapText="1"/>
    </xf>
    <xf numFmtId="0" fontId="0" fillId="0" borderId="15" xfId="0" applyBorder="1" applyAlignment="1">
      <alignment vertical="center" wrapText="1"/>
    </xf>
    <xf numFmtId="0" fontId="0" fillId="0" borderId="1" xfId="0" applyBorder="1" applyAlignment="1">
      <alignment horizontal="left" vertical="center" wrapText="1"/>
    </xf>
    <xf numFmtId="0" fontId="92" fillId="0" borderId="1" xfId="0" applyFont="1"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207" fillId="0" borderId="1" xfId="0" applyFont="1" applyBorder="1" applyAlignment="1">
      <alignment horizontal="left" vertical="center" wrapText="1"/>
    </xf>
    <xf numFmtId="3" fontId="92" fillId="0" borderId="3" xfId="0" applyNumberFormat="1" applyFont="1" applyBorder="1" applyAlignment="1">
      <alignment horizontal="center" vertical="center"/>
    </xf>
    <xf numFmtId="3" fontId="92" fillId="0" borderId="4" xfId="0" applyNumberFormat="1" applyFont="1" applyBorder="1" applyAlignment="1">
      <alignment horizontal="center" vertical="center"/>
    </xf>
    <xf numFmtId="0" fontId="96" fillId="0" borderId="1" xfId="0" applyFont="1" applyBorder="1" applyAlignment="1">
      <alignment horizontal="left" vertical="center" wrapText="1"/>
    </xf>
    <xf numFmtId="0" fontId="0" fillId="0" borderId="1" xfId="0" applyBorder="1" applyAlignment="1">
      <alignment horizontal="center" vertical="center" wrapText="1"/>
    </xf>
    <xf numFmtId="2" fontId="0" fillId="0" borderId="1" xfId="0" applyNumberFormat="1" applyBorder="1" applyAlignment="1">
      <alignment vertical="center" wrapText="1"/>
    </xf>
    <xf numFmtId="164" fontId="0" fillId="0" borderId="1" xfId="0" applyNumberFormat="1" applyBorder="1" applyAlignment="1">
      <alignment vertical="center" wrapText="1"/>
    </xf>
    <xf numFmtId="0" fontId="0" fillId="0" borderId="2" xfId="2" applyNumberFormat="1" applyFont="1"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2" xfId="2" applyNumberFormat="1" applyFont="1" applyBorder="1" applyAlignment="1">
      <alignment horizontal="center" vertical="center" wrapText="1"/>
    </xf>
    <xf numFmtId="0" fontId="31" fillId="0" borderId="11" xfId="0" applyFont="1" applyBorder="1" applyAlignment="1">
      <alignment vertical="center" wrapText="1"/>
    </xf>
    <xf numFmtId="0" fontId="0" fillId="0" borderId="11" xfId="0" applyBorder="1" applyAlignment="1">
      <alignment vertical="center" wrapText="1"/>
    </xf>
    <xf numFmtId="43" fontId="0" fillId="0" borderId="1" xfId="0" applyNumberFormat="1" applyBorder="1" applyAlignment="1">
      <alignment vertical="center" wrapText="1"/>
    </xf>
    <xf numFmtId="212" fontId="0" fillId="0" borderId="1" xfId="2" applyNumberFormat="1" applyFont="1" applyBorder="1" applyAlignment="1">
      <alignment horizontal="center" vertical="center" wrapText="1"/>
    </xf>
    <xf numFmtId="212" fontId="0" fillId="0" borderId="1" xfId="2" applyNumberFormat="1" applyFont="1" applyBorder="1" applyAlignment="1">
      <alignment vertical="center" wrapText="1"/>
    </xf>
    <xf numFmtId="212" fontId="0" fillId="0" borderId="1" xfId="0" applyNumberFormat="1" applyBorder="1" applyAlignment="1">
      <alignment vertical="center"/>
    </xf>
    <xf numFmtId="212" fontId="0" fillId="0" borderId="2" xfId="2" applyNumberFormat="1" applyFont="1" applyBorder="1" applyAlignment="1">
      <alignment horizontal="center" vertical="center" wrapText="1"/>
    </xf>
    <xf numFmtId="212" fontId="0" fillId="0" borderId="3" xfId="2" applyNumberFormat="1" applyFont="1" applyBorder="1" applyAlignment="1">
      <alignment horizontal="center" vertical="center" wrapText="1"/>
    </xf>
    <xf numFmtId="212" fontId="0" fillId="0" borderId="4" xfId="2" applyNumberFormat="1" applyFont="1" applyBorder="1" applyAlignment="1">
      <alignment horizontal="center" vertical="center" wrapText="1"/>
    </xf>
    <xf numFmtId="0" fontId="3" fillId="0" borderId="13" xfId="0" applyFont="1" applyBorder="1" applyAlignment="1">
      <alignment horizontal="center" wrapText="1"/>
    </xf>
    <xf numFmtId="0" fontId="3" fillId="0" borderId="14" xfId="0" applyFont="1" applyBorder="1" applyAlignment="1">
      <alignment horizontal="center" wrapText="1"/>
    </xf>
    <xf numFmtId="0" fontId="3" fillId="0" borderId="15" xfId="0" applyFont="1" applyBorder="1" applyAlignment="1">
      <alignment horizontal="center" wrapText="1"/>
    </xf>
    <xf numFmtId="0" fontId="0" fillId="0" borderId="1" xfId="0" applyBorder="1"/>
    <xf numFmtId="212" fontId="0" fillId="0" borderId="1" xfId="2" applyNumberFormat="1" applyFont="1" applyFill="1" applyBorder="1" applyAlignment="1">
      <alignment horizontal="center" vertical="center" wrapText="1"/>
    </xf>
    <xf numFmtId="0" fontId="0" fillId="0" borderId="2" xfId="0" applyBorder="1"/>
    <xf numFmtId="0" fontId="0" fillId="0" borderId="3" xfId="0" applyBorder="1"/>
    <xf numFmtId="0" fontId="0" fillId="0" borderId="4" xfId="0" applyBorder="1"/>
    <xf numFmtId="9" fontId="0" fillId="0" borderId="1" xfId="0" applyNumberFormat="1" applyBorder="1" applyAlignment="1">
      <alignment horizontal="center"/>
    </xf>
    <xf numFmtId="0" fontId="0" fillId="0" borderId="53" xfId="0" applyBorder="1"/>
    <xf numFmtId="0" fontId="0" fillId="0" borderId="54" xfId="0" applyBorder="1"/>
    <xf numFmtId="0" fontId="0" fillId="0" borderId="55" xfId="0" applyBorder="1"/>
    <xf numFmtId="9" fontId="0" fillId="0" borderId="52" xfId="0" applyNumberFormat="1" applyBorder="1" applyAlignment="1">
      <alignment horizontal="center"/>
    </xf>
    <xf numFmtId="0" fontId="0" fillId="0" borderId="92" xfId="0" applyBorder="1"/>
    <xf numFmtId="0" fontId="0" fillId="0" borderId="93" xfId="0" applyBorder="1"/>
    <xf numFmtId="0" fontId="0" fillId="0" borderId="94" xfId="0" applyBorder="1"/>
    <xf numFmtId="9" fontId="0" fillId="0" borderId="22" xfId="0" applyNumberFormat="1" applyBorder="1" applyAlignment="1">
      <alignment horizontal="center"/>
    </xf>
    <xf numFmtId="0" fontId="0" fillId="0" borderId="17" xfId="0" applyBorder="1" applyAlignment="1">
      <alignment horizontal="left" vertical="top" wrapText="1"/>
    </xf>
    <xf numFmtId="0" fontId="0" fillId="13" borderId="1" xfId="0" applyFill="1" applyBorder="1" applyAlignment="1" applyProtection="1">
      <alignment horizontal="left" vertical="center" wrapText="1"/>
      <protection locked="0"/>
    </xf>
    <xf numFmtId="0" fontId="0" fillId="13" borderId="1" xfId="0" applyFill="1" applyBorder="1" applyAlignment="1" applyProtection="1">
      <alignment horizontal="left" vertical="center"/>
      <protection locked="0"/>
    </xf>
    <xf numFmtId="0" fontId="0" fillId="0" borderId="5" xfId="0" applyBorder="1" applyAlignment="1">
      <alignment horizontal="center" vertical="center" wrapText="1"/>
    </xf>
    <xf numFmtId="0" fontId="0" fillId="0" borderId="6" xfId="0" applyBorder="1" applyAlignment="1">
      <alignment horizontal="center" vertical="center"/>
    </xf>
    <xf numFmtId="177" fontId="0" fillId="3" borderId="6" xfId="0" applyNumberFormat="1" applyFill="1" applyBorder="1" applyAlignment="1">
      <alignment horizontal="center" vertical="center"/>
    </xf>
    <xf numFmtId="190" fontId="0" fillId="3" borderId="6" xfId="0" applyNumberFormat="1" applyFill="1" applyBorder="1" applyAlignment="1">
      <alignment horizontal="center" vertical="center"/>
    </xf>
    <xf numFmtId="190" fontId="22" fillId="18" borderId="6" xfId="10" applyNumberFormat="1" applyFont="1" applyFill="1" applyBorder="1" applyAlignment="1">
      <alignment horizontal="center" vertical="center"/>
    </xf>
    <xf numFmtId="190" fontId="22" fillId="18" borderId="7" xfId="10" applyNumberFormat="1" applyFont="1" applyFill="1" applyBorder="1" applyAlignment="1">
      <alignment horizontal="center" vertical="center"/>
    </xf>
    <xf numFmtId="0" fontId="0" fillId="0" borderId="20" xfId="0" applyBorder="1" applyAlignment="1">
      <alignment horizontal="center" vertical="center" wrapText="1"/>
    </xf>
    <xf numFmtId="190" fontId="0" fillId="3" borderId="1" xfId="0" applyNumberFormat="1" applyFill="1" applyBorder="1" applyAlignment="1">
      <alignment horizontal="center" vertical="center"/>
    </xf>
    <xf numFmtId="0" fontId="3" fillId="0" borderId="31" xfId="0" applyFont="1" applyBorder="1" applyAlignment="1">
      <alignment horizontal="center" vertical="center"/>
    </xf>
    <xf numFmtId="0" fontId="3" fillId="0" borderId="30" xfId="0" applyFont="1" applyBorder="1" applyAlignment="1">
      <alignment horizontal="center" vertical="center"/>
    </xf>
    <xf numFmtId="0" fontId="3" fillId="0" borderId="56" xfId="0" applyFont="1" applyBorder="1" applyAlignment="1">
      <alignment horizontal="center" vertical="center"/>
    </xf>
    <xf numFmtId="0" fontId="3" fillId="0" borderId="65" xfId="0" applyFont="1" applyBorder="1" applyAlignment="1">
      <alignment horizontal="center" vertical="center"/>
    </xf>
    <xf numFmtId="0" fontId="3" fillId="0" borderId="32" xfId="0" applyFont="1" applyBorder="1" applyAlignment="1">
      <alignment horizontal="center" vertical="center"/>
    </xf>
    <xf numFmtId="0" fontId="0" fillId="0" borderId="70" xfId="0" applyBorder="1" applyAlignment="1">
      <alignment horizontal="center" vertical="center" wrapText="1"/>
    </xf>
    <xf numFmtId="0" fontId="0" fillId="0" borderId="22" xfId="0" applyBorder="1" applyAlignment="1">
      <alignment horizontal="center" vertical="center"/>
    </xf>
    <xf numFmtId="177" fontId="0" fillId="3" borderId="22" xfId="0" applyNumberFormat="1" applyFill="1" applyBorder="1" applyAlignment="1">
      <alignment horizontal="center" vertical="center"/>
    </xf>
    <xf numFmtId="190" fontId="0" fillId="3" borderId="22" xfId="0" applyNumberFormat="1" applyFill="1" applyBorder="1" applyAlignment="1">
      <alignment horizontal="center" vertical="center"/>
    </xf>
    <xf numFmtId="190" fontId="22" fillId="18" borderId="22" xfId="10" applyNumberFormat="1" applyFont="1" applyFill="1" applyBorder="1" applyAlignment="1">
      <alignment horizontal="center" vertical="center"/>
    </xf>
    <xf numFmtId="190" fontId="22" fillId="18" borderId="67" xfId="10" applyNumberFormat="1" applyFont="1" applyFill="1" applyBorder="1" applyAlignment="1">
      <alignment horizontal="center" vertical="center"/>
    </xf>
    <xf numFmtId="177" fontId="0" fillId="3" borderId="2" xfId="0" applyNumberFormat="1" applyFill="1" applyBorder="1" applyAlignment="1">
      <alignment horizontal="center" vertical="center"/>
    </xf>
    <xf numFmtId="177" fontId="0" fillId="3" borderId="3" xfId="0" applyNumberFormat="1" applyFill="1" applyBorder="1" applyAlignment="1">
      <alignment horizontal="center" vertical="center"/>
    </xf>
    <xf numFmtId="177" fontId="0" fillId="3" borderId="4" xfId="0" applyNumberFormat="1" applyFill="1" applyBorder="1" applyAlignment="1">
      <alignment horizontal="center" vertical="center"/>
    </xf>
    <xf numFmtId="177" fontId="0" fillId="3" borderId="40" xfId="0" applyNumberFormat="1" applyFill="1" applyBorder="1" applyAlignment="1">
      <alignment horizontal="center" vertical="center"/>
    </xf>
    <xf numFmtId="177" fontId="0" fillId="3" borderId="41" xfId="0" applyNumberFormat="1" applyFill="1" applyBorder="1" applyAlignment="1">
      <alignment horizontal="center" vertical="center"/>
    </xf>
    <xf numFmtId="177" fontId="0" fillId="3" borderId="42" xfId="0" applyNumberFormat="1" applyFill="1" applyBorder="1" applyAlignment="1">
      <alignment horizontal="center" vertical="center"/>
    </xf>
    <xf numFmtId="190" fontId="0" fillId="3" borderId="71" xfId="0" applyNumberFormat="1" applyFill="1" applyBorder="1" applyAlignment="1">
      <alignment horizontal="center" vertical="center"/>
    </xf>
    <xf numFmtId="190" fontId="0" fillId="3" borderId="2" xfId="0" applyNumberFormat="1" applyFill="1" applyBorder="1" applyAlignment="1">
      <alignment horizontal="center" vertical="center"/>
    </xf>
    <xf numFmtId="190" fontId="0" fillId="3" borderId="3" xfId="0" applyNumberFormat="1" applyFill="1" applyBorder="1" applyAlignment="1">
      <alignment horizontal="center" vertical="center"/>
    </xf>
    <xf numFmtId="190" fontId="0" fillId="3" borderId="4" xfId="0" applyNumberFormat="1" applyFill="1" applyBorder="1" applyAlignment="1">
      <alignment horizontal="center" vertical="center"/>
    </xf>
    <xf numFmtId="190" fontId="22" fillId="18" borderId="2" xfId="10" applyNumberFormat="1" applyFont="1" applyFill="1" applyBorder="1" applyAlignment="1">
      <alignment horizontal="center" vertical="center"/>
    </xf>
    <xf numFmtId="190" fontId="22" fillId="18" borderId="3" xfId="10" applyNumberFormat="1" applyFont="1" applyFill="1" applyBorder="1" applyAlignment="1">
      <alignment horizontal="center" vertical="center"/>
    </xf>
    <xf numFmtId="190" fontId="22" fillId="18" borderId="36" xfId="10" applyNumberFormat="1" applyFont="1" applyFill="1" applyBorder="1" applyAlignment="1">
      <alignment horizontal="center" vertical="center"/>
    </xf>
    <xf numFmtId="0" fontId="0" fillId="0" borderId="0" xfId="0" quotePrefix="1" applyAlignment="1">
      <alignment horizontal="right" vertical="center"/>
    </xf>
    <xf numFmtId="190" fontId="0" fillId="3" borderId="40" xfId="0" applyNumberFormat="1" applyFill="1" applyBorder="1" applyAlignment="1">
      <alignment horizontal="center" vertical="center"/>
    </xf>
    <xf numFmtId="190" fontId="0" fillId="3" borderId="41" xfId="0" applyNumberFormat="1" applyFill="1" applyBorder="1" applyAlignment="1">
      <alignment horizontal="center" vertical="center"/>
    </xf>
    <xf numFmtId="190" fontId="0" fillId="3" borderId="42" xfId="0" applyNumberFormat="1" applyFill="1" applyBorder="1" applyAlignment="1">
      <alignment horizontal="center" vertical="center"/>
    </xf>
    <xf numFmtId="190" fontId="22" fillId="18" borderId="40" xfId="10" applyNumberFormat="1" applyFont="1" applyFill="1" applyBorder="1" applyAlignment="1">
      <alignment horizontal="center" vertical="center"/>
    </xf>
    <xf numFmtId="190" fontId="22" fillId="18" borderId="41" xfId="10" applyNumberFormat="1" applyFont="1" applyFill="1" applyBorder="1" applyAlignment="1">
      <alignment horizontal="center" vertical="center"/>
    </xf>
    <xf numFmtId="190" fontId="22" fillId="18" borderId="51" xfId="10" applyNumberFormat="1" applyFont="1" applyFill="1" applyBorder="1" applyAlignment="1">
      <alignment horizontal="center" vertical="center"/>
    </xf>
    <xf numFmtId="0" fontId="0" fillId="0" borderId="0" xfId="0" applyAlignment="1">
      <alignment horizontal="left" vertical="top" wrapText="1" indent="9"/>
    </xf>
    <xf numFmtId="0" fontId="15" fillId="0" borderId="2" xfId="4" applyBorder="1" applyAlignment="1">
      <alignment horizontal="center" vertical="center" wrapText="1"/>
    </xf>
    <xf numFmtId="0" fontId="15" fillId="0" borderId="3" xfId="4" applyBorder="1" applyAlignment="1">
      <alignment horizontal="center" vertical="center" wrapText="1"/>
    </xf>
    <xf numFmtId="0" fontId="15" fillId="0" borderId="4" xfId="4" applyBorder="1" applyAlignment="1">
      <alignment horizontal="center" vertical="center" wrapText="1"/>
    </xf>
    <xf numFmtId="0" fontId="142" fillId="0" borderId="2" xfId="4" applyFont="1" applyBorder="1" applyAlignment="1">
      <alignment horizontal="center" vertical="center" wrapText="1"/>
    </xf>
    <xf numFmtId="0" fontId="142" fillId="0" borderId="3" xfId="4" applyFont="1" applyBorder="1" applyAlignment="1">
      <alignment horizontal="center" vertical="center" wrapText="1"/>
    </xf>
    <xf numFmtId="0" fontId="142" fillId="0" borderId="4" xfId="4" applyFont="1" applyBorder="1" applyAlignment="1">
      <alignment horizontal="center" vertical="center" wrapText="1"/>
    </xf>
    <xf numFmtId="3" fontId="22"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14" xfId="0" applyFont="1" applyBorder="1" applyAlignment="1">
      <alignment horizontal="left" vertical="center"/>
    </xf>
    <xf numFmtId="0" fontId="15" fillId="0" borderId="14" xfId="4" applyBorder="1" applyAlignment="1">
      <alignment horizontal="left" vertical="center"/>
    </xf>
    <xf numFmtId="0" fontId="28" fillId="0" borderId="0" xfId="0" applyFont="1" applyAlignment="1">
      <alignment horizontal="left" vertical="top" wrapText="1"/>
    </xf>
    <xf numFmtId="2" fontId="50" fillId="11" borderId="1" xfId="0" applyNumberFormat="1" applyFont="1" applyFill="1" applyBorder="1" applyAlignment="1">
      <alignment horizontal="center" vertical="center"/>
    </xf>
    <xf numFmtId="187" fontId="50" fillId="0" borderId="1" xfId="0" applyNumberFormat="1" applyFont="1" applyBorder="1" applyAlignment="1">
      <alignment horizontal="center" vertical="center"/>
    </xf>
    <xf numFmtId="0" fontId="140" fillId="0" borderId="0" xfId="0" applyFont="1" applyAlignment="1">
      <alignment horizontal="center" vertical="center" textRotation="90" wrapText="1"/>
    </xf>
    <xf numFmtId="0" fontId="50" fillId="0" borderId="12" xfId="0" applyFont="1" applyBorder="1" applyAlignment="1">
      <alignment horizontal="center" vertical="center" wrapText="1"/>
    </xf>
    <xf numFmtId="0" fontId="50" fillId="0" borderId="25" xfId="0" applyFont="1" applyBorder="1" applyAlignment="1">
      <alignment horizontal="center" vertical="center" wrapText="1"/>
    </xf>
    <xf numFmtId="0" fontId="50" fillId="0" borderId="22" xfId="0" applyFont="1" applyBorder="1" applyAlignment="1">
      <alignment horizontal="center" vertical="center" wrapText="1"/>
    </xf>
    <xf numFmtId="4" fontId="50" fillId="0" borderId="1" xfId="0" applyNumberFormat="1" applyFont="1" applyBorder="1" applyAlignment="1">
      <alignment horizontal="center" vertical="center"/>
    </xf>
    <xf numFmtId="0" fontId="139" fillId="11" borderId="0" xfId="0" applyFont="1" applyFill="1" applyAlignment="1">
      <alignment horizontal="left"/>
    </xf>
    <xf numFmtId="0" fontId="139" fillId="0" borderId="0" xfId="0" applyFont="1" applyAlignment="1">
      <alignment horizontal="center"/>
    </xf>
    <xf numFmtId="4" fontId="50" fillId="11" borderId="1" xfId="0" applyNumberFormat="1" applyFont="1" applyFill="1" applyBorder="1" applyAlignment="1">
      <alignment horizontal="center" vertical="center"/>
    </xf>
    <xf numFmtId="3" fontId="50" fillId="11" borderId="1" xfId="0" applyNumberFormat="1" applyFont="1" applyFill="1" applyBorder="1" applyAlignment="1">
      <alignment horizontal="center" vertical="center"/>
    </xf>
    <xf numFmtId="0" fontId="51" fillId="0" borderId="0" xfId="0" applyFont="1" applyAlignment="1">
      <alignment horizontal="right" wrapText="1"/>
    </xf>
    <xf numFmtId="0" fontId="148" fillId="0" borderId="0" xfId="0" applyFont="1" applyAlignment="1">
      <alignment vertical="top" wrapText="1"/>
    </xf>
    <xf numFmtId="0" fontId="22" fillId="0" borderId="0" xfId="0" applyFont="1" applyAlignment="1">
      <alignment horizontal="right" vertical="center" wrapText="1"/>
    </xf>
    <xf numFmtId="4" fontId="22" fillId="11" borderId="1" xfId="0" applyNumberFormat="1" applyFont="1" applyFill="1" applyBorder="1" applyAlignment="1">
      <alignment horizontal="center" vertical="center"/>
    </xf>
    <xf numFmtId="2" fontId="22" fillId="11" borderId="1" xfId="0" applyNumberFormat="1" applyFont="1" applyFill="1" applyBorder="1" applyAlignment="1">
      <alignment horizontal="center" vertical="center"/>
    </xf>
    <xf numFmtId="0" fontId="22" fillId="0" borderId="25"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141" fillId="0" borderId="0" xfId="0" applyFont="1" applyAlignment="1">
      <alignment horizontal="left" vertical="center" wrapText="1"/>
    </xf>
    <xf numFmtId="0" fontId="26" fillId="11" borderId="0" xfId="0" applyFont="1" applyFill="1" applyAlignment="1">
      <alignment horizontal="left"/>
    </xf>
    <xf numFmtId="3" fontId="22" fillId="11" borderId="1" xfId="0" applyNumberFormat="1" applyFont="1" applyFill="1" applyBorder="1" applyAlignment="1">
      <alignment horizontal="center" vertical="center"/>
    </xf>
    <xf numFmtId="187" fontId="22" fillId="11" borderId="1" xfId="0" applyNumberFormat="1" applyFont="1" applyFill="1" applyBorder="1" applyAlignment="1">
      <alignment horizontal="center" vertical="center"/>
    </xf>
    <xf numFmtId="164" fontId="22" fillId="0" borderId="16" xfId="0" applyNumberFormat="1" applyFont="1" applyBorder="1" applyAlignment="1">
      <alignment horizontal="center" vertical="center" wrapText="1"/>
    </xf>
    <xf numFmtId="164" fontId="22" fillId="0" borderId="17" xfId="0" applyNumberFormat="1" applyFont="1" applyBorder="1" applyAlignment="1">
      <alignment horizontal="center" vertical="center" wrapText="1"/>
    </xf>
    <xf numFmtId="0" fontId="5" fillId="0" borderId="0" xfId="19" applyFont="1" applyAlignment="1">
      <alignment vertical="center"/>
    </xf>
    <xf numFmtId="0" fontId="0" fillId="0" borderId="0" xfId="19" applyFont="1" applyAlignment="1">
      <alignment vertical="top" wrapText="1"/>
    </xf>
    <xf numFmtId="0" fontId="1" fillId="0" borderId="0" xfId="19" applyAlignment="1">
      <alignment vertical="top" wrapText="1"/>
    </xf>
    <xf numFmtId="0" fontId="0" fillId="0" borderId="0" xfId="19" applyFont="1" applyAlignment="1">
      <alignment vertical="top"/>
    </xf>
    <xf numFmtId="0" fontId="1" fillId="0" borderId="0" xfId="19" applyAlignment="1">
      <alignment vertical="top"/>
    </xf>
    <xf numFmtId="0" fontId="64" fillId="20" borderId="1" xfId="19" applyFont="1" applyFill="1" applyBorder="1" applyAlignment="1">
      <alignment horizontal="left" vertical="center"/>
    </xf>
    <xf numFmtId="0" fontId="3" fillId="2" borderId="1" xfId="19" applyFont="1" applyFill="1" applyBorder="1" applyAlignment="1">
      <alignment horizontal="left" vertical="center"/>
    </xf>
    <xf numFmtId="0" fontId="31" fillId="0" borderId="1" xfId="19" applyFont="1" applyBorder="1" applyAlignment="1">
      <alignment horizontal="center" vertical="top"/>
    </xf>
    <xf numFmtId="0" fontId="31" fillId="0" borderId="0" xfId="19" applyFont="1" applyAlignment="1">
      <alignment vertical="top"/>
    </xf>
    <xf numFmtId="0" fontId="31" fillId="0" borderId="13" xfId="19" applyFont="1" applyBorder="1" applyAlignment="1">
      <alignment horizontal="center" vertical="top"/>
    </xf>
    <xf numFmtId="0" fontId="31" fillId="0" borderId="14" xfId="19" applyFont="1" applyBorder="1" applyAlignment="1">
      <alignment horizontal="center" vertical="top"/>
    </xf>
    <xf numFmtId="0" fontId="31" fillId="0" borderId="15" xfId="19" applyFont="1" applyBorder="1" applyAlignment="1">
      <alignment horizontal="center" vertical="top"/>
    </xf>
    <xf numFmtId="0" fontId="31" fillId="0" borderId="18" xfId="19" applyFont="1" applyBorder="1" applyAlignment="1">
      <alignment horizontal="center" vertical="top"/>
    </xf>
    <xf numFmtId="0" fontId="31" fillId="0" borderId="11" xfId="19" applyFont="1" applyBorder="1" applyAlignment="1">
      <alignment horizontal="center" vertical="top"/>
    </xf>
    <xf numFmtId="0" fontId="31" fillId="0" borderId="19" xfId="19" applyFont="1" applyBorder="1" applyAlignment="1">
      <alignment horizontal="center" vertical="top"/>
    </xf>
    <xf numFmtId="0" fontId="22" fillId="0" borderId="0" xfId="19" applyFont="1" applyAlignment="1">
      <alignment vertical="top" wrapText="1"/>
    </xf>
    <xf numFmtId="0" fontId="22" fillId="0" borderId="0" xfId="19" applyFont="1" applyAlignment="1">
      <alignment vertical="top"/>
    </xf>
    <xf numFmtId="164" fontId="22" fillId="0" borderId="1" xfId="19" applyNumberFormat="1" applyFont="1" applyBorder="1" applyAlignment="1">
      <alignment horizontal="center" vertical="top"/>
    </xf>
    <xf numFmtId="0" fontId="22" fillId="0" borderId="1" xfId="19" applyFont="1" applyBorder="1" applyAlignment="1">
      <alignment horizontal="center" vertical="top"/>
    </xf>
    <xf numFmtId="0" fontId="141" fillId="0" borderId="0" xfId="19" applyFont="1" applyAlignment="1">
      <alignment vertical="top" wrapText="1"/>
    </xf>
    <xf numFmtId="0" fontId="141" fillId="0" borderId="14" xfId="19" applyFont="1" applyBorder="1" applyAlignment="1">
      <alignment vertical="top" wrapText="1"/>
    </xf>
    <xf numFmtId="0" fontId="91" fillId="0" borderId="1" xfId="19" applyFont="1" applyBorder="1" applyAlignment="1">
      <alignment horizontal="center" vertical="center"/>
    </xf>
    <xf numFmtId="0" fontId="91" fillId="0" borderId="2" xfId="19" applyFont="1" applyBorder="1" applyAlignment="1">
      <alignment horizontal="center" vertical="center"/>
    </xf>
    <xf numFmtId="0" fontId="91" fillId="0" borderId="3" xfId="19" applyFont="1" applyBorder="1" applyAlignment="1">
      <alignment horizontal="center" vertical="center"/>
    </xf>
    <xf numFmtId="0" fontId="91" fillId="0" borderId="4" xfId="19" applyFont="1" applyBorder="1" applyAlignment="1">
      <alignment horizontal="center" vertical="center"/>
    </xf>
    <xf numFmtId="0" fontId="92" fillId="0" borderId="2" xfId="19" applyFont="1" applyBorder="1" applyAlignment="1">
      <alignment horizontal="left" vertical="center"/>
    </xf>
    <xf numFmtId="0" fontId="92" fillId="0" borderId="3" xfId="19" applyFont="1" applyBorder="1" applyAlignment="1">
      <alignment horizontal="left" vertical="center"/>
    </xf>
    <xf numFmtId="0" fontId="92" fillId="0" borderId="4" xfId="19" applyFont="1" applyBorder="1" applyAlignment="1">
      <alignment horizontal="left" vertical="center"/>
    </xf>
    <xf numFmtId="0" fontId="92" fillId="0" borderId="1" xfId="19" applyFont="1" applyBorder="1" applyAlignment="1">
      <alignment horizontal="left" vertical="center" wrapText="1"/>
    </xf>
    <xf numFmtId="3" fontId="100" fillId="0" borderId="1" xfId="19" applyNumberFormat="1" applyFont="1" applyBorder="1" applyAlignment="1">
      <alignment horizontal="center" vertical="center" wrapText="1"/>
    </xf>
    <xf numFmtId="0" fontId="100" fillId="0" borderId="2" xfId="19" applyFont="1" applyBorder="1" applyAlignment="1">
      <alignment horizontal="center" vertical="center" wrapText="1"/>
    </xf>
    <xf numFmtId="0" fontId="100" fillId="0" borderId="3" xfId="19" applyFont="1" applyBorder="1" applyAlignment="1">
      <alignment horizontal="center" vertical="center" wrapText="1"/>
    </xf>
    <xf numFmtId="0" fontId="100" fillId="0" borderId="4" xfId="19" applyFont="1" applyBorder="1" applyAlignment="1">
      <alignment horizontal="center" vertical="center" wrapText="1"/>
    </xf>
    <xf numFmtId="0" fontId="100" fillId="0" borderId="2" xfId="19" applyFont="1" applyBorder="1" applyAlignment="1">
      <alignment horizontal="left" vertical="center" wrapText="1"/>
    </xf>
    <xf numFmtId="0" fontId="100" fillId="0" borderId="3" xfId="19" applyFont="1" applyBorder="1" applyAlignment="1">
      <alignment horizontal="left" vertical="center" wrapText="1"/>
    </xf>
    <xf numFmtId="0" fontId="100" fillId="0" borderId="4" xfId="19" applyFont="1" applyBorder="1" applyAlignment="1">
      <alignment horizontal="left" vertical="center" wrapText="1"/>
    </xf>
    <xf numFmtId="164" fontId="100" fillId="0" borderId="1" xfId="19" applyNumberFormat="1" applyFont="1" applyBorder="1" applyAlignment="1">
      <alignment horizontal="center" vertical="center" wrapText="1"/>
    </xf>
    <xf numFmtId="0" fontId="92" fillId="0" borderId="1" xfId="19" applyFont="1" applyBorder="1" applyAlignment="1">
      <alignment horizontal="center" vertical="center" wrapText="1"/>
    </xf>
    <xf numFmtId="0" fontId="92" fillId="0" borderId="2" xfId="19" applyFont="1" applyBorder="1" applyAlignment="1">
      <alignment horizontal="center" vertical="center" wrapText="1"/>
    </xf>
    <xf numFmtId="0" fontId="92" fillId="0" borderId="3" xfId="19" applyFont="1" applyBorder="1" applyAlignment="1">
      <alignment horizontal="center" vertical="center" wrapText="1"/>
    </xf>
    <xf numFmtId="0" fontId="92" fillId="0" borderId="4" xfId="19" applyFont="1" applyBorder="1" applyAlignment="1">
      <alignment horizontal="center" vertical="center" wrapText="1"/>
    </xf>
    <xf numFmtId="0" fontId="92" fillId="0" borderId="2" xfId="19" applyFont="1" applyBorder="1" applyAlignment="1">
      <alignment horizontal="left" vertical="center" wrapText="1"/>
    </xf>
    <xf numFmtId="0" fontId="92" fillId="0" borderId="3" xfId="19" applyFont="1" applyBorder="1" applyAlignment="1">
      <alignment horizontal="left" vertical="center" wrapText="1"/>
    </xf>
    <xf numFmtId="0" fontId="92" fillId="0" borderId="4" xfId="19" applyFont="1" applyBorder="1" applyAlignment="1">
      <alignment horizontal="left" vertical="center" wrapText="1"/>
    </xf>
    <xf numFmtId="3" fontId="92" fillId="0" borderId="1" xfId="19" applyNumberFormat="1" applyFont="1" applyBorder="1" applyAlignment="1">
      <alignment horizontal="center" vertical="center" wrapText="1"/>
    </xf>
    <xf numFmtId="0" fontId="141" fillId="0" borderId="0" xfId="19" applyFont="1" applyAlignment="1">
      <alignment horizontal="left" vertical="top" wrapText="1"/>
    </xf>
    <xf numFmtId="0" fontId="58" fillId="0" borderId="0" xfId="19" applyFont="1" applyAlignment="1">
      <alignment horizontal="left" vertical="top" wrapText="1"/>
    </xf>
    <xf numFmtId="0" fontId="15" fillId="0" borderId="0" xfId="4" applyFill="1" applyAlignment="1">
      <alignment horizontal="center"/>
    </xf>
    <xf numFmtId="0" fontId="31" fillId="0" borderId="12" xfId="0" applyFont="1" applyBorder="1" applyAlignment="1">
      <alignment vertical="center"/>
    </xf>
    <xf numFmtId="0" fontId="31" fillId="0" borderId="22" xfId="0" applyFont="1" applyBorder="1" applyAlignment="1">
      <alignment vertical="center"/>
    </xf>
    <xf numFmtId="0" fontId="31" fillId="0" borderId="2" xfId="0" applyFont="1" applyBorder="1" applyAlignment="1">
      <alignment horizontal="center" wrapText="1"/>
    </xf>
    <xf numFmtId="0" fontId="31" fillId="0" borderId="4" xfId="0" applyFont="1" applyBorder="1" applyAlignment="1">
      <alignment horizontal="center" wrapText="1"/>
    </xf>
    <xf numFmtId="0" fontId="31" fillId="0" borderId="2" xfId="0" applyFont="1" applyBorder="1" applyAlignment="1">
      <alignment horizontal="center"/>
    </xf>
    <xf numFmtId="0" fontId="31" fillId="0" borderId="4" xfId="0" applyFont="1" applyBorder="1" applyAlignment="1">
      <alignment horizontal="center"/>
    </xf>
    <xf numFmtId="0" fontId="61" fillId="0" borderId="0" xfId="0" applyFont="1" applyAlignment="1">
      <alignment vertical="top" wrapText="1"/>
    </xf>
    <xf numFmtId="0" fontId="12" fillId="16" borderId="1" xfId="0" applyFont="1" applyFill="1" applyBorder="1" applyAlignment="1">
      <alignment horizontal="center" vertical="top" wrapText="1"/>
    </xf>
    <xf numFmtId="168" fontId="2" fillId="16" borderId="1" xfId="0" applyNumberFormat="1" applyFont="1" applyFill="1" applyBorder="1" applyAlignment="1">
      <alignment horizontal="center" vertical="top" wrapText="1"/>
    </xf>
    <xf numFmtId="0" fontId="12" fillId="0" borderId="11" xfId="0" applyFont="1" applyBorder="1" applyAlignment="1">
      <alignment horizontal="left" vertical="center" wrapText="1"/>
    </xf>
    <xf numFmtId="0" fontId="61" fillId="0" borderId="14" xfId="0" applyFont="1" applyBorder="1" applyAlignment="1">
      <alignment vertical="top" wrapText="1"/>
    </xf>
    <xf numFmtId="0" fontId="61" fillId="0" borderId="1" xfId="0" applyFont="1" applyBorder="1" applyAlignment="1">
      <alignment horizontal="center" vertical="center" wrapText="1"/>
    </xf>
    <xf numFmtId="2" fontId="61" fillId="0" borderId="1" xfId="0" applyNumberFormat="1" applyFont="1" applyBorder="1" applyAlignment="1">
      <alignment horizontal="center" vertical="center"/>
    </xf>
    <xf numFmtId="3" fontId="61" fillId="0" borderId="1" xfId="0" applyNumberFormat="1" applyFont="1" applyBorder="1" applyAlignment="1">
      <alignment horizontal="center" vertical="center"/>
    </xf>
    <xf numFmtId="193" fontId="58" fillId="0" borderId="1" xfId="0" applyNumberFormat="1" applyFont="1" applyBorder="1" applyAlignment="1">
      <alignment horizontal="center" vertical="center"/>
    </xf>
    <xf numFmtId="194" fontId="58" fillId="0" borderId="1" xfId="0" applyNumberFormat="1" applyFont="1" applyBorder="1" applyAlignment="1">
      <alignment horizontal="center" vertical="center"/>
    </xf>
    <xf numFmtId="194" fontId="58" fillId="0" borderId="2" xfId="0" applyNumberFormat="1" applyFont="1" applyBorder="1" applyAlignment="1">
      <alignment horizontal="center" vertical="center"/>
    </xf>
    <xf numFmtId="194" fontId="58" fillId="0" borderId="3" xfId="0" applyNumberFormat="1" applyFont="1" applyBorder="1" applyAlignment="1">
      <alignment horizontal="center" vertical="center"/>
    </xf>
    <xf numFmtId="194" fontId="58" fillId="0" borderId="4" xfId="0" applyNumberFormat="1" applyFont="1" applyBorder="1" applyAlignment="1">
      <alignment horizontal="center" vertical="center"/>
    </xf>
    <xf numFmtId="193" fontId="58" fillId="0" borderId="2" xfId="0" applyNumberFormat="1" applyFont="1" applyBorder="1" applyAlignment="1">
      <alignment horizontal="center" vertical="center"/>
    </xf>
    <xf numFmtId="193" fontId="58" fillId="0" borderId="3" xfId="0" applyNumberFormat="1" applyFont="1" applyBorder="1" applyAlignment="1">
      <alignment horizontal="center" vertical="center"/>
    </xf>
    <xf numFmtId="193" fontId="58" fillId="0" borderId="4" xfId="0" applyNumberFormat="1" applyFont="1" applyBorder="1" applyAlignment="1">
      <alignment horizontal="center" vertical="center"/>
    </xf>
    <xf numFmtId="0" fontId="12" fillId="0" borderId="1" xfId="0" applyFont="1" applyBorder="1" applyAlignment="1">
      <alignment horizontal="center" vertical="top" wrapText="1"/>
    </xf>
    <xf numFmtId="168" fontId="2" fillId="0" borderId="1" xfId="0" applyNumberFormat="1" applyFont="1" applyBorder="1" applyAlignment="1">
      <alignment horizontal="center" vertical="top" wrapText="1"/>
    </xf>
    <xf numFmtId="168" fontId="0" fillId="0" borderId="2" xfId="0" applyNumberFormat="1" applyBorder="1" applyAlignment="1">
      <alignment horizontal="center" vertical="center"/>
    </xf>
    <xf numFmtId="168" fontId="0" fillId="0" borderId="3" xfId="0" applyNumberFormat="1" applyBorder="1" applyAlignment="1">
      <alignment horizontal="center" vertical="center"/>
    </xf>
    <xf numFmtId="168" fontId="0" fillId="0" borderId="4" xfId="0" applyNumberFormat="1" applyBorder="1" applyAlignment="1">
      <alignment horizontal="center" vertical="center"/>
    </xf>
    <xf numFmtId="0" fontId="18" fillId="13" borderId="2" xfId="0" applyFont="1" applyFill="1" applyBorder="1" applyAlignment="1" applyProtection="1">
      <alignment horizontal="center" vertical="center"/>
      <protection locked="0"/>
    </xf>
    <xf numFmtId="0" fontId="18" fillId="13" borderId="3" xfId="0" applyFont="1" applyFill="1" applyBorder="1" applyAlignment="1" applyProtection="1">
      <alignment horizontal="center" vertical="center"/>
      <protection locked="0"/>
    </xf>
    <xf numFmtId="0" fontId="18" fillId="13" borderId="4" xfId="0" applyFont="1" applyFill="1" applyBorder="1" applyAlignment="1" applyProtection="1">
      <alignment horizontal="center" vertical="center"/>
      <protection locked="0"/>
    </xf>
    <xf numFmtId="168" fontId="18" fillId="13" borderId="2" xfId="0" applyNumberFormat="1" applyFont="1" applyFill="1" applyBorder="1" applyAlignment="1" applyProtection="1">
      <alignment horizontal="center" vertical="center"/>
      <protection locked="0"/>
    </xf>
    <xf numFmtId="168" fontId="18" fillId="13" borderId="3" xfId="0" applyNumberFormat="1" applyFont="1" applyFill="1" applyBorder="1" applyAlignment="1" applyProtection="1">
      <alignment horizontal="center" vertical="center"/>
      <protection locked="0"/>
    </xf>
    <xf numFmtId="168" fontId="18" fillId="13" borderId="4" xfId="0" applyNumberFormat="1" applyFont="1" applyFill="1" applyBorder="1" applyAlignment="1" applyProtection="1">
      <alignment horizontal="center" vertical="center"/>
      <protection locked="0"/>
    </xf>
    <xf numFmtId="3" fontId="18" fillId="13" borderId="2" xfId="0" applyNumberFormat="1" applyFont="1" applyFill="1" applyBorder="1" applyAlignment="1" applyProtection="1">
      <alignment horizontal="center" vertical="center"/>
      <protection locked="0"/>
    </xf>
    <xf numFmtId="3" fontId="18" fillId="13" borderId="3" xfId="0" applyNumberFormat="1" applyFont="1" applyFill="1" applyBorder="1" applyAlignment="1" applyProtection="1">
      <alignment horizontal="center" vertical="center"/>
      <protection locked="0"/>
    </xf>
    <xf numFmtId="3" fontId="18" fillId="13" borderId="4" xfId="0" applyNumberFormat="1" applyFont="1" applyFill="1" applyBorder="1" applyAlignment="1" applyProtection="1">
      <alignment horizontal="center" vertical="center"/>
      <protection locked="0"/>
    </xf>
    <xf numFmtId="0" fontId="59" fillId="0" borderId="1" xfId="0" applyFont="1" applyBorder="1" applyAlignment="1">
      <alignment horizontal="center" vertical="center" wrapText="1"/>
    </xf>
    <xf numFmtId="0" fontId="59" fillId="0" borderId="1" xfId="0" applyFont="1" applyBorder="1" applyAlignment="1">
      <alignment horizontal="center" vertical="center"/>
    </xf>
    <xf numFmtId="0" fontId="57" fillId="0" borderId="1" xfId="0" applyFont="1" applyBorder="1" applyAlignment="1">
      <alignment horizontal="center" vertical="center" wrapText="1"/>
    </xf>
    <xf numFmtId="0" fontId="92" fillId="0" borderId="2" xfId="0" applyFont="1" applyBorder="1" applyAlignment="1">
      <alignment vertical="center" wrapText="1"/>
    </xf>
    <xf numFmtId="0" fontId="92" fillId="0" borderId="3" xfId="0" applyFont="1" applyBorder="1" applyAlignment="1">
      <alignment vertical="center" wrapText="1"/>
    </xf>
    <xf numFmtId="0" fontId="92" fillId="0" borderId="4" xfId="0" applyFont="1" applyBorder="1" applyAlignment="1">
      <alignment vertical="center" wrapText="1"/>
    </xf>
    <xf numFmtId="0" fontId="142" fillId="0" borderId="2" xfId="4" applyFont="1" applyBorder="1" applyAlignment="1">
      <alignment vertical="center" wrapText="1"/>
    </xf>
    <xf numFmtId="0" fontId="142" fillId="0" borderId="3" xfId="4" applyFont="1" applyBorder="1" applyAlignment="1">
      <alignment vertical="center" wrapText="1"/>
    </xf>
    <xf numFmtId="0" fontId="142" fillId="0" borderId="4" xfId="4" applyFont="1" applyBorder="1" applyAlignment="1">
      <alignment vertical="center" wrapText="1"/>
    </xf>
    <xf numFmtId="0" fontId="92" fillId="0" borderId="2" xfId="1" applyNumberFormat="1" applyFont="1" applyBorder="1" applyAlignment="1">
      <alignment horizontal="center" vertical="center"/>
    </xf>
    <xf numFmtId="0" fontId="92" fillId="0" borderId="3" xfId="1" applyNumberFormat="1" applyFont="1" applyBorder="1" applyAlignment="1">
      <alignment horizontal="center" vertical="center"/>
    </xf>
    <xf numFmtId="0" fontId="92" fillId="0" borderId="4" xfId="1" applyNumberFormat="1" applyFont="1" applyBorder="1" applyAlignment="1">
      <alignment horizontal="center" vertical="center"/>
    </xf>
    <xf numFmtId="0" fontId="88" fillId="0" borderId="0" xfId="10" applyFont="1" applyAlignment="1">
      <alignment horizontal="left" wrapText="1"/>
    </xf>
    <xf numFmtId="0" fontId="31" fillId="2" borderId="16" xfId="0" applyFont="1" applyFill="1" applyBorder="1" applyAlignment="1">
      <alignment horizontal="left" vertical="center"/>
    </xf>
    <xf numFmtId="0" fontId="31" fillId="2" borderId="0" xfId="0" applyFont="1" applyFill="1" applyAlignment="1">
      <alignment horizontal="left" vertical="center"/>
    </xf>
    <xf numFmtId="0" fontId="64" fillId="20" borderId="16" xfId="0" applyFont="1" applyFill="1" applyBorder="1" applyAlignment="1">
      <alignment horizontal="left" vertical="center"/>
    </xf>
    <xf numFmtId="0" fontId="22" fillId="0" borderId="0" xfId="0" applyFont="1" applyAlignment="1">
      <alignment horizontal="left" vertical="center"/>
    </xf>
    <xf numFmtId="164" fontId="22" fillId="0" borderId="1" xfId="0" applyNumberFormat="1" applyFont="1" applyBorder="1" applyAlignment="1">
      <alignment horizontal="center" vertical="center" wrapText="1"/>
    </xf>
    <xf numFmtId="164" fontId="22" fillId="0" borderId="1" xfId="0" quotePrefix="1" applyNumberFormat="1" applyFont="1" applyBorder="1" applyAlignment="1">
      <alignment horizontal="center" vertical="center" wrapText="1"/>
    </xf>
    <xf numFmtId="164" fontId="28" fillId="0" borderId="1" xfId="0" quotePrefix="1"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0" fontId="34" fillId="0" borderId="14" xfId="0" applyFont="1" applyBorder="1" applyAlignment="1">
      <alignment horizontal="left" vertical="top" wrapText="1"/>
    </xf>
    <xf numFmtId="0" fontId="34" fillId="0" borderId="0" xfId="0" applyFont="1" applyAlignment="1">
      <alignment horizontal="left" vertical="top" wrapText="1"/>
    </xf>
    <xf numFmtId="0" fontId="15" fillId="0" borderId="0" xfId="4" applyFill="1" applyAlignment="1">
      <alignment vertical="center"/>
    </xf>
    <xf numFmtId="0" fontId="50" fillId="0" borderId="0" xfId="0" applyFont="1" applyAlignment="1">
      <alignment horizontal="left" vertical="top" wrapText="1"/>
    </xf>
    <xf numFmtId="0" fontId="141" fillId="0" borderId="0" xfId="0" applyFont="1" applyAlignment="1">
      <alignment horizontal="left" wrapText="1"/>
    </xf>
    <xf numFmtId="0" fontId="22" fillId="0" borderId="0" xfId="0" applyFont="1" applyAlignment="1">
      <alignment horizontal="center" vertical="center" wrapText="1"/>
    </xf>
    <xf numFmtId="164" fontId="22" fillId="0" borderId="0" xfId="0" quotePrefix="1" applyNumberFormat="1" applyFont="1" applyAlignment="1">
      <alignment horizontal="center" vertical="center" wrapText="1"/>
    </xf>
    <xf numFmtId="164" fontId="22" fillId="0" borderId="0" xfId="0" applyNumberFormat="1" applyFont="1" applyAlignment="1">
      <alignment horizontal="center" vertical="center" wrapText="1"/>
    </xf>
    <xf numFmtId="164" fontId="28" fillId="0" borderId="0" xfId="0" quotePrefix="1" applyNumberFormat="1" applyFont="1" applyAlignment="1">
      <alignment horizontal="center" vertical="center" wrapText="1"/>
    </xf>
    <xf numFmtId="164" fontId="28" fillId="0" borderId="0" xfId="0" applyNumberFormat="1" applyFont="1" applyAlignment="1">
      <alignment horizontal="center" vertical="center" wrapText="1"/>
    </xf>
    <xf numFmtId="0" fontId="138" fillId="0" borderId="2" xfId="0" applyFont="1" applyBorder="1" applyAlignment="1">
      <alignment horizontal="left" vertical="center" wrapText="1"/>
    </xf>
    <xf numFmtId="0" fontId="138" fillId="0" borderId="3" xfId="0" applyFont="1" applyBorder="1" applyAlignment="1">
      <alignment horizontal="left" vertical="center" wrapText="1"/>
    </xf>
    <xf numFmtId="0" fontId="138" fillId="0" borderId="4" xfId="0" applyFont="1" applyBorder="1" applyAlignment="1">
      <alignment horizontal="left" vertical="center" wrapText="1"/>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195" fontId="22" fillId="3" borderId="1" xfId="0" applyNumberFormat="1" applyFont="1" applyFill="1" applyBorder="1" applyAlignment="1">
      <alignment horizontal="center" vertical="center" wrapText="1"/>
    </xf>
    <xf numFmtId="196" fontId="22" fillId="3" borderId="2" xfId="0" applyNumberFormat="1" applyFont="1" applyFill="1" applyBorder="1" applyAlignment="1">
      <alignment horizontal="center" vertical="center" wrapText="1"/>
    </xf>
    <xf numFmtId="196" fontId="22" fillId="3" borderId="3" xfId="0" applyNumberFormat="1" applyFont="1" applyFill="1" applyBorder="1" applyAlignment="1">
      <alignment horizontal="center" vertical="center" wrapText="1"/>
    </xf>
    <xf numFmtId="196" fontId="22" fillId="3" borderId="4" xfId="0" applyNumberFormat="1" applyFont="1" applyFill="1" applyBorder="1" applyAlignment="1">
      <alignment horizontal="center" vertical="center" wrapText="1"/>
    </xf>
    <xf numFmtId="196" fontId="22" fillId="18" borderId="1" xfId="0" applyNumberFormat="1" applyFont="1" applyFill="1" applyBorder="1" applyAlignment="1">
      <alignment horizontal="center" vertical="center" wrapText="1"/>
    </xf>
    <xf numFmtId="165" fontId="20" fillId="0" borderId="2" xfId="0" applyNumberFormat="1" applyFont="1" applyBorder="1" applyAlignment="1">
      <alignment horizontal="center" vertical="center"/>
    </xf>
    <xf numFmtId="165" fontId="20" fillId="0" borderId="3" xfId="0" applyNumberFormat="1" applyFont="1" applyBorder="1" applyAlignment="1">
      <alignment horizontal="center" vertical="center"/>
    </xf>
    <xf numFmtId="165" fontId="20" fillId="0" borderId="4" xfId="0" applyNumberFormat="1" applyFont="1" applyBorder="1" applyAlignment="1">
      <alignment horizontal="center" vertical="center"/>
    </xf>
    <xf numFmtId="2" fontId="201" fillId="0" borderId="1" xfId="0" applyNumberFormat="1" applyFont="1" applyBorder="1" applyAlignment="1">
      <alignment horizontal="center" vertical="center"/>
    </xf>
    <xf numFmtId="4" fontId="201" fillId="0" borderId="1" xfId="0" applyNumberFormat="1" applyFont="1" applyBorder="1" applyAlignment="1">
      <alignment horizontal="center" vertical="center"/>
    </xf>
    <xf numFmtId="0" fontId="51" fillId="13" borderId="1" xfId="0" applyFont="1" applyFill="1" applyBorder="1" applyAlignment="1">
      <alignment horizontal="center" vertical="center"/>
    </xf>
    <xf numFmtId="0" fontId="51" fillId="9" borderId="1" xfId="0" applyFont="1" applyFill="1" applyBorder="1" applyAlignment="1">
      <alignment horizontal="center" vertical="center"/>
    </xf>
    <xf numFmtId="4" fontId="20" fillId="0" borderId="2" xfId="0" applyNumberFormat="1" applyFont="1" applyBorder="1" applyAlignment="1">
      <alignment horizontal="center" vertical="center"/>
    </xf>
    <xf numFmtId="4" fontId="20" fillId="0" borderId="3" xfId="0" applyNumberFormat="1" applyFont="1" applyBorder="1" applyAlignment="1">
      <alignment horizontal="center" vertical="center"/>
    </xf>
    <xf numFmtId="4" fontId="20" fillId="0" borderId="4" xfId="0" applyNumberFormat="1" applyFont="1" applyBorder="1" applyAlignment="1">
      <alignment horizontal="center" vertic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15" xfId="0" applyFont="1" applyBorder="1" applyAlignment="1">
      <alignment horizontal="center" vertical="center"/>
    </xf>
    <xf numFmtId="0" fontId="51" fillId="0" borderId="18" xfId="0" applyFont="1" applyBorder="1" applyAlignment="1">
      <alignment horizontal="center" vertical="center"/>
    </xf>
    <xf numFmtId="0" fontId="51" fillId="0" borderId="11" xfId="0" applyFont="1" applyBorder="1" applyAlignment="1">
      <alignment horizontal="center" vertical="center"/>
    </xf>
    <xf numFmtId="0" fontId="51" fillId="0" borderId="19"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4" xfId="0" applyFont="1" applyBorder="1" applyAlignment="1">
      <alignment horizontal="center" vertical="center"/>
    </xf>
    <xf numFmtId="0" fontId="15" fillId="0" borderId="1" xfId="4" applyBorder="1"/>
    <xf numFmtId="0" fontId="115" fillId="0" borderId="16" xfId="0" applyFont="1" applyBorder="1" applyAlignment="1">
      <alignment vertical="center"/>
    </xf>
    <xf numFmtId="0" fontId="115" fillId="0" borderId="0" xfId="0" applyFont="1" applyAlignment="1">
      <alignment vertical="center"/>
    </xf>
    <xf numFmtId="0" fontId="115" fillId="0" borderId="17" xfId="0" applyFont="1" applyBorder="1" applyAlignment="1">
      <alignment vertical="center"/>
    </xf>
    <xf numFmtId="0" fontId="131" fillId="0" borderId="2" xfId="4" applyFont="1" applyBorder="1" applyAlignment="1">
      <alignment vertical="center"/>
    </xf>
    <xf numFmtId="0" fontId="131" fillId="0" borderId="3" xfId="4" applyFont="1" applyBorder="1" applyAlignment="1">
      <alignment vertical="center"/>
    </xf>
    <xf numFmtId="0" fontId="131" fillId="0" borderId="4" xfId="4" applyFont="1" applyBorder="1" applyAlignment="1">
      <alignment vertical="center"/>
    </xf>
    <xf numFmtId="0" fontId="15" fillId="0" borderId="2" xfId="4" applyBorder="1" applyAlignment="1">
      <alignment vertical="center"/>
    </xf>
    <xf numFmtId="0" fontId="15" fillId="0" borderId="3" xfId="4" applyBorder="1" applyAlignment="1">
      <alignment vertical="center"/>
    </xf>
    <xf numFmtId="0" fontId="15" fillId="0" borderId="4" xfId="4" applyBorder="1" applyAlignment="1">
      <alignment vertical="center"/>
    </xf>
    <xf numFmtId="0" fontId="118" fillId="0" borderId="2" xfId="0" applyFont="1" applyBorder="1" applyAlignment="1">
      <alignment horizontal="center" vertical="center"/>
    </xf>
    <xf numFmtId="0" fontId="118" fillId="0" borderId="4" xfId="0" applyFont="1" applyBorder="1" applyAlignment="1">
      <alignment horizontal="center" vertical="center"/>
    </xf>
    <xf numFmtId="0" fontId="118" fillId="0" borderId="1" xfId="0" applyFont="1" applyBorder="1" applyAlignment="1">
      <alignment horizontal="center" vertical="center"/>
    </xf>
    <xf numFmtId="0" fontId="12" fillId="7" borderId="2" xfId="0" applyFont="1" applyFill="1" applyBorder="1" applyAlignment="1">
      <alignment horizontal="center" vertical="center"/>
    </xf>
    <xf numFmtId="0" fontId="12" fillId="7" borderId="3" xfId="0" applyFont="1" applyFill="1" applyBorder="1" applyAlignment="1">
      <alignment horizontal="center" vertical="center"/>
    </xf>
    <xf numFmtId="0" fontId="12" fillId="8"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8" borderId="4" xfId="0" applyFont="1" applyFill="1" applyBorder="1" applyAlignment="1">
      <alignment horizontal="center" vertical="center"/>
    </xf>
    <xf numFmtId="0" fontId="12" fillId="27" borderId="2" xfId="0" applyFont="1" applyFill="1" applyBorder="1" applyAlignment="1">
      <alignment horizontal="center" vertical="center"/>
    </xf>
    <xf numFmtId="0" fontId="12" fillId="27" borderId="3"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3" xfId="0" applyFont="1" applyFill="1" applyBorder="1" applyAlignment="1">
      <alignment horizontal="center" vertical="center"/>
    </xf>
    <xf numFmtId="0" fontId="12" fillId="26" borderId="4" xfId="0" applyFont="1" applyFill="1" applyBorder="1" applyAlignment="1">
      <alignment horizontal="center" vertical="center"/>
    </xf>
    <xf numFmtId="4" fontId="2" fillId="0" borderId="2" xfId="0" applyNumberFormat="1" applyFont="1" applyBorder="1" applyAlignment="1">
      <alignment horizontal="center" vertical="center"/>
    </xf>
    <xf numFmtId="4" fontId="2" fillId="0" borderId="3" xfId="0" applyNumberFormat="1" applyFont="1" applyBorder="1" applyAlignment="1">
      <alignment horizontal="center" vertical="center"/>
    </xf>
    <xf numFmtId="4" fontId="2" fillId="0" borderId="4" xfId="0" applyNumberFormat="1" applyFont="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24" borderId="2" xfId="0" applyFont="1" applyFill="1" applyBorder="1" applyAlignment="1">
      <alignment horizontal="center" vertical="center"/>
    </xf>
    <xf numFmtId="0" fontId="12" fillId="24" borderId="3" xfId="0" applyFont="1" applyFill="1" applyBorder="1" applyAlignment="1">
      <alignment horizontal="center" vertical="center"/>
    </xf>
    <xf numFmtId="0" fontId="12" fillId="24" borderId="4"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4" xfId="0" applyFont="1" applyFill="1" applyBorder="1" applyAlignment="1">
      <alignment horizontal="center" vertical="center"/>
    </xf>
    <xf numFmtId="0" fontId="118" fillId="0" borderId="16" xfId="0" applyFont="1" applyBorder="1" applyAlignment="1">
      <alignment vertical="center"/>
    </xf>
    <xf numFmtId="0" fontId="118" fillId="0" borderId="0" xfId="0" applyFont="1" applyAlignment="1">
      <alignment vertical="center"/>
    </xf>
    <xf numFmtId="0" fontId="118" fillId="0" borderId="17" xfId="0" applyFont="1" applyBorder="1" applyAlignment="1">
      <alignment vertical="center"/>
    </xf>
    <xf numFmtId="0" fontId="115" fillId="0" borderId="13" xfId="0" applyFont="1" applyBorder="1" applyAlignment="1">
      <alignment vertical="center"/>
    </xf>
    <xf numFmtId="0" fontId="115" fillId="0" borderId="14" xfId="0" applyFont="1" applyBorder="1" applyAlignment="1">
      <alignment vertical="center"/>
    </xf>
    <xf numFmtId="0" fontId="115" fillId="0" borderId="15" xfId="0" applyFont="1" applyBorder="1" applyAlignment="1">
      <alignment vertical="center"/>
    </xf>
    <xf numFmtId="0" fontId="15" fillId="0" borderId="13" xfId="4" applyBorder="1" applyAlignment="1">
      <alignment vertical="center"/>
    </xf>
    <xf numFmtId="0" fontId="15" fillId="0" borderId="14" xfId="4" applyBorder="1" applyAlignment="1">
      <alignment vertical="center"/>
    </xf>
    <xf numFmtId="0" fontId="15" fillId="0" borderId="15" xfId="4" applyBorder="1" applyAlignment="1">
      <alignment vertical="center"/>
    </xf>
    <xf numFmtId="0" fontId="15" fillId="0" borderId="13" xfId="4" applyBorder="1" applyAlignment="1">
      <alignment horizontal="left" vertical="center"/>
    </xf>
    <xf numFmtId="0" fontId="15" fillId="0" borderId="15" xfId="4" applyBorder="1" applyAlignment="1">
      <alignment horizontal="left" vertical="center"/>
    </xf>
    <xf numFmtId="0" fontId="115" fillId="0" borderId="1" xfId="0" applyFont="1" applyBorder="1" applyAlignment="1">
      <alignment vertical="center"/>
    </xf>
    <xf numFmtId="0" fontId="15" fillId="0" borderId="2" xfId="4" applyBorder="1" applyAlignment="1">
      <alignment horizontal="left" vertical="center"/>
    </xf>
    <xf numFmtId="0" fontId="15" fillId="0" borderId="3" xfId="4" applyBorder="1" applyAlignment="1">
      <alignment horizontal="left" vertical="center"/>
    </xf>
    <xf numFmtId="0" fontId="15" fillId="0" borderId="4" xfId="4" applyBorder="1" applyAlignment="1">
      <alignment horizontal="left" vertical="center"/>
    </xf>
    <xf numFmtId="0" fontId="131" fillId="0" borderId="2" xfId="4" applyFont="1" applyBorder="1" applyAlignment="1">
      <alignment horizontal="left" vertical="center"/>
    </xf>
    <xf numFmtId="0" fontId="131" fillId="0" borderId="3" xfId="4" applyFont="1" applyBorder="1" applyAlignment="1">
      <alignment horizontal="left" vertical="center"/>
    </xf>
    <xf numFmtId="0" fontId="131" fillId="0" borderId="4" xfId="4" applyFont="1" applyBorder="1" applyAlignment="1">
      <alignment horizontal="left" vertical="center"/>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12" fillId="14" borderId="4" xfId="0" applyFont="1" applyFill="1" applyBorder="1" applyAlignment="1">
      <alignment horizontal="center" vertical="center"/>
    </xf>
    <xf numFmtId="0" fontId="51" fillId="13" borderId="2" xfId="0" applyFont="1" applyFill="1" applyBorder="1" applyAlignment="1">
      <alignment horizontal="center" vertical="center"/>
    </xf>
    <xf numFmtId="0" fontId="51" fillId="13" borderId="3" xfId="0" applyFont="1" applyFill="1" applyBorder="1" applyAlignment="1">
      <alignment horizontal="center" vertical="center"/>
    </xf>
    <xf numFmtId="0" fontId="51" fillId="13" borderId="4" xfId="0" applyFont="1" applyFill="1" applyBorder="1" applyAlignment="1">
      <alignment horizontal="center" vertical="center"/>
    </xf>
    <xf numFmtId="0" fontId="51" fillId="9" borderId="2" xfId="0" applyFont="1" applyFill="1" applyBorder="1" applyAlignment="1">
      <alignment horizontal="center" vertical="center"/>
    </xf>
    <xf numFmtId="0" fontId="51" fillId="9" borderId="3" xfId="0" applyFont="1" applyFill="1" applyBorder="1" applyAlignment="1">
      <alignment horizontal="center" vertical="center"/>
    </xf>
    <xf numFmtId="0" fontId="51" fillId="9" borderId="4" xfId="0" applyFont="1" applyFill="1" applyBorder="1" applyAlignment="1">
      <alignment horizontal="center" vertical="center"/>
    </xf>
    <xf numFmtId="0" fontId="12" fillId="22" borderId="2" xfId="0" applyFont="1" applyFill="1" applyBorder="1" applyAlignment="1">
      <alignment horizontal="center" vertical="center"/>
    </xf>
    <xf numFmtId="0" fontId="12" fillId="22" borderId="3" xfId="0" applyFont="1" applyFill="1" applyBorder="1" applyAlignment="1">
      <alignment horizontal="center" vertical="center"/>
    </xf>
    <xf numFmtId="0" fontId="12" fillId="22" borderId="4"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12" fillId="22" borderId="2" xfId="0" applyFont="1" applyFill="1" applyBorder="1" applyAlignment="1">
      <alignment horizontal="center" vertical="center" wrapText="1"/>
    </xf>
    <xf numFmtId="0" fontId="12" fillId="22" borderId="3" xfId="0" applyFont="1" applyFill="1" applyBorder="1" applyAlignment="1">
      <alignment horizontal="center" vertical="center" wrapText="1"/>
    </xf>
    <xf numFmtId="0" fontId="12" fillId="22" borderId="4" xfId="0" applyFont="1" applyFill="1" applyBorder="1" applyAlignment="1">
      <alignment horizontal="center" vertical="center" wrapText="1"/>
    </xf>
    <xf numFmtId="0" fontId="12" fillId="23" borderId="2" xfId="0" applyFont="1" applyFill="1" applyBorder="1" applyAlignment="1">
      <alignment horizontal="center"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2" fillId="17" borderId="3" xfId="0" applyFont="1" applyFill="1" applyBorder="1" applyAlignment="1">
      <alignment horizontal="center" vertical="center" wrapText="1"/>
    </xf>
    <xf numFmtId="0" fontId="12" fillId="17" borderId="4" xfId="0" applyFont="1" applyFill="1" applyBorder="1" applyAlignment="1">
      <alignment horizontal="center" vertical="center" wrapText="1"/>
    </xf>
    <xf numFmtId="0" fontId="12" fillId="17" borderId="2" xfId="0" applyFont="1" applyFill="1" applyBorder="1" applyAlignment="1">
      <alignment horizontal="center" vertical="center"/>
    </xf>
    <xf numFmtId="0" fontId="12" fillId="17" borderId="3" xfId="0" applyFont="1" applyFill="1" applyBorder="1" applyAlignment="1">
      <alignment horizontal="center" vertical="center"/>
    </xf>
    <xf numFmtId="0" fontId="12" fillId="17" borderId="4" xfId="0" applyFont="1" applyFill="1" applyBorder="1" applyAlignment="1">
      <alignment horizontal="center" vertical="center"/>
    </xf>
    <xf numFmtId="0" fontId="12" fillId="28" borderId="2" xfId="0" applyFont="1" applyFill="1" applyBorder="1" applyAlignment="1">
      <alignment horizontal="center" vertical="center" wrapText="1"/>
    </xf>
    <xf numFmtId="0" fontId="12" fillId="28" borderId="3"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51" fillId="25" borderId="2" xfId="0" applyFont="1" applyFill="1" applyBorder="1" applyAlignment="1">
      <alignment horizontal="center" vertical="center"/>
    </xf>
    <xf numFmtId="0" fontId="51" fillId="25" borderId="3" xfId="0" applyFont="1" applyFill="1" applyBorder="1" applyAlignment="1">
      <alignment horizontal="center" vertical="center"/>
    </xf>
    <xf numFmtId="0" fontId="51" fillId="25" borderId="4" xfId="0" applyFont="1" applyFill="1" applyBorder="1" applyAlignment="1">
      <alignment horizontal="center" vertical="center"/>
    </xf>
    <xf numFmtId="0" fontId="20" fillId="0" borderId="1" xfId="0" applyFont="1" applyBorder="1" applyAlignment="1">
      <alignment horizontal="left" vertical="center"/>
    </xf>
    <xf numFmtId="0" fontId="201" fillId="0" borderId="2" xfId="0" applyFont="1" applyBorder="1" applyAlignment="1">
      <alignment horizontal="left" vertical="center"/>
    </xf>
    <xf numFmtId="0" fontId="201" fillId="0" borderId="3" xfId="0" applyFont="1" applyBorder="1" applyAlignment="1">
      <alignment horizontal="left" vertical="center"/>
    </xf>
    <xf numFmtId="0" fontId="201" fillId="0" borderId="4" xfId="0" applyFont="1" applyBorder="1" applyAlignment="1">
      <alignment horizontal="left" vertical="center"/>
    </xf>
    <xf numFmtId="2" fontId="50" fillId="0" borderId="1" xfId="0" applyNumberFormat="1" applyFont="1" applyBorder="1" applyAlignment="1">
      <alignment horizontal="center" vertical="center"/>
    </xf>
    <xf numFmtId="187" fontId="2" fillId="0" borderId="1" xfId="0" applyNumberFormat="1" applyFont="1" applyBorder="1" applyAlignment="1">
      <alignment horizontal="center" vertical="center"/>
    </xf>
    <xf numFmtId="2" fontId="2" fillId="0" borderId="1" xfId="0" applyNumberFormat="1" applyFont="1" applyBorder="1" applyAlignment="1">
      <alignment horizontal="center" vertical="center"/>
    </xf>
    <xf numFmtId="0" fontId="37" fillId="0" borderId="1" xfId="0" applyFont="1" applyBorder="1" applyAlignment="1">
      <alignment horizontal="center" vertical="center"/>
    </xf>
    <xf numFmtId="0" fontId="12" fillId="25" borderId="1" xfId="0" applyFont="1" applyFill="1" applyBorder="1" applyAlignment="1">
      <alignment horizontal="center" vertical="center"/>
    </xf>
    <xf numFmtId="0" fontId="12" fillId="7" borderId="1" xfId="0" applyFont="1" applyFill="1" applyBorder="1" applyAlignment="1">
      <alignment horizontal="center" vertical="center"/>
    </xf>
    <xf numFmtId="0" fontId="12" fillId="8" borderId="1" xfId="0" applyFont="1" applyFill="1" applyBorder="1" applyAlignment="1">
      <alignment horizontal="center" vertical="center"/>
    </xf>
    <xf numFmtId="4" fontId="20" fillId="0" borderId="1" xfId="0" applyNumberFormat="1" applyFont="1" applyBorder="1" applyAlignment="1">
      <alignment horizontal="center" vertical="center"/>
    </xf>
    <xf numFmtId="165" fontId="20" fillId="0" borderId="1" xfId="0" applyNumberFormat="1" applyFont="1" applyBorder="1" applyAlignment="1">
      <alignment horizontal="center" vertical="center"/>
    </xf>
    <xf numFmtId="0" fontId="29" fillId="0" borderId="14" xfId="0" applyFont="1" applyBorder="1" applyAlignment="1">
      <alignment horizontal="left" vertical="top"/>
    </xf>
    <xf numFmtId="0" fontId="37" fillId="25" borderId="1" xfId="0" applyFont="1" applyFill="1" applyBorder="1" applyAlignment="1">
      <alignment horizontal="center" vertical="center"/>
    </xf>
    <xf numFmtId="0" fontId="37" fillId="13" borderId="1" xfId="0" applyFont="1" applyFill="1" applyBorder="1" applyAlignment="1">
      <alignment horizontal="center" vertical="center"/>
    </xf>
    <xf numFmtId="0" fontId="37" fillId="9" borderId="1" xfId="0" applyFont="1" applyFill="1" applyBorder="1" applyAlignment="1">
      <alignment horizontal="center" vertical="center"/>
    </xf>
    <xf numFmtId="0" fontId="235" fillId="23" borderId="1" xfId="0" applyFont="1" applyFill="1" applyBorder="1" applyAlignment="1">
      <alignment horizontal="center" vertical="center" wrapText="1"/>
    </xf>
    <xf numFmtId="2" fontId="20" fillId="0" borderId="1" xfId="0" applyNumberFormat="1" applyFont="1" applyBorder="1" applyAlignment="1">
      <alignment horizontal="center" vertical="center"/>
    </xf>
    <xf numFmtId="165" fontId="201" fillId="0" borderId="1" xfId="0" applyNumberFormat="1" applyFont="1" applyBorder="1" applyAlignment="1">
      <alignment horizontal="center" vertical="center"/>
    </xf>
    <xf numFmtId="0" fontId="129" fillId="0" borderId="0" xfId="0" applyFont="1" applyAlignment="1">
      <alignment horizontal="center" vertical="center" wrapText="1"/>
    </xf>
    <xf numFmtId="0" fontId="130" fillId="13" borderId="1" xfId="0" applyFont="1" applyFill="1" applyBorder="1" applyAlignment="1">
      <alignment horizontal="center" vertical="center" wrapText="1"/>
    </xf>
    <xf numFmtId="0" fontId="130" fillId="9" borderId="1" xfId="0" applyFont="1" applyFill="1" applyBorder="1" applyAlignment="1">
      <alignment horizontal="center" vertical="center" wrapText="1"/>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37" fillId="7" borderId="4" xfId="0" applyFont="1" applyFill="1" applyBorder="1" applyAlignment="1">
      <alignment horizontal="center" vertical="center"/>
    </xf>
    <xf numFmtId="0" fontId="37" fillId="8" borderId="1" xfId="0" applyFont="1" applyFill="1" applyBorder="1" applyAlignment="1">
      <alignment horizontal="center" vertical="center"/>
    </xf>
    <xf numFmtId="0" fontId="37" fillId="29" borderId="1" xfId="0" applyFont="1" applyFill="1" applyBorder="1" applyAlignment="1">
      <alignment horizontal="center" vertical="center"/>
    </xf>
    <xf numFmtId="0" fontId="130" fillId="22" borderId="1" xfId="0" applyFont="1" applyFill="1" applyBorder="1" applyAlignment="1">
      <alignment horizontal="center" vertical="center" wrapText="1"/>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4" xfId="0" applyFont="1" applyBorder="1" applyAlignment="1">
      <alignment horizontal="center" vertical="center"/>
    </xf>
    <xf numFmtId="0" fontId="37" fillId="17" borderId="2" xfId="0" applyFont="1" applyFill="1" applyBorder="1" applyAlignment="1">
      <alignment horizontal="center" vertical="center"/>
    </xf>
    <xf numFmtId="0" fontId="37" fillId="17" borderId="3" xfId="0" applyFont="1" applyFill="1" applyBorder="1" applyAlignment="1">
      <alignment horizontal="center" vertical="center"/>
    </xf>
    <xf numFmtId="0" fontId="37" fillId="17" borderId="4" xfId="0" applyFont="1" applyFill="1" applyBorder="1" applyAlignment="1">
      <alignment horizontal="center" vertical="center"/>
    </xf>
    <xf numFmtId="0" fontId="37" fillId="28" borderId="2" xfId="0" applyFont="1" applyFill="1" applyBorder="1" applyAlignment="1">
      <alignment horizontal="center" vertical="center"/>
    </xf>
    <xf numFmtId="0" fontId="37" fillId="28" borderId="3" xfId="0" applyFont="1" applyFill="1" applyBorder="1" applyAlignment="1">
      <alignment horizontal="center" vertical="center"/>
    </xf>
    <xf numFmtId="0" fontId="37" fillId="28" borderId="4" xfId="0" applyFont="1" applyFill="1" applyBorder="1" applyAlignment="1">
      <alignment horizontal="center" vertical="center"/>
    </xf>
    <xf numFmtId="0" fontId="37" fillId="27" borderId="2" xfId="0" applyFont="1" applyFill="1" applyBorder="1" applyAlignment="1">
      <alignment horizontal="center" vertical="center"/>
    </xf>
    <xf numFmtId="0" fontId="37" fillId="27" borderId="3" xfId="0" applyFont="1" applyFill="1" applyBorder="1" applyAlignment="1">
      <alignment horizontal="center" vertical="center"/>
    </xf>
    <xf numFmtId="0" fontId="37" fillId="27" borderId="4" xfId="0" applyFont="1" applyFill="1" applyBorder="1" applyAlignment="1">
      <alignment horizontal="center" vertical="center"/>
    </xf>
    <xf numFmtId="0" fontId="120" fillId="0" borderId="2" xfId="0" applyFont="1" applyBorder="1" applyAlignment="1">
      <alignment horizontal="left" vertical="center" wrapText="1"/>
    </xf>
    <xf numFmtId="0" fontId="120" fillId="0" borderId="3" xfId="0" applyFont="1" applyBorder="1" applyAlignment="1">
      <alignment horizontal="left" vertical="center" wrapText="1"/>
    </xf>
    <xf numFmtId="0" fontId="120" fillId="0" borderId="4" xfId="0" applyFont="1" applyBorder="1" applyAlignment="1">
      <alignment horizontal="left" vertical="center" wrapText="1"/>
    </xf>
    <xf numFmtId="2" fontId="115" fillId="0" borderId="2" xfId="0" applyNumberFormat="1" applyFont="1" applyBorder="1" applyAlignment="1">
      <alignment horizontal="center" vertical="center"/>
    </xf>
    <xf numFmtId="2" fontId="115" fillId="0" borderId="3" xfId="0" applyNumberFormat="1" applyFont="1" applyBorder="1" applyAlignment="1">
      <alignment horizontal="center" vertical="center"/>
    </xf>
    <xf numFmtId="2" fontId="115" fillId="0" borderId="4" xfId="0" applyNumberFormat="1" applyFont="1" applyBorder="1" applyAlignment="1">
      <alignment horizontal="center" vertical="center"/>
    </xf>
    <xf numFmtId="0" fontId="114" fillId="0" borderId="13" xfId="0" applyFont="1" applyBorder="1" applyAlignment="1">
      <alignment horizontal="center" vertical="center" wrapText="1"/>
    </xf>
    <xf numFmtId="0" fontId="114" fillId="0" borderId="14" xfId="0" applyFont="1" applyBorder="1" applyAlignment="1">
      <alignment horizontal="center" vertical="center" wrapText="1"/>
    </xf>
    <xf numFmtId="0" fontId="114" fillId="0" borderId="15" xfId="0" applyFont="1" applyBorder="1" applyAlignment="1">
      <alignment horizontal="center" vertical="center" wrapText="1"/>
    </xf>
    <xf numFmtId="0" fontId="114" fillId="0" borderId="16" xfId="0" applyFont="1" applyBorder="1" applyAlignment="1">
      <alignment horizontal="center" vertical="center" wrapText="1"/>
    </xf>
    <xf numFmtId="0" fontId="114" fillId="0" borderId="0" xfId="0" applyFont="1" applyAlignment="1">
      <alignment horizontal="center" vertical="center" wrapText="1"/>
    </xf>
    <xf numFmtId="0" fontId="114" fillId="0" borderId="17" xfId="0" applyFont="1" applyBorder="1" applyAlignment="1">
      <alignment horizontal="center" vertical="center" wrapText="1"/>
    </xf>
    <xf numFmtId="0" fontId="114" fillId="0" borderId="18"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9" xfId="0" applyFont="1" applyBorder="1" applyAlignment="1">
      <alignment horizontal="center" vertical="center" wrapText="1"/>
    </xf>
    <xf numFmtId="0" fontId="58" fillId="0" borderId="0" xfId="0" applyFont="1" applyAlignment="1">
      <alignment horizontal="left" vertical="center" wrapText="1"/>
    </xf>
    <xf numFmtId="0" fontId="58" fillId="0" borderId="14" xfId="0" applyFont="1" applyBorder="1" applyAlignment="1">
      <alignment horizontal="left" vertical="center"/>
    </xf>
    <xf numFmtId="0" fontId="58" fillId="0" borderId="0" xfId="0" applyFont="1" applyAlignment="1">
      <alignment horizontal="left" vertical="center"/>
    </xf>
    <xf numFmtId="0" fontId="58" fillId="0" borderId="0" xfId="0" applyFont="1" applyAlignment="1">
      <alignment vertical="center" wrapText="1"/>
    </xf>
    <xf numFmtId="2" fontId="114" fillId="0" borderId="2" xfId="0" applyNumberFormat="1" applyFont="1" applyBorder="1" applyAlignment="1">
      <alignment horizontal="center" vertical="center"/>
    </xf>
    <xf numFmtId="2" fontId="114" fillId="0" borderId="3" xfId="0" applyNumberFormat="1" applyFont="1" applyBorder="1" applyAlignment="1">
      <alignment horizontal="center" vertical="center"/>
    </xf>
    <xf numFmtId="2" fontId="114" fillId="0" borderId="4" xfId="0" applyNumberFormat="1" applyFont="1" applyBorder="1" applyAlignment="1">
      <alignment horizontal="center" vertical="center"/>
    </xf>
    <xf numFmtId="2" fontId="115" fillId="0" borderId="1" xfId="0" applyNumberFormat="1" applyFont="1" applyBorder="1" applyAlignment="1">
      <alignment horizontal="center" vertical="center"/>
    </xf>
    <xf numFmtId="0" fontId="120" fillId="0" borderId="1" xfId="0" applyFont="1" applyBorder="1" applyAlignment="1">
      <alignment horizontal="left" vertical="center" wrapText="1"/>
    </xf>
    <xf numFmtId="0" fontId="115" fillId="0" borderId="14" xfId="0" applyFont="1" applyBorder="1" applyAlignment="1">
      <alignment horizontal="left" vertical="center" wrapText="1"/>
    </xf>
    <xf numFmtId="0" fontId="31" fillId="0" borderId="11" xfId="0" applyFont="1" applyBorder="1" applyAlignment="1">
      <alignment horizontal="left" vertical="center" wrapText="1"/>
    </xf>
    <xf numFmtId="0" fontId="115" fillId="0" borderId="0" xfId="0" applyFont="1" applyAlignment="1">
      <alignment horizontal="left" vertical="center" wrapText="1"/>
    </xf>
    <xf numFmtId="0" fontId="115" fillId="0" borderId="0" xfId="0" applyFont="1" applyAlignment="1">
      <alignment vertical="center" wrapText="1"/>
    </xf>
    <xf numFmtId="0" fontId="114" fillId="0" borderId="1" xfId="0" applyFont="1" applyBorder="1" applyAlignment="1">
      <alignment horizontal="center" vertical="center" wrapText="1"/>
    </xf>
    <xf numFmtId="165" fontId="115" fillId="0" borderId="1" xfId="0" quotePrefix="1" applyNumberFormat="1" applyFont="1" applyBorder="1" applyAlignment="1">
      <alignment horizontal="center" vertical="center"/>
    </xf>
    <xf numFmtId="165" fontId="115" fillId="0" borderId="1" xfId="0" applyNumberFormat="1" applyFont="1" applyBorder="1" applyAlignment="1">
      <alignment horizontal="center" vertical="center"/>
    </xf>
    <xf numFmtId="0" fontId="58" fillId="0" borderId="14" xfId="0" applyFont="1" applyBorder="1" applyAlignment="1">
      <alignment vertical="center" wrapText="1"/>
    </xf>
    <xf numFmtId="0" fontId="115" fillId="0" borderId="1" xfId="0" applyFont="1" applyBorder="1" applyAlignment="1">
      <alignment horizontal="left" vertical="center" wrapText="1"/>
    </xf>
    <xf numFmtId="0" fontId="115" fillId="0" borderId="1" xfId="0" quotePrefix="1" applyFont="1" applyBorder="1" applyAlignment="1">
      <alignment horizontal="center" vertical="center"/>
    </xf>
    <xf numFmtId="0" fontId="115" fillId="0" borderId="1" xfId="0" applyFont="1" applyBorder="1" applyAlignment="1">
      <alignment horizontal="center" vertical="center"/>
    </xf>
    <xf numFmtId="0" fontId="114" fillId="0" borderId="1" xfId="0" applyFont="1" applyBorder="1" applyAlignment="1">
      <alignment horizontal="left" vertical="center" wrapText="1"/>
    </xf>
    <xf numFmtId="0" fontId="114" fillId="0" borderId="1" xfId="0" applyFont="1" applyBorder="1" applyAlignment="1">
      <alignment horizontal="center" vertical="center"/>
    </xf>
    <xf numFmtId="0" fontId="114" fillId="0" borderId="2" xfId="0" applyFont="1" applyBorder="1" applyAlignment="1">
      <alignment horizontal="center" vertical="center" wrapTex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9" fillId="0" borderId="2" xfId="0" applyFont="1" applyBorder="1" applyAlignment="1">
      <alignment horizontal="center" vertical="center" wrapText="1"/>
    </xf>
    <xf numFmtId="0" fontId="119" fillId="0" borderId="3" xfId="0" applyFont="1" applyBorder="1" applyAlignment="1">
      <alignment horizontal="center" vertical="center" wrapText="1"/>
    </xf>
    <xf numFmtId="0" fontId="119" fillId="0" borderId="4" xfId="0" applyFont="1" applyBorder="1" applyAlignment="1">
      <alignment horizontal="center" vertical="center" wrapText="1"/>
    </xf>
    <xf numFmtId="0" fontId="114" fillId="0" borderId="13" xfId="0" applyFont="1" applyBorder="1" applyAlignment="1">
      <alignment horizontal="center" vertical="center"/>
    </xf>
    <xf numFmtId="0" fontId="114" fillId="0" borderId="14" xfId="0" applyFont="1" applyBorder="1" applyAlignment="1">
      <alignment horizontal="center" vertical="center"/>
    </xf>
    <xf numFmtId="0" fontId="114" fillId="0" borderId="15" xfId="0" applyFont="1" applyBorder="1" applyAlignment="1">
      <alignment horizontal="center" vertical="center"/>
    </xf>
    <xf numFmtId="0" fontId="114" fillId="0" borderId="18" xfId="0" applyFont="1" applyBorder="1" applyAlignment="1">
      <alignment horizontal="center" vertical="center"/>
    </xf>
    <xf numFmtId="0" fontId="114" fillId="0" borderId="11" xfId="0" applyFont="1" applyBorder="1" applyAlignment="1">
      <alignment horizontal="center" vertical="center"/>
    </xf>
    <xf numFmtId="0" fontId="114" fillId="0" borderId="19" xfId="0" applyFont="1" applyBorder="1" applyAlignment="1">
      <alignment horizontal="center" vertical="center"/>
    </xf>
    <xf numFmtId="165" fontId="114" fillId="0" borderId="13" xfId="0" applyNumberFormat="1" applyFont="1" applyBorder="1" applyAlignment="1">
      <alignment horizontal="center" vertical="center" wrapText="1"/>
    </xf>
    <xf numFmtId="165" fontId="114" fillId="0" borderId="15" xfId="0" applyNumberFormat="1" applyFont="1" applyBorder="1" applyAlignment="1">
      <alignment horizontal="center" vertical="center" wrapText="1"/>
    </xf>
    <xf numFmtId="165" fontId="114" fillId="0" borderId="18" xfId="0" applyNumberFormat="1" applyFont="1" applyBorder="1" applyAlignment="1">
      <alignment horizontal="center" vertical="center" wrapText="1"/>
    </xf>
    <xf numFmtId="165" fontId="114" fillId="0" borderId="19" xfId="0" applyNumberFormat="1" applyFont="1" applyBorder="1" applyAlignment="1">
      <alignment horizontal="center" vertical="center" wrapText="1"/>
    </xf>
    <xf numFmtId="0" fontId="115" fillId="0" borderId="1" xfId="0" applyFont="1" applyBorder="1" applyAlignment="1">
      <alignment vertical="center" wrapText="1"/>
    </xf>
    <xf numFmtId="165" fontId="115" fillId="0" borderId="1" xfId="0" quotePrefix="1" applyNumberFormat="1" applyFont="1" applyBorder="1" applyAlignment="1">
      <alignment horizontal="center" vertical="center" wrapText="1"/>
    </xf>
    <xf numFmtId="165" fontId="115" fillId="0" borderId="1" xfId="0" applyNumberFormat="1" applyFont="1" applyBorder="1" applyAlignment="1">
      <alignment horizontal="center" vertical="center" wrapText="1"/>
    </xf>
    <xf numFmtId="0" fontId="115" fillId="0" borderId="1" xfId="0" quotePrefix="1" applyFont="1" applyBorder="1" applyAlignment="1">
      <alignment horizontal="center" vertical="center" wrapText="1"/>
    </xf>
    <xf numFmtId="0" fontId="115" fillId="0" borderId="1" xfId="0" applyFont="1" applyBorder="1" applyAlignment="1">
      <alignment horizontal="center" vertical="center" wrapText="1"/>
    </xf>
    <xf numFmtId="165" fontId="115" fillId="0" borderId="1" xfId="0" applyNumberFormat="1" applyFont="1" applyBorder="1" applyAlignment="1">
      <alignment horizontal="lef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center" vertical="center" wrapText="1"/>
    </xf>
    <xf numFmtId="165" fontId="2" fillId="0" borderId="2"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5" fontId="2" fillId="0" borderId="4" xfId="0" applyNumberFormat="1" applyFont="1" applyBorder="1" applyAlignment="1">
      <alignment horizontal="center" vertical="center" wrapText="1"/>
    </xf>
    <xf numFmtId="0" fontId="2" fillId="0" borderId="1" xfId="0" quotePrefix="1" applyFont="1" applyBorder="1" applyAlignment="1">
      <alignment horizontal="center" vertical="center"/>
    </xf>
    <xf numFmtId="0" fontId="50" fillId="0" borderId="2" xfId="0" applyFont="1" applyBorder="1" applyAlignment="1">
      <alignment horizontal="left" vertical="center" wrapText="1"/>
    </xf>
    <xf numFmtId="0" fontId="50" fillId="0" borderId="3" xfId="0" applyFont="1" applyBorder="1" applyAlignment="1">
      <alignment horizontal="left" vertical="center" wrapText="1"/>
    </xf>
    <xf numFmtId="0" fontId="50" fillId="0" borderId="4" xfId="0" applyFont="1" applyBorder="1" applyAlignment="1">
      <alignment horizontal="left" vertical="center" wrapText="1"/>
    </xf>
    <xf numFmtId="2" fontId="2" fillId="0" borderId="1" xfId="1" applyNumberFormat="1"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2" fontId="2" fillId="0" borderId="2" xfId="0" applyNumberFormat="1" applyFont="1" applyBorder="1" applyAlignment="1">
      <alignment horizontal="center" vertical="center" wrapText="1"/>
    </xf>
    <xf numFmtId="2" fontId="2" fillId="0" borderId="3"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0" fontId="37" fillId="23" borderId="1" xfId="0" applyFont="1" applyFill="1" applyBorder="1" applyAlignment="1">
      <alignment horizontal="center" vertical="center"/>
    </xf>
    <xf numFmtId="187" fontId="20" fillId="0" borderId="1" xfId="0" applyNumberFormat="1" applyFont="1" applyBorder="1" applyAlignment="1">
      <alignment horizontal="center" vertical="center"/>
    </xf>
    <xf numFmtId="0" fontId="37" fillId="7" borderId="1" xfId="0" applyFont="1" applyFill="1" applyBorder="1" applyAlignment="1">
      <alignment horizontal="center" vertical="center"/>
    </xf>
    <xf numFmtId="0" fontId="37" fillId="22" borderId="1" xfId="0" applyFont="1" applyFill="1" applyBorder="1" applyAlignment="1">
      <alignment horizontal="center" vertical="center"/>
    </xf>
    <xf numFmtId="187" fontId="20" fillId="0" borderId="2" xfId="0" applyNumberFormat="1" applyFont="1" applyBorder="1" applyAlignment="1">
      <alignment horizontal="center" vertical="center"/>
    </xf>
    <xf numFmtId="187" fontId="20" fillId="0" borderId="3" xfId="0" applyNumberFormat="1" applyFont="1" applyBorder="1" applyAlignment="1">
      <alignment horizontal="center" vertical="center"/>
    </xf>
    <xf numFmtId="187" fontId="20" fillId="0" borderId="4" xfId="0" applyNumberFormat="1" applyFont="1" applyBorder="1" applyAlignment="1">
      <alignment horizontal="center" vertical="center"/>
    </xf>
    <xf numFmtId="0" fontId="12" fillId="22" borderId="1" xfId="0" applyFont="1" applyFill="1" applyBorder="1" applyAlignment="1">
      <alignment horizontal="center" vertical="center"/>
    </xf>
    <xf numFmtId="0" fontId="12" fillId="23" borderId="1" xfId="0" applyFont="1" applyFill="1" applyBorder="1" applyAlignment="1">
      <alignment horizontal="center" vertical="center"/>
    </xf>
    <xf numFmtId="2" fontId="20" fillId="0" borderId="2" xfId="0" applyNumberFormat="1" applyFont="1" applyBorder="1" applyAlignment="1">
      <alignment horizontal="center" vertical="center"/>
    </xf>
    <xf numFmtId="2" fontId="20" fillId="0" borderId="3" xfId="0" applyNumberFormat="1" applyFont="1" applyBorder="1" applyAlignment="1">
      <alignment horizontal="center" vertical="center"/>
    </xf>
    <xf numFmtId="2" fontId="20" fillId="0" borderId="4" xfId="0" applyNumberFormat="1" applyFont="1" applyBorder="1" applyAlignment="1">
      <alignment horizontal="center"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37" fillId="22" borderId="2" xfId="0" applyFont="1" applyFill="1" applyBorder="1" applyAlignment="1">
      <alignment horizontal="center" vertical="center"/>
    </xf>
    <xf numFmtId="0" fontId="37" fillId="22" borderId="3" xfId="0" applyFont="1" applyFill="1" applyBorder="1" applyAlignment="1">
      <alignment horizontal="center" vertical="center"/>
    </xf>
    <xf numFmtId="0" fontId="37" fillId="22" borderId="4" xfId="0" applyFont="1" applyFill="1" applyBorder="1" applyAlignment="1">
      <alignment horizontal="center" vertical="center"/>
    </xf>
    <xf numFmtId="0" fontId="37" fillId="23" borderId="2" xfId="0" applyFont="1" applyFill="1" applyBorder="1" applyAlignment="1">
      <alignment horizontal="center" vertical="center"/>
    </xf>
    <xf numFmtId="0" fontId="37" fillId="23" borderId="3" xfId="0" applyFont="1" applyFill="1" applyBorder="1" applyAlignment="1">
      <alignment horizontal="center" vertical="center"/>
    </xf>
    <xf numFmtId="0" fontId="37" fillId="23" borderId="4" xfId="0" applyFont="1" applyFill="1" applyBorder="1" applyAlignment="1">
      <alignment horizontal="center" vertical="center"/>
    </xf>
    <xf numFmtId="0" fontId="37" fillId="8" borderId="11" xfId="0" applyFont="1" applyFill="1" applyBorder="1" applyAlignment="1">
      <alignment horizontal="center" vertical="center"/>
    </xf>
    <xf numFmtId="0" fontId="37" fillId="13" borderId="1" xfId="0" applyFont="1" applyFill="1" applyBorder="1" applyAlignment="1">
      <alignment horizontal="center" wrapText="1"/>
    </xf>
    <xf numFmtId="0" fontId="37" fillId="9" borderId="1" xfId="0" applyFont="1" applyFill="1" applyBorder="1" applyAlignment="1">
      <alignment horizontal="center" wrapText="1"/>
    </xf>
    <xf numFmtId="0" fontId="130" fillId="23" borderId="1" xfId="0" applyFont="1" applyFill="1" applyBorder="1" applyAlignment="1">
      <alignment horizontal="center" vertical="center" wrapText="1"/>
    </xf>
    <xf numFmtId="0" fontId="37" fillId="25" borderId="11" xfId="0" applyFont="1" applyFill="1" applyBorder="1" applyAlignment="1">
      <alignment horizontal="center" vertical="center"/>
    </xf>
    <xf numFmtId="0" fontId="37" fillId="0" borderId="1" xfId="0" applyFont="1" applyBorder="1" applyAlignment="1">
      <alignment horizontal="center"/>
    </xf>
    <xf numFmtId="0" fontId="235" fillId="22" borderId="1" xfId="0" applyFont="1" applyFill="1" applyBorder="1" applyAlignment="1">
      <alignment horizontal="center" vertical="center" wrapText="1"/>
    </xf>
    <xf numFmtId="0" fontId="37" fillId="8" borderId="2" xfId="0" applyFont="1" applyFill="1" applyBorder="1" applyAlignment="1">
      <alignment horizontal="center" vertical="center"/>
    </xf>
    <xf numFmtId="0" fontId="37" fillId="8" borderId="3" xfId="0" applyFont="1" applyFill="1" applyBorder="1" applyAlignment="1">
      <alignment horizontal="center" vertical="center"/>
    </xf>
    <xf numFmtId="0" fontId="37" fillId="8" borderId="4" xfId="0" applyFont="1" applyFill="1" applyBorder="1" applyAlignment="1">
      <alignment horizontal="center" vertical="center"/>
    </xf>
    <xf numFmtId="0" fontId="130" fillId="32" borderId="1" xfId="0" applyFont="1" applyFill="1" applyBorder="1" applyAlignment="1">
      <alignment horizontal="center" vertical="center" wrapText="1"/>
    </xf>
    <xf numFmtId="0" fontId="235" fillId="32" borderId="1" xfId="0" applyFont="1" applyFill="1" applyBorder="1" applyAlignment="1">
      <alignment horizontal="center" vertical="center" wrapText="1"/>
    </xf>
    <xf numFmtId="0" fontId="130" fillId="29" borderId="1" xfId="0" applyFont="1" applyFill="1" applyBorder="1" applyAlignment="1">
      <alignment horizontal="center" vertical="center" wrapText="1"/>
    </xf>
    <xf numFmtId="0" fontId="62" fillId="0" borderId="14" xfId="0" applyFont="1" applyBorder="1" applyAlignment="1">
      <alignment horizontal="left" vertical="top"/>
    </xf>
    <xf numFmtId="3" fontId="126" fillId="0" borderId="1" xfId="0" applyNumberFormat="1" applyFont="1" applyBorder="1" applyAlignment="1">
      <alignment horizontal="center" vertical="center"/>
    </xf>
    <xf numFmtId="0" fontId="119" fillId="0" borderId="1" xfId="0" applyFont="1" applyBorder="1" applyAlignment="1">
      <alignment horizontal="center" vertical="center"/>
    </xf>
    <xf numFmtId="0" fontId="126" fillId="0" borderId="1" xfId="0" applyFont="1" applyBorder="1" applyAlignment="1">
      <alignment horizontal="left" vertical="center" wrapText="1"/>
    </xf>
    <xf numFmtId="0" fontId="126" fillId="0" borderId="1" xfId="0" applyFont="1" applyBorder="1" applyAlignment="1">
      <alignment horizontal="left" vertical="center"/>
    </xf>
    <xf numFmtId="0" fontId="119" fillId="0" borderId="1" xfId="0" applyFont="1" applyBorder="1" applyAlignment="1">
      <alignment horizontal="center" vertical="center" wrapText="1"/>
    </xf>
    <xf numFmtId="0" fontId="119" fillId="0" borderId="13" xfId="0" applyFont="1" applyBorder="1" applyAlignment="1">
      <alignment horizontal="center" vertical="center"/>
    </xf>
    <xf numFmtId="0" fontId="119" fillId="0" borderId="14" xfId="0" applyFont="1" applyBorder="1" applyAlignment="1">
      <alignment horizontal="center" vertical="center"/>
    </xf>
    <xf numFmtId="0" fontId="119" fillId="0" borderId="15" xfId="0" applyFont="1" applyBorder="1" applyAlignment="1">
      <alignment horizontal="center" vertical="center"/>
    </xf>
    <xf numFmtId="0" fontId="119" fillId="0" borderId="18" xfId="0" applyFont="1" applyBorder="1" applyAlignment="1">
      <alignment horizontal="center" vertical="center"/>
    </xf>
    <xf numFmtId="0" fontId="119" fillId="0" borderId="11" xfId="0" applyFont="1" applyBorder="1" applyAlignment="1">
      <alignment horizontal="center" vertical="center"/>
    </xf>
    <xf numFmtId="0" fontId="119" fillId="0" borderId="19" xfId="0" applyFont="1" applyBorder="1" applyAlignment="1">
      <alignment horizontal="center" vertical="center"/>
    </xf>
    <xf numFmtId="0" fontId="119" fillId="0" borderId="13" xfId="0" applyFont="1" applyBorder="1" applyAlignment="1">
      <alignment horizontal="center" vertical="center" wrapText="1"/>
    </xf>
    <xf numFmtId="0" fontId="119" fillId="0" borderId="14" xfId="0" applyFont="1" applyBorder="1" applyAlignment="1">
      <alignment horizontal="center" vertical="center" wrapText="1"/>
    </xf>
    <xf numFmtId="0" fontId="119" fillId="0" borderId="15" xfId="0" applyFont="1" applyBorder="1" applyAlignment="1">
      <alignment horizontal="center" vertical="center" wrapText="1"/>
    </xf>
    <xf numFmtId="0" fontId="119" fillId="0" borderId="18" xfId="0" applyFont="1" applyBorder="1" applyAlignment="1">
      <alignment horizontal="center" vertical="center" wrapText="1"/>
    </xf>
    <xf numFmtId="0" fontId="119" fillId="0" borderId="11" xfId="0" applyFont="1" applyBorder="1" applyAlignment="1">
      <alignment horizontal="center" vertical="center" wrapText="1"/>
    </xf>
    <xf numFmtId="0" fontId="119" fillId="0" borderId="19" xfId="0" applyFont="1" applyBorder="1" applyAlignment="1">
      <alignment horizontal="center" vertical="center" wrapText="1"/>
    </xf>
    <xf numFmtId="3" fontId="126" fillId="0" borderId="2" xfId="0" applyNumberFormat="1" applyFont="1" applyBorder="1" applyAlignment="1">
      <alignment horizontal="center" vertical="center"/>
    </xf>
    <xf numFmtId="3" fontId="126" fillId="0" borderId="3" xfId="0" applyNumberFormat="1" applyFont="1" applyBorder="1" applyAlignment="1">
      <alignment horizontal="center" vertical="center"/>
    </xf>
    <xf numFmtId="3" fontId="126" fillId="0" borderId="4" xfId="0" applyNumberFormat="1" applyFont="1" applyBorder="1" applyAlignment="1">
      <alignment horizontal="center" vertical="center"/>
    </xf>
    <xf numFmtId="0" fontId="125" fillId="0" borderId="14" xfId="0" applyFont="1" applyBorder="1" applyAlignment="1">
      <alignment horizontal="left" vertical="center" wrapText="1"/>
    </xf>
    <xf numFmtId="0" fontId="12" fillId="17" borderId="1" xfId="0" applyFont="1" applyFill="1" applyBorder="1" applyAlignment="1">
      <alignment horizontal="center" vertical="center"/>
    </xf>
    <xf numFmtId="0" fontId="12" fillId="28"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7" borderId="1" xfId="0" applyFont="1" applyFill="1" applyBorder="1" applyAlignment="1">
      <alignment horizontal="center" vertical="center"/>
    </xf>
    <xf numFmtId="0" fontId="201" fillId="0" borderId="1" xfId="0" applyFont="1" applyBorder="1" applyAlignment="1">
      <alignment horizontal="left" vertical="center"/>
    </xf>
    <xf numFmtId="0" fontId="37" fillId="13" borderId="2" xfId="0" applyFont="1" applyFill="1" applyBorder="1" applyAlignment="1">
      <alignment horizontal="center" vertical="center"/>
    </xf>
    <xf numFmtId="0" fontId="37" fillId="13" borderId="3" xfId="0" applyFont="1" applyFill="1" applyBorder="1" applyAlignment="1">
      <alignment horizontal="center" vertical="center"/>
    </xf>
    <xf numFmtId="0" fontId="37" fillId="13" borderId="4" xfId="0" applyFont="1" applyFill="1" applyBorder="1" applyAlignment="1">
      <alignment horizontal="center" vertical="center"/>
    </xf>
    <xf numFmtId="0" fontId="37" fillId="9" borderId="2" xfId="0" applyFont="1" applyFill="1" applyBorder="1" applyAlignment="1">
      <alignment horizontal="center" vertical="center"/>
    </xf>
    <xf numFmtId="0" fontId="37" fillId="9" borderId="3" xfId="0" applyFont="1" applyFill="1" applyBorder="1" applyAlignment="1">
      <alignment horizontal="center" vertical="center"/>
    </xf>
    <xf numFmtId="0" fontId="37" fillId="9" borderId="4" xfId="0" applyFont="1" applyFill="1" applyBorder="1" applyAlignment="1">
      <alignment horizontal="center" vertical="center"/>
    </xf>
    <xf numFmtId="0" fontId="12" fillId="3" borderId="1" xfId="0" applyFont="1" applyFill="1" applyBorder="1" applyAlignment="1">
      <alignment horizontal="center" vertical="center"/>
    </xf>
    <xf numFmtId="0" fontId="12" fillId="24" borderId="1" xfId="0" applyFont="1" applyFill="1" applyBorder="1" applyAlignment="1">
      <alignment horizontal="center" vertical="center"/>
    </xf>
    <xf numFmtId="0" fontId="37" fillId="25" borderId="2" xfId="0" applyFont="1" applyFill="1" applyBorder="1" applyAlignment="1">
      <alignment horizontal="center" vertical="center"/>
    </xf>
    <xf numFmtId="0" fontId="37" fillId="25" borderId="3" xfId="0" applyFont="1" applyFill="1" applyBorder="1" applyAlignment="1">
      <alignment horizontal="center" vertical="center"/>
    </xf>
    <xf numFmtId="0" fontId="37" fillId="25" borderId="4" xfId="0" applyFont="1" applyFill="1" applyBorder="1" applyAlignment="1">
      <alignment horizontal="center" vertical="center"/>
    </xf>
    <xf numFmtId="0" fontId="118" fillId="0" borderId="1" xfId="0" quotePrefix="1" applyFont="1" applyBorder="1" applyAlignment="1">
      <alignment horizontal="center" vertical="center" wrapText="1"/>
    </xf>
    <xf numFmtId="0" fontId="118" fillId="0" borderId="1" xfId="0" applyFont="1" applyBorder="1" applyAlignment="1">
      <alignment horizontal="center" vertical="center" wrapText="1"/>
    </xf>
    <xf numFmtId="165" fontId="118" fillId="0" borderId="1" xfId="0" quotePrefix="1" applyNumberFormat="1" applyFont="1" applyBorder="1" applyAlignment="1">
      <alignment horizontal="center" vertical="center" wrapText="1"/>
    </xf>
    <xf numFmtId="165" fontId="118" fillId="0" borderId="1" xfId="0" applyNumberFormat="1" applyFont="1" applyBorder="1" applyAlignment="1">
      <alignment horizontal="center" vertical="center" wrapText="1"/>
    </xf>
    <xf numFmtId="165" fontId="118" fillId="0" borderId="1" xfId="0" applyNumberFormat="1" applyFont="1" applyBorder="1" applyAlignment="1">
      <alignment horizontal="left" vertical="center" wrapText="1"/>
    </xf>
    <xf numFmtId="0" fontId="118" fillId="0" borderId="1" xfId="0" applyFont="1" applyBorder="1" applyAlignment="1">
      <alignment vertical="center" wrapText="1"/>
    </xf>
    <xf numFmtId="0" fontId="118" fillId="0" borderId="1" xfId="0" applyFont="1" applyBorder="1" applyAlignment="1">
      <alignment horizontal="left" vertical="center" wrapText="1"/>
    </xf>
    <xf numFmtId="165" fontId="118" fillId="0" borderId="1" xfId="0" applyNumberFormat="1" applyFont="1" applyBorder="1" applyAlignment="1">
      <alignment horizontal="center" vertical="center"/>
    </xf>
    <xf numFmtId="0" fontId="118" fillId="0" borderId="1" xfId="0" quotePrefix="1" applyFont="1" applyBorder="1" applyAlignment="1">
      <alignment horizontal="center" vertical="center"/>
    </xf>
    <xf numFmtId="0" fontId="235" fillId="9" borderId="1" xfId="0" applyFont="1" applyFill="1" applyBorder="1" applyAlignment="1">
      <alignment horizontal="center" vertical="center" wrapText="1"/>
    </xf>
    <xf numFmtId="0" fontId="92" fillId="0" borderId="1" xfId="0" quotePrefix="1" applyFont="1" applyBorder="1" applyAlignment="1">
      <alignment horizontal="left" vertical="center" wrapText="1"/>
    </xf>
    <xf numFmtId="165" fontId="92" fillId="0" borderId="2" xfId="0" applyNumberFormat="1" applyFont="1" applyBorder="1" applyAlignment="1">
      <alignment horizontal="center" vertical="center" wrapText="1"/>
    </xf>
    <xf numFmtId="165" fontId="92" fillId="0" borderId="3" xfId="0" applyNumberFormat="1" applyFont="1" applyBorder="1" applyAlignment="1">
      <alignment horizontal="center" vertical="center" wrapText="1"/>
    </xf>
    <xf numFmtId="165" fontId="92" fillId="0" borderId="4" xfId="0" applyNumberFormat="1" applyFont="1" applyBorder="1" applyAlignment="1">
      <alignment horizontal="center" vertical="center" wrapText="1"/>
    </xf>
    <xf numFmtId="165" fontId="100" fillId="0" borderId="2" xfId="0" applyNumberFormat="1" applyFont="1" applyBorder="1" applyAlignment="1">
      <alignment horizontal="center" vertical="center" wrapText="1"/>
    </xf>
    <xf numFmtId="165" fontId="100" fillId="0" borderId="3" xfId="0" applyNumberFormat="1" applyFont="1" applyBorder="1" applyAlignment="1">
      <alignment horizontal="center" vertical="center" wrapText="1"/>
    </xf>
    <xf numFmtId="165" fontId="100" fillId="0" borderId="4" xfId="0" applyNumberFormat="1" applyFont="1" applyBorder="1" applyAlignment="1">
      <alignment horizontal="center" vertical="center" wrapText="1"/>
    </xf>
    <xf numFmtId="2" fontId="92" fillId="0" borderId="2" xfId="0" applyNumberFormat="1" applyFont="1" applyBorder="1" applyAlignment="1">
      <alignment horizontal="center" vertical="center" wrapText="1"/>
    </xf>
    <xf numFmtId="2" fontId="92" fillId="0" borderId="3" xfId="0" applyNumberFormat="1" applyFont="1" applyBorder="1" applyAlignment="1">
      <alignment horizontal="center" vertical="center" wrapText="1"/>
    </xf>
    <xf numFmtId="2" fontId="92" fillId="0" borderId="4" xfId="0" applyNumberFormat="1" applyFont="1" applyBorder="1" applyAlignment="1">
      <alignment horizontal="center" vertical="center" wrapText="1"/>
    </xf>
    <xf numFmtId="0" fontId="92" fillId="0" borderId="1" xfId="0" quotePrefix="1" applyFont="1" applyBorder="1" applyAlignment="1">
      <alignment horizontal="center" vertical="center"/>
    </xf>
    <xf numFmtId="0" fontId="100" fillId="0" borderId="13" xfId="0" applyFont="1" applyBorder="1" applyAlignment="1">
      <alignment horizontal="left" vertical="center" wrapText="1"/>
    </xf>
    <xf numFmtId="0" fontId="100" fillId="0" borderId="14" xfId="0" applyFont="1" applyBorder="1" applyAlignment="1">
      <alignment horizontal="left" vertical="center" wrapText="1"/>
    </xf>
    <xf numFmtId="0" fontId="100" fillId="0" borderId="15" xfId="0" applyFont="1" applyBorder="1" applyAlignment="1">
      <alignment horizontal="left" vertical="center" wrapText="1"/>
    </xf>
    <xf numFmtId="0" fontId="100" fillId="0" borderId="18" xfId="0" applyFont="1" applyBorder="1" applyAlignment="1">
      <alignment horizontal="left" vertical="center" wrapText="1"/>
    </xf>
    <xf numFmtId="0" fontId="100" fillId="0" borderId="11" xfId="0" applyFont="1" applyBorder="1" applyAlignment="1">
      <alignment horizontal="left" vertical="center" wrapText="1"/>
    </xf>
    <xf numFmtId="0" fontId="100" fillId="0" borderId="19" xfId="0" applyFont="1" applyBorder="1" applyAlignment="1">
      <alignment horizontal="left" vertical="center" wrapText="1"/>
    </xf>
    <xf numFmtId="164" fontId="92" fillId="0" borderId="2" xfId="0" applyNumberFormat="1" applyFont="1" applyBorder="1" applyAlignment="1">
      <alignment horizontal="center" vertical="center" wrapText="1"/>
    </xf>
    <xf numFmtId="164" fontId="92" fillId="0" borderId="3" xfId="0" applyNumberFormat="1" applyFont="1" applyBorder="1" applyAlignment="1">
      <alignment horizontal="center" vertical="center" wrapText="1"/>
    </xf>
    <xf numFmtId="164" fontId="92" fillId="0" borderId="4" xfId="0" applyNumberFormat="1" applyFont="1" applyBorder="1" applyAlignment="1">
      <alignment horizontal="center" vertical="center" wrapText="1"/>
    </xf>
    <xf numFmtId="178" fontId="0" fillId="18" borderId="1" xfId="0" applyNumberFormat="1" applyFill="1" applyBorder="1" applyAlignment="1">
      <alignment horizontal="center" vertical="center"/>
    </xf>
    <xf numFmtId="178" fontId="0" fillId="18" borderId="21" xfId="0" applyNumberFormat="1" applyFill="1" applyBorder="1" applyAlignment="1">
      <alignment horizontal="center" vertical="center"/>
    </xf>
    <xf numFmtId="0" fontId="3" fillId="0" borderId="50" xfId="0" applyFont="1" applyBorder="1" applyAlignment="1">
      <alignment horizontal="center" vertical="center" wrapText="1"/>
    </xf>
    <xf numFmtId="178" fontId="0" fillId="18" borderId="9" xfId="0" applyNumberFormat="1" applyFill="1" applyBorder="1" applyAlignment="1">
      <alignment horizontal="center" vertical="center"/>
    </xf>
    <xf numFmtId="178" fontId="0" fillId="18" borderId="10" xfId="0" applyNumberFormat="1" applyFill="1" applyBorder="1" applyAlignment="1">
      <alignment horizontal="center" vertical="center"/>
    </xf>
    <xf numFmtId="177" fontId="148" fillId="3" borderId="1" xfId="0" applyNumberFormat="1" applyFont="1" applyFill="1" applyBorder="1" applyAlignment="1">
      <alignment horizontal="center" vertical="center"/>
    </xf>
    <xf numFmtId="178" fontId="148" fillId="3" borderId="1" xfId="0" applyNumberFormat="1" applyFont="1" applyFill="1" applyBorder="1" applyAlignment="1">
      <alignment horizontal="center" vertical="center"/>
    </xf>
    <xf numFmtId="178" fontId="148" fillId="18" borderId="1" xfId="0" applyNumberFormat="1" applyFont="1" applyFill="1" applyBorder="1" applyAlignment="1">
      <alignment horizontal="center" vertical="center"/>
    </xf>
    <xf numFmtId="178" fontId="148" fillId="18" borderId="21" xfId="0" applyNumberFormat="1" applyFont="1" applyFill="1" applyBorder="1" applyAlignment="1">
      <alignment horizontal="center" vertical="center"/>
    </xf>
    <xf numFmtId="177" fontId="148" fillId="3" borderId="9" xfId="0" applyNumberFormat="1" applyFont="1" applyFill="1" applyBorder="1" applyAlignment="1">
      <alignment horizontal="center" vertical="center"/>
    </xf>
    <xf numFmtId="178" fontId="148" fillId="3" borderId="9" xfId="0" applyNumberFormat="1" applyFont="1" applyFill="1" applyBorder="1" applyAlignment="1">
      <alignment horizontal="center" vertical="center"/>
    </xf>
    <xf numFmtId="178" fontId="148" fillId="18" borderId="9" xfId="0" applyNumberFormat="1" applyFont="1" applyFill="1" applyBorder="1" applyAlignment="1">
      <alignment horizontal="center" vertical="center"/>
    </xf>
    <xf numFmtId="178" fontId="148" fillId="18" borderId="10" xfId="0" applyNumberFormat="1" applyFont="1" applyFill="1" applyBorder="1" applyAlignment="1">
      <alignment horizontal="center" vertical="center"/>
    </xf>
    <xf numFmtId="2" fontId="0" fillId="3" borderId="2" xfId="0" applyNumberFormat="1" applyFill="1" applyBorder="1" applyAlignment="1">
      <alignment horizontal="center" vertical="center"/>
    </xf>
    <xf numFmtId="2" fontId="0" fillId="3" borderId="3" xfId="0" applyNumberFormat="1" applyFill="1" applyBorder="1" applyAlignment="1">
      <alignment horizontal="center" vertical="center"/>
    </xf>
    <xf numFmtId="2" fontId="0" fillId="3" borderId="4" xfId="0" applyNumberFormat="1" applyFill="1" applyBorder="1" applyAlignment="1">
      <alignment horizontal="center" vertical="center"/>
    </xf>
    <xf numFmtId="0" fontId="3" fillId="0" borderId="66" xfId="0" applyFont="1" applyBorder="1" applyAlignment="1">
      <alignment horizontal="center" vertical="center"/>
    </xf>
    <xf numFmtId="0" fontId="3" fillId="0" borderId="6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68" xfId="0" applyFont="1" applyBorder="1" applyAlignment="1">
      <alignment horizontal="center" vertical="center" wrapText="1"/>
    </xf>
    <xf numFmtId="2" fontId="0" fillId="3" borderId="40" xfId="0" applyNumberFormat="1" applyFill="1" applyBorder="1" applyAlignment="1">
      <alignment horizontal="center" vertical="center"/>
    </xf>
    <xf numFmtId="2" fontId="0" fillId="3" borderId="41" xfId="0" applyNumberFormat="1" applyFill="1" applyBorder="1" applyAlignment="1">
      <alignment horizontal="center" vertical="center"/>
    </xf>
    <xf numFmtId="2" fontId="0" fillId="3" borderId="42" xfId="0" applyNumberFormat="1" applyFill="1" applyBorder="1" applyAlignment="1">
      <alignment horizontal="center" vertical="center"/>
    </xf>
    <xf numFmtId="3" fontId="92" fillId="0" borderId="1" xfId="1" applyNumberFormat="1" applyFont="1" applyBorder="1" applyAlignment="1">
      <alignment horizontal="center" vertical="center" wrapText="1"/>
    </xf>
    <xf numFmtId="0" fontId="92" fillId="0" borderId="2" xfId="0" quotePrefix="1" applyFont="1" applyBorder="1" applyAlignment="1">
      <alignment horizontal="left" vertical="center" wrapText="1"/>
    </xf>
    <xf numFmtId="0" fontId="92" fillId="0" borderId="3" xfId="0" quotePrefix="1" applyFont="1" applyBorder="1" applyAlignment="1">
      <alignment horizontal="left" vertical="center" wrapText="1"/>
    </xf>
    <xf numFmtId="0" fontId="92" fillId="0" borderId="4" xfId="0" quotePrefix="1" applyFont="1" applyBorder="1" applyAlignment="1">
      <alignment horizontal="left" vertical="center" wrapText="1"/>
    </xf>
    <xf numFmtId="165" fontId="92" fillId="0" borderId="1" xfId="0" quotePrefix="1" applyNumberFormat="1" applyFont="1" applyBorder="1" applyAlignment="1">
      <alignment horizontal="center" vertical="center" wrapText="1"/>
    </xf>
    <xf numFmtId="165" fontId="92" fillId="0" borderId="1" xfId="0" applyNumberFormat="1" applyFont="1" applyBorder="1" applyAlignment="1">
      <alignment horizontal="center" vertical="center" wrapTex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8" xfId="0" applyFont="1" applyBorder="1" applyAlignment="1">
      <alignment horizontal="center" vertical="center"/>
    </xf>
    <xf numFmtId="0" fontId="12" fillId="0" borderId="11" xfId="0" applyFont="1" applyBorder="1" applyAlignment="1">
      <alignment horizontal="center" vertical="center"/>
    </xf>
    <xf numFmtId="0" fontId="12" fillId="0" borderId="19" xfId="0" applyFont="1" applyBorder="1" applyAlignment="1">
      <alignment horizontal="center" vertical="center"/>
    </xf>
    <xf numFmtId="0" fontId="12" fillId="25" borderId="2" xfId="0" applyFont="1" applyFill="1" applyBorder="1" applyAlignment="1">
      <alignment horizontal="center" vertical="center"/>
    </xf>
    <xf numFmtId="0" fontId="12" fillId="25" borderId="3" xfId="0" applyFont="1" applyFill="1" applyBorder="1" applyAlignment="1">
      <alignment horizontal="center" vertical="center"/>
    </xf>
    <xf numFmtId="0" fontId="12" fillId="25" borderId="4"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3" xfId="0" applyFont="1" applyFill="1" applyBorder="1" applyAlignment="1">
      <alignment horizontal="center" vertical="center"/>
    </xf>
    <xf numFmtId="0" fontId="12" fillId="13" borderId="4" xfId="0" applyFont="1" applyFill="1" applyBorder="1" applyAlignment="1">
      <alignment horizontal="center" vertical="center"/>
    </xf>
    <xf numFmtId="0" fontId="12" fillId="9" borderId="2" xfId="0" applyFont="1" applyFill="1" applyBorder="1" applyAlignment="1">
      <alignment horizontal="center" vertical="center"/>
    </xf>
    <xf numFmtId="0" fontId="12" fillId="9" borderId="3" xfId="0" applyFont="1" applyFill="1" applyBorder="1" applyAlignment="1">
      <alignment horizontal="center" vertical="center"/>
    </xf>
    <xf numFmtId="0" fontId="12" fillId="9" borderId="4" xfId="0" applyFont="1" applyFill="1" applyBorder="1" applyAlignment="1">
      <alignment horizontal="center" vertical="center"/>
    </xf>
    <xf numFmtId="9" fontId="115" fillId="0" borderId="1" xfId="0" applyNumberFormat="1" applyFont="1" applyBorder="1" applyAlignment="1">
      <alignment horizontal="center" vertical="center"/>
    </xf>
    <xf numFmtId="9" fontId="115" fillId="0" borderId="1" xfId="1" applyFont="1" applyBorder="1" applyAlignment="1">
      <alignment horizontal="center" vertical="center"/>
    </xf>
    <xf numFmtId="0" fontId="96" fillId="0" borderId="3" xfId="0" applyFont="1" applyBorder="1" applyAlignment="1">
      <alignment horizontal="left" vertical="center"/>
    </xf>
    <xf numFmtId="0" fontId="96" fillId="0" borderId="4" xfId="0" applyFont="1" applyBorder="1" applyAlignment="1">
      <alignment horizontal="left" vertical="center"/>
    </xf>
    <xf numFmtId="9" fontId="15" fillId="0" borderId="1" xfId="4" applyNumberFormat="1" applyBorder="1" applyAlignment="1">
      <alignment horizontal="center" vertical="center" wrapText="1"/>
    </xf>
    <xf numFmtId="0" fontId="96" fillId="0" borderId="1" xfId="0" applyFont="1" applyBorder="1" applyAlignment="1">
      <alignment horizontal="left" vertical="center"/>
    </xf>
    <xf numFmtId="9" fontId="92" fillId="0" borderId="1" xfId="1" applyFont="1" applyBorder="1" applyAlignment="1">
      <alignment horizontal="center" vertical="center"/>
    </xf>
    <xf numFmtId="2" fontId="92" fillId="0" borderId="2" xfId="1" applyNumberFormat="1" applyFont="1" applyBorder="1" applyAlignment="1">
      <alignment horizontal="center" vertical="center"/>
    </xf>
    <xf numFmtId="2" fontId="92" fillId="0" borderId="3" xfId="1" applyNumberFormat="1" applyFont="1" applyBorder="1" applyAlignment="1">
      <alignment horizontal="center" vertical="center"/>
    </xf>
    <xf numFmtId="2" fontId="92" fillId="0" borderId="4" xfId="1" applyNumberFormat="1" applyFont="1" applyBorder="1" applyAlignment="1">
      <alignment horizontal="center" vertical="center"/>
    </xf>
    <xf numFmtId="0" fontId="3" fillId="14" borderId="44" xfId="0" applyFont="1" applyFill="1" applyBorder="1" applyAlignment="1">
      <alignment horizontal="center" vertical="center"/>
    </xf>
    <xf numFmtId="0" fontId="3" fillId="14" borderId="45" xfId="0" applyFont="1" applyFill="1" applyBorder="1" applyAlignment="1">
      <alignment horizontal="center" vertical="center"/>
    </xf>
    <xf numFmtId="0" fontId="3" fillId="14" borderId="65" xfId="0" applyFont="1" applyFill="1" applyBorder="1" applyAlignment="1">
      <alignment horizontal="center" vertical="center"/>
    </xf>
    <xf numFmtId="0" fontId="3" fillId="3" borderId="45" xfId="0" applyFont="1" applyFill="1" applyBorder="1" applyAlignment="1">
      <alignment horizontal="center" vertical="center" wrapText="1"/>
    </xf>
    <xf numFmtId="0" fontId="3" fillId="3" borderId="64"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0"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0" fillId="0" borderId="34" xfId="0" applyBorder="1" applyAlignment="1">
      <alignment horizontal="center" vertical="center" wrapText="1"/>
    </xf>
    <xf numFmtId="0" fontId="0" fillId="0" borderId="23" xfId="0" applyBorder="1" applyAlignment="1">
      <alignment horizontal="center" vertical="center" wrapText="1"/>
    </xf>
    <xf numFmtId="174" fontId="0" fillId="0" borderId="6" xfId="0" applyNumberFormat="1" applyBorder="1" applyAlignment="1">
      <alignment horizontal="center"/>
    </xf>
    <xf numFmtId="190" fontId="19" fillId="0" borderId="6" xfId="0" applyNumberFormat="1" applyFont="1" applyBorder="1" applyAlignment="1">
      <alignment horizontal="center" vertical="center"/>
    </xf>
    <xf numFmtId="190" fontId="19" fillId="0" borderId="7" xfId="0" applyNumberFormat="1" applyFont="1" applyBorder="1" applyAlignment="1">
      <alignment horizontal="center" vertical="center"/>
    </xf>
    <xf numFmtId="174" fontId="0" fillId="0" borderId="1" xfId="0" applyNumberFormat="1" applyBorder="1" applyAlignment="1">
      <alignment horizontal="center"/>
    </xf>
    <xf numFmtId="190" fontId="19" fillId="0" borderId="1" xfId="0" applyNumberFormat="1" applyFont="1" applyBorder="1" applyAlignment="1">
      <alignment horizontal="center" vertical="center"/>
    </xf>
    <xf numFmtId="190" fontId="19" fillId="0" borderId="21" xfId="0" applyNumberFormat="1" applyFont="1" applyBorder="1" applyAlignment="1">
      <alignment horizontal="center" vertical="center"/>
    </xf>
    <xf numFmtId="174" fontId="0" fillId="0" borderId="9" xfId="0" applyNumberFormat="1" applyBorder="1" applyAlignment="1">
      <alignment horizontal="center"/>
    </xf>
    <xf numFmtId="190" fontId="19" fillId="0" borderId="9" xfId="0" applyNumberFormat="1" applyFont="1" applyBorder="1" applyAlignment="1">
      <alignment horizontal="center" vertical="center"/>
    </xf>
    <xf numFmtId="190" fontId="19" fillId="0" borderId="10" xfId="0" applyNumberFormat="1" applyFont="1" applyBorder="1" applyAlignment="1">
      <alignment horizontal="center" vertical="center"/>
    </xf>
    <xf numFmtId="0" fontId="0" fillId="0" borderId="66"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0" fillId="0" borderId="41" xfId="0" applyBorder="1" applyAlignment="1">
      <alignment horizontal="center" vertical="center" wrapText="1"/>
    </xf>
    <xf numFmtId="174" fontId="0" fillId="0" borderId="22" xfId="0" applyNumberFormat="1" applyBorder="1" applyAlignment="1">
      <alignment horizontal="center"/>
    </xf>
    <xf numFmtId="190" fontId="19" fillId="0" borderId="22" xfId="0" applyNumberFormat="1" applyFont="1" applyBorder="1" applyAlignment="1">
      <alignment horizontal="center" vertical="center"/>
    </xf>
    <xf numFmtId="190" fontId="19" fillId="0" borderId="67" xfId="0" applyNumberFormat="1" applyFont="1" applyBorder="1" applyAlignment="1">
      <alignment horizontal="center" vertical="center"/>
    </xf>
    <xf numFmtId="0" fontId="3" fillId="25" borderId="44" xfId="0" applyFont="1" applyFill="1" applyBorder="1" applyAlignment="1">
      <alignment horizontal="center" vertical="center"/>
    </xf>
    <xf numFmtId="0" fontId="3" fillId="25" borderId="45" xfId="0" applyFont="1" applyFill="1" applyBorder="1" applyAlignment="1">
      <alignment horizontal="center" vertical="center"/>
    </xf>
    <xf numFmtId="0" fontId="3" fillId="25" borderId="65" xfId="0" applyFont="1" applyFill="1" applyBorder="1" applyAlignment="1">
      <alignment horizontal="center" vertical="center"/>
    </xf>
    <xf numFmtId="0" fontId="3" fillId="29" borderId="45" xfId="0" applyFont="1" applyFill="1" applyBorder="1" applyAlignment="1">
      <alignment horizontal="center" vertical="center" wrapText="1"/>
    </xf>
    <xf numFmtId="0" fontId="3" fillId="29" borderId="64" xfId="0" applyFont="1" applyFill="1" applyBorder="1" applyAlignment="1">
      <alignment horizontal="center" vertical="center" wrapText="1"/>
    </xf>
    <xf numFmtId="177" fontId="19" fillId="0" borderId="22" xfId="0" applyNumberFormat="1" applyFont="1" applyBorder="1" applyAlignment="1">
      <alignment horizontal="center" vertical="center"/>
    </xf>
    <xf numFmtId="178" fontId="19" fillId="0" borderId="22" xfId="0" applyNumberFormat="1" applyFont="1" applyBorder="1" applyAlignment="1">
      <alignment horizontal="center" vertical="center"/>
    </xf>
    <xf numFmtId="178" fontId="19" fillId="0" borderId="67" xfId="0" applyNumberFormat="1" applyFont="1" applyBorder="1" applyAlignment="1">
      <alignment horizontal="center" vertical="center"/>
    </xf>
    <xf numFmtId="177" fontId="19" fillId="0" borderId="9" xfId="0" applyNumberFormat="1" applyFont="1" applyBorder="1" applyAlignment="1">
      <alignment horizontal="center" vertical="center"/>
    </xf>
    <xf numFmtId="178" fontId="19" fillId="0" borderId="9" xfId="0" applyNumberFormat="1" applyFont="1" applyBorder="1" applyAlignment="1">
      <alignment horizontal="center" vertical="center"/>
    </xf>
    <xf numFmtId="178" fontId="19" fillId="0" borderId="10" xfId="0" applyNumberFormat="1" applyFont="1" applyBorder="1" applyAlignment="1">
      <alignment horizontal="center" vertical="center"/>
    </xf>
    <xf numFmtId="0" fontId="3" fillId="27" borderId="5" xfId="0" applyFont="1" applyFill="1" applyBorder="1" applyAlignment="1">
      <alignment horizontal="center" vertical="center"/>
    </xf>
    <xf numFmtId="0" fontId="3" fillId="27" borderId="6" xfId="0" applyFont="1" applyFill="1" applyBorder="1" applyAlignment="1">
      <alignment horizontal="center" vertical="center"/>
    </xf>
    <xf numFmtId="0" fontId="3" fillId="27" borderId="50" xfId="0" applyFont="1" applyFill="1" applyBorder="1" applyAlignment="1">
      <alignment horizontal="center" vertical="center"/>
    </xf>
    <xf numFmtId="0" fontId="3" fillId="17" borderId="6" xfId="0" applyFont="1" applyFill="1" applyBorder="1" applyAlignment="1">
      <alignment horizontal="center" vertical="center" wrapText="1"/>
    </xf>
    <xf numFmtId="0" fontId="3" fillId="28" borderId="6" xfId="0" applyFont="1" applyFill="1" applyBorder="1" applyAlignment="1">
      <alignment horizontal="center" vertical="center" wrapText="1"/>
    </xf>
    <xf numFmtId="0" fontId="3" fillId="28" borderId="7" xfId="0" applyFont="1" applyFill="1" applyBorder="1" applyAlignment="1">
      <alignment horizontal="center" vertical="center" wrapText="1"/>
    </xf>
    <xf numFmtId="177" fontId="19" fillId="0" borderId="6" xfId="0" applyNumberFormat="1" applyFont="1" applyBorder="1" applyAlignment="1">
      <alignment horizontal="center" vertical="center"/>
    </xf>
    <xf numFmtId="178" fontId="19" fillId="0" borderId="6" xfId="0" applyNumberFormat="1" applyFont="1" applyBorder="1" applyAlignment="1">
      <alignment horizontal="center" vertical="center"/>
    </xf>
    <xf numFmtId="178" fontId="19" fillId="0" borderId="7" xfId="0" applyNumberFormat="1" applyFont="1" applyBorder="1" applyAlignment="1">
      <alignment horizontal="center" vertical="center"/>
    </xf>
    <xf numFmtId="177" fontId="19" fillId="0" borderId="1" xfId="0" applyNumberFormat="1" applyFont="1" applyBorder="1" applyAlignment="1">
      <alignment horizontal="center" vertical="center"/>
    </xf>
    <xf numFmtId="178" fontId="19" fillId="0" borderId="1" xfId="0" applyNumberFormat="1" applyFont="1" applyBorder="1" applyAlignment="1">
      <alignment horizontal="center" vertical="center"/>
    </xf>
    <xf numFmtId="178" fontId="19" fillId="0" borderId="21" xfId="0" applyNumberFormat="1" applyFont="1" applyBorder="1" applyAlignment="1">
      <alignment horizontal="center" vertical="center"/>
    </xf>
    <xf numFmtId="0" fontId="58" fillId="0" borderId="0" xfId="0" applyFont="1" applyAlignment="1">
      <alignment wrapText="1"/>
    </xf>
    <xf numFmtId="0" fontId="22" fillId="0" borderId="31"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23" xfId="0" applyFont="1" applyBorder="1" applyAlignment="1">
      <alignment horizontal="center" vertical="center" wrapText="1"/>
    </xf>
    <xf numFmtId="0" fontId="31" fillId="22" borderId="31" xfId="0" applyFont="1" applyFill="1" applyBorder="1" applyAlignment="1">
      <alignment horizontal="center" vertical="center"/>
    </xf>
    <xf numFmtId="0" fontId="31" fillId="22" borderId="30" xfId="0" applyFont="1" applyFill="1" applyBorder="1" applyAlignment="1">
      <alignment horizontal="center" vertical="center"/>
    </xf>
    <xf numFmtId="0" fontId="31" fillId="22" borderId="56" xfId="0" applyFont="1" applyFill="1" applyBorder="1" applyAlignment="1">
      <alignment horizontal="center" vertical="center"/>
    </xf>
    <xf numFmtId="0" fontId="31" fillId="22" borderId="34" xfId="0" applyFont="1" applyFill="1" applyBorder="1" applyAlignment="1">
      <alignment horizontal="center" vertical="center"/>
    </xf>
    <xf numFmtId="0" fontId="31" fillId="22" borderId="23" xfId="0" applyFont="1" applyFill="1" applyBorder="1" applyAlignment="1">
      <alignment horizontal="center" vertical="center"/>
    </xf>
    <xf numFmtId="0" fontId="31" fillId="22" borderId="57" xfId="0" applyFont="1" applyFill="1" applyBorder="1" applyAlignment="1">
      <alignment horizontal="center" vertical="center"/>
    </xf>
    <xf numFmtId="0" fontId="31" fillId="22" borderId="65" xfId="0" applyFont="1" applyFill="1" applyBorder="1" applyAlignment="1">
      <alignment horizontal="center" vertical="center"/>
    </xf>
    <xf numFmtId="0" fontId="31" fillId="22" borderId="63" xfId="0" applyFont="1" applyFill="1" applyBorder="1" applyAlignment="1">
      <alignment horizontal="center" vertical="center"/>
    </xf>
    <xf numFmtId="0" fontId="31" fillId="7" borderId="63" xfId="0" applyFont="1" applyFill="1" applyBorder="1" applyAlignment="1">
      <alignment horizontal="center" vertical="center" wrapText="1"/>
    </xf>
    <xf numFmtId="0" fontId="31" fillId="7" borderId="23" xfId="0" applyFont="1" applyFill="1" applyBorder="1" applyAlignment="1">
      <alignment horizontal="center" vertical="center" wrapText="1"/>
    </xf>
    <xf numFmtId="0" fontId="31" fillId="7" borderId="57" xfId="0" applyFont="1" applyFill="1" applyBorder="1" applyAlignment="1">
      <alignment horizontal="center" vertical="center" wrapText="1"/>
    </xf>
    <xf numFmtId="0" fontId="31" fillId="8" borderId="63"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57" xfId="0" applyFont="1" applyFill="1" applyBorder="1" applyAlignment="1">
      <alignment horizontal="center" vertical="center" wrapText="1"/>
    </xf>
    <xf numFmtId="0" fontId="31" fillId="8" borderId="24" xfId="0" applyFont="1" applyFill="1" applyBorder="1" applyAlignment="1">
      <alignment horizontal="center" vertical="center" wrapText="1"/>
    </xf>
    <xf numFmtId="177" fontId="52" fillId="0" borderId="50" xfId="0" applyNumberFormat="1" applyFont="1" applyBorder="1" applyAlignment="1">
      <alignment horizontal="center" vertical="center"/>
    </xf>
    <xf numFmtId="177" fontId="52" fillId="0" borderId="47" xfId="0" applyNumberFormat="1" applyFont="1" applyBorder="1" applyAlignment="1">
      <alignment horizontal="center" vertical="center"/>
    </xf>
    <xf numFmtId="177" fontId="52" fillId="0" borderId="49" xfId="0" applyNumberFormat="1" applyFont="1" applyBorder="1" applyAlignment="1">
      <alignment horizontal="center" vertical="center"/>
    </xf>
    <xf numFmtId="178" fontId="52" fillId="0" borderId="50" xfId="0" applyNumberFormat="1" applyFont="1" applyBorder="1" applyAlignment="1">
      <alignment horizontal="center" vertical="center"/>
    </xf>
    <xf numFmtId="178" fontId="52" fillId="0" borderId="47" xfId="0" applyNumberFormat="1" applyFont="1" applyBorder="1" applyAlignment="1">
      <alignment horizontal="center" vertical="center"/>
    </xf>
    <xf numFmtId="178" fontId="52" fillId="0" borderId="49" xfId="0" applyNumberFormat="1" applyFont="1" applyBorder="1" applyAlignment="1">
      <alignment horizontal="center" vertical="center"/>
    </xf>
    <xf numFmtId="178" fontId="52" fillId="0" borderId="48" xfId="0" applyNumberFormat="1" applyFont="1" applyBorder="1" applyAlignment="1">
      <alignment horizontal="center" vertical="center"/>
    </xf>
    <xf numFmtId="174" fontId="22" fillId="0" borderId="1" xfId="0" applyNumberFormat="1" applyFont="1" applyBorder="1" applyAlignment="1">
      <alignment horizontal="center"/>
    </xf>
    <xf numFmtId="174" fontId="22" fillId="0" borderId="9" xfId="0" applyNumberFormat="1" applyFont="1" applyBorder="1" applyAlignment="1">
      <alignment horizontal="center"/>
    </xf>
    <xf numFmtId="177" fontId="52" fillId="0" borderId="2" xfId="0" applyNumberFormat="1" applyFont="1" applyBorder="1" applyAlignment="1">
      <alignment horizontal="center" vertical="center"/>
    </xf>
    <xf numFmtId="177" fontId="52" fillId="0" borderId="3" xfId="0" applyNumberFormat="1" applyFont="1" applyBorder="1" applyAlignment="1">
      <alignment horizontal="center" vertical="center"/>
    </xf>
    <xf numFmtId="177" fontId="52" fillId="0" borderId="4" xfId="0" applyNumberFormat="1" applyFont="1" applyBorder="1" applyAlignment="1">
      <alignment horizontal="center" vertical="center"/>
    </xf>
    <xf numFmtId="178" fontId="52" fillId="0" borderId="2" xfId="0" applyNumberFormat="1" applyFont="1" applyBorder="1" applyAlignment="1">
      <alignment horizontal="center" vertical="center"/>
    </xf>
    <xf numFmtId="178" fontId="52" fillId="0" borderId="3" xfId="0" applyNumberFormat="1" applyFont="1" applyBorder="1" applyAlignment="1">
      <alignment horizontal="center" vertical="center"/>
    </xf>
    <xf numFmtId="178" fontId="52" fillId="0" borderId="4" xfId="0" applyNumberFormat="1" applyFont="1" applyBorder="1" applyAlignment="1">
      <alignment horizontal="center" vertical="center"/>
    </xf>
    <xf numFmtId="178" fontId="52" fillId="0" borderId="18" xfId="0" applyNumberFormat="1" applyFont="1" applyBorder="1" applyAlignment="1">
      <alignment horizontal="center" vertical="center"/>
    </xf>
    <xf numFmtId="178" fontId="52" fillId="0" borderId="11" xfId="0" applyNumberFormat="1" applyFont="1" applyBorder="1" applyAlignment="1">
      <alignment horizontal="center" vertical="center"/>
    </xf>
    <xf numFmtId="178" fontId="52" fillId="0" borderId="68" xfId="0" applyNumberFormat="1" applyFont="1" applyBorder="1" applyAlignment="1">
      <alignment horizontal="center" vertical="center"/>
    </xf>
    <xf numFmtId="177" fontId="52" fillId="0" borderId="40" xfId="0" applyNumberFormat="1" applyFont="1" applyBorder="1" applyAlignment="1">
      <alignment horizontal="center" vertical="center"/>
    </xf>
    <xf numFmtId="177" fontId="52" fillId="0" borderId="41" xfId="0" applyNumberFormat="1" applyFont="1" applyBorder="1" applyAlignment="1">
      <alignment horizontal="center" vertical="center"/>
    </xf>
    <xf numFmtId="177" fontId="52" fillId="0" borderId="42" xfId="0" applyNumberFormat="1" applyFont="1" applyBorder="1" applyAlignment="1">
      <alignment horizontal="center" vertical="center"/>
    </xf>
    <xf numFmtId="178" fontId="52" fillId="0" borderId="40" xfId="0" applyNumberFormat="1" applyFont="1" applyBorder="1" applyAlignment="1">
      <alignment horizontal="center" vertical="center"/>
    </xf>
    <xf numFmtId="178" fontId="52" fillId="0" borderId="41" xfId="0" applyNumberFormat="1" applyFont="1" applyBorder="1" applyAlignment="1">
      <alignment horizontal="center" vertical="center"/>
    </xf>
    <xf numFmtId="178" fontId="52" fillId="0" borderId="42" xfId="0" applyNumberFormat="1" applyFont="1" applyBorder="1" applyAlignment="1">
      <alignment horizontal="center" vertical="center"/>
    </xf>
    <xf numFmtId="49" fontId="92" fillId="0" borderId="1" xfId="0" applyNumberFormat="1" applyFont="1" applyBorder="1" applyAlignment="1">
      <alignment horizontal="center" vertical="center" wrapText="1"/>
    </xf>
    <xf numFmtId="2" fontId="92" fillId="0" borderId="1" xfId="0" applyNumberFormat="1" applyFont="1" applyBorder="1" applyAlignment="1">
      <alignment horizontal="center" vertical="center" wrapText="1"/>
    </xf>
    <xf numFmtId="1" fontId="92" fillId="0" borderId="1" xfId="0" applyNumberFormat="1" applyFont="1" applyBorder="1" applyAlignment="1">
      <alignment horizontal="center" vertical="center" wrapText="1"/>
    </xf>
    <xf numFmtId="3" fontId="92" fillId="0" borderId="1" xfId="0" applyNumberFormat="1" applyFont="1" applyBorder="1" applyAlignment="1">
      <alignment horizontal="center" vertical="center" wrapText="1"/>
    </xf>
    <xf numFmtId="0" fontId="92" fillId="0" borderId="1" xfId="0" quotePrefix="1" applyFont="1" applyBorder="1" applyAlignment="1">
      <alignment horizontal="center" vertical="center" wrapText="1"/>
    </xf>
    <xf numFmtId="174" fontId="22" fillId="0" borderId="6" xfId="0" applyNumberFormat="1" applyFont="1" applyBorder="1" applyAlignment="1">
      <alignment horizontal="center"/>
    </xf>
    <xf numFmtId="0" fontId="31" fillId="7"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7" xfId="0" applyFont="1" applyFill="1" applyBorder="1" applyAlignment="1">
      <alignment horizontal="center" vertical="center" wrapText="1"/>
    </xf>
    <xf numFmtId="167" fontId="92" fillId="0" borderId="1" xfId="0" applyNumberFormat="1" applyFont="1" applyBorder="1" applyAlignment="1">
      <alignment horizontal="center" vertical="center" wrapText="1"/>
    </xf>
    <xf numFmtId="0" fontId="22" fillId="0" borderId="66" xfId="0" applyFont="1" applyBorder="1" applyAlignment="1">
      <alignment horizontal="center" vertical="center" wrapText="1"/>
    </xf>
    <xf numFmtId="0" fontId="22" fillId="0" borderId="43" xfId="0" applyFont="1" applyBorder="1" applyAlignment="1">
      <alignment horizontal="center" vertical="center" wrapText="1"/>
    </xf>
    <xf numFmtId="0" fontId="22" fillId="0" borderId="41" xfId="0" applyFont="1" applyBorder="1" applyAlignment="1">
      <alignment horizontal="center" vertical="center" wrapText="1"/>
    </xf>
    <xf numFmtId="178" fontId="52" fillId="0" borderId="51" xfId="0" applyNumberFormat="1" applyFont="1" applyBorder="1" applyAlignment="1">
      <alignment horizontal="center" vertical="center"/>
    </xf>
    <xf numFmtId="174" fontId="22" fillId="0" borderId="22" xfId="0" applyNumberFormat="1" applyFont="1" applyBorder="1" applyAlignment="1">
      <alignment horizontal="center"/>
    </xf>
    <xf numFmtId="178" fontId="22" fillId="18" borderId="9" xfId="0" applyNumberFormat="1" applyFont="1" applyFill="1" applyBorder="1" applyAlignment="1">
      <alignment horizontal="center" vertical="center"/>
    </xf>
    <xf numFmtId="178" fontId="22" fillId="18" borderId="10" xfId="0" applyNumberFormat="1" applyFont="1" applyFill="1" applyBorder="1" applyAlignment="1">
      <alignment horizontal="center" vertical="center"/>
    </xf>
    <xf numFmtId="178" fontId="22" fillId="18" borderId="1" xfId="0" applyNumberFormat="1" applyFont="1" applyFill="1" applyBorder="1" applyAlignment="1">
      <alignment horizontal="center" vertical="center"/>
    </xf>
    <xf numFmtId="178" fontId="22" fillId="18" borderId="21" xfId="0" applyNumberFormat="1" applyFont="1" applyFill="1" applyBorder="1" applyAlignment="1">
      <alignment horizontal="center" vertical="center"/>
    </xf>
    <xf numFmtId="9" fontId="92" fillId="0" borderId="2" xfId="0" applyNumberFormat="1" applyFont="1" applyBorder="1" applyAlignment="1">
      <alignment horizontal="center" vertical="center"/>
    </xf>
    <xf numFmtId="9" fontId="92" fillId="0" borderId="3" xfId="0" applyNumberFormat="1" applyFont="1" applyBorder="1" applyAlignment="1">
      <alignment horizontal="center" vertical="center"/>
    </xf>
    <xf numFmtId="9" fontId="92" fillId="0" borderId="4" xfId="0" applyNumberFormat="1" applyFont="1" applyBorder="1" applyAlignment="1">
      <alignment horizontal="center" vertical="center"/>
    </xf>
    <xf numFmtId="0" fontId="142" fillId="0" borderId="13" xfId="4" applyFont="1" applyBorder="1" applyAlignment="1">
      <alignment horizontal="left" vertical="center" wrapText="1"/>
    </xf>
    <xf numFmtId="0" fontId="142" fillId="0" borderId="14" xfId="4" applyFont="1" applyBorder="1" applyAlignment="1">
      <alignment horizontal="left" vertical="center" wrapText="1"/>
    </xf>
    <xf numFmtId="0" fontId="142" fillId="0" borderId="15" xfId="4" applyFont="1" applyBorder="1" applyAlignment="1">
      <alignment horizontal="left" vertical="center" wrapText="1"/>
    </xf>
    <xf numFmtId="0" fontId="142" fillId="0" borderId="16" xfId="4" applyFont="1" applyBorder="1" applyAlignment="1">
      <alignment horizontal="left" vertical="center" wrapText="1"/>
    </xf>
    <xf numFmtId="0" fontId="142" fillId="0" borderId="0" xfId="4" applyFont="1" applyAlignment="1">
      <alignment horizontal="left" vertical="center" wrapText="1"/>
    </xf>
    <xf numFmtId="0" fontId="142" fillId="0" borderId="17" xfId="4" applyFont="1" applyBorder="1" applyAlignment="1">
      <alignment horizontal="left" vertical="center" wrapText="1"/>
    </xf>
    <xf numFmtId="0" fontId="142" fillId="0" borderId="18" xfId="4" applyFont="1" applyBorder="1" applyAlignment="1">
      <alignment horizontal="left" vertical="center" wrapText="1"/>
    </xf>
    <xf numFmtId="0" fontId="142" fillId="0" borderId="11" xfId="4" applyFont="1" applyBorder="1" applyAlignment="1">
      <alignment horizontal="left" vertical="center" wrapText="1"/>
    </xf>
    <xf numFmtId="0" fontId="142" fillId="0" borderId="19" xfId="4" applyFont="1" applyBorder="1" applyAlignment="1">
      <alignment horizontal="left" vertical="center" wrapText="1"/>
    </xf>
    <xf numFmtId="0" fontId="115" fillId="0" borderId="14" xfId="0" applyFont="1" applyBorder="1" applyAlignment="1">
      <alignment vertical="center" wrapText="1"/>
    </xf>
    <xf numFmtId="0" fontId="97" fillId="0" borderId="1" xfId="0" applyFont="1" applyBorder="1" applyAlignment="1">
      <alignment horizontal="left" vertical="center" wrapText="1"/>
    </xf>
    <xf numFmtId="2" fontId="92" fillId="0" borderId="1" xfId="0" quotePrefix="1" applyNumberFormat="1" applyFont="1" applyBorder="1" applyAlignment="1">
      <alignment horizontal="center" vertical="center"/>
    </xf>
    <xf numFmtId="190" fontId="148" fillId="3" borderId="9" xfId="0" applyNumberFormat="1" applyFont="1" applyFill="1" applyBorder="1" applyAlignment="1">
      <alignment horizontal="center" vertical="center"/>
    </xf>
    <xf numFmtId="190" fontId="148" fillId="3" borderId="10" xfId="0" applyNumberFormat="1" applyFont="1" applyFill="1" applyBorder="1" applyAlignment="1">
      <alignment horizontal="center" vertical="center"/>
    </xf>
    <xf numFmtId="190" fontId="148" fillId="18" borderId="9" xfId="0" applyNumberFormat="1" applyFont="1" applyFill="1" applyBorder="1" applyAlignment="1">
      <alignment horizontal="center" vertical="center"/>
    </xf>
    <xf numFmtId="190" fontId="148" fillId="18" borderId="10" xfId="0" applyNumberFormat="1" applyFont="1" applyFill="1" applyBorder="1" applyAlignment="1">
      <alignment horizontal="center" vertical="center"/>
    </xf>
    <xf numFmtId="0" fontId="0" fillId="0" borderId="14" xfId="0" applyBorder="1"/>
    <xf numFmtId="0" fontId="92" fillId="0" borderId="0" xfId="0" applyFont="1" applyAlignment="1">
      <alignment vertical="center"/>
    </xf>
    <xf numFmtId="165" fontId="92" fillId="0" borderId="2" xfId="0" applyNumberFormat="1" applyFont="1" applyBorder="1" applyAlignment="1">
      <alignment horizontal="center" vertical="center"/>
    </xf>
    <xf numFmtId="165" fontId="92" fillId="0" borderId="3" xfId="0" applyNumberFormat="1" applyFont="1" applyBorder="1" applyAlignment="1">
      <alignment horizontal="center" vertical="center"/>
    </xf>
    <xf numFmtId="0" fontId="18" fillId="13" borderId="1" xfId="0" applyFont="1" applyFill="1" applyBorder="1" applyAlignment="1" applyProtection="1">
      <alignment horizontal="center" vertical="center"/>
      <protection locked="0"/>
    </xf>
    <xf numFmtId="0" fontId="31" fillId="0" borderId="0" xfId="0" applyFont="1" applyAlignment="1">
      <alignment horizontal="left" vertical="top" wrapText="1"/>
    </xf>
    <xf numFmtId="0" fontId="100" fillId="0" borderId="1" xfId="0" quotePrefix="1" applyFont="1" applyBorder="1" applyAlignment="1">
      <alignment horizontal="left" vertical="center" wrapText="1"/>
    </xf>
    <xf numFmtId="0" fontId="51" fillId="0" borderId="1" xfId="0" applyFont="1" applyBorder="1" applyAlignment="1">
      <alignment horizontal="center" vertical="center"/>
    </xf>
    <xf numFmtId="0" fontId="100" fillId="0" borderId="1" xfId="0" quotePrefix="1" applyFont="1" applyBorder="1" applyAlignment="1">
      <alignment horizontal="center" vertical="center"/>
    </xf>
    <xf numFmtId="0" fontId="22" fillId="0" borderId="1" xfId="0" applyFont="1" applyBorder="1" applyAlignment="1">
      <alignment vertical="center" wrapText="1"/>
    </xf>
    <xf numFmtId="0" fontId="31" fillId="0" borderId="1" xfId="0" applyFont="1" applyBorder="1" applyAlignment="1">
      <alignment horizontal="center" vertical="top"/>
    </xf>
    <xf numFmtId="0" fontId="0" fillId="0" borderId="1" xfId="0" applyBorder="1" applyAlignment="1">
      <alignment horizontal="right" vertical="center"/>
    </xf>
    <xf numFmtId="2" fontId="0" fillId="0" borderId="1" xfId="0" applyNumberFormat="1" applyBorder="1" applyAlignment="1">
      <alignment horizontal="right" vertical="center"/>
    </xf>
    <xf numFmtId="165" fontId="0" fillId="0" borderId="1" xfId="0" applyNumberFormat="1" applyBorder="1" applyAlignment="1">
      <alignment horizontal="right" vertical="center"/>
    </xf>
    <xf numFmtId="2" fontId="92" fillId="0" borderId="1" xfId="1" applyNumberFormat="1" applyFont="1" applyBorder="1" applyAlignment="1">
      <alignment horizontal="center" vertical="center"/>
    </xf>
    <xf numFmtId="168" fontId="92" fillId="0" borderId="1" xfId="1" applyNumberFormat="1" applyFont="1" applyBorder="1" applyAlignment="1">
      <alignment horizontal="center" vertical="center"/>
    </xf>
    <xf numFmtId="3" fontId="92" fillId="0" borderId="1" xfId="1" applyNumberFormat="1" applyFont="1" applyBorder="1" applyAlignment="1">
      <alignment horizontal="center" vertical="center"/>
    </xf>
    <xf numFmtId="191" fontId="0" fillId="3" borderId="9" xfId="0" applyNumberFormat="1" applyFill="1" applyBorder="1" applyAlignment="1">
      <alignment horizontal="center" vertical="center"/>
    </xf>
    <xf numFmtId="191" fontId="0" fillId="3" borderId="1" xfId="0" applyNumberFormat="1" applyFill="1" applyBorder="1" applyAlignment="1">
      <alignment horizontal="center" vertical="center"/>
    </xf>
    <xf numFmtId="0" fontId="0" fillId="0" borderId="20" xfId="0" applyBorder="1" applyAlignment="1">
      <alignment horizontal="left" vertical="center" wrapText="1"/>
    </xf>
    <xf numFmtId="192" fontId="0" fillId="3" borderId="1" xfId="0" applyNumberFormat="1" applyFill="1" applyBorder="1" applyAlignment="1">
      <alignment horizontal="center" vertical="center"/>
    </xf>
    <xf numFmtId="192" fontId="0" fillId="3" borderId="21" xfId="0" applyNumberFormat="1" applyFill="1" applyBorder="1" applyAlignment="1">
      <alignment horizontal="center" vertical="center"/>
    </xf>
    <xf numFmtId="179" fontId="0" fillId="3" borderId="9" xfId="0" applyNumberFormat="1" applyFill="1" applyBorder="1" applyAlignment="1">
      <alignment horizontal="center" vertical="center"/>
    </xf>
    <xf numFmtId="179" fontId="0" fillId="3" borderId="10" xfId="0" applyNumberFormat="1" applyFill="1" applyBorder="1" applyAlignment="1">
      <alignment horizontal="center" vertical="center"/>
    </xf>
    <xf numFmtId="0" fontId="0" fillId="0" borderId="8" xfId="0" applyBorder="1" applyAlignment="1">
      <alignment horizontal="left" vertical="center" wrapText="1"/>
    </xf>
    <xf numFmtId="0" fontId="0" fillId="0" borderId="9" xfId="0" applyBorder="1" applyAlignment="1">
      <alignment horizontal="left" vertical="center" wrapText="1"/>
    </xf>
    <xf numFmtId="175" fontId="0" fillId="3" borderId="9" xfId="0" applyNumberFormat="1" applyFill="1" applyBorder="1" applyAlignment="1">
      <alignment horizontal="center" vertical="center"/>
    </xf>
    <xf numFmtId="176" fontId="0" fillId="3" borderId="9" xfId="0" applyNumberFormat="1" applyFill="1" applyBorder="1" applyAlignment="1">
      <alignment horizontal="center" vertical="center"/>
    </xf>
    <xf numFmtId="176" fontId="0" fillId="3" borderId="10" xfId="0" applyNumberFormat="1" applyFill="1" applyBorder="1" applyAlignment="1">
      <alignment horizontal="center" vertical="center"/>
    </xf>
    <xf numFmtId="0" fontId="91" fillId="0" borderId="2" xfId="0" applyFont="1" applyBorder="1" applyAlignment="1">
      <alignment horizontal="left" vertical="center"/>
    </xf>
    <xf numFmtId="0" fontId="91" fillId="0" borderId="3" xfId="0" applyFont="1" applyBorder="1" applyAlignment="1">
      <alignment horizontal="left" vertical="center"/>
    </xf>
    <xf numFmtId="0" fontId="91" fillId="0" borderId="4" xfId="0" applyFont="1" applyBorder="1" applyAlignment="1">
      <alignment horizontal="left" vertical="center"/>
    </xf>
    <xf numFmtId="0" fontId="64" fillId="20" borderId="2" xfId="0" applyFont="1" applyFill="1" applyBorder="1" applyAlignment="1">
      <alignment horizontal="left" vertical="center"/>
    </xf>
    <xf numFmtId="0" fontId="64" fillId="20" borderId="3" xfId="0" applyFont="1" applyFill="1" applyBorder="1" applyAlignment="1">
      <alignment horizontal="left" vertical="center"/>
    </xf>
    <xf numFmtId="0" fontId="64" fillId="20" borderId="4" xfId="0" applyFont="1" applyFill="1" applyBorder="1" applyAlignment="1">
      <alignment horizontal="left" vertical="center"/>
    </xf>
    <xf numFmtId="0" fontId="3" fillId="0" borderId="47"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48" xfId="0" applyFont="1" applyBorder="1" applyAlignment="1">
      <alignment horizontal="center" vertical="center" wrapText="1"/>
    </xf>
    <xf numFmtId="0" fontId="0" fillId="0" borderId="35"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188" fontId="0" fillId="3" borderId="2" xfId="0" applyNumberFormat="1" applyFill="1" applyBorder="1" applyAlignment="1">
      <alignment horizontal="center" vertical="center"/>
    </xf>
    <xf numFmtId="188" fontId="0" fillId="3" borderId="3" xfId="0" applyNumberFormat="1" applyFill="1" applyBorder="1" applyAlignment="1">
      <alignment horizontal="center" vertical="center"/>
    </xf>
    <xf numFmtId="188" fontId="0" fillId="3" borderId="4" xfId="0" applyNumberFormat="1" applyFill="1" applyBorder="1" applyAlignment="1">
      <alignment horizontal="center" vertical="center"/>
    </xf>
    <xf numFmtId="189" fontId="0" fillId="3" borderId="2" xfId="0" applyNumberFormat="1" applyFill="1" applyBorder="1" applyAlignment="1">
      <alignment horizontal="center" vertical="center"/>
    </xf>
    <xf numFmtId="189" fontId="0" fillId="3" borderId="3" xfId="0" applyNumberFormat="1" applyFill="1" applyBorder="1" applyAlignment="1">
      <alignment horizontal="center" vertical="center"/>
    </xf>
    <xf numFmtId="189" fontId="0" fillId="3" borderId="4" xfId="0" applyNumberFormat="1" applyFill="1" applyBorder="1" applyAlignment="1">
      <alignment horizontal="center" vertical="center"/>
    </xf>
    <xf numFmtId="189" fontId="0" fillId="18" borderId="2" xfId="0" applyNumberFormat="1" applyFill="1" applyBorder="1" applyAlignment="1">
      <alignment horizontal="center" vertical="center"/>
    </xf>
    <xf numFmtId="189" fontId="0" fillId="18" borderId="3" xfId="0" applyNumberFormat="1" applyFill="1" applyBorder="1" applyAlignment="1">
      <alignment horizontal="center" vertical="center"/>
    </xf>
    <xf numFmtId="189" fontId="0" fillId="18" borderId="36" xfId="0" applyNumberFormat="1" applyFill="1"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188" fontId="0" fillId="3" borderId="40" xfId="0" applyNumberFormat="1" applyFill="1" applyBorder="1" applyAlignment="1">
      <alignment horizontal="center" vertical="center"/>
    </xf>
    <xf numFmtId="188" fontId="0" fillId="3" borderId="41" xfId="0" applyNumberFormat="1" applyFill="1" applyBorder="1" applyAlignment="1">
      <alignment horizontal="center" vertical="center"/>
    </xf>
    <xf numFmtId="188" fontId="0" fillId="3" borderId="42" xfId="0" applyNumberFormat="1" applyFill="1" applyBorder="1" applyAlignment="1">
      <alignment horizontal="center" vertical="center"/>
    </xf>
    <xf numFmtId="189" fontId="0" fillId="3" borderId="40" xfId="0" applyNumberFormat="1" applyFill="1" applyBorder="1" applyAlignment="1">
      <alignment horizontal="center" vertical="center"/>
    </xf>
    <xf numFmtId="189" fontId="0" fillId="3" borderId="41" xfId="0" applyNumberFormat="1" applyFill="1" applyBorder="1" applyAlignment="1">
      <alignment horizontal="center" vertical="center"/>
    </xf>
    <xf numFmtId="189" fontId="0" fillId="3" borderId="42" xfId="0" applyNumberFormat="1" applyFill="1" applyBorder="1" applyAlignment="1">
      <alignment horizontal="center" vertical="center"/>
    </xf>
    <xf numFmtId="189" fontId="0" fillId="18" borderId="40" xfId="0" applyNumberFormat="1" applyFill="1" applyBorder="1" applyAlignment="1">
      <alignment horizontal="center" vertical="center"/>
    </xf>
    <xf numFmtId="189" fontId="0" fillId="18" borderId="41" xfId="0" applyNumberFormat="1" applyFill="1" applyBorder="1" applyAlignment="1">
      <alignment horizontal="center" vertical="center"/>
    </xf>
    <xf numFmtId="189" fontId="0" fillId="18" borderId="51" xfId="0" applyNumberFormat="1" applyFill="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49" xfId="0" applyFont="1" applyBorder="1" applyAlignment="1">
      <alignment horizontal="center" vertical="center"/>
    </xf>
    <xf numFmtId="0" fontId="92" fillId="0" borderId="20" xfId="0" applyFont="1" applyBorder="1" applyAlignment="1">
      <alignment horizontal="center" vertical="center"/>
    </xf>
    <xf numFmtId="0" fontId="92" fillId="0" borderId="8" xfId="0" applyFont="1" applyBorder="1" applyAlignment="1">
      <alignment horizontal="center" vertical="center"/>
    </xf>
    <xf numFmtId="0" fontId="92" fillId="0" borderId="9" xfId="0" applyFont="1" applyBorder="1" applyAlignment="1">
      <alignment horizontal="center" vertical="center"/>
    </xf>
    <xf numFmtId="165" fontId="92" fillId="0" borderId="1" xfId="0" applyNumberFormat="1" applyFont="1" applyBorder="1" applyAlignment="1">
      <alignment horizontal="center" vertical="center"/>
    </xf>
    <xf numFmtId="164" fontId="92" fillId="0" borderId="1" xfId="0" applyNumberFormat="1" applyFont="1" applyBorder="1" applyAlignment="1">
      <alignment horizontal="center" vertical="center"/>
    </xf>
    <xf numFmtId="0" fontId="99" fillId="0" borderId="1" xfId="0" applyFont="1" applyBorder="1" applyAlignment="1">
      <alignment horizontal="center" vertical="center"/>
    </xf>
    <xf numFmtId="0" fontId="92" fillId="0" borderId="1" xfId="1" applyNumberFormat="1" applyFont="1" applyBorder="1" applyAlignment="1">
      <alignment horizontal="center" vertical="center"/>
    </xf>
    <xf numFmtId="0" fontId="3" fillId="0" borderId="0" xfId="0" applyFont="1" applyAlignment="1">
      <alignment horizontal="right" vertical="center"/>
    </xf>
    <xf numFmtId="0" fontId="96" fillId="0" borderId="1" xfId="0" applyFont="1" applyBorder="1" applyAlignment="1">
      <alignment horizontal="center" vertical="center"/>
    </xf>
    <xf numFmtId="0" fontId="29" fillId="0" borderId="0" xfId="0" applyFont="1" applyAlignment="1">
      <alignment horizontal="left" vertical="top"/>
    </xf>
    <xf numFmtId="0" fontId="29" fillId="0" borderId="0" xfId="0" applyFont="1" applyAlignment="1">
      <alignment horizontal="left" vertical="top" wrapText="1"/>
    </xf>
    <xf numFmtId="164" fontId="100" fillId="0" borderId="1" xfId="1" applyNumberFormat="1" applyFont="1" applyBorder="1" applyAlignment="1">
      <alignment horizontal="center" vertical="center"/>
    </xf>
    <xf numFmtId="0" fontId="92" fillId="0" borderId="1" xfId="0" applyFont="1" applyBorder="1" applyAlignment="1">
      <alignment horizontal="center"/>
    </xf>
    <xf numFmtId="164" fontId="92" fillId="0" borderId="1" xfId="1" applyNumberFormat="1" applyFont="1" applyBorder="1" applyAlignment="1">
      <alignment horizontal="center" vertical="center"/>
    </xf>
    <xf numFmtId="188" fontId="0" fillId="3" borderId="9" xfId="0" applyNumberFormat="1" applyFill="1" applyBorder="1" applyAlignment="1">
      <alignment horizontal="center" vertical="center"/>
    </xf>
    <xf numFmtId="189" fontId="0" fillId="3" borderId="9" xfId="0" applyNumberFormat="1" applyFill="1" applyBorder="1" applyAlignment="1">
      <alignment horizontal="center" vertical="center"/>
    </xf>
    <xf numFmtId="189" fontId="0" fillId="3" borderId="10" xfId="0" applyNumberFormat="1" applyFill="1" applyBorder="1" applyAlignment="1">
      <alignment horizontal="center" vertical="center"/>
    </xf>
    <xf numFmtId="0" fontId="91" fillId="0" borderId="1" xfId="0" applyFont="1" applyBorder="1" applyAlignment="1">
      <alignment horizontal="center"/>
    </xf>
    <xf numFmtId="0" fontId="91" fillId="0" borderId="1" xfId="0" applyFont="1" applyBorder="1" applyAlignment="1">
      <alignment horizontal="center" wrapText="1"/>
    </xf>
    <xf numFmtId="190" fontId="0" fillId="3" borderId="9" xfId="0" applyNumberFormat="1" applyFill="1" applyBorder="1" applyAlignment="1">
      <alignment horizontal="center" vertical="center"/>
    </xf>
    <xf numFmtId="190" fontId="0" fillId="18" borderId="40" xfId="0" applyNumberFormat="1" applyFill="1" applyBorder="1" applyAlignment="1">
      <alignment horizontal="center" vertical="center"/>
    </xf>
    <xf numFmtId="190" fontId="0" fillId="18" borderId="41" xfId="0" applyNumberFormat="1" applyFill="1" applyBorder="1" applyAlignment="1">
      <alignment horizontal="center" vertical="center"/>
    </xf>
    <xf numFmtId="190" fontId="0" fillId="18" borderId="51" xfId="0" applyNumberFormat="1" applyFill="1" applyBorder="1" applyAlignment="1">
      <alignment horizontal="center" vertical="center"/>
    </xf>
    <xf numFmtId="0" fontId="0" fillId="0" borderId="58" xfId="0" applyBorder="1" applyAlignment="1">
      <alignment horizontal="left" vertical="center" wrapText="1"/>
    </xf>
    <xf numFmtId="0" fontId="0" fillId="0" borderId="12" xfId="0" applyBorder="1" applyAlignment="1">
      <alignment horizontal="left" vertical="center" wrapText="1"/>
    </xf>
    <xf numFmtId="190" fontId="0" fillId="18" borderId="2" xfId="0" applyNumberFormat="1" applyFill="1" applyBorder="1" applyAlignment="1">
      <alignment horizontal="center" vertical="center"/>
    </xf>
    <xf numFmtId="190" fontId="0" fillId="18" borderId="3" xfId="0" applyNumberFormat="1" applyFill="1" applyBorder="1" applyAlignment="1">
      <alignment horizontal="center" vertical="center"/>
    </xf>
    <xf numFmtId="190" fontId="0" fillId="18" borderId="36" xfId="0" applyNumberFormat="1" applyFill="1" applyBorder="1" applyAlignment="1">
      <alignment horizontal="center" vertical="center"/>
    </xf>
    <xf numFmtId="0" fontId="92" fillId="0" borderId="16" xfId="0" applyFont="1" applyBorder="1" applyAlignment="1">
      <alignment horizontal="center" vertical="center"/>
    </xf>
    <xf numFmtId="0" fontId="92" fillId="0" borderId="0" xfId="0" applyFont="1" applyAlignment="1">
      <alignment horizontal="center" vertical="center"/>
    </xf>
    <xf numFmtId="0" fontId="92" fillId="0" borderId="17" xfId="0" applyFont="1" applyBorder="1" applyAlignment="1">
      <alignment horizontal="center" vertical="center"/>
    </xf>
    <xf numFmtId="0" fontId="92" fillId="0" borderId="18" xfId="0" applyFont="1" applyBorder="1" applyAlignment="1">
      <alignment horizontal="center" vertical="center" wrapText="1"/>
    </xf>
    <xf numFmtId="0" fontId="92" fillId="0" borderId="11" xfId="0" applyFont="1" applyBorder="1" applyAlignment="1">
      <alignment horizontal="center" vertical="center" wrapText="1"/>
    </xf>
    <xf numFmtId="0" fontId="92" fillId="0" borderId="19" xfId="0" applyFont="1" applyBorder="1" applyAlignment="1">
      <alignment horizontal="center" vertical="center" wrapText="1"/>
    </xf>
    <xf numFmtId="2" fontId="92" fillId="0" borderId="16" xfId="0" applyNumberFormat="1" applyFont="1" applyBorder="1" applyAlignment="1">
      <alignment horizontal="center" vertical="center" wrapText="1"/>
    </xf>
    <xf numFmtId="2" fontId="92" fillId="0" borderId="0" xfId="0" applyNumberFormat="1" applyFont="1" applyAlignment="1">
      <alignment horizontal="center" vertical="center" wrapText="1"/>
    </xf>
    <xf numFmtId="2" fontId="92" fillId="0" borderId="17" xfId="0" applyNumberFormat="1" applyFont="1" applyBorder="1" applyAlignment="1">
      <alignment horizontal="center"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0" borderId="16" xfId="0" applyFont="1" applyBorder="1" applyAlignment="1">
      <alignment horizontal="left" vertical="center"/>
    </xf>
    <xf numFmtId="0" fontId="2" fillId="0" borderId="0" xfId="0" applyFont="1" applyAlignment="1">
      <alignment horizontal="left" vertical="center"/>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11" xfId="0" applyFont="1" applyBorder="1" applyAlignment="1">
      <alignment horizontal="left" vertical="center"/>
    </xf>
    <xf numFmtId="0" fontId="2" fillId="0" borderId="19" xfId="0" applyFont="1" applyBorder="1" applyAlignment="1">
      <alignment horizontal="left" vertical="center"/>
    </xf>
    <xf numFmtId="0" fontId="92" fillId="0" borderId="13" xfId="0" applyFont="1" applyBorder="1" applyAlignment="1">
      <alignment horizontal="left" vertical="center" wrapText="1"/>
    </xf>
    <xf numFmtId="0" fontId="92" fillId="0" borderId="14" xfId="0" applyFont="1" applyBorder="1" applyAlignment="1">
      <alignment horizontal="left" vertical="center" wrapText="1"/>
    </xf>
    <xf numFmtId="0" fontId="92" fillId="0" borderId="15" xfId="0" applyFont="1" applyBorder="1" applyAlignment="1">
      <alignment horizontal="left" vertical="center" wrapText="1"/>
    </xf>
    <xf numFmtId="0" fontId="92" fillId="0" borderId="13"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3" xfId="0" applyFont="1" applyBorder="1" applyAlignment="1">
      <alignment horizontal="center" vertical="center"/>
    </xf>
    <xf numFmtId="0" fontId="92" fillId="0" borderId="14" xfId="0" applyFont="1" applyBorder="1" applyAlignment="1">
      <alignment horizontal="center" vertical="center"/>
    </xf>
    <xf numFmtId="0" fontId="92" fillId="0" borderId="15" xfId="0" applyFont="1" applyBorder="1" applyAlignment="1">
      <alignment horizontal="center" vertical="center"/>
    </xf>
    <xf numFmtId="0" fontId="92" fillId="0" borderId="16" xfId="0" applyFont="1" applyBorder="1" applyAlignment="1">
      <alignment horizontal="left" vertical="center" wrapText="1"/>
    </xf>
    <xf numFmtId="0" fontId="92" fillId="0" borderId="0" xfId="0" applyFont="1" applyAlignment="1">
      <alignment horizontal="left" vertical="center" wrapText="1"/>
    </xf>
    <xf numFmtId="0" fontId="92" fillId="0" borderId="17" xfId="0" applyFont="1" applyBorder="1" applyAlignment="1">
      <alignment horizontal="left" vertical="center" wrapText="1"/>
    </xf>
    <xf numFmtId="0" fontId="92" fillId="0" borderId="18" xfId="0" applyFont="1" applyBorder="1" applyAlignment="1">
      <alignment horizontal="left" vertical="center" wrapText="1"/>
    </xf>
    <xf numFmtId="0" fontId="92" fillId="0" borderId="11" xfId="0" applyFont="1" applyBorder="1" applyAlignment="1">
      <alignment horizontal="left" vertical="center" wrapText="1"/>
    </xf>
    <xf numFmtId="0" fontId="92" fillId="0" borderId="19" xfId="0" applyFont="1" applyBorder="1" applyAlignment="1">
      <alignment horizontal="left" vertical="center" wrapText="1"/>
    </xf>
    <xf numFmtId="0" fontId="156" fillId="0" borderId="16" xfId="0" applyFont="1" applyBorder="1" applyAlignment="1">
      <alignment horizontal="center" vertical="center" wrapText="1"/>
    </xf>
    <xf numFmtId="0" fontId="156" fillId="0" borderId="0" xfId="0" applyFont="1" applyAlignment="1">
      <alignment horizontal="center" vertical="center" wrapText="1"/>
    </xf>
    <xf numFmtId="0" fontId="156" fillId="0" borderId="17" xfId="0" applyFont="1" applyBorder="1" applyAlignment="1">
      <alignment horizontal="center" vertical="center" wrapText="1"/>
    </xf>
    <xf numFmtId="0" fontId="92" fillId="0" borderId="16" xfId="0" applyFont="1" applyBorder="1" applyAlignment="1">
      <alignment horizontal="center" vertical="center" wrapText="1"/>
    </xf>
    <xf numFmtId="0" fontId="92" fillId="0" borderId="0" xfId="0" applyFont="1" applyAlignment="1">
      <alignment horizontal="center" vertical="center" wrapText="1"/>
    </xf>
    <xf numFmtId="0" fontId="92" fillId="0" borderId="17" xfId="0" applyFont="1" applyBorder="1" applyAlignment="1">
      <alignment horizontal="center" vertical="center" wrapText="1"/>
    </xf>
    <xf numFmtId="0" fontId="3" fillId="0" borderId="58" xfId="0" applyFont="1" applyBorder="1" applyAlignment="1">
      <alignment horizontal="center" vertical="center"/>
    </xf>
    <xf numFmtId="0" fontId="3" fillId="0" borderId="12" xfId="0" applyFont="1" applyBorder="1" applyAlignment="1">
      <alignment horizontal="center" vertical="center"/>
    </xf>
    <xf numFmtId="0" fontId="72" fillId="0" borderId="13" xfId="0" applyFont="1" applyBorder="1" applyAlignment="1">
      <alignment horizontal="left" vertical="center"/>
    </xf>
    <xf numFmtId="164" fontId="92" fillId="0" borderId="16" xfId="0" applyNumberFormat="1" applyFont="1" applyBorder="1" applyAlignment="1">
      <alignment horizontal="center" vertical="center" wrapText="1"/>
    </xf>
    <xf numFmtId="164" fontId="92" fillId="0" borderId="0" xfId="0" applyNumberFormat="1" applyFont="1" applyAlignment="1">
      <alignment horizontal="center" vertical="center" wrapText="1"/>
    </xf>
    <xf numFmtId="164" fontId="92" fillId="0" borderId="17" xfId="0" applyNumberFormat="1" applyFont="1" applyBorder="1" applyAlignment="1">
      <alignment horizontal="center" vertical="center" wrapText="1"/>
    </xf>
    <xf numFmtId="0" fontId="92" fillId="0" borderId="18" xfId="0" applyFont="1" applyBorder="1" applyAlignment="1">
      <alignment horizontal="center" vertical="center"/>
    </xf>
    <xf numFmtId="0" fontId="92" fillId="0" borderId="11" xfId="0" applyFont="1" applyBorder="1" applyAlignment="1">
      <alignment horizontal="center" vertical="center"/>
    </xf>
    <xf numFmtId="0" fontId="92" fillId="0" borderId="19" xfId="0" applyFont="1" applyBorder="1" applyAlignment="1">
      <alignment horizontal="center" vertical="center"/>
    </xf>
    <xf numFmtId="0" fontId="0" fillId="0" borderId="0" xfId="0" quotePrefix="1" applyAlignment="1">
      <alignment horizontal="center" vertical="center" wrapText="1"/>
    </xf>
    <xf numFmtId="0" fontId="148" fillId="0" borderId="8" xfId="0" applyFont="1" applyBorder="1" applyAlignment="1">
      <alignment horizontal="center" vertical="center" wrapText="1"/>
    </xf>
    <xf numFmtId="0" fontId="148" fillId="0" borderId="9" xfId="0" applyFont="1" applyBorder="1" applyAlignment="1">
      <alignment horizontal="center" vertical="center" wrapText="1"/>
    </xf>
    <xf numFmtId="177" fontId="148" fillId="3" borderId="9" xfId="6" applyNumberFormat="1" applyFont="1" applyFill="1" applyBorder="1" applyAlignment="1">
      <alignment horizontal="center" vertical="center"/>
    </xf>
    <xf numFmtId="190" fontId="148" fillId="3" borderId="9" xfId="6" applyNumberFormat="1" applyFont="1" applyFill="1" applyBorder="1" applyAlignment="1">
      <alignment horizontal="center" vertical="center"/>
    </xf>
    <xf numFmtId="190" fontId="148" fillId="18" borderId="9" xfId="6" applyNumberFormat="1" applyFont="1" applyFill="1" applyBorder="1" applyAlignment="1">
      <alignment horizontal="center" vertical="center"/>
    </xf>
    <xf numFmtId="190" fontId="148" fillId="18" borderId="10" xfId="6" applyNumberFormat="1" applyFont="1" applyFill="1" applyBorder="1" applyAlignment="1">
      <alignment horizontal="center" vertical="center"/>
    </xf>
    <xf numFmtId="0" fontId="18" fillId="13" borderId="2" xfId="0" applyFont="1" applyFill="1" applyBorder="1" applyAlignment="1" applyProtection="1">
      <alignment horizontal="center"/>
      <protection locked="0"/>
    </xf>
    <xf numFmtId="0" fontId="18" fillId="13" borderId="3" xfId="0" applyFont="1" applyFill="1" applyBorder="1" applyAlignment="1" applyProtection="1">
      <alignment horizontal="center"/>
      <protection locked="0"/>
    </xf>
    <xf numFmtId="0" fontId="18" fillId="13" borderId="4" xfId="0" applyFont="1" applyFill="1" applyBorder="1" applyAlignment="1" applyProtection="1">
      <alignment horizontal="center"/>
      <protection locked="0"/>
    </xf>
    <xf numFmtId="4" fontId="0" fillId="0" borderId="1" xfId="0" applyNumberFormat="1" applyBorder="1" applyAlignment="1">
      <alignment horizontal="center" vertical="center"/>
    </xf>
    <xf numFmtId="187" fontId="0" fillId="0" borderId="1" xfId="0" applyNumberFormat="1" applyBorder="1" applyAlignment="1">
      <alignment horizontal="center" vertical="center"/>
    </xf>
    <xf numFmtId="0" fontId="92" fillId="0" borderId="13" xfId="0" applyFont="1" applyBorder="1" applyAlignment="1">
      <alignment vertical="center"/>
    </xf>
    <xf numFmtId="0" fontId="92" fillId="0" borderId="14" xfId="0" applyFont="1" applyBorder="1" applyAlignment="1">
      <alignment vertical="center"/>
    </xf>
    <xf numFmtId="0" fontId="92" fillId="0" borderId="15" xfId="0" applyFont="1" applyBorder="1" applyAlignment="1">
      <alignment vertical="center"/>
    </xf>
    <xf numFmtId="0" fontId="92" fillId="0" borderId="18" xfId="0" applyFont="1" applyBorder="1" applyAlignment="1">
      <alignment vertical="center"/>
    </xf>
    <xf numFmtId="0" fontId="92" fillId="0" borderId="11" xfId="0" applyFont="1" applyBorder="1" applyAlignment="1">
      <alignment vertical="center"/>
    </xf>
    <xf numFmtId="0" fontId="92" fillId="0" borderId="19" xfId="0" applyFont="1" applyBorder="1" applyAlignment="1">
      <alignment vertical="center"/>
    </xf>
    <xf numFmtId="0" fontId="92" fillId="0" borderId="13" xfId="0" applyFont="1" applyBorder="1" applyAlignment="1">
      <alignment horizontal="left" vertical="center"/>
    </xf>
    <xf numFmtId="0" fontId="92" fillId="0" borderId="14" xfId="0" applyFont="1" applyBorder="1" applyAlignment="1">
      <alignment horizontal="left" vertical="center"/>
    </xf>
    <xf numFmtId="0" fontId="92" fillId="0" borderId="15" xfId="0" applyFont="1" applyBorder="1" applyAlignment="1">
      <alignment horizontal="left" vertical="center"/>
    </xf>
    <xf numFmtId="0" fontId="92" fillId="0" borderId="18" xfId="0" applyFont="1" applyBorder="1" applyAlignment="1">
      <alignment horizontal="left" vertical="center"/>
    </xf>
    <xf numFmtId="0" fontId="92" fillId="0" borderId="11" xfId="0" applyFont="1" applyBorder="1" applyAlignment="1">
      <alignment horizontal="left" vertical="center"/>
    </xf>
    <xf numFmtId="0" fontId="92" fillId="0" borderId="19" xfId="0" applyFont="1" applyBorder="1" applyAlignment="1">
      <alignment horizontal="left" vertical="center"/>
    </xf>
    <xf numFmtId="0" fontId="91" fillId="0" borderId="13" xfId="0" applyFont="1" applyBorder="1" applyAlignment="1">
      <alignment horizontal="center" vertical="center"/>
    </xf>
    <xf numFmtId="0" fontId="91" fillId="0" borderId="14" xfId="0" applyFont="1" applyBorder="1" applyAlignment="1">
      <alignment horizontal="center" vertical="center"/>
    </xf>
    <xf numFmtId="0" fontId="91" fillId="0" borderId="15" xfId="0" applyFont="1" applyBorder="1" applyAlignment="1">
      <alignment horizontal="center" vertical="center"/>
    </xf>
    <xf numFmtId="0" fontId="91" fillId="0" borderId="18" xfId="0" applyFont="1" applyBorder="1" applyAlignment="1">
      <alignment horizontal="center" vertical="center"/>
    </xf>
    <xf numFmtId="0" fontId="91" fillId="0" borderId="11" xfId="0" applyFont="1" applyBorder="1" applyAlignment="1">
      <alignment horizontal="center" vertical="center"/>
    </xf>
    <xf numFmtId="0" fontId="91" fillId="0" borderId="19" xfId="0" applyFont="1" applyBorder="1" applyAlignment="1">
      <alignment horizontal="center" vertical="center"/>
    </xf>
    <xf numFmtId="0" fontId="102" fillId="0" borderId="13" xfId="0" applyFont="1" applyBorder="1" applyAlignment="1">
      <alignment horizontal="center" vertical="center"/>
    </xf>
    <xf numFmtId="0" fontId="102" fillId="0" borderId="14" xfId="0" applyFont="1" applyBorder="1" applyAlignment="1">
      <alignment horizontal="center" vertical="center"/>
    </xf>
    <xf numFmtId="0" fontId="102" fillId="0" borderId="15" xfId="0" applyFont="1" applyBorder="1" applyAlignment="1">
      <alignment horizontal="center" vertical="center"/>
    </xf>
    <xf numFmtId="0" fontId="102" fillId="0" borderId="18" xfId="0" applyFont="1" applyBorder="1" applyAlignment="1">
      <alignment horizontal="center" vertical="center"/>
    </xf>
    <xf numFmtId="0" fontId="102" fillId="0" borderId="11" xfId="0" applyFont="1" applyBorder="1" applyAlignment="1">
      <alignment horizontal="center" vertical="center"/>
    </xf>
    <xf numFmtId="0" fontId="102" fillId="0" borderId="19" xfId="0" applyFont="1" applyBorder="1" applyAlignment="1">
      <alignment horizontal="center" vertical="center"/>
    </xf>
    <xf numFmtId="0" fontId="92" fillId="0" borderId="1" xfId="1" applyNumberFormat="1" applyFont="1" applyFill="1" applyBorder="1" applyAlignment="1">
      <alignment horizontal="center" vertical="center" wrapText="1"/>
    </xf>
    <xf numFmtId="0" fontId="92" fillId="0" borderId="1" xfId="1" applyNumberFormat="1" applyFont="1" applyBorder="1" applyAlignment="1">
      <alignment horizontal="center" vertical="center" wrapText="1"/>
    </xf>
    <xf numFmtId="1" fontId="92" fillId="0" borderId="1" xfId="0" applyNumberFormat="1" applyFont="1" applyBorder="1" applyAlignment="1">
      <alignment horizontal="left" vertical="center"/>
    </xf>
    <xf numFmtId="165" fontId="22" fillId="0" borderId="1" xfId="0" applyNumberFormat="1" applyFont="1" applyBorder="1" applyAlignment="1">
      <alignment horizontal="center" vertical="center"/>
    </xf>
    <xf numFmtId="187" fontId="22" fillId="0" borderId="1" xfId="0" applyNumberFormat="1" applyFont="1" applyBorder="1" applyAlignment="1">
      <alignment horizontal="center" vertical="center"/>
    </xf>
    <xf numFmtId="0" fontId="31" fillId="0" borderId="22" xfId="0" applyFont="1" applyBorder="1" applyAlignment="1">
      <alignment horizontal="center" vertical="center"/>
    </xf>
    <xf numFmtId="0" fontId="102" fillId="0" borderId="1" xfId="0" applyFont="1" applyBorder="1" applyAlignment="1">
      <alignment vertical="center"/>
    </xf>
    <xf numFmtId="168" fontId="100" fillId="0" borderId="2" xfId="0" applyNumberFormat="1" applyFont="1" applyBorder="1" applyAlignment="1">
      <alignment horizontal="center" vertical="center"/>
    </xf>
    <xf numFmtId="168" fontId="100" fillId="0" borderId="3" xfId="0" applyNumberFormat="1" applyFont="1" applyBorder="1" applyAlignment="1">
      <alignment horizontal="center" vertical="center"/>
    </xf>
    <xf numFmtId="168" fontId="100" fillId="0" borderId="4" xfId="0" applyNumberFormat="1" applyFont="1" applyBorder="1" applyAlignment="1">
      <alignment horizontal="center" vertical="center"/>
    </xf>
    <xf numFmtId="0" fontId="31" fillId="0" borderId="12"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19" xfId="0" applyFont="1" applyBorder="1" applyAlignment="1">
      <alignment horizontal="center" vertical="center" wrapText="1"/>
    </xf>
    <xf numFmtId="207" fontId="100" fillId="0" borderId="1" xfId="0" applyNumberFormat="1" applyFont="1" applyBorder="1" applyAlignment="1">
      <alignment horizontal="center" vertical="center"/>
    </xf>
    <xf numFmtId="4" fontId="100" fillId="0" borderId="1" xfId="0" applyNumberFormat="1" applyFont="1" applyBorder="1" applyAlignment="1">
      <alignment horizontal="center" vertical="center"/>
    </xf>
    <xf numFmtId="0" fontId="22" fillId="0" borderId="1" xfId="0" applyFont="1" applyBorder="1" applyAlignment="1">
      <alignment horizontal="left" vertical="top" wrapText="1"/>
    </xf>
    <xf numFmtId="0" fontId="22" fillId="0" borderId="13"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18" xfId="0" applyFont="1" applyBorder="1" applyAlignment="1">
      <alignment horizontal="left" vertical="top" wrapText="1"/>
    </xf>
    <xf numFmtId="0" fontId="22" fillId="0" borderId="11" xfId="0" applyFont="1" applyBorder="1" applyAlignment="1">
      <alignment horizontal="left" vertical="top" wrapText="1"/>
    </xf>
    <xf numFmtId="0" fontId="22" fillId="0" borderId="19" xfId="0" applyFont="1" applyBorder="1" applyAlignment="1">
      <alignment horizontal="left" vertical="top" wrapText="1"/>
    </xf>
    <xf numFmtId="0" fontId="102" fillId="0" borderId="1" xfId="0" applyFont="1" applyBorder="1" applyAlignment="1">
      <alignment horizontal="center"/>
    </xf>
    <xf numFmtId="0" fontId="102" fillId="0" borderId="2" xfId="0" applyFont="1" applyBorder="1" applyAlignment="1">
      <alignment horizontal="center"/>
    </xf>
    <xf numFmtId="0" fontId="102" fillId="0" borderId="3" xfId="0" applyFont="1" applyBorder="1" applyAlignment="1">
      <alignment horizontal="center"/>
    </xf>
    <xf numFmtId="0" fontId="102" fillId="0" borderId="4" xfId="0" applyFont="1" applyBorder="1" applyAlignment="1">
      <alignment horizontal="center"/>
    </xf>
    <xf numFmtId="0" fontId="102" fillId="0" borderId="1" xfId="0" applyFont="1" applyBorder="1" applyAlignment="1">
      <alignment horizontal="center" vertical="top"/>
    </xf>
    <xf numFmtId="0" fontId="31" fillId="0" borderId="1" xfId="0" applyFont="1" applyBorder="1" applyAlignment="1">
      <alignment horizontal="center"/>
    </xf>
    <xf numFmtId="0" fontId="5" fillId="0" borderId="0" xfId="0" applyFont="1" applyAlignment="1">
      <alignment horizontal="left" vertical="center"/>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168" fontId="92"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105" fillId="0" borderId="1" xfId="0" applyFont="1" applyBorder="1" applyAlignment="1">
      <alignment horizontal="left" vertical="center"/>
    </xf>
    <xf numFmtId="0" fontId="101" fillId="0" borderId="1" xfId="0" applyFont="1" applyBorder="1" applyAlignment="1">
      <alignment horizontal="left" vertical="center"/>
    </xf>
    <xf numFmtId="168" fontId="91" fillId="0" borderId="1" xfId="0" applyNumberFormat="1" applyFont="1" applyBorder="1" applyAlignment="1">
      <alignment horizontal="center" vertical="center" wrapText="1"/>
    </xf>
    <xf numFmtId="0" fontId="91" fillId="0" borderId="1" xfId="0" quotePrefix="1" applyFont="1" applyBorder="1" applyAlignment="1">
      <alignment horizontal="center" vertical="center"/>
    </xf>
    <xf numFmtId="0" fontId="102" fillId="0" borderId="1" xfId="0" applyFont="1" applyBorder="1" applyAlignment="1">
      <alignment vertical="center" wrapText="1"/>
    </xf>
    <xf numFmtId="0" fontId="170" fillId="0" borderId="1" xfId="0" applyFont="1" applyBorder="1" applyAlignment="1">
      <alignment horizontal="center" vertical="center"/>
    </xf>
    <xf numFmtId="2" fontId="0" fillId="0" borderId="1" xfId="0" applyNumberFormat="1" applyBorder="1" applyAlignment="1">
      <alignment horizontal="center"/>
    </xf>
    <xf numFmtId="3" fontId="0" fillId="0" borderId="1" xfId="0" applyNumberFormat="1" applyBorder="1" applyAlignment="1">
      <alignment horizontal="center"/>
    </xf>
    <xf numFmtId="4" fontId="0" fillId="0" borderId="2" xfId="0" applyNumberFormat="1" applyBorder="1" applyAlignment="1">
      <alignment horizontal="center"/>
    </xf>
    <xf numFmtId="4" fontId="0" fillId="0" borderId="3" xfId="0" applyNumberFormat="1" applyBorder="1" applyAlignment="1">
      <alignment horizontal="center"/>
    </xf>
    <xf numFmtId="4" fontId="0" fillId="0" borderId="4" xfId="0" applyNumberFormat="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164" fontId="18" fillId="13" borderId="2" xfId="0" applyNumberFormat="1" applyFont="1" applyFill="1" applyBorder="1" applyAlignment="1" applyProtection="1">
      <alignment horizontal="center"/>
      <protection locked="0"/>
    </xf>
    <xf numFmtId="164" fontId="18" fillId="13" borderId="3" xfId="0" applyNumberFormat="1" applyFont="1" applyFill="1" applyBorder="1" applyAlignment="1" applyProtection="1">
      <alignment horizontal="center"/>
      <protection locked="0"/>
    </xf>
    <xf numFmtId="164" fontId="18" fillId="13" borderId="4" xfId="0" applyNumberFormat="1" applyFont="1" applyFill="1" applyBorder="1" applyAlignment="1" applyProtection="1">
      <alignment horizontal="center"/>
      <protection locked="0"/>
    </xf>
    <xf numFmtId="3" fontId="0" fillId="0" borderId="2"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2" fontId="0" fillId="0" borderId="2" xfId="0" applyNumberFormat="1" applyBorder="1" applyAlignment="1">
      <alignment horizontal="center"/>
    </xf>
    <xf numFmtId="2" fontId="0" fillId="0" borderId="3" xfId="0" applyNumberFormat="1" applyBorder="1" applyAlignment="1">
      <alignment horizontal="center"/>
    </xf>
    <xf numFmtId="2" fontId="0" fillId="0" borderId="4" xfId="0" applyNumberFormat="1" applyBorder="1" applyAlignment="1">
      <alignment horizontal="center"/>
    </xf>
    <xf numFmtId="3" fontId="18" fillId="13" borderId="2" xfId="0" applyNumberFormat="1" applyFont="1" applyFill="1" applyBorder="1" applyAlignment="1" applyProtection="1">
      <alignment horizontal="center"/>
      <protection locked="0"/>
    </xf>
    <xf numFmtId="3" fontId="18" fillId="13" borderId="3" xfId="0" applyNumberFormat="1" applyFont="1" applyFill="1" applyBorder="1" applyAlignment="1" applyProtection="1">
      <alignment horizontal="center"/>
      <protection locked="0"/>
    </xf>
    <xf numFmtId="3" fontId="18" fillId="13" borderId="4" xfId="0" applyNumberFormat="1" applyFont="1" applyFill="1" applyBorder="1" applyAlignment="1" applyProtection="1">
      <alignment horizontal="center"/>
      <protection locked="0"/>
    </xf>
    <xf numFmtId="1" fontId="18" fillId="13" borderId="2" xfId="0" applyNumberFormat="1" applyFont="1" applyFill="1" applyBorder="1" applyAlignment="1" applyProtection="1">
      <alignment horizontal="center"/>
      <protection locked="0"/>
    </xf>
    <xf numFmtId="1" fontId="18" fillId="13" borderId="3" xfId="0" applyNumberFormat="1" applyFont="1" applyFill="1" applyBorder="1" applyAlignment="1" applyProtection="1">
      <alignment horizontal="center"/>
      <protection locked="0"/>
    </xf>
    <xf numFmtId="1" fontId="18" fillId="13" borderId="4" xfId="0" applyNumberFormat="1" applyFont="1" applyFill="1" applyBorder="1" applyAlignment="1" applyProtection="1">
      <alignment horizontal="center"/>
      <protection locked="0"/>
    </xf>
    <xf numFmtId="164" fontId="0" fillId="0" borderId="1" xfId="0" applyNumberFormat="1" applyBorder="1" applyAlignment="1">
      <alignment horizontal="center"/>
    </xf>
    <xf numFmtId="0" fontId="22" fillId="0" borderId="0" xfId="0" quotePrefix="1" applyFont="1" applyAlignment="1">
      <alignment horizontal="center" vertical="center"/>
    </xf>
    <xf numFmtId="0" fontId="22" fillId="0" borderId="0" xfId="0" applyFont="1" applyAlignment="1">
      <alignment horizontal="center" vertical="center"/>
    </xf>
    <xf numFmtId="0" fontId="100" fillId="0" borderId="1" xfId="0" quotePrefix="1" applyFont="1" applyBorder="1" applyAlignment="1">
      <alignment vertical="center" wrapText="1"/>
    </xf>
    <xf numFmtId="10" fontId="92" fillId="0" borderId="1" xfId="1" applyNumberFormat="1" applyFont="1" applyBorder="1" applyAlignment="1">
      <alignment horizontal="center" vertical="center" wrapText="1"/>
    </xf>
    <xf numFmtId="0" fontId="217" fillId="0" borderId="1" xfId="0" applyFont="1" applyBorder="1" applyAlignment="1">
      <alignment horizontal="center" vertical="center" wrapText="1"/>
    </xf>
    <xf numFmtId="0" fontId="217" fillId="0" borderId="1" xfId="0" applyFont="1" applyBorder="1" applyAlignment="1">
      <alignment horizontal="center" vertical="top" wrapText="1"/>
    </xf>
    <xf numFmtId="0" fontId="216" fillId="30" borderId="1" xfId="0" applyFont="1" applyFill="1" applyBorder="1" applyAlignment="1">
      <alignment horizontal="center" vertical="center" wrapText="1"/>
    </xf>
    <xf numFmtId="0" fontId="217" fillId="0" borderId="13" xfId="0" applyFont="1" applyBorder="1" applyAlignment="1">
      <alignment horizontal="center" vertical="center" wrapText="1"/>
    </xf>
    <xf numFmtId="0" fontId="217" fillId="0" borderId="14" xfId="0" applyFont="1" applyBorder="1" applyAlignment="1">
      <alignment horizontal="center" vertical="center" wrapText="1"/>
    </xf>
    <xf numFmtId="0" fontId="217" fillId="0" borderId="15" xfId="0" applyFont="1" applyBorder="1" applyAlignment="1">
      <alignment horizontal="center" vertical="center" wrapText="1"/>
    </xf>
    <xf numFmtId="0" fontId="217" fillId="0" borderId="16" xfId="0" applyFont="1" applyBorder="1" applyAlignment="1">
      <alignment horizontal="center" vertical="center" wrapText="1"/>
    </xf>
    <xf numFmtId="0" fontId="217" fillId="0" borderId="0" xfId="0" applyFont="1" applyAlignment="1">
      <alignment horizontal="center" vertical="center" wrapText="1"/>
    </xf>
    <xf numFmtId="0" fontId="217" fillId="0" borderId="17" xfId="0" applyFont="1" applyBorder="1" applyAlignment="1">
      <alignment horizontal="center" vertical="center" wrapText="1"/>
    </xf>
    <xf numFmtId="0" fontId="217" fillId="0" borderId="18" xfId="0" applyFont="1" applyBorder="1" applyAlignment="1">
      <alignment horizontal="center" vertical="center" wrapText="1"/>
    </xf>
    <xf numFmtId="0" fontId="217" fillId="0" borderId="11" xfId="0" applyFont="1" applyBorder="1" applyAlignment="1">
      <alignment horizontal="center" vertical="center" wrapText="1"/>
    </xf>
    <xf numFmtId="0" fontId="217" fillId="0" borderId="19" xfId="0" applyFont="1" applyBorder="1" applyAlignment="1">
      <alignment horizontal="center" vertical="center" wrapText="1"/>
    </xf>
    <xf numFmtId="0" fontId="217" fillId="0" borderId="2" xfId="0" applyFont="1" applyBorder="1" applyAlignment="1">
      <alignment horizontal="center" vertical="center" wrapText="1"/>
    </xf>
    <xf numFmtId="0" fontId="217" fillId="0" borderId="3" xfId="0" applyFont="1" applyBorder="1" applyAlignment="1">
      <alignment horizontal="center" vertical="center" wrapText="1"/>
    </xf>
    <xf numFmtId="0" fontId="217" fillId="0" borderId="4" xfId="0" applyFont="1" applyBorder="1" applyAlignment="1">
      <alignment horizontal="center" vertical="center" wrapText="1"/>
    </xf>
    <xf numFmtId="2" fontId="92" fillId="0" borderId="1" xfId="0" applyNumberFormat="1" applyFont="1" applyBorder="1" applyAlignment="1">
      <alignment horizontal="center"/>
    </xf>
    <xf numFmtId="3" fontId="92" fillId="0" borderId="1" xfId="0" applyNumberFormat="1" applyFont="1" applyBorder="1" applyAlignment="1">
      <alignment horizontal="center"/>
    </xf>
    <xf numFmtId="0" fontId="0" fillId="0" borderId="66"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177" fontId="0" fillId="3" borderId="2" xfId="0" applyNumberFormat="1" applyFill="1" applyBorder="1" applyAlignment="1">
      <alignment horizontal="center" vertical="center" wrapText="1"/>
    </xf>
    <xf numFmtId="177" fontId="0" fillId="3" borderId="3" xfId="0" applyNumberFormat="1" applyFill="1" applyBorder="1" applyAlignment="1">
      <alignment horizontal="center" vertical="center" wrapText="1"/>
    </xf>
    <xf numFmtId="177" fontId="0" fillId="3" borderId="4" xfId="0" applyNumberFormat="1" applyFill="1" applyBorder="1" applyAlignment="1">
      <alignment horizontal="center" vertical="center" wrapText="1"/>
    </xf>
    <xf numFmtId="190" fontId="0" fillId="3" borderId="2" xfId="0" applyNumberFormat="1" applyFill="1" applyBorder="1" applyAlignment="1">
      <alignment horizontal="center" vertical="center" wrapText="1"/>
    </xf>
    <xf numFmtId="190" fontId="0" fillId="3" borderId="3" xfId="0" applyNumberFormat="1" applyFill="1" applyBorder="1" applyAlignment="1">
      <alignment horizontal="center" vertical="center" wrapText="1"/>
    </xf>
    <xf numFmtId="190" fontId="0" fillId="3" borderId="4" xfId="0" applyNumberFormat="1" applyFill="1" applyBorder="1" applyAlignment="1">
      <alignment horizontal="center" vertical="center" wrapText="1"/>
    </xf>
    <xf numFmtId="190" fontId="22" fillId="18" borderId="1" xfId="6" applyNumberFormat="1" applyFont="1" applyFill="1" applyBorder="1" applyAlignment="1">
      <alignment horizontal="center" vertical="center"/>
    </xf>
    <xf numFmtId="190" fontId="22" fillId="18" borderId="21" xfId="6" applyNumberFormat="1" applyFont="1" applyFill="1" applyBorder="1" applyAlignment="1">
      <alignment horizontal="center" vertical="center"/>
    </xf>
    <xf numFmtId="177" fontId="0" fillId="3" borderId="40" xfId="0" applyNumberFormat="1" applyFill="1" applyBorder="1" applyAlignment="1">
      <alignment horizontal="center" vertical="center" wrapText="1"/>
    </xf>
    <xf numFmtId="177" fontId="0" fillId="3" borderId="41" xfId="0" applyNumberFormat="1" applyFill="1" applyBorder="1" applyAlignment="1">
      <alignment horizontal="center" vertical="center" wrapText="1"/>
    </xf>
    <xf numFmtId="177" fontId="0" fillId="3" borderId="42" xfId="0" applyNumberFormat="1" applyFill="1" applyBorder="1" applyAlignment="1">
      <alignment horizontal="center" vertical="center" wrapText="1"/>
    </xf>
    <xf numFmtId="190" fontId="0" fillId="3" borderId="40" xfId="0" applyNumberFormat="1" applyFill="1" applyBorder="1" applyAlignment="1">
      <alignment horizontal="center" vertical="center" wrapText="1"/>
    </xf>
    <xf numFmtId="190" fontId="0" fillId="3" borderId="41" xfId="0" applyNumberFormat="1" applyFill="1" applyBorder="1" applyAlignment="1">
      <alignment horizontal="center" vertical="center" wrapText="1"/>
    </xf>
    <xf numFmtId="190" fontId="0" fillId="3" borderId="42" xfId="0" applyNumberFormat="1" applyFill="1" applyBorder="1" applyAlignment="1">
      <alignment horizontal="center" vertical="center" wrapText="1"/>
    </xf>
    <xf numFmtId="190" fontId="22" fillId="18" borderId="9" xfId="6" applyNumberFormat="1" applyFont="1" applyFill="1" applyBorder="1" applyAlignment="1">
      <alignment horizontal="center" vertical="center"/>
    </xf>
    <xf numFmtId="190" fontId="22" fillId="18" borderId="10" xfId="6" applyNumberFormat="1" applyFont="1" applyFill="1" applyBorder="1" applyAlignment="1">
      <alignment horizontal="center" vertical="center"/>
    </xf>
    <xf numFmtId="177" fontId="148" fillId="3" borderId="40" xfId="0" applyNumberFormat="1" applyFont="1" applyFill="1" applyBorder="1" applyAlignment="1">
      <alignment horizontal="center" vertical="center" wrapText="1"/>
    </xf>
    <xf numFmtId="177" fontId="148" fillId="3" borderId="41" xfId="0" applyNumberFormat="1" applyFont="1" applyFill="1" applyBorder="1" applyAlignment="1">
      <alignment horizontal="center" vertical="center" wrapText="1"/>
    </xf>
    <xf numFmtId="177" fontId="148" fillId="3" borderId="42" xfId="0" applyNumberFormat="1" applyFont="1" applyFill="1" applyBorder="1" applyAlignment="1">
      <alignment horizontal="center" vertical="center" wrapText="1"/>
    </xf>
    <xf numFmtId="190" fontId="148" fillId="3" borderId="40" xfId="0" applyNumberFormat="1" applyFont="1" applyFill="1" applyBorder="1" applyAlignment="1">
      <alignment horizontal="center" vertical="center" wrapText="1"/>
    </xf>
    <xf numFmtId="190" fontId="148" fillId="3" borderId="41" xfId="0" applyNumberFormat="1" applyFont="1" applyFill="1" applyBorder="1" applyAlignment="1">
      <alignment horizontal="center" vertical="center" wrapText="1"/>
    </xf>
    <xf numFmtId="190" fontId="148" fillId="3" borderId="42" xfId="0" applyNumberFormat="1" applyFont="1" applyFill="1" applyBorder="1" applyAlignment="1">
      <alignment horizontal="center" vertical="center" wrapText="1"/>
    </xf>
    <xf numFmtId="4" fontId="22" fillId="0" borderId="2" xfId="0" applyNumberFormat="1" applyFont="1" applyBorder="1" applyAlignment="1">
      <alignment horizontal="center"/>
    </xf>
    <xf numFmtId="4" fontId="22" fillId="0" borderId="3" xfId="0" applyNumberFormat="1" applyFont="1" applyBorder="1" applyAlignment="1">
      <alignment horizontal="center"/>
    </xf>
    <xf numFmtId="4" fontId="22" fillId="0" borderId="4" xfId="0" applyNumberFormat="1" applyFont="1" applyBorder="1" applyAlignment="1">
      <alignment horizontal="center"/>
    </xf>
    <xf numFmtId="3" fontId="22" fillId="0" borderId="3" xfId="0" applyNumberFormat="1" applyFont="1" applyBorder="1" applyAlignment="1">
      <alignment horizontal="center"/>
    </xf>
    <xf numFmtId="3" fontId="22" fillId="0" borderId="4" xfId="0" applyNumberFormat="1" applyFont="1" applyBorder="1" applyAlignment="1">
      <alignment horizontal="center"/>
    </xf>
    <xf numFmtId="0" fontId="22" fillId="0" borderId="2" xfId="0" applyFont="1" applyBorder="1" applyAlignment="1">
      <alignment horizontal="center"/>
    </xf>
    <xf numFmtId="0" fontId="0" fillId="0" borderId="0" xfId="0" quotePrefix="1" applyAlignment="1">
      <alignment horizontal="left" vertical="top" wrapText="1"/>
    </xf>
    <xf numFmtId="0" fontId="22" fillId="0" borderId="20" xfId="0" applyFont="1" applyBorder="1" applyAlignment="1">
      <alignment horizontal="center" vertical="center"/>
    </xf>
    <xf numFmtId="178" fontId="22" fillId="3" borderId="13" xfId="0" applyNumberFormat="1" applyFont="1" applyFill="1" applyBorder="1" applyAlignment="1">
      <alignment horizontal="center" vertical="center"/>
    </xf>
    <xf numFmtId="178" fontId="22" fillId="3" borderId="14" xfId="0" applyNumberFormat="1" applyFont="1" applyFill="1" applyBorder="1" applyAlignment="1">
      <alignment horizontal="center" vertical="center"/>
    </xf>
    <xf numFmtId="178" fontId="22" fillId="3" borderId="15" xfId="0" applyNumberFormat="1" applyFont="1" applyFill="1" applyBorder="1" applyAlignment="1">
      <alignment horizontal="center" vertical="center"/>
    </xf>
    <xf numFmtId="190" fontId="22" fillId="18" borderId="14" xfId="0" applyNumberFormat="1" applyFont="1" applyFill="1" applyBorder="1" applyAlignment="1">
      <alignment horizontal="center" vertical="center"/>
    </xf>
    <xf numFmtId="190" fontId="22" fillId="18" borderId="26" xfId="0" applyNumberFormat="1" applyFont="1" applyFill="1" applyBorder="1" applyAlignment="1">
      <alignment horizontal="center" vertical="center"/>
    </xf>
    <xf numFmtId="0" fontId="22" fillId="0" borderId="8" xfId="0" applyFont="1" applyBorder="1" applyAlignment="1">
      <alignment horizontal="center" vertical="center"/>
    </xf>
    <xf numFmtId="178" fontId="22" fillId="3" borderId="40" xfId="0" applyNumberFormat="1" applyFont="1" applyFill="1" applyBorder="1" applyAlignment="1">
      <alignment horizontal="center" vertical="center"/>
    </xf>
    <xf numFmtId="178" fontId="22" fillId="3" borderId="41" xfId="0" applyNumberFormat="1" applyFont="1" applyFill="1" applyBorder="1" applyAlignment="1">
      <alignment horizontal="center" vertical="center"/>
    </xf>
    <xf numFmtId="178" fontId="22" fillId="3" borderId="42" xfId="0" applyNumberFormat="1" applyFont="1" applyFill="1" applyBorder="1" applyAlignment="1">
      <alignment horizontal="center" vertical="center"/>
    </xf>
    <xf numFmtId="190" fontId="22" fillId="18" borderId="40" xfId="0" applyNumberFormat="1" applyFont="1" applyFill="1" applyBorder="1" applyAlignment="1">
      <alignment horizontal="center" vertical="center"/>
    </xf>
    <xf numFmtId="190" fontId="22" fillId="18" borderId="41" xfId="0" applyNumberFormat="1" applyFont="1" applyFill="1" applyBorder="1" applyAlignment="1">
      <alignment horizontal="center" vertical="center"/>
    </xf>
    <xf numFmtId="190" fontId="22" fillId="18" borderId="51" xfId="0" applyNumberFormat="1" applyFont="1" applyFill="1" applyBorder="1" applyAlignment="1">
      <alignment horizontal="center" vertical="center"/>
    </xf>
    <xf numFmtId="0" fontId="31" fillId="0" borderId="49" xfId="0" applyFont="1" applyBorder="1" applyAlignment="1">
      <alignment horizontal="center" vertical="center"/>
    </xf>
    <xf numFmtId="2" fontId="100" fillId="0" borderId="2" xfId="1" applyNumberFormat="1" applyFont="1" applyBorder="1" applyAlignment="1">
      <alignment horizontal="center" vertical="center" wrapText="1"/>
    </xf>
    <xf numFmtId="2" fontId="100" fillId="0" borderId="3" xfId="1" applyNumberFormat="1" applyFont="1" applyBorder="1" applyAlignment="1">
      <alignment horizontal="center" vertical="center" wrapText="1"/>
    </xf>
    <xf numFmtId="2" fontId="100" fillId="0" borderId="4" xfId="1" applyNumberFormat="1" applyFont="1" applyBorder="1" applyAlignment="1">
      <alignment horizontal="center" vertical="center" wrapText="1"/>
    </xf>
    <xf numFmtId="9" fontId="100" fillId="0" borderId="2" xfId="1" applyFont="1" applyBorder="1" applyAlignment="1">
      <alignment horizontal="center" vertical="center" wrapText="1"/>
    </xf>
    <xf numFmtId="9" fontId="100" fillId="0" borderId="3" xfId="1" applyFont="1" applyBorder="1" applyAlignment="1">
      <alignment horizontal="center" vertical="center" wrapText="1"/>
    </xf>
    <xf numFmtId="9" fontId="100" fillId="0" borderId="4" xfId="1" applyFont="1" applyBorder="1" applyAlignment="1">
      <alignment horizontal="center" vertical="center" wrapText="1"/>
    </xf>
    <xf numFmtId="0" fontId="100" fillId="0" borderId="16" xfId="0" applyFont="1" applyBorder="1" applyAlignment="1">
      <alignment horizontal="left" vertical="center" wrapText="1"/>
    </xf>
    <xf numFmtId="0" fontId="100" fillId="0" borderId="0" xfId="0" applyFont="1" applyAlignment="1">
      <alignment horizontal="left" vertical="center" wrapText="1"/>
    </xf>
    <xf numFmtId="0" fontId="100" fillId="0" borderId="17" xfId="0" applyFont="1" applyBorder="1" applyAlignment="1">
      <alignment horizontal="left" vertical="center" wrapText="1"/>
    </xf>
    <xf numFmtId="164" fontId="100" fillId="0" borderId="1" xfId="0" applyNumberFormat="1" applyFont="1" applyBorder="1" applyAlignment="1">
      <alignment horizontal="center" vertical="center" wrapText="1"/>
    </xf>
    <xf numFmtId="2" fontId="100" fillId="0" borderId="1" xfId="0" quotePrefix="1" applyNumberFormat="1" applyFont="1" applyBorder="1" applyAlignment="1">
      <alignment horizontal="center" vertical="center" wrapText="1"/>
    </xf>
    <xf numFmtId="0" fontId="31" fillId="0" borderId="0" xfId="0" applyFont="1" applyAlignment="1">
      <alignment vertical="top" wrapText="1"/>
    </xf>
    <xf numFmtId="168" fontId="100" fillId="0" borderId="1" xfId="0" applyNumberFormat="1" applyFont="1" applyBorder="1" applyAlignment="1">
      <alignment horizontal="center" vertical="center" wrapText="1"/>
    </xf>
    <xf numFmtId="0" fontId="102" fillId="0" borderId="2" xfId="0" applyFont="1" applyBorder="1" applyAlignment="1">
      <alignment horizontal="left" vertical="center" wrapText="1"/>
    </xf>
    <xf numFmtId="0" fontId="102" fillId="0" borderId="3" xfId="0" applyFont="1" applyBorder="1" applyAlignment="1">
      <alignment horizontal="left" vertical="center" wrapText="1"/>
    </xf>
    <xf numFmtId="0" fontId="102" fillId="0" borderId="4" xfId="0" applyFont="1" applyBorder="1" applyAlignment="1">
      <alignment horizontal="left" vertical="center" wrapText="1"/>
    </xf>
    <xf numFmtId="168" fontId="102" fillId="0" borderId="1" xfId="0" applyNumberFormat="1" applyFont="1" applyBorder="1" applyAlignment="1">
      <alignment horizontal="center" vertical="center" wrapText="1"/>
    </xf>
    <xf numFmtId="0" fontId="22" fillId="0" borderId="0" xfId="0" quotePrefix="1" applyFont="1" applyAlignment="1">
      <alignment vertical="center"/>
    </xf>
    <xf numFmtId="0" fontId="100" fillId="0" borderId="13" xfId="0" applyFont="1" applyBorder="1" applyAlignment="1">
      <alignment vertical="center" wrapText="1"/>
    </xf>
    <xf numFmtId="0" fontId="100" fillId="0" borderId="14" xfId="0" applyFont="1" applyBorder="1" applyAlignment="1">
      <alignment vertical="center" wrapText="1"/>
    </xf>
    <xf numFmtId="0" fontId="100" fillId="0" borderId="15" xfId="0" applyFont="1" applyBorder="1" applyAlignment="1">
      <alignment vertical="center" wrapText="1"/>
    </xf>
    <xf numFmtId="0" fontId="100" fillId="0" borderId="18" xfId="0" applyFont="1" applyBorder="1" applyAlignment="1">
      <alignment vertical="center" wrapText="1"/>
    </xf>
    <xf numFmtId="0" fontId="100" fillId="0" borderId="11" xfId="0" applyFont="1" applyBorder="1" applyAlignment="1">
      <alignment vertical="center" wrapText="1"/>
    </xf>
    <xf numFmtId="0" fontId="100" fillId="0" borderId="19" xfId="0" applyFont="1" applyBorder="1" applyAlignment="1">
      <alignment vertical="center" wrapText="1"/>
    </xf>
    <xf numFmtId="0" fontId="92" fillId="0" borderId="16" xfId="0" applyFont="1" applyBorder="1" applyAlignment="1">
      <alignment horizontal="left" vertical="center"/>
    </xf>
    <xf numFmtId="0" fontId="92" fillId="0" borderId="0" xfId="0" applyFont="1" applyAlignment="1">
      <alignment horizontal="left" vertical="center"/>
    </xf>
    <xf numFmtId="0" fontId="92" fillId="0" borderId="17" xfId="0" applyFont="1" applyBorder="1" applyAlignment="1">
      <alignment horizontal="left" vertical="center"/>
    </xf>
    <xf numFmtId="0" fontId="92" fillId="0" borderId="16" xfId="0" applyFont="1" applyBorder="1" applyAlignment="1">
      <alignment vertical="center" wrapText="1"/>
    </xf>
    <xf numFmtId="0" fontId="92" fillId="0" borderId="0" xfId="0" applyFont="1" applyAlignment="1">
      <alignment vertical="center" wrapText="1"/>
    </xf>
    <xf numFmtId="0" fontId="92" fillId="0" borderId="17" xfId="0" applyFont="1" applyBorder="1" applyAlignment="1">
      <alignment vertical="center" wrapText="1"/>
    </xf>
    <xf numFmtId="177" fontId="22" fillId="3" borderId="1" xfId="6" applyNumberFormat="1" applyFont="1" applyFill="1" applyBorder="1" applyAlignment="1">
      <alignment horizontal="center" vertical="center"/>
    </xf>
    <xf numFmtId="0" fontId="213" fillId="0" borderId="0" xfId="0" applyFont="1" applyAlignment="1">
      <alignment vertical="top" wrapText="1"/>
    </xf>
    <xf numFmtId="177" fontId="22" fillId="3" borderId="9" xfId="6" applyNumberFormat="1" applyFont="1" applyFill="1" applyBorder="1" applyAlignment="1">
      <alignment horizontal="center" vertical="center"/>
    </xf>
    <xf numFmtId="0" fontId="0" fillId="0" borderId="0" xfId="0" quotePrefix="1" applyAlignment="1">
      <alignment horizontal="left" vertical="center" wrapText="1"/>
    </xf>
    <xf numFmtId="168" fontId="92" fillId="0" borderId="2" xfId="1" applyNumberFormat="1" applyFont="1" applyBorder="1" applyAlignment="1">
      <alignment horizontal="center" vertical="center" wrapText="1"/>
    </xf>
    <xf numFmtId="168" fontId="92" fillId="0" borderId="3" xfId="1" applyNumberFormat="1" applyFont="1" applyBorder="1" applyAlignment="1">
      <alignment horizontal="center" vertical="center" wrapText="1"/>
    </xf>
    <xf numFmtId="168" fontId="92" fillId="0" borderId="4" xfId="1" applyNumberFormat="1" applyFont="1" applyBorder="1" applyAlignment="1">
      <alignment horizontal="center" vertical="center" wrapText="1"/>
    </xf>
    <xf numFmtId="9" fontId="92" fillId="0" borderId="2" xfId="2" applyNumberFormat="1" applyFont="1" applyBorder="1" applyAlignment="1">
      <alignment horizontal="center" vertical="center"/>
    </xf>
    <xf numFmtId="9" fontId="92" fillId="0" borderId="3" xfId="2" applyNumberFormat="1" applyFont="1" applyBorder="1" applyAlignment="1">
      <alignment horizontal="center" vertical="center"/>
    </xf>
    <xf numFmtId="9" fontId="92" fillId="0" borderId="4" xfId="2" applyNumberFormat="1" applyFont="1" applyBorder="1" applyAlignment="1">
      <alignment horizontal="center" vertical="center"/>
    </xf>
    <xf numFmtId="0" fontId="93" fillId="0" borderId="1" xfId="0" applyFont="1" applyBorder="1" applyAlignment="1">
      <alignment vertical="center" wrapText="1"/>
    </xf>
    <xf numFmtId="1" fontId="92" fillId="0" borderId="2" xfId="2" applyNumberFormat="1" applyFont="1" applyBorder="1" applyAlignment="1">
      <alignment horizontal="center" vertical="center"/>
    </xf>
    <xf numFmtId="1" fontId="92" fillId="0" borderId="3" xfId="2" applyNumberFormat="1" applyFont="1" applyBorder="1" applyAlignment="1">
      <alignment horizontal="center" vertical="center"/>
    </xf>
    <xf numFmtId="1" fontId="92" fillId="0" borderId="4" xfId="2" applyNumberFormat="1" applyFont="1" applyBorder="1" applyAlignment="1">
      <alignment horizontal="center" vertical="center"/>
    </xf>
    <xf numFmtId="177" fontId="0" fillId="3" borderId="9" xfId="0" applyNumberFormat="1" applyFill="1" applyBorder="1" applyAlignment="1">
      <alignment horizontal="center"/>
    </xf>
    <xf numFmtId="178" fontId="0" fillId="3" borderId="9" xfId="0" applyNumberFormat="1" applyFill="1" applyBorder="1" applyAlignment="1">
      <alignment horizontal="center"/>
    </xf>
    <xf numFmtId="178" fontId="0" fillId="3" borderId="40" xfId="0" applyNumberFormat="1" applyFill="1" applyBorder="1" applyAlignment="1">
      <alignment horizontal="center"/>
    </xf>
    <xf numFmtId="178" fontId="0" fillId="18" borderId="9" xfId="0" applyNumberFormat="1" applyFill="1" applyBorder="1" applyAlignment="1">
      <alignment horizontal="center"/>
    </xf>
    <xf numFmtId="178" fontId="0" fillId="18" borderId="10" xfId="0" applyNumberFormat="1" applyFill="1" applyBorder="1" applyAlignment="1">
      <alignment horizontal="center"/>
    </xf>
    <xf numFmtId="2" fontId="92" fillId="0" borderId="1" xfId="1" applyNumberFormat="1" applyFont="1" applyBorder="1" applyAlignment="1">
      <alignment horizontal="center" vertical="center" wrapText="1"/>
    </xf>
    <xf numFmtId="0" fontId="3" fillId="0" borderId="0" xfId="0" applyFont="1" applyAlignment="1">
      <alignment horizontal="right"/>
    </xf>
    <xf numFmtId="0" fontId="0" fillId="0" borderId="0" xfId="0" quotePrefix="1" applyAlignment="1">
      <alignment horizontal="left"/>
    </xf>
    <xf numFmtId="0" fontId="100" fillId="0" borderId="0" xfId="10" applyFont="1" applyAlignment="1">
      <alignment horizontal="right" vertical="center"/>
    </xf>
    <xf numFmtId="0" fontId="3" fillId="0" borderId="6" xfId="10" applyFont="1" applyBorder="1" applyAlignment="1">
      <alignment horizontal="center" vertical="center"/>
    </xf>
    <xf numFmtId="0" fontId="3" fillId="0" borderId="7" xfId="10" applyFont="1" applyBorder="1" applyAlignment="1">
      <alignment horizontal="center" vertical="center"/>
    </xf>
    <xf numFmtId="164" fontId="100" fillId="0" borderId="2" xfId="10" applyNumberFormat="1" applyFont="1" applyBorder="1" applyAlignment="1">
      <alignment horizontal="center" vertical="center"/>
    </xf>
    <xf numFmtId="164" fontId="100" fillId="0" borderId="3" xfId="10" applyNumberFormat="1" applyFont="1" applyBorder="1" applyAlignment="1">
      <alignment horizontal="center" vertical="center"/>
    </xf>
    <xf numFmtId="164" fontId="100" fillId="0" borderId="4" xfId="10" applyNumberFormat="1" applyFont="1" applyBorder="1" applyAlignment="1">
      <alignment horizontal="center" vertical="center"/>
    </xf>
    <xf numFmtId="0" fontId="100" fillId="0" borderId="2" xfId="10" applyFont="1" applyBorder="1" applyAlignment="1">
      <alignment horizontal="center" vertical="center"/>
    </xf>
    <xf numFmtId="0" fontId="100" fillId="0" borderId="3" xfId="10" applyFont="1" applyBorder="1" applyAlignment="1">
      <alignment horizontal="center" vertical="center"/>
    </xf>
    <xf numFmtId="0" fontId="100" fillId="0" borderId="4" xfId="10" applyFont="1" applyBorder="1" applyAlignment="1">
      <alignment horizontal="center" vertical="center"/>
    </xf>
    <xf numFmtId="0" fontId="92" fillId="0" borderId="2" xfId="10" applyFont="1" applyBorder="1" applyAlignment="1">
      <alignment horizontal="left" vertical="center" wrapText="1"/>
    </xf>
    <xf numFmtId="0" fontId="92" fillId="0" borderId="3" xfId="10" applyFont="1" applyBorder="1" applyAlignment="1">
      <alignment horizontal="left" vertical="center" wrapText="1"/>
    </xf>
    <xf numFmtId="0" fontId="92" fillId="0" borderId="4" xfId="10" applyFont="1" applyBorder="1" applyAlignment="1">
      <alignment horizontal="left" vertical="center" wrapText="1"/>
    </xf>
    <xf numFmtId="0" fontId="3" fillId="4" borderId="2" xfId="10" applyFont="1" applyFill="1" applyBorder="1" applyAlignment="1">
      <alignment horizontal="left" vertical="center"/>
    </xf>
    <xf numFmtId="0" fontId="3" fillId="4" borderId="3" xfId="10" applyFont="1" applyFill="1" applyBorder="1" applyAlignment="1">
      <alignment horizontal="left" vertical="center"/>
    </xf>
    <xf numFmtId="0" fontId="3" fillId="4" borderId="4" xfId="10" applyFont="1" applyFill="1" applyBorder="1" applyAlignment="1">
      <alignment horizontal="left" vertical="center"/>
    </xf>
    <xf numFmtId="0" fontId="64" fillId="20" borderId="1" xfId="10" applyFont="1" applyFill="1" applyBorder="1" applyAlignment="1">
      <alignment horizontal="left" vertical="center"/>
    </xf>
    <xf numFmtId="0" fontId="22" fillId="0" borderId="0" xfId="10" applyFont="1" applyAlignment="1">
      <alignment vertical="center" wrapText="1"/>
    </xf>
    <xf numFmtId="0" fontId="3" fillId="4" borderId="1" xfId="10" applyFont="1" applyFill="1" applyBorder="1" applyAlignment="1">
      <alignment horizontal="left" vertical="center"/>
    </xf>
    <xf numFmtId="0" fontId="3" fillId="0" borderId="1" xfId="10" applyFont="1" applyBorder="1" applyAlignment="1">
      <alignment horizontal="center" vertical="center"/>
    </xf>
    <xf numFmtId="0" fontId="3" fillId="0" borderId="2" xfId="10" applyFont="1" applyBorder="1" applyAlignment="1">
      <alignment horizontal="center" vertical="center"/>
    </xf>
    <xf numFmtId="0" fontId="3" fillId="0" borderId="3" xfId="10" applyFont="1" applyBorder="1" applyAlignment="1">
      <alignment horizontal="center" vertical="center"/>
    </xf>
    <xf numFmtId="0" fontId="3" fillId="0" borderId="4" xfId="10" applyFont="1" applyBorder="1" applyAlignment="1">
      <alignment horizontal="center" vertical="center"/>
    </xf>
    <xf numFmtId="4" fontId="100" fillId="0" borderId="2" xfId="7" applyNumberFormat="1" applyFont="1" applyBorder="1" applyAlignment="1">
      <alignment horizontal="center" vertical="center"/>
    </xf>
    <xf numFmtId="4" fontId="100" fillId="0" borderId="3" xfId="7" applyNumberFormat="1" applyFont="1" applyBorder="1" applyAlignment="1">
      <alignment horizontal="center" vertical="center"/>
    </xf>
    <xf numFmtId="4" fontId="100" fillId="0" borderId="4" xfId="7" applyNumberFormat="1" applyFont="1" applyBorder="1" applyAlignment="1">
      <alignment horizontal="center" vertical="center"/>
    </xf>
    <xf numFmtId="0" fontId="92" fillId="0" borderId="2" xfId="10" applyFont="1" applyBorder="1" applyAlignment="1">
      <alignment vertical="center"/>
    </xf>
    <xf numFmtId="0" fontId="91" fillId="0" borderId="3" xfId="10" applyFont="1" applyBorder="1" applyAlignment="1">
      <alignment vertical="center"/>
    </xf>
    <xf numFmtId="0" fontId="91" fillId="0" borderId="4" xfId="10" applyFont="1" applyBorder="1" applyAlignment="1">
      <alignment vertical="center"/>
    </xf>
    <xf numFmtId="0" fontId="91" fillId="0" borderId="3" xfId="10" applyFont="1" applyBorder="1" applyAlignment="1">
      <alignment horizontal="left" vertical="center" wrapText="1"/>
    </xf>
    <xf numFmtId="0" fontId="91" fillId="0" borderId="4" xfId="10" applyFont="1" applyBorder="1" applyAlignment="1">
      <alignment horizontal="left" vertical="center" wrapText="1"/>
    </xf>
    <xf numFmtId="3" fontId="100" fillId="0" borderId="2" xfId="10" applyNumberFormat="1" applyFont="1" applyBorder="1" applyAlignment="1">
      <alignment horizontal="center" vertical="center"/>
    </xf>
    <xf numFmtId="3" fontId="100" fillId="0" borderId="3" xfId="10" applyNumberFormat="1" applyFont="1" applyBorder="1" applyAlignment="1">
      <alignment horizontal="center" vertical="center"/>
    </xf>
    <xf numFmtId="3" fontId="100" fillId="0" borderId="4" xfId="10" applyNumberFormat="1" applyFont="1" applyBorder="1" applyAlignment="1">
      <alignment horizontal="center" vertical="center"/>
    </xf>
    <xf numFmtId="0" fontId="100" fillId="0" borderId="2" xfId="10" applyFont="1" applyBorder="1" applyAlignment="1">
      <alignment vertical="center" wrapText="1"/>
    </xf>
    <xf numFmtId="0" fontId="100" fillId="0" borderId="3" xfId="10" applyFont="1" applyBorder="1" applyAlignment="1">
      <alignment vertical="center" wrapText="1"/>
    </xf>
    <xf numFmtId="0" fontId="100" fillId="0" borderId="4" xfId="10" applyFont="1" applyBorder="1" applyAlignment="1">
      <alignment vertical="center" wrapText="1"/>
    </xf>
    <xf numFmtId="0" fontId="100" fillId="0" borderId="2" xfId="10" applyFont="1" applyBorder="1" applyAlignment="1">
      <alignment vertical="center"/>
    </xf>
    <xf numFmtId="0" fontId="100" fillId="0" borderId="3" xfId="10" applyFont="1" applyBorder="1" applyAlignment="1">
      <alignment vertical="center"/>
    </xf>
    <xf numFmtId="0" fontId="100" fillId="0" borderId="4" xfId="10" applyFont="1" applyBorder="1" applyAlignment="1">
      <alignment vertical="center"/>
    </xf>
    <xf numFmtId="3" fontId="100" fillId="0" borderId="4" xfId="10" applyNumberFormat="1" applyFont="1" applyBorder="1" applyAlignment="1">
      <alignment horizontal="left" vertical="center"/>
    </xf>
    <xf numFmtId="3" fontId="100" fillId="0" borderId="1" xfId="10" applyNumberFormat="1" applyFont="1" applyBorder="1" applyAlignment="1">
      <alignment horizontal="left" vertical="center"/>
    </xf>
    <xf numFmtId="0" fontId="51" fillId="0" borderId="1" xfId="10" applyFont="1" applyBorder="1" applyAlignment="1">
      <alignment horizontal="center" vertical="center"/>
    </xf>
    <xf numFmtId="0" fontId="102" fillId="0" borderId="1" xfId="10" applyFont="1" applyBorder="1" applyAlignment="1">
      <alignment horizontal="center"/>
    </xf>
    <xf numFmtId="0" fontId="102" fillId="0" borderId="2" xfId="10" applyFont="1" applyBorder="1" applyAlignment="1">
      <alignment horizontal="center"/>
    </xf>
    <xf numFmtId="187" fontId="100" fillId="0" borderId="1" xfId="10" applyNumberFormat="1" applyFont="1" applyBorder="1" applyAlignment="1">
      <alignment horizontal="center" vertical="center"/>
    </xf>
    <xf numFmtId="4" fontId="100" fillId="0" borderId="1" xfId="10" applyNumberFormat="1" applyFont="1" applyBorder="1" applyAlignment="1">
      <alignment horizontal="center" vertical="center"/>
    </xf>
    <xf numFmtId="0" fontId="3" fillId="0" borderId="50" xfId="10" applyFont="1" applyBorder="1" applyAlignment="1">
      <alignment horizontal="center" vertical="center"/>
    </xf>
    <xf numFmtId="0" fontId="22" fillId="0" borderId="8" xfId="10" applyFont="1" applyBorder="1" applyAlignment="1">
      <alignment horizontal="center" vertical="center"/>
    </xf>
    <xf numFmtId="0" fontId="22" fillId="0" borderId="9" xfId="10" applyFont="1" applyBorder="1" applyAlignment="1">
      <alignment horizontal="center" vertical="center"/>
    </xf>
    <xf numFmtId="177" fontId="22" fillId="3" borderId="9" xfId="10" applyNumberFormat="1" applyFont="1" applyFill="1" applyBorder="1" applyAlignment="1">
      <alignment horizontal="center" vertical="center"/>
    </xf>
    <xf numFmtId="178" fontId="22" fillId="3" borderId="9" xfId="10" applyNumberFormat="1" applyFont="1" applyFill="1" applyBorder="1" applyAlignment="1">
      <alignment horizontal="center" vertical="center"/>
    </xf>
    <xf numFmtId="178" fontId="22" fillId="3" borderId="40" xfId="10" applyNumberFormat="1" applyFont="1" applyFill="1" applyBorder="1" applyAlignment="1">
      <alignment horizontal="center" vertical="center"/>
    </xf>
    <xf numFmtId="0" fontId="3" fillId="0" borderId="5" xfId="10" applyFont="1" applyBorder="1" applyAlignment="1">
      <alignment horizontal="center" vertical="center"/>
    </xf>
    <xf numFmtId="0" fontId="0" fillId="0" borderId="0" xfId="0" quotePrefix="1" applyAlignment="1">
      <alignment vertical="center"/>
    </xf>
    <xf numFmtId="177" fontId="22" fillId="3" borderId="71" xfId="6" applyNumberFormat="1" applyFont="1" applyFill="1" applyBorder="1" applyAlignment="1">
      <alignment horizontal="center" vertical="center"/>
    </xf>
    <xf numFmtId="0" fontId="91" fillId="0" borderId="2" xfId="1" applyNumberFormat="1" applyFont="1" applyBorder="1" applyAlignment="1">
      <alignment horizontal="center" vertical="center"/>
    </xf>
    <xf numFmtId="0" fontId="91" fillId="0" borderId="3" xfId="1" applyNumberFormat="1" applyFont="1" applyBorder="1" applyAlignment="1">
      <alignment horizontal="center" vertical="center"/>
    </xf>
    <xf numFmtId="0" fontId="91" fillId="0" borderId="4" xfId="1" applyNumberFormat="1" applyFont="1" applyBorder="1" applyAlignment="1">
      <alignment horizontal="center" vertical="center"/>
    </xf>
    <xf numFmtId="4" fontId="92" fillId="0" borderId="1" xfId="0" applyNumberFormat="1" applyFont="1" applyBorder="1" applyAlignment="1">
      <alignment horizontal="center" vertical="center"/>
    </xf>
    <xf numFmtId="0" fontId="92" fillId="0" borderId="13" xfId="0" quotePrefix="1" applyFont="1" applyBorder="1" applyAlignment="1">
      <alignment horizontal="center" vertical="center"/>
    </xf>
    <xf numFmtId="0" fontId="92" fillId="0" borderId="14" xfId="0" quotePrefix="1" applyFont="1" applyBorder="1" applyAlignment="1">
      <alignment horizontal="center" vertical="center"/>
    </xf>
    <xf numFmtId="0" fontId="92" fillId="0" borderId="15" xfId="0" quotePrefix="1" applyFont="1" applyBorder="1" applyAlignment="1">
      <alignment horizontal="center" vertical="center"/>
    </xf>
    <xf numFmtId="0" fontId="92" fillId="0" borderId="18" xfId="0" quotePrefix="1" applyFont="1" applyBorder="1" applyAlignment="1">
      <alignment horizontal="center" vertical="center"/>
    </xf>
    <xf numFmtId="0" fontId="92" fillId="0" borderId="11" xfId="0" quotePrefix="1" applyFont="1" applyBorder="1" applyAlignment="1">
      <alignment horizontal="center" vertical="center"/>
    </xf>
    <xf numFmtId="0" fontId="92" fillId="0" borderId="19" xfId="0" quotePrefix="1" applyFont="1" applyBorder="1" applyAlignment="1">
      <alignment horizontal="center" vertical="center"/>
    </xf>
    <xf numFmtId="0" fontId="94" fillId="0" borderId="1" xfId="0" applyFont="1" applyBorder="1" applyAlignment="1">
      <alignment horizontal="center" vertical="center"/>
    </xf>
    <xf numFmtId="0" fontId="91" fillId="0" borderId="2" xfId="0" applyFont="1" applyBorder="1" applyAlignment="1">
      <alignment horizontal="center" vertical="top" wrapText="1"/>
    </xf>
    <xf numFmtId="0" fontId="91" fillId="0" borderId="3" xfId="0" applyFont="1" applyBorder="1" applyAlignment="1">
      <alignment horizontal="center" vertical="top" wrapText="1"/>
    </xf>
    <xf numFmtId="0" fontId="91" fillId="0" borderId="4" xfId="0" applyFont="1" applyBorder="1" applyAlignment="1">
      <alignment horizontal="center" vertical="top" wrapText="1"/>
    </xf>
    <xf numFmtId="0" fontId="91" fillId="0" borderId="1" xfId="0" applyFont="1" applyBorder="1" applyAlignment="1">
      <alignment horizontal="center" vertical="top" wrapText="1"/>
    </xf>
    <xf numFmtId="0" fontId="92" fillId="0" borderId="2" xfId="0" applyFont="1" applyBorder="1" applyAlignment="1">
      <alignment horizontal="center" vertical="top"/>
    </xf>
    <xf numFmtId="0" fontId="92" fillId="0" borderId="3" xfId="0" applyFont="1" applyBorder="1" applyAlignment="1">
      <alignment horizontal="center" vertical="top"/>
    </xf>
    <xf numFmtId="0" fontId="92" fillId="0" borderId="4" xfId="0" applyFont="1" applyBorder="1" applyAlignment="1">
      <alignment horizontal="center" vertical="top"/>
    </xf>
    <xf numFmtId="167" fontId="92" fillId="0" borderId="1" xfId="0" applyNumberFormat="1" applyFont="1" applyBorder="1" applyAlignment="1">
      <alignment horizontal="center" vertical="top"/>
    </xf>
    <xf numFmtId="0" fontId="91" fillId="0" borderId="1" xfId="0" applyFont="1" applyBorder="1" applyAlignment="1">
      <alignment horizontal="center" vertical="top"/>
    </xf>
    <xf numFmtId="0" fontId="92" fillId="0" borderId="1" xfId="0" applyFont="1" applyBorder="1" applyAlignment="1">
      <alignment horizontal="center" vertical="top"/>
    </xf>
    <xf numFmtId="0" fontId="9" fillId="0" borderId="0" xfId="0" applyFont="1" applyAlignment="1">
      <alignment vertical="top" wrapText="1"/>
    </xf>
    <xf numFmtId="2" fontId="92" fillId="0" borderId="1" xfId="0" applyNumberFormat="1" applyFont="1" applyBorder="1" applyAlignment="1">
      <alignment horizontal="center" vertical="top"/>
    </xf>
    <xf numFmtId="0" fontId="92" fillId="0" borderId="1" xfId="0" applyFont="1" applyBorder="1" applyAlignment="1">
      <alignment horizontal="center" vertical="top" wrapText="1"/>
    </xf>
    <xf numFmtId="0" fontId="18" fillId="13" borderId="1" xfId="0" applyFont="1" applyFill="1" applyBorder="1" applyAlignment="1">
      <alignment horizontal="center"/>
    </xf>
    <xf numFmtId="2" fontId="22" fillId="0" borderId="2" xfId="0" applyNumberFormat="1" applyFont="1" applyBorder="1" applyAlignment="1">
      <alignment horizontal="center"/>
    </xf>
    <xf numFmtId="2" fontId="22" fillId="0" borderId="3" xfId="0" applyNumberFormat="1" applyFont="1" applyBorder="1" applyAlignment="1">
      <alignment horizontal="center"/>
    </xf>
    <xf numFmtId="2" fontId="22" fillId="0" borderId="4" xfId="0" applyNumberFormat="1" applyFont="1" applyBorder="1" applyAlignment="1">
      <alignment horizont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0" fontId="148" fillId="0" borderId="43" xfId="0" applyFont="1" applyBorder="1" applyAlignment="1">
      <alignment horizontal="center" vertical="center" wrapText="1"/>
    </xf>
    <xf numFmtId="0" fontId="148" fillId="0" borderId="41" xfId="0" applyFont="1" applyBorder="1" applyAlignment="1">
      <alignment horizontal="center" vertical="center" wrapText="1"/>
    </xf>
    <xf numFmtId="0" fontId="148" fillId="0" borderId="42" xfId="0" applyFont="1" applyBorder="1" applyAlignment="1">
      <alignment horizontal="center" vertical="center" wrapText="1"/>
    </xf>
    <xf numFmtId="208" fontId="148" fillId="3" borderId="9" xfId="6" applyNumberFormat="1" applyFont="1" applyFill="1" applyBorder="1" applyAlignment="1">
      <alignment horizontal="center" vertic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9" fontId="0" fillId="0" borderId="2" xfId="1" applyFont="1" applyBorder="1" applyAlignment="1">
      <alignment horizontal="center"/>
    </xf>
    <xf numFmtId="9" fontId="0" fillId="0" borderId="3" xfId="1" applyFont="1" applyBorder="1" applyAlignment="1">
      <alignment horizontal="center"/>
    </xf>
    <xf numFmtId="9" fontId="0" fillId="0" borderId="4" xfId="1" applyFont="1" applyBorder="1" applyAlignment="1">
      <alignment horizontal="center"/>
    </xf>
    <xf numFmtId="0" fontId="31" fillId="0" borderId="48" xfId="0" applyFont="1" applyBorder="1" applyAlignment="1">
      <alignment horizontal="center" vertical="center"/>
    </xf>
    <xf numFmtId="177" fontId="0" fillId="3" borderId="1" xfId="0" applyNumberFormat="1" applyFill="1" applyBorder="1" applyAlignment="1">
      <alignment horizontal="center"/>
    </xf>
    <xf numFmtId="178" fontId="0" fillId="3" borderId="1" xfId="0" applyNumberFormat="1" applyFill="1" applyBorder="1" applyAlignment="1">
      <alignment horizontal="center"/>
    </xf>
    <xf numFmtId="178" fontId="22" fillId="18" borderId="2" xfId="0" applyNumberFormat="1" applyFont="1" applyFill="1" applyBorder="1" applyAlignment="1">
      <alignment horizontal="center"/>
    </xf>
    <xf numFmtId="178" fontId="22" fillId="18" borderId="3" xfId="0" applyNumberFormat="1" applyFont="1" applyFill="1" applyBorder="1" applyAlignment="1">
      <alignment horizontal="center"/>
    </xf>
    <xf numFmtId="178" fontId="22" fillId="18" borderId="36" xfId="0" applyNumberFormat="1" applyFont="1" applyFill="1" applyBorder="1" applyAlignment="1">
      <alignment horizontal="center"/>
    </xf>
    <xf numFmtId="0" fontId="0" fillId="0" borderId="88" xfId="0" applyBorder="1" applyAlignment="1">
      <alignment horizontal="center" vertical="center"/>
    </xf>
    <xf numFmtId="0" fontId="0" fillId="0" borderId="71" xfId="0" applyBorder="1" applyAlignment="1">
      <alignment horizontal="center" vertical="center"/>
    </xf>
    <xf numFmtId="177" fontId="0" fillId="3" borderId="71" xfId="0" applyNumberFormat="1" applyFill="1" applyBorder="1" applyAlignment="1">
      <alignment horizontal="center"/>
    </xf>
    <xf numFmtId="178" fontId="0" fillId="3" borderId="71" xfId="0" applyNumberFormat="1" applyFill="1" applyBorder="1" applyAlignment="1">
      <alignment horizontal="center"/>
    </xf>
    <xf numFmtId="178" fontId="0" fillId="3" borderId="63" xfId="0" applyNumberFormat="1" applyFill="1" applyBorder="1" applyAlignment="1">
      <alignment horizontal="center"/>
    </xf>
    <xf numFmtId="178" fontId="22" fillId="18" borderId="40" xfId="0" applyNumberFormat="1" applyFont="1" applyFill="1" applyBorder="1" applyAlignment="1">
      <alignment horizontal="center"/>
    </xf>
    <xf numFmtId="178" fontId="22" fillId="18" borderId="41" xfId="0" applyNumberFormat="1" applyFont="1" applyFill="1" applyBorder="1" applyAlignment="1">
      <alignment horizontal="center"/>
    </xf>
    <xf numFmtId="178" fontId="22" fillId="18" borderId="51" xfId="0" applyNumberFormat="1" applyFont="1" applyFill="1" applyBorder="1" applyAlignment="1">
      <alignment horizont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4" xfId="0" applyFont="1" applyFill="1" applyBorder="1" applyAlignment="1">
      <alignment horizontal="center" vertical="center"/>
    </xf>
    <xf numFmtId="0" fontId="148" fillId="0" borderId="8" xfId="0" applyFont="1" applyBorder="1" applyAlignment="1">
      <alignment horizontal="left" vertical="center" wrapText="1"/>
    </xf>
    <xf numFmtId="0" fontId="148" fillId="0" borderId="9" xfId="0" applyFont="1" applyBorder="1" applyAlignment="1">
      <alignment horizontal="left" vertical="center" wrapText="1"/>
    </xf>
    <xf numFmtId="208" fontId="148" fillId="18" borderId="40" xfId="0" applyNumberFormat="1" applyFont="1" applyFill="1" applyBorder="1" applyAlignment="1">
      <alignment horizontal="center" vertical="center"/>
    </xf>
    <xf numFmtId="208" fontId="148" fillId="18" borderId="41" xfId="0" applyNumberFormat="1" applyFont="1" applyFill="1" applyBorder="1" applyAlignment="1">
      <alignment horizontal="center" vertical="center"/>
    </xf>
    <xf numFmtId="208" fontId="148" fillId="18" borderId="51" xfId="0" applyNumberFormat="1" applyFont="1" applyFill="1" applyBorder="1" applyAlignment="1">
      <alignment horizontal="center" vertical="center"/>
    </xf>
    <xf numFmtId="0" fontId="22" fillId="0" borderId="0" xfId="0" applyFont="1"/>
    <xf numFmtId="178" fontId="0" fillId="3" borderId="10" xfId="0" applyNumberFormat="1" applyFill="1" applyBorder="1" applyAlignment="1">
      <alignment horizontal="center"/>
    </xf>
    <xf numFmtId="0" fontId="91" fillId="0" borderId="0" xfId="0" applyFont="1" applyAlignment="1">
      <alignment horizontal="right"/>
    </xf>
    <xf numFmtId="0" fontId="91" fillId="0" borderId="0" xfId="0" applyFont="1" applyAlignment="1">
      <alignment horizontal="right" vertical="top"/>
    </xf>
    <xf numFmtId="0" fontId="92" fillId="0" borderId="0" xfId="0" quotePrefix="1" applyFont="1" applyAlignment="1">
      <alignment horizontal="left" vertical="center" wrapText="1"/>
    </xf>
    <xf numFmtId="0" fontId="92" fillId="0" borderId="0" xfId="0" quotePrefix="1" applyFont="1" applyAlignment="1">
      <alignment horizontal="left" vertical="top" wrapText="1"/>
    </xf>
    <xf numFmtId="0" fontId="92" fillId="0" borderId="2" xfId="0" applyFont="1" applyBorder="1" applyAlignment="1">
      <alignment horizontal="left" vertical="top"/>
    </xf>
    <xf numFmtId="0" fontId="92" fillId="0" borderId="3" xfId="0" applyFont="1" applyBorder="1" applyAlignment="1">
      <alignment horizontal="left" vertical="top"/>
    </xf>
    <xf numFmtId="0" fontId="92" fillId="0" borderId="4" xfId="0" applyFont="1" applyBorder="1" applyAlignment="1">
      <alignment horizontal="left" vertical="top"/>
    </xf>
    <xf numFmtId="0" fontId="92" fillId="0" borderId="1" xfId="0" applyFont="1" applyBorder="1" applyAlignment="1">
      <alignment horizontal="left" vertical="top" wrapText="1"/>
    </xf>
    <xf numFmtId="1" fontId="92" fillId="0" borderId="1" xfId="0" applyNumberFormat="1" applyFont="1" applyBorder="1" applyAlignment="1">
      <alignment horizontal="center" vertical="top" wrapText="1"/>
    </xf>
    <xf numFmtId="164" fontId="92" fillId="0" borderId="1" xfId="0" applyNumberFormat="1" applyFont="1" applyBorder="1" applyAlignment="1">
      <alignment horizontal="center" vertical="top" wrapText="1"/>
    </xf>
    <xf numFmtId="3" fontId="92" fillId="0" borderId="1" xfId="0" applyNumberFormat="1" applyFont="1" applyBorder="1" applyAlignment="1">
      <alignment horizontal="center" vertical="top" wrapText="1"/>
    </xf>
    <xf numFmtId="165" fontId="92" fillId="0" borderId="1" xfId="0" applyNumberFormat="1" applyFont="1" applyBorder="1" applyAlignment="1">
      <alignment horizontal="center" vertical="top" wrapText="1"/>
    </xf>
    <xf numFmtId="0" fontId="29" fillId="0" borderId="14" xfId="0" applyFont="1" applyBorder="1" applyAlignment="1">
      <alignment horizontal="left" vertical="top" wrapText="1"/>
    </xf>
    <xf numFmtId="9" fontId="92" fillId="0" borderId="1" xfId="0" applyNumberFormat="1" applyFont="1" applyBorder="1" applyAlignment="1">
      <alignment horizontal="center" vertical="top" wrapText="1"/>
    </xf>
    <xf numFmtId="164" fontId="92" fillId="0" borderId="1" xfId="19" applyNumberFormat="1" applyFont="1" applyBorder="1" applyAlignment="1">
      <alignment horizontal="center" vertical="center" wrapText="1"/>
    </xf>
    <xf numFmtId="0" fontId="15" fillId="0" borderId="0" xfId="4" applyAlignment="1">
      <alignment horizontal="center"/>
    </xf>
    <xf numFmtId="164" fontId="22" fillId="0" borderId="2" xfId="0" applyNumberFormat="1" applyFont="1" applyBorder="1" applyAlignment="1">
      <alignment vertical="center" wrapText="1"/>
    </xf>
    <xf numFmtId="164" fontId="22" fillId="0" borderId="3" xfId="0" applyNumberFormat="1" applyFont="1" applyBorder="1" applyAlignment="1">
      <alignment vertical="center" wrapText="1"/>
    </xf>
    <xf numFmtId="164" fontId="22" fillId="0" borderId="4" xfId="0" applyNumberFormat="1" applyFont="1" applyBorder="1" applyAlignment="1">
      <alignment vertical="center" wrapText="1"/>
    </xf>
    <xf numFmtId="0" fontId="50" fillId="0" borderId="0" xfId="0" applyFont="1" applyAlignment="1">
      <alignment vertical="top" wrapText="1"/>
    </xf>
    <xf numFmtId="0" fontId="15" fillId="0" borderId="0" xfId="4" applyFill="1"/>
    <xf numFmtId="164" fontId="100" fillId="0" borderId="2" xfId="0" applyNumberFormat="1" applyFont="1" applyBorder="1" applyAlignment="1">
      <alignment horizontal="center" vertical="center" wrapText="1"/>
    </xf>
    <xf numFmtId="164" fontId="100" fillId="0" borderId="3" xfId="0" applyNumberFormat="1" applyFont="1" applyBorder="1" applyAlignment="1">
      <alignment horizontal="center" vertical="center" wrapText="1"/>
    </xf>
    <xf numFmtId="164" fontId="100" fillId="0" borderId="4" xfId="0" applyNumberFormat="1" applyFont="1" applyBorder="1" applyAlignment="1">
      <alignment horizontal="center" vertical="center" wrapText="1"/>
    </xf>
    <xf numFmtId="164" fontId="22" fillId="0" borderId="2" xfId="0" applyNumberFormat="1" applyFont="1" applyBorder="1" applyAlignment="1">
      <alignment horizontal="right" vertical="center" wrapText="1"/>
    </xf>
    <xf numFmtId="164" fontId="22" fillId="0" borderId="3" xfId="0" applyNumberFormat="1" applyFont="1" applyBorder="1" applyAlignment="1">
      <alignment horizontal="right" vertical="center" wrapText="1"/>
    </xf>
    <xf numFmtId="0" fontId="196" fillId="0" borderId="0" xfId="0" applyFont="1" applyAlignment="1">
      <alignment vertical="center"/>
    </xf>
    <xf numFmtId="165" fontId="22" fillId="0" borderId="1" xfId="0" applyNumberFormat="1" applyFont="1" applyBorder="1" applyAlignment="1">
      <alignment horizontal="center" vertical="center" wrapText="1"/>
    </xf>
    <xf numFmtId="0" fontId="141" fillId="0" borderId="14" xfId="0" applyFont="1" applyBorder="1" applyAlignment="1">
      <alignment horizontal="left" vertical="top" wrapText="1"/>
    </xf>
    <xf numFmtId="0" fontId="100" fillId="0" borderId="1" xfId="19" applyFont="1" applyBorder="1" applyAlignment="1">
      <alignment horizontal="center" vertical="center" wrapText="1"/>
    </xf>
    <xf numFmtId="3" fontId="100" fillId="0" borderId="2" xfId="1" applyNumberFormat="1" applyFont="1" applyBorder="1" applyAlignment="1">
      <alignment horizontal="center" vertical="center" wrapText="1"/>
    </xf>
    <xf numFmtId="3" fontId="100" fillId="0" borderId="3" xfId="1" applyNumberFormat="1" applyFont="1" applyBorder="1" applyAlignment="1">
      <alignment horizontal="center" vertical="center" wrapText="1"/>
    </xf>
    <xf numFmtId="3" fontId="100" fillId="0" borderId="4" xfId="1" applyNumberFormat="1" applyFont="1" applyBorder="1" applyAlignment="1">
      <alignment horizontal="center" vertical="center" wrapText="1"/>
    </xf>
    <xf numFmtId="0" fontId="100" fillId="0" borderId="2" xfId="19" applyFont="1" applyBorder="1" applyAlignment="1">
      <alignment horizontal="left" vertical="center"/>
    </xf>
    <xf numFmtId="0" fontId="100" fillId="0" borderId="3" xfId="19" applyFont="1" applyBorder="1" applyAlignment="1">
      <alignment horizontal="left" vertical="center"/>
    </xf>
    <xf numFmtId="0" fontId="100" fillId="0" borderId="4" xfId="19" applyFont="1" applyBorder="1" applyAlignment="1">
      <alignment horizontal="left" vertical="center"/>
    </xf>
    <xf numFmtId="0" fontId="100" fillId="0" borderId="1" xfId="19" applyFont="1" applyBorder="1" applyAlignment="1">
      <alignment horizontal="left" vertical="center" wrapText="1"/>
    </xf>
    <xf numFmtId="0" fontId="100" fillId="0" borderId="13" xfId="19" applyFont="1" applyBorder="1" applyAlignment="1">
      <alignment horizontal="left" vertical="center"/>
    </xf>
    <xf numFmtId="0" fontId="100" fillId="0" borderId="14" xfId="19" applyFont="1" applyBorder="1" applyAlignment="1">
      <alignment horizontal="left" vertical="center"/>
    </xf>
    <xf numFmtId="0" fontId="100" fillId="0" borderId="15" xfId="19" applyFont="1" applyBorder="1" applyAlignment="1">
      <alignment horizontal="left" vertical="center"/>
    </xf>
    <xf numFmtId="0" fontId="100" fillId="0" borderId="18" xfId="19" applyFont="1" applyBorder="1" applyAlignment="1">
      <alignment horizontal="left" vertical="center"/>
    </xf>
    <xf numFmtId="0" fontId="100" fillId="0" borderId="11" xfId="19" applyFont="1" applyBorder="1" applyAlignment="1">
      <alignment horizontal="left" vertical="center"/>
    </xf>
    <xf numFmtId="0" fontId="100" fillId="0" borderId="19" xfId="19" applyFont="1" applyBorder="1" applyAlignment="1">
      <alignment horizontal="left" vertical="center"/>
    </xf>
    <xf numFmtId="0" fontId="28" fillId="0" borderId="0" xfId="19" applyFont="1" applyAlignment="1">
      <alignment vertical="top" wrapText="1"/>
    </xf>
    <xf numFmtId="0" fontId="31" fillId="0" borderId="16" xfId="0" applyFont="1" applyBorder="1" applyAlignment="1">
      <alignment horizontal="center" vertical="center" wrapText="1"/>
    </xf>
    <xf numFmtId="0" fontId="31" fillId="0" borderId="0" xfId="0" applyFont="1" applyAlignment="1">
      <alignment horizontal="center" vertical="center" wrapText="1"/>
    </xf>
    <xf numFmtId="0" fontId="31" fillId="0" borderId="17" xfId="0" applyFont="1" applyBorder="1" applyAlignment="1">
      <alignment horizontal="center" vertical="center" wrapText="1"/>
    </xf>
    <xf numFmtId="0" fontId="92" fillId="0" borderId="2" xfId="1" applyNumberFormat="1" applyFont="1" applyBorder="1" applyAlignment="1">
      <alignment horizontal="center" vertical="center" wrapText="1"/>
    </xf>
    <xf numFmtId="0" fontId="92" fillId="0" borderId="3" xfId="1" applyNumberFormat="1" applyFont="1" applyBorder="1" applyAlignment="1">
      <alignment horizontal="center" vertical="center" wrapText="1"/>
    </xf>
    <xf numFmtId="0" fontId="92" fillId="0" borderId="4" xfId="1" applyNumberFormat="1" applyFont="1" applyBorder="1" applyAlignment="1">
      <alignment horizontal="center" vertical="center" wrapText="1"/>
    </xf>
    <xf numFmtId="9" fontId="92" fillId="0" borderId="2" xfId="1" applyFont="1" applyBorder="1" applyAlignment="1">
      <alignment horizontal="center" vertical="center" wrapText="1"/>
    </xf>
    <xf numFmtId="9" fontId="92" fillId="0" borderId="3" xfId="1" applyFont="1" applyBorder="1" applyAlignment="1">
      <alignment horizontal="center" vertical="center" wrapText="1"/>
    </xf>
    <xf numFmtId="9" fontId="92" fillId="0" borderId="4" xfId="1" applyFont="1" applyBorder="1" applyAlignment="1">
      <alignment horizontal="center" vertical="center" wrapText="1"/>
    </xf>
    <xf numFmtId="0" fontId="0" fillId="0" borderId="8" xfId="0" applyBorder="1" applyAlignment="1">
      <alignment horizontal="left" vertical="center"/>
    </xf>
    <xf numFmtId="0" fontId="0" fillId="0" borderId="9" xfId="0" applyBorder="1" applyAlignment="1">
      <alignment horizontal="left" vertical="center"/>
    </xf>
    <xf numFmtId="178" fontId="0" fillId="3" borderId="40" xfId="0" applyNumberFormat="1" applyFill="1" applyBorder="1" applyAlignment="1">
      <alignment horizontal="center" vertical="center"/>
    </xf>
    <xf numFmtId="178" fontId="0" fillId="3" borderId="41" xfId="0" applyNumberFormat="1" applyFill="1" applyBorder="1" applyAlignment="1">
      <alignment horizontal="center" vertical="center"/>
    </xf>
    <xf numFmtId="178" fontId="0" fillId="3" borderId="51" xfId="0" applyNumberFormat="1" applyFill="1" applyBorder="1" applyAlignment="1">
      <alignment horizontal="center" vertical="center"/>
    </xf>
    <xf numFmtId="3" fontId="92" fillId="0" borderId="2" xfId="1" applyNumberFormat="1" applyFont="1" applyBorder="1" applyAlignment="1">
      <alignment horizontal="center" vertical="center" wrapText="1"/>
    </xf>
    <xf numFmtId="3" fontId="92" fillId="0" borderId="3" xfId="1" applyNumberFormat="1" applyFont="1" applyBorder="1" applyAlignment="1">
      <alignment horizontal="center" vertical="center" wrapText="1"/>
    </xf>
    <xf numFmtId="3" fontId="92" fillId="0" borderId="4" xfId="1" applyNumberFormat="1" applyFont="1" applyBorder="1" applyAlignment="1">
      <alignment horizontal="center" vertical="center" wrapText="1"/>
    </xf>
    <xf numFmtId="3" fontId="92" fillId="0" borderId="2" xfId="0" applyNumberFormat="1" applyFont="1" applyBorder="1" applyAlignment="1">
      <alignment horizontal="center" vertical="center" wrapText="1"/>
    </xf>
    <xf numFmtId="3" fontId="92" fillId="0" borderId="3" xfId="0" applyNumberFormat="1" applyFont="1" applyBorder="1" applyAlignment="1">
      <alignment horizontal="center" vertical="center" wrapText="1"/>
    </xf>
    <xf numFmtId="3" fontId="92" fillId="0" borderId="4" xfId="0" applyNumberFormat="1" applyFont="1" applyBorder="1" applyAlignment="1">
      <alignment horizontal="center" vertical="center" wrapText="1"/>
    </xf>
    <xf numFmtId="177" fontId="0" fillId="3" borderId="63" xfId="0" applyNumberFormat="1" applyFill="1" applyBorder="1" applyAlignment="1">
      <alignment horizontal="center"/>
    </xf>
    <xf numFmtId="177" fontId="0" fillId="3" borderId="23" xfId="0" applyNumberFormat="1" applyFill="1" applyBorder="1" applyAlignment="1">
      <alignment horizontal="center"/>
    </xf>
    <xf numFmtId="177" fontId="0" fillId="3" borderId="57" xfId="0" applyNumberFormat="1" applyFill="1" applyBorder="1" applyAlignment="1">
      <alignment horizontal="center"/>
    </xf>
    <xf numFmtId="178" fontId="0" fillId="3" borderId="23" xfId="0" applyNumberFormat="1" applyFill="1" applyBorder="1" applyAlignment="1">
      <alignment horizontal="center"/>
    </xf>
    <xf numFmtId="178" fontId="0" fillId="3" borderId="24" xfId="0" applyNumberFormat="1" applyFill="1" applyBorder="1" applyAlignment="1">
      <alignment horizontal="center"/>
    </xf>
    <xf numFmtId="0" fontId="0" fillId="0" borderId="34" xfId="0" applyBorder="1" applyAlignment="1">
      <alignment horizontal="center"/>
    </xf>
    <xf numFmtId="0" fontId="0" fillId="0" borderId="23" xfId="0" applyBorder="1" applyAlignment="1">
      <alignment horizontal="center"/>
    </xf>
    <xf numFmtId="0" fontId="0" fillId="0" borderId="57" xfId="0" applyBorder="1" applyAlignment="1">
      <alignment horizontal="center"/>
    </xf>
    <xf numFmtId="0" fontId="0" fillId="0" borderId="0" xfId="0" applyAlignment="1">
      <alignment horizontal="left" wrapText="1"/>
    </xf>
    <xf numFmtId="9" fontId="92" fillId="0" borderId="2" xfId="0" applyNumberFormat="1" applyFont="1" applyBorder="1" applyAlignment="1">
      <alignment horizontal="center" vertical="center" wrapText="1"/>
    </xf>
    <xf numFmtId="9" fontId="92" fillId="0" borderId="3" xfId="0" applyNumberFormat="1" applyFont="1" applyBorder="1" applyAlignment="1">
      <alignment horizontal="center" vertical="center" wrapText="1"/>
    </xf>
    <xf numFmtId="9" fontId="92" fillId="0" borderId="4" xfId="0" applyNumberFormat="1" applyFont="1" applyBorder="1" applyAlignment="1">
      <alignment horizontal="center" vertical="center" wrapText="1"/>
    </xf>
    <xf numFmtId="167" fontId="92" fillId="0" borderId="2" xfId="0" applyNumberFormat="1" applyFont="1" applyBorder="1" applyAlignment="1">
      <alignment horizontal="center" vertical="center" wrapText="1"/>
    </xf>
    <xf numFmtId="167" fontId="92" fillId="0" borderId="3" xfId="0" applyNumberFormat="1" applyFont="1" applyBorder="1" applyAlignment="1">
      <alignment horizontal="center" vertical="center" wrapText="1"/>
    </xf>
    <xf numFmtId="167" fontId="92" fillId="0" borderId="4" xfId="0" applyNumberFormat="1" applyFont="1" applyBorder="1" applyAlignment="1">
      <alignment horizontal="center" vertical="center" wrapText="1"/>
    </xf>
    <xf numFmtId="0" fontId="134" fillId="0" borderId="0" xfId="0" applyFont="1" applyAlignment="1">
      <alignment horizontal="right" vertical="top"/>
    </xf>
    <xf numFmtId="167" fontId="92" fillId="0" borderId="2" xfId="1" applyNumberFormat="1" applyFont="1" applyBorder="1" applyAlignment="1">
      <alignment horizontal="center" vertical="center" wrapText="1"/>
    </xf>
    <xf numFmtId="167" fontId="92" fillId="0" borderId="3" xfId="1" applyNumberFormat="1" applyFont="1" applyBorder="1" applyAlignment="1">
      <alignment horizontal="center" vertical="center" wrapText="1"/>
    </xf>
    <xf numFmtId="167" fontId="92" fillId="0" borderId="4" xfId="1" applyNumberFormat="1" applyFont="1" applyBorder="1" applyAlignment="1">
      <alignment horizontal="center" vertical="center" wrapText="1"/>
    </xf>
    <xf numFmtId="165" fontId="92" fillId="0" borderId="2" xfId="1" applyNumberFormat="1" applyFont="1" applyBorder="1" applyAlignment="1">
      <alignment horizontal="center" vertical="center" wrapText="1"/>
    </xf>
    <xf numFmtId="165" fontId="92" fillId="0" borderId="3" xfId="1" applyNumberFormat="1" applyFont="1" applyBorder="1" applyAlignment="1">
      <alignment horizontal="center" vertical="center" wrapText="1"/>
    </xf>
    <xf numFmtId="165" fontId="92" fillId="0" borderId="4" xfId="1" applyNumberFormat="1" applyFont="1" applyBorder="1" applyAlignment="1">
      <alignment horizontal="center" vertical="center" wrapText="1"/>
    </xf>
    <xf numFmtId="1" fontId="92" fillId="0" borderId="2" xfId="0" applyNumberFormat="1" applyFont="1" applyBorder="1" applyAlignment="1">
      <alignment horizontal="center" vertical="center" wrapText="1"/>
    </xf>
    <xf numFmtId="1" fontId="92" fillId="0" borderId="3" xfId="0" applyNumberFormat="1" applyFont="1" applyBorder="1" applyAlignment="1">
      <alignment horizontal="center" vertical="center" wrapText="1"/>
    </xf>
    <xf numFmtId="1" fontId="92" fillId="0" borderId="4" xfId="0" applyNumberFormat="1" applyFont="1" applyBorder="1" applyAlignment="1">
      <alignment horizontal="center" vertical="center" wrapText="1"/>
    </xf>
    <xf numFmtId="178" fontId="0" fillId="3" borderId="2" xfId="0" applyNumberFormat="1" applyFill="1" applyBorder="1" applyAlignment="1">
      <alignment horizontal="center" vertical="center"/>
    </xf>
    <xf numFmtId="208" fontId="0" fillId="18" borderId="1" xfId="0" applyNumberFormat="1" applyFill="1" applyBorder="1" applyAlignment="1">
      <alignment horizontal="center" vertical="center"/>
    </xf>
    <xf numFmtId="208" fontId="0" fillId="18" borderId="21" xfId="0" applyNumberFormat="1" applyFill="1" applyBorder="1" applyAlignment="1">
      <alignment horizontal="center" vertical="center"/>
    </xf>
    <xf numFmtId="0" fontId="0" fillId="0" borderId="88" xfId="0" applyBorder="1" applyAlignment="1">
      <alignment horizontal="center" vertical="center" wrapText="1"/>
    </xf>
    <xf numFmtId="0" fontId="0" fillId="0" borderId="71" xfId="0" applyBorder="1" applyAlignment="1">
      <alignment horizontal="center" vertical="center" wrapText="1"/>
    </xf>
    <xf numFmtId="177" fontId="0" fillId="3" borderId="71" xfId="0" applyNumberFormat="1" applyFill="1" applyBorder="1" applyAlignment="1">
      <alignment horizontal="center" vertical="center"/>
    </xf>
    <xf numFmtId="178" fontId="0" fillId="3" borderId="71" xfId="0" applyNumberFormat="1" applyFill="1" applyBorder="1" applyAlignment="1">
      <alignment horizontal="center" vertical="center"/>
    </xf>
    <xf numFmtId="178" fontId="0" fillId="3" borderId="63" xfId="0" applyNumberFormat="1" applyFill="1" applyBorder="1" applyAlignment="1">
      <alignment horizontal="center" vertical="center"/>
    </xf>
    <xf numFmtId="208" fontId="0" fillId="18" borderId="71" xfId="0" applyNumberFormat="1" applyFill="1" applyBorder="1" applyAlignment="1">
      <alignment horizontal="center" vertical="center"/>
    </xf>
    <xf numFmtId="208" fontId="0" fillId="18" borderId="62" xfId="0" applyNumberFormat="1" applyFill="1" applyBorder="1" applyAlignment="1">
      <alignment horizontal="center" vertical="center"/>
    </xf>
    <xf numFmtId="0" fontId="58" fillId="0" borderId="14" xfId="0" applyFont="1" applyBorder="1" applyAlignment="1">
      <alignment vertical="top" wrapText="1"/>
    </xf>
    <xf numFmtId="178" fontId="148" fillId="3" borderId="9" xfId="0" applyNumberFormat="1" applyFont="1" applyFill="1" applyBorder="1" applyAlignment="1">
      <alignment horizontal="center"/>
    </xf>
    <xf numFmtId="178" fontId="148" fillId="3" borderId="40" xfId="0" applyNumberFormat="1" applyFont="1" applyFill="1" applyBorder="1" applyAlignment="1">
      <alignment horizontal="center"/>
    </xf>
    <xf numFmtId="205" fontId="18" fillId="13" borderId="2" xfId="0" applyNumberFormat="1" applyFont="1" applyFill="1" applyBorder="1" applyAlignment="1" applyProtection="1">
      <alignment horizontal="center" vertical="center"/>
      <protection locked="0"/>
    </xf>
    <xf numFmtId="205" fontId="18" fillId="13" borderId="3" xfId="0" applyNumberFormat="1" applyFont="1" applyFill="1" applyBorder="1" applyAlignment="1" applyProtection="1">
      <alignment horizontal="center" vertical="center"/>
      <protection locked="0"/>
    </xf>
    <xf numFmtId="205" fontId="18" fillId="13" borderId="4" xfId="0" applyNumberFormat="1" applyFont="1" applyFill="1" applyBorder="1" applyAlignment="1" applyProtection="1">
      <alignment horizontal="center" vertical="center"/>
      <protection locked="0"/>
    </xf>
    <xf numFmtId="2" fontId="18" fillId="13" borderId="2" xfId="0" applyNumberFormat="1" applyFont="1" applyFill="1" applyBorder="1" applyAlignment="1" applyProtection="1">
      <alignment horizontal="center" vertical="center"/>
      <protection locked="0"/>
    </xf>
    <xf numFmtId="2" fontId="18" fillId="13" borderId="3" xfId="0" applyNumberFormat="1" applyFont="1" applyFill="1" applyBorder="1" applyAlignment="1" applyProtection="1">
      <alignment horizontal="center" vertical="center"/>
      <protection locked="0"/>
    </xf>
    <xf numFmtId="2" fontId="18" fillId="13" borderId="4" xfId="0" applyNumberFormat="1" applyFont="1" applyFill="1" applyBorder="1" applyAlignment="1" applyProtection="1">
      <alignment horizontal="center" vertical="center"/>
      <protection locked="0"/>
    </xf>
    <xf numFmtId="177" fontId="22" fillId="3" borderId="1" xfId="0" applyNumberFormat="1" applyFont="1" applyFill="1" applyBorder="1" applyAlignment="1">
      <alignment horizontal="center"/>
    </xf>
    <xf numFmtId="178" fontId="22" fillId="3" borderId="1" xfId="0" applyNumberFormat="1" applyFont="1" applyFill="1" applyBorder="1" applyAlignment="1">
      <alignment horizontal="center"/>
    </xf>
    <xf numFmtId="177" fontId="22" fillId="3" borderId="9" xfId="0" applyNumberFormat="1" applyFont="1" applyFill="1" applyBorder="1" applyAlignment="1">
      <alignment horizontal="center"/>
    </xf>
    <xf numFmtId="178" fontId="22" fillId="3" borderId="9" xfId="0" applyNumberFormat="1" applyFont="1" applyFill="1" applyBorder="1" applyAlignment="1">
      <alignment horizontal="center"/>
    </xf>
    <xf numFmtId="9" fontId="100" fillId="0" borderId="1" xfId="1" applyFont="1" applyBorder="1" applyAlignment="1">
      <alignment horizontal="center" vertical="center"/>
    </xf>
    <xf numFmtId="0" fontId="141" fillId="0" borderId="0" xfId="0" applyFont="1" applyAlignment="1">
      <alignment horizontal="left" vertical="top"/>
    </xf>
    <xf numFmtId="0" fontId="92" fillId="0" borderId="2" xfId="0" applyFont="1" applyBorder="1" applyAlignment="1">
      <alignment vertical="center"/>
    </xf>
    <xf numFmtId="0" fontId="92" fillId="0" borderId="3" xfId="0" applyFont="1" applyBorder="1" applyAlignment="1">
      <alignment vertical="center"/>
    </xf>
    <xf numFmtId="0" fontId="92" fillId="0" borderId="4" xfId="0" applyFont="1" applyBorder="1" applyAlignment="1">
      <alignment vertical="center"/>
    </xf>
    <xf numFmtId="0" fontId="138" fillId="0" borderId="13" xfId="0" applyFont="1" applyBorder="1" applyAlignment="1">
      <alignment vertical="center"/>
    </xf>
    <xf numFmtId="0" fontId="138" fillId="0" borderId="14" xfId="0" applyFont="1" applyBorder="1" applyAlignment="1">
      <alignment vertical="center"/>
    </xf>
    <xf numFmtId="0" fontId="138" fillId="0" borderId="15" xfId="0" applyFont="1" applyBorder="1" applyAlignment="1">
      <alignment vertical="center"/>
    </xf>
    <xf numFmtId="0" fontId="138" fillId="0" borderId="18" xfId="0" applyFont="1" applyBorder="1" applyAlignment="1">
      <alignment vertical="center"/>
    </xf>
    <xf numFmtId="0" fontId="138" fillId="0" borderId="11" xfId="0" applyFont="1" applyBorder="1" applyAlignment="1">
      <alignment vertical="center"/>
    </xf>
    <xf numFmtId="0" fontId="138" fillId="0" borderId="19" xfId="0" applyFont="1" applyBorder="1" applyAlignment="1">
      <alignment vertical="center"/>
    </xf>
    <xf numFmtId="0" fontId="92" fillId="0" borderId="2" xfId="19" applyFont="1" applyBorder="1" applyAlignment="1">
      <alignment vertical="center" wrapText="1"/>
    </xf>
    <xf numFmtId="0" fontId="92" fillId="0" borderId="3" xfId="19" applyFont="1" applyBorder="1" applyAlignment="1">
      <alignment vertical="center" wrapText="1"/>
    </xf>
    <xf numFmtId="0" fontId="92" fillId="0" borderId="4" xfId="19" applyFont="1" applyBorder="1" applyAlignment="1">
      <alignment vertical="center" wrapText="1"/>
    </xf>
    <xf numFmtId="0" fontId="100" fillId="0" borderId="13" xfId="0" applyFont="1" applyBorder="1" applyAlignment="1">
      <alignment vertical="center"/>
    </xf>
    <xf numFmtId="0" fontId="100" fillId="0" borderId="14" xfId="0" applyFont="1" applyBorder="1" applyAlignment="1">
      <alignment vertical="center"/>
    </xf>
    <xf numFmtId="0" fontId="100" fillId="0" borderId="15" xfId="0" applyFont="1" applyBorder="1" applyAlignment="1">
      <alignment vertical="center"/>
    </xf>
    <xf numFmtId="0" fontId="100" fillId="0" borderId="18" xfId="0" applyFont="1" applyBorder="1" applyAlignment="1">
      <alignment vertical="center"/>
    </xf>
    <xf numFmtId="0" fontId="100" fillId="0" borderId="11" xfId="0" applyFont="1" applyBorder="1" applyAlignment="1">
      <alignment vertical="center"/>
    </xf>
    <xf numFmtId="0" fontId="100" fillId="0" borderId="19" xfId="0" applyFont="1" applyBorder="1" applyAlignment="1">
      <alignment vertical="center"/>
    </xf>
    <xf numFmtId="203" fontId="148" fillId="18" borderId="9" xfId="6" applyNumberFormat="1" applyFont="1" applyFill="1" applyBorder="1" applyAlignment="1">
      <alignment horizontal="center" vertical="center"/>
    </xf>
    <xf numFmtId="203" fontId="148" fillId="18" borderId="10" xfId="6" applyNumberFormat="1" applyFont="1" applyFill="1" applyBorder="1" applyAlignment="1">
      <alignment horizontal="center" vertical="center"/>
    </xf>
    <xf numFmtId="206" fontId="18" fillId="13" borderId="2" xfId="0" applyNumberFormat="1" applyFont="1" applyFill="1" applyBorder="1" applyAlignment="1" applyProtection="1">
      <alignment horizontal="center" vertical="center"/>
      <protection locked="0"/>
    </xf>
    <xf numFmtId="206" fontId="18" fillId="13" borderId="3" xfId="0" applyNumberFormat="1" applyFont="1" applyFill="1" applyBorder="1" applyAlignment="1" applyProtection="1">
      <alignment horizontal="center" vertical="center"/>
      <protection locked="0"/>
    </xf>
    <xf numFmtId="206" fontId="18" fillId="13" borderId="4" xfId="0" applyNumberFormat="1" applyFont="1" applyFill="1" applyBorder="1" applyAlignment="1" applyProtection="1">
      <alignment horizontal="center" vertical="center"/>
      <protection locked="0"/>
    </xf>
    <xf numFmtId="203" fontId="22" fillId="18" borderId="1" xfId="6" applyNumberFormat="1" applyFont="1" applyFill="1" applyBorder="1" applyAlignment="1">
      <alignment horizontal="center" vertical="center"/>
    </xf>
    <xf numFmtId="203" fontId="22" fillId="18" borderId="21" xfId="6" applyNumberFormat="1" applyFont="1" applyFill="1" applyBorder="1" applyAlignment="1">
      <alignment horizontal="center" vertical="center"/>
    </xf>
    <xf numFmtId="203" fontId="22" fillId="18" borderId="9" xfId="6" applyNumberFormat="1" applyFont="1" applyFill="1" applyBorder="1" applyAlignment="1">
      <alignment horizontal="center" vertical="center"/>
    </xf>
    <xf numFmtId="203" fontId="22" fillId="18" borderId="10" xfId="6" applyNumberFormat="1" applyFont="1" applyFill="1" applyBorder="1" applyAlignment="1">
      <alignment horizontal="center" vertical="center"/>
    </xf>
    <xf numFmtId="0" fontId="100" fillId="0" borderId="2" xfId="1" applyNumberFormat="1" applyFont="1" applyBorder="1" applyAlignment="1">
      <alignment horizontal="center" vertical="center" wrapText="1"/>
    </xf>
    <xf numFmtId="0" fontId="100" fillId="0" borderId="3" xfId="1" applyNumberFormat="1" applyFont="1" applyBorder="1" applyAlignment="1">
      <alignment horizontal="center" vertical="center" wrapText="1"/>
    </xf>
    <xf numFmtId="0" fontId="100" fillId="0" borderId="4" xfId="1" applyNumberFormat="1" applyFont="1" applyBorder="1" applyAlignment="1">
      <alignment horizontal="center" vertical="center" wrapText="1"/>
    </xf>
    <xf numFmtId="0" fontId="138" fillId="0" borderId="2" xfId="0" applyFont="1" applyBorder="1" applyAlignment="1">
      <alignment horizontal="left" vertical="center"/>
    </xf>
    <xf numFmtId="4" fontId="100" fillId="0" borderId="1" xfId="19" applyNumberFormat="1" applyFont="1" applyBorder="1" applyAlignment="1">
      <alignment horizontal="center" vertical="center" wrapText="1"/>
    </xf>
    <xf numFmtId="0" fontId="100" fillId="0" borderId="13" xfId="19" applyFont="1" applyBorder="1" applyAlignment="1">
      <alignment vertical="center"/>
    </xf>
    <xf numFmtId="0" fontId="100" fillId="0" borderId="14" xfId="19" applyFont="1" applyBorder="1" applyAlignment="1">
      <alignment vertical="center"/>
    </xf>
    <xf numFmtId="0" fontId="100" fillId="0" borderId="15" xfId="19" applyFont="1" applyBorder="1" applyAlignment="1">
      <alignment vertical="center"/>
    </xf>
    <xf numFmtId="0" fontId="100" fillId="0" borderId="18" xfId="19" applyFont="1" applyBorder="1" applyAlignment="1">
      <alignment vertical="center"/>
    </xf>
    <xf numFmtId="0" fontId="100" fillId="0" borderId="11" xfId="19" applyFont="1" applyBorder="1" applyAlignment="1">
      <alignment vertical="center"/>
    </xf>
    <xf numFmtId="0" fontId="100" fillId="0" borderId="19" xfId="19" applyFont="1" applyBorder="1" applyAlignment="1">
      <alignment vertical="center"/>
    </xf>
    <xf numFmtId="0" fontId="100" fillId="0" borderId="16" xfId="0" applyFont="1" applyBorder="1" applyAlignment="1">
      <alignment vertical="center"/>
    </xf>
    <xf numFmtId="0" fontId="100" fillId="0" borderId="0" xfId="0" applyFont="1" applyAlignment="1">
      <alignment vertical="center"/>
    </xf>
    <xf numFmtId="0" fontId="100" fillId="0" borderId="17" xfId="0" applyFont="1" applyBorder="1" applyAlignment="1">
      <alignment vertical="center"/>
    </xf>
    <xf numFmtId="2" fontId="100" fillId="0" borderId="2" xfId="7" applyNumberFormat="1" applyFont="1" applyBorder="1" applyAlignment="1">
      <alignment horizontal="center" vertical="center"/>
    </xf>
    <xf numFmtId="2" fontId="100" fillId="0" borderId="3" xfId="7" applyNumberFormat="1" applyFont="1" applyBorder="1" applyAlignment="1">
      <alignment horizontal="center" vertical="center"/>
    </xf>
    <xf numFmtId="2" fontId="100" fillId="0" borderId="4" xfId="7" applyNumberFormat="1" applyFont="1" applyBorder="1" applyAlignment="1">
      <alignment horizontal="center" vertical="center"/>
    </xf>
    <xf numFmtId="0" fontId="92" fillId="0" borderId="2" xfId="10" applyFont="1" applyBorder="1" applyAlignment="1">
      <alignment horizontal="left" vertical="center"/>
    </xf>
    <xf numFmtId="0" fontId="91" fillId="0" borderId="3" xfId="10" applyFont="1" applyBorder="1" applyAlignment="1">
      <alignment horizontal="left" vertical="center"/>
    </xf>
    <xf numFmtId="0" fontId="91" fillId="0" borderId="4" xfId="10" applyFont="1" applyBorder="1" applyAlignment="1">
      <alignment horizontal="left" vertical="center"/>
    </xf>
    <xf numFmtId="0" fontId="100" fillId="0" borderId="2" xfId="10" applyFont="1" applyBorder="1" applyAlignment="1">
      <alignment horizontal="center" vertical="center" wrapText="1"/>
    </xf>
    <xf numFmtId="0" fontId="100" fillId="0" borderId="3" xfId="10" applyFont="1" applyBorder="1" applyAlignment="1">
      <alignment horizontal="center" vertical="center" wrapText="1"/>
    </xf>
    <xf numFmtId="0" fontId="100" fillId="0" borderId="4" xfId="10" applyFont="1" applyBorder="1" applyAlignment="1">
      <alignment horizontal="center" vertical="center" wrapText="1"/>
    </xf>
    <xf numFmtId="0" fontId="102" fillId="0" borderId="1" xfId="10" applyFont="1" applyBorder="1" applyAlignment="1">
      <alignment horizontal="center" vertical="center" wrapText="1"/>
    </xf>
    <xf numFmtId="0" fontId="100" fillId="0" borderId="1" xfId="10" applyFont="1" applyBorder="1" applyAlignment="1">
      <alignment horizontal="center" vertical="center"/>
    </xf>
    <xf numFmtId="2" fontId="100" fillId="0" borderId="1" xfId="10" applyNumberFormat="1" applyFont="1" applyBorder="1" applyAlignment="1">
      <alignment horizontal="center" vertical="center"/>
    </xf>
    <xf numFmtId="10" fontId="100" fillId="0" borderId="1" xfId="7" applyNumberFormat="1" applyFont="1" applyBorder="1" applyAlignment="1">
      <alignment horizontal="center" vertical="center"/>
    </xf>
    <xf numFmtId="43" fontId="100" fillId="0" borderId="1" xfId="6" applyFont="1" applyBorder="1" applyAlignment="1">
      <alignment horizontal="center" vertical="center"/>
    </xf>
    <xf numFmtId="0" fontId="175" fillId="0" borderId="1" xfId="20" applyFont="1" applyBorder="1" applyAlignment="1">
      <alignment horizontal="center" vertical="center" wrapText="1"/>
    </xf>
    <xf numFmtId="0" fontId="141" fillId="0" borderId="0" xfId="10" applyFont="1" applyAlignment="1">
      <alignment horizontal="right" vertical="top"/>
    </xf>
    <xf numFmtId="0" fontId="141" fillId="0" borderId="0" xfId="9" applyFont="1" applyAlignment="1">
      <alignment horizontal="left" vertical="top" wrapText="1"/>
    </xf>
    <xf numFmtId="0" fontId="141" fillId="0" borderId="0" xfId="9" applyFont="1" applyAlignment="1">
      <alignment horizontal="left" vertical="top"/>
    </xf>
    <xf numFmtId="0" fontId="100" fillId="16" borderId="1" xfId="10" applyFont="1" applyFill="1" applyBorder="1" applyAlignment="1">
      <alignment horizontal="center" vertical="center"/>
    </xf>
    <xf numFmtId="2" fontId="100" fillId="16" borderId="1" xfId="10" applyNumberFormat="1" applyFont="1" applyFill="1" applyBorder="1" applyAlignment="1">
      <alignment horizontal="center" vertical="center"/>
    </xf>
    <xf numFmtId="10" fontId="100" fillId="15" borderId="1" xfId="7" applyNumberFormat="1" applyFont="1" applyFill="1" applyBorder="1" applyAlignment="1">
      <alignment horizontal="center" vertical="center"/>
    </xf>
    <xf numFmtId="43" fontId="100" fillId="16" borderId="1" xfId="6" applyFont="1" applyFill="1" applyBorder="1" applyAlignment="1">
      <alignment horizontal="center" vertical="center"/>
    </xf>
    <xf numFmtId="178" fontId="148" fillId="18" borderId="9" xfId="0" applyNumberFormat="1" applyFont="1" applyFill="1" applyBorder="1" applyAlignment="1">
      <alignment horizontal="center"/>
    </xf>
    <xf numFmtId="178" fontId="148" fillId="18" borderId="10" xfId="0" applyNumberFormat="1" applyFont="1" applyFill="1" applyBorder="1" applyAlignment="1">
      <alignment horizontal="center"/>
    </xf>
    <xf numFmtId="165" fontId="0" fillId="0" borderId="2" xfId="0" applyNumberFormat="1"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178" fontId="22" fillId="3" borderId="2" xfId="0" applyNumberFormat="1" applyFont="1" applyFill="1" applyBorder="1" applyAlignment="1">
      <alignment horizontal="center"/>
    </xf>
    <xf numFmtId="178" fontId="22" fillId="18" borderId="1" xfId="0" applyNumberFormat="1" applyFont="1" applyFill="1" applyBorder="1" applyAlignment="1">
      <alignment horizontal="center"/>
    </xf>
    <xf numFmtId="178" fontId="22" fillId="18" borderId="21" xfId="0" applyNumberFormat="1" applyFont="1" applyFill="1" applyBorder="1" applyAlignment="1">
      <alignment horizontal="center"/>
    </xf>
    <xf numFmtId="177" fontId="148" fillId="3" borderId="2" xfId="0" applyNumberFormat="1" applyFont="1" applyFill="1" applyBorder="1" applyAlignment="1">
      <alignment horizontal="center"/>
    </xf>
    <xf numFmtId="177" fontId="148" fillId="3" borderId="3" xfId="0" applyNumberFormat="1" applyFont="1" applyFill="1" applyBorder="1" applyAlignment="1">
      <alignment horizontal="center"/>
    </xf>
    <xf numFmtId="177" fontId="148" fillId="3" borderId="4" xfId="0" applyNumberFormat="1" applyFont="1" applyFill="1" applyBorder="1" applyAlignment="1">
      <alignment horizontal="center"/>
    </xf>
    <xf numFmtId="178" fontId="148" fillId="3" borderId="2" xfId="0" applyNumberFormat="1" applyFont="1" applyFill="1" applyBorder="1" applyAlignment="1">
      <alignment horizontal="center"/>
    </xf>
    <xf numFmtId="178" fontId="148" fillId="3" borderId="3" xfId="0" applyNumberFormat="1" applyFont="1" applyFill="1" applyBorder="1" applyAlignment="1">
      <alignment horizontal="center"/>
    </xf>
    <xf numFmtId="178" fontId="148" fillId="3" borderId="4" xfId="0" applyNumberFormat="1" applyFont="1" applyFill="1" applyBorder="1" applyAlignment="1">
      <alignment horizontal="center"/>
    </xf>
    <xf numFmtId="177" fontId="148" fillId="3" borderId="40" xfId="0" applyNumberFormat="1" applyFont="1" applyFill="1" applyBorder="1" applyAlignment="1">
      <alignment horizontal="center"/>
    </xf>
    <xf numFmtId="177" fontId="148" fillId="3" borderId="41" xfId="0" applyNumberFormat="1" applyFont="1" applyFill="1" applyBorder="1" applyAlignment="1">
      <alignment horizontal="center"/>
    </xf>
    <xf numFmtId="177" fontId="148" fillId="3" borderId="42" xfId="0" applyNumberFormat="1" applyFont="1" applyFill="1" applyBorder="1" applyAlignment="1">
      <alignment horizontal="center"/>
    </xf>
    <xf numFmtId="178" fontId="148" fillId="3" borderId="41" xfId="0" applyNumberFormat="1" applyFont="1" applyFill="1" applyBorder="1" applyAlignment="1">
      <alignment horizontal="center"/>
    </xf>
    <xf numFmtId="178" fontId="148" fillId="3" borderId="42" xfId="0" applyNumberFormat="1" applyFont="1" applyFill="1" applyBorder="1" applyAlignment="1">
      <alignment horizontal="center"/>
    </xf>
    <xf numFmtId="0" fontId="31" fillId="0" borderId="31" xfId="0" applyFont="1" applyBorder="1" applyAlignment="1">
      <alignment horizontal="center" vertical="center"/>
    </xf>
    <xf numFmtId="0" fontId="31" fillId="0" borderId="30" xfId="0" applyFont="1" applyBorder="1" applyAlignment="1">
      <alignment horizontal="center" vertical="center"/>
    </xf>
    <xf numFmtId="0" fontId="31" fillId="0" borderId="56" xfId="0" applyFont="1" applyBorder="1" applyAlignment="1">
      <alignment horizontal="center" vertical="center"/>
    </xf>
    <xf numFmtId="0" fontId="31" fillId="0" borderId="66" xfId="0" applyFont="1" applyBorder="1" applyAlignment="1">
      <alignment horizontal="center" vertical="center"/>
    </xf>
    <xf numFmtId="0" fontId="31" fillId="0" borderId="11" xfId="0" applyFont="1" applyBorder="1" applyAlignment="1">
      <alignment horizontal="center" vertical="center"/>
    </xf>
    <xf numFmtId="0" fontId="31" fillId="0" borderId="19" xfId="0" applyFont="1" applyBorder="1" applyAlignment="1">
      <alignment horizontal="center" vertical="center"/>
    </xf>
    <xf numFmtId="0" fontId="31" fillId="0" borderId="65"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68" xfId="0" applyFont="1" applyBorder="1" applyAlignment="1">
      <alignment horizontal="center" vertical="center" wrapText="1"/>
    </xf>
    <xf numFmtId="177" fontId="22" fillId="3" borderId="2" xfId="0" applyNumberFormat="1" applyFont="1" applyFill="1" applyBorder="1" applyAlignment="1">
      <alignment horizontal="center"/>
    </xf>
    <xf numFmtId="177" fontId="22" fillId="3" borderId="3" xfId="0" applyNumberFormat="1" applyFont="1" applyFill="1" applyBorder="1" applyAlignment="1">
      <alignment horizontal="center"/>
    </xf>
    <xf numFmtId="177" fontId="22" fillId="3" borderId="4" xfId="0" applyNumberFormat="1" applyFont="1" applyFill="1" applyBorder="1" applyAlignment="1">
      <alignment horizontal="center"/>
    </xf>
    <xf numFmtId="178" fontId="22" fillId="3" borderId="3" xfId="0" applyNumberFormat="1" applyFont="1" applyFill="1" applyBorder="1" applyAlignment="1">
      <alignment horizontal="center"/>
    </xf>
    <xf numFmtId="178" fontId="22" fillId="3" borderId="4" xfId="0" applyNumberFormat="1" applyFont="1" applyFill="1" applyBorder="1" applyAlignment="1">
      <alignment horizontal="center"/>
    </xf>
    <xf numFmtId="0" fontId="108" fillId="0" borderId="0" xfId="0" applyFont="1" applyAlignment="1">
      <alignment horizontal="left" vertical="top" wrapText="1"/>
    </xf>
    <xf numFmtId="165" fontId="16" fillId="0" borderId="1" xfId="0" applyNumberFormat="1" applyFont="1" applyBorder="1" applyAlignment="1">
      <alignment horizontal="center" vertical="center"/>
    </xf>
    <xf numFmtId="9" fontId="19" fillId="0" borderId="1" xfId="0" quotePrefix="1" applyNumberFormat="1" applyFont="1" applyBorder="1" applyAlignment="1">
      <alignment horizontal="center" vertical="center"/>
    </xf>
    <xf numFmtId="9" fontId="19" fillId="0" borderId="1" xfId="0" applyNumberFormat="1" applyFont="1" applyBorder="1" applyAlignment="1">
      <alignment horizontal="center" vertical="center"/>
    </xf>
    <xf numFmtId="0" fontId="16" fillId="0" borderId="2" xfId="0" applyFont="1" applyBorder="1" applyAlignment="1">
      <alignment horizontal="right" vertical="center"/>
    </xf>
    <xf numFmtId="0" fontId="16" fillId="0" borderId="3" xfId="0" applyFont="1" applyBorder="1" applyAlignment="1">
      <alignment horizontal="right" vertical="center"/>
    </xf>
    <xf numFmtId="0" fontId="16" fillId="0" borderId="4" xfId="0" applyFont="1" applyBorder="1" applyAlignment="1">
      <alignment horizontal="right" vertic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1" xfId="0" applyFont="1" applyBorder="1" applyAlignment="1">
      <alignment horizontal="center" vertical="center" wrapText="1"/>
    </xf>
    <xf numFmtId="0" fontId="19" fillId="0" borderId="1" xfId="0" applyFont="1" applyBorder="1" applyAlignment="1">
      <alignment horizontal="center" vertical="center"/>
    </xf>
    <xf numFmtId="9" fontId="52" fillId="0" borderId="1" xfId="0" applyNumberFormat="1" applyFont="1" applyBorder="1" applyAlignment="1">
      <alignment horizontal="center" vertical="center"/>
    </xf>
    <xf numFmtId="0" fontId="22" fillId="0" borderId="0" xfId="18" applyFont="1" applyAlignment="1">
      <alignment horizontal="left" vertical="top" wrapText="1" readingOrder="1"/>
    </xf>
    <xf numFmtId="177" fontId="148" fillId="3" borderId="1" xfId="0" applyNumberFormat="1" applyFont="1" applyFill="1" applyBorder="1" applyAlignment="1">
      <alignment horizontal="center"/>
    </xf>
    <xf numFmtId="178" fontId="148" fillId="3" borderId="1" xfId="0" applyNumberFormat="1" applyFont="1" applyFill="1" applyBorder="1" applyAlignment="1">
      <alignment horizontal="center"/>
    </xf>
    <xf numFmtId="178" fontId="148" fillId="18" borderId="1" xfId="0" applyNumberFormat="1" applyFont="1" applyFill="1" applyBorder="1" applyAlignment="1">
      <alignment horizontal="center"/>
    </xf>
    <xf numFmtId="178" fontId="148" fillId="18" borderId="21" xfId="0" applyNumberFormat="1" applyFont="1" applyFill="1" applyBorder="1" applyAlignment="1">
      <alignment horizontal="center"/>
    </xf>
    <xf numFmtId="178" fontId="22" fillId="18" borderId="9" xfId="0" applyNumberFormat="1" applyFont="1" applyFill="1" applyBorder="1" applyAlignment="1">
      <alignment horizontal="center"/>
    </xf>
    <xf numFmtId="178" fontId="22" fillId="18" borderId="10" xfId="0" applyNumberFormat="1" applyFont="1" applyFill="1" applyBorder="1" applyAlignment="1">
      <alignment horizontal="center"/>
    </xf>
    <xf numFmtId="0" fontId="31" fillId="2" borderId="1" xfId="0" applyFont="1" applyFill="1" applyBorder="1" applyAlignment="1">
      <alignment horizontal="left" vertical="center" wrapText="1"/>
    </xf>
    <xf numFmtId="177" fontId="22" fillId="3" borderId="40" xfId="0" applyNumberFormat="1" applyFont="1" applyFill="1" applyBorder="1" applyAlignment="1">
      <alignment horizontal="center"/>
    </xf>
    <xf numFmtId="177" fontId="22" fillId="3" borderId="41" xfId="0" applyNumberFormat="1" applyFont="1" applyFill="1" applyBorder="1" applyAlignment="1">
      <alignment horizontal="center"/>
    </xf>
    <xf numFmtId="177" fontId="22" fillId="3" borderId="42" xfId="0" applyNumberFormat="1" applyFont="1" applyFill="1" applyBorder="1" applyAlignment="1">
      <alignment horizontal="center"/>
    </xf>
    <xf numFmtId="178" fontId="22" fillId="3" borderId="40" xfId="0" applyNumberFormat="1" applyFont="1" applyFill="1" applyBorder="1" applyAlignment="1">
      <alignment horizontal="center"/>
    </xf>
    <xf numFmtId="178" fontId="22" fillId="3" borderId="41" xfId="0" applyNumberFormat="1" applyFont="1" applyFill="1" applyBorder="1" applyAlignment="1">
      <alignment horizontal="center"/>
    </xf>
    <xf numFmtId="178" fontId="22" fillId="3" borderId="42" xfId="0" applyNumberFormat="1" applyFont="1" applyFill="1" applyBorder="1" applyAlignment="1">
      <alignment horizontal="center"/>
    </xf>
    <xf numFmtId="0" fontId="108" fillId="0" borderId="0" xfId="0" applyFont="1" applyAlignment="1">
      <alignment vertical="center" wrapText="1"/>
    </xf>
    <xf numFmtId="0" fontId="100" fillId="0" borderId="2" xfId="0" quotePrefix="1" applyFont="1" applyBorder="1" applyAlignment="1">
      <alignment horizontal="center" vertical="center" wrapText="1"/>
    </xf>
    <xf numFmtId="165" fontId="19" fillId="0" borderId="1" xfId="0" applyNumberFormat="1" applyFont="1" applyBorder="1" applyAlignment="1">
      <alignment horizontal="center" vertical="center"/>
    </xf>
    <xf numFmtId="178" fontId="22" fillId="18" borderId="40" xfId="0" applyNumberFormat="1" applyFont="1" applyFill="1" applyBorder="1" applyAlignment="1">
      <alignment horizontal="center" vertical="center"/>
    </xf>
    <xf numFmtId="178" fontId="22" fillId="18" borderId="41" xfId="0" applyNumberFormat="1" applyFont="1" applyFill="1" applyBorder="1" applyAlignment="1">
      <alignment horizontal="center" vertical="center"/>
    </xf>
    <xf numFmtId="178" fontId="22" fillId="18" borderId="42" xfId="0" applyNumberFormat="1" applyFont="1" applyFill="1" applyBorder="1" applyAlignment="1">
      <alignment horizontal="center" vertical="center"/>
    </xf>
    <xf numFmtId="178" fontId="22" fillId="18" borderId="51" xfId="0" applyNumberFormat="1" applyFont="1" applyFill="1" applyBorder="1" applyAlignment="1">
      <alignment horizontal="center" vertical="center"/>
    </xf>
    <xf numFmtId="178" fontId="148" fillId="3" borderId="40" xfId="0" applyNumberFormat="1" applyFont="1" applyFill="1" applyBorder="1" applyAlignment="1">
      <alignment horizontal="center" vertical="center"/>
    </xf>
    <xf numFmtId="0" fontId="100" fillId="0" borderId="13" xfId="0" applyFont="1" applyBorder="1" applyAlignment="1">
      <alignment horizontal="center" vertical="center"/>
    </xf>
    <xf numFmtId="0" fontId="100" fillId="0" borderId="14" xfId="0" applyFont="1" applyBorder="1" applyAlignment="1">
      <alignment horizontal="center" vertical="center"/>
    </xf>
    <xf numFmtId="0" fontId="100" fillId="0" borderId="15" xfId="0" applyFont="1" applyBorder="1" applyAlignment="1">
      <alignment horizontal="center" vertical="center"/>
    </xf>
    <xf numFmtId="0" fontId="100" fillId="0" borderId="18" xfId="0" applyFont="1" applyBorder="1" applyAlignment="1">
      <alignment horizontal="center" vertical="center"/>
    </xf>
    <xf numFmtId="0" fontId="100" fillId="0" borderId="11" xfId="0" applyFont="1" applyBorder="1" applyAlignment="1">
      <alignment horizontal="center" vertical="center"/>
    </xf>
    <xf numFmtId="0" fontId="100" fillId="0" borderId="19" xfId="0" applyFont="1" applyBorder="1" applyAlignment="1">
      <alignment horizontal="center" vertical="center"/>
    </xf>
    <xf numFmtId="0" fontId="1" fillId="0" borderId="0" xfId="18" applyFont="1" applyAlignment="1">
      <alignment horizontal="left" vertical="top" wrapText="1" readingOrder="1"/>
    </xf>
    <xf numFmtId="178" fontId="22" fillId="18" borderId="9" xfId="10" applyNumberFormat="1" applyFont="1" applyFill="1" applyBorder="1" applyAlignment="1">
      <alignment horizontal="center" vertical="center"/>
    </xf>
    <xf numFmtId="178" fontId="22" fillId="18" borderId="10" xfId="10" applyNumberFormat="1" applyFont="1" applyFill="1" applyBorder="1" applyAlignment="1">
      <alignment horizontal="center" vertical="center"/>
    </xf>
    <xf numFmtId="0" fontId="22" fillId="0" borderId="70" xfId="10" applyFont="1" applyBorder="1" applyAlignment="1">
      <alignment horizontal="center" vertical="center" wrapText="1"/>
    </xf>
    <xf numFmtId="0" fontId="22" fillId="0" borderId="22" xfId="10" applyFont="1" applyBorder="1" applyAlignment="1">
      <alignment horizontal="center" vertical="center" wrapText="1"/>
    </xf>
    <xf numFmtId="177" fontId="22" fillId="3" borderId="22" xfId="10" applyNumberFormat="1" applyFont="1" applyFill="1" applyBorder="1" applyAlignment="1">
      <alignment horizontal="center" vertical="center"/>
    </xf>
    <xf numFmtId="178" fontId="22" fillId="3" borderId="22" xfId="10" applyNumberFormat="1" applyFont="1" applyFill="1" applyBorder="1" applyAlignment="1">
      <alignment horizontal="center" vertical="center"/>
    </xf>
    <xf numFmtId="178" fontId="22" fillId="18" borderId="22" xfId="10" applyNumberFormat="1" applyFont="1" applyFill="1" applyBorder="1" applyAlignment="1">
      <alignment horizontal="center" vertical="center"/>
    </xf>
    <xf numFmtId="178" fontId="22" fillId="18" borderId="67" xfId="10" applyNumberFormat="1" applyFont="1" applyFill="1" applyBorder="1" applyAlignment="1">
      <alignment horizontal="center" vertical="center"/>
    </xf>
    <xf numFmtId="0" fontId="22" fillId="0" borderId="70" xfId="10" applyFont="1" applyBorder="1" applyAlignment="1">
      <alignment horizontal="center" vertical="center"/>
    </xf>
    <xf numFmtId="0" fontId="22" fillId="0" borderId="22" xfId="10" applyFont="1" applyBorder="1" applyAlignment="1">
      <alignment horizontal="center" vertical="center"/>
    </xf>
    <xf numFmtId="0" fontId="49" fillId="0" borderId="2" xfId="10" applyFont="1" applyBorder="1" applyAlignment="1">
      <alignment horizontal="center" vertical="center"/>
    </xf>
    <xf numFmtId="0" fontId="49" fillId="0" borderId="3" xfId="10" applyFont="1" applyBorder="1" applyAlignment="1">
      <alignment horizontal="center" vertical="center"/>
    </xf>
    <xf numFmtId="0" fontId="49" fillId="0" borderId="4" xfId="10" applyFont="1" applyBorder="1" applyAlignment="1">
      <alignment horizontal="center" vertical="center"/>
    </xf>
    <xf numFmtId="0" fontId="181" fillId="0" borderId="2" xfId="0" applyFont="1" applyBorder="1" applyAlignment="1">
      <alignment horizontal="center" vertical="center"/>
    </xf>
    <xf numFmtId="0" fontId="181" fillId="0" borderId="3" xfId="0" applyFont="1" applyBorder="1" applyAlignment="1">
      <alignment horizontal="center" vertical="center"/>
    </xf>
    <xf numFmtId="0" fontId="181" fillId="0" borderId="4" xfId="0" applyFont="1" applyBorder="1" applyAlignment="1">
      <alignment horizontal="center" vertical="center"/>
    </xf>
    <xf numFmtId="0" fontId="22" fillId="0" borderId="2" xfId="10" applyFont="1" applyBorder="1" applyAlignment="1">
      <alignment horizontal="center" vertical="center"/>
    </xf>
    <xf numFmtId="0" fontId="22" fillId="0" borderId="3" xfId="10" applyFont="1" applyBorder="1" applyAlignment="1">
      <alignment horizontal="center" vertical="center"/>
    </xf>
    <xf numFmtId="0" fontId="22" fillId="0" borderId="4" xfId="10" applyFont="1" applyBorder="1" applyAlignment="1">
      <alignment horizontal="center" vertical="center"/>
    </xf>
    <xf numFmtId="1" fontId="100" fillId="0" borderId="2" xfId="0" applyNumberFormat="1" applyFont="1" applyBorder="1" applyAlignment="1">
      <alignment horizontal="center" vertical="center" wrapText="1"/>
    </xf>
    <xf numFmtId="1" fontId="100" fillId="0" borderId="3" xfId="0" applyNumberFormat="1" applyFont="1" applyBorder="1" applyAlignment="1">
      <alignment horizontal="center" vertical="center" wrapText="1"/>
    </xf>
    <xf numFmtId="1" fontId="100" fillId="0" borderId="4" xfId="0" applyNumberFormat="1" applyFont="1" applyBorder="1" applyAlignment="1">
      <alignment horizontal="center" vertical="center" wrapText="1"/>
    </xf>
    <xf numFmtId="0" fontId="31" fillId="0" borderId="59" xfId="10" applyFont="1" applyBorder="1" applyAlignment="1">
      <alignment horizontal="center" vertical="center"/>
    </xf>
    <xf numFmtId="0" fontId="31" fillId="0" borderId="60" xfId="10" applyFont="1" applyBorder="1" applyAlignment="1">
      <alignment horizontal="center" vertical="center"/>
    </xf>
    <xf numFmtId="0" fontId="31" fillId="0" borderId="61" xfId="10" applyFont="1" applyBorder="1" applyAlignment="1">
      <alignment horizontal="center" vertical="center"/>
    </xf>
    <xf numFmtId="0" fontId="22" fillId="0" borderId="2" xfId="10" applyFont="1" applyBorder="1" applyAlignment="1">
      <alignment horizontal="center" vertical="center" wrapText="1"/>
    </xf>
    <xf numFmtId="0" fontId="22" fillId="0" borderId="3" xfId="10" applyFont="1" applyBorder="1" applyAlignment="1">
      <alignment horizontal="center" vertical="center" wrapText="1"/>
    </xf>
    <xf numFmtId="0" fontId="22" fillId="0" borderId="4" xfId="10" applyFont="1" applyBorder="1" applyAlignment="1">
      <alignment horizontal="center" vertical="center" wrapText="1"/>
    </xf>
    <xf numFmtId="178" fontId="22" fillId="18" borderId="50" xfId="10" applyNumberFormat="1" applyFont="1" applyFill="1" applyBorder="1" applyAlignment="1">
      <alignment horizontal="center" vertical="center"/>
    </xf>
    <xf numFmtId="178" fontId="22" fillId="18" borderId="47" xfId="10" applyNumberFormat="1" applyFont="1" applyFill="1" applyBorder="1" applyAlignment="1">
      <alignment horizontal="center" vertical="center"/>
    </xf>
    <xf numFmtId="178" fontId="22" fillId="18" borderId="49" xfId="10" applyNumberFormat="1" applyFont="1" applyFill="1" applyBorder="1" applyAlignment="1">
      <alignment horizontal="center" vertical="center"/>
    </xf>
    <xf numFmtId="178" fontId="22" fillId="18" borderId="48" xfId="10" applyNumberFormat="1" applyFont="1" applyFill="1" applyBorder="1" applyAlignment="1">
      <alignment horizontal="center" vertical="center"/>
    </xf>
    <xf numFmtId="178" fontId="22" fillId="18" borderId="40" xfId="10" applyNumberFormat="1" applyFont="1" applyFill="1" applyBorder="1" applyAlignment="1">
      <alignment horizontal="center" vertical="center"/>
    </xf>
    <xf numFmtId="178" fontId="22" fillId="18" borderId="41" xfId="10" applyNumberFormat="1" applyFont="1" applyFill="1" applyBorder="1" applyAlignment="1">
      <alignment horizontal="center" vertical="center"/>
    </xf>
    <xf numFmtId="178" fontId="22" fillId="18" borderId="42" xfId="10" applyNumberFormat="1" applyFont="1" applyFill="1" applyBorder="1" applyAlignment="1">
      <alignment horizontal="center" vertical="center"/>
    </xf>
    <xf numFmtId="178" fontId="22" fillId="18" borderId="51" xfId="10" applyNumberFormat="1" applyFont="1" applyFill="1" applyBorder="1" applyAlignment="1">
      <alignment horizontal="center" vertical="center"/>
    </xf>
    <xf numFmtId="177" fontId="22" fillId="3" borderId="40" xfId="10" applyNumberFormat="1" applyFont="1" applyFill="1" applyBorder="1" applyAlignment="1">
      <alignment horizontal="center" vertical="center"/>
    </xf>
    <xf numFmtId="177" fontId="22" fillId="3" borderId="41" xfId="10" applyNumberFormat="1" applyFont="1" applyFill="1" applyBorder="1" applyAlignment="1">
      <alignment horizontal="center" vertical="center"/>
    </xf>
    <xf numFmtId="177" fontId="22" fillId="3" borderId="42" xfId="10" applyNumberFormat="1" applyFont="1" applyFill="1" applyBorder="1" applyAlignment="1">
      <alignment horizontal="center" vertical="center"/>
    </xf>
    <xf numFmtId="177" fontId="22" fillId="3" borderId="50" xfId="10" applyNumberFormat="1" applyFont="1" applyFill="1" applyBorder="1" applyAlignment="1">
      <alignment horizontal="center" vertical="center"/>
    </xf>
    <xf numFmtId="177" fontId="22" fillId="3" borderId="47" xfId="10" applyNumberFormat="1" applyFont="1" applyFill="1" applyBorder="1" applyAlignment="1">
      <alignment horizontal="center" vertical="center"/>
    </xf>
    <xf numFmtId="177" fontId="22" fillId="3" borderId="49" xfId="10" applyNumberFormat="1" applyFont="1" applyFill="1" applyBorder="1" applyAlignment="1">
      <alignment horizontal="center" vertical="center"/>
    </xf>
    <xf numFmtId="178" fontId="22" fillId="3" borderId="50" xfId="10" applyNumberFormat="1" applyFont="1" applyFill="1" applyBorder="1" applyAlignment="1">
      <alignment horizontal="center" vertical="center"/>
    </xf>
    <xf numFmtId="178" fontId="22" fillId="3" borderId="47" xfId="10" applyNumberFormat="1" applyFont="1" applyFill="1" applyBorder="1" applyAlignment="1">
      <alignment horizontal="center" vertical="center"/>
    </xf>
    <xf numFmtId="178" fontId="22" fillId="3" borderId="49" xfId="10" applyNumberFormat="1" applyFont="1" applyFill="1" applyBorder="1" applyAlignment="1">
      <alignment horizontal="center" vertical="center"/>
    </xf>
    <xf numFmtId="178" fontId="22" fillId="3" borderId="41" xfId="10" applyNumberFormat="1" applyFont="1" applyFill="1" applyBorder="1" applyAlignment="1">
      <alignment horizontal="center" vertical="center"/>
    </xf>
    <xf numFmtId="178" fontId="22" fillId="3" borderId="42" xfId="10" applyNumberFormat="1" applyFont="1" applyFill="1" applyBorder="1" applyAlignment="1">
      <alignment horizontal="center" vertical="center"/>
    </xf>
    <xf numFmtId="0" fontId="31" fillId="0" borderId="40" xfId="10" applyFont="1" applyBorder="1" applyAlignment="1">
      <alignment horizontal="center" vertical="center"/>
    </xf>
    <xf numFmtId="0" fontId="31" fillId="0" borderId="41" xfId="10" applyFont="1" applyBorder="1" applyAlignment="1">
      <alignment horizontal="center" vertical="center"/>
    </xf>
    <xf numFmtId="0" fontId="31" fillId="0" borderId="42" xfId="10" applyFont="1" applyBorder="1" applyAlignment="1">
      <alignment horizontal="center" vertical="center"/>
    </xf>
    <xf numFmtId="0" fontId="31" fillId="0" borderId="6" xfId="10" applyFont="1" applyBorder="1" applyAlignment="1">
      <alignment horizontal="center" vertical="center"/>
    </xf>
    <xf numFmtId="0" fontId="31" fillId="0" borderId="46" xfId="10" applyFont="1" applyBorder="1" applyAlignment="1">
      <alignment horizontal="center" vertical="center"/>
    </xf>
    <xf numFmtId="0" fontId="31" fillId="0" borderId="47" xfId="10" applyFont="1" applyBorder="1" applyAlignment="1">
      <alignment horizontal="center" vertical="center"/>
    </xf>
    <xf numFmtId="0" fontId="31" fillId="0" borderId="49" xfId="10" applyFont="1" applyBorder="1" applyAlignment="1">
      <alignment horizontal="center" vertical="center"/>
    </xf>
    <xf numFmtId="0" fontId="31" fillId="0" borderId="43" xfId="10" applyFont="1" applyBorder="1" applyAlignment="1">
      <alignment horizontal="center" vertical="center"/>
    </xf>
    <xf numFmtId="0" fontId="31" fillId="0" borderId="9" xfId="10" applyFont="1" applyBorder="1" applyAlignment="1">
      <alignment horizontal="center" vertical="center"/>
    </xf>
    <xf numFmtId="0" fontId="31" fillId="0" borderId="10" xfId="10" applyFont="1" applyBorder="1" applyAlignment="1">
      <alignment horizontal="center" vertical="center"/>
    </xf>
    <xf numFmtId="178" fontId="22" fillId="18" borderId="71" xfId="10" applyNumberFormat="1" applyFont="1" applyFill="1" applyBorder="1" applyAlignment="1">
      <alignment horizontal="center" vertical="center"/>
    </xf>
    <xf numFmtId="178" fontId="22" fillId="18" borderId="62" xfId="10" applyNumberFormat="1" applyFont="1" applyFill="1" applyBorder="1" applyAlignment="1">
      <alignment horizontal="center" vertical="center"/>
    </xf>
    <xf numFmtId="178" fontId="22" fillId="18" borderId="6" xfId="10" applyNumberFormat="1" applyFont="1" applyFill="1" applyBorder="1" applyAlignment="1">
      <alignment horizontal="center" vertical="center"/>
    </xf>
    <xf numFmtId="178" fontId="22" fillId="18" borderId="7" xfId="10" applyNumberFormat="1" applyFont="1" applyFill="1" applyBorder="1" applyAlignment="1">
      <alignment horizontal="center" vertical="center"/>
    </xf>
    <xf numFmtId="0" fontId="181" fillId="0" borderId="1" xfId="0" applyFont="1" applyBorder="1" applyAlignment="1">
      <alignment horizontal="center" vertical="center"/>
    </xf>
    <xf numFmtId="0" fontId="22" fillId="0" borderId="1" xfId="10" applyFont="1" applyBorder="1" applyAlignment="1">
      <alignment horizontal="center" vertical="center"/>
    </xf>
    <xf numFmtId="1" fontId="100" fillId="0" borderId="1" xfId="0" applyNumberFormat="1" applyFont="1" applyBorder="1" applyAlignment="1">
      <alignment horizontal="center" vertical="center" wrapText="1"/>
    </xf>
    <xf numFmtId="0" fontId="49" fillId="0" borderId="13" xfId="10" applyFont="1" applyBorder="1" applyAlignment="1">
      <alignment horizontal="center" vertical="center"/>
    </xf>
    <xf numFmtId="0" fontId="49" fillId="0" borderId="14" xfId="10" applyFont="1" applyBorder="1" applyAlignment="1">
      <alignment horizontal="center" vertical="center"/>
    </xf>
    <xf numFmtId="0" fontId="49" fillId="0" borderId="15" xfId="10" applyFont="1" applyBorder="1" applyAlignment="1">
      <alignment horizontal="center" vertical="center"/>
    </xf>
    <xf numFmtId="0" fontId="49" fillId="0" borderId="18" xfId="10" applyFont="1" applyBorder="1" applyAlignment="1">
      <alignment horizontal="center" vertical="center"/>
    </xf>
    <xf numFmtId="0" fontId="49" fillId="0" borderId="11" xfId="10" applyFont="1" applyBorder="1" applyAlignment="1">
      <alignment horizontal="center" vertical="center"/>
    </xf>
    <xf numFmtId="0" fontId="49" fillId="0" borderId="19" xfId="10" applyFont="1" applyBorder="1" applyAlignment="1">
      <alignment horizontal="center" vertical="center"/>
    </xf>
    <xf numFmtId="0" fontId="181" fillId="0" borderId="13" xfId="0" applyFont="1" applyBorder="1" applyAlignment="1">
      <alignment horizontal="center" vertical="center"/>
    </xf>
    <xf numFmtId="0" fontId="181" fillId="0" borderId="14" xfId="0" applyFont="1" applyBorder="1" applyAlignment="1">
      <alignment horizontal="center" vertical="center"/>
    </xf>
    <xf numFmtId="0" fontId="181" fillId="0" borderId="15" xfId="0" applyFont="1" applyBorder="1" applyAlignment="1">
      <alignment horizontal="center" vertical="center"/>
    </xf>
    <xf numFmtId="0" fontId="181" fillId="0" borderId="18" xfId="0" applyFont="1" applyBorder="1" applyAlignment="1">
      <alignment horizontal="center" vertical="center"/>
    </xf>
    <xf numFmtId="0" fontId="181" fillId="0" borderId="11" xfId="0" applyFont="1" applyBorder="1" applyAlignment="1">
      <alignment horizontal="center" vertical="center"/>
    </xf>
    <xf numFmtId="0" fontId="181" fillId="0" borderId="19" xfId="0" applyFont="1" applyBorder="1" applyAlignment="1">
      <alignment horizontal="center" vertical="center"/>
    </xf>
    <xf numFmtId="0" fontId="49" fillId="0" borderId="0" xfId="0" applyFont="1" applyAlignment="1">
      <alignment vertical="top"/>
    </xf>
    <xf numFmtId="0" fontId="22" fillId="0" borderId="43" xfId="10" applyFont="1" applyBorder="1" applyAlignment="1">
      <alignment horizontal="center" vertical="center" wrapText="1"/>
    </xf>
    <xf numFmtId="0" fontId="22" fillId="0" borderId="41" xfId="10" applyFont="1" applyBorder="1" applyAlignment="1">
      <alignment horizontal="center" vertical="center" wrapText="1"/>
    </xf>
    <xf numFmtId="0" fontId="22" fillId="0" borderId="42" xfId="10" applyFont="1" applyBorder="1" applyAlignment="1">
      <alignment horizontal="center" vertical="center" wrapText="1"/>
    </xf>
    <xf numFmtId="201" fontId="22" fillId="3" borderId="9" xfId="10" applyNumberFormat="1" applyFont="1" applyFill="1" applyBorder="1" applyAlignment="1">
      <alignment horizontal="center" vertical="center"/>
    </xf>
    <xf numFmtId="202" fontId="22" fillId="3" borderId="9" xfId="10" applyNumberFormat="1" applyFont="1" applyFill="1" applyBorder="1" applyAlignment="1">
      <alignment horizontal="center" vertical="center"/>
    </xf>
    <xf numFmtId="202" fontId="22" fillId="3" borderId="40" xfId="10" applyNumberFormat="1" applyFont="1" applyFill="1" applyBorder="1" applyAlignment="1">
      <alignment horizontal="center" vertical="center"/>
    </xf>
    <xf numFmtId="202" fontId="22" fillId="18" borderId="9" xfId="10" applyNumberFormat="1" applyFont="1" applyFill="1" applyBorder="1" applyAlignment="1">
      <alignment horizontal="center" vertical="center"/>
    </xf>
    <xf numFmtId="202" fontId="22" fillId="18" borderId="10" xfId="10" applyNumberFormat="1" applyFont="1" applyFill="1" applyBorder="1" applyAlignment="1">
      <alignment horizontal="center" vertical="center"/>
    </xf>
    <xf numFmtId="165" fontId="148" fillId="3" borderId="9" xfId="10" applyNumberFormat="1" applyFont="1" applyFill="1" applyBorder="1" applyAlignment="1">
      <alignment horizontal="center" vertical="center"/>
    </xf>
    <xf numFmtId="2" fontId="148" fillId="3" borderId="9" xfId="10" applyNumberFormat="1" applyFont="1" applyFill="1" applyBorder="1" applyAlignment="1">
      <alignment horizontal="center" vertical="center"/>
    </xf>
    <xf numFmtId="2" fontId="148" fillId="18" borderId="9" xfId="10" applyNumberFormat="1" applyFont="1" applyFill="1" applyBorder="1" applyAlignment="1">
      <alignment horizontal="center" vertical="center"/>
    </xf>
    <xf numFmtId="2" fontId="148" fillId="18" borderId="10" xfId="10" applyNumberFormat="1" applyFont="1" applyFill="1" applyBorder="1" applyAlignment="1">
      <alignment horizontal="center" vertical="center"/>
    </xf>
    <xf numFmtId="0" fontId="31" fillId="0" borderId="5" xfId="10" applyFont="1" applyBorder="1" applyAlignment="1">
      <alignment horizontal="center" vertical="center"/>
    </xf>
    <xf numFmtId="0" fontId="31" fillId="0" borderId="50" xfId="10" applyFont="1" applyBorder="1" applyAlignment="1">
      <alignment horizontal="center" vertical="center"/>
    </xf>
    <xf numFmtId="0" fontId="31" fillId="0" borderId="7" xfId="10" applyFont="1" applyBorder="1" applyAlignment="1">
      <alignment horizontal="center" vertical="center"/>
    </xf>
    <xf numFmtId="0" fontId="92" fillId="0" borderId="2" xfId="0" quotePrefix="1" applyFont="1" applyBorder="1" applyAlignment="1">
      <alignment horizontal="center" vertical="center" wrapText="1"/>
    </xf>
    <xf numFmtId="1" fontId="22" fillId="0" borderId="2" xfId="0" applyNumberFormat="1" applyFont="1" applyBorder="1" applyAlignment="1">
      <alignment horizontal="center" vertical="center" wrapText="1"/>
    </xf>
    <xf numFmtId="1" fontId="22" fillId="0" borderId="3" xfId="0" applyNumberFormat="1" applyFont="1" applyBorder="1" applyAlignment="1">
      <alignment horizontal="center" vertical="center" wrapText="1"/>
    </xf>
    <xf numFmtId="1" fontId="22" fillId="0" borderId="4" xfId="0" applyNumberFormat="1" applyFont="1" applyBorder="1" applyAlignment="1">
      <alignment horizontal="center" vertical="center" wrapText="1"/>
    </xf>
    <xf numFmtId="0" fontId="31" fillId="0" borderId="11" xfId="0" applyFont="1" applyBorder="1" applyAlignment="1">
      <alignment vertical="top" wrapText="1"/>
    </xf>
    <xf numFmtId="0" fontId="0" fillId="0" borderId="11" xfId="0" applyBorder="1" applyAlignment="1">
      <alignment vertical="top" wrapText="1"/>
    </xf>
    <xf numFmtId="0" fontId="181" fillId="0" borderId="2" xfId="0" applyFont="1" applyBorder="1" applyAlignment="1">
      <alignment horizontal="center" vertical="center" wrapText="1"/>
    </xf>
    <xf numFmtId="0" fontId="181" fillId="0" borderId="3" xfId="0" applyFont="1" applyBorder="1" applyAlignment="1">
      <alignment horizontal="center" vertical="center" wrapText="1"/>
    </xf>
    <xf numFmtId="0" fontId="181" fillId="0" borderId="4" xfId="0" applyFont="1" applyBorder="1" applyAlignment="1">
      <alignment horizontal="center" vertical="center" wrapText="1"/>
    </xf>
    <xf numFmtId="0" fontId="22" fillId="0" borderId="1" xfId="10" applyFont="1" applyBorder="1" applyAlignment="1">
      <alignment horizontal="left" vertical="center"/>
    </xf>
    <xf numFmtId="3" fontId="1" fillId="0" borderId="1" xfId="0" applyNumberFormat="1" applyFont="1" applyBorder="1" applyAlignment="1">
      <alignment horizontal="right" vertical="center"/>
    </xf>
    <xf numFmtId="0" fontId="1" fillId="0" borderId="1" xfId="0" applyFont="1" applyBorder="1" applyAlignment="1">
      <alignment horizontal="right" vertical="center"/>
    </xf>
    <xf numFmtId="9" fontId="22" fillId="0" borderId="1" xfId="1" applyFont="1" applyBorder="1" applyAlignment="1">
      <alignment horizontal="right" vertical="center" wrapText="1"/>
    </xf>
    <xf numFmtId="0" fontId="125" fillId="0" borderId="0" xfId="0" applyFont="1" applyAlignment="1">
      <alignment horizontal="left" vertical="top" wrapText="1"/>
    </xf>
    <xf numFmtId="0" fontId="49" fillId="0" borderId="1" xfId="10" applyFont="1" applyBorder="1" applyAlignment="1">
      <alignment horizontal="center" vertical="center"/>
    </xf>
    <xf numFmtId="0" fontId="49" fillId="0" borderId="1" xfId="0" applyFont="1" applyBorder="1" applyAlignment="1">
      <alignment horizontal="center" vertical="center" wrapText="1"/>
    </xf>
    <xf numFmtId="0" fontId="141" fillId="0" borderId="0" xfId="10" applyFont="1" applyAlignment="1">
      <alignment horizontal="left" vertical="top" wrapText="1"/>
    </xf>
    <xf numFmtId="0" fontId="31" fillId="0" borderId="1" xfId="10" applyFont="1" applyBorder="1" applyAlignment="1">
      <alignment horizontal="left" vertical="center"/>
    </xf>
    <xf numFmtId="3" fontId="3" fillId="0" borderId="1" xfId="0" applyNumberFormat="1" applyFont="1" applyBorder="1" applyAlignment="1">
      <alignment horizontal="right" vertical="center"/>
    </xf>
    <xf numFmtId="9" fontId="31" fillId="0" borderId="1" xfId="1" applyFont="1" applyBorder="1" applyAlignment="1">
      <alignment horizontal="right" vertical="center" wrapText="1"/>
    </xf>
    <xf numFmtId="0" fontId="22" fillId="0" borderId="43" xfId="10" applyFont="1" applyBorder="1" applyAlignment="1">
      <alignment horizontal="center" vertical="center"/>
    </xf>
    <xf numFmtId="0" fontId="22" fillId="0" borderId="41" xfId="10" applyFont="1" applyBorder="1" applyAlignment="1">
      <alignment horizontal="center" vertical="center"/>
    </xf>
    <xf numFmtId="0" fontId="22" fillId="0" borderId="42" xfId="10" applyFont="1" applyBorder="1" applyAlignment="1">
      <alignment horizontal="center" vertical="center"/>
    </xf>
    <xf numFmtId="178" fontId="22" fillId="3" borderId="71" xfId="10" applyNumberFormat="1" applyFont="1" applyFill="1" applyBorder="1" applyAlignment="1">
      <alignment horizontal="center" vertical="center"/>
    </xf>
    <xf numFmtId="0" fontId="49" fillId="0" borderId="0" xfId="0" applyFont="1" applyAlignment="1">
      <alignment wrapText="1"/>
    </xf>
    <xf numFmtId="0" fontId="31" fillId="0" borderId="23" xfId="0" applyFont="1" applyBorder="1" applyAlignment="1">
      <alignment horizontal="center"/>
    </xf>
    <xf numFmtId="0" fontId="22" fillId="0" borderId="35" xfId="10" applyFont="1" applyBorder="1" applyAlignment="1">
      <alignment horizontal="center" vertical="center"/>
    </xf>
    <xf numFmtId="178" fontId="22" fillId="18" borderId="2" xfId="10" applyNumberFormat="1" applyFont="1" applyFill="1" applyBorder="1" applyAlignment="1">
      <alignment horizontal="center" vertical="center"/>
    </xf>
    <xf numFmtId="178" fontId="22" fillId="18" borderId="3" xfId="10" applyNumberFormat="1" applyFont="1" applyFill="1" applyBorder="1" applyAlignment="1">
      <alignment horizontal="center" vertical="center"/>
    </xf>
    <xf numFmtId="178" fontId="22" fillId="18" borderId="36" xfId="10" applyNumberFormat="1" applyFont="1" applyFill="1" applyBorder="1" applyAlignment="1">
      <alignment horizontal="center" vertical="center"/>
    </xf>
    <xf numFmtId="0" fontId="22" fillId="0" borderId="66" xfId="10" applyFont="1" applyBorder="1" applyAlignment="1">
      <alignment horizontal="center" vertical="center"/>
    </xf>
    <xf numFmtId="0" fontId="22" fillId="0" borderId="11" xfId="10" applyFont="1" applyBorder="1" applyAlignment="1">
      <alignment horizontal="center" vertical="center"/>
    </xf>
    <xf numFmtId="0" fontId="22" fillId="0" borderId="19" xfId="10" applyFont="1" applyBorder="1" applyAlignment="1">
      <alignment horizontal="center" vertical="center"/>
    </xf>
    <xf numFmtId="178" fontId="22" fillId="3" borderId="1" xfId="10" applyNumberFormat="1" applyFont="1" applyFill="1" applyBorder="1" applyAlignment="1">
      <alignment horizontal="center" vertical="center"/>
    </xf>
    <xf numFmtId="164" fontId="100" fillId="0" borderId="2" xfId="1" applyNumberFormat="1" applyFont="1" applyBorder="1" applyAlignment="1">
      <alignment horizontal="center" vertical="center" wrapText="1"/>
    </xf>
    <xf numFmtId="164" fontId="100" fillId="0" borderId="3" xfId="1" applyNumberFormat="1" applyFont="1" applyBorder="1" applyAlignment="1">
      <alignment horizontal="center" vertical="center" wrapText="1"/>
    </xf>
    <xf numFmtId="164" fontId="100" fillId="0" borderId="4" xfId="1" applyNumberFormat="1" applyFont="1" applyBorder="1" applyAlignment="1">
      <alignment horizontal="center" vertical="center" wrapText="1"/>
    </xf>
    <xf numFmtId="0" fontId="141" fillId="0" borderId="14" xfId="0" applyFont="1" applyBorder="1" applyAlignment="1">
      <alignment horizontal="left" vertical="top"/>
    </xf>
    <xf numFmtId="0" fontId="141" fillId="0" borderId="0" xfId="0" applyFont="1" applyAlignment="1">
      <alignment vertical="top"/>
    </xf>
    <xf numFmtId="0" fontId="92" fillId="0" borderId="2" xfId="0" applyFont="1" applyBorder="1" applyAlignment="1">
      <alignment horizontal="center"/>
    </xf>
    <xf numFmtId="0" fontId="92" fillId="0" borderId="3" xfId="0" applyFont="1" applyBorder="1" applyAlignment="1">
      <alignment horizontal="center"/>
    </xf>
    <xf numFmtId="0" fontId="92" fillId="0" borderId="4" xfId="0" applyFont="1" applyBorder="1" applyAlignment="1">
      <alignment horizontal="center"/>
    </xf>
    <xf numFmtId="0" fontId="207" fillId="0" borderId="13" xfId="0" applyFont="1" applyBorder="1" applyAlignment="1">
      <alignment horizontal="center" vertical="center" textRotation="255"/>
    </xf>
    <xf numFmtId="0" fontId="207" fillId="0" borderId="15" xfId="0" applyFont="1" applyBorder="1" applyAlignment="1">
      <alignment horizontal="center" vertical="center" textRotation="255"/>
    </xf>
    <xf numFmtId="0" fontId="207" fillId="0" borderId="16" xfId="0" applyFont="1" applyBorder="1" applyAlignment="1">
      <alignment horizontal="center" vertical="center" textRotation="255"/>
    </xf>
    <xf numFmtId="0" fontId="207" fillId="0" borderId="17" xfId="0" applyFont="1" applyBorder="1" applyAlignment="1">
      <alignment horizontal="center" vertical="center" textRotation="255"/>
    </xf>
    <xf numFmtId="0" fontId="207" fillId="0" borderId="18" xfId="0" applyFont="1" applyBorder="1" applyAlignment="1">
      <alignment horizontal="center" vertical="center" textRotation="255"/>
    </xf>
    <xf numFmtId="0" fontId="207" fillId="0" borderId="19" xfId="0" applyFont="1" applyBorder="1" applyAlignment="1">
      <alignment horizontal="center" vertical="center" textRotation="255"/>
    </xf>
    <xf numFmtId="1" fontId="92" fillId="0" borderId="2" xfId="0" applyNumberFormat="1" applyFont="1" applyBorder="1" applyAlignment="1">
      <alignment horizontal="center" vertical="center"/>
    </xf>
    <xf numFmtId="1" fontId="92" fillId="0" borderId="3" xfId="0" applyNumberFormat="1" applyFont="1" applyBorder="1" applyAlignment="1">
      <alignment horizontal="center" vertical="center"/>
    </xf>
    <xf numFmtId="1" fontId="92" fillId="0" borderId="4" xfId="0" applyNumberFormat="1" applyFont="1" applyBorder="1" applyAlignment="1">
      <alignment horizontal="center" vertical="center"/>
    </xf>
    <xf numFmtId="167" fontId="92" fillId="0" borderId="2" xfId="0" applyNumberFormat="1" applyFont="1" applyBorder="1" applyAlignment="1">
      <alignment horizontal="center" vertical="center"/>
    </xf>
    <xf numFmtId="167" fontId="92" fillId="0" borderId="3" xfId="0" applyNumberFormat="1" applyFont="1" applyBorder="1" applyAlignment="1">
      <alignment horizontal="center" vertical="center"/>
    </xf>
    <xf numFmtId="167" fontId="92" fillId="0" borderId="4" xfId="0" applyNumberFormat="1" applyFont="1" applyBorder="1" applyAlignment="1">
      <alignment horizontal="center" vertical="center"/>
    </xf>
    <xf numFmtId="1" fontId="91" fillId="0" borderId="2" xfId="0" applyNumberFormat="1" applyFont="1" applyBorder="1" applyAlignment="1">
      <alignment horizontal="center" vertical="center"/>
    </xf>
    <xf numFmtId="1" fontId="91" fillId="0" borderId="3" xfId="0" applyNumberFormat="1" applyFont="1" applyBorder="1" applyAlignment="1">
      <alignment horizontal="center" vertical="center"/>
    </xf>
    <xf numFmtId="1" fontId="91" fillId="0" borderId="4" xfId="0" applyNumberFormat="1" applyFont="1" applyBorder="1" applyAlignment="1">
      <alignment horizontal="center" vertical="center"/>
    </xf>
    <xf numFmtId="0" fontId="0" fillId="0" borderId="58" xfId="0" applyBorder="1" applyAlignment="1">
      <alignment horizontal="center" vertical="center" wrapText="1"/>
    </xf>
    <xf numFmtId="0" fontId="0" fillId="0" borderId="12" xfId="0" applyBorder="1" applyAlignment="1">
      <alignment horizontal="center" vertical="center" wrapText="1"/>
    </xf>
    <xf numFmtId="177" fontId="0" fillId="3" borderId="12" xfId="0" applyNumberFormat="1" applyFill="1" applyBorder="1" applyAlignment="1">
      <alignment horizontal="center" vertical="center"/>
    </xf>
    <xf numFmtId="178" fontId="0" fillId="3" borderId="12" xfId="0" applyNumberFormat="1" applyFill="1" applyBorder="1" applyAlignment="1">
      <alignment horizontal="center" vertical="center"/>
    </xf>
    <xf numFmtId="178" fontId="0" fillId="3" borderId="13" xfId="0" applyNumberFormat="1" applyFill="1" applyBorder="1" applyAlignment="1">
      <alignment horizontal="center" vertical="center"/>
    </xf>
    <xf numFmtId="178" fontId="22" fillId="18" borderId="12" xfId="0" applyNumberFormat="1" applyFont="1" applyFill="1" applyBorder="1" applyAlignment="1">
      <alignment horizontal="center" vertical="center"/>
    </xf>
    <xf numFmtId="178" fontId="22" fillId="18" borderId="37" xfId="0" applyNumberFormat="1" applyFont="1" applyFill="1" applyBorder="1" applyAlignment="1">
      <alignment horizontal="center" vertical="center"/>
    </xf>
    <xf numFmtId="0" fontId="0" fillId="0" borderId="6" xfId="0" applyBorder="1" applyAlignment="1">
      <alignment horizontal="center" vertical="center" wrapText="1"/>
    </xf>
    <xf numFmtId="178" fontId="0" fillId="3" borderId="6" xfId="0" applyNumberFormat="1" applyFill="1" applyBorder="1" applyAlignment="1">
      <alignment horizontal="center" vertical="center"/>
    </xf>
    <xf numFmtId="178" fontId="0" fillId="3" borderId="50" xfId="0" applyNumberFormat="1" applyFill="1" applyBorder="1" applyAlignment="1">
      <alignment horizontal="center" vertical="center"/>
    </xf>
    <xf numFmtId="178" fontId="22" fillId="18" borderId="6" xfId="0" applyNumberFormat="1" applyFont="1" applyFill="1" applyBorder="1" applyAlignment="1">
      <alignment horizontal="center" vertical="center"/>
    </xf>
    <xf numFmtId="178" fontId="22" fillId="18" borderId="7" xfId="0" applyNumberFormat="1" applyFont="1" applyFill="1" applyBorder="1" applyAlignment="1">
      <alignment horizontal="center" vertical="center"/>
    </xf>
    <xf numFmtId="0" fontId="97" fillId="0" borderId="1" xfId="0" applyFont="1" applyBorder="1" applyAlignment="1">
      <alignment vertical="center" wrapText="1"/>
    </xf>
    <xf numFmtId="0" fontId="22" fillId="0" borderId="21" xfId="0" applyFont="1" applyBorder="1" applyAlignment="1">
      <alignment horizontal="center" vertical="center" wrapText="1"/>
    </xf>
    <xf numFmtId="164" fontId="22" fillId="0" borderId="9" xfId="0" applyNumberFormat="1" applyFont="1" applyBorder="1" applyAlignment="1">
      <alignment horizontal="center" vertical="center" wrapText="1"/>
    </xf>
    <xf numFmtId="0" fontId="22" fillId="0" borderId="10" xfId="0" applyFont="1" applyBorder="1" applyAlignment="1">
      <alignment horizontal="center" vertical="center" wrapText="1"/>
    </xf>
    <xf numFmtId="190" fontId="22" fillId="3" borderId="1" xfId="0" applyNumberFormat="1" applyFont="1" applyFill="1" applyBorder="1" applyAlignment="1">
      <alignment horizontal="center" vertical="center" wrapText="1"/>
    </xf>
    <xf numFmtId="0" fontId="22" fillId="0" borderId="88" xfId="0" applyFont="1" applyBorder="1" applyAlignment="1">
      <alignment horizontal="center" vertical="center" wrapText="1"/>
    </xf>
    <xf numFmtId="0" fontId="22" fillId="0" borderId="71" xfId="0" applyFont="1" applyBorder="1" applyAlignment="1">
      <alignment horizontal="center" vertical="center" wrapText="1"/>
    </xf>
    <xf numFmtId="220" fontId="22" fillId="3" borderId="63" xfId="0" applyNumberFormat="1" applyFont="1" applyFill="1" applyBorder="1" applyAlignment="1">
      <alignment horizontal="center" vertical="center" wrapText="1"/>
    </xf>
    <xf numFmtId="220" fontId="22" fillId="3" borderId="23" xfId="0" applyNumberFormat="1" applyFont="1" applyFill="1" applyBorder="1" applyAlignment="1">
      <alignment horizontal="center" vertical="center" wrapText="1"/>
    </xf>
    <xf numFmtId="220" fontId="22" fillId="3" borderId="57" xfId="0" applyNumberFormat="1" applyFont="1" applyFill="1" applyBorder="1" applyAlignment="1">
      <alignment horizontal="center" vertical="center" wrapText="1"/>
    </xf>
    <xf numFmtId="190" fontId="22" fillId="18" borderId="71" xfId="6" applyNumberFormat="1" applyFont="1" applyFill="1" applyBorder="1" applyAlignment="1">
      <alignment horizontal="center" vertical="center"/>
    </xf>
    <xf numFmtId="190" fontId="22" fillId="18" borderId="62" xfId="6" applyNumberFormat="1" applyFont="1" applyFill="1" applyBorder="1" applyAlignment="1">
      <alignment horizontal="center" vertical="center"/>
    </xf>
    <xf numFmtId="164" fontId="92" fillId="0" borderId="18" xfId="0" applyNumberFormat="1" applyFont="1" applyBorder="1" applyAlignment="1">
      <alignment horizontal="center" vertical="center" wrapText="1"/>
    </xf>
    <xf numFmtId="164" fontId="92" fillId="0" borderId="11" xfId="0" applyNumberFormat="1" applyFont="1" applyBorder="1" applyAlignment="1">
      <alignment horizontal="center" vertical="center" wrapText="1"/>
    </xf>
    <xf numFmtId="164" fontId="92" fillId="0" borderId="19" xfId="0" applyNumberFormat="1" applyFont="1" applyBorder="1" applyAlignment="1">
      <alignment horizontal="center" vertical="center" wrapText="1"/>
    </xf>
    <xf numFmtId="0" fontId="18" fillId="13" borderId="95" xfId="0" applyFont="1" applyFill="1" applyBorder="1" applyAlignment="1" applyProtection="1">
      <alignment horizontal="center" vertical="center" wrapText="1"/>
      <protection locked="0"/>
    </xf>
    <xf numFmtId="0" fontId="18" fillId="13" borderId="96" xfId="0" applyFont="1" applyFill="1" applyBorder="1" applyAlignment="1" applyProtection="1">
      <alignment horizontal="center" vertical="center" wrapText="1"/>
      <protection locked="0"/>
    </xf>
    <xf numFmtId="0" fontId="18" fillId="13" borderId="97" xfId="0" applyFont="1" applyFill="1" applyBorder="1" applyAlignment="1" applyProtection="1">
      <alignment horizontal="center" vertical="center" wrapText="1"/>
      <protection locked="0"/>
    </xf>
    <xf numFmtId="0" fontId="18" fillId="13" borderId="98" xfId="0" applyFont="1" applyFill="1" applyBorder="1" applyAlignment="1" applyProtection="1">
      <alignment horizontal="center" vertical="center" wrapText="1"/>
      <protection locked="0"/>
    </xf>
    <xf numFmtId="0" fontId="18" fillId="13" borderId="99" xfId="0" applyFont="1" applyFill="1" applyBorder="1" applyAlignment="1" applyProtection="1">
      <alignment horizontal="center" vertical="center" wrapText="1"/>
      <protection locked="0"/>
    </xf>
    <xf numFmtId="0" fontId="18" fillId="13" borderId="100" xfId="0" applyFont="1" applyFill="1" applyBorder="1" applyAlignment="1" applyProtection="1">
      <alignment horizontal="center" vertical="center" wrapText="1"/>
      <protection locked="0"/>
    </xf>
    <xf numFmtId="0" fontId="92" fillId="11" borderId="2" xfId="0" applyFont="1" applyFill="1" applyBorder="1" applyAlignment="1">
      <alignment horizontal="center" vertical="center" wrapText="1"/>
    </xf>
    <xf numFmtId="0" fontId="92" fillId="11" borderId="3" xfId="0" applyFont="1" applyFill="1" applyBorder="1" applyAlignment="1">
      <alignment horizontal="center" vertical="center" wrapText="1"/>
    </xf>
    <xf numFmtId="0" fontId="92" fillId="11" borderId="4" xfId="0" applyFont="1" applyFill="1" applyBorder="1" applyAlignment="1">
      <alignment horizontal="center" vertical="center" wrapText="1"/>
    </xf>
    <xf numFmtId="0" fontId="100" fillId="11" borderId="1" xfId="0" quotePrefix="1" applyFont="1" applyFill="1" applyBorder="1" applyAlignment="1">
      <alignment horizontal="center" vertical="center"/>
    </xf>
    <xf numFmtId="0" fontId="58" fillId="0" borderId="14" xfId="0" applyFont="1" applyBorder="1" applyAlignment="1">
      <alignment horizontal="center" vertical="center"/>
    </xf>
    <xf numFmtId="0" fontId="58" fillId="0" borderId="0" xfId="0" applyFont="1" applyAlignment="1">
      <alignment horizontal="center" vertical="center"/>
    </xf>
    <xf numFmtId="0" fontId="91" fillId="0" borderId="12" xfId="0" quotePrefix="1" applyFont="1" applyBorder="1" applyAlignment="1">
      <alignment horizontal="center" wrapText="1"/>
    </xf>
    <xf numFmtId="0" fontId="91" fillId="0" borderId="1" xfId="0" quotePrefix="1" applyFont="1" applyBorder="1" applyAlignment="1">
      <alignment horizontal="center" wrapText="1"/>
    </xf>
    <xf numFmtId="190" fontId="22" fillId="3" borderId="9" xfId="6" applyNumberFormat="1" applyFont="1" applyFill="1" applyBorder="1" applyAlignment="1">
      <alignment horizontal="center" vertical="center"/>
    </xf>
    <xf numFmtId="178" fontId="0" fillId="18" borderId="42" xfId="0" applyNumberFormat="1" applyFill="1" applyBorder="1" applyAlignment="1">
      <alignment horizontal="center" vertical="center"/>
    </xf>
    <xf numFmtId="0" fontId="22" fillId="0" borderId="70" xfId="0" applyFont="1" applyBorder="1" applyAlignment="1">
      <alignment horizontal="center"/>
    </xf>
    <xf numFmtId="0" fontId="22" fillId="0" borderId="22" xfId="0" applyFont="1" applyBorder="1" applyAlignment="1">
      <alignment horizontal="center"/>
    </xf>
    <xf numFmtId="0" fontId="22" fillId="0" borderId="18" xfId="0" applyFont="1" applyBorder="1" applyAlignment="1">
      <alignment horizontal="center"/>
    </xf>
    <xf numFmtId="165" fontId="22" fillId="3" borderId="70" xfId="0" applyNumberFormat="1" applyFont="1" applyFill="1" applyBorder="1" applyAlignment="1">
      <alignment horizontal="center"/>
    </xf>
    <xf numFmtId="165" fontId="22" fillId="3" borderId="22" xfId="0" applyNumberFormat="1" applyFont="1" applyFill="1" applyBorder="1" applyAlignment="1">
      <alignment horizontal="center"/>
    </xf>
    <xf numFmtId="165" fontId="22" fillId="3" borderId="67" xfId="0" applyNumberFormat="1" applyFont="1" applyFill="1" applyBorder="1" applyAlignment="1">
      <alignment horizontal="center"/>
    </xf>
    <xf numFmtId="2" fontId="22" fillId="3" borderId="19" xfId="0" applyNumberFormat="1" applyFont="1" applyFill="1" applyBorder="1" applyAlignment="1">
      <alignment horizontal="center"/>
    </xf>
    <xf numFmtId="2" fontId="22" fillId="3" borderId="22" xfId="0" applyNumberFormat="1" applyFont="1" applyFill="1" applyBorder="1" applyAlignment="1">
      <alignment horizontal="center"/>
    </xf>
    <xf numFmtId="2" fontId="22" fillId="3" borderId="67" xfId="0" applyNumberFormat="1" applyFont="1" applyFill="1" applyBorder="1" applyAlignment="1">
      <alignment horizontal="center"/>
    </xf>
    <xf numFmtId="4" fontId="22" fillId="18" borderId="46" xfId="0" applyNumberFormat="1" applyFont="1" applyFill="1" applyBorder="1" applyAlignment="1">
      <alignment horizontal="center"/>
    </xf>
    <xf numFmtId="4" fontId="22" fillId="18" borderId="47" xfId="0" applyNumberFormat="1" applyFont="1" applyFill="1" applyBorder="1" applyAlignment="1">
      <alignment horizontal="center"/>
    </xf>
    <xf numFmtId="4" fontId="22" fillId="18" borderId="48" xfId="0" applyNumberFormat="1" applyFont="1" applyFill="1" applyBorder="1" applyAlignment="1">
      <alignment horizontal="center"/>
    </xf>
    <xf numFmtId="0" fontId="22" fillId="0" borderId="8" xfId="0" applyFont="1" applyBorder="1" applyAlignment="1">
      <alignment horizontal="center"/>
    </xf>
    <xf numFmtId="0" fontId="22" fillId="0" borderId="9" xfId="0" applyFont="1" applyBorder="1" applyAlignment="1">
      <alignment horizontal="center"/>
    </xf>
    <xf numFmtId="0" fontId="22" fillId="0" borderId="40" xfId="0" applyFont="1" applyBorder="1" applyAlignment="1">
      <alignment horizontal="center"/>
    </xf>
    <xf numFmtId="165" fontId="22" fillId="3" borderId="8" xfId="0" applyNumberFormat="1" applyFont="1" applyFill="1" applyBorder="1" applyAlignment="1">
      <alignment horizontal="center"/>
    </xf>
    <xf numFmtId="165" fontId="22" fillId="3" borderId="9" xfId="0" applyNumberFormat="1" applyFont="1" applyFill="1" applyBorder="1" applyAlignment="1">
      <alignment horizontal="center"/>
    </xf>
    <xf numFmtId="165" fontId="22" fillId="3" borderId="10" xfId="0" applyNumberFormat="1" applyFont="1" applyFill="1" applyBorder="1" applyAlignment="1">
      <alignment horizontal="center"/>
    </xf>
    <xf numFmtId="2" fontId="22" fillId="3" borderId="8" xfId="0" applyNumberFormat="1" applyFont="1" applyFill="1" applyBorder="1" applyAlignment="1">
      <alignment horizontal="center"/>
    </xf>
    <xf numFmtId="2" fontId="22" fillId="3" borderId="9" xfId="0" applyNumberFormat="1" applyFont="1" applyFill="1" applyBorder="1" applyAlignment="1">
      <alignment horizontal="center"/>
    </xf>
    <xf numFmtId="2" fontId="22" fillId="3" borderId="10" xfId="0" applyNumberFormat="1" applyFont="1" applyFill="1" applyBorder="1" applyAlignment="1">
      <alignment horizontal="center"/>
    </xf>
    <xf numFmtId="4" fontId="22" fillId="18" borderId="39" xfId="0" applyNumberFormat="1" applyFont="1" applyFill="1" applyBorder="1" applyAlignment="1">
      <alignment horizontal="center"/>
    </xf>
    <xf numFmtId="0" fontId="22" fillId="0" borderId="75" xfId="0" applyFont="1" applyBorder="1" applyAlignment="1">
      <alignment horizontal="center"/>
    </xf>
    <xf numFmtId="165" fontId="22" fillId="3" borderId="75" xfId="0" applyNumberFormat="1" applyFont="1" applyFill="1" applyBorder="1" applyAlignment="1">
      <alignment horizontal="center"/>
    </xf>
    <xf numFmtId="2" fontId="22" fillId="31" borderId="75" xfId="0" applyNumberFormat="1" applyFont="1" applyFill="1" applyBorder="1" applyAlignment="1">
      <alignment horizontal="center"/>
    </xf>
    <xf numFmtId="0" fontId="22" fillId="0" borderId="39" xfId="0" applyFont="1" applyBorder="1" applyAlignment="1">
      <alignment horizontal="center"/>
    </xf>
    <xf numFmtId="165" fontId="22" fillId="3" borderId="39" xfId="0" applyNumberFormat="1" applyFont="1" applyFill="1" applyBorder="1" applyAlignment="1">
      <alignment horizontal="center"/>
    </xf>
    <xf numFmtId="2" fontId="22" fillId="3" borderId="39" xfId="0" applyNumberFormat="1" applyFont="1" applyFill="1" applyBorder="1" applyAlignment="1">
      <alignment horizont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31" fillId="0" borderId="38"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165" fontId="22" fillId="3" borderId="50" xfId="0" applyNumberFormat="1" applyFont="1" applyFill="1" applyBorder="1" applyAlignment="1">
      <alignment horizontal="center"/>
    </xf>
    <xf numFmtId="165" fontId="22" fillId="3" borderId="47" xfId="0" applyNumberFormat="1" applyFont="1" applyFill="1" applyBorder="1" applyAlignment="1">
      <alignment horizontal="center"/>
    </xf>
    <xf numFmtId="165" fontId="22" fillId="3" borderId="49" xfId="0" applyNumberFormat="1" applyFont="1" applyFill="1" applyBorder="1" applyAlignment="1">
      <alignment horizontal="center"/>
    </xf>
    <xf numFmtId="2" fontId="22" fillId="3" borderId="50" xfId="0" applyNumberFormat="1" applyFont="1" applyFill="1" applyBorder="1" applyAlignment="1">
      <alignment horizontal="center"/>
    </xf>
    <xf numFmtId="2" fontId="22" fillId="3" borderId="47" xfId="0" applyNumberFormat="1" applyFont="1" applyFill="1" applyBorder="1" applyAlignment="1">
      <alignment horizontal="center"/>
    </xf>
    <xf numFmtId="2" fontId="22" fillId="3" borderId="48" xfId="0" applyNumberFormat="1" applyFont="1" applyFill="1" applyBorder="1" applyAlignment="1">
      <alignment horizontal="center"/>
    </xf>
    <xf numFmtId="2" fontId="22" fillId="18" borderId="50" xfId="0" applyNumberFormat="1" applyFont="1" applyFill="1" applyBorder="1" applyAlignment="1">
      <alignment horizontal="center"/>
    </xf>
    <xf numFmtId="2" fontId="22" fillId="18" borderId="47" xfId="0" applyNumberFormat="1" applyFont="1" applyFill="1" applyBorder="1" applyAlignment="1">
      <alignment horizontal="center"/>
    </xf>
    <xf numFmtId="2" fontId="22" fillId="18" borderId="48" xfId="0" applyNumberFormat="1" applyFont="1" applyFill="1" applyBorder="1" applyAlignment="1">
      <alignment horizontal="center"/>
    </xf>
    <xf numFmtId="165" fontId="22" fillId="3" borderId="35" xfId="0" applyNumberFormat="1" applyFont="1" applyFill="1" applyBorder="1" applyAlignment="1">
      <alignment horizontal="center"/>
    </xf>
    <xf numFmtId="165" fontId="22" fillId="3" borderId="3" xfId="0" applyNumberFormat="1" applyFont="1" applyFill="1" applyBorder="1" applyAlignment="1">
      <alignment horizontal="center"/>
    </xf>
    <xf numFmtId="165" fontId="22" fillId="3" borderId="4" xfId="0" applyNumberFormat="1" applyFont="1" applyFill="1" applyBorder="1" applyAlignment="1">
      <alignment horizontal="center"/>
    </xf>
    <xf numFmtId="2" fontId="22" fillId="3" borderId="2" xfId="0" applyNumberFormat="1" applyFont="1" applyFill="1" applyBorder="1" applyAlignment="1">
      <alignment horizontal="center"/>
    </xf>
    <xf numFmtId="2" fontId="22" fillId="3" borderId="3" xfId="0" applyNumberFormat="1" applyFont="1" applyFill="1" applyBorder="1" applyAlignment="1">
      <alignment horizontal="center"/>
    </xf>
    <xf numFmtId="2" fontId="22" fillId="3" borderId="36" xfId="0" applyNumberFormat="1" applyFont="1" applyFill="1" applyBorder="1" applyAlignment="1">
      <alignment horizontal="center"/>
    </xf>
    <xf numFmtId="165" fontId="22" fillId="3" borderId="2" xfId="0" applyNumberFormat="1" applyFont="1" applyFill="1" applyBorder="1" applyAlignment="1">
      <alignment horizontal="center"/>
    </xf>
    <xf numFmtId="2" fontId="22" fillId="18" borderId="2" xfId="0" applyNumberFormat="1" applyFont="1" applyFill="1" applyBorder="1" applyAlignment="1">
      <alignment horizontal="center"/>
    </xf>
    <xf numFmtId="2" fontId="22" fillId="18" borderId="3" xfId="0" applyNumberFormat="1" applyFont="1" applyFill="1" applyBorder="1" applyAlignment="1">
      <alignment horizontal="center"/>
    </xf>
    <xf numFmtId="2" fontId="22" fillId="18" borderId="36" xfId="0" applyNumberFormat="1" applyFont="1" applyFill="1" applyBorder="1" applyAlignment="1">
      <alignment horizontal="center"/>
    </xf>
    <xf numFmtId="0" fontId="22" fillId="0" borderId="31" xfId="0" applyFont="1" applyBorder="1" applyAlignment="1">
      <alignment horizontal="center" vertical="center"/>
    </xf>
    <xf numFmtId="0" fontId="22" fillId="0" borderId="30" xfId="0" applyFont="1" applyBorder="1" applyAlignment="1">
      <alignment horizontal="center" vertical="center"/>
    </xf>
    <xf numFmtId="0" fontId="22" fillId="0" borderId="56" xfId="0" applyFont="1" applyBorder="1" applyAlignment="1">
      <alignment horizontal="center" vertical="center"/>
    </xf>
    <xf numFmtId="0" fontId="22" fillId="0" borderId="33" xfId="0" applyFont="1" applyBorder="1" applyAlignment="1">
      <alignment horizontal="center" vertical="center"/>
    </xf>
    <xf numFmtId="0" fontId="22" fillId="0" borderId="17" xfId="0" applyFont="1" applyBorder="1" applyAlignment="1">
      <alignment horizontal="center" vertical="center"/>
    </xf>
    <xf numFmtId="0" fontId="22" fillId="0" borderId="34" xfId="0" applyFont="1" applyBorder="1" applyAlignment="1">
      <alignment horizontal="center" vertical="center"/>
    </xf>
    <xf numFmtId="0" fontId="22" fillId="0" borderId="23" xfId="0" applyFont="1" applyBorder="1" applyAlignment="1">
      <alignment horizontal="center" vertical="center"/>
    </xf>
    <xf numFmtId="0" fontId="22" fillId="0" borderId="57" xfId="0" applyFont="1" applyBorder="1" applyAlignment="1">
      <alignment horizontal="center" vertical="center"/>
    </xf>
    <xf numFmtId="0" fontId="22" fillId="0" borderId="65" xfId="0" applyFont="1" applyBorder="1" applyAlignment="1">
      <alignment horizontal="center" vertical="center"/>
    </xf>
    <xf numFmtId="0" fontId="22" fillId="0" borderId="18" xfId="0" applyFont="1" applyBorder="1" applyAlignment="1">
      <alignment horizontal="center" vertical="center"/>
    </xf>
    <xf numFmtId="0" fontId="22" fillId="0" borderId="11" xfId="0" applyFont="1" applyBorder="1" applyAlignment="1">
      <alignment horizontal="center" vertical="center"/>
    </xf>
    <xf numFmtId="0" fontId="22" fillId="0" borderId="19" xfId="0" applyFont="1" applyBorder="1" applyAlignment="1">
      <alignment horizontal="center" vertical="center"/>
    </xf>
    <xf numFmtId="0" fontId="22" fillId="0" borderId="50" xfId="0" applyFont="1" applyBorder="1" applyAlignment="1">
      <alignment horizontal="center"/>
    </xf>
    <xf numFmtId="0" fontId="22" fillId="0" borderId="47" xfId="0" applyFont="1" applyBorder="1" applyAlignment="1">
      <alignment horizontal="center"/>
    </xf>
    <xf numFmtId="165" fontId="22" fillId="3" borderId="46" xfId="0" applyNumberFormat="1" applyFont="1" applyFill="1" applyBorder="1" applyAlignment="1">
      <alignment horizont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22" fillId="0" borderId="63" xfId="0" applyFont="1" applyBorder="1" applyAlignment="1">
      <alignment horizontal="center" vertical="center"/>
    </xf>
    <xf numFmtId="0" fontId="22" fillId="0" borderId="41" xfId="0" applyFont="1" applyBorder="1" applyAlignment="1">
      <alignment horizontal="center"/>
    </xf>
    <xf numFmtId="165" fontId="22" fillId="3" borderId="43" xfId="0" applyNumberFormat="1" applyFont="1" applyFill="1" applyBorder="1" applyAlignment="1">
      <alignment horizontal="center"/>
    </xf>
    <xf numFmtId="165" fontId="22" fillId="3" borderId="41" xfId="0" applyNumberFormat="1" applyFont="1" applyFill="1" applyBorder="1" applyAlignment="1">
      <alignment horizontal="center"/>
    </xf>
    <xf numFmtId="165" fontId="22" fillId="3" borderId="42" xfId="0" applyNumberFormat="1" applyFont="1" applyFill="1" applyBorder="1" applyAlignment="1">
      <alignment horizontal="center"/>
    </xf>
    <xf numFmtId="2" fontId="22" fillId="3" borderId="40" xfId="0" applyNumberFormat="1" applyFont="1" applyFill="1" applyBorder="1" applyAlignment="1">
      <alignment horizontal="center"/>
    </xf>
    <xf numFmtId="2" fontId="22" fillId="3" borderId="41" xfId="0" applyNumberFormat="1" applyFont="1" applyFill="1" applyBorder="1" applyAlignment="1">
      <alignment horizontal="center"/>
    </xf>
    <xf numFmtId="2" fontId="22" fillId="3" borderId="51" xfId="0" applyNumberFormat="1" applyFont="1" applyFill="1" applyBorder="1" applyAlignment="1">
      <alignment horizontal="center"/>
    </xf>
    <xf numFmtId="165" fontId="22" fillId="3" borderId="40" xfId="0" applyNumberFormat="1" applyFont="1" applyFill="1" applyBorder="1" applyAlignment="1">
      <alignment horizontal="center"/>
    </xf>
    <xf numFmtId="2" fontId="22" fillId="18" borderId="40" xfId="0" applyNumberFormat="1" applyFont="1" applyFill="1" applyBorder="1" applyAlignment="1">
      <alignment horizontal="center"/>
    </xf>
    <xf numFmtId="2" fontId="22" fillId="18" borderId="41" xfId="0" applyNumberFormat="1" applyFont="1" applyFill="1" applyBorder="1" applyAlignment="1">
      <alignment horizontal="center"/>
    </xf>
    <xf numFmtId="2" fontId="22" fillId="18" borderId="51" xfId="0" applyNumberFormat="1" applyFont="1" applyFill="1" applyBorder="1" applyAlignment="1">
      <alignment horizontal="center"/>
    </xf>
    <xf numFmtId="9" fontId="22" fillId="0" borderId="2" xfId="1" applyFont="1" applyFill="1" applyBorder="1" applyAlignment="1">
      <alignment horizontal="center" vertical="center"/>
    </xf>
    <xf numFmtId="9" fontId="22" fillId="0" borderId="3" xfId="1" applyFont="1" applyFill="1" applyBorder="1" applyAlignment="1">
      <alignment horizontal="center" vertical="center"/>
    </xf>
    <xf numFmtId="9" fontId="22" fillId="0" borderId="4" xfId="1" applyFont="1" applyFill="1" applyBorder="1" applyAlignment="1">
      <alignment horizontal="center" vertical="center"/>
    </xf>
    <xf numFmtId="0" fontId="31" fillId="0" borderId="0" xfId="0" applyFont="1" applyAlignment="1">
      <alignment horizontal="left"/>
    </xf>
    <xf numFmtId="0" fontId="31" fillId="0" borderId="34" xfId="0" applyFont="1" applyBorder="1" applyAlignment="1">
      <alignment horizontal="center" vertical="center"/>
    </xf>
    <xf numFmtId="0" fontId="31" fillId="0" borderId="23" xfId="0" applyFont="1" applyBorder="1" applyAlignment="1">
      <alignment horizontal="center" vertical="center"/>
    </xf>
    <xf numFmtId="0" fontId="31" fillId="0" borderId="34" xfId="0" applyFont="1" applyBorder="1" applyAlignment="1">
      <alignment horizontal="center"/>
    </xf>
    <xf numFmtId="0" fontId="31" fillId="0" borderId="57" xfId="0" applyFont="1" applyBorder="1" applyAlignment="1">
      <alignment horizontal="center"/>
    </xf>
    <xf numFmtId="0" fontId="31" fillId="0" borderId="63" xfId="0" applyFont="1" applyBorder="1" applyAlignment="1">
      <alignment horizontal="center"/>
    </xf>
    <xf numFmtId="0" fontId="31" fillId="0" borderId="24" xfId="0" applyFont="1" applyBorder="1" applyAlignment="1">
      <alignment horizontal="center"/>
    </xf>
    <xf numFmtId="0" fontId="31" fillId="0" borderId="43" xfId="0" applyFont="1" applyBorder="1" applyAlignment="1">
      <alignment horizontal="center"/>
    </xf>
    <xf numFmtId="0" fontId="31" fillId="0" borderId="41" xfId="0" applyFont="1" applyBorder="1" applyAlignment="1">
      <alignment horizontal="center"/>
    </xf>
    <xf numFmtId="0" fontId="31" fillId="0" borderId="51" xfId="0" applyFont="1" applyBorder="1" applyAlignment="1">
      <alignment horizontal="center"/>
    </xf>
    <xf numFmtId="9" fontId="31" fillId="0" borderId="2" xfId="1" applyFont="1" applyFill="1" applyBorder="1" applyAlignment="1">
      <alignment horizontal="center" vertical="center" wrapText="1"/>
    </xf>
    <xf numFmtId="9" fontId="31" fillId="0" borderId="3" xfId="1" applyFont="1" applyFill="1" applyBorder="1" applyAlignment="1">
      <alignment horizontal="center" vertical="center" wrapText="1"/>
    </xf>
    <xf numFmtId="9" fontId="31" fillId="0" borderId="4" xfId="1" applyFont="1" applyFill="1" applyBorder="1" applyAlignment="1">
      <alignment horizontal="center" vertical="center" wrapText="1"/>
    </xf>
    <xf numFmtId="0" fontId="50" fillId="0" borderId="1" xfId="0" applyFont="1" applyBorder="1" applyAlignment="1">
      <alignment horizontal="left" vertical="center" wrapText="1"/>
    </xf>
    <xf numFmtId="0" fontId="50" fillId="0" borderId="1" xfId="0" quotePrefix="1" applyFont="1" applyBorder="1" applyAlignment="1">
      <alignment horizontal="left" vertical="center" wrapText="1"/>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164" fontId="50" fillId="0" borderId="1" xfId="0" applyNumberFormat="1" applyFont="1" applyBorder="1" applyAlignment="1">
      <alignment horizontal="center" vertical="center"/>
    </xf>
    <xf numFmtId="164" fontId="50" fillId="0" borderId="2" xfId="0" applyNumberFormat="1" applyFont="1" applyBorder="1" applyAlignment="1">
      <alignment horizontal="center" vertical="center"/>
    </xf>
    <xf numFmtId="164" fontId="50" fillId="0" borderId="3" xfId="0" applyNumberFormat="1" applyFont="1" applyBorder="1" applyAlignment="1">
      <alignment horizontal="center" vertical="center"/>
    </xf>
    <xf numFmtId="164" fontId="50" fillId="0" borderId="4" xfId="0" applyNumberFormat="1" applyFont="1" applyBorder="1" applyAlignment="1">
      <alignment horizontal="center" vertical="center"/>
    </xf>
    <xf numFmtId="0" fontId="50" fillId="0" borderId="1" xfId="0" quotePrefix="1" applyFont="1" applyBorder="1" applyAlignment="1">
      <alignment horizontal="center" vertical="center" wrapText="1"/>
    </xf>
    <xf numFmtId="0" fontId="51" fillId="0" borderId="1" xfId="0" applyFont="1" applyBorder="1" applyAlignment="1">
      <alignment horizontal="left" vertical="center"/>
    </xf>
    <xf numFmtId="0" fontId="31" fillId="0" borderId="32" xfId="0" applyFont="1" applyBorder="1" applyAlignment="1">
      <alignment horizontal="center" vertical="center"/>
    </xf>
    <xf numFmtId="0" fontId="31" fillId="0" borderId="24" xfId="0" applyFont="1" applyBorder="1" applyAlignment="1">
      <alignment horizontal="center" vertical="center"/>
    </xf>
    <xf numFmtId="0" fontId="22" fillId="0" borderId="76" xfId="0" applyFont="1" applyBorder="1" applyAlignment="1">
      <alignment horizontal="center"/>
    </xf>
    <xf numFmtId="187" fontId="22" fillId="3" borderId="27" xfId="0" applyNumberFormat="1" applyFont="1" applyFill="1" applyBorder="1" applyAlignment="1">
      <alignment horizontal="center"/>
    </xf>
    <xf numFmtId="187" fontId="22" fillId="3" borderId="28" xfId="0" applyNumberFormat="1" applyFont="1" applyFill="1" applyBorder="1" applyAlignment="1">
      <alignment horizontal="center"/>
    </xf>
    <xf numFmtId="187" fontId="22" fillId="3" borderId="29" xfId="0" applyNumberFormat="1" applyFont="1" applyFill="1" applyBorder="1" applyAlignment="1">
      <alignment horizontal="center"/>
    </xf>
    <xf numFmtId="2" fontId="22" fillId="31" borderId="76" xfId="0" applyNumberFormat="1" applyFont="1" applyFill="1" applyBorder="1" applyAlignment="1">
      <alignment horizontal="center"/>
    </xf>
    <xf numFmtId="4" fontId="22" fillId="18" borderId="76" xfId="0" applyNumberFormat="1" applyFont="1" applyFill="1" applyBorder="1" applyAlignment="1">
      <alignment horizont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69" xfId="0" applyFont="1" applyBorder="1" applyAlignment="1">
      <alignment horizontal="center" vertical="center"/>
    </xf>
    <xf numFmtId="0" fontId="22" fillId="0" borderId="65" xfId="0" applyFont="1" applyBorder="1" applyAlignment="1">
      <alignment horizontal="center"/>
    </xf>
    <xf numFmtId="0" fontId="22" fillId="0" borderId="30" xfId="0" applyFont="1" applyBorder="1" applyAlignment="1">
      <alignment horizontal="center"/>
    </xf>
    <xf numFmtId="0" fontId="22" fillId="0" borderId="32" xfId="0" applyFont="1" applyBorder="1" applyAlignment="1">
      <alignment horizontal="center"/>
    </xf>
    <xf numFmtId="187" fontId="22" fillId="3" borderId="46" xfId="0" applyNumberFormat="1" applyFont="1" applyFill="1" applyBorder="1" applyAlignment="1">
      <alignment horizontal="center"/>
    </xf>
    <xf numFmtId="187" fontId="22" fillId="3" borderId="47" xfId="0" applyNumberFormat="1" applyFont="1" applyFill="1" applyBorder="1" applyAlignment="1">
      <alignment horizontal="center"/>
    </xf>
    <xf numFmtId="187" fontId="22" fillId="3" borderId="49" xfId="0" applyNumberFormat="1" applyFont="1" applyFill="1" applyBorder="1" applyAlignment="1">
      <alignment horizontal="center"/>
    </xf>
    <xf numFmtId="4" fontId="22" fillId="3" borderId="50" xfId="0" applyNumberFormat="1" applyFont="1" applyFill="1" applyBorder="1" applyAlignment="1">
      <alignment horizontal="center"/>
    </xf>
    <xf numFmtId="4" fontId="22" fillId="3" borderId="47" xfId="0" applyNumberFormat="1" applyFont="1" applyFill="1" applyBorder="1" applyAlignment="1">
      <alignment horizontal="center"/>
    </xf>
    <xf numFmtId="4" fontId="22" fillId="3" borderId="48" xfId="0" applyNumberFormat="1" applyFont="1" applyFill="1" applyBorder="1" applyAlignment="1">
      <alignment horizontal="center"/>
    </xf>
    <xf numFmtId="0" fontId="22" fillId="0" borderId="51" xfId="0" applyFont="1" applyBorder="1" applyAlignment="1">
      <alignment horizontal="center"/>
    </xf>
    <xf numFmtId="187" fontId="22" fillId="3" borderId="43" xfId="0" applyNumberFormat="1" applyFont="1" applyFill="1" applyBorder="1" applyAlignment="1">
      <alignment horizontal="center"/>
    </xf>
    <xf numFmtId="187" fontId="22" fillId="3" borderId="41" xfId="0" applyNumberFormat="1" applyFont="1" applyFill="1" applyBorder="1" applyAlignment="1">
      <alignment horizontal="center"/>
    </xf>
    <xf numFmtId="187" fontId="22" fillId="3" borderId="42" xfId="0" applyNumberFormat="1" applyFont="1" applyFill="1" applyBorder="1" applyAlignment="1">
      <alignment horizontal="center"/>
    </xf>
    <xf numFmtId="4" fontId="22" fillId="3" borderId="40" xfId="0" applyNumberFormat="1" applyFont="1" applyFill="1" applyBorder="1" applyAlignment="1">
      <alignment horizontal="center"/>
    </xf>
    <xf numFmtId="4" fontId="22" fillId="3" borderId="41" xfId="0" applyNumberFormat="1" applyFont="1" applyFill="1" applyBorder="1" applyAlignment="1">
      <alignment horizontal="center"/>
    </xf>
    <xf numFmtId="4" fontId="22" fillId="3" borderId="51" xfId="0" applyNumberFormat="1" applyFont="1" applyFill="1" applyBorder="1" applyAlignment="1">
      <alignment horizontal="center"/>
    </xf>
    <xf numFmtId="4" fontId="22" fillId="18" borderId="41" xfId="0" applyNumberFormat="1" applyFont="1" applyFill="1" applyBorder="1" applyAlignment="1">
      <alignment horizontal="center"/>
    </xf>
    <xf numFmtId="4" fontId="22" fillId="18" borderId="51" xfId="0" applyNumberFormat="1" applyFont="1" applyFill="1" applyBorder="1" applyAlignment="1">
      <alignment horizontal="center"/>
    </xf>
    <xf numFmtId="0" fontId="22" fillId="0" borderId="16" xfId="0" applyFont="1" applyBorder="1" applyAlignment="1">
      <alignment horizontal="center"/>
    </xf>
    <xf numFmtId="0" fontId="22" fillId="0" borderId="0" xfId="0" applyFont="1" applyAlignment="1">
      <alignment horizontal="center"/>
    </xf>
    <xf numFmtId="0" fontId="22" fillId="0" borderId="13" xfId="0" applyFont="1" applyBorder="1" applyAlignment="1">
      <alignment horizontal="center"/>
    </xf>
    <xf numFmtId="0" fontId="22" fillId="0" borderId="14" xfId="0" applyFont="1" applyBorder="1" applyAlignment="1">
      <alignment horizontal="center"/>
    </xf>
    <xf numFmtId="0" fontId="50" fillId="0" borderId="1" xfId="0" applyFont="1" applyBorder="1" applyAlignment="1">
      <alignment horizontal="left" vertical="center"/>
    </xf>
    <xf numFmtId="1" fontId="50" fillId="0" borderId="1" xfId="0" applyNumberFormat="1" applyFont="1" applyBorder="1" applyAlignment="1">
      <alignment horizontal="center" vertical="center"/>
    </xf>
    <xf numFmtId="0" fontId="50" fillId="0" borderId="2"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2" xfId="0" quotePrefix="1" applyFont="1" applyBorder="1" applyAlignment="1">
      <alignment horizontal="center" vertical="center" wrapText="1"/>
    </xf>
    <xf numFmtId="0" fontId="50" fillId="0" borderId="3" xfId="0" quotePrefix="1" applyFont="1" applyBorder="1" applyAlignment="1">
      <alignment horizontal="center" vertical="center" wrapText="1"/>
    </xf>
    <xf numFmtId="0" fontId="50" fillId="0" borderId="4" xfId="0" quotePrefix="1" applyFont="1" applyBorder="1" applyAlignment="1">
      <alignment horizontal="center" vertical="center" wrapText="1"/>
    </xf>
    <xf numFmtId="0" fontId="50" fillId="0" borderId="2" xfId="0" applyFont="1" applyBorder="1" applyAlignment="1">
      <alignment vertical="center" wrapText="1"/>
    </xf>
    <xf numFmtId="0" fontId="50" fillId="0" borderId="3" xfId="0" applyFont="1" applyBorder="1" applyAlignment="1">
      <alignment vertical="center" wrapText="1"/>
    </xf>
    <xf numFmtId="0" fontId="50" fillId="0" borderId="4" xfId="0" applyFont="1" applyBorder="1" applyAlignment="1">
      <alignment vertical="center" wrapText="1"/>
    </xf>
  </cellXfs>
  <cellStyles count="21">
    <cellStyle name="Bad" xfId="5" builtinId="27"/>
    <cellStyle name="Comma" xfId="2" builtinId="3"/>
    <cellStyle name="Comma 2" xfId="6" xr:uid="{00000000-0005-0000-0000-000002000000}"/>
    <cellStyle name="Comma 3" xfId="17" xr:uid="{00000000-0005-0000-0000-000003000000}"/>
    <cellStyle name="Currency" xfId="3" builtinId="4"/>
    <cellStyle name="Currency 2" xfId="8" xr:uid="{00000000-0005-0000-0000-000005000000}"/>
    <cellStyle name="Currency 3" xfId="16" xr:uid="{00000000-0005-0000-0000-000006000000}"/>
    <cellStyle name="Hyperlink" xfId="4" builtinId="8"/>
    <cellStyle name="Hyperlink 2" xfId="13" xr:uid="{00000000-0005-0000-0000-000008000000}"/>
    <cellStyle name="Hyperlink 3" xfId="20" xr:uid="{00000000-0005-0000-0000-000009000000}"/>
    <cellStyle name="Normal" xfId="0" builtinId="0"/>
    <cellStyle name="Normal 13" xfId="18" xr:uid="{00000000-0005-0000-0000-00000C000000}"/>
    <cellStyle name="Normal 2" xfId="19" xr:uid="{00000000-0005-0000-0000-00000D000000}"/>
    <cellStyle name="Normal 2 2" xfId="10" xr:uid="{00000000-0005-0000-0000-00000E000000}"/>
    <cellStyle name="Normal 3" xfId="15" xr:uid="{00000000-0005-0000-0000-00000F000000}"/>
    <cellStyle name="Normal_Calc_Com Gas Fryer_product_04-29-09" xfId="12" xr:uid="{00000000-0005-0000-0000-000010000000}"/>
    <cellStyle name="Normal_Calc_Commercial Steam Cooker_product_060309" xfId="14" xr:uid="{00000000-0005-0000-0000-000011000000}"/>
    <cellStyle name="Normal_Calc_Computer_product" xfId="9" xr:uid="{00000000-0005-0000-0000-000012000000}"/>
    <cellStyle name="Normal_Commercial Electric Fryer calculator_product_092909" xfId="11" xr:uid="{00000000-0005-0000-0000-000013000000}"/>
    <cellStyle name="Percent" xfId="1" builtinId="5"/>
    <cellStyle name="Percent 2" xfId="7" xr:uid="{00000000-0005-0000-0000-000015000000}"/>
  </cellStyles>
  <dxfs count="198">
    <dxf>
      <numFmt numFmtId="213" formatCode="0.0\ &quot;SEER&quot;"/>
    </dxf>
    <dxf>
      <numFmt numFmtId="200" formatCode="0.0\ &quot;CEER&quot;"/>
    </dxf>
    <dxf>
      <numFmt numFmtId="213" formatCode="0.0\ &quot;SEER&quot;"/>
    </dxf>
    <dxf>
      <numFmt numFmtId="200" formatCode="0.0\ &quot;CEER&quot;"/>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strike val="0"/>
      </font>
      <fill>
        <patternFill>
          <bgColor rgb="FF92D050"/>
        </patternFill>
      </fill>
    </dxf>
    <dxf>
      <font>
        <b/>
        <i val="0"/>
      </font>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color theme="0" tint="-0.24994659260841701"/>
      </font>
    </dxf>
    <dxf>
      <font>
        <color theme="0" tint="-0.24994659260841701"/>
      </font>
    </dxf>
    <dxf>
      <font>
        <b/>
        <i val="0"/>
        <color indexed="10"/>
      </font>
    </dxf>
    <dxf>
      <font>
        <color theme="0" tint="-0.24994659260841701"/>
      </font>
    </dxf>
    <dxf>
      <font>
        <b/>
        <i val="0"/>
        <color indexed="10"/>
      </font>
    </dxf>
    <dxf>
      <font>
        <color theme="0" tint="-0.24994659260841701"/>
      </font>
    </dxf>
    <dxf>
      <font>
        <b/>
        <i val="0"/>
        <color indexed="10"/>
      </font>
    </dxf>
    <dxf>
      <font>
        <b/>
        <i val="0"/>
        <color indexed="10"/>
      </font>
    </dxf>
    <dxf>
      <font>
        <color theme="0"/>
      </font>
    </dxf>
    <dxf>
      <font>
        <color theme="0" tint="-0.24994659260841701"/>
      </font>
    </dxf>
    <dxf>
      <alignment horizontal="center" vertical="center" textRotation="0" wrapText="1" indent="0" justifyLastLine="0" shrinkToFit="0" readingOrder="0"/>
    </dxf>
    <dxf>
      <alignment horizontal="left" vertical="center" textRotation="0" wrapText="0" indent="0" justifyLastLine="0" shrinkToFit="0" readingOrder="0"/>
    </dxf>
    <dxf>
      <numFmt numFmtId="19" formatCode="m/d/yyyy"/>
      <alignment horizontal="left"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0" indent="0" justifyLastLine="0" shrinkToFit="0" readingOrder="0"/>
    </dxf>
    <dxf>
      <alignment horizontal="left" vertical="center"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5" tint="0.59999389629810485"/>
        </patternFill>
      </fill>
      <alignment horizontal="left" vertical="center" textRotation="0" wrapText="0" indent="0" justifyLastLine="0" shrinkToFit="0" readingOrder="0"/>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0FF"/>
      <color rgb="FFFFC000"/>
      <color rgb="FFFFCC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xml"/><Relationship Id="rId118" Type="http://schemas.openxmlformats.org/officeDocument/2006/relationships/customXml" Target="../customXml/item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115"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33.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xdr:col>
      <xdr:colOff>120650</xdr:colOff>
      <xdr:row>35</xdr:row>
      <xdr:rowOff>114300</xdr:rowOff>
    </xdr:to>
    <xdr:sp macro="" textlink="">
      <xdr:nvSpPr>
        <xdr:cNvPr id="330753" name="AutoShape 1" descr="Image result for hawaii energy logo">
          <a:extLst>
            <a:ext uri="{FF2B5EF4-FFF2-40B4-BE49-F238E27FC236}">
              <a16:creationId xmlns:a16="http://schemas.microsoft.com/office/drawing/2014/main" id="{407D4F50-4855-40B8-ABE8-F5075E73D329}"/>
            </a:ext>
          </a:extLst>
        </xdr:cNvPr>
        <xdr:cNvSpPr>
          <a:spLocks noChangeAspect="1" noChangeArrowheads="1"/>
        </xdr:cNvSpPr>
      </xdr:nvSpPr>
      <xdr:spPr bwMode="auto">
        <a:xfrm>
          <a:off x="0" y="607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171450</xdr:colOff>
      <xdr:row>1</xdr:row>
      <xdr:rowOff>47625</xdr:rowOff>
    </xdr:from>
    <xdr:to>
      <xdr:col>18</xdr:col>
      <xdr:colOff>152400</xdr:colOff>
      <xdr:row>6</xdr:row>
      <xdr:rowOff>158750</xdr:rowOff>
    </xdr:to>
    <xdr:pic>
      <xdr:nvPicPr>
        <xdr:cNvPr id="15" name="Picture 14" descr="Image result for hawaii energy logo">
          <a:extLst>
            <a:ext uri="{FF2B5EF4-FFF2-40B4-BE49-F238E27FC236}">
              <a16:creationId xmlns:a16="http://schemas.microsoft.com/office/drawing/2014/main" id="{C7C37386-171B-43B2-9F5B-8DA69709E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43150" y="23812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28</xdr:row>
      <xdr:rowOff>0</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BAAF9E73-047C-4E4F-9A9C-E2548991E29A}"/>
                </a:ext>
              </a:extLst>
            </xdr:cNvPr>
            <xdr:cNvSpPr txBox="1"/>
          </xdr:nvSpPr>
          <xdr:spPr>
            <a:xfrm>
              <a:off x="361950" y="79248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1</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FB5EAFE7-4A47-43BB-820D-6A3A47A71B1F}"/>
                </a:ext>
              </a:extLst>
            </xdr:cNvPr>
            <xdr:cNvSpPr txBox="1"/>
          </xdr:nvSpPr>
          <xdr:spPr>
            <a:xfrm>
              <a:off x="361951" y="86868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1</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A6EE5ABF-76C9-4234-98D8-5ACB1A3A1456}"/>
                </a:ext>
              </a:extLst>
            </xdr:cNvPr>
            <xdr:cNvSpPr txBox="1"/>
          </xdr:nvSpPr>
          <xdr:spPr>
            <a:xfrm>
              <a:off x="361950" y="94488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167640</xdr:colOff>
      <xdr:row>36</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C25738BC-26A4-4A4B-BEEB-0B20DFFF1A9B}"/>
                </a:ext>
              </a:extLst>
            </xdr:cNvPr>
            <xdr:cNvSpPr txBox="1"/>
          </xdr:nvSpPr>
          <xdr:spPr>
            <a:xfrm>
              <a:off x="348615" y="9372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28</xdr:row>
      <xdr:rowOff>0</xdr:rowOff>
    </xdr:from>
    <xdr:ext cx="24669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Choice>
      <mc:Fallback xmlns="">
        <xdr:sp macro="" textlink="">
          <xdr:nvSpPr>
            <xdr:cNvPr id="3" name="TextBox 2">
              <a:extLst>
                <a:ext uri="{FF2B5EF4-FFF2-40B4-BE49-F238E27FC236}">
                  <a16:creationId xmlns:a16="http://schemas.microsoft.com/office/drawing/2014/main" id="{49F4CBAD-305F-4253-A331-48461B7A54CD}"/>
                </a:ext>
              </a:extLst>
            </xdr:cNvPr>
            <xdr:cNvSpPr txBox="1"/>
          </xdr:nvSpPr>
          <xdr:spPr>
            <a:xfrm>
              <a:off x="361950" y="7829550"/>
              <a:ext cx="24669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a:solidFill>
                    <a:sysClr val="windowText" lastClr="000000"/>
                  </a:solidFill>
                  <a:latin typeface="Cambria Math" panose="02040503050406030204" pitchFamily="18" charset="0"/>
                  <a:ea typeface="Cambria Math" panose="02040503050406030204" pitchFamily="18" charset="0"/>
                </a:rPr>
                <a:t> </a:t>
              </a:r>
              <a:r>
                <a:rPr lang="en-US" sz="1100" i="1">
                  <a:solidFill>
                    <a:sysClr val="windowText" lastClr="000000"/>
                  </a:solidFill>
                  <a:latin typeface="Cambria Math" panose="02040503050406030204" pitchFamily="18" charset="0"/>
                  <a:ea typeface="Cambria Math" panose="02040503050406030204" pitchFamily="18" charset="0"/>
                </a:rPr>
                <a:t>DAYS</a:t>
              </a:r>
            </a:p>
          </xdr:txBody>
        </xdr:sp>
      </mc:Fallback>
    </mc:AlternateContent>
    <xdr:clientData/>
  </xdr:oneCellAnchor>
  <xdr:oneCellAnchor>
    <xdr:from>
      <xdr:col>2</xdr:col>
      <xdr:colOff>1</xdr:colOff>
      <xdr:row>32</xdr:row>
      <xdr:rowOff>0</xdr:rowOff>
    </xdr:from>
    <xdr:ext cx="2705100"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4C1EADF4-9BC1-49F7-B16A-D6E58248733B}"/>
                </a:ext>
              </a:extLst>
            </xdr:cNvPr>
            <xdr:cNvSpPr txBox="1"/>
          </xdr:nvSpPr>
          <xdr:spPr>
            <a:xfrm>
              <a:off x="361951" y="8591550"/>
              <a:ext cx="27051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oneCellAnchor>
    <xdr:from>
      <xdr:col>1</xdr:col>
      <xdr:colOff>167640</xdr:colOff>
      <xdr:row>63</xdr:row>
      <xdr:rowOff>19052</xdr:rowOff>
    </xdr:from>
    <xdr:ext cx="268604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78B4392-6ACB-4BF1-8B6B-5370E8EE5E77}"/>
                </a:ext>
              </a:extLst>
            </xdr:cNvPr>
            <xdr:cNvSpPr txBox="1"/>
          </xdr:nvSpPr>
          <xdr:spPr>
            <a:xfrm>
              <a:off x="358140" y="13944602"/>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9525</xdr:colOff>
      <xdr:row>27</xdr:row>
      <xdr:rowOff>171450</xdr:rowOff>
    </xdr:from>
    <xdr:ext cx="4600575" cy="2476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136CF7D0-934C-441E-8982-AA4A340B348B}"/>
                </a:ext>
              </a:extLst>
            </xdr:cNvPr>
            <xdr:cNvSpPr txBox="1"/>
          </xdr:nvSpPr>
          <xdr:spPr>
            <a:xfrm>
              <a:off x="371475" y="7943850"/>
              <a:ext cx="46005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xdr:colOff>
      <xdr:row>59</xdr:row>
      <xdr:rowOff>1</xdr:rowOff>
    </xdr:from>
    <xdr:ext cx="270510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F6786875-E9BC-4EF2-8922-54DB204457C8}"/>
                </a:ext>
              </a:extLst>
            </xdr:cNvPr>
            <xdr:cNvSpPr txBox="1"/>
          </xdr:nvSpPr>
          <xdr:spPr>
            <a:xfrm>
              <a:off x="361951" y="13868401"/>
              <a:ext cx="27051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57150</xdr:colOff>
      <xdr:row>31</xdr:row>
      <xdr:rowOff>160020</xdr:rowOff>
    </xdr:from>
    <xdr:ext cx="3762375" cy="2476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D767E45A-B227-4D6A-9E1D-E8E2284AFA30}"/>
                </a:ext>
              </a:extLst>
            </xdr:cNvPr>
            <xdr:cNvSpPr txBox="1"/>
          </xdr:nvSpPr>
          <xdr:spPr>
            <a:xfrm>
              <a:off x="438150" y="8561070"/>
              <a:ext cx="37623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𝑏𝑎𝑠𝑒</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59054</xdr:colOff>
      <xdr:row>33</xdr:row>
      <xdr:rowOff>161925</xdr:rowOff>
    </xdr:from>
    <xdr:ext cx="4551046" cy="2476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r>
                      <a:rPr lang="en-US" sz="1100" i="1">
                        <a:solidFill>
                          <a:schemeClr val="tx1"/>
                        </a:solidFill>
                        <a:effectLst/>
                        <a:latin typeface="Cambria Math" panose="02040503050406030204" pitchFamily="18" charset="0"/>
                        <a:ea typeface="+mn-ea"/>
                        <a:cs typeface="+mn-cs"/>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FF15E1BD-A4CA-48EE-AB81-1E66348CF2AF}"/>
                </a:ext>
              </a:extLst>
            </xdr:cNvPr>
            <xdr:cNvSpPr txBox="1"/>
          </xdr:nvSpPr>
          <xdr:spPr>
            <a:xfrm>
              <a:off x="440054" y="8943975"/>
              <a:ext cx="4551046"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57151</xdr:colOff>
      <xdr:row>36</xdr:row>
      <xdr:rowOff>11429</xdr:rowOff>
    </xdr:from>
    <xdr:ext cx="5143500" cy="35814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m:t>
                          </m:r>
                          <m:r>
                            <a:rPr lang="en-US" sz="1100" b="0" i="1" baseline="0">
                              <a:solidFill>
                                <a:schemeClr val="tx1"/>
                              </a:solidFill>
                              <a:effectLst/>
                              <a:latin typeface="Cambria Math" panose="02040503050406030204" pitchFamily="18" charset="0"/>
                              <a:ea typeface="+mn-ea"/>
                              <a:cs typeface="+mn-cs"/>
                            </a:rPr>
                            <m:t>𝑖</m:t>
                          </m:r>
                          <m:r>
                            <a:rPr lang="en-US" sz="1100" b="0" i="1">
                              <a:solidFill>
                                <a:schemeClr val="tx1"/>
                              </a:solidFill>
                              <a:effectLst/>
                              <a:latin typeface="Cambria Math" panose="02040503050406030204" pitchFamily="18" charset="0"/>
                              <a:ea typeface="+mn-ea"/>
                              <a:cs typeface="+mn-cs"/>
                            </a:rPr>
                            <m:t>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EE6B179E-8549-4ED9-9843-7C184DC354FF}"/>
                </a:ext>
              </a:extLst>
            </xdr:cNvPr>
            <xdr:cNvSpPr txBox="1"/>
          </xdr:nvSpPr>
          <xdr:spPr>
            <a:xfrm>
              <a:off x="419101" y="9498329"/>
              <a:ext cx="5143500" cy="3581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a:t>
              </a:r>
              <a:r>
                <a:rPr lang="en-US" sz="1100" b="0" i="0" baseline="0">
                  <a:solidFill>
                    <a:schemeClr val="tx1"/>
                  </a:solidFill>
                  <a:effectLst/>
                  <a:latin typeface="Cambria Math" panose="02040503050406030204" pitchFamily="18" charset="0"/>
                  <a:ea typeface="+mn-ea"/>
                  <a:cs typeface="+mn-cs"/>
                </a:rPr>
                <a:t>𝑖</a:t>
              </a:r>
              <a:r>
                <a:rPr lang="en-US" sz="1100" b="0" i="0">
                  <a:solidFill>
                    <a:schemeClr val="tx1"/>
                  </a:solidFill>
                  <a:effectLst/>
                  <a:latin typeface="Cambria Math" panose="02040503050406030204" pitchFamily="18" charset="0"/>
                  <a:ea typeface="+mn-ea"/>
                  <a:cs typeface="+mn-cs"/>
                </a:rPr>
                <a:t>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55245</xdr:colOff>
      <xdr:row>39</xdr:row>
      <xdr:rowOff>11429</xdr:rowOff>
    </xdr:from>
    <xdr:ext cx="4821556" cy="55054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𝑤𝑎𝑡𝑒𝑟h𝑒𝑎𝑡𝑒𝑟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lgn="l"/>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𝑇𝑤𝑎𝑡𝑒𝑟h𝑒𝑎𝑡𝑒𝑟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𝐸𝑓𝑓𝑤𝑎𝑡𝑒𝑟h𝑒𝑎𝑡𝑒𝑟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2A0DC4DD-F86C-471D-ABB0-88BDD2D6C69B}"/>
                </a:ext>
              </a:extLst>
            </xdr:cNvPr>
            <xdr:cNvSpPr txBox="1"/>
          </xdr:nvSpPr>
          <xdr:spPr>
            <a:xfrm>
              <a:off x="417195" y="10069829"/>
              <a:ext cx="4821556" cy="5505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𝑤𝑎𝑡𝑒𝑟ℎ𝑒𝑎𝑡𝑒𝑟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lgn="l"/>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EnergyStar</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𝑇𝑤𝑎𝑡𝑒𝑟ℎ𝑒𝑎𝑡𝑒𝑟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)/𝐸𝑓𝑓𝑤𝑎𝑡𝑒𝑟ℎ𝑒𝑎𝑡𝑒𝑟)∗(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49530</xdr:colOff>
      <xdr:row>43</xdr:row>
      <xdr:rowOff>19051</xdr:rowOff>
    </xdr:from>
    <xdr:ext cx="5046346" cy="35242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𝐸𝑓𝑓𝑏𝑜𝑜𝑠𝑡𝑒𝑟h𝑒𝑎𝑡𝑒𝑟</m:t>
                          </m:r>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BF1DC725-A9BD-438E-AF64-03934A7C797A}"/>
                </a:ext>
              </a:extLst>
            </xdr:cNvPr>
            <xdr:cNvSpPr txBox="1"/>
          </xdr:nvSpPr>
          <xdr:spPr>
            <a:xfrm>
              <a:off x="411480" y="10839451"/>
              <a:ext cx="5046346" cy="35242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𝑏𝑎𝑠𝑒</a:t>
              </a:r>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∗𝑅𝑃𝐷∗𝐷𝐴𝑌𝑆)∗((</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)/𝐸𝑓𝑓𝑏𝑜𝑜𝑠𝑡𝑒𝑟ℎ𝑒𝑎𝑡𝑒𝑟)∗(</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66676</xdr:colOff>
      <xdr:row>46</xdr:row>
      <xdr:rowOff>9525</xdr:rowOff>
    </xdr:from>
    <xdr:ext cx="4629150" cy="5334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𝑏𝑜𝑜𝑠𝑡𝑒𝑟h𝑒𝑎𝑡𝑒𝑟</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𝑊𝑎𝑡𝑒𝑟𝑈𝑠𝑒</m:t>
                  </m:r>
                </m:oMath>
              </a14:m>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𝑇𝑏𝑜𝑜𝑠𝑡𝑒𝑟h</m:t>
                          </m:r>
                          <m:r>
                            <a:rPr lang="en-US" sz="1100" b="0" i="1" baseline="0">
                              <a:solidFill>
                                <a:schemeClr val="tx1"/>
                              </a:solidFill>
                              <a:effectLst/>
                              <a:latin typeface="Cambria Math" panose="02040503050406030204" pitchFamily="18" charset="0"/>
                              <a:ea typeface="+mn-ea"/>
                              <a:cs typeface="+mn-cs"/>
                            </a:rPr>
                            <m:t>𝑒𝑎𝑡𝑒𝑟</m:t>
                          </m:r>
                          <m:r>
                            <a:rPr lang="en-US" sz="1100" b="0" i="1">
                              <a:solidFill>
                                <a:schemeClr val="tx1"/>
                              </a:solidFill>
                              <a:effectLst/>
                              <a:latin typeface="Cambria Math" panose="02040503050406030204" pitchFamily="18" charset="0"/>
                              <a:ea typeface="+mn-ea"/>
                              <a:cs typeface="+mn-cs"/>
                            </a:rPr>
                            <m:t> ∗ </m:t>
                          </m:r>
                          <m:r>
                            <a:rPr lang="en-US" sz="110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𝑝</m:t>
                          </m:r>
                          <m:r>
                            <a:rPr lang="en-US" sz="1100" b="0" i="1">
                              <a:solidFill>
                                <a:schemeClr val="tx1"/>
                              </a:solidFill>
                              <a:effectLst/>
                              <a:latin typeface="Cambria Math" panose="02040503050406030204" pitchFamily="18" charset="0"/>
                              <a:ea typeface="+mn-ea"/>
                              <a:cs typeface="+mn-cs"/>
                            </a:rPr>
                            <m:t> ∗ </m:t>
                          </m:r>
                          <m:r>
                            <m:rPr>
                              <m:sty m:val="p"/>
                            </m:rPr>
                            <a:rPr lang="el-GR" sz="1100" b="0" i="1">
                              <a:solidFill>
                                <a:schemeClr val="tx1"/>
                              </a:solidFill>
                              <a:effectLst/>
                              <a:latin typeface="Cambria Math" panose="02040503050406030204" pitchFamily="18" charset="0"/>
                              <a:ea typeface="+mn-ea"/>
                              <a:cs typeface="+mn-cs"/>
                            </a:rPr>
                            <m:t>ρ</m:t>
                          </m:r>
                          <m:r>
                            <a:rPr lang="en-US" sz="1100" b="0" i="1">
                              <a:solidFill>
                                <a:schemeClr val="tx1"/>
                              </a:solidFill>
                              <a:effectLst/>
                              <a:latin typeface="Cambria Math" panose="02040503050406030204" pitchFamily="18" charset="0"/>
                              <a:ea typeface="+mn-ea"/>
                              <a:cs typeface="+mn-cs"/>
                            </a:rPr>
                            <m:t>  </m:t>
                          </m:r>
                        </m:num>
                        <m:den>
                          <m:r>
                            <a:rPr lang="en-US" sz="1100" b="0" i="1">
                              <a:solidFill>
                                <a:schemeClr val="tx1"/>
                              </a:solidFill>
                              <a:effectLst/>
                              <a:latin typeface="Cambria Math" panose="02040503050406030204" pitchFamily="18" charset="0"/>
                              <a:ea typeface="+mn-ea"/>
                              <a:cs typeface="+mn-cs"/>
                            </a:rPr>
                            <m:t>𝐸𝑓𝑓𝑏𝑜𝑜𝑠𝑡𝑒𝑟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h𝑒𝑎𝑡𝑒𝑟</m:t>
                          </m:r>
                        </m:den>
                      </m:f>
                      <m:r>
                        <m:rPr>
                          <m:nor/>
                        </m:rPr>
                        <a:rPr lang="en-US" sz="1100" i="1" baseline="-25000">
                          <a:solidFill>
                            <a:schemeClr val="tx1"/>
                          </a:solidFill>
                          <a:effectLst/>
                          <a:latin typeface="+mn-lt"/>
                          <a:ea typeface="+mn-ea"/>
                          <a:cs typeface="+mn-cs"/>
                        </a:rPr>
                        <m:t> </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3412</m:t>
                          </m:r>
                        </m:den>
                      </m:f>
                      <m:r>
                        <m:rPr>
                          <m:nor/>
                        </m:rPr>
                        <a:rPr lang="en-US" sz="1100" i="1" baseline="-25000">
                          <a:solidFill>
                            <a:schemeClr val="tx1"/>
                          </a:solidFill>
                          <a:effectLst/>
                          <a:latin typeface="+mn-lt"/>
                          <a:ea typeface="+mn-ea"/>
                          <a:cs typeface="+mn-cs"/>
                        </a:rPr>
                        <m:t> </m:t>
                      </m:r>
                    </m:e>
                  </m:d>
                </m:oMath>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5A80E793-1560-416D-A6E6-9B34E9E4E9A4}"/>
                </a:ext>
              </a:extLst>
            </xdr:cNvPr>
            <xdr:cNvSpPr txBox="1"/>
          </xdr:nvSpPr>
          <xdr:spPr>
            <a:xfrm>
              <a:off x="428626" y="11401425"/>
              <a:ext cx="4629150" cy="5334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𝑏𝑜𝑜𝑠𝑡𝑒𝑟ℎ𝑒𝑎𝑡𝑒𝑟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r>
                <a:rPr lang="en-US" sz="1100" b="0" i="0">
                  <a:solidFill>
                    <a:schemeClr val="tx1"/>
                  </a:solidFill>
                  <a:effectLst/>
                  <a:latin typeface="Cambria Math" panose="02040503050406030204" pitchFamily="18" charset="0"/>
                  <a:ea typeface="+mn-ea"/>
                  <a:cs typeface="+mn-cs"/>
                </a:rPr>
                <a:t>(𝑊𝑎𝑡𝑒𝑟𝑈𝑠𝑒</a:t>
              </a:r>
              <a:r>
                <a:rPr lang="en-US" sz="1100" i="1" baseline="-25000">
                  <a:solidFill>
                    <a:sysClr val="windowText" lastClr="000000"/>
                  </a:solidFill>
                  <a:latin typeface="Cambria Math" panose="02040503050406030204" pitchFamily="18" charset="0"/>
                  <a:ea typeface="Cambria Math" panose="02040503050406030204" pitchFamily="18" charset="0"/>
                </a:rPr>
                <a:t>base </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𝑅𝑃𝐷∗𝐷𝐴𝑌𝑆)∗ ((</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𝑇𝑏𝑜𝑜𝑠𝑡𝑒𝑟ℎ</a:t>
              </a:r>
              <a:r>
                <a:rPr lang="en-US" sz="1100" b="0" i="0" baseline="0">
                  <a:solidFill>
                    <a:schemeClr val="tx1"/>
                  </a:solidFill>
                  <a:effectLst/>
                  <a:latin typeface="Cambria Math" panose="02040503050406030204" pitchFamily="18" charset="0"/>
                  <a:ea typeface="+mn-ea"/>
                  <a:cs typeface="+mn-cs"/>
                </a:rPr>
                <a:t>𝑒𝑎𝑡𝑒𝑟</a:t>
              </a:r>
              <a:r>
                <a:rPr lang="en-US" sz="1100" b="0" i="0">
                  <a:solidFill>
                    <a:schemeClr val="tx1"/>
                  </a:solidFill>
                  <a:effectLst/>
                  <a:latin typeface="Cambria Math" panose="02040503050406030204" pitchFamily="18" charset="0"/>
                  <a:ea typeface="+mn-ea"/>
                  <a:cs typeface="+mn-cs"/>
                </a:rPr>
                <a:t> ∗ </a:t>
              </a:r>
              <a:r>
                <a:rPr lang="en-US" sz="1100" i="0">
                  <a:solidFill>
                    <a:schemeClr val="tx1"/>
                  </a:solidFill>
                  <a:effectLst/>
                  <a:latin typeface="Cambria Math" panose="02040503050406030204" pitchFamily="18" charset="0"/>
                  <a:ea typeface="+mn-ea"/>
                  <a:cs typeface="+mn-cs"/>
                </a:rPr>
                <a:t>𝐶</a:t>
              </a:r>
              <a:r>
                <a:rPr lang="en-US" sz="1100" b="0" i="0">
                  <a:solidFill>
                    <a:schemeClr val="tx1"/>
                  </a:solidFill>
                  <a:effectLst/>
                  <a:latin typeface="Cambria Math" panose="02040503050406030204" pitchFamily="18" charset="0"/>
                  <a:ea typeface="+mn-ea"/>
                  <a:cs typeface="+mn-cs"/>
                </a:rPr>
                <a:t>𝑝 ∗ </a:t>
              </a:r>
              <a:r>
                <a:rPr lang="el-GR" sz="1100" b="0" i="0">
                  <a:solidFill>
                    <a:schemeClr val="tx1"/>
                  </a:solidFill>
                  <a:effectLst/>
                  <a:latin typeface="Cambria Math" panose="02040503050406030204" pitchFamily="18" charset="0"/>
                  <a:ea typeface="+mn-ea"/>
                  <a:cs typeface="+mn-cs"/>
                </a:rPr>
                <a:t>ρ</a:t>
              </a:r>
              <a:r>
                <a:rPr lang="en-US" sz="1100" b="0" i="0">
                  <a:solidFill>
                    <a:schemeClr val="tx1"/>
                  </a:solidFill>
                  <a:effectLst/>
                  <a:latin typeface="Cambria Math" panose="02040503050406030204" pitchFamily="18" charset="0"/>
                  <a:ea typeface="+mn-ea"/>
                  <a:cs typeface="+mn-cs"/>
                </a:rPr>
                <a:t>  )/(𝐸𝑓𝑓𝑏𝑜𝑜𝑠𝑡𝑒𝑟 ℎ𝑒𝑎𝑡𝑒𝑟)</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1</a:t>
              </a:r>
              <a:r>
                <a:rPr lang="en-US" sz="1100" b="0" i="0">
                  <a:solidFill>
                    <a:schemeClr val="tx1"/>
                  </a:solidFill>
                  <a:effectLst/>
                  <a:latin typeface="Cambria Math" panose="02040503050406030204" pitchFamily="18" charset="0"/>
                  <a:ea typeface="+mn-ea"/>
                  <a:cs typeface="+mn-cs"/>
                </a:rPr>
                <a:t>/3412</a:t>
              </a:r>
              <a:r>
                <a:rPr lang="en-US" sz="1100" b="0" i="0" baseline="-25000">
                  <a:solidFill>
                    <a:schemeClr val="tx1"/>
                  </a:solidFill>
                  <a:effectLst/>
                  <a:latin typeface="+mn-lt"/>
                  <a:ea typeface="+mn-ea"/>
                  <a:cs typeface="+mn-cs"/>
                </a:rPr>
                <a:t> "</a:t>
              </a:r>
              <a:r>
                <a:rPr lang="en-US" sz="1100" i="0" baseline="-25000">
                  <a:solidFill>
                    <a:schemeClr val="tx1"/>
                  </a:solidFill>
                  <a:effectLst/>
                  <a:latin typeface="+mn-lt"/>
                  <a:ea typeface="+mn-ea"/>
                  <a:cs typeface="+mn-cs"/>
                </a:rPr>
                <a:t> </a:t>
              </a:r>
              <a:r>
                <a:rPr lang="en-US" sz="1100" i="0" baseline="-25000">
                  <a:solidFill>
                    <a:schemeClr val="tx1"/>
                  </a:solidFill>
                  <a:effectLst/>
                  <a:latin typeface="Cambria Math" panose="02040503050406030204" pitchFamily="18" charset="0"/>
                  <a:ea typeface="+mn-ea"/>
                  <a:cs typeface="+mn-cs"/>
                </a:rPr>
                <a:t>" )</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53341</xdr:colOff>
      <xdr:row>49</xdr:row>
      <xdr:rowOff>171450</xdr:rowOff>
    </xdr:from>
    <xdr:ext cx="5137784" cy="42672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𝐼𝑑𝑙𝑒𝐷𝑟𝑎𝑤𝑏𝑎𝑠𝑒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𝑏𝑎𝑠𝑒</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96481FE6-8E37-4763-8BC0-8C868D7D6E3C}"/>
                </a:ext>
              </a:extLst>
            </xdr:cNvPr>
            <xdr:cNvSpPr txBox="1"/>
          </xdr:nvSpPr>
          <xdr:spPr>
            <a:xfrm>
              <a:off x="415291" y="12134850"/>
              <a:ext cx="5137784" cy="4267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𝑏𝑎𝑠𝑒</a:t>
              </a:r>
              <a:r>
                <a:rPr lang="en-US" sz="1100" b="0" i="0">
                  <a:solidFill>
                    <a:schemeClr val="tx1"/>
                  </a:solidFill>
                  <a:effectLst/>
                  <a:latin typeface="Cambria Math" panose="02040503050406030204" pitchFamily="18" charset="0"/>
                  <a:ea typeface="+mn-ea"/>
                  <a:cs typeface="+mn-cs"/>
                </a:rPr>
                <a:t>=𝐼𝑑𝑙𝑒𝐷𝑟𝑎𝑤𝑏𝑎𝑠𝑒∗[𝐷𝐴𝐼𝐿𝑌 𝐻𝑅𝑆∗𝐷𝐴𝑌𝑆 − 𝑅𝑃𝐷∗𝐷𝐴𝑌𝑆 ∗(</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𝑏𝑎𝑠𝑒/</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59055</xdr:colOff>
      <xdr:row>52</xdr:row>
      <xdr:rowOff>190499</xdr:rowOff>
    </xdr:from>
    <xdr:ext cx="5122545" cy="5619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𝐸</m:t>
                    </m:r>
                    <m:r>
                      <a:rPr lang="en-US" sz="1100" b="0" i="1" baseline="-25000">
                        <a:solidFill>
                          <a:schemeClr val="tx1"/>
                        </a:solidFill>
                        <a:effectLst/>
                        <a:latin typeface="Cambria Math" panose="02040503050406030204" pitchFamily="18" charset="0"/>
                        <a:ea typeface="+mn-ea"/>
                        <a:cs typeface="+mn-cs"/>
                      </a:rPr>
                      <m:t>𝑖𝑑𝑙𝑒</m:t>
                    </m:r>
                    <m:r>
                      <a:rPr lang="en-US" sz="1100" b="0" i="1" baseline="-25000">
                        <a:solidFill>
                          <a:schemeClr val="tx1"/>
                        </a:solidFill>
                        <a:effectLst/>
                        <a:latin typeface="Cambria Math" panose="02040503050406030204" pitchFamily="18" charset="0"/>
                        <a:ea typeface="+mn-ea"/>
                        <a:cs typeface="+mn-cs"/>
                      </a:rPr>
                      <m:t> </m:t>
                    </m:r>
                    <m:r>
                      <a:rPr lang="en-US" sz="1100" b="0" i="1" baseline="-25000">
                        <a:solidFill>
                          <a:schemeClr val="tx1"/>
                        </a:solidFill>
                        <a:effectLst/>
                        <a:latin typeface="Cambria Math" panose="02040503050406030204" pitchFamily="18" charset="0"/>
                        <a:ea typeface="+mn-ea"/>
                        <a:cs typeface="+mn-cs"/>
                      </a:rPr>
                      <m:t>𝐸𝑛𝑒𝑟𝑔𝑦𝑆𝑡𝑎𝑟</m:t>
                    </m:r>
                    <m:r>
                      <a:rPr lang="en-US" sz="1100" b="0" i="1">
                        <a:solidFill>
                          <a:schemeClr val="tx1"/>
                        </a:solidFill>
                        <a:effectLst/>
                        <a:latin typeface="Cambria Math" panose="02040503050406030204" pitchFamily="18" charset="0"/>
                        <a:ea typeface="+mn-ea"/>
                        <a:cs typeface="+mn-cs"/>
                      </a:rPr>
                      <m:t>=</m:t>
                    </m:r>
                  </m:oMath>
                </m:oMathPara>
              </a14:m>
              <a:endParaRPr lang="en-US" sz="1100" b="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𝐼𝑑𝑙𝑒𝐷𝑟𝑎𝑤𝐸𝑛𝑒𝑟𝑔𝑦𝑆𝑡𝑎𝑟</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𝐷𝐴𝐼𝐿𝑌</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𝑅𝑃𝐷</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𝐷𝐴𝑌𝑆</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i="1">
                                <a:solidFill>
                                  <a:schemeClr val="tx1"/>
                                </a:solidFill>
                                <a:effectLst/>
                                <a:latin typeface="Cambria Math" panose="02040503050406030204" pitchFamily="18" charset="0"/>
                                <a:ea typeface="+mn-ea"/>
                                <a:cs typeface="+mn-cs"/>
                              </a:rPr>
                              <m:t>𝑊</m:t>
                            </m:r>
                            <m:r>
                              <a:rPr lang="en-US" sz="1100" b="0" i="1">
                                <a:solidFill>
                                  <a:schemeClr val="tx1"/>
                                </a:solidFill>
                                <a:effectLst/>
                                <a:latin typeface="Cambria Math" panose="02040503050406030204" pitchFamily="18" charset="0"/>
                                <a:ea typeface="+mn-ea"/>
                                <a:cs typeface="+mn-cs"/>
                              </a:rPr>
                              <m:t>𝑎𝑠h𝑇𝑖𝑚𝑒</m:t>
                            </m:r>
                            <m:r>
                              <a:rPr lang="en-US" sz="1100" b="0" i="1" baseline="-25000">
                                <a:solidFill>
                                  <a:schemeClr val="tx1"/>
                                </a:solidFill>
                                <a:effectLst/>
                                <a:latin typeface="Cambria Math" panose="02040503050406030204" pitchFamily="18" charset="0"/>
                                <a:ea typeface="+mn-ea"/>
                                <a:cs typeface="+mn-cs"/>
                              </a:rPr>
                              <m:t>𝐸𝑛𝑒𝑟𝑔𝑦𝑆𝑡𝑎𝑟</m:t>
                            </m:r>
                          </m:num>
                          <m:den>
                            <m:r>
                              <a:rPr lang="en-US" sz="1100" b="0" i="1">
                                <a:solidFill>
                                  <a:schemeClr val="tx1"/>
                                </a:solidFill>
                                <a:effectLst/>
                                <a:latin typeface="Cambria Math" panose="02040503050406030204" pitchFamily="18" charset="0"/>
                                <a:ea typeface="+mn-ea"/>
                                <a:cs typeface="+mn-cs"/>
                              </a:rPr>
                              <m:t>60</m:t>
                            </m:r>
                          </m:den>
                        </m:f>
                      </m:e>
                    </m:d>
                    <m:r>
                      <a:rPr lang="en-US" sz="1100" b="0" i="1">
                        <a:solidFill>
                          <a:schemeClr val="tx1"/>
                        </a:solidFill>
                        <a:effectLst/>
                        <a:latin typeface="Cambria Math" panose="02040503050406030204" pitchFamily="18" charset="0"/>
                        <a:ea typeface="+mn-ea"/>
                        <a:cs typeface="+mn-cs"/>
                      </a:rPr>
                      <m:t>]</m:t>
                    </m:r>
                  </m:oMath>
                </m:oMathPara>
              </a14:m>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6E62F30C-1AB1-4C8B-8548-BF1C3AB29244}"/>
                </a:ext>
              </a:extLst>
            </xdr:cNvPr>
            <xdr:cNvSpPr txBox="1"/>
          </xdr:nvSpPr>
          <xdr:spPr>
            <a:xfrm>
              <a:off x="421005" y="12725399"/>
              <a:ext cx="5122545" cy="561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𝐸</a:t>
              </a:r>
              <a:r>
                <a:rPr lang="en-US" sz="1100" b="0" i="0" baseline="-25000">
                  <a:solidFill>
                    <a:schemeClr val="tx1"/>
                  </a:solidFill>
                  <a:effectLst/>
                  <a:latin typeface="Cambria Math" panose="02040503050406030204" pitchFamily="18" charset="0"/>
                  <a:ea typeface="+mn-ea"/>
                  <a:cs typeface="+mn-cs"/>
                </a:rPr>
                <a:t>𝑖𝑑𝑙𝑒 𝐸𝑛𝑒𝑟𝑔𝑦𝑆𝑡𝑎𝑟</a:t>
              </a:r>
              <a:r>
                <a:rPr lang="en-US" sz="1100" b="0" i="0">
                  <a:solidFill>
                    <a:schemeClr val="tx1"/>
                  </a:solidFill>
                  <a:effectLst/>
                  <a:latin typeface="Cambria Math" panose="02040503050406030204" pitchFamily="18" charset="0"/>
                  <a:ea typeface="+mn-ea"/>
                  <a:cs typeface="+mn-cs"/>
                </a:rPr>
                <a:t>=</a:t>
              </a:r>
              <a:endParaRPr lang="en-US" sz="1100" b="0" i="1">
                <a:solidFill>
                  <a:schemeClr val="tx1"/>
                </a:solidFill>
                <a:effectLst/>
                <a:latin typeface="Cambria Math" panose="02040503050406030204" pitchFamily="18" charset="0"/>
                <a:ea typeface="+mn-ea"/>
                <a:cs typeface="+mn-cs"/>
              </a:endParaRPr>
            </a:p>
            <a:p>
              <a:pPr/>
              <a:r>
                <a:rPr lang="en-US" sz="1100" b="0" i="0">
                  <a:solidFill>
                    <a:schemeClr val="tx1"/>
                  </a:solidFill>
                  <a:effectLst/>
                  <a:latin typeface="Cambria Math" panose="02040503050406030204" pitchFamily="18" charset="0"/>
                  <a:ea typeface="+mn-ea"/>
                  <a:cs typeface="+mn-cs"/>
                </a:rPr>
                <a:t>𝐼𝑑𝑙𝑒𝐷𝑟𝑎𝑤𝐸𝑛𝑒𝑟𝑔𝑦𝑆𝑡𝑎𝑟∗[𝐷𝐴𝐼𝐿𝑌 𝐻𝑅𝑆∗𝐷𝐴𝑌𝑆−𝑅𝑃𝐷∗𝐷𝐴𝑌𝑆∗(</a:t>
              </a:r>
              <a:r>
                <a:rPr lang="en-US" sz="1100" i="0">
                  <a:solidFill>
                    <a:schemeClr val="tx1"/>
                  </a:solidFill>
                  <a:effectLst/>
                  <a:latin typeface="Cambria Math" panose="02040503050406030204" pitchFamily="18" charset="0"/>
                  <a:ea typeface="+mn-ea"/>
                  <a:cs typeface="+mn-cs"/>
                </a:rPr>
                <a:t>𝑊</a:t>
              </a:r>
              <a:r>
                <a:rPr lang="en-US" sz="1100" b="0" i="0">
                  <a:solidFill>
                    <a:schemeClr val="tx1"/>
                  </a:solidFill>
                  <a:effectLst/>
                  <a:latin typeface="Cambria Math" panose="02040503050406030204" pitchFamily="18" charset="0"/>
                  <a:ea typeface="+mn-ea"/>
                  <a:cs typeface="+mn-cs"/>
                </a:rPr>
                <a:t>𝑎𝑠ℎ𝑇𝑖𝑚𝑒</a:t>
              </a:r>
              <a:r>
                <a:rPr lang="en-US" sz="1100" b="0" i="0" baseline="-25000">
                  <a:solidFill>
                    <a:schemeClr val="tx1"/>
                  </a:solidFill>
                  <a:effectLst/>
                  <a:latin typeface="Cambria Math" panose="02040503050406030204" pitchFamily="18" charset="0"/>
                  <a:ea typeface="+mn-ea"/>
                  <a:cs typeface="+mn-cs"/>
                </a:rPr>
                <a:t>𝐸𝑛𝑒𝑟𝑔𝑦𝑆𝑡𝑎𝑟/</a:t>
              </a:r>
              <a:r>
                <a:rPr lang="en-US" sz="1100" b="0" i="0">
                  <a:solidFill>
                    <a:schemeClr val="tx1"/>
                  </a:solidFill>
                  <a:effectLst/>
                  <a:latin typeface="Cambria Math" panose="02040503050406030204" pitchFamily="18" charset="0"/>
                  <a:ea typeface="+mn-ea"/>
                  <a:cs typeface="+mn-cs"/>
                </a:rPr>
                <a:t>60)]</a:t>
              </a:r>
              <a:endParaRPr lang="en-US" sz="1100" i="1" baseline="-250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13.xml><?xml version="1.0" encoding="utf-8"?>
<xdr:wsDr xmlns:xdr="http://schemas.openxmlformats.org/drawingml/2006/spreadsheetDrawing" xmlns:a="http://schemas.openxmlformats.org/drawingml/2006/main">
  <xdr:oneCellAnchor>
    <xdr:from>
      <xdr:col>2</xdr:col>
      <xdr:colOff>28575</xdr:colOff>
      <xdr:row>34</xdr:row>
      <xdr:rowOff>23812</xdr:rowOff>
    </xdr:from>
    <xdr:ext cx="2211888"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𝑃𝐸</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𝑃𝐸</m:t>
                            </m:r>
                          </m:e>
                          <m:sub>
                            <m:r>
                              <a:rPr lang="en-US" sz="1100" b="0" i="1">
                                <a:solidFill>
                                  <a:schemeClr val="tx1"/>
                                </a:solidFill>
                                <a:effectLst/>
                                <a:latin typeface="Cambria Math" panose="02040503050406030204" pitchFamily="18" charset="0"/>
                                <a:ea typeface="+mn-ea"/>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F123238-D7D6-4EBA-B03D-BB3BC75E1F9F}"/>
                </a:ext>
              </a:extLst>
            </xdr:cNvPr>
            <xdr:cNvSpPr txBox="1"/>
          </xdr:nvSpPr>
          <xdr:spPr>
            <a:xfrm>
              <a:off x="390525" y="7529512"/>
              <a:ext cx="221188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𝑘𝑊=𝑇𝑂𝑁𝑆∗(〖𝑃𝐸〗_𝐵𝐿−</a:t>
              </a:r>
              <a:r>
                <a:rPr lang="en-US" sz="1100" b="0" i="0">
                  <a:solidFill>
                    <a:schemeClr val="tx1"/>
                  </a:solidFill>
                  <a:effectLst/>
                  <a:latin typeface="+mn-lt"/>
                  <a:ea typeface="+mn-ea"/>
                  <a:cs typeface="+mn-cs"/>
                </a:rPr>
                <a:t>〖𝑃𝐸〗_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𝐶𝐹</a:t>
              </a:r>
              <a:endParaRPr lang="en-US" sz="1100"/>
            </a:p>
          </xdr:txBody>
        </xdr:sp>
      </mc:Fallback>
    </mc:AlternateContent>
    <xdr:clientData/>
  </xdr:oneCellAnchor>
  <xdr:oneCellAnchor>
    <xdr:from>
      <xdr:col>2</xdr:col>
      <xdr:colOff>19050</xdr:colOff>
      <xdr:row>38</xdr:row>
      <xdr:rowOff>19050</xdr:rowOff>
    </xdr:from>
    <xdr:ext cx="270221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𝑇𝑂𝑁𝑆</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𝐼𝑃𝐿𝑉</m:t>
                            </m:r>
                          </m:e>
                          <m:sub>
                            <m:r>
                              <a:rPr lang="en-US" sz="1100" b="0" i="1">
                                <a:latin typeface="Cambria Math" panose="02040503050406030204" pitchFamily="18" charset="0"/>
                                <a:ea typeface="Cambria Math" panose="02040503050406030204" pitchFamily="18" charset="0"/>
                              </a:rPr>
                              <m:t>𝐵𝐿</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𝐼𝑃𝐿𝑉</m:t>
                            </m:r>
                          </m:e>
                          <m:sub>
                            <m:r>
                              <a:rPr lang="en-US" sz="1100" b="0" i="1">
                                <a:solidFill>
                                  <a:schemeClr val="tx1"/>
                                </a:solidFill>
                                <a:effectLst/>
                                <a:latin typeface="Cambria Math" panose="02040503050406030204" pitchFamily="18" charset="0"/>
                                <a:ea typeface="+mn-ea"/>
                                <a:cs typeface="+mn-cs"/>
                              </a:rPr>
                              <m:t>𝐸𝐸</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𝐸𝐹𝐿𝐻</m:t>
                    </m:r>
                  </m:oMath>
                </m:oMathPara>
              </a14:m>
              <a:endParaRPr lang="en-US" sz="1100"/>
            </a:p>
          </xdr:txBody>
        </xdr:sp>
      </mc:Choice>
      <mc:Fallback xmlns="">
        <xdr:sp macro="" textlink="">
          <xdr:nvSpPr>
            <xdr:cNvPr id="4" name="TextBox 3">
              <a:extLst>
                <a:ext uri="{FF2B5EF4-FFF2-40B4-BE49-F238E27FC236}">
                  <a16:creationId xmlns:a16="http://schemas.microsoft.com/office/drawing/2014/main" id="{2871C278-D8D8-4B21-AE7F-F906383B0219}"/>
                </a:ext>
              </a:extLst>
            </xdr:cNvPr>
            <xdr:cNvSpPr txBox="1"/>
          </xdr:nvSpPr>
          <xdr:spPr>
            <a:xfrm>
              <a:off x="381000" y="8286750"/>
              <a:ext cx="27022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𝑘𝑊ℎ=𝑇𝑂𝑁𝑆∗(〖𝐼𝑃𝐿𝑉〗_𝐵𝐿−</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𝐼𝑃𝐿𝑉</a:t>
              </a:r>
              <a:r>
                <a:rPr lang="en-US" sz="1100" b="0" i="0">
                  <a:solidFill>
                    <a:schemeClr val="tx1"/>
                  </a:solidFill>
                  <a:effectLst/>
                  <a:latin typeface="+mn-lt"/>
                  <a:ea typeface="+mn-ea"/>
                  <a:cs typeface="+mn-cs"/>
                </a:rPr>
                <a:t>〗_</a:t>
              </a:r>
              <a:r>
                <a:rPr lang="en-US" sz="1100" b="0" i="0">
                  <a:solidFill>
                    <a:schemeClr val="tx1"/>
                  </a:solidFill>
                  <a:effectLst/>
                  <a:latin typeface="Cambria Math" panose="02040503050406030204" pitchFamily="18" charset="0"/>
                  <a:ea typeface="+mn-ea"/>
                  <a:cs typeface="+mn-cs"/>
                </a:rPr>
                <a:t>𝐸𝐸</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𝐹</a:t>
              </a:r>
              <a:r>
                <a:rPr lang="en-US" sz="1100" b="0" i="0">
                  <a:solidFill>
                    <a:schemeClr val="tx1"/>
                  </a:solidFill>
                  <a:effectLst/>
                  <a:latin typeface="Cambria Math" panose="02040503050406030204" pitchFamily="18" charset="0"/>
                  <a:ea typeface="+mn-ea"/>
                  <a:cs typeface="+mn-cs"/>
                </a:rPr>
                <a:t>𝐿𝐻</a:t>
              </a:r>
              <a:endParaRPr lang="en-US" sz="1100"/>
            </a:p>
          </xdr:txBody>
        </xdr:sp>
      </mc:Fallback>
    </mc:AlternateContent>
    <xdr:clientData/>
  </xdr:oneCellAnchor>
  <xdr:oneCellAnchor>
    <xdr:from>
      <xdr:col>2</xdr:col>
      <xdr:colOff>76201</xdr:colOff>
      <xdr:row>42</xdr:row>
      <xdr:rowOff>19050</xdr:rowOff>
    </xdr:from>
    <xdr:ext cx="1695450"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5" name="TextBox 4">
              <a:extLst>
                <a:ext uri="{FF2B5EF4-FFF2-40B4-BE49-F238E27FC236}">
                  <a16:creationId xmlns:a16="http://schemas.microsoft.com/office/drawing/2014/main" id="{1BC7BB0A-99A1-4563-85BC-640023C002CD}"/>
                </a:ext>
              </a:extLst>
            </xdr:cNvPr>
            <xdr:cNvSpPr txBox="1"/>
          </xdr:nvSpPr>
          <xdr:spPr>
            <a:xfrm>
              <a:off x="438151" y="9048750"/>
              <a:ext cx="1695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mn-lt"/>
                  <a:ea typeface="+mn-ea"/>
                  <a:cs typeface="+mn-cs"/>
                </a:rPr>
                <a:t>𝐸𝑈𝐿</a:t>
              </a:r>
              <a:endParaRPr lang="en-US" sz="1100"/>
            </a:p>
          </xdr:txBody>
        </xdr:sp>
      </mc:Fallback>
    </mc:AlternateContent>
    <xdr:clientData/>
  </xdr:oneCellAnchor>
</xdr:wsDr>
</file>

<file path=xl/drawings/drawing14.xml><?xml version="1.0" encoding="utf-8"?>
<xdr:wsDr xmlns:xdr="http://schemas.openxmlformats.org/drawingml/2006/spreadsheetDrawing" xmlns:a="http://schemas.openxmlformats.org/drawingml/2006/main">
  <xdr:oneCellAnchor>
    <xdr:from>
      <xdr:col>1</xdr:col>
      <xdr:colOff>133350</xdr:colOff>
      <xdr:row>68</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933D4B95-2D39-4EB5-9DEC-98FD2706A75C}"/>
                </a:ext>
              </a:extLst>
            </xdr:cNvPr>
            <xdr:cNvSpPr txBox="1"/>
          </xdr:nvSpPr>
          <xdr:spPr>
            <a:xfrm>
              <a:off x="314325" y="23079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57</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035DCC9-EEC4-43E5-B7F4-0898BBDBDE91}"/>
                </a:ext>
              </a:extLst>
            </xdr:cNvPr>
            <xdr:cNvSpPr txBox="1"/>
          </xdr:nvSpPr>
          <xdr:spPr>
            <a:xfrm>
              <a:off x="314325" y="209835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62</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81CCCB94-5B99-404D-9166-2EB40639E6FF}"/>
                </a:ext>
              </a:extLst>
            </xdr:cNvPr>
            <xdr:cNvSpPr txBox="1"/>
          </xdr:nvSpPr>
          <xdr:spPr>
            <a:xfrm>
              <a:off x="304800" y="219265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5.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1A25D5A-C9D4-4808-966E-A3672CFF1DB1}"/>
                </a:ext>
              </a:extLst>
            </xdr:cNvPr>
            <xdr:cNvSpPr txBox="1"/>
          </xdr:nvSpPr>
          <xdr:spPr>
            <a:xfrm>
              <a:off x="314325" y="1622107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AED90F61-BFFA-4C2E-AA5E-E456D46F1865}"/>
                </a:ext>
              </a:extLst>
            </xdr:cNvPr>
            <xdr:cNvSpPr txBox="1"/>
          </xdr:nvSpPr>
          <xdr:spPr>
            <a:xfrm>
              <a:off x="314325" y="13154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72673278-E8F8-40FB-B270-175449118866}"/>
                </a:ext>
              </a:extLst>
            </xdr:cNvPr>
            <xdr:cNvSpPr txBox="1"/>
          </xdr:nvSpPr>
          <xdr:spPr>
            <a:xfrm>
              <a:off x="304800" y="14675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2102878-D718-45FA-8805-92C1471C5107}"/>
                </a:ext>
              </a:extLst>
            </xdr:cNvPr>
            <xdr:cNvSpPr txBox="1"/>
          </xdr:nvSpPr>
          <xdr:spPr>
            <a:xfrm>
              <a:off x="314325" y="1391602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1EA165B2-A336-4EF6-820A-309C1851CC9D}"/>
                </a:ext>
              </a:extLst>
            </xdr:cNvPr>
            <xdr:cNvSpPr txBox="1"/>
          </xdr:nvSpPr>
          <xdr:spPr>
            <a:xfrm>
              <a:off x="304800" y="1543780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C937EF8-0EE6-4768-9818-22D7CE9D6578}"/>
                </a:ext>
              </a:extLst>
            </xdr:cNvPr>
            <xdr:cNvSpPr txBox="1"/>
          </xdr:nvSpPr>
          <xdr:spPr>
            <a:xfrm>
              <a:off x="314325" y="169830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16.xml><?xml version="1.0" encoding="utf-8"?>
<xdr:wsDr xmlns:xdr="http://schemas.openxmlformats.org/drawingml/2006/spreadsheetDrawing" xmlns:a="http://schemas.openxmlformats.org/drawingml/2006/main">
  <xdr:oneCellAnchor>
    <xdr:from>
      <xdr:col>2</xdr:col>
      <xdr:colOff>9525</xdr:colOff>
      <xdr:row>28</xdr:row>
      <xdr:rowOff>0</xdr:rowOff>
    </xdr:from>
    <xdr:ext cx="2692725" cy="18261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E96E5A29-E3F3-4BC0-AB58-B580801AACE9}"/>
                </a:ext>
              </a:extLst>
            </xdr:cNvPr>
            <xdr:cNvSpPr txBox="1"/>
          </xdr:nvSpPr>
          <xdr:spPr>
            <a:xfrm>
              <a:off x="371475" y="7019925"/>
              <a:ext cx="269272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=〖𝐻𝑃∗𝑘𝑊〗_𝑝𝑒𝑟𝐻𝑃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∗𝐶𝐹∗〖𝑆𝑉𝐺〗_𝑑</a:t>
              </a:r>
              <a:endParaRPr lang="en-US" sz="1100"/>
            </a:p>
          </xdr:txBody>
        </xdr:sp>
      </mc:Fallback>
    </mc:AlternateContent>
    <xdr:clientData/>
  </xdr:oneCellAnchor>
  <xdr:oneCellAnchor>
    <xdr:from>
      <xdr:col>2</xdr:col>
      <xdr:colOff>76200</xdr:colOff>
      <xdr:row>36</xdr:row>
      <xdr:rowOff>19050</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F39142A2-4D5C-41D7-B70B-71298517BF9F}"/>
                </a:ext>
              </a:extLst>
            </xdr:cNvPr>
            <xdr:cNvSpPr txBox="1"/>
          </xdr:nvSpPr>
          <xdr:spPr>
            <a:xfrm>
              <a:off x="438150" y="87725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2</xdr:col>
      <xdr:colOff>0</xdr:colOff>
      <xdr:row>32</xdr:row>
      <xdr:rowOff>0</xdr:rowOff>
    </xdr:from>
    <xdr:ext cx="2825004" cy="18473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𝑝𝑒𝑟𝐻𝑃</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r>
                              <a:rPr lang="en-US" sz="1100" b="0" i="1">
                                <a:solidFill>
                                  <a:schemeClr val="tx1"/>
                                </a:solidFill>
                                <a:effectLst/>
                                <a:latin typeface="Cambria Math" panose="02040503050406030204" pitchFamily="18" charset="0"/>
                                <a:ea typeface="Cambria Math" panose="02040503050406030204" pitchFamily="18" charset="0"/>
                                <a:cs typeface="+mn-cs"/>
                              </a:rPr>
                              <m:t>𝜂</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𝑒</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A0029B91-997D-461A-96D3-DF9B2398FBD4}"/>
                </a:ext>
              </a:extLst>
            </xdr:cNvPr>
            <xdr:cNvSpPr txBox="1"/>
          </xdr:nvSpPr>
          <xdr:spPr>
            <a:xfrm>
              <a:off x="361950" y="7781925"/>
              <a:ext cx="2825004"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𝐻𝑃∗</a:t>
              </a:r>
              <a:r>
                <a:rPr lang="en-US" sz="1100" b="0" i="0">
                  <a:solidFill>
                    <a:schemeClr val="tx1"/>
                  </a:solidFill>
                  <a:effectLst/>
                  <a:latin typeface="+mn-lt"/>
                  <a:ea typeface="+mn-ea"/>
                  <a:cs typeface="+mn-cs"/>
                </a:rPr>
                <a:t>𝑘𝑊〗_𝑝𝑒𝑟𝐻𝑃</a:t>
              </a:r>
              <a:r>
                <a:rPr lang="en-US" sz="1100" b="0" i="0">
                  <a:solidFill>
                    <a:schemeClr val="tx1"/>
                  </a:solidFill>
                  <a:effectLst/>
                  <a:latin typeface="Cambria Math" panose="02040503050406030204" pitchFamily="18" charset="0"/>
                  <a:ea typeface="+mn-ea"/>
                  <a:cs typeface="+mn-cs"/>
                </a:rPr>
                <a:t>∗(𝐿𝐹∕</a:t>
              </a:r>
              <a:r>
                <a:rPr lang="en-US" sz="1100" b="0" i="0">
                  <a:solidFill>
                    <a:schemeClr val="tx1"/>
                  </a:solidFill>
                  <a:effectLst/>
                  <a:latin typeface="Cambria Math" panose="02040503050406030204" pitchFamily="18" charset="0"/>
                  <a:ea typeface="Cambria Math" panose="02040503050406030204" pitchFamily="18" charset="0"/>
                  <a:cs typeface="+mn-cs"/>
                </a:rPr>
                <a:t>𝜂)</a:t>
              </a:r>
              <a:r>
                <a:rPr lang="en-US" sz="1100" b="0" i="0">
                  <a:solidFill>
                    <a:schemeClr val="tx1"/>
                  </a:solidFill>
                  <a:effectLst/>
                  <a:latin typeface="Cambria Math" panose="02040503050406030204" pitchFamily="18" charset="0"/>
                  <a:ea typeface="+mn-ea"/>
                  <a:cs typeface="+mn-cs"/>
                </a:rPr>
                <a:t>∗𝐻𝑅𝑆∗</a:t>
              </a:r>
              <a:r>
                <a:rPr lang="en-US" sz="1100" b="0" i="0">
                  <a:solidFill>
                    <a:schemeClr val="tx1"/>
                  </a:solidFill>
                  <a:effectLst/>
                  <a:latin typeface="+mn-lt"/>
                  <a:ea typeface="+mn-ea"/>
                  <a:cs typeface="+mn-cs"/>
                </a:rPr>
                <a:t>〖𝑆𝑉𝐺〗_</a:t>
              </a:r>
              <a:r>
                <a:rPr lang="en-US" sz="1100" b="0" i="0">
                  <a:solidFill>
                    <a:schemeClr val="tx1"/>
                  </a:solidFill>
                  <a:effectLst/>
                  <a:latin typeface="Cambria Math" panose="02040503050406030204" pitchFamily="18" charset="0"/>
                  <a:ea typeface="+mn-ea"/>
                  <a:cs typeface="+mn-cs"/>
                </a:rPr>
                <a:t>𝑒</a:t>
              </a:r>
              <a:endParaRPr lang="en-US" sz="1100"/>
            </a:p>
          </xdr:txBody>
        </xdr:sp>
      </mc:Fallback>
    </mc:AlternateContent>
    <xdr:clientData/>
  </xdr:oneCellAnchor>
</xdr:wsDr>
</file>

<file path=xl/drawings/drawing17.xml><?xml version="1.0" encoding="utf-8"?>
<xdr:wsDr xmlns:xdr="http://schemas.openxmlformats.org/drawingml/2006/spreadsheetDrawing" xmlns:a="http://schemas.openxmlformats.org/drawingml/2006/main">
  <xdr:oneCellAnchor>
    <xdr:from>
      <xdr:col>1</xdr:col>
      <xdr:colOff>133350</xdr:colOff>
      <xdr:row>55</xdr:row>
      <xdr:rowOff>9525</xdr:rowOff>
    </xdr:from>
    <xdr:ext cx="289559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F719DA0D-5F52-42D1-89A1-BC54382644D0}"/>
                </a:ext>
              </a:extLst>
            </xdr:cNvPr>
            <xdr:cNvSpPr txBox="1"/>
          </xdr:nvSpPr>
          <xdr:spPr>
            <a:xfrm>
              <a:off x="314325" y="134016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46</xdr:row>
      <xdr:rowOff>47626</xdr:rowOff>
    </xdr:from>
    <xdr:ext cx="3705225"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1840A7-9BEB-4C87-852E-53683EF2168F}"/>
                </a:ext>
              </a:extLst>
            </xdr:cNvPr>
            <xdr:cNvSpPr txBox="1"/>
          </xdr:nvSpPr>
          <xdr:spPr>
            <a:xfrm>
              <a:off x="314325" y="117252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a:t>
              </a:r>
              <a:endParaRPr lang="en-US" sz="1100">
                <a:solidFill>
                  <a:sysClr val="windowText" lastClr="000000"/>
                </a:solidFill>
              </a:endParaRPr>
            </a:p>
          </xdr:txBody>
        </xdr:sp>
      </mc:Fallback>
    </mc:AlternateContent>
    <xdr:clientData/>
  </xdr:oneCellAnchor>
  <xdr:oneCellAnchor>
    <xdr:from>
      <xdr:col>1</xdr:col>
      <xdr:colOff>123825</xdr:colOff>
      <xdr:row>50</xdr:row>
      <xdr:rowOff>1</xdr:rowOff>
    </xdr:from>
    <xdr:ext cx="4728322"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BCB273E0-4B6A-4F71-BFBB-74CED95BBEFF}"/>
                </a:ext>
              </a:extLst>
            </xdr:cNvPr>
            <xdr:cNvSpPr txBox="1"/>
          </xdr:nvSpPr>
          <xdr:spPr>
            <a:xfrm>
              <a:off x="304800" y="12439651"/>
              <a:ext cx="4728322"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〖((1〗∕〖〖𝐼𝐸𝐸𝑅〗_𝐵𝐿−〗  1∕〖〖𝐼𝐸𝐸𝑅〗_𝐸𝐸)/1000)〗∗𝐸𝐹𝐿𝐻</a:t>
              </a:r>
              <a:endParaRPr lang="en-US" sz="1100">
                <a:solidFill>
                  <a:sysClr val="windowText" lastClr="000000"/>
                </a:solidFill>
              </a:endParaRPr>
            </a:p>
          </xdr:txBody>
        </xdr:sp>
      </mc:Fallback>
    </mc:AlternateContent>
    <xdr:clientData/>
  </xdr:oneCellAnchor>
</xdr:wsDr>
</file>

<file path=xl/drawings/drawing18.xml><?xml version="1.0" encoding="utf-8"?>
<xdr:wsDr xmlns:xdr="http://schemas.openxmlformats.org/drawingml/2006/spreadsheetDrawing" xmlns:a="http://schemas.openxmlformats.org/drawingml/2006/main">
  <xdr:oneCellAnchor>
    <xdr:from>
      <xdr:col>2</xdr:col>
      <xdr:colOff>22411</xdr:colOff>
      <xdr:row>27</xdr:row>
      <xdr:rowOff>22412</xdr:rowOff>
    </xdr:from>
    <xdr:ext cx="370522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DA6D164-97A6-4936-B473-719A1337C29F}"/>
                </a:ext>
              </a:extLst>
            </xdr:cNvPr>
            <xdr:cNvSpPr txBox="1"/>
          </xdr:nvSpPr>
          <xdr:spPr>
            <a:xfrm>
              <a:off x="384361" y="7318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 𝑝𝑒𝑟 𝑅𝑜𝑜𝑚</a:t>
              </a:r>
              <a:endParaRPr lang="en-US" sz="1100">
                <a:solidFill>
                  <a:sysClr val="windowText" lastClr="000000"/>
                </a:solidFill>
              </a:endParaRPr>
            </a:p>
          </xdr:txBody>
        </xdr:sp>
      </mc:Fallback>
    </mc:AlternateContent>
    <xdr:clientData/>
  </xdr:oneCellAnchor>
  <xdr:oneCellAnchor>
    <xdr:from>
      <xdr:col>2</xdr:col>
      <xdr:colOff>33619</xdr:colOff>
      <xdr:row>31</xdr:row>
      <xdr:rowOff>22412</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𝑝𝑒𝑟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𝑅𝑜𝑜𝑚</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4C2A265-AE6E-4738-BF75-1F79A0A4FEC3}"/>
                </a:ext>
              </a:extLst>
            </xdr:cNvPr>
            <xdr:cNvSpPr txBox="1"/>
          </xdr:nvSpPr>
          <xdr:spPr>
            <a:xfrm>
              <a:off x="395569" y="8080562"/>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 𝑝𝑒𝑟 𝑅𝑜𝑜𝑚</a:t>
              </a:r>
              <a:endParaRPr lang="en-US" sz="1100">
                <a:solidFill>
                  <a:sysClr val="windowText" lastClr="000000"/>
                </a:solidFill>
              </a:endParaRPr>
            </a:p>
          </xdr:txBody>
        </xdr:sp>
      </mc:Fallback>
    </mc:AlternateContent>
    <xdr:clientData/>
  </xdr:oneCellAnchor>
  <xdr:oneCellAnchor>
    <xdr:from>
      <xdr:col>2</xdr:col>
      <xdr:colOff>44824</xdr:colOff>
      <xdr:row>35</xdr:row>
      <xdr:rowOff>22411</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7A501C0-5C8F-439B-B4D1-02B0D88B7BB4}"/>
                </a:ext>
              </a:extLst>
            </xdr:cNvPr>
            <xdr:cNvSpPr txBox="1"/>
          </xdr:nvSpPr>
          <xdr:spPr>
            <a:xfrm>
              <a:off x="406774" y="884256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oneCellAnchor>
    <xdr:from>
      <xdr:col>2</xdr:col>
      <xdr:colOff>6351</xdr:colOff>
      <xdr:row>45</xdr:row>
      <xdr:rowOff>3174</xdr:rowOff>
    </xdr:from>
    <xdr:ext cx="4484686" cy="2571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D87431A9-5D15-468C-8615-B50E60065521}"/>
                </a:ext>
              </a:extLst>
            </xdr:cNvPr>
            <xdr:cNvSpPr txBox="1"/>
          </xdr:nvSpPr>
          <xdr:spPr>
            <a:xfrm>
              <a:off x="387351" y="13985874"/>
              <a:ext cx="448468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36</xdr:row>
      <xdr:rowOff>171449</xdr:rowOff>
    </xdr:from>
    <xdr:ext cx="45910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1CDE4F1-AF94-49E5-ACB6-03C2096C271E}"/>
                </a:ext>
              </a:extLst>
            </xdr:cNvPr>
            <xdr:cNvSpPr txBox="1"/>
          </xdr:nvSpPr>
          <xdr:spPr>
            <a:xfrm>
              <a:off x="415925" y="125253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187325</xdr:colOff>
      <xdr:row>53</xdr:row>
      <xdr:rowOff>6351</xdr:rowOff>
    </xdr:from>
    <xdr:ext cx="4486275"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5A0D79B1-D05C-4446-816E-923D59899D4D}"/>
                </a:ext>
              </a:extLst>
            </xdr:cNvPr>
            <xdr:cNvSpPr txBox="1"/>
          </xdr:nvSpPr>
          <xdr:spPr>
            <a:xfrm>
              <a:off x="377825" y="15436851"/>
              <a:ext cx="44862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187325</xdr:colOff>
      <xdr:row>48</xdr:row>
      <xdr:rowOff>174624</xdr:rowOff>
    </xdr:from>
    <xdr:ext cx="4387850" cy="2571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50527E9-639A-47FF-A39B-20C8AB73250C}"/>
                </a:ext>
              </a:extLst>
            </xdr:cNvPr>
            <xdr:cNvSpPr txBox="1"/>
          </xdr:nvSpPr>
          <xdr:spPr>
            <a:xfrm>
              <a:off x="377825" y="14700249"/>
              <a:ext cx="43878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34925</xdr:colOff>
      <xdr:row>40</xdr:row>
      <xdr:rowOff>171449</xdr:rowOff>
    </xdr:from>
    <xdr:ext cx="4591050" cy="23812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3776F889-7974-4EDE-BCEB-E2E4762D6A6A}"/>
                </a:ext>
              </a:extLst>
            </xdr:cNvPr>
            <xdr:cNvSpPr txBox="1"/>
          </xdr:nvSpPr>
          <xdr:spPr>
            <a:xfrm>
              <a:off x="415925" y="13249274"/>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0</xdr:colOff>
      <xdr:row>61</xdr:row>
      <xdr:rowOff>9526</xdr:rowOff>
    </xdr:from>
    <xdr:ext cx="3914775" cy="18332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F0DE2211-4012-4751-84A6-5309ECC62787}"/>
                </a:ext>
              </a:extLst>
            </xdr:cNvPr>
            <xdr:cNvSpPr txBox="1"/>
          </xdr:nvSpPr>
          <xdr:spPr>
            <a:xfrm>
              <a:off x="381000" y="1688782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187325</xdr:colOff>
      <xdr:row>65</xdr:row>
      <xdr:rowOff>6351</xdr:rowOff>
    </xdr:from>
    <xdr:ext cx="3914775" cy="18261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5DA44B06-66D1-4FD6-9E4A-AA500E16A4C3}"/>
                </a:ext>
              </a:extLst>
            </xdr:cNvPr>
            <xdr:cNvSpPr txBox="1"/>
          </xdr:nvSpPr>
          <xdr:spPr>
            <a:xfrm>
              <a:off x="377825" y="17608551"/>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187325</xdr:colOff>
      <xdr:row>57</xdr:row>
      <xdr:rowOff>19050</xdr:rowOff>
    </xdr:from>
    <xdr:ext cx="4048125" cy="1831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1" name="TextBox 10">
              <a:extLst>
                <a:ext uri="{FF2B5EF4-FFF2-40B4-BE49-F238E27FC236}">
                  <a16:creationId xmlns:a16="http://schemas.microsoft.com/office/drawing/2014/main" id="{66404E16-468C-4103-9F72-EEF54628FC71}"/>
                </a:ext>
              </a:extLst>
            </xdr:cNvPr>
            <xdr:cNvSpPr txBox="1"/>
          </xdr:nvSpPr>
          <xdr:spPr>
            <a:xfrm>
              <a:off x="377825" y="161734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0</xdr:col>
      <xdr:colOff>7330</xdr:colOff>
      <xdr:row>58</xdr:row>
      <xdr:rowOff>16118</xdr:rowOff>
    </xdr:from>
    <xdr:ext cx="5507646" cy="65209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𝑆𝑖𝑛𝑔𝑙𝑒</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𝐸𝑈𝐿</m:t>
                        </m:r>
                      </m:sub>
                    </m:sSub>
                  </m:oMath>
                </m:oMathPara>
              </a14:m>
              <a:endParaRPr lang="en-US" sz="1100" b="0" i="1">
                <a:solidFill>
                  <a:sysClr val="windowText" lastClr="000000"/>
                </a:solidFill>
                <a:latin typeface="Cambria Math" panose="02040503050406030204" pitchFamily="18" charset="0"/>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a14:m>
              <a:r>
                <a:rPr lang="en-US" sz="1100">
                  <a:solidFill>
                    <a:sysClr val="windowText" lastClr="000000"/>
                  </a:solidFill>
                </a:rPr>
                <a:t>)</a:t>
              </a:r>
            </a:p>
          </xdr:txBody>
        </xdr:sp>
      </mc:Choice>
      <mc:Fallback xmlns="">
        <xdr:sp macro="" textlink="">
          <xdr:nvSpPr>
            <xdr:cNvPr id="2" name="TextBox 1">
              <a:extLst>
                <a:ext uri="{FF2B5EF4-FFF2-40B4-BE49-F238E27FC236}">
                  <a16:creationId xmlns:a16="http://schemas.microsoft.com/office/drawing/2014/main" id="{F6B8936C-2D8E-401D-84F5-8C8D754DFDC8}"/>
                </a:ext>
              </a:extLst>
            </xdr:cNvPr>
            <xdr:cNvSpPr txBox="1"/>
          </xdr:nvSpPr>
          <xdr:spPr>
            <a:xfrm>
              <a:off x="7330" y="20104343"/>
              <a:ext cx="5507646" cy="6520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〖𝑇𝑅𝐵〗_(𝑆𝑖𝑛𝑔𝑙𝑒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𝑦𝑟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𝑦𝑟=𝐸𝑈𝐿)</a:t>
              </a:r>
              <a:endParaRPr lang="en-US" sz="1100" b="0" i="1">
                <a:solidFill>
                  <a:sysClr val="windowText" lastClr="000000"/>
                </a:solidFill>
                <a:latin typeface="Cambria Math" panose="02040503050406030204" pitchFamily="18" charset="0"/>
              </a:endParaRPr>
            </a:p>
            <a:p>
              <a:pPr algn="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𝑦𝑟 𝐺𝑟𝑜𝑠𝑠 𝐶𝑢𝑠𝑡_𝑀𝑒𝑎𝑠 )∗[𝐶𝑢𝑚𝑢𝑙. 𝑁𝑃𝑉 𝑎𝑣𝑜𝑖𝑑𝑒𝑑 𝑐𝑎𝑝𝑎𝑐𝑖𝑡𝑦 𝑐𝑜𝑠𝑡]_(𝑀𝑒𝑎𝑠 𝑦𝑟=𝐸𝑈𝐿)</a:t>
              </a:r>
              <a:r>
                <a:rPr lang="en-US" sz="1100">
                  <a:solidFill>
                    <a:sysClr val="windowText" lastClr="000000"/>
                  </a:solidFill>
                </a:rPr>
                <a:t>)</a:t>
              </a:r>
            </a:p>
          </xdr:txBody>
        </xdr:sp>
      </mc:Fallback>
    </mc:AlternateContent>
    <xdr:clientData/>
  </xdr:oneCellAnchor>
  <xdr:oneCellAnchor>
    <xdr:from>
      <xdr:col>0</xdr:col>
      <xdr:colOff>7330</xdr:colOff>
      <xdr:row>69</xdr:row>
      <xdr:rowOff>6593</xdr:rowOff>
    </xdr:from>
    <xdr:ext cx="5488596" cy="13408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𝑇𝑅𝐵</m:t>
                        </m:r>
                      </m:e>
                      <m:sub>
                        <m:r>
                          <a:rPr lang="en-US" sz="1100" b="0" i="1">
                            <a:solidFill>
                              <a:sysClr val="windowText" lastClr="000000"/>
                            </a:solidFill>
                            <a:latin typeface="Cambria Math" panose="02040503050406030204" pitchFamily="18" charset="0"/>
                          </a:rPr>
                          <m:t>𝐷𝑢𝑎𝑙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𝐵𝐿</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𝑀𝑒𝑎𝑠</m:t>
                        </m:r>
                      </m:sub>
                    </m:sSub>
                    <m:r>
                      <a:rPr lang="en-US" sz="1100" b="0" i="1">
                        <a:solidFill>
                          <a:sysClr val="windowText" lastClr="000000"/>
                        </a:solidFill>
                        <a:latin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ndParaRPr>
            </a:p>
            <a:p>
              <a:pPr algn="l"/>
              <a14:m>
                <m:oMathPara xmlns:m="http://schemas.openxmlformats.org/officeDocument/2006/math">
                  <m:oMathParaPr>
                    <m:jc m:val="right"/>
                  </m:oMathParaPr>
                  <m:oMath xmlns:m="http://schemas.openxmlformats.org/officeDocument/2006/math">
                    <m:r>
                      <a:rPr lang="en-US" sz="1100" b="0" i="1">
                        <a:solidFill>
                          <a:sysClr val="windowText" lastClr="000000"/>
                        </a:solidFill>
                        <a:latin typeface="Cambria Math" panose="02040503050406030204" pitchFamily="18" charset="0"/>
                      </a:rPr>
                      <m:t>𝑁𝑇𝐺</m:t>
                    </m:r>
                    <m:sSub>
                      <m:sSubPr>
                        <m:ctrlPr>
                          <a:rPr lang="en-US" sz="1100" b="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𝑅</m:t>
                        </m:r>
                      </m:e>
                      <m:sub>
                        <m:r>
                          <a:rPr lang="en-US" sz="1100" b="0" i="1">
                            <a:solidFill>
                              <a:sysClr val="windowText" lastClr="000000"/>
                            </a:solidFill>
                            <a:latin typeface="Cambria Math" panose="02040503050406030204" pitchFamily="18" charset="0"/>
                          </a:rPr>
                          <m:t>𝑃𝑟𝑜𝑔</m:t>
                        </m:r>
                      </m:sub>
                    </m:sSub>
                    <m:r>
                      <a:rPr lang="en-US" sz="1100" b="0" i="1">
                        <a:solidFill>
                          <a:sysClr val="windowText" lastClr="000000"/>
                        </a:solidFill>
                        <a:latin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latin typeface="Cambria Math" panose="02040503050406030204" pitchFamily="18" charset="0"/>
                          </a:rPr>
                        </m:ctrlPr>
                      </m:sSubPr>
                      <m:e>
                        <m:d>
                          <m:dPr>
                            <m:begChr m:val="["/>
                            <m:endChr m:val="]"/>
                            <m:ctrlPr>
                              <a:rPr lang="en-US" sz="1100" b="0" i="1">
                                <a:solidFill>
                                  <a:sysClr val="windowText" lastClr="000000"/>
                                </a:solidFill>
                                <a:latin typeface="Cambria Math" panose="02040503050406030204" pitchFamily="18" charset="0"/>
                              </a:rPr>
                            </m:ctrlPr>
                          </m:dPr>
                          <m:e>
                            <m:r>
                              <a:rPr lang="en-US" sz="1100" b="0" i="1">
                                <a:solidFill>
                                  <a:sysClr val="windowText" lastClr="000000"/>
                                </a:solidFill>
                                <a:latin typeface="Cambria Math" panose="02040503050406030204" pitchFamily="18" charset="0"/>
                              </a:rPr>
                              <m:t>𝐶𝑢𝑚𝑢𝑙</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𝑁𝑃𝑉</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𝑎𝑣𝑜𝑖𝑑𝑒𝑑</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𝑒𝑛𝑒𝑟𝑔𝑦</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𝑐𝑜𝑠𝑡</m:t>
                            </m:r>
                          </m:e>
                        </m:d>
                      </m:e>
                      <m:sub>
                        <m:r>
                          <a:rPr lang="en-US" sz="1100" b="0" i="1">
                            <a:solidFill>
                              <a:sysClr val="windowText" lastClr="000000"/>
                            </a:solidFill>
                            <a:latin typeface="Cambria Math" panose="02040503050406030204" pitchFamily="18" charset="0"/>
                          </a:rPr>
                          <m:t>𝑀𝑒𝑎𝑠</m:t>
                        </m:r>
                        <m:r>
                          <a:rPr lang="en-US" sz="1100" b="0" i="1">
                            <a:solidFill>
                              <a:sysClr val="windowText" lastClr="000000"/>
                            </a:solidFill>
                            <a:latin typeface="Cambria Math" panose="02040503050406030204" pitchFamily="18" charset="0"/>
                          </a:rPr>
                          <m:t> </m:t>
                        </m:r>
                        <m:r>
                          <a:rPr lang="en-US" sz="1100" b="0" i="1">
                            <a:solidFill>
                              <a:sysClr val="windowText" lastClr="000000"/>
                            </a:solidFill>
                            <a:latin typeface="Cambria Math" panose="02040503050406030204" pitchFamily="18" charset="0"/>
                          </a:rPr>
                          <m:t>𝑦𝑟</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𝑅𝑈𝐿</m:t>
                        </m:r>
                      </m:sub>
                    </m:sSub>
                  </m:oMath>
                </m:oMathPara>
              </a14:m>
              <a:endParaRPr lang="en-US" sz="1100" b="0" i="1">
                <a:solidFill>
                  <a:sysClr val="windowText" lastClr="000000"/>
                </a:solidFill>
                <a:latin typeface="Cambria Math" panose="02040503050406030204" pitchFamily="18" charset="0"/>
              </a:endParaRPr>
            </a:p>
            <a:p>
              <a:pP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m:oMathPara>
              </a14:m>
              <a:endParaRPr lang="en-US" sz="1100" b="0" i="0">
                <a:solidFill>
                  <a:sysClr val="windowText" lastClr="000000"/>
                </a:solidFill>
                <a:effectLst/>
                <a:latin typeface="Cambria Math" panose="02040503050406030204" pitchFamily="18" charset="0"/>
                <a:ea typeface="+mn-ea"/>
                <a:cs typeface="+mn-cs"/>
              </a:endParaRPr>
            </a:p>
            <a:p>
              <a:pPr/>
              <a14:m>
                <m:oMathPara xmlns:m="http://schemas.openxmlformats.org/officeDocument/2006/math">
                  <m:oMathParaPr>
                    <m:jc m:val="right"/>
                  </m:oMathParaPr>
                  <m:oMath xmlns:m="http://schemas.openxmlformats.org/officeDocument/2006/math">
                    <m:r>
                      <a:rPr lang="en-US" sz="1100" b="0" i="0">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𝑒𝑛𝑒𝑟𝑔𝑦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oMath>
              </a14:m>
              <a:r>
                <a:rPr lang="en-US">
                  <a:solidFill>
                    <a:sysClr val="windowText" lastClr="000000"/>
                  </a:solidFill>
                  <a:effectLst/>
                </a:rPr>
                <a:t>)</a:t>
              </a:r>
            </a:p>
            <a:p>
              <a:pPr algn="r"/>
              <a14:m>
                <m:oMathPara xmlns:m="http://schemas.openxmlformats.org/officeDocument/2006/math">
                  <m:oMathParaPr>
                    <m:jc m:val="righ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𝐺𝑟𝑜𝑠𝑠</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𝐶𝑢𝑠</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𝑡</m:t>
                            </m:r>
                          </m:e>
                          <m:sub>
                            <m:r>
                              <a:rPr lang="en-US" sz="1100" b="0" i="1">
                                <a:solidFill>
                                  <a:sysClr val="windowText" lastClr="000000"/>
                                </a:solidFill>
                                <a:effectLst/>
                                <a:latin typeface="Cambria Math" panose="02040503050406030204" pitchFamily="18" charset="0"/>
                                <a:ea typeface="+mn-ea"/>
                                <a:cs typeface="+mn-cs"/>
                              </a:rPr>
                              <m:t>𝑀𝑒𝑎𝑠</m:t>
                            </m:r>
                          </m:sub>
                        </m:sSub>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sub>
                    </m:sSub>
                  </m:oMath>
                </m:oMathPara>
              </a14:m>
              <a:endParaRPr lang="en-US" sz="1100" b="0" i="1">
                <a:solidFill>
                  <a:sysClr val="windowText" lastClr="000000"/>
                </a:solidFill>
                <a:effectLst/>
                <a:latin typeface="+mn-lt"/>
                <a:ea typeface="+mn-ea"/>
                <a:cs typeface="+mn-cs"/>
              </a:endParaRPr>
            </a:p>
            <a:p>
              <a:pPr algn="r"/>
              <a14:m>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d>
                        <m:dPr>
                          <m:begChr m:val="["/>
                          <m:endChr m:val="]"/>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𝐶𝑢𝑚𝑢𝑙</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𝑁𝑃𝑉</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𝑎𝑣𝑜𝑖𝑑𝑒𝑑</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𝑐𝑎𝑝𝑎𝑐𝑖𝑡𝑦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𝑐𝑜𝑠𝑡</m:t>
                          </m:r>
                        </m:e>
                      </m:d>
                    </m:e>
                    <m:sub>
                      <m:r>
                        <a:rPr lang="en-US" sz="1100" b="0" i="1">
                          <a:solidFill>
                            <a:sysClr val="windowText" lastClr="000000"/>
                          </a:solidFill>
                          <a:effectLst/>
                          <a:latin typeface="Cambria Math" panose="02040503050406030204" pitchFamily="18" charset="0"/>
                          <a:ea typeface="+mn-ea"/>
                          <a:cs typeface="+mn-cs"/>
                        </a:rPr>
                        <m:t>𝑀𝑒𝑎𝑠</m:t>
                      </m:r>
                      <m:r>
                        <a:rPr lang="en-US" sz="1100" b="0" i="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𝑦𝑟</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sub>
                  </m:sSub>
                  <m:r>
                    <m:rPr>
                      <m:nor/>
                    </m:rPr>
                    <a:rPr lang="en-US" sz="1100">
                      <a:solidFill>
                        <a:sysClr val="windowText" lastClr="000000"/>
                      </a:solidFill>
                      <a:effectLst/>
                      <a:latin typeface="+mn-lt"/>
                      <a:ea typeface="+mn-ea"/>
                      <a:cs typeface="+mn-cs"/>
                    </a:rPr>
                    <m:t>)</m:t>
                  </m:r>
                </m:oMath>
              </a14:m>
              <a:r>
                <a:rPr lang="en-US" sz="1100">
                  <a:solidFill>
                    <a:sysClr val="windowText" lastClr="000000"/>
                  </a:solidFill>
                </a:rPr>
                <a:t>}</a:t>
              </a:r>
            </a:p>
          </xdr:txBody>
        </xdr:sp>
      </mc:Choice>
      <mc:Fallback xmlns="">
        <xdr:sp macro="" textlink="">
          <xdr:nvSpPr>
            <xdr:cNvPr id="3" name="TextBox 2">
              <a:extLst>
                <a:ext uri="{FF2B5EF4-FFF2-40B4-BE49-F238E27FC236}">
                  <a16:creationId xmlns:a16="http://schemas.microsoft.com/office/drawing/2014/main" id="{371C51A7-9E7C-482F-835C-375617632745}"/>
                </a:ext>
              </a:extLst>
            </xdr:cNvPr>
            <xdr:cNvSpPr txBox="1"/>
          </xdr:nvSpPr>
          <xdr:spPr>
            <a:xfrm>
              <a:off x="7330" y="25800293"/>
              <a:ext cx="5488596" cy="13408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ysClr val="windowText" lastClr="000000"/>
                  </a:solidFill>
                  <a:latin typeface="Cambria Math" panose="02040503050406030204" pitchFamily="18" charset="0"/>
                </a:rPr>
                <a:t>〖𝑇𝑅𝐵〗_(𝐷𝑢𝑎𝑙 𝐵𝐿 𝑀𝑒𝑎𝑠)=</a:t>
              </a:r>
              <a:endParaRPr lang="en-US" sz="1100" b="0" i="1">
                <a:solidFill>
                  <a:sysClr val="windowText" lastClr="000000"/>
                </a:solidFill>
                <a:latin typeface="Cambria Math" panose="02040503050406030204" pitchFamily="18" charset="0"/>
              </a:endParaRPr>
            </a:p>
            <a:p>
              <a:pPr algn="l"/>
              <a:r>
                <a:rPr lang="en-US" sz="1100" b="0" i="0">
                  <a:solidFill>
                    <a:sysClr val="windowText" lastClr="000000"/>
                  </a:solidFill>
                  <a:latin typeface="Cambria Math" panose="02040503050406030204" pitchFamily="18" charset="0"/>
                </a:rPr>
                <a:t>𝑁𝑇𝐺𝑅_𝑃𝑟𝑜𝑔∗{</a:t>
              </a:r>
              <a:r>
                <a:rPr lang="en-US" sz="1100" b="0" i="0">
                  <a:solidFill>
                    <a:sysClr val="windowText" lastClr="000000"/>
                  </a:solidFill>
                  <a:effectLst/>
                  <a:latin typeface="Cambria Math" panose="02040503050406030204" pitchFamily="18" charset="0"/>
                  <a:ea typeface="+mn-ea"/>
                  <a:cs typeface="+mn-cs"/>
                </a:rPr>
                <a:t>∆𝑘𝑊ℎ_(1𝑠𝑡 𝐵𝐿 𝐺𝑟𝑜𝑠𝑠 𝐶𝑢𝑠𝑡_𝑀𝑒𝑎𝑠 )</a:t>
              </a:r>
              <a:r>
                <a:rPr lang="en-US" sz="1100" b="0" i="0">
                  <a:solidFill>
                    <a:sysClr val="windowText" lastClr="000000"/>
                  </a:solidFill>
                  <a:latin typeface="Cambria Math" panose="02040503050406030204" pitchFamily="18" charset="0"/>
                </a:rPr>
                <a:t>∗[𝐶𝑢𝑚𝑢𝑙. 𝑁𝑃𝑉 𝑎𝑣𝑜𝑖𝑑𝑒𝑑 𝑒𝑛𝑒𝑟𝑔𝑦 𝑐𝑜𝑠𝑡]_(𝑀𝑒𝑎𝑠 𝑦𝑟=𝑅𝑈𝐿)</a:t>
              </a:r>
              <a:endParaRPr lang="en-US" sz="1100" b="0" i="1">
                <a:solidFill>
                  <a:sysClr val="windowText" lastClr="000000"/>
                </a:solidFill>
                <a:latin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∆𝑘𝑊_(1𝑠𝑡 𝐵𝐿 𝐺𝑟𝑜𝑠𝑠 𝐶𝑢𝑠𝑡_𝑀𝑒𝑎𝑠 )∗[𝐶𝑢𝑚𝑢𝑙. 𝑁𝑃𝑉 𝑎𝑣𝑜𝑖𝑑𝑒𝑑 𝑐𝑎𝑝𝑎𝑐𝑖𝑡𝑦 𝑐𝑜𝑠𝑡]_(𝑀𝑒𝑎𝑠 𝑦𝑟=𝑅𝑈𝐿)</a:t>
              </a:r>
            </a:p>
            <a:p>
              <a:pPr/>
              <a:r>
                <a:rPr lang="en-US" sz="1100" b="0" i="0">
                  <a:solidFill>
                    <a:sysClr val="windowText" lastClr="000000"/>
                  </a:solidFill>
                  <a:effectLst/>
                  <a:latin typeface="Cambria Math" panose="02040503050406030204" pitchFamily="18" charset="0"/>
                  <a:ea typeface="+mn-ea"/>
                  <a:cs typeface="+mn-cs"/>
                </a:rPr>
                <a:t>+∆𝑘𝑊ℎ_(2𝑛𝑑 𝐵𝐿 𝐺𝑟𝑜𝑠𝑠 𝐶𝑢𝑠𝑡_𝑀𝑒𝑎𝑠 )∗〖([𝐶𝑢𝑚𝑢𝑙. 𝑁𝑃𝑉 𝑎𝑣𝑜𝑖𝑑𝑒𝑑 𝑒𝑛𝑒𝑟𝑔𝑦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𝑒𝑛𝑒𝑟𝑔𝑦 𝑐𝑜𝑠𝑡]_(𝑀𝑒𝑎𝑠 𝑦𝑟=𝑅𝑈𝐿)</a:t>
              </a:r>
              <a:r>
                <a:rPr lang="en-US">
                  <a:solidFill>
                    <a:sysClr val="windowText" lastClr="000000"/>
                  </a:solidFill>
                  <a:effectLst/>
                </a:rPr>
                <a:t>)</a:t>
              </a:r>
            </a:p>
            <a:p>
              <a:pPr algn="r"/>
              <a:r>
                <a:rPr lang="en-US" sz="1100" b="0" i="0">
                  <a:solidFill>
                    <a:sysClr val="windowText" lastClr="000000"/>
                  </a:solidFill>
                  <a:effectLst/>
                  <a:latin typeface="Cambria Math" panose="02040503050406030204" pitchFamily="18" charset="0"/>
                  <a:ea typeface="+mn-ea"/>
                  <a:cs typeface="+mn-cs"/>
                </a:rPr>
                <a:t>+∆𝑘𝑊_(2𝑛𝑑 𝐵𝐿 𝐺𝑟𝑜𝑠𝑠 𝐶𝑢𝑠𝑡_𝑀𝑒𝑎𝑠 )∗〖([𝐶𝑢𝑚𝑢𝑙. 𝑁𝑃𝑉 𝑎𝑣𝑜𝑖𝑑𝑒𝑑 𝑐𝑎𝑝𝑎𝑐𝑖𝑡𝑦 𝑐𝑜𝑠𝑡]〗_(𝑀𝑒𝑎𝑠 𝑦𝑟=𝐸𝑈𝐿)</a:t>
              </a:r>
              <a:endParaRPr lang="en-US" sz="1100" b="0" i="1">
                <a:solidFill>
                  <a:sysClr val="windowText" lastClr="000000"/>
                </a:solidFill>
                <a:effectLst/>
                <a:latin typeface="+mn-lt"/>
                <a:ea typeface="+mn-ea"/>
                <a:cs typeface="+mn-cs"/>
              </a:endParaRPr>
            </a:p>
            <a:p>
              <a:pPr algn="r"/>
              <a:r>
                <a:rPr lang="en-US" sz="1100" b="0" i="0">
                  <a:solidFill>
                    <a:sysClr val="windowText" lastClr="000000"/>
                  </a:solidFill>
                  <a:effectLst/>
                  <a:latin typeface="Cambria Math" panose="02040503050406030204" pitchFamily="18" charset="0"/>
                  <a:ea typeface="+mn-ea"/>
                  <a:cs typeface="+mn-cs"/>
                </a:rPr>
                <a:t>−[𝐶𝑢𝑚𝑢𝑙. 𝑁𝑃𝑉 𝑎𝑣𝑜𝑖𝑑𝑒𝑑 𝑐𝑎𝑝𝑎𝑐𝑖𝑡𝑦 𝑐𝑜𝑠𝑡]_(𝑀𝑒𝑎𝑠 𝑦𝑟=𝑅𝑈𝐿)</a:t>
              </a:r>
              <a:r>
                <a:rPr lang="en-US" sz="1100" b="0" i="0">
                  <a:solidFill>
                    <a:sysClr val="windowText" lastClr="000000"/>
                  </a:solidFill>
                  <a:effectLst/>
                  <a:latin typeface="+mn-lt"/>
                  <a:ea typeface="+mn-ea"/>
                  <a:cs typeface="+mn-cs"/>
                </a:rPr>
                <a:t> </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mn-lt"/>
                  <a:ea typeface="+mn-ea"/>
                  <a:cs typeface="+mn-cs"/>
                </a:rPr>
                <a:t>"</a:t>
              </a:r>
              <a:r>
                <a:rPr lang="en-US" sz="1100">
                  <a:solidFill>
                    <a:sysClr val="windowText" lastClr="000000"/>
                  </a:solidFill>
                </a:rPr>
                <a:t>}</a:t>
              </a:r>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oneCellAnchor>
    <xdr:from>
      <xdr:col>3</xdr:col>
      <xdr:colOff>25401</xdr:colOff>
      <xdr:row>44</xdr:row>
      <xdr:rowOff>3174</xdr:rowOff>
    </xdr:from>
    <xdr:ext cx="4275136"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2" name="TextBox 1">
              <a:extLst>
                <a:ext uri="{FF2B5EF4-FFF2-40B4-BE49-F238E27FC236}">
                  <a16:creationId xmlns:a16="http://schemas.microsoft.com/office/drawing/2014/main" id="{A4861719-613D-4564-B149-6FC61A26D58D}"/>
                </a:ext>
              </a:extLst>
            </xdr:cNvPr>
            <xdr:cNvSpPr txBox="1"/>
          </xdr:nvSpPr>
          <xdr:spPr>
            <a:xfrm>
              <a:off x="596901" y="10775949"/>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a:t>
              </a:r>
              <a:r>
                <a:rPr lang="en-US" sz="1100" b="0" i="0">
                  <a:latin typeface="Cambria Math" panose="02040503050406030204" pitchFamily="18" charset="0"/>
                  <a:ea typeface="Cambria Math" panose="02040503050406030204" pitchFamily="18" charset="0"/>
                </a:rPr>
                <a:t>=(〖𝑘𝑊〗_(𝑏𝑎𝑠𝑒,𝑅𝑂𝐵)−〖𝑘𝑊〗_𝐸𝐸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57</xdr:row>
      <xdr:rowOff>9525</xdr:rowOff>
    </xdr:from>
    <xdr:ext cx="36957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𝑅𝑂𝐵</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26E60460-90B6-4B97-ACA4-DD923C775DE3}"/>
                </a:ext>
              </a:extLst>
            </xdr:cNvPr>
            <xdr:cNvSpPr txBox="1"/>
          </xdr:nvSpPr>
          <xdr:spPr>
            <a:xfrm>
              <a:off x="600075" y="13258800"/>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𝑘𝑊ℎ〗_(𝑙𝑖𝑓𝑒,𝑅𝑂𝐵)</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𝑘𝑊ℎ〗_𝑅𝑂𝐵∗〖𝐸𝑈𝐿〗_𝐸𝐸</a:t>
              </a:r>
              <a:endParaRPr lang="en-US" sz="1100"/>
            </a:p>
          </xdr:txBody>
        </xdr:sp>
      </mc:Fallback>
    </mc:AlternateContent>
    <xdr:clientData/>
  </xdr:oneCellAnchor>
  <xdr:oneCellAnchor>
    <xdr:from>
      <xdr:col>3</xdr:col>
      <xdr:colOff>38100</xdr:colOff>
      <xdr:row>31</xdr:row>
      <xdr:rowOff>0</xdr:rowOff>
    </xdr:from>
    <xdr:ext cx="4362450"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𝑅𝑂𝐵</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𝑅𝑂𝐵</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9F610360-726E-4BCA-A384-E1E914D9DB17}"/>
                </a:ext>
              </a:extLst>
            </xdr:cNvPr>
            <xdr:cNvSpPr txBox="1"/>
          </xdr:nvSpPr>
          <xdr:spPr>
            <a:xfrm>
              <a:off x="609600" y="8296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𝑘𝑊〗_𝑅𝑂𝐵</a:t>
              </a:r>
              <a:r>
                <a:rPr lang="en-US" sz="1100" b="0" i="0">
                  <a:latin typeface="Cambria Math" panose="02040503050406030204" pitchFamily="18" charset="0"/>
                  <a:ea typeface="Cambria Math" panose="02040503050406030204" pitchFamily="18" charset="0"/>
                </a:rPr>
                <a:t>=(〖𝑘𝑊〗_(𝑏𝑎𝑠𝑒, 𝑅𝑂𝐵)−〖𝑘𝑊〗_𝐸𝐸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38100</xdr:colOff>
      <xdr:row>35</xdr:row>
      <xdr:rowOff>0</xdr:rowOff>
    </xdr:from>
    <xdr:ext cx="4362450" cy="2381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DA92ADDB-CACE-4EBF-9078-DB14B778D9E5}"/>
                </a:ext>
              </a:extLst>
            </xdr:cNvPr>
            <xdr:cNvSpPr txBox="1"/>
          </xdr:nvSpPr>
          <xdr:spPr>
            <a:xfrm>
              <a:off x="609600" y="90582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𝑘𝑊〗_1𝑠𝑡</a:t>
              </a:r>
              <a:r>
                <a:rPr lang="en-US" sz="1100" b="0" i="0">
                  <a:latin typeface="Cambria Math" panose="02040503050406030204" pitchFamily="18" charset="0"/>
                  <a:ea typeface="Cambria Math" panose="02040503050406030204" pitchFamily="18" charset="0"/>
                </a:rPr>
                <a:t>=(〖𝑘𝑊〗_(𝑏𝑎𝑠𝑒,1)−〖𝑘𝑊〗_𝐸𝐸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0</xdr:colOff>
      <xdr:row>38</xdr:row>
      <xdr:rowOff>0</xdr:rowOff>
    </xdr:from>
    <xdr:ext cx="43624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BF14062D-8DEF-46FB-B300-C9320E2065B3}"/>
                </a:ext>
              </a:extLst>
            </xdr:cNvPr>
            <xdr:cNvSpPr txBox="1"/>
          </xdr:nvSpPr>
          <xdr:spPr>
            <a:xfrm>
              <a:off x="571500" y="9629775"/>
              <a:ext cx="43624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𝑘𝑊〗_2𝑛𝑑</a:t>
              </a:r>
              <a:r>
                <a:rPr lang="en-US" sz="1100" b="0" i="0">
                  <a:latin typeface="Cambria Math" panose="02040503050406030204" pitchFamily="18" charset="0"/>
                  <a:ea typeface="Cambria Math" panose="02040503050406030204" pitchFamily="18" charset="0"/>
                </a:rPr>
                <a:t>=(〖𝑘𝑊〗_(𝑏𝑎𝑠𝑒,2)−〖𝑘𝑊〗_𝐸𝐸 )∗𝐼𝑆𝑅∗𝐶𝐹∗</a:t>
              </a:r>
              <a:r>
                <a:rPr lang="en-US" sz="1100" b="0" i="0">
                  <a:solidFill>
                    <a:schemeClr val="tx1"/>
                  </a:solidFill>
                  <a:effectLst/>
                  <a:latin typeface="Cambria Math" panose="02040503050406030204" pitchFamily="18" charset="0"/>
                  <a:ea typeface="+mn-ea"/>
                  <a:cs typeface="+mn-cs"/>
                </a:rPr>
                <a:t>〖𝐼𝐸〗_(𝐶,𝐷)</a:t>
              </a:r>
              <a:endParaRPr lang="en-US" sz="1100"/>
            </a:p>
          </xdr:txBody>
        </xdr:sp>
      </mc:Fallback>
    </mc:AlternateContent>
    <xdr:clientData/>
  </xdr:oneCellAnchor>
  <xdr:oneCellAnchor>
    <xdr:from>
      <xdr:col>3</xdr:col>
      <xdr:colOff>19050</xdr:colOff>
      <xdr:row>48</xdr:row>
      <xdr:rowOff>0</xdr:rowOff>
    </xdr:from>
    <xdr:ext cx="427513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1233976B-165B-4F29-82A0-EF8828D87E5E}"/>
                </a:ext>
              </a:extLst>
            </xdr:cNvPr>
            <xdr:cNvSpPr txBox="1"/>
          </xdr:nvSpPr>
          <xdr:spPr>
            <a:xfrm>
              <a:off x="590550" y="115347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latin typeface="Cambria Math" panose="02040503050406030204" pitchFamily="18" charset="0"/>
                  <a:ea typeface="Cambria Math" panose="02040503050406030204" pitchFamily="18" charset="0"/>
                </a:rPr>
                <a:t>=(〖𝑘𝑊〗_(𝑏𝑎𝑠𝑒,1)−〖𝑘𝑊〗_𝐸𝐸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19050</xdr:colOff>
      <xdr:row>51</xdr:row>
      <xdr:rowOff>0</xdr:rowOff>
    </xdr:from>
    <xdr:ext cx="4275136"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9C2F8F7F-EDF8-4023-934D-C24E8D1F83AE}"/>
                </a:ext>
              </a:extLst>
            </xdr:cNvPr>
            <xdr:cNvSpPr txBox="1"/>
          </xdr:nvSpPr>
          <xdr:spPr>
            <a:xfrm>
              <a:off x="590550" y="12106275"/>
              <a:ext cx="427513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a:t>
              </a:r>
              <a:r>
                <a:rPr lang="en-US" sz="1100" b="0" i="0">
                  <a:latin typeface="Cambria Math" panose="02040503050406030204" pitchFamily="18" charset="0"/>
                  <a:ea typeface="Cambria Math" panose="02040503050406030204" pitchFamily="18" charset="0"/>
                </a:rPr>
                <a:t>=(〖𝑘𝑊〗_(𝑏𝑎𝑠𝑒,2)−〖𝑘𝑊〗_𝐸𝐸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〖𝐼𝐸〗_(𝐶,𝐸)</a:t>
              </a:r>
              <a:endParaRPr lang="en-US" sz="1100"/>
            </a:p>
          </xdr:txBody>
        </xdr:sp>
      </mc:Fallback>
    </mc:AlternateContent>
    <xdr:clientData/>
  </xdr:oneCellAnchor>
  <xdr:oneCellAnchor>
    <xdr:from>
      <xdr:col>3</xdr:col>
      <xdr:colOff>28575</xdr:colOff>
      <xdr:row>60</xdr:row>
      <xdr:rowOff>190499</xdr:rowOff>
    </xdr:from>
    <xdr:ext cx="3695700"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𝐸𝑅</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oMath>
                </m:oMathPara>
              </a14:m>
              <a:endParaRPr lang="en-US" sz="1100"/>
            </a:p>
          </xdr:txBody>
        </xdr:sp>
      </mc:Choice>
      <mc:Fallback xmlns="">
        <xdr:sp macro="" textlink="">
          <xdr:nvSpPr>
            <xdr:cNvPr id="9" name="TextBox 8">
              <a:extLst>
                <a:ext uri="{FF2B5EF4-FFF2-40B4-BE49-F238E27FC236}">
                  <a16:creationId xmlns:a16="http://schemas.microsoft.com/office/drawing/2014/main" id="{E6595AE0-F006-4347-8D6B-99C39391DF51}"/>
                </a:ext>
              </a:extLst>
            </xdr:cNvPr>
            <xdr:cNvSpPr txBox="1"/>
          </xdr:nvSpPr>
          <xdr:spPr>
            <a:xfrm>
              <a:off x="600075" y="14011274"/>
              <a:ext cx="36957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𝐸𝑅)</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𝑘𝑊ℎ〗_2𝑛𝑑∗(〖𝐸𝑈𝐿〗_𝐸𝐸−𝑅𝑈𝐿)</a:t>
              </a:r>
              <a:endParaRPr lang="en-US"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oneCellAnchor>
    <xdr:from>
      <xdr:col>1</xdr:col>
      <xdr:colOff>187326</xdr:colOff>
      <xdr:row>31</xdr:row>
      <xdr:rowOff>3174</xdr:rowOff>
    </xdr:from>
    <xdr:ext cx="3421062"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EC0742B1-7A15-4335-9668-B687ACF894B8}"/>
                </a:ext>
              </a:extLst>
            </xdr:cNvPr>
            <xdr:cNvSpPr txBox="1"/>
          </xdr:nvSpPr>
          <xdr:spPr>
            <a:xfrm>
              <a:off x="377826" y="6718299"/>
              <a:ext cx="3421062"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=(〖𝑘𝑊〗_𝑏𝑎𝑠𝑒−〖𝑘𝑊〗_𝐸𝐸 )∗𝐼𝑆𝑅∗〖𝐻𝑂𝑈〗_𝑦𝑒𝑎𝑟∗𝑃𝐹</a:t>
              </a:r>
              <a:endParaRPr lang="en-US" sz="1100"/>
            </a:p>
          </xdr:txBody>
        </xdr:sp>
      </mc:Fallback>
    </mc:AlternateContent>
    <xdr:clientData/>
  </xdr:oneCellAnchor>
  <xdr:oneCellAnchor>
    <xdr:from>
      <xdr:col>2</xdr:col>
      <xdr:colOff>25400</xdr:colOff>
      <xdr:row>26</xdr:row>
      <xdr:rowOff>171449</xdr:rowOff>
    </xdr:from>
    <xdr:ext cx="3579812"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98CD323E-C7C5-4575-8712-E049935DF409}"/>
                </a:ext>
              </a:extLst>
            </xdr:cNvPr>
            <xdr:cNvSpPr txBox="1"/>
          </xdr:nvSpPr>
          <xdr:spPr>
            <a:xfrm>
              <a:off x="406400" y="5981699"/>
              <a:ext cx="3579812"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=(〖𝑘𝑊〗_𝑏𝑎𝑠𝑒−〖𝑘𝑊〗_𝐸𝐸 )∗𝐼𝑆𝑅∗𝐶𝐹∗𝑃𝐹</a:t>
              </a:r>
              <a:endParaRPr lang="en-US" sz="1100"/>
            </a:p>
          </xdr:txBody>
        </xdr:sp>
      </mc:Fallback>
    </mc:AlternateContent>
    <xdr:clientData/>
  </xdr:oneCellAnchor>
  <xdr:oneCellAnchor>
    <xdr:from>
      <xdr:col>1</xdr:col>
      <xdr:colOff>180975</xdr:colOff>
      <xdr:row>35</xdr:row>
      <xdr:rowOff>9526</xdr:rowOff>
    </xdr:from>
    <xdr:ext cx="3914775"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689BFF6D-C3A6-47E3-836A-2C46C5384DC5}"/>
                </a:ext>
              </a:extLst>
            </xdr:cNvPr>
            <xdr:cNvSpPr txBox="1"/>
          </xdr:nvSpPr>
          <xdr:spPr>
            <a:xfrm>
              <a:off x="371475" y="7448551"/>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15876</xdr:colOff>
      <xdr:row>45</xdr:row>
      <xdr:rowOff>3174</xdr:rowOff>
    </xdr:from>
    <xdr:ext cx="4489450" cy="2571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0D623E54-843B-4DD3-9837-7FC0453C7699}"/>
                </a:ext>
              </a:extLst>
            </xdr:cNvPr>
            <xdr:cNvSpPr txBox="1"/>
          </xdr:nvSpPr>
          <xdr:spPr>
            <a:xfrm>
              <a:off x="396876" y="9194799"/>
              <a:ext cx="44894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36</xdr:row>
      <xdr:rowOff>171449</xdr:rowOff>
    </xdr:from>
    <xdr:ext cx="459105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65797DB-8182-4311-904D-565555A09ADE}"/>
                </a:ext>
              </a:extLst>
            </xdr:cNvPr>
            <xdr:cNvSpPr txBox="1"/>
          </xdr:nvSpPr>
          <xdr:spPr>
            <a:xfrm>
              <a:off x="425450" y="77342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53</xdr:row>
      <xdr:rowOff>6351</xdr:rowOff>
    </xdr:from>
    <xdr:ext cx="4362450"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A3A462B3-005C-44A8-99A4-235C0256D586}"/>
                </a:ext>
              </a:extLst>
            </xdr:cNvPr>
            <xdr:cNvSpPr txBox="1"/>
          </xdr:nvSpPr>
          <xdr:spPr>
            <a:xfrm>
              <a:off x="387350" y="10645776"/>
              <a:ext cx="436245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6350</xdr:colOff>
      <xdr:row>48</xdr:row>
      <xdr:rowOff>174624</xdr:rowOff>
    </xdr:from>
    <xdr:ext cx="4429125" cy="2571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7745FB33-B323-43EB-9705-80FEC92C7271}"/>
                </a:ext>
              </a:extLst>
            </xdr:cNvPr>
            <xdr:cNvSpPr txBox="1"/>
          </xdr:nvSpPr>
          <xdr:spPr>
            <a:xfrm>
              <a:off x="387350" y="9909174"/>
              <a:ext cx="44291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)∗𝐼𝑆𝑅∗〖𝐻𝑂𝑈〗_𝑦𝑒𝑎𝑟</a:t>
              </a:r>
              <a:r>
                <a:rPr lang="en-US" sz="1100" b="0" i="0">
                  <a:solidFill>
                    <a:schemeClr val="tx1"/>
                  </a:solidFill>
                  <a:effectLst/>
                  <a:latin typeface="Cambria Math" panose="02040503050406030204" pitchFamily="18" charset="0"/>
                  <a:ea typeface="+mn-ea"/>
                  <a:cs typeface="+mn-cs"/>
                </a:rPr>
                <a:t>∗〖𝐼𝐸〗_(𝐶,𝐸)</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44450</xdr:colOff>
      <xdr:row>40</xdr:row>
      <xdr:rowOff>171449</xdr:rowOff>
    </xdr:from>
    <xdr:ext cx="45910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𝑏𝑙𝑒𝑛𝑑</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9861EBCA-B9E1-4C80-87BF-CD847D2CB862}"/>
                </a:ext>
              </a:extLst>
            </xdr:cNvPr>
            <xdr:cNvSpPr txBox="1"/>
          </xdr:nvSpPr>
          <xdr:spPr>
            <a:xfrm>
              <a:off x="425450" y="845819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2𝑛𝑑=(〖𝑘𝑊〗_(𝑏𝑎𝑠𝑒,2)−〖𝑘𝑊〗_(𝐸𝐸,𝑏𝑙𝑒𝑛𝑑) )∗𝐼𝑆𝑅∗𝐶𝐹∗</a:t>
              </a:r>
              <a:r>
                <a:rPr lang="en-US" sz="1100" b="0" i="0">
                  <a:solidFill>
                    <a:schemeClr val="tx1"/>
                  </a:solidFill>
                  <a:effectLst/>
                  <a:latin typeface="Cambria Math" panose="02040503050406030204" pitchFamily="18" charset="0"/>
                  <a:ea typeface="+mn-ea"/>
                  <a:cs typeface="+mn-cs"/>
                </a:rPr>
                <a:t>〖𝐼𝐸〗_(𝐶,𝐷)</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9525</xdr:colOff>
      <xdr:row>57</xdr:row>
      <xdr:rowOff>9526</xdr:rowOff>
    </xdr:from>
    <xdr:ext cx="3914775" cy="18332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240E58C5-6E03-477F-B925-B4524656D01E}"/>
                </a:ext>
              </a:extLst>
            </xdr:cNvPr>
            <xdr:cNvSpPr txBox="1"/>
          </xdr:nvSpPr>
          <xdr:spPr>
            <a:xfrm>
              <a:off x="390525" y="1137285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2</xdr:col>
      <xdr:colOff>25400</xdr:colOff>
      <xdr:row>32</xdr:row>
      <xdr:rowOff>120650</xdr:rowOff>
    </xdr:from>
    <xdr:ext cx="504825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𝑏𝑙𝑒𝑛𝑑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𝑑𝑖𝑚𝑚𝑎𝑏𝑙𝑒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𝑆𝑉𝐺</m:t>
                                </m:r>
                              </m:e>
                              <m:sub>
                                <m:r>
                                  <a:rPr lang="en-US" sz="1100" b="0" i="1">
                                    <a:solidFill>
                                      <a:schemeClr val="tx1"/>
                                    </a:solidFill>
                                    <a:effectLst/>
                                    <a:latin typeface="Cambria Math" panose="02040503050406030204" pitchFamily="18" charset="0"/>
                                    <a:ea typeface="+mn-ea"/>
                                    <a:cs typeface="+mn-cs"/>
                                  </a:rPr>
                                  <m:t>𝑑𝑖𝑚</m:t>
                                </m:r>
                              </m:sub>
                            </m:sSub>
                          </m:e>
                        </m:d>
                      </m:e>
                    </m:d>
                    <m:r>
                      <a:rPr lang="en-US" sz="1100" b="0" i="1">
                        <a:solidFill>
                          <a:schemeClr val="tx1"/>
                        </a:solidFill>
                        <a:effectLst/>
                        <a:latin typeface="Cambria Math" panose="02040503050406030204" pitchFamily="18" charset="0"/>
                        <a:ea typeface="Cambria Math" panose="02040503050406030204" pitchFamily="18" charset="0"/>
                        <a:cs typeface="+mn-cs"/>
                      </a:rPr>
                      <m:t>+</m:t>
                    </m:r>
                    <m:d>
                      <m:dPr>
                        <m:ctrlPr>
                          <a:rPr lang="en-US" sz="1100" b="0" i="1">
                            <a:solidFill>
                              <a:schemeClr val="tx1"/>
                            </a:solidFill>
                            <a:effectLst/>
                            <a:latin typeface="Cambria Math" panose="02040503050406030204" pitchFamily="18" charset="0"/>
                            <a:ea typeface="Cambria Math" panose="02040503050406030204" pitchFamily="18" charset="0"/>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𝑛𝑜𝑛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𝑑𝑖𝑚𝑚𝑎𝑏𝑙𝑒</m:t>
                            </m:r>
                          </m:sub>
                        </m:sSub>
                      </m:e>
                    </m:d>
                  </m:oMath>
                </m:oMathPara>
              </a14:m>
              <a:endParaRPr lang="en-US" sz="1100"/>
            </a:p>
          </xdr:txBody>
        </xdr:sp>
      </mc:Choice>
      <mc:Fallback xmlns="">
        <xdr:sp macro="" textlink="">
          <xdr:nvSpPr>
            <xdr:cNvPr id="9" name="TextBox 8">
              <a:extLst>
                <a:ext uri="{FF2B5EF4-FFF2-40B4-BE49-F238E27FC236}">
                  <a16:creationId xmlns:a16="http://schemas.microsoft.com/office/drawing/2014/main" id="{A4C50F0C-0CD6-4FB4-BDF5-6D3A8B662359}"/>
                </a:ext>
              </a:extLst>
            </xdr:cNvPr>
            <xdr:cNvSpPr txBox="1"/>
          </xdr:nvSpPr>
          <xdr:spPr>
            <a:xfrm>
              <a:off x="406400" y="6959600"/>
              <a:ext cx="50482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〖𝑘𝑊〗_(𝐸𝐸,𝑏𝑙𝑒𝑛𝑑)=(〖𝑘𝑊〗_𝐸𝐸∗%_𝑑𝑖𝑚𝑚𝑎𝑏𝑙𝑒∗(1−〖𝑆𝑉𝐺〗_𝑑𝑖𝑚 ))</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〖𝑘𝑊〗_𝐸𝐸∗%_(𝑛𝑜𝑛−𝑑𝑖𝑚𝑚𝑎𝑏𝑙𝑒) )</a:t>
              </a:r>
              <a:endParaRPr lang="en-US"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oneCellAnchor>
    <xdr:from>
      <xdr:col>1</xdr:col>
      <xdr:colOff>177800</xdr:colOff>
      <xdr:row>29</xdr:row>
      <xdr:rowOff>171449</xdr:rowOff>
    </xdr:from>
    <xdr:ext cx="4591050"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DF999EE5-B571-4DC0-9BBF-F1D39C16CE37}"/>
                </a:ext>
              </a:extLst>
            </xdr:cNvPr>
            <xdr:cNvSpPr txBox="1"/>
          </xdr:nvSpPr>
          <xdr:spPr>
            <a:xfrm>
              <a:off x="368300" y="81343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177800</xdr:colOff>
      <xdr:row>33</xdr:row>
      <xdr:rowOff>171449</xdr:rowOff>
    </xdr:from>
    <xdr:ext cx="4591050" cy="23812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D8C4F522-45C2-4DF5-A8E1-0F2E67A2F58C}"/>
                </a:ext>
              </a:extLst>
            </xdr:cNvPr>
            <xdr:cNvSpPr txBox="1"/>
          </xdr:nvSpPr>
          <xdr:spPr>
            <a:xfrm>
              <a:off x="368300" y="8858249"/>
              <a:ext cx="45910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)∗𝐼𝑆𝑅∗𝐶𝐹∗</a:t>
              </a:r>
              <a:r>
                <a:rPr lang="en-US" sz="1100" b="0" i="0">
                  <a:solidFill>
                    <a:schemeClr val="tx1"/>
                  </a:solidFill>
                  <a:effectLst/>
                  <a:latin typeface="Cambria Math" panose="02040503050406030204" pitchFamily="18" charset="0"/>
                  <a:ea typeface="+mn-ea"/>
                  <a:cs typeface="+mn-cs"/>
                </a:rPr>
                <a:t>(1+〖𝑊𝐻〗_(𝐶,𝐷)+〖𝑊𝐻〗_(𝑅,𝐷)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149225</xdr:colOff>
      <xdr:row>38</xdr:row>
      <xdr:rowOff>3174</xdr:rowOff>
    </xdr:from>
    <xdr:ext cx="5099049"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9B84E5C1-827A-48C8-877D-180F2C7105EE}"/>
                </a:ext>
              </a:extLst>
            </xdr:cNvPr>
            <xdr:cNvSpPr txBox="1"/>
          </xdr:nvSpPr>
          <xdr:spPr>
            <a:xfrm>
              <a:off x="339725" y="9594849"/>
              <a:ext cx="5099049"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146049</xdr:colOff>
      <xdr:row>41</xdr:row>
      <xdr:rowOff>174624</xdr:rowOff>
    </xdr:from>
    <xdr:ext cx="5057775" cy="25717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4" name="TextBox 13">
              <a:extLst>
                <a:ext uri="{FF2B5EF4-FFF2-40B4-BE49-F238E27FC236}">
                  <a16:creationId xmlns:a16="http://schemas.microsoft.com/office/drawing/2014/main" id="{53B9C05A-27B0-4139-A5A9-F15D40111B7A}"/>
                </a:ext>
              </a:extLst>
            </xdr:cNvPr>
            <xdr:cNvSpPr txBox="1"/>
          </xdr:nvSpPr>
          <xdr:spPr>
            <a:xfrm>
              <a:off x="336549" y="10309224"/>
              <a:ext cx="505777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2𝑛𝑑=(〖𝑘𝑊〗_(𝑏𝑎𝑠𝑒,2)−〖𝑘𝑊〗_𝐸𝐸 )∗𝐼𝑆𝑅∗〖𝐻𝑂𝑈〗_𝑦𝑒𝑎𝑟</a:t>
              </a:r>
              <a:r>
                <a:rPr lang="en-US" sz="1100" b="0" i="0">
                  <a:solidFill>
                    <a:schemeClr val="tx1"/>
                  </a:solidFill>
                  <a:effectLst/>
                  <a:latin typeface="Cambria Math" panose="02040503050406030204" pitchFamily="18" charset="0"/>
                  <a:ea typeface="+mn-ea"/>
                  <a:cs typeface="+mn-cs"/>
                </a:rPr>
                <a:t>∗(1+〖𝑊𝐻〗_(𝐶,𝐸)+〖𝑊𝐻〗_(𝑅,𝐸)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139700</xdr:colOff>
      <xdr:row>46</xdr:row>
      <xdr:rowOff>6351</xdr:rowOff>
    </xdr:from>
    <xdr:ext cx="3914775" cy="183127"/>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𝑅𝑈𝐿</m:t>
                    </m:r>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𝑅𝑈𝐿</m:t>
                        </m:r>
                      </m:e>
                    </m:d>
                  </m:oMath>
                </m:oMathPara>
              </a14:m>
              <a:endParaRPr lang="en-US" sz="1100"/>
            </a:p>
          </xdr:txBody>
        </xdr:sp>
      </mc:Choice>
      <mc:Fallback xmlns="">
        <xdr:sp macro="" textlink="">
          <xdr:nvSpPr>
            <xdr:cNvPr id="16" name="TextBox 15">
              <a:extLst>
                <a:ext uri="{FF2B5EF4-FFF2-40B4-BE49-F238E27FC236}">
                  <a16:creationId xmlns:a16="http://schemas.microsoft.com/office/drawing/2014/main" id="{803AFAF4-A2A2-474F-AEA3-089C8AC0F539}"/>
                </a:ext>
              </a:extLst>
            </xdr:cNvPr>
            <xdr:cNvSpPr txBox="1"/>
          </xdr:nvSpPr>
          <xdr:spPr>
            <a:xfrm>
              <a:off x="330200" y="110458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solidFill>
                    <a:schemeClr val="tx1"/>
                  </a:solidFill>
                  <a:effectLst/>
                  <a:latin typeface="Cambria Math" panose="02040503050406030204" pitchFamily="18" charset="0"/>
                  <a:ea typeface="+mn-ea"/>
                  <a:cs typeface="+mn-cs"/>
                </a:rPr>
                <a:t>𝑙𝑖𝑓𝑒,𝑑𝑢𝑎𝑙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𝑘𝑊ℎ〗_1𝑠𝑡∗𝑅𝑈𝐿+〖</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𝑅𝑈𝐿)</a:t>
              </a:r>
              <a:endParaRPr lang="en-US" sz="1100"/>
            </a:p>
          </xdr:txBody>
        </xdr:sp>
      </mc:Fallback>
    </mc:AlternateContent>
    <xdr:clientData/>
  </xdr:oneCellAnchor>
  <xdr:oneCellAnchor>
    <xdr:from>
      <xdr:col>1</xdr:col>
      <xdr:colOff>142875</xdr:colOff>
      <xdr:row>50</xdr:row>
      <xdr:rowOff>9526</xdr:rowOff>
    </xdr:from>
    <xdr:ext cx="3914775" cy="183320"/>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8BF8122F-4685-4413-B5A0-6C3F0F4880CF}"/>
                </a:ext>
              </a:extLst>
            </xdr:cNvPr>
            <xdr:cNvSpPr txBox="1"/>
          </xdr:nvSpPr>
          <xdr:spPr>
            <a:xfrm>
              <a:off x="333375" y="11811001"/>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139700</xdr:colOff>
      <xdr:row>54</xdr:row>
      <xdr:rowOff>6351</xdr:rowOff>
    </xdr:from>
    <xdr:ext cx="3914775" cy="182614"/>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chemeClr val="tx1"/>
                        </a:solidFill>
                        <a:effectLst/>
                        <a:latin typeface="Cambria Math" panose="02040503050406030204" pitchFamily="18" charset="0"/>
                        <a:ea typeface="+mn-ea"/>
                        <a:cs typeface="+mn-cs"/>
                      </a:rPr>
                      <m:t>𝑅𝑈𝐿</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3</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𝑝𝑟𝑒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𝑒𝑥𝑖𝑠𝑡𝑖𝑛𝑔</m:t>
                        </m:r>
                      </m:sub>
                    </m:sSub>
                  </m:oMath>
                </m:oMathPara>
              </a14:m>
              <a:endParaRPr lang="en-US" sz="1100"/>
            </a:p>
          </xdr:txBody>
        </xdr:sp>
      </mc:Choice>
      <mc:Fallback xmlns="">
        <xdr:sp macro="" textlink="">
          <xdr:nvSpPr>
            <xdr:cNvPr id="18" name="TextBox 17">
              <a:extLst>
                <a:ext uri="{FF2B5EF4-FFF2-40B4-BE49-F238E27FC236}">
                  <a16:creationId xmlns:a16="http://schemas.microsoft.com/office/drawing/2014/main" id="{22C1D32D-9C32-4342-AF01-C9764ACD2148}"/>
                </a:ext>
              </a:extLst>
            </xdr:cNvPr>
            <xdr:cNvSpPr txBox="1"/>
          </xdr:nvSpPr>
          <xdr:spPr>
            <a:xfrm>
              <a:off x="330200" y="126079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𝑅𝑈𝐿=〖1∕3∗𝐸𝑈𝐿〗_(𝑝𝑟𝑒−𝑒𝑥𝑖𝑠𝑡𝑖𝑛𝑔)</a:t>
              </a:r>
              <a:endParaRPr lang="en-US" sz="1100"/>
            </a:p>
          </xdr:txBody>
        </xdr:sp>
      </mc:Fallback>
    </mc:AlternateContent>
    <xdr:clientData/>
  </xdr:oneCellAnchor>
  <xdr:oneCellAnchor>
    <xdr:from>
      <xdr:col>1</xdr:col>
      <xdr:colOff>171450</xdr:colOff>
      <xdr:row>58</xdr:row>
      <xdr:rowOff>26987</xdr:rowOff>
    </xdr:from>
    <xdr:ext cx="1604157" cy="19107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19" name="TextBox 18">
              <a:extLst>
                <a:ext uri="{FF2B5EF4-FFF2-40B4-BE49-F238E27FC236}">
                  <a16:creationId xmlns:a16="http://schemas.microsoft.com/office/drawing/2014/main" id="{9960D9B5-7DF0-4651-A003-C27D6814BC14}"/>
                </a:ext>
              </a:extLst>
            </xdr:cNvPr>
            <xdr:cNvSpPr txBox="1"/>
          </xdr:nvSpPr>
          <xdr:spPr>
            <a:xfrm>
              <a:off x="361950" y="13428662"/>
              <a:ext cx="16041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60</xdr:row>
      <xdr:rowOff>26987</xdr:rowOff>
    </xdr:from>
    <xdr:ext cx="1593257" cy="191078"/>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r>
                      <a:rPr lang="en-US" sz="1100" b="0" i="1">
                        <a:latin typeface="Cambria Math" panose="02040503050406030204" pitchFamily="18" charset="0"/>
                        <a:ea typeface="Cambria Math" panose="02040503050406030204" pitchFamily="18" charset="0"/>
                      </a:rPr>
                      <m:t>∗0.5</m:t>
                    </m:r>
                  </m:oMath>
                </m:oMathPara>
              </a14:m>
              <a:endParaRPr lang="en-US" sz="1100"/>
            </a:p>
          </xdr:txBody>
        </xdr:sp>
      </mc:Choice>
      <mc:Fallback xmlns="">
        <xdr:sp macro="" textlink="">
          <xdr:nvSpPr>
            <xdr:cNvPr id="20" name="TextBox 19">
              <a:extLst>
                <a:ext uri="{FF2B5EF4-FFF2-40B4-BE49-F238E27FC236}">
                  <a16:creationId xmlns:a16="http://schemas.microsoft.com/office/drawing/2014/main" id="{C0C16980-08F5-45BD-842B-B4144D3F904A}"/>
                </a:ext>
              </a:extLst>
            </xdr:cNvPr>
            <xdr:cNvSpPr txBox="1"/>
          </xdr:nvSpPr>
          <xdr:spPr>
            <a:xfrm>
              <a:off x="361950" y="13828712"/>
              <a:ext cx="1593257"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r>
                <a:rPr lang="en-US" sz="1100" b="0" i="0">
                  <a:latin typeface="Cambria Math" panose="02040503050406030204" pitchFamily="18" charset="0"/>
                  <a:ea typeface="Cambria Math" panose="02040503050406030204" pitchFamily="18" charset="0"/>
                </a:rPr>
                <a:t>∗0.5</a:t>
              </a:r>
              <a:endParaRPr lang="en-US" sz="1100"/>
            </a:p>
          </xdr:txBody>
        </xdr:sp>
      </mc:Fallback>
    </mc:AlternateContent>
    <xdr:clientData/>
  </xdr:oneCellAnchor>
  <xdr:oneCellAnchor>
    <xdr:from>
      <xdr:col>1</xdr:col>
      <xdr:colOff>171450</xdr:colOff>
      <xdr:row>64</xdr:row>
      <xdr:rowOff>26987</xdr:rowOff>
    </xdr:from>
    <xdr:ext cx="2474011" cy="176972"/>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3.412</m:t>
                        </m:r>
                        <m:r>
                          <a:rPr lang="en-US" sz="1100" b="0" i="1">
                            <a:solidFill>
                              <a:schemeClr val="tx1"/>
                            </a:solidFill>
                            <a:effectLst/>
                            <a:latin typeface="Cambria Math" panose="02040503050406030204" pitchFamily="18" charset="0"/>
                            <a:ea typeface="+mn-ea"/>
                            <a:cs typeface="+mn-cs"/>
                          </a:rPr>
                          <m:t>𝑘𝐵𝑡𝑢</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d>
                    <m:r>
                      <a:rPr lang="en-US" sz="1100" b="0" i="1">
                        <a:latin typeface="Cambria Math" panose="02040503050406030204" pitchFamily="18" charset="0"/>
                        <a:ea typeface="Cambria Math" panose="02040503050406030204" pitchFamily="18" charset="0"/>
                      </a:rPr>
                      <m:t>∗0.5</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𝐸𝐸𝑅</m:t>
                        </m:r>
                      </m:e>
                      <m:sub>
                        <m:r>
                          <a:rPr lang="en-US" sz="1100" b="0" i="1">
                            <a:solidFill>
                              <a:schemeClr val="tx1"/>
                            </a:solidFill>
                            <a:effectLst/>
                            <a:latin typeface="Cambria Math" panose="02040503050406030204" pitchFamily="18" charset="0"/>
                            <a:ea typeface="+mn-ea"/>
                            <a:cs typeface="+mn-cs"/>
                          </a:rPr>
                          <m:t>𝑅</m:t>
                        </m:r>
                      </m:sub>
                    </m:sSub>
                  </m:oMath>
                </m:oMathPara>
              </a14:m>
              <a:endParaRPr lang="en-US" sz="1100"/>
            </a:p>
          </xdr:txBody>
        </xdr:sp>
      </mc:Choice>
      <mc:Fallback xmlns="">
        <xdr:sp macro="" textlink="">
          <xdr:nvSpPr>
            <xdr:cNvPr id="21" name="TextBox 20">
              <a:extLst>
                <a:ext uri="{FF2B5EF4-FFF2-40B4-BE49-F238E27FC236}">
                  <a16:creationId xmlns:a16="http://schemas.microsoft.com/office/drawing/2014/main" id="{F21B092D-CE90-4C81-AE17-1C679279D532}"/>
                </a:ext>
              </a:extLst>
            </xdr:cNvPr>
            <xdr:cNvSpPr txBox="1"/>
          </xdr:nvSpPr>
          <xdr:spPr>
            <a:xfrm>
              <a:off x="361950" y="14628812"/>
              <a:ext cx="247401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𝑊𝐻〗_(𝑅,𝐷)=</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3.412𝑘𝐵𝑡𝑢/𝑘𝑊ℎ)</a:t>
              </a:r>
              <a:r>
                <a:rPr lang="en-US" sz="1100" b="0" i="0">
                  <a:latin typeface="Cambria Math" panose="02040503050406030204" pitchFamily="18" charset="0"/>
                  <a:ea typeface="Cambria Math" panose="02040503050406030204" pitchFamily="18" charset="0"/>
                </a:rPr>
                <a:t>∗0.5</a:t>
              </a:r>
              <a:r>
                <a:rPr lang="en-US" sz="1100" b="0" i="0">
                  <a:solidFill>
                    <a:schemeClr val="tx1"/>
                  </a:solidFill>
                  <a:effectLst/>
                  <a:latin typeface="Cambria Math" panose="02040503050406030204" pitchFamily="18" charset="0"/>
                  <a:ea typeface="+mn-ea"/>
                  <a:cs typeface="+mn-cs"/>
                </a:rPr>
                <a:t>/〖𝐸𝐸𝑅〗_𝑅</a:t>
              </a:r>
              <a:endParaRPr lang="en-US" sz="1100"/>
            </a:p>
          </xdr:txBody>
        </xdr:sp>
      </mc:Fallback>
    </mc:AlternateContent>
    <xdr:clientData/>
  </xdr:oneCellAnchor>
  <xdr:oneCellAnchor>
    <xdr:from>
      <xdr:col>1</xdr:col>
      <xdr:colOff>171450</xdr:colOff>
      <xdr:row>66</xdr:row>
      <xdr:rowOff>26987</xdr:rowOff>
    </xdr:from>
    <xdr:ext cx="1009827" cy="176972"/>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𝑅</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𝑅</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3BF6B0BA-9966-4EF8-80F2-09EB5F84D289}"/>
                </a:ext>
              </a:extLst>
            </xdr:cNvPr>
            <xdr:cNvSpPr txBox="1"/>
          </xdr:nvSpPr>
          <xdr:spPr>
            <a:xfrm>
              <a:off x="361950" y="15028862"/>
              <a:ext cx="100982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𝑊𝐻〗_(𝑅,𝐸)=</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𝑊𝐻〗_(𝑅,𝐷)</a:t>
              </a:r>
              <a:endParaRPr lang="en-US" sz="1100"/>
            </a:p>
          </xdr:txBody>
        </xdr:sp>
      </mc:Fallback>
    </mc:AlternateContent>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15875</xdr:colOff>
      <xdr:row>30</xdr:row>
      <xdr:rowOff>0</xdr:rowOff>
    </xdr:from>
    <xdr:ext cx="3314700" cy="2381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5870A31F-F050-4DE1-A5F9-25C476B493BA}"/>
                </a:ext>
              </a:extLst>
            </xdr:cNvPr>
            <xdr:cNvSpPr txBox="1"/>
          </xdr:nvSpPr>
          <xdr:spPr>
            <a:xfrm>
              <a:off x="396875" y="6219825"/>
              <a:ext cx="33147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∗𝑅𝑇𝑅∗𝐼𝑆𝑅∗〖𝐶𝐹∗𝐼𝐸〗_(𝐶,𝐷)∗𝑃𝐹</a:t>
              </a:r>
              <a:endParaRPr lang="en-US" sz="1100"/>
            </a:p>
          </xdr:txBody>
        </xdr:sp>
      </mc:Fallback>
    </mc:AlternateContent>
    <xdr:clientData/>
  </xdr:oneCellAnchor>
  <xdr:oneCellAnchor>
    <xdr:from>
      <xdr:col>2</xdr:col>
      <xdr:colOff>34925</xdr:colOff>
      <xdr:row>34</xdr:row>
      <xdr:rowOff>6350</xdr:rowOff>
    </xdr:from>
    <xdr:ext cx="374332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𝑐𝑡𝑟𝑙</m:t>
                                </m:r>
                              </m:sub>
                            </m:sSub>
                          </m:num>
                          <m:den>
                            <m:r>
                              <a:rPr lang="en-US" sz="1100" b="0" i="1">
                                <a:solidFill>
                                  <a:schemeClr val="tx1"/>
                                </a:solidFill>
                                <a:effectLst/>
                                <a:latin typeface="Cambria Math" panose="02040503050406030204" pitchFamily="18" charset="0"/>
                                <a:ea typeface="+mn-ea"/>
                                <a:cs typeface="+mn-cs"/>
                              </a:rPr>
                              <m:t>1000</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13D4EEDC-EA76-45A2-8B89-8B3D9E61316D}"/>
                </a:ext>
              </a:extLst>
            </xdr:cNvPr>
            <xdr:cNvSpPr txBox="1"/>
          </xdr:nvSpPr>
          <xdr:spPr>
            <a:xfrm>
              <a:off x="415925" y="6950075"/>
              <a:ext cx="374332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𝑃_𝑐𝑡𝑟𝑙∕1000)</a:t>
              </a:r>
              <a:r>
                <a:rPr lang="en-US" sz="1100" b="0" i="0">
                  <a:latin typeface="Cambria Math" panose="02040503050406030204" pitchFamily="18" charset="0"/>
                  <a:ea typeface="Cambria Math" panose="02040503050406030204" pitchFamily="18" charset="0"/>
                </a:rPr>
                <a:t>∗𝑅𝑇𝑅∗𝐼𝑆𝑅∗〖𝐻𝑅𝑆∗𝐼𝐸〗_(𝐶,𝐸)∗𝑃𝐹</a:t>
              </a:r>
              <a:endParaRPr lang="en-US" sz="1100"/>
            </a:p>
          </xdr:txBody>
        </xdr:sp>
      </mc:Fallback>
    </mc:AlternateContent>
    <xdr:clientData/>
  </xdr:oneCellAnchor>
  <xdr:oneCellAnchor>
    <xdr:from>
      <xdr:col>2</xdr:col>
      <xdr:colOff>34925</xdr:colOff>
      <xdr:row>38</xdr:row>
      <xdr:rowOff>6350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336FF795-FEDC-4AC9-9612-71BB90466ACC}"/>
                </a:ext>
              </a:extLst>
            </xdr:cNvPr>
            <xdr:cNvSpPr txBox="1"/>
          </xdr:nvSpPr>
          <xdr:spPr>
            <a:xfrm>
              <a:off x="415925" y="767397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5.xml><?xml version="1.0" encoding="utf-8"?>
<xdr:wsDr xmlns:xdr="http://schemas.openxmlformats.org/drawingml/2006/spreadsheetDrawing" xmlns:a="http://schemas.openxmlformats.org/drawingml/2006/main">
  <xdr:oneCellAnchor>
    <xdr:from>
      <xdr:col>1</xdr:col>
      <xdr:colOff>184148</xdr:colOff>
      <xdr:row>30</xdr:row>
      <xdr:rowOff>6350</xdr:rowOff>
    </xdr:from>
    <xdr:ext cx="5172077" cy="4476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𝐷</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F13F2F34-31E4-4498-BD53-C49FD2DE1700}"/>
                </a:ext>
              </a:extLst>
            </xdr:cNvPr>
            <xdr:cNvSpPr txBox="1"/>
          </xdr:nvSpPr>
          <xdr:spPr>
            <a:xfrm>
              <a:off x="374648" y="7245350"/>
              <a:ext cx="5172077" cy="4476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∗〖𝐼𝐸〗_(𝐶,𝐷)∗𝐼𝑆𝑅∗𝐶𝐹∗𝑃𝐹</a:t>
              </a:r>
              <a:endParaRPr lang="en-US" sz="1100"/>
            </a:p>
          </xdr:txBody>
        </xdr:sp>
      </mc:Fallback>
    </mc:AlternateContent>
    <xdr:clientData/>
  </xdr:oneCellAnchor>
  <xdr:oneCellAnchor>
    <xdr:from>
      <xdr:col>1</xdr:col>
      <xdr:colOff>82550</xdr:colOff>
      <xdr:row>35</xdr:row>
      <xdr:rowOff>19050</xdr:rowOff>
    </xdr:from>
    <xdr:ext cx="5400675" cy="4667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oMath>
                </m:oMathPara>
              </a14:m>
              <a:endParaRPr lang="en-US" sz="11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𝑑𝑖𝑚</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𝐸𝐸</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𝑡𝑖𝑚𝑒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𝑓𝑢𝑙𝑙</m:t>
                                </m:r>
                              </m:sub>
                            </m:sSub>
                          </m:e>
                        </m:d>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𝐼𝐸</m:t>
                        </m:r>
                      </m:e>
                      <m:sub>
                        <m:r>
                          <a:rPr lang="en-US" sz="1100" b="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𝐻𝑂𝑈</m:t>
                        </m:r>
                      </m:e>
                      <m:sub>
                        <m:r>
                          <a:rPr lang="en-US" sz="1100" b="0" i="1">
                            <a:latin typeface="Cambria Math" panose="02040503050406030204" pitchFamily="18" charset="0"/>
                            <a:ea typeface="Cambria Math" panose="02040503050406030204" pitchFamily="18" charset="0"/>
                          </a:rPr>
                          <m:t>𝑦𝑒𝑎𝑟</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1EAD81B5-EEFC-4CC9-8790-9BF9D0686D89}"/>
                </a:ext>
              </a:extLst>
            </xdr:cNvPr>
            <xdr:cNvSpPr txBox="1"/>
          </xdr:nvSpPr>
          <xdr:spPr>
            <a:xfrm>
              <a:off x="273050" y="8210550"/>
              <a:ext cx="5400675" cy="4667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endParaRPr lang="en-US" sz="1100" b="0" i="1">
                <a:latin typeface="Cambria Math" panose="02040503050406030204" pitchFamily="18" charset="0"/>
                <a:ea typeface="Cambria Math" panose="02040503050406030204" pitchFamily="18" charset="0"/>
              </a:endParaRPr>
            </a:p>
            <a:p>
              <a:pPr/>
              <a:r>
                <a:rPr lang="en-US" sz="1100" b="0" i="0">
                  <a:latin typeface="Cambria Math" panose="02040503050406030204" pitchFamily="18" charset="0"/>
                  <a:ea typeface="Cambria Math" panose="02040503050406030204" pitchFamily="18" charset="0"/>
                </a:rPr>
                <a:t>(〖𝑘𝑊〗_𝑏𝑎𝑠𝑒−(</a:t>
              </a:r>
              <a:r>
                <a:rPr lang="en-US" sz="1100" b="0" i="0">
                  <a:solidFill>
                    <a:schemeClr val="tx1"/>
                  </a:solidFill>
                  <a:effectLst/>
                  <a:latin typeface="Cambria Math" panose="02040503050406030204" pitchFamily="18" charset="0"/>
                  <a:ea typeface="+mn-ea"/>
                  <a:cs typeface="+mn-cs"/>
                </a:rPr>
                <a:t>〖𝑘𝑊〗_(𝐸𝐸,𝑑𝑖𝑚)∗%_(𝑡𝑖𝑚𝑒,𝑑𝑖𝑚)</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〖𝑘𝑊〗_(𝐸𝐸,𝑓𝑢𝑙𝑙)∗%_(𝑡𝑖𝑚𝑒,𝑓𝑢𝑙𝑙) ))</a:t>
              </a:r>
              <a:r>
                <a:rPr lang="en-US" sz="1100" b="0" i="0">
                  <a:latin typeface="Cambria Math" panose="02040503050406030204" pitchFamily="18" charset="0"/>
                  <a:ea typeface="Cambria Math" panose="02040503050406030204" pitchFamily="18" charset="0"/>
                </a:rPr>
                <a:t>∗〖𝐼𝐸〗_(𝐶,𝐸)∗𝐼𝑆𝑅∗〖𝐻𝑂𝑈〗_𝑦𝑒𝑎𝑟∗𝑃𝐹</a:t>
              </a:r>
              <a:endParaRPr lang="en-US" sz="1100"/>
            </a:p>
          </xdr:txBody>
        </xdr:sp>
      </mc:Fallback>
    </mc:AlternateContent>
    <xdr:clientData/>
  </xdr:oneCellAnchor>
  <xdr:oneCellAnchor>
    <xdr:from>
      <xdr:col>1</xdr:col>
      <xdr:colOff>180975</xdr:colOff>
      <xdr:row>40</xdr:row>
      <xdr:rowOff>9526</xdr:rowOff>
    </xdr:from>
    <xdr:ext cx="3914775"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6" name="TextBox 5">
              <a:extLst>
                <a:ext uri="{FF2B5EF4-FFF2-40B4-BE49-F238E27FC236}">
                  <a16:creationId xmlns:a16="http://schemas.microsoft.com/office/drawing/2014/main" id="{78F6A4C8-9D21-47F6-8F59-FD730810146D}"/>
                </a:ext>
              </a:extLst>
            </xdr:cNvPr>
            <xdr:cNvSpPr txBox="1"/>
          </xdr:nvSpPr>
          <xdr:spPr>
            <a:xfrm>
              <a:off x="371475" y="9191626"/>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26.xml><?xml version="1.0" encoding="utf-8"?>
<xdr:wsDr xmlns:xdr="http://schemas.openxmlformats.org/drawingml/2006/spreadsheetDrawing" xmlns:a="http://schemas.openxmlformats.org/drawingml/2006/main">
  <xdr:oneCellAnchor>
    <xdr:from>
      <xdr:col>2</xdr:col>
      <xdr:colOff>9524</xdr:colOff>
      <xdr:row>71</xdr:row>
      <xdr:rowOff>171449</xdr:rowOff>
    </xdr:from>
    <xdr:ext cx="4229101" cy="52387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953250A0-F8D5-4CB2-82C0-FDCA644CA23C}"/>
                </a:ext>
              </a:extLst>
            </xdr:cNvPr>
            <xdr:cNvSpPr txBox="1"/>
          </xdr:nvSpPr>
          <xdr:spPr>
            <a:xfrm>
              <a:off x="371474" y="21888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38100</xdr:colOff>
      <xdr:row>100</xdr:row>
      <xdr:rowOff>9526</xdr:rowOff>
    </xdr:from>
    <xdr:ext cx="3914775" cy="18261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3</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𝑝𝑟𝑒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𝑒𝑥𝑖𝑠𝑡𝑖𝑛𝑔</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C2A50B97-1EE8-4E2D-88D5-E8F081064DEB}"/>
                </a:ext>
              </a:extLst>
            </xdr:cNvPr>
            <xdr:cNvSpPr txBox="1"/>
          </xdr:nvSpPr>
          <xdr:spPr>
            <a:xfrm>
              <a:off x="400050" y="27251026"/>
              <a:ext cx="3914775" cy="1826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𝑅𝑈𝐿=〖1∕3∗𝐸𝑈𝐿〗_(𝑝𝑟𝑒−𝑒𝑥𝑖𝑠𝑡𝑖𝑛𝑔)</a:t>
              </a:r>
              <a:endParaRPr lang="en-US" sz="1100">
                <a:solidFill>
                  <a:sysClr val="windowText" lastClr="000000"/>
                </a:solidFill>
              </a:endParaRPr>
            </a:p>
          </xdr:txBody>
        </xdr:sp>
      </mc:Fallback>
    </mc:AlternateContent>
    <xdr:clientData/>
  </xdr:oneCellAnchor>
  <xdr:oneCellAnchor>
    <xdr:from>
      <xdr:col>2</xdr:col>
      <xdr:colOff>38100</xdr:colOff>
      <xdr:row>96</xdr:row>
      <xdr:rowOff>19050</xdr:rowOff>
    </xdr:from>
    <xdr:ext cx="404812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0">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9C38101C-15BC-4E70-996F-3C3D637C4CCE}"/>
                </a:ext>
              </a:extLst>
            </xdr:cNvPr>
            <xdr:cNvSpPr txBox="1"/>
          </xdr:nvSpPr>
          <xdr:spPr>
            <a:xfrm>
              <a:off x="400050" y="26498550"/>
              <a:ext cx="404812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𝑙𝑖𝑓𝑒,</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𝑘𝑊ℎ〗_1𝑠𝑡∗𝑅𝑈𝐿+〖</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𝑘𝑊ℎ〗_2𝑛𝑑∗(〖𝐸𝑈𝐿〗_𝐸𝐸</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𝑅𝑈𝐿)</a:t>
              </a:r>
              <a:endParaRPr lang="en-US" sz="1100">
                <a:solidFill>
                  <a:sysClr val="windowText" lastClr="000000"/>
                </a:solidFill>
              </a:endParaRPr>
            </a:p>
          </xdr:txBody>
        </xdr:sp>
      </mc:Fallback>
    </mc:AlternateContent>
    <xdr:clientData/>
  </xdr:oneCellAnchor>
  <xdr:oneCellAnchor>
    <xdr:from>
      <xdr:col>2</xdr:col>
      <xdr:colOff>19051</xdr:colOff>
      <xdr:row>59</xdr:row>
      <xdr:rowOff>161925</xdr:rowOff>
    </xdr:from>
    <xdr:ext cx="5048250" cy="88582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latin typeface="Cambria Math" panose="02040503050406030204" pitchFamily="18" charset="0"/>
                            <a:ea typeface="Cambria Math" panose="02040503050406030204" pitchFamily="18" charset="0"/>
                          </a:rPr>
                        </m:ctrlPr>
                      </m:dPr>
                      <m:e>
                        <m:nary>
                          <m:naryPr>
                            <m:chr m:val="∑"/>
                            <m:ctrlPr>
                              <a:rPr lang="en-US" sz="1100" b="0" i="1">
                                <a:solidFill>
                                  <a:sysClr val="windowText" lastClr="000000"/>
                                </a:solidFill>
                                <a:effectLst/>
                                <a:latin typeface="Cambria Math" panose="02040503050406030204" pitchFamily="18" charset="0"/>
                                <a:ea typeface="+mn-ea"/>
                                <a:cs typeface="+mn-cs"/>
                              </a:rPr>
                            </m:ctrlPr>
                          </m:naryPr>
                          <m:sub>
                            <m:r>
                              <m:rPr>
                                <m:brk m:alnAt="23"/>
                              </m:rPr>
                              <a:rPr lang="en-US" sz="1100" b="0" i="1">
                                <a:solidFill>
                                  <a:sysClr val="windowText" lastClr="000000"/>
                                </a:solidFill>
                                <a:effectLst/>
                                <a:latin typeface="Cambria Math" panose="02040503050406030204" pitchFamily="18" charset="0"/>
                                <a:ea typeface="+mn-ea"/>
                                <a:cs typeface="+mn-cs"/>
                              </a:rPr>
                              <m:t>𝑖</m:t>
                            </m:r>
                            <m:r>
                              <a:rPr lang="en-US" sz="1100" b="0" i="1">
                                <a:solidFill>
                                  <a:sysClr val="windowText" lastClr="000000"/>
                                </a:solidFill>
                                <a:effectLst/>
                                <a:latin typeface="Cambria Math" panose="02040503050406030204" pitchFamily="18" charset="0"/>
                                <a:ea typeface="+mn-ea"/>
                                <a:cs typeface="+mn-cs"/>
                              </a:rPr>
                              <m:t>=1</m:t>
                            </m:r>
                          </m:sub>
                          <m:sup>
                            <m:r>
                              <a:rPr lang="en-US" sz="1100" b="0" i="1">
                                <a:solidFill>
                                  <a:sysClr val="windowText" lastClr="000000"/>
                                </a:solidFill>
                                <a:effectLst/>
                                <a:latin typeface="Cambria Math" panose="02040503050406030204" pitchFamily="18" charset="0"/>
                                <a:ea typeface="+mn-ea"/>
                                <a:cs typeface="+mn-cs"/>
                              </a:rPr>
                              <m:t>7</m:t>
                            </m:r>
                          </m:sup>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𝑑𝑎𝑦</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𝑜𝑓</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𝑤𝑒𝑒𝑘</m:t>
                                    </m:r>
                                  </m:sub>
                                </m:sSub>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𝑖</m:t>
                                </m:r>
                              </m:sub>
                            </m:sSub>
                          </m:e>
                        </m:nary>
                      </m:e>
                    </m:d>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52.14 </m:t>
                        </m:r>
                        <m:r>
                          <a:rPr lang="en-US" sz="1100" b="0" i="1">
                            <a:solidFill>
                              <a:sysClr val="windowText" lastClr="000000"/>
                            </a:solidFill>
                            <a:latin typeface="Cambria Math" panose="02040503050406030204" pitchFamily="18" charset="0"/>
                            <a:ea typeface="Cambria Math" panose="02040503050406030204" pitchFamily="18" charset="0"/>
                          </a:rPr>
                          <m:t>𝑤𝑒𝑒𝑘𝑠</m:t>
                        </m:r>
                      </m:num>
                      <m:den>
                        <m:r>
                          <a:rPr lang="en-US" sz="11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𝐻𝑜𝑙𝑖𝑑𝑎𝑦𝑠</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𝐴𝑣𝑔</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𝑂𝑝𝑒𝑟𝑎𝑡𝑖𝑛𝑔</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8B4E6F4B-E9E7-4FF4-B8DB-55F9391438FF}"/>
                </a:ext>
              </a:extLst>
            </xdr:cNvPr>
            <xdr:cNvSpPr txBox="1"/>
          </xdr:nvSpPr>
          <xdr:spPr>
            <a:xfrm>
              <a:off x="381001" y="19554825"/>
              <a:ext cx="5048250" cy="885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〖𝐻𝑂𝑈〗_</a:t>
              </a:r>
              <a:r>
                <a:rPr lang="en-US" sz="1100" b="0" i="0">
                  <a:solidFill>
                    <a:sysClr val="windowText" lastClr="000000"/>
                  </a:solidFill>
                  <a:effectLst/>
                  <a:latin typeface="Cambria Math" panose="02040503050406030204" pitchFamily="18" charset="0"/>
                  <a:ea typeface="+mn-ea"/>
                  <a:cs typeface="+mn-cs"/>
                </a:rPr>
                <a:t>𝑦𝑒𝑎𝑟</a:t>
              </a:r>
              <a:r>
                <a:rPr lang="en-US" sz="1100" b="0" i="0">
                  <a:solidFill>
                    <a:sysClr val="windowText" lastClr="000000"/>
                  </a:solidFill>
                  <a:latin typeface="Cambria Math" panose="02040503050406030204" pitchFamily="18" charset="0"/>
                  <a:ea typeface="Cambria Math" panose="02040503050406030204" pitchFamily="18" charset="0"/>
                </a:rPr>
                <a:t>=</a:t>
              </a:r>
              <a:endParaRPr lang="en-US" sz="1100" b="0" i="1">
                <a:solidFill>
                  <a:sysClr val="windowText" lastClr="000000"/>
                </a:solidFill>
                <a:latin typeface="Cambria Math" panose="02040503050406030204" pitchFamily="18" charset="0"/>
                <a:ea typeface="Cambria Math" panose="02040503050406030204" pitchFamily="18" charset="0"/>
              </a:endParaRPr>
            </a:p>
            <a:p>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∑_(𝑖=1)^7▒〖(〖𝐻𝑜𝑢𝑟𝑠〗_(𝑑𝑎𝑦 𝑜𝑓 𝑤𝑒𝑒𝑘))〗_𝑖 )</a:t>
              </a:r>
              <a:r>
                <a:rPr lang="en-US" sz="1100" b="0" i="0">
                  <a:solidFill>
                    <a:sysClr val="windowText" lastClr="000000"/>
                  </a:solidFill>
                  <a:latin typeface="Cambria Math" panose="02040503050406030204" pitchFamily="18" charset="0"/>
                  <a:ea typeface="Cambria Math" panose="02040503050406030204" pitchFamily="18" charset="0"/>
                </a:rPr>
                <a:t>∗(52.14 𝑤𝑒𝑒𝑘𝑠)/𝑦𝑒𝑎𝑟−#𝐻𝑜𝑙𝑖𝑑𝑎𝑦𝑠∗𝐴𝑣𝑔. 𝑂𝑝𝑒𝑟𝑎𝑡𝑖𝑛𝑔 〖𝐻𝑜𝑢𝑟𝑠〗_𝑑𝑎𝑦</a:t>
              </a:r>
              <a:endParaRPr lang="en-US" sz="1100">
                <a:solidFill>
                  <a:sysClr val="windowText" lastClr="000000"/>
                </a:solidFill>
              </a:endParaRPr>
            </a:p>
          </xdr:txBody>
        </xdr:sp>
      </mc:Fallback>
    </mc:AlternateContent>
    <xdr:clientData/>
  </xdr:oneCellAnchor>
  <xdr:oneCellAnchor>
    <xdr:from>
      <xdr:col>2</xdr:col>
      <xdr:colOff>9524</xdr:colOff>
      <xdr:row>77</xdr:row>
      <xdr:rowOff>171449</xdr:rowOff>
    </xdr:from>
    <xdr:ext cx="4229101" cy="523876"/>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7ED80241-3DB9-4A75-B93E-0A3C7211E273}"/>
                </a:ext>
              </a:extLst>
            </xdr:cNvPr>
            <xdr:cNvSpPr txBox="1"/>
          </xdr:nvSpPr>
          <xdr:spPr>
            <a:xfrm>
              <a:off x="371474" y="23031449"/>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∗𝐶𝐹∗</a:t>
              </a:r>
              <a:r>
                <a:rPr lang="en-US" sz="1100" b="0" i="0">
                  <a:solidFill>
                    <a:sysClr val="windowText" lastClr="000000"/>
                  </a:solidFill>
                  <a:effectLst/>
                  <a:latin typeface="Cambria Math" panose="02040503050406030204" pitchFamily="18" charset="0"/>
                  <a:ea typeface="+mn-ea"/>
                  <a:cs typeface="+mn-cs"/>
                </a:rPr>
                <a:t>〖𝐼𝐸〗_(𝐶,𝐷)</a:t>
              </a:r>
              <a:endParaRPr lang="en-US" sz="1100">
                <a:solidFill>
                  <a:sysClr val="windowText" lastClr="000000"/>
                </a:solidFill>
              </a:endParaRPr>
            </a:p>
          </xdr:txBody>
        </xdr:sp>
      </mc:Fallback>
    </mc:AlternateContent>
    <xdr:clientData/>
  </xdr:oneCellAnchor>
  <xdr:oneCellAnchor>
    <xdr:from>
      <xdr:col>2</xdr:col>
      <xdr:colOff>19050</xdr:colOff>
      <xdr:row>83</xdr:row>
      <xdr:rowOff>180975</xdr:rowOff>
    </xdr:from>
    <xdr:ext cx="4229101" cy="52387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r>
                          <a:rPr lang="en-US" sz="1100" b="0" i="1">
                            <a:solidFill>
                              <a:sysClr val="windowText" lastClr="000000"/>
                            </a:solidFill>
                            <a:latin typeface="Cambria Math" panose="02040503050406030204" pitchFamily="18" charset="0"/>
                            <a:ea typeface="Cambria Math" panose="02040503050406030204" pitchFamily="18" charset="0"/>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5421C661-26BA-4F0E-94BF-0DE4A89EDAAE}"/>
                </a:ext>
              </a:extLst>
            </xdr:cNvPr>
            <xdr:cNvSpPr txBox="1"/>
          </xdr:nvSpPr>
          <xdr:spPr>
            <a:xfrm>
              <a:off x="381000" y="2418397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1𝑠𝑡=[(〖𝑘𝑊〗_𝑝𝑟𝑒∗</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∗(1−〖𝑅𝑇𝑅〗_𝑝𝑟𝑒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oneCellAnchor>
    <xdr:from>
      <xdr:col>2</xdr:col>
      <xdr:colOff>9525</xdr:colOff>
      <xdr:row>89</xdr:row>
      <xdr:rowOff>161925</xdr:rowOff>
    </xdr:from>
    <xdr:ext cx="4229101" cy="523876"/>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r>
                          <a:rPr lang="en-US" sz="1100" b="0" i="1">
                            <a:solidFill>
                              <a:sysClr val="windowText" lastClr="000000"/>
                            </a:solidFill>
                            <a:latin typeface="Cambria Math" panose="02040503050406030204" pitchFamily="18" charset="0"/>
                            <a:ea typeface="Cambria Math" panose="02040503050406030204" pitchFamily="18" charset="0"/>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𝑘𝑊</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𝑝𝑟𝑒</m:t>
                            </m:r>
                          </m:sub>
                        </m:sSub>
                      </m:e>
                    </m:d>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latin typeface="Cambria Math" panose="02040503050406030204" pitchFamily="18" charset="0"/>
                            <a:ea typeface="Cambria Math" panose="02040503050406030204" pitchFamily="18" charset="0"/>
                          </a:rPr>
                          <m:t>1−</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𝑅𝑇𝑅</m:t>
                            </m:r>
                          </m:e>
                          <m:sub>
                            <m:r>
                              <a:rPr lang="en-US" sz="1100" b="0" i="1">
                                <a:solidFill>
                                  <a:sysClr val="windowText" lastClr="000000"/>
                                </a:solidFill>
                                <a:latin typeface="Cambria Math" panose="02040503050406030204" pitchFamily="18" charset="0"/>
                                <a:ea typeface="Cambria Math" panose="02040503050406030204" pitchFamily="18" charset="0"/>
                              </a:rPr>
                              <m:t>𝐹𝑒𝑑</m:t>
                            </m:r>
                          </m:sub>
                        </m:sSub>
                      </m:e>
                    </m:d>
                    <m:r>
                      <a:rPr lang="en-US" sz="1100" b="0" i="1">
                        <a:solidFill>
                          <a:sysClr val="windowText" lastClr="000000"/>
                        </a:solidFill>
                        <a:latin typeface="Cambria Math" panose="02040503050406030204" pitchFamily="18" charset="0"/>
                        <a:ea typeface="Cambria Math" panose="02040503050406030204" pitchFamily="18" charset="0"/>
                      </a:rPr>
                      <m:t>−</m:t>
                    </m:r>
                  </m:oMath>
                </m:oMathPara>
              </a14:m>
              <a:endParaRPr lang="en-US" sz="11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𝑘</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𝑝𝑜𝑠𝑡</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𝑓𝑖𝑥𝑡𝑢𝑟𝑒</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𝑅𝑇𝑅</m:t>
                            </m:r>
                          </m:e>
                          <m:sub>
                            <m:r>
                              <a:rPr lang="en-US" sz="1100" b="0" i="1">
                                <a:solidFill>
                                  <a:sysClr val="windowText" lastClr="000000"/>
                                </a:solidFill>
                                <a:effectLst/>
                                <a:latin typeface="Cambria Math" panose="02040503050406030204" pitchFamily="18" charset="0"/>
                                <a:ea typeface="+mn-ea"/>
                                <a:cs typeface="+mn-cs"/>
                              </a:rPr>
                              <m:t>𝑝𝑜𝑠𝑡</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𝐻𝑂𝑈</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B45FD879-A837-4A27-8EE3-5F0B1A9C14F2}"/>
                </a:ext>
              </a:extLst>
            </xdr:cNvPr>
            <xdr:cNvSpPr txBox="1"/>
          </xdr:nvSpPr>
          <xdr:spPr>
            <a:xfrm>
              <a:off x="371475" y="25307925"/>
              <a:ext cx="4229101" cy="5238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2𝑛𝑑=[(〖𝑘𝑊〗_𝐹𝑒𝑑∗</a:t>
              </a:r>
              <a:r>
                <a:rPr lang="en-US" sz="1100" b="0" i="0">
                  <a:solidFill>
                    <a:sysClr val="windowText" lastClr="000000"/>
                  </a:solidFill>
                  <a:effectLst/>
                  <a:latin typeface="Cambria Math" panose="02040503050406030204" pitchFamily="18" charset="0"/>
                  <a:ea typeface="+mn-ea"/>
                  <a:cs typeface="+mn-cs"/>
                </a:rPr>
                <a:t>〖# 𝑓𝑖𝑥𝑡𝑢𝑟𝑒〗_𝑝𝑟𝑒 )</a:t>
              </a:r>
              <a:r>
                <a:rPr lang="en-US" sz="1100" b="0" i="0">
                  <a:solidFill>
                    <a:sysClr val="windowText" lastClr="000000"/>
                  </a:solidFill>
                  <a:latin typeface="Cambria Math" panose="02040503050406030204" pitchFamily="18" charset="0"/>
                  <a:ea typeface="Cambria Math" panose="02040503050406030204" pitchFamily="18" charset="0"/>
                </a:rPr>
                <a:t>∗(1−〖𝑅𝑇𝑅〗_𝐹𝑒𝑑 )−</a:t>
              </a:r>
              <a:endParaRPr lang="en-US" sz="1100" b="0" i="1">
                <a:solidFill>
                  <a:sysClr val="windowText" lastClr="000000"/>
                </a:solidFill>
                <a:latin typeface="Cambria Math" panose="02040503050406030204" pitchFamily="18" charset="0"/>
                <a:ea typeface="Cambria Math" panose="02040503050406030204" pitchFamily="18" charset="0"/>
              </a:endParaRPr>
            </a:p>
            <a:p>
              <a:pPr/>
              <a:r>
                <a:rPr lang="en-US" sz="1100" b="0" i="0">
                  <a:solidFill>
                    <a:sysClr val="windowText" lastClr="000000"/>
                  </a:solidFill>
                  <a:effectLst/>
                  <a:latin typeface="Cambria Math" panose="02040503050406030204" pitchFamily="18" charset="0"/>
                  <a:ea typeface="+mn-ea"/>
                  <a:cs typeface="+mn-cs"/>
                </a:rPr>
                <a:t>(𝑘𝑊_𝑝𝑜𝑠𝑡∗〖# 𝑓𝑖𝑥𝑡𝑢𝑟𝑒〗_𝑝𝑜𝑠𝑡 )∗(1−〖𝑅𝑇𝑅〗_𝑝𝑜𝑠𝑡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〖𝐻𝑂𝑈〗_𝑦𝑒𝑎𝑟</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a:t>
              </a:r>
              <a:endParaRPr lang="en-US" sz="1100">
                <a:solidFill>
                  <a:sysClr val="windowText" lastClr="000000"/>
                </a:solidFill>
              </a:endParaRPr>
            </a:p>
          </xdr:txBody>
        </xdr:sp>
      </mc:Fallback>
    </mc:AlternateContent>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26</xdr:row>
      <xdr:rowOff>1</xdr:rowOff>
    </xdr:from>
    <xdr:to>
      <xdr:col>18</xdr:col>
      <xdr:colOff>85725</xdr:colOff>
      <xdr:row>39</xdr:row>
      <xdr:rowOff>24187</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cstate="print"/>
        <a:srcRect/>
        <a:stretch>
          <a:fillRect/>
        </a:stretch>
      </xdr:blipFill>
      <xdr:spPr bwMode="auto">
        <a:xfrm>
          <a:off x="0" y="5067301"/>
          <a:ext cx="3343275" cy="2500686"/>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18</xdr:col>
      <xdr:colOff>85725</xdr:colOff>
      <xdr:row>44</xdr:row>
      <xdr:rowOff>7665</xdr:rowOff>
    </xdr:to>
    <xdr:pic>
      <xdr:nvPicPr>
        <xdr:cNvPr id="3" name="Picture 2">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2" cstate="print"/>
        <a:srcRect/>
        <a:stretch>
          <a:fillRect/>
        </a:stretch>
      </xdr:blipFill>
      <xdr:spPr bwMode="auto">
        <a:xfrm>
          <a:off x="0" y="7924800"/>
          <a:ext cx="3343275" cy="579165"/>
        </a:xfrm>
        <a:prstGeom prst="rect">
          <a:avLst/>
        </a:prstGeom>
        <a:noFill/>
        <a:ln w="9525">
          <a:noFill/>
          <a:miter lim="800000"/>
          <a:headEnd/>
          <a:tailEnd/>
        </a:ln>
      </xdr:spPr>
    </xdr:pic>
    <xdr:clientData/>
  </xdr:twoCellAnchor>
  <xdr:twoCellAnchor editAs="oneCell">
    <xdr:from>
      <xdr:col>0</xdr:col>
      <xdr:colOff>0</xdr:colOff>
      <xdr:row>45</xdr:row>
      <xdr:rowOff>1</xdr:rowOff>
    </xdr:from>
    <xdr:to>
      <xdr:col>18</xdr:col>
      <xdr:colOff>95250</xdr:colOff>
      <xdr:row>49</xdr:row>
      <xdr:rowOff>13861</xdr:rowOff>
    </xdr:to>
    <xdr:pic>
      <xdr:nvPicPr>
        <xdr:cNvPr id="4" name="Picture 3">
          <a:extLst>
            <a:ext uri="{FF2B5EF4-FFF2-40B4-BE49-F238E27FC236}">
              <a16:creationId xmlns:a16="http://schemas.microsoft.com/office/drawing/2014/main" id="{00000000-0008-0000-2B00-000004000000}"/>
            </a:ext>
          </a:extLst>
        </xdr:cNvPr>
        <xdr:cNvPicPr/>
      </xdr:nvPicPr>
      <xdr:blipFill>
        <a:blip xmlns:r="http://schemas.openxmlformats.org/officeDocument/2006/relationships" r:embed="rId3" cstate="print"/>
        <a:srcRect/>
        <a:stretch>
          <a:fillRect/>
        </a:stretch>
      </xdr:blipFill>
      <xdr:spPr bwMode="auto">
        <a:xfrm>
          <a:off x="0" y="8686801"/>
          <a:ext cx="3352800" cy="77586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oneCellAnchor>
    <xdr:from>
      <xdr:col>2</xdr:col>
      <xdr:colOff>187327</xdr:colOff>
      <xdr:row>28</xdr:row>
      <xdr:rowOff>25400</xdr:rowOff>
    </xdr:from>
    <xdr:ext cx="5108574" cy="36512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2" name="TextBox 1">
              <a:extLst>
                <a:ext uri="{FF2B5EF4-FFF2-40B4-BE49-F238E27FC236}">
                  <a16:creationId xmlns:a16="http://schemas.microsoft.com/office/drawing/2014/main" id="{695BD7A1-BBF5-4040-A523-A814BE909D46}"/>
                </a:ext>
              </a:extLst>
            </xdr:cNvPr>
            <xdr:cNvSpPr txBox="1"/>
          </xdr:nvSpPr>
          <xdr:spPr>
            <a:xfrm>
              <a:off x="568327" y="8369300"/>
              <a:ext cx="5108574"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a:t>
              </a:r>
              <a:r>
                <a:rPr lang="en-US">
                  <a:effectLst/>
                </a:rPr>
                <a:t> </a:t>
              </a:r>
            </a:p>
          </xdr:txBody>
        </xdr:sp>
      </mc:Fallback>
    </mc:AlternateContent>
    <xdr:clientData/>
  </xdr:oneCellAnchor>
  <xdr:oneCellAnchor>
    <xdr:from>
      <xdr:col>2</xdr:col>
      <xdr:colOff>187327</xdr:colOff>
      <xdr:row>30</xdr:row>
      <xdr:rowOff>39687</xdr:rowOff>
    </xdr:from>
    <xdr:ext cx="5070473" cy="3651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oMath>
              </a14:m>
              <a:r>
                <a:rPr lang="en-US">
                  <a:effectLst/>
                </a:rPr>
                <a:t> </a:t>
              </a:r>
            </a:p>
          </xdr:txBody>
        </xdr:sp>
      </mc:Choice>
      <mc:Fallback xmlns="">
        <xdr:sp macro="" textlink="">
          <xdr:nvSpPr>
            <xdr:cNvPr id="3" name="TextBox 2">
              <a:extLst>
                <a:ext uri="{FF2B5EF4-FFF2-40B4-BE49-F238E27FC236}">
                  <a16:creationId xmlns:a16="http://schemas.microsoft.com/office/drawing/2014/main" id="{83902FE9-BF74-4B3A-973D-316A41C8DE1A}"/>
                </a:ext>
              </a:extLst>
            </xdr:cNvPr>
            <xdr:cNvSpPr txBox="1"/>
          </xdr:nvSpPr>
          <xdr:spPr>
            <a:xfrm>
              <a:off x="568327" y="8955087"/>
              <a:ext cx="5070473"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a:t>
              </a:r>
              <a:r>
                <a:rPr lang="en-US">
                  <a:effectLst/>
                </a:rPr>
                <a:t> </a:t>
              </a:r>
            </a:p>
          </xdr:txBody>
        </xdr:sp>
      </mc:Fallback>
    </mc:AlternateContent>
    <xdr:clientData/>
  </xdr:oneCellAnchor>
  <xdr:oneCellAnchor>
    <xdr:from>
      <xdr:col>2</xdr:col>
      <xdr:colOff>171450</xdr:colOff>
      <xdr:row>37</xdr:row>
      <xdr:rowOff>15876</xdr:rowOff>
    </xdr:from>
    <xdr:ext cx="5000625" cy="36512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4" name="TextBox 3">
              <a:extLst>
                <a:ext uri="{FF2B5EF4-FFF2-40B4-BE49-F238E27FC236}">
                  <a16:creationId xmlns:a16="http://schemas.microsoft.com/office/drawing/2014/main" id="{9D04FFBC-2844-406D-919C-65A710AE5810}"/>
                </a:ext>
              </a:extLst>
            </xdr:cNvPr>
            <xdr:cNvSpPr txBox="1"/>
          </xdr:nvSpPr>
          <xdr:spPr>
            <a:xfrm>
              <a:off x="552450" y="10617201"/>
              <a:ext cx="50006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∆𝑘𝑊ℎ 𝑝𝑒𝑟 ℎ𝑝=0.746 𝑘𝑊/ℎ𝑝∗𝐻𝑜𝑢𝑟𝑠∗𝐿𝐹∗(〖𝐴𝐹〗_𝐶𝑆−〖𝐴𝐹〗_𝑉𝑆 )</a:t>
              </a:r>
              <a:r>
                <a:rPr lang="en-US">
                  <a:effectLst/>
                </a:rPr>
                <a:t> </a:t>
              </a:r>
            </a:p>
          </xdr:txBody>
        </xdr:sp>
      </mc:Fallback>
    </mc:AlternateContent>
    <xdr:clientData/>
  </xdr:oneCellAnchor>
  <xdr:oneCellAnchor>
    <xdr:from>
      <xdr:col>2</xdr:col>
      <xdr:colOff>171450</xdr:colOff>
      <xdr:row>39</xdr:row>
      <xdr:rowOff>15876</xdr:rowOff>
    </xdr:from>
    <xdr:ext cx="5076825" cy="36512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h𝑝</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𝐶𝑆</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𝐴𝐹</m:t>
                          </m:r>
                        </m:e>
                        <m:sub>
                          <m:r>
                            <a:rPr lang="en-US" sz="1100" b="0" i="1">
                              <a:solidFill>
                                <a:schemeClr val="tx1"/>
                              </a:solidFill>
                              <a:effectLst/>
                              <a:latin typeface="Cambria Math" panose="02040503050406030204" pitchFamily="18" charset="0"/>
                              <a:ea typeface="+mn-ea"/>
                              <a:cs typeface="+mn-cs"/>
                            </a:rPr>
                            <m:t>𝑉𝑆</m:t>
                          </m:r>
                        </m:sub>
                      </m:sSub>
                    </m:e>
                  </m:d>
                </m:oMath>
              </a14:m>
              <a:r>
                <a:rPr lang="en-US">
                  <a:effectLst/>
                </a:rPr>
                <a:t> </a:t>
              </a:r>
            </a:p>
          </xdr:txBody>
        </xdr:sp>
      </mc:Choice>
      <mc:Fallback xmlns="">
        <xdr:sp macro="" textlink="">
          <xdr:nvSpPr>
            <xdr:cNvPr id="5" name="TextBox 4">
              <a:extLst>
                <a:ext uri="{FF2B5EF4-FFF2-40B4-BE49-F238E27FC236}">
                  <a16:creationId xmlns:a16="http://schemas.microsoft.com/office/drawing/2014/main" id="{C48984AF-D5A0-4D4E-A6B6-4C6B9FCC4EFC}"/>
                </a:ext>
              </a:extLst>
            </xdr:cNvPr>
            <xdr:cNvSpPr txBox="1"/>
          </xdr:nvSpPr>
          <xdr:spPr>
            <a:xfrm>
              <a:off x="552450" y="11188701"/>
              <a:ext cx="5076825" cy="365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mn-ea"/>
                  <a:cs typeface="+mn-cs"/>
                </a:rPr>
                <a:t>∆𝑘𝑊 𝑝𝑒𝑟 ℎ𝑝=0.746 𝑘𝑊/ℎ𝑝∗𝐶𝐹∗(〖𝐴𝐹〗_𝐶𝑆−〖𝐴𝐹〗_𝑉𝑆 )</a:t>
              </a:r>
              <a:r>
                <a:rPr lang="en-US">
                  <a:effectLst/>
                </a:rPr>
                <a:t> </a:t>
              </a:r>
            </a:p>
          </xdr:txBody>
        </xdr:sp>
      </mc:Fallback>
    </mc:AlternateContent>
    <xdr:clientData/>
  </xdr:oneCellAnchor>
  <xdr:oneCellAnchor>
    <xdr:from>
      <xdr:col>3</xdr:col>
      <xdr:colOff>26987</xdr:colOff>
      <xdr:row>32</xdr:row>
      <xdr:rowOff>122238</xdr:rowOff>
    </xdr:from>
    <xdr:ext cx="2895599" cy="1831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6" name="TextBox 5">
              <a:extLst>
                <a:ext uri="{FF2B5EF4-FFF2-40B4-BE49-F238E27FC236}">
                  <a16:creationId xmlns:a16="http://schemas.microsoft.com/office/drawing/2014/main" id="{1E070E06-298A-4D02-84CC-93B5B187AF0F}"/>
                </a:ext>
              </a:extLst>
            </xdr:cNvPr>
            <xdr:cNvSpPr txBox="1"/>
          </xdr:nvSpPr>
          <xdr:spPr>
            <a:xfrm>
              <a:off x="598487" y="960913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oneCellAnchor>
    <xdr:from>
      <xdr:col>3</xdr:col>
      <xdr:colOff>7937</xdr:colOff>
      <xdr:row>41</xdr:row>
      <xdr:rowOff>111126</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7" name="TextBox 6">
              <a:extLst>
                <a:ext uri="{FF2B5EF4-FFF2-40B4-BE49-F238E27FC236}">
                  <a16:creationId xmlns:a16="http://schemas.microsoft.com/office/drawing/2014/main" id="{E82BB229-011E-4FA0-A009-487756853FE0}"/>
                </a:ext>
              </a:extLst>
            </xdr:cNvPr>
            <xdr:cNvSpPr txBox="1"/>
          </xdr:nvSpPr>
          <xdr:spPr>
            <a:xfrm>
              <a:off x="579437" y="11855451"/>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  𝑝𝑒𝑟 ℎ𝑝</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 𝑝𝑒𝑟 ℎ𝑝∗𝐸𝑈𝐿</a:t>
              </a:r>
              <a:endParaRPr lang="en-US" sz="1100"/>
            </a:p>
          </xdr:txBody>
        </xdr:sp>
      </mc:Fallback>
    </mc:AlternateContent>
    <xdr:clientData/>
  </xdr:oneCellAnchor>
</xdr:wsDr>
</file>

<file path=xl/drawings/drawing29.xml><?xml version="1.0" encoding="utf-8"?>
<xdr:wsDr xmlns:xdr="http://schemas.openxmlformats.org/drawingml/2006/spreadsheetDrawing" xmlns:a="http://schemas.openxmlformats.org/drawingml/2006/main">
  <xdr:oneCellAnchor>
    <xdr:from>
      <xdr:col>1</xdr:col>
      <xdr:colOff>168275</xdr:colOff>
      <xdr:row>28</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9ADF80A0-7A11-4039-AA5B-A97D77F3383F}"/>
                </a:ext>
              </a:extLst>
            </xdr:cNvPr>
            <xdr:cNvSpPr txBox="1"/>
          </xdr:nvSpPr>
          <xdr:spPr>
            <a:xfrm>
              <a:off x="358775" y="722962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1</xdr:col>
      <xdr:colOff>173038</xdr:colOff>
      <xdr:row>31</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9E1060B3-8475-4BFB-BBD2-602489AE263A}"/>
                </a:ext>
              </a:extLst>
            </xdr:cNvPr>
            <xdr:cNvSpPr txBox="1"/>
          </xdr:nvSpPr>
          <xdr:spPr>
            <a:xfrm>
              <a:off x="363538" y="796108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26987</xdr:colOff>
      <xdr:row>37</xdr:row>
      <xdr:rowOff>11113</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2ED0217-A683-455A-ABB2-106A36D410AA}"/>
                </a:ext>
              </a:extLst>
            </xdr:cNvPr>
            <xdr:cNvSpPr txBox="1"/>
          </xdr:nvSpPr>
          <xdr:spPr>
            <a:xfrm>
              <a:off x="407987" y="8878888"/>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1</xdr:col>
      <xdr:colOff>168275</xdr:colOff>
      <xdr:row>31</xdr:row>
      <xdr:rowOff>26987</xdr:rowOff>
    </xdr:from>
    <xdr:ext cx="2903166"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8" name="TextBox 7">
              <a:extLst>
                <a:ext uri="{FF2B5EF4-FFF2-40B4-BE49-F238E27FC236}">
                  <a16:creationId xmlns:a16="http://schemas.microsoft.com/office/drawing/2014/main" id="{7A1BCEDE-6219-4640-8256-22ADCAE00281}"/>
                </a:ext>
              </a:extLst>
            </xdr:cNvPr>
            <xdr:cNvSpPr txBox="1"/>
          </xdr:nvSpPr>
          <xdr:spPr>
            <a:xfrm>
              <a:off x="358775" y="9132887"/>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35</xdr:row>
      <xdr:rowOff>26987</xdr:rowOff>
    </xdr:from>
    <xdr:ext cx="1854867"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9" name="TextBox 8">
              <a:extLst>
                <a:ext uri="{FF2B5EF4-FFF2-40B4-BE49-F238E27FC236}">
                  <a16:creationId xmlns:a16="http://schemas.microsoft.com/office/drawing/2014/main" id="{EA02B784-B178-4BDA-9CE9-318D5D4E8837}"/>
                </a:ext>
              </a:extLst>
            </xdr:cNvPr>
            <xdr:cNvSpPr txBox="1"/>
          </xdr:nvSpPr>
          <xdr:spPr>
            <a:xfrm>
              <a:off x="358775" y="9894887"/>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39</xdr:row>
      <xdr:rowOff>19050</xdr:rowOff>
    </xdr:from>
    <xdr:ext cx="2015745" cy="184731"/>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0" name="TextBox 9">
              <a:extLst>
                <a:ext uri="{FF2B5EF4-FFF2-40B4-BE49-F238E27FC236}">
                  <a16:creationId xmlns:a16="http://schemas.microsoft.com/office/drawing/2014/main" id="{CA2A0D7E-E187-4AC5-921D-3EE0E6ACD399}"/>
                </a:ext>
              </a:extLst>
            </xdr:cNvPr>
            <xdr:cNvSpPr txBox="1"/>
          </xdr:nvSpPr>
          <xdr:spPr>
            <a:xfrm>
              <a:off x="390525" y="10648950"/>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43</xdr:row>
      <xdr:rowOff>19050</xdr:rowOff>
    </xdr:from>
    <xdr:ext cx="2340769" cy="184731"/>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F1E1FE7C-4FFC-4F70-9019-7EF30CE41DEC}"/>
                </a:ext>
              </a:extLst>
            </xdr:cNvPr>
            <xdr:cNvSpPr txBox="1"/>
          </xdr:nvSpPr>
          <xdr:spPr>
            <a:xfrm>
              <a:off x="390525" y="11410950"/>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51</xdr:row>
      <xdr:rowOff>0</xdr:rowOff>
    </xdr:from>
    <xdr:ext cx="3204852" cy="184731"/>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CD8A4E45-9E8C-4719-BCFA-4675493BBA89}"/>
                </a:ext>
              </a:extLst>
            </xdr:cNvPr>
            <xdr:cNvSpPr txBox="1"/>
          </xdr:nvSpPr>
          <xdr:spPr>
            <a:xfrm>
              <a:off x="390525" y="12915900"/>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55</xdr:row>
      <xdr:rowOff>19050</xdr:rowOff>
    </xdr:from>
    <xdr:ext cx="3356175" cy="184731"/>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3" name="TextBox 12">
              <a:extLst>
                <a:ext uri="{FF2B5EF4-FFF2-40B4-BE49-F238E27FC236}">
                  <a16:creationId xmlns:a16="http://schemas.microsoft.com/office/drawing/2014/main" id="{D9773C91-B507-453C-87DE-F51F4D32690B}"/>
                </a:ext>
              </a:extLst>
            </xdr:cNvPr>
            <xdr:cNvSpPr txBox="1"/>
          </xdr:nvSpPr>
          <xdr:spPr>
            <a:xfrm>
              <a:off x="390525" y="13696950"/>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67</xdr:row>
      <xdr:rowOff>19050</xdr:rowOff>
    </xdr:from>
    <xdr:ext cx="3017749" cy="182935"/>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14" name="TextBox 13">
              <a:extLst>
                <a:ext uri="{FF2B5EF4-FFF2-40B4-BE49-F238E27FC236}">
                  <a16:creationId xmlns:a16="http://schemas.microsoft.com/office/drawing/2014/main" id="{ACED2330-CC08-45E4-AD1D-1B0FE51A4033}"/>
                </a:ext>
              </a:extLst>
            </xdr:cNvPr>
            <xdr:cNvSpPr txBox="1"/>
          </xdr:nvSpPr>
          <xdr:spPr>
            <a:xfrm>
              <a:off x="390525" y="15982950"/>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47</xdr:row>
      <xdr:rowOff>19050</xdr:rowOff>
    </xdr:from>
    <xdr:ext cx="2696957" cy="184731"/>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15" name="TextBox 14">
              <a:extLst>
                <a:ext uri="{FF2B5EF4-FFF2-40B4-BE49-F238E27FC236}">
                  <a16:creationId xmlns:a16="http://schemas.microsoft.com/office/drawing/2014/main" id="{4D28CCF0-47D7-42D4-ACC1-1BC43498B7D3}"/>
                </a:ext>
              </a:extLst>
            </xdr:cNvPr>
            <xdr:cNvSpPr txBox="1"/>
          </xdr:nvSpPr>
          <xdr:spPr>
            <a:xfrm>
              <a:off x="434975" y="12172950"/>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59</xdr:row>
      <xdr:rowOff>0</xdr:rowOff>
    </xdr:from>
    <xdr:ext cx="4582152" cy="18562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16" name="TextBox 15">
              <a:extLst>
                <a:ext uri="{FF2B5EF4-FFF2-40B4-BE49-F238E27FC236}">
                  <a16:creationId xmlns:a16="http://schemas.microsoft.com/office/drawing/2014/main" id="{19E51D91-38AD-42CD-B0AE-5D177BE56FC0}"/>
                </a:ext>
              </a:extLst>
            </xdr:cNvPr>
            <xdr:cNvSpPr txBox="1"/>
          </xdr:nvSpPr>
          <xdr:spPr>
            <a:xfrm>
              <a:off x="390525" y="14439900"/>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70</xdr:row>
      <xdr:rowOff>190499</xdr:rowOff>
    </xdr:from>
    <xdr:ext cx="3050258" cy="181877"/>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17" name="TextBox 16">
              <a:extLst>
                <a:ext uri="{FF2B5EF4-FFF2-40B4-BE49-F238E27FC236}">
                  <a16:creationId xmlns:a16="http://schemas.microsoft.com/office/drawing/2014/main" id="{B7259F04-3067-410F-88CB-504A877FDBE3}"/>
                </a:ext>
              </a:extLst>
            </xdr:cNvPr>
            <xdr:cNvSpPr txBox="1"/>
          </xdr:nvSpPr>
          <xdr:spPr>
            <a:xfrm>
              <a:off x="371475" y="16611599"/>
              <a:ext cx="3050258" cy="1818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63</xdr:row>
      <xdr:rowOff>0</xdr:rowOff>
    </xdr:from>
    <xdr:ext cx="2093778" cy="182935"/>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18" name="TextBox 17">
              <a:extLst>
                <a:ext uri="{FF2B5EF4-FFF2-40B4-BE49-F238E27FC236}">
                  <a16:creationId xmlns:a16="http://schemas.microsoft.com/office/drawing/2014/main" id="{747B0B05-BAFF-455E-B020-3722F4410482}"/>
                </a:ext>
              </a:extLst>
            </xdr:cNvPr>
            <xdr:cNvSpPr txBox="1"/>
          </xdr:nvSpPr>
          <xdr:spPr>
            <a:xfrm>
              <a:off x="381000" y="15201900"/>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30.xml><?xml version="1.0" encoding="utf-8"?>
<xdr:wsDr xmlns:xdr="http://schemas.openxmlformats.org/drawingml/2006/spreadsheetDrawing" xmlns:a="http://schemas.openxmlformats.org/drawingml/2006/main">
  <xdr:oneCellAnchor>
    <xdr:from>
      <xdr:col>2</xdr:col>
      <xdr:colOff>28575</xdr:colOff>
      <xdr:row>28</xdr:row>
      <xdr:rowOff>109537</xdr:rowOff>
    </xdr:from>
    <xdr:ext cx="2220480" cy="350032"/>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4FDD5312-15E1-4FB9-8F0B-81E29E5B1875}"/>
                </a:ext>
              </a:extLst>
            </xdr:cNvPr>
            <xdr:cNvSpPr txBox="1"/>
          </xdr:nvSpPr>
          <xdr:spPr>
            <a:xfrm>
              <a:off x="406400" y="6288087"/>
              <a:ext cx="2220480"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∗𝐵𝐹∗𝐶𝐹</a:t>
              </a:r>
              <a:endParaRPr lang="en-US" sz="1100"/>
            </a:p>
          </xdr:txBody>
        </xdr:sp>
      </mc:Fallback>
    </mc:AlternateContent>
    <xdr:clientData/>
  </xdr:oneCellAnchor>
  <xdr:oneCellAnchor>
    <xdr:from>
      <xdr:col>2</xdr:col>
      <xdr:colOff>19050</xdr:colOff>
      <xdr:row>32</xdr:row>
      <xdr:rowOff>152400</xdr:rowOff>
    </xdr:from>
    <xdr:ext cx="4770665" cy="35003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𝑁</m:t>
                        </m:r>
                      </m:e>
                      <m:sub>
                        <m:r>
                          <a:rPr lang="en-US" sz="1100" b="0" i="1">
                            <a:solidFill>
                              <a:schemeClr val="tx1"/>
                            </a:solidFill>
                            <a:effectLst/>
                            <a:latin typeface="Cambria Math" panose="02040503050406030204" pitchFamily="18" charset="0"/>
                            <a:ea typeface="+mn-ea"/>
                            <a:cs typeface="+mn-cs"/>
                          </a:rPr>
                          <m:t>𝑓𝑎𝑛𝑠</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h𝑝</m:t>
                        </m:r>
                        <m:r>
                          <a:rPr lang="en-US" sz="1100" b="0" i="1">
                            <a:solidFill>
                              <a:schemeClr val="tx1"/>
                            </a:solidFill>
                            <a:effectLst/>
                            <a:latin typeface="Cambria Math" panose="02040503050406030204" pitchFamily="18" charset="0"/>
                            <a:ea typeface="+mn-ea"/>
                            <a:cs typeface="+mn-cs"/>
                          </a:rPr>
                          <m:t>∗0.746</m:t>
                        </m:r>
                      </m:num>
                      <m:den>
                        <m:r>
                          <a:rPr lang="el-GR" sz="1100" b="0" i="1">
                            <a:solidFill>
                              <a:schemeClr val="tx1"/>
                            </a:solidFill>
                            <a:effectLst/>
                            <a:latin typeface="Cambria Math" panose="02040503050406030204" pitchFamily="18" charset="0"/>
                            <a:ea typeface="+mn-ea"/>
                            <a:cs typeface="+mn-cs"/>
                          </a:rPr>
                          <m:t>𝜂</m:t>
                        </m:r>
                      </m:den>
                    </m:f>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 </m:t>
                    </m:r>
                  </m:oMath>
                </m:oMathPara>
              </a14:m>
              <a:endParaRPr lang="en-US" sz="1100"/>
            </a:p>
          </xdr:txBody>
        </xdr:sp>
      </mc:Choice>
      <mc:Fallback xmlns="">
        <xdr:sp macro="" textlink="">
          <xdr:nvSpPr>
            <xdr:cNvPr id="3" name="TextBox 2">
              <a:extLst>
                <a:ext uri="{FF2B5EF4-FFF2-40B4-BE49-F238E27FC236}">
                  <a16:creationId xmlns:a16="http://schemas.microsoft.com/office/drawing/2014/main" id="{2E5B8026-B0BC-4233-A1D2-CAE0F1033190}"/>
                </a:ext>
              </a:extLst>
            </xdr:cNvPr>
            <xdr:cNvSpPr txBox="1"/>
          </xdr:nvSpPr>
          <xdr:spPr>
            <a:xfrm>
              <a:off x="400050" y="7058025"/>
              <a:ext cx="4770665" cy="3500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𝑁_𝑓𝑎𝑛𝑠∗(ℎ𝑝∗0.746)/</a:t>
              </a:r>
              <a:r>
                <a:rPr lang="el-GR" sz="1100" b="0" i="0">
                  <a:solidFill>
                    <a:schemeClr val="tx1"/>
                  </a:solidFill>
                  <a:effectLst/>
                  <a:latin typeface="Cambria Math" panose="02040503050406030204" pitchFamily="18" charset="0"/>
                  <a:ea typeface="+mn-ea"/>
                  <a:cs typeface="+mn-cs"/>
                </a:rPr>
                <a:t>𝜂</a:t>
              </a:r>
              <a:r>
                <a:rPr lang="en-US" sz="1100" b="0" i="0">
                  <a:solidFill>
                    <a:schemeClr val="tx1"/>
                  </a:solidFill>
                  <a:effectLst/>
                  <a:latin typeface="Cambria Math" panose="02040503050406030204" pitchFamily="18" charset="0"/>
                  <a:ea typeface="+mn-ea"/>
                  <a:cs typeface="+mn-cs"/>
                </a:rPr>
                <a:t>∗(1−〖𝐷𝐶〗_𝑐𝑜𝑚𝑝 )∗〖𝐷𝐶〗_𝑒𝑣𝑎𝑝∗𝐵𝐹∗𝐻𝑅𝑆=∆𝑘𝑊∗𝐻𝑅𝑆 </a:t>
              </a:r>
              <a:endParaRPr lang="en-US" sz="1100"/>
            </a:p>
          </xdr:txBody>
        </xdr:sp>
      </mc:Fallback>
    </mc:AlternateContent>
    <xdr:clientData/>
  </xdr:oneCellAnchor>
  <xdr:oneCellAnchor>
    <xdr:from>
      <xdr:col>2</xdr:col>
      <xdr:colOff>28575</xdr:colOff>
      <xdr:row>37</xdr:row>
      <xdr:rowOff>9525</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8EA6AB22-3DD7-4173-A9F3-169BD06E8478}"/>
                </a:ext>
              </a:extLst>
            </xdr:cNvPr>
            <xdr:cNvSpPr txBox="1"/>
          </xdr:nvSpPr>
          <xdr:spPr>
            <a:xfrm>
              <a:off x="406400" y="7816850"/>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20</xdr:col>
      <xdr:colOff>9525</xdr:colOff>
      <xdr:row>29</xdr:row>
      <xdr:rowOff>9525</xdr:rowOff>
    </xdr:from>
    <xdr:ext cx="1724639" cy="19652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𝐶</m:t>
                    </m:r>
                    <m:r>
                      <a:rPr lang="en-US" sz="1100" b="0" i="1">
                        <a:latin typeface="Cambria Math" panose="02040503050406030204" pitchFamily="18" charset="0"/>
                        <a:ea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𝑐𝑜𝑚𝑝</m:t>
                            </m:r>
                          </m:sub>
                        </m:sSub>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𝐷𝐶</m:t>
                        </m:r>
                      </m:e>
                      <m:sub>
                        <m:r>
                          <a:rPr lang="en-US" sz="1100" b="0" i="1">
                            <a:solidFill>
                              <a:schemeClr val="tx1"/>
                            </a:solidFill>
                            <a:effectLst/>
                            <a:latin typeface="Cambria Math" panose="02040503050406030204" pitchFamily="18" charset="0"/>
                            <a:ea typeface="+mn-ea"/>
                            <a:cs typeface="+mn-cs"/>
                          </a:rPr>
                          <m:t>𝑒𝑣𝑎𝑝</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372C65AA-18DE-45C6-852F-DFDDFF38AF45}"/>
                </a:ext>
              </a:extLst>
            </xdr:cNvPr>
            <xdr:cNvSpPr txBox="1"/>
          </xdr:nvSpPr>
          <xdr:spPr>
            <a:xfrm>
              <a:off x="3816350" y="6369050"/>
              <a:ext cx="1724639"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𝐶</a:t>
              </a:r>
              <a:r>
                <a:rPr lang="en-US" sz="1100" b="0" i="0">
                  <a:latin typeface="Cambria Math" panose="02040503050406030204" pitchFamily="18" charset="0"/>
                  <a:ea typeface="Cambria Math" panose="02040503050406030204" pitchFamily="18" charset="0"/>
                </a:rPr>
                <a:t>𝐹=</a:t>
              </a:r>
              <a:r>
                <a:rPr lang="en-US" sz="1100" b="0" i="0">
                  <a:solidFill>
                    <a:schemeClr val="tx1"/>
                  </a:solidFill>
                  <a:effectLst/>
                  <a:latin typeface="Cambria Math" panose="02040503050406030204" pitchFamily="18" charset="0"/>
                  <a:ea typeface="+mn-ea"/>
                  <a:cs typeface="+mn-cs"/>
                </a:rPr>
                <a:t>(1−〖𝐷𝐶〗_𝑐𝑜𝑚𝑝 )∗〖𝐷𝐶〗_𝑒𝑣𝑎𝑝</a:t>
              </a:r>
              <a:endParaRPr lang="en-US" sz="1100"/>
            </a:p>
          </xdr:txBody>
        </xdr:sp>
      </mc:Fallback>
    </mc:AlternateContent>
    <xdr:clientData/>
  </xdr:oneCellAnchor>
</xdr:wsDr>
</file>

<file path=xl/drawings/drawing31.xml><?xml version="1.0" encoding="utf-8"?>
<xdr:wsDr xmlns:xdr="http://schemas.openxmlformats.org/drawingml/2006/spreadsheetDrawing" xmlns:a="http://schemas.openxmlformats.org/drawingml/2006/main">
  <xdr:oneCellAnchor>
    <xdr:from>
      <xdr:col>2</xdr:col>
      <xdr:colOff>9525</xdr:colOff>
      <xdr:row>28</xdr:row>
      <xdr:rowOff>133350</xdr:rowOff>
    </xdr:from>
    <xdr:ext cx="4841582" cy="37670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m:t>
                            </m:r>
                          </m:e>
                          <m:sub>
                            <m:r>
                              <a:rPr lang="en-US" sz="1100" b="0" i="1">
                                <a:latin typeface="Cambria Math" panose="02040503050406030204" pitchFamily="18" charset="0"/>
                                <a:ea typeface="Cambria Math" panose="02040503050406030204" pitchFamily="18" charset="0"/>
                              </a:rPr>
                              <m:t>𝑇</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𝐿𝑅</m:t>
                            </m:r>
                          </m:e>
                          <m:sub>
                            <m:r>
                              <a:rPr lang="en-US" sz="1100" b="0" i="1">
                                <a:latin typeface="Cambria Math" panose="02040503050406030204" pitchFamily="18" charset="0"/>
                                <a:ea typeface="Cambria Math" panose="02040503050406030204" pitchFamily="18" charset="0"/>
                              </a:rPr>
                              <m:t>𝑁𝑒𝑡</m:t>
                            </m:r>
                          </m:sub>
                        </m:sSub>
                      </m:e>
                    </m:d>
                    <m:d>
                      <m:dPr>
                        <m:begChr m:val="["/>
                        <m:endChr m:val="]"/>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𝐷𝐶</m:t>
                                </m:r>
                              </m:e>
                              <m:sub>
                                <m:r>
                                  <a:rPr lang="en-US" sz="1100" b="0" i="1">
                                    <a:latin typeface="Cambria Math" panose="02040503050406030204" pitchFamily="18" charset="0"/>
                                    <a:ea typeface="Cambria Math" panose="02040503050406030204" pitchFamily="18" charset="0"/>
                                  </a:rPr>
                                  <m:t>𝑐𝑜𝑚𝑝</m:t>
                                </m:r>
                              </m:sub>
                            </m:sSub>
                          </m:num>
                          <m:den>
                            <m:r>
                              <a:rPr lang="en-US" sz="1100" b="0" i="1">
                                <a:latin typeface="Cambria Math" panose="02040503050406030204" pitchFamily="18" charset="0"/>
                                <a:ea typeface="Cambria Math" panose="02040503050406030204" pitchFamily="18" charset="0"/>
                              </a:rPr>
                              <m:t>3412∗</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𝐶𝑂𝑃</m:t>
                                </m:r>
                              </m:e>
                              <m:sub>
                                <m:r>
                                  <a:rPr lang="en-US" sz="1100" b="0" i="1">
                                    <a:latin typeface="Cambria Math" panose="02040503050406030204" pitchFamily="18" charset="0"/>
                                    <a:ea typeface="Cambria Math" panose="02040503050406030204" pitchFamily="18" charset="0"/>
                                  </a:rPr>
                                  <m:t>𝑅</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24∗</m:t>
                            </m:r>
                            <m:r>
                              <a:rPr lang="en-US" sz="1100" b="0" i="1">
                                <a:solidFill>
                                  <a:schemeClr val="tx1"/>
                                </a:solidFill>
                                <a:effectLst/>
                                <a:latin typeface="Cambria Math" panose="02040503050406030204" pitchFamily="18" charset="0"/>
                                <a:ea typeface="+mn-ea"/>
                                <a:cs typeface="+mn-cs"/>
                              </a:rPr>
                              <m:t>𝐶𝐷𝐷</m:t>
                            </m:r>
                          </m:num>
                          <m:den>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𝑠</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𝑅</m:t>
                                    </m:r>
                                  </m:sub>
                                </m:sSub>
                              </m:e>
                            </m:d>
                            <m:r>
                              <a:rPr lang="en-US" sz="1100" b="0" i="1">
                                <a:solidFill>
                                  <a:schemeClr val="tx1"/>
                                </a:solidFill>
                                <a:effectLst/>
                                <a:latin typeface="Cambria Math" panose="02040503050406030204" pitchFamily="18" charset="0"/>
                                <a:ea typeface="+mn-ea"/>
                                <a:cs typeface="+mn-cs"/>
                              </a:rPr>
                              <m:t>∗3412∗</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𝐶𝑂𝑃</m:t>
                                </m:r>
                              </m:e>
                              <m:sub>
                                <m:r>
                                  <a:rPr lang="en-US" sz="1100" b="0" i="1">
                                    <a:solidFill>
                                      <a:schemeClr val="tx1"/>
                                    </a:solidFill>
                                    <a:effectLst/>
                                    <a:latin typeface="Cambria Math" panose="02040503050406030204" pitchFamily="18" charset="0"/>
                                    <a:ea typeface="+mn-ea"/>
                                    <a:cs typeface="+mn-cs"/>
                                  </a:rPr>
                                  <m:t>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𝐿𝑒𝑛𝑔𝑡h</m:t>
                    </m:r>
                  </m:oMath>
                </m:oMathPara>
              </a14:m>
              <a:endParaRPr lang="en-US" sz="1100"/>
            </a:p>
          </xdr:txBody>
        </xdr:sp>
      </mc:Choice>
      <mc:Fallback xmlns="">
        <xdr:sp macro="" textlink="">
          <xdr:nvSpPr>
            <xdr:cNvPr id="2" name="TextBox 1">
              <a:extLst>
                <a:ext uri="{FF2B5EF4-FFF2-40B4-BE49-F238E27FC236}">
                  <a16:creationId xmlns:a16="http://schemas.microsoft.com/office/drawing/2014/main" id="{2B8BAF3A-C306-40EA-9159-936550CEDCE4}"/>
                </a:ext>
              </a:extLst>
            </xdr:cNvPr>
            <xdr:cNvSpPr txBox="1"/>
          </xdr:nvSpPr>
          <xdr:spPr>
            <a:xfrm>
              <a:off x="387350" y="6619875"/>
              <a:ext cx="4841582" cy="37670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∆𝑘𝑊=[𝐿_𝑇∗〖𝐿𝑅〗_𝑁𝑒𝑡 ][〖𝐷𝐶〗_𝑐𝑜𝑚𝑝/(3412∗〖𝐶𝑂𝑃〗_𝑅 )−</a:t>
              </a:r>
              <a:r>
                <a:rPr lang="en-US" sz="1100" b="0" i="0">
                  <a:solidFill>
                    <a:schemeClr val="tx1"/>
                  </a:solidFill>
                  <a:effectLst/>
                  <a:latin typeface="Cambria Math" panose="02040503050406030204" pitchFamily="18" charset="0"/>
                  <a:ea typeface="+mn-ea"/>
                  <a:cs typeface="+mn-cs"/>
                </a:rPr>
                <a:t>(24∗𝐶𝐷𝐷)/((𝑇_𝑠−𝑇_𝑅 )∗3412∗〖𝐶𝑂𝑃〗_𝐴𝐶∗𝐻𝑅𝑆)]∗𝐿𝑒𝑛𝑔𝑡ℎ</a:t>
              </a:r>
              <a:endParaRPr lang="en-US" sz="1100"/>
            </a:p>
          </xdr:txBody>
        </xdr:sp>
      </mc:Fallback>
    </mc:AlternateContent>
    <xdr:clientData/>
  </xdr:oneCellAnchor>
  <xdr:oneCellAnchor>
    <xdr:from>
      <xdr:col>2</xdr:col>
      <xdr:colOff>0</xdr:colOff>
      <xdr:row>34</xdr:row>
      <xdr:rowOff>0</xdr:rowOff>
    </xdr:from>
    <xdr:ext cx="1294329"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𝐻𝑅𝑆</m:t>
                    </m:r>
                  </m:oMath>
                </m:oMathPara>
              </a14:m>
              <a:endParaRPr lang="en-US" sz="1100"/>
            </a:p>
          </xdr:txBody>
        </xdr:sp>
      </mc:Choice>
      <mc:Fallback xmlns="">
        <xdr:sp macro="" textlink="">
          <xdr:nvSpPr>
            <xdr:cNvPr id="3" name="TextBox 2">
              <a:extLst>
                <a:ext uri="{FF2B5EF4-FFF2-40B4-BE49-F238E27FC236}">
                  <a16:creationId xmlns:a16="http://schemas.microsoft.com/office/drawing/2014/main" id="{FFC0E180-CC0E-4006-8073-E812BB52AE3A}"/>
                </a:ext>
              </a:extLst>
            </xdr:cNvPr>
            <xdr:cNvSpPr txBox="1"/>
          </xdr:nvSpPr>
          <xdr:spPr>
            <a:xfrm>
              <a:off x="381000" y="7572375"/>
              <a:ext cx="1294329"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𝑘𝑊∗𝐻𝑅𝑆</a:t>
              </a:r>
              <a:endParaRPr lang="en-US" sz="1100"/>
            </a:p>
          </xdr:txBody>
        </xdr:sp>
      </mc:Fallback>
    </mc:AlternateContent>
    <xdr:clientData/>
  </xdr:oneCellAnchor>
  <xdr:oneCellAnchor>
    <xdr:from>
      <xdr:col>2</xdr:col>
      <xdr:colOff>0</xdr:colOff>
      <xdr:row>38</xdr:row>
      <xdr:rowOff>0</xdr:rowOff>
    </xdr:from>
    <xdr:ext cx="1658596"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29800BC-65C3-4BED-A766-688E15476A8F}"/>
                </a:ext>
              </a:extLst>
            </xdr:cNvPr>
            <xdr:cNvSpPr txBox="1"/>
          </xdr:nvSpPr>
          <xdr:spPr>
            <a:xfrm>
              <a:off x="381000" y="8296275"/>
              <a:ext cx="1658596"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32.xml><?xml version="1.0" encoding="utf-8"?>
<xdr:wsDr xmlns:xdr="http://schemas.openxmlformats.org/drawingml/2006/spreadsheetDrawing" xmlns:a="http://schemas.openxmlformats.org/drawingml/2006/main">
  <xdr:oneCellAnchor>
    <xdr:from>
      <xdr:col>2</xdr:col>
      <xdr:colOff>38100</xdr:colOff>
      <xdr:row>32</xdr:row>
      <xdr:rowOff>0</xdr:rowOff>
    </xdr:from>
    <xdr:ext cx="3114675" cy="25241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d>
                      <m:dPr>
                        <m:begChr m:val="["/>
                        <m:endChr m:val="]"/>
                        <m:ctrlPr>
                          <a:rPr lang="en-US" sz="1100" b="0" i="1">
                            <a:solidFill>
                              <a:sysClr val="windowText" lastClr="000000"/>
                            </a:solidFill>
                            <a:latin typeface="Cambria Math" panose="02040503050406030204" pitchFamily="18" charset="0"/>
                            <a:ea typeface="Cambria Math" panose="02040503050406030204" pitchFamily="18" charset="0"/>
                          </a:rPr>
                        </m:ctrlPr>
                      </m:dPr>
                      <m:e>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h𝑝</m:t>
                        </m:r>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𝐻𝑜𝑢𝑟𝑠</m:t>
                        </m:r>
                      </m:e>
                      <m:sub>
                        <m:r>
                          <a:rPr lang="en-US" sz="1100" b="0" i="1">
                            <a:solidFill>
                              <a:sysClr val="windowText" lastClr="000000"/>
                            </a:solidFill>
                            <a:effectLst/>
                            <a:latin typeface="Cambria Math" panose="02040503050406030204" pitchFamily="18" charset="0"/>
                            <a:ea typeface="+mn-ea"/>
                            <a:cs typeface="+mn-cs"/>
                          </a:rPr>
                          <m:t>𝐷𝐵</m:t>
                        </m:r>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65D2FACD-0819-4197-BD0F-AEA7EE28DFCD}"/>
                </a:ext>
              </a:extLst>
            </xdr:cNvPr>
            <xdr:cNvSpPr txBox="1"/>
          </xdr:nvSpPr>
          <xdr:spPr>
            <a:xfrm>
              <a:off x="419100" y="6734175"/>
              <a:ext cx="311467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̅_(≤75°𝐹)+𝑏)∗ℎ𝑝]</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〖𝐻𝑜𝑢𝑟𝑠〗_(𝐷𝐵≤75°𝐹)</a:t>
              </a:r>
              <a:endParaRPr lang="en-US" sz="1100">
                <a:solidFill>
                  <a:sysClr val="windowText" lastClr="000000"/>
                </a:solidFill>
              </a:endParaRPr>
            </a:p>
          </xdr:txBody>
        </xdr:sp>
      </mc:Fallback>
    </mc:AlternateContent>
    <xdr:clientData/>
  </xdr:oneCellAnchor>
  <xdr:oneCellAnchor>
    <xdr:from>
      <xdr:col>2</xdr:col>
      <xdr:colOff>38100</xdr:colOff>
      <xdr:row>35</xdr:row>
      <xdr:rowOff>180975</xdr:rowOff>
    </xdr:from>
    <xdr:ext cx="186690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AB72001-E8E2-465E-A2C3-58A66C20F3AB}"/>
                </a:ext>
              </a:extLst>
            </xdr:cNvPr>
            <xdr:cNvSpPr txBox="1"/>
          </xdr:nvSpPr>
          <xdr:spPr>
            <a:xfrm>
              <a:off x="419100" y="7454900"/>
              <a:ext cx="186690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19050</xdr:colOff>
      <xdr:row>27</xdr:row>
      <xdr:rowOff>180975</xdr:rowOff>
    </xdr:from>
    <xdr:ext cx="2371725" cy="252413"/>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𝑚</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acc>
                              <m:accPr>
                                <m:chr m:val="̅"/>
                                <m:ctrlPr>
                                  <a:rPr lang="en-US" sz="1100" b="0" i="1">
                                    <a:solidFill>
                                      <a:sysClr val="windowText" lastClr="000000"/>
                                    </a:solidFill>
                                    <a:effectLst/>
                                    <a:latin typeface="Cambria Math" panose="02040503050406030204" pitchFamily="18" charset="0"/>
                                    <a:ea typeface="+mn-ea"/>
                                    <a:cs typeface="+mn-cs"/>
                                  </a:rPr>
                                </m:ctrlPr>
                              </m:accPr>
                              <m:e>
                                <m:r>
                                  <a:rPr lang="en-US" sz="1100" b="0" i="1">
                                    <a:solidFill>
                                      <a:sysClr val="windowText" lastClr="000000"/>
                                    </a:solidFill>
                                    <a:effectLst/>
                                    <a:latin typeface="Cambria Math" panose="02040503050406030204" pitchFamily="18" charset="0"/>
                                    <a:ea typeface="+mn-ea"/>
                                    <a:cs typeface="+mn-cs"/>
                                  </a:rPr>
                                  <m:t>𝐷𝐵</m:t>
                                </m:r>
                              </m:e>
                            </m:acc>
                          </m:e>
                          <m:sub>
                            <m:r>
                              <a:rPr lang="en-US" sz="1100" b="0" i="1">
                                <a:solidFill>
                                  <a:sysClr val="windowText" lastClr="000000"/>
                                </a:solidFill>
                                <a:effectLst/>
                                <a:latin typeface="Cambria Math" panose="02040503050406030204" pitchFamily="18" charset="0"/>
                                <a:ea typeface="+mn-ea"/>
                                <a:cs typeface="+mn-cs"/>
                              </a:rPr>
                              <m:t>≤75°</m:t>
                            </m:r>
                            <m:r>
                              <a:rPr lang="en-US" sz="1100" b="0" i="1">
                                <a:solidFill>
                                  <a:sysClr val="windowText" lastClr="000000"/>
                                </a:solidFill>
                                <a:effectLst/>
                                <a:latin typeface="Cambria Math" panose="02040503050406030204" pitchFamily="18" charset="0"/>
                                <a:ea typeface="+mn-ea"/>
                                <a:cs typeface="+mn-cs"/>
                              </a:rPr>
                              <m:t>𝐹</m:t>
                            </m:r>
                            <m:r>
                              <a:rPr lang="en-US" sz="1100" b="0" i="1">
                                <a:solidFill>
                                  <a:sysClr val="windowText" lastClr="000000"/>
                                </a:solidFill>
                                <a:effectLst/>
                                <a:latin typeface="Cambria Math" panose="02040503050406030204" pitchFamily="18" charset="0"/>
                                <a:ea typeface="+mn-ea"/>
                                <a:cs typeface="+mn-cs"/>
                              </a:rPr>
                              <m:t>,5−9</m:t>
                            </m:r>
                            <m:r>
                              <a:rPr lang="en-US" sz="1100" b="0" i="1">
                                <a:solidFill>
                                  <a:sysClr val="windowText" lastClr="000000"/>
                                </a:solidFill>
                                <a:effectLst/>
                                <a:latin typeface="Cambria Math" panose="02040503050406030204" pitchFamily="18" charset="0"/>
                                <a:ea typeface="+mn-ea"/>
                                <a:cs typeface="+mn-cs"/>
                              </a:rPr>
                              <m:t>𝑝𝑚</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𝑏</m:t>
                        </m:r>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h𝑝</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37CA6F1E-A2E0-4DA5-9B0B-161A933D81BC}"/>
                </a:ext>
              </a:extLst>
            </xdr:cNvPr>
            <xdr:cNvSpPr txBox="1"/>
          </xdr:nvSpPr>
          <xdr:spPr>
            <a:xfrm>
              <a:off x="400050" y="6007100"/>
              <a:ext cx="2371725" cy="252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(𝑚∗(𝐷𝐵) ̅_(≤75°𝐹,5−9𝑝𝑚)+𝑏)</a:t>
              </a:r>
              <a:r>
                <a:rPr lang="en-US" sz="1100" b="0" i="0">
                  <a:solidFill>
                    <a:sysClr val="windowText" lastClr="000000"/>
                  </a:solidFill>
                  <a:latin typeface="Cambria Math" panose="02040503050406030204" pitchFamily="18" charset="0"/>
                  <a:ea typeface="Cambria Math" panose="02040503050406030204" pitchFamily="18" charset="0"/>
                </a:rPr>
                <a:t>∗ℎ𝑝</a:t>
              </a:r>
              <a:endParaRPr lang="en-US" sz="1100">
                <a:solidFill>
                  <a:sysClr val="windowText" lastClr="000000"/>
                </a:solidFill>
              </a:endParaRPr>
            </a:p>
          </xdr:txBody>
        </xdr:sp>
      </mc:Fallback>
    </mc:AlternateContent>
    <xdr:clientData/>
  </xdr:oneCellAnchor>
  <xdr:oneCellAnchor>
    <xdr:from>
      <xdr:col>0</xdr:col>
      <xdr:colOff>0</xdr:colOff>
      <xdr:row>43</xdr:row>
      <xdr:rowOff>569912</xdr:rowOff>
    </xdr:from>
    <xdr:ext cx="846770" cy="177164"/>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sub>
                    </m:sSub>
                  </m:oMath>
                </m:oMathPara>
              </a14:m>
              <a:endParaRPr lang="en-US" sz="1050"/>
            </a:p>
          </xdr:txBody>
        </xdr:sp>
      </mc:Choice>
      <mc:Fallback xmlns="">
        <xdr:sp macro="" textlink="">
          <xdr:nvSpPr>
            <xdr:cNvPr id="5" name="TextBox 4">
              <a:extLst>
                <a:ext uri="{FF2B5EF4-FFF2-40B4-BE49-F238E27FC236}">
                  <a16:creationId xmlns:a16="http://schemas.microsoft.com/office/drawing/2014/main" id="{2C039D56-33A3-4A1A-8E38-5D4DE23784D6}"/>
                </a:ext>
              </a:extLst>
            </xdr:cNvPr>
            <xdr:cNvSpPr txBox="1"/>
          </xdr:nvSpPr>
          <xdr:spPr>
            <a:xfrm>
              <a:off x="0" y="12961937"/>
              <a:ext cx="846770" cy="177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̅_(≤75°𝐹,5−9𝑝𝑚)</a:t>
              </a:r>
              <a:endParaRPr lang="en-US" sz="1050"/>
            </a:p>
          </xdr:txBody>
        </xdr:sp>
      </mc:Fallback>
    </mc:AlternateContent>
    <xdr:clientData/>
  </xdr:oneCellAnchor>
  <xdr:oneCellAnchor>
    <xdr:from>
      <xdr:col>0</xdr:col>
      <xdr:colOff>0</xdr:colOff>
      <xdr:row>44</xdr:row>
      <xdr:rowOff>533400</xdr:rowOff>
    </xdr:from>
    <xdr:ext cx="495007" cy="167162"/>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acc>
                          <m:accPr>
                            <m:chr m:val="̅"/>
                            <m:ctrlPr>
                              <a:rPr lang="en-US" sz="1050" b="0" i="1">
                                <a:solidFill>
                                  <a:schemeClr val="tx1"/>
                                </a:solidFill>
                                <a:effectLst/>
                                <a:latin typeface="Cambria Math" panose="02040503050406030204" pitchFamily="18" charset="0"/>
                                <a:ea typeface="+mn-ea"/>
                                <a:cs typeface="+mn-cs"/>
                              </a:rPr>
                            </m:ctrlPr>
                          </m:accPr>
                          <m:e>
                            <m:r>
                              <a:rPr lang="en-US" sz="1050" b="0" i="1">
                                <a:solidFill>
                                  <a:schemeClr val="tx1"/>
                                </a:solidFill>
                                <a:effectLst/>
                                <a:latin typeface="Cambria Math" panose="02040503050406030204" pitchFamily="18" charset="0"/>
                                <a:ea typeface="+mn-ea"/>
                                <a:cs typeface="+mn-cs"/>
                              </a:rPr>
                              <m:t>𝐷𝐵</m:t>
                            </m:r>
                          </m:e>
                        </m:acc>
                      </m:e>
                      <m:sub>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6" name="TextBox 5">
              <a:extLst>
                <a:ext uri="{FF2B5EF4-FFF2-40B4-BE49-F238E27FC236}">
                  <a16:creationId xmlns:a16="http://schemas.microsoft.com/office/drawing/2014/main" id="{D8E270A0-AF90-48AE-9D6A-656A54714DD8}"/>
                </a:ext>
              </a:extLst>
            </xdr:cNvPr>
            <xdr:cNvSpPr txBox="1"/>
          </xdr:nvSpPr>
          <xdr:spPr>
            <a:xfrm>
              <a:off x="0" y="14182725"/>
              <a:ext cx="495007" cy="167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(𝐷𝐵) ̅_(≤75°𝐹)</a:t>
              </a:r>
              <a:endParaRPr lang="en-US" sz="1050"/>
            </a:p>
          </xdr:txBody>
        </xdr:sp>
      </mc:Fallback>
    </mc:AlternateContent>
    <xdr:clientData/>
  </xdr:oneCellAnchor>
  <xdr:oneCellAnchor>
    <xdr:from>
      <xdr:col>0</xdr:col>
      <xdr:colOff>0</xdr:colOff>
      <xdr:row>45</xdr:row>
      <xdr:rowOff>276225</xdr:rowOff>
    </xdr:from>
    <xdr:ext cx="822661" cy="164404"/>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𝐷𝐵</m:t>
                        </m:r>
                        <m:r>
                          <a:rPr lang="en-US" sz="1050" b="0" i="1">
                            <a:solidFill>
                              <a:schemeClr val="tx1"/>
                            </a:solidFill>
                            <a:effectLst/>
                            <a:latin typeface="Cambria Math" panose="02040503050406030204" pitchFamily="18" charset="0"/>
                            <a:ea typeface="+mn-ea"/>
                            <a:cs typeface="+mn-cs"/>
                          </a:rPr>
                          <m:t>≤75°</m:t>
                        </m:r>
                        <m:r>
                          <a:rPr lang="en-US" sz="1050" b="0" i="1">
                            <a:solidFill>
                              <a:schemeClr val="tx1"/>
                            </a:solidFill>
                            <a:effectLst/>
                            <a:latin typeface="Cambria Math" panose="02040503050406030204" pitchFamily="18" charset="0"/>
                            <a:ea typeface="+mn-ea"/>
                            <a:cs typeface="+mn-cs"/>
                          </a:rPr>
                          <m:t>𝐹</m:t>
                        </m:r>
                      </m:sub>
                    </m:sSub>
                  </m:oMath>
                </m:oMathPara>
              </a14:m>
              <a:endParaRPr lang="en-US" sz="1050"/>
            </a:p>
          </xdr:txBody>
        </xdr:sp>
      </mc:Choice>
      <mc:Fallback xmlns="">
        <xdr:sp macro="" textlink="">
          <xdr:nvSpPr>
            <xdr:cNvPr id="7" name="TextBox 6">
              <a:extLst>
                <a:ext uri="{FF2B5EF4-FFF2-40B4-BE49-F238E27FC236}">
                  <a16:creationId xmlns:a16="http://schemas.microsoft.com/office/drawing/2014/main" id="{F6FC84DF-D194-47D1-A93B-D72705DDC658}"/>
                </a:ext>
              </a:extLst>
            </xdr:cNvPr>
            <xdr:cNvSpPr txBox="1"/>
          </xdr:nvSpPr>
          <xdr:spPr>
            <a:xfrm>
              <a:off x="0" y="16036925"/>
              <a:ext cx="822661" cy="164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050" b="0" i="0">
                  <a:solidFill>
                    <a:schemeClr val="tx1"/>
                  </a:solidFill>
                  <a:effectLst/>
                  <a:latin typeface="Cambria Math" panose="02040503050406030204" pitchFamily="18" charset="0"/>
                  <a:ea typeface="+mn-ea"/>
                  <a:cs typeface="+mn-cs"/>
                </a:rPr>
                <a:t>〖𝐻𝑜𝑢𝑟𝑠〗_(𝐷𝐵≤75°𝐹)</a:t>
              </a:r>
              <a:endParaRPr lang="en-US" sz="1050"/>
            </a:p>
          </xdr:txBody>
        </xdr:sp>
      </mc:Fallback>
    </mc:AlternateContent>
    <xdr:clientData/>
  </xdr:oneCellAnchor>
  <xdr:oneCellAnchor>
    <xdr:from>
      <xdr:col>22</xdr:col>
      <xdr:colOff>85726</xdr:colOff>
      <xdr:row>43</xdr:row>
      <xdr:rowOff>800100</xdr:rowOff>
    </xdr:from>
    <xdr:ext cx="1543050" cy="49530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𝑖</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𝑖</m:t>
                                </m:r>
                              </m:sub>
                            </m:sSub>
                          </m:e>
                        </m:nary>
                      </m:den>
                    </m:f>
                    <m:r>
                      <a:rPr lang="en-US" sz="1050" b="0" i="1">
                        <a:solidFill>
                          <a:schemeClr val="tx1"/>
                        </a:solidFill>
                        <a:effectLst/>
                        <a:latin typeface="Cambria Math" panose="02040503050406030204" pitchFamily="18" charset="0"/>
                        <a:ea typeface="+mn-ea"/>
                        <a:cs typeface="+mn-cs"/>
                      </a:rPr>
                      <m:t>,5−9</m:t>
                    </m:r>
                    <m:r>
                      <a:rPr lang="en-US" sz="1050" b="0" i="1">
                        <a:solidFill>
                          <a:schemeClr val="tx1"/>
                        </a:solidFill>
                        <a:effectLst/>
                        <a:latin typeface="Cambria Math" panose="02040503050406030204" pitchFamily="18" charset="0"/>
                        <a:ea typeface="+mn-ea"/>
                        <a:cs typeface="+mn-cs"/>
                      </a:rPr>
                      <m:t>𝑝𝑚</m:t>
                    </m:r>
                  </m:oMath>
                </m:oMathPara>
              </a14:m>
              <a:endParaRPr lang="en-US" sz="1050"/>
            </a:p>
          </xdr:txBody>
        </xdr:sp>
      </mc:Choice>
      <mc:Fallback xmlns="">
        <xdr:sp macro="" textlink="">
          <xdr:nvSpPr>
            <xdr:cNvPr id="8" name="TextBox 7">
              <a:extLst>
                <a:ext uri="{FF2B5EF4-FFF2-40B4-BE49-F238E27FC236}">
                  <a16:creationId xmlns:a16="http://schemas.microsoft.com/office/drawing/2014/main" id="{33DD6BCC-A7F6-4CF9-9A0C-60FD434D77F9}"/>
                </a:ext>
              </a:extLst>
            </xdr:cNvPr>
            <xdr:cNvSpPr txBox="1"/>
          </xdr:nvSpPr>
          <xdr:spPr>
            <a:xfrm>
              <a:off x="4273551" y="13725525"/>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(∑_1^10▒〖〖𝐷𝐵〗_𝑖∗〖𝐻𝑜𝑢𝑟𝑠〗_𝑖 〗)/(∑_1^10▒〖𝐻𝑜𝑢𝑟𝑠〗_𝑖 ),5−9𝑝𝑚</a:t>
              </a:r>
              <a:endParaRPr lang="en-US" sz="1050"/>
            </a:p>
          </xdr:txBody>
        </xdr:sp>
      </mc:Fallback>
    </mc:AlternateContent>
    <xdr:clientData/>
  </xdr:oneCellAnchor>
  <xdr:oneCellAnchor>
    <xdr:from>
      <xdr:col>22</xdr:col>
      <xdr:colOff>85726</xdr:colOff>
      <xdr:row>44</xdr:row>
      <xdr:rowOff>781050</xdr:rowOff>
    </xdr:from>
    <xdr:ext cx="1543050" cy="4953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US" sz="1050" b="0" i="1">
                            <a:solidFill>
                              <a:schemeClr val="tx1"/>
                            </a:solidFill>
                            <a:effectLst/>
                            <a:latin typeface="Cambria Math" panose="02040503050406030204" pitchFamily="18" charset="0"/>
                            <a:ea typeface="+mn-ea"/>
                            <a:cs typeface="+mn-cs"/>
                          </a:rPr>
                        </m:ctrlPr>
                      </m:fPr>
                      <m:num>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𝐷𝐵</m:t>
                                </m:r>
                              </m:e>
                              <m:sub>
                                <m:r>
                                  <a:rPr lang="en-US" sz="1050" b="0" i="1">
                                    <a:solidFill>
                                      <a:schemeClr val="tx1"/>
                                    </a:solidFill>
                                    <a:effectLst/>
                                    <a:latin typeface="Cambria Math" panose="02040503050406030204" pitchFamily="18" charset="0"/>
                                    <a:ea typeface="+mn-ea"/>
                                    <a:cs typeface="+mn-cs"/>
                                  </a:rPr>
                                  <m:t>𝑗</m:t>
                                </m:r>
                              </m:sub>
                            </m:sSub>
                            <m:r>
                              <a:rPr lang="en-US" sz="1050" b="0" i="1">
                                <a:solidFill>
                                  <a:schemeClr val="tx1"/>
                                </a:solidFill>
                                <a:effectLst/>
                                <a:latin typeface="Cambria Math" panose="02040503050406030204" pitchFamily="18" charset="0"/>
                                <a:ea typeface="+mn-ea"/>
                                <a:cs typeface="+mn-cs"/>
                              </a:rPr>
                              <m:t>∗</m:t>
                            </m:r>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num>
                      <m:den>
                        <m:nary>
                          <m:naryPr>
                            <m:chr m:val="∑"/>
                            <m:ctrlPr>
                              <a:rPr lang="en-US" sz="1050" b="0" i="1">
                                <a:solidFill>
                                  <a:schemeClr val="tx1"/>
                                </a:solidFill>
                                <a:effectLst/>
                                <a:latin typeface="Cambria Math" panose="02040503050406030204" pitchFamily="18" charset="0"/>
                                <a:ea typeface="+mn-ea"/>
                                <a:cs typeface="+mn-cs"/>
                              </a:rPr>
                            </m:ctrlPr>
                          </m:naryPr>
                          <m:sub>
                            <m:r>
                              <m:rPr>
                                <m:brk m:alnAt="23"/>
                              </m:rPr>
                              <a:rPr lang="en-US" sz="1050" b="0" i="1">
                                <a:solidFill>
                                  <a:schemeClr val="tx1"/>
                                </a:solidFill>
                                <a:effectLst/>
                                <a:latin typeface="Cambria Math" panose="02040503050406030204" pitchFamily="18" charset="0"/>
                                <a:ea typeface="+mn-ea"/>
                                <a:cs typeface="+mn-cs"/>
                              </a:rPr>
                              <m:t>1</m:t>
                            </m:r>
                          </m:sub>
                          <m:sup>
                            <m:r>
                              <a:rPr lang="en-US" sz="1050" b="0" i="1">
                                <a:solidFill>
                                  <a:schemeClr val="tx1"/>
                                </a:solidFill>
                                <a:effectLst/>
                                <a:latin typeface="Cambria Math" panose="02040503050406030204" pitchFamily="18" charset="0"/>
                                <a:ea typeface="+mn-ea"/>
                                <a:cs typeface="+mn-cs"/>
                              </a:rPr>
                              <m:t>10</m:t>
                            </m:r>
                          </m:sup>
                          <m:e>
                            <m:sSub>
                              <m:sSubPr>
                                <m:ctrlPr>
                                  <a:rPr lang="en-US" sz="1050" b="0" i="1">
                                    <a:solidFill>
                                      <a:schemeClr val="tx1"/>
                                    </a:solidFill>
                                    <a:effectLst/>
                                    <a:latin typeface="Cambria Math" panose="02040503050406030204" pitchFamily="18" charset="0"/>
                                    <a:ea typeface="+mn-ea"/>
                                    <a:cs typeface="+mn-cs"/>
                                  </a:rPr>
                                </m:ctrlPr>
                              </m:sSubPr>
                              <m:e>
                                <m:r>
                                  <a:rPr lang="en-US" sz="1050" b="0" i="1">
                                    <a:solidFill>
                                      <a:schemeClr val="tx1"/>
                                    </a:solidFill>
                                    <a:effectLst/>
                                    <a:latin typeface="Cambria Math" panose="02040503050406030204" pitchFamily="18" charset="0"/>
                                    <a:ea typeface="+mn-ea"/>
                                    <a:cs typeface="+mn-cs"/>
                                  </a:rPr>
                                  <m:t>𝐻𝑜𝑢𝑟𝑠</m:t>
                                </m:r>
                              </m:e>
                              <m:sub>
                                <m:r>
                                  <a:rPr lang="en-US" sz="1050" b="0" i="1">
                                    <a:solidFill>
                                      <a:schemeClr val="tx1"/>
                                    </a:solidFill>
                                    <a:effectLst/>
                                    <a:latin typeface="Cambria Math" panose="02040503050406030204" pitchFamily="18" charset="0"/>
                                    <a:ea typeface="+mn-ea"/>
                                    <a:cs typeface="+mn-cs"/>
                                  </a:rPr>
                                  <m:t>𝑗</m:t>
                                </m:r>
                              </m:sub>
                            </m:sSub>
                          </m:e>
                        </m:nary>
                      </m:den>
                    </m:f>
                  </m:oMath>
                </m:oMathPara>
              </a14:m>
              <a:endParaRPr lang="en-US" sz="1050"/>
            </a:p>
          </xdr:txBody>
        </xdr:sp>
      </mc:Choice>
      <mc:Fallback xmlns="">
        <xdr:sp macro="" textlink="">
          <xdr:nvSpPr>
            <xdr:cNvPr id="9" name="TextBox 8">
              <a:extLst>
                <a:ext uri="{FF2B5EF4-FFF2-40B4-BE49-F238E27FC236}">
                  <a16:creationId xmlns:a16="http://schemas.microsoft.com/office/drawing/2014/main" id="{431C6DC0-CECF-4189-A471-063F0E431FBE}"/>
                </a:ext>
              </a:extLst>
            </xdr:cNvPr>
            <xdr:cNvSpPr txBox="1"/>
          </xdr:nvSpPr>
          <xdr:spPr>
            <a:xfrm>
              <a:off x="4273551" y="15106650"/>
              <a:ext cx="15430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tx1"/>
                  </a:solidFill>
                  <a:effectLst/>
                  <a:latin typeface="Cambria Math" panose="02040503050406030204" pitchFamily="18" charset="0"/>
                  <a:ea typeface="+mn-ea"/>
                  <a:cs typeface="+mn-cs"/>
                </a:rPr>
                <a:t>(∑_1^10▒〖〖𝐷𝐵〗_𝑗∗〖𝐻𝑜𝑢𝑟𝑠〗_𝑗 〗)/(∑_1^10▒〖𝐻𝑜𝑢𝑟𝑠〗_𝑗 )</a:t>
              </a:r>
              <a:endParaRPr lang="en-US" sz="1050"/>
            </a:p>
          </xdr:txBody>
        </xdr:sp>
      </mc:Fallback>
    </mc:AlternateContent>
    <xdr:clientData/>
  </xdr:one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28</xdr:col>
      <xdr:colOff>179070</xdr:colOff>
      <xdr:row>19</xdr:row>
      <xdr:rowOff>140335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cstate="print"/>
        <a:srcRect/>
        <a:stretch>
          <a:fillRect/>
        </a:stretch>
      </xdr:blipFill>
      <xdr:spPr bwMode="auto">
        <a:xfrm>
          <a:off x="190500" y="8046720"/>
          <a:ext cx="5553075" cy="695325"/>
        </a:xfrm>
        <a:prstGeom prst="rect">
          <a:avLst/>
        </a:prstGeom>
        <a:noFill/>
        <a:ln w="9525">
          <a:noFill/>
          <a:miter lim="800000"/>
          <a:headEnd/>
          <a:tailEnd/>
        </a:ln>
      </xdr:spPr>
    </xdr:pic>
    <xdr:clientData/>
  </xdr:twoCellAnchor>
  <xdr:twoCellAnchor editAs="oneCell">
    <xdr:from>
      <xdr:col>1</xdr:col>
      <xdr:colOff>0</xdr:colOff>
      <xdr:row>24</xdr:row>
      <xdr:rowOff>66675</xdr:rowOff>
    </xdr:from>
    <xdr:to>
      <xdr:col>28</xdr:col>
      <xdr:colOff>179070</xdr:colOff>
      <xdr:row>28</xdr:row>
      <xdr:rowOff>26035</xdr:rowOff>
    </xdr:to>
    <xdr:pic>
      <xdr:nvPicPr>
        <xdr:cNvPr id="3" name="Picture 2">
          <a:extLst>
            <a:ext uri="{FF2B5EF4-FFF2-40B4-BE49-F238E27FC236}">
              <a16:creationId xmlns:a16="http://schemas.microsoft.com/office/drawing/2014/main" id="{00000000-0008-0000-3100-000003000000}"/>
            </a:ext>
          </a:extLst>
        </xdr:cNvPr>
        <xdr:cNvPicPr/>
      </xdr:nvPicPr>
      <xdr:blipFill>
        <a:blip xmlns:r="http://schemas.openxmlformats.org/officeDocument/2006/relationships" r:embed="rId2" cstate="print"/>
        <a:srcRect/>
        <a:stretch>
          <a:fillRect/>
        </a:stretch>
      </xdr:blipFill>
      <xdr:spPr bwMode="auto">
        <a:xfrm>
          <a:off x="180975" y="9382125"/>
          <a:ext cx="5065395" cy="683260"/>
        </a:xfrm>
        <a:prstGeom prst="rect">
          <a:avLst/>
        </a:prstGeom>
        <a:noFill/>
        <a:ln w="9525">
          <a:noFill/>
          <a:miter lim="800000"/>
          <a:headEnd/>
          <a:tailEnd/>
        </a:ln>
      </xdr:spPr>
    </xdr:pic>
    <xdr:clientData/>
  </xdr:twoCellAnchor>
  <xdr:twoCellAnchor editAs="oneCell">
    <xdr:from>
      <xdr:col>0</xdr:col>
      <xdr:colOff>161925</xdr:colOff>
      <xdr:row>32</xdr:row>
      <xdr:rowOff>57150</xdr:rowOff>
    </xdr:from>
    <xdr:to>
      <xdr:col>28</xdr:col>
      <xdr:colOff>160020</xdr:colOff>
      <xdr:row>46</xdr:row>
      <xdr:rowOff>154305</xdr:rowOff>
    </xdr:to>
    <xdr:pic>
      <xdr:nvPicPr>
        <xdr:cNvPr id="4" name="Picture 3">
          <a:extLst>
            <a:ext uri="{FF2B5EF4-FFF2-40B4-BE49-F238E27FC236}">
              <a16:creationId xmlns:a16="http://schemas.microsoft.com/office/drawing/2014/main" id="{00000000-0008-0000-3100-000004000000}"/>
            </a:ext>
          </a:extLst>
        </xdr:cNvPr>
        <xdr:cNvPicPr/>
      </xdr:nvPicPr>
      <xdr:blipFill>
        <a:blip xmlns:r="http://schemas.openxmlformats.org/officeDocument/2006/relationships" r:embed="rId3" cstate="print"/>
        <a:srcRect/>
        <a:stretch>
          <a:fillRect/>
        </a:stretch>
      </xdr:blipFill>
      <xdr:spPr bwMode="auto">
        <a:xfrm>
          <a:off x="161925" y="10858500"/>
          <a:ext cx="5065395" cy="2764155"/>
        </a:xfrm>
        <a:prstGeom prst="rect">
          <a:avLst/>
        </a:prstGeom>
        <a:noFill/>
        <a:ln w="9525">
          <a:noFill/>
          <a:miter lim="800000"/>
          <a:headEnd/>
          <a:tailEnd/>
        </a:ln>
      </xdr:spPr>
    </xdr:pic>
    <xdr:clientData/>
  </xdr:twoCellAnchor>
  <xdr:twoCellAnchor editAs="oneCell">
    <xdr:from>
      <xdr:col>0</xdr:col>
      <xdr:colOff>95250</xdr:colOff>
      <xdr:row>52</xdr:row>
      <xdr:rowOff>571</xdr:rowOff>
    </xdr:from>
    <xdr:to>
      <xdr:col>31</xdr:col>
      <xdr:colOff>171450</xdr:colOff>
      <xdr:row>92</xdr:row>
      <xdr:rowOff>156893</xdr:rowOff>
    </xdr:to>
    <xdr:pic>
      <xdr:nvPicPr>
        <xdr:cNvPr id="5" name="Picture 4">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4" cstate="print"/>
        <a:srcRect/>
        <a:stretch>
          <a:fillRect/>
        </a:stretch>
      </xdr:blipFill>
      <xdr:spPr bwMode="auto">
        <a:xfrm>
          <a:off x="95250" y="14611921"/>
          <a:ext cx="5686425" cy="7776322"/>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24</xdr:col>
      <xdr:colOff>10795</xdr:colOff>
      <xdr:row>20</xdr:row>
      <xdr:rowOff>0</xdr:rowOff>
    </xdr:to>
    <xdr:pic>
      <xdr:nvPicPr>
        <xdr:cNvPr id="6" name="Picture 5">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1" cstate="print"/>
        <a:srcRect/>
        <a:stretch>
          <a:fillRect/>
        </a:stretch>
      </xdr:blipFill>
      <xdr:spPr bwMode="auto">
        <a:xfrm>
          <a:off x="190500" y="7498080"/>
          <a:ext cx="4572000" cy="731520"/>
        </a:xfrm>
        <a:prstGeom prst="rect">
          <a:avLst/>
        </a:prstGeom>
        <a:noFill/>
        <a:ln w="9525">
          <a:noFill/>
          <a:miter lim="800000"/>
          <a:headEnd/>
          <a:tailEnd/>
        </a:ln>
      </xdr:spPr>
    </xdr:pic>
    <xdr:clientData/>
  </xdr:twoCellAnchor>
  <xdr:twoCellAnchor editAs="oneCell">
    <xdr:from>
      <xdr:col>0</xdr:col>
      <xdr:colOff>180974</xdr:colOff>
      <xdr:row>23</xdr:row>
      <xdr:rowOff>104775</xdr:rowOff>
    </xdr:from>
    <xdr:to>
      <xdr:col>27</xdr:col>
      <xdr:colOff>12838</xdr:colOff>
      <xdr:row>28</xdr:row>
      <xdr:rowOff>19050</xdr:rowOff>
    </xdr:to>
    <xdr:pic>
      <xdr:nvPicPr>
        <xdr:cNvPr id="7" name="Picture 6">
          <a:extLst>
            <a:ext uri="{FF2B5EF4-FFF2-40B4-BE49-F238E27FC236}">
              <a16:creationId xmlns:a16="http://schemas.microsoft.com/office/drawing/2014/main" id="{00000000-0008-0000-3200-000007000000}"/>
            </a:ext>
          </a:extLst>
        </xdr:cNvPr>
        <xdr:cNvPicPr/>
      </xdr:nvPicPr>
      <xdr:blipFill>
        <a:blip xmlns:r="http://schemas.openxmlformats.org/officeDocument/2006/relationships" r:embed="rId2" cstate="print"/>
        <a:srcRect/>
        <a:stretch>
          <a:fillRect/>
        </a:stretch>
      </xdr:blipFill>
      <xdr:spPr bwMode="auto">
        <a:xfrm>
          <a:off x="180974" y="8086725"/>
          <a:ext cx="4718189" cy="819150"/>
        </a:xfrm>
        <a:prstGeom prst="rect">
          <a:avLst/>
        </a:prstGeom>
        <a:noFill/>
        <a:ln w="9525">
          <a:noFill/>
          <a:miter lim="800000"/>
          <a:headEnd/>
          <a:tailEnd/>
        </a:ln>
      </xdr:spPr>
    </xdr:pic>
    <xdr:clientData/>
  </xdr:twoCellAnchor>
  <xdr:twoCellAnchor editAs="oneCell">
    <xdr:from>
      <xdr:col>0</xdr:col>
      <xdr:colOff>34290</xdr:colOff>
      <xdr:row>40</xdr:row>
      <xdr:rowOff>3810</xdr:rowOff>
    </xdr:from>
    <xdr:to>
      <xdr:col>31</xdr:col>
      <xdr:colOff>144890</xdr:colOff>
      <xdr:row>76</xdr:row>
      <xdr:rowOff>76200</xdr:rowOff>
    </xdr:to>
    <xdr:pic>
      <xdr:nvPicPr>
        <xdr:cNvPr id="8" name="Picture 7">
          <a:extLst>
            <a:ext uri="{FF2B5EF4-FFF2-40B4-BE49-F238E27FC236}">
              <a16:creationId xmlns:a16="http://schemas.microsoft.com/office/drawing/2014/main" id="{00000000-0008-0000-3200-000008000000}"/>
            </a:ext>
          </a:extLst>
        </xdr:cNvPr>
        <xdr:cNvPicPr/>
      </xdr:nvPicPr>
      <xdr:blipFill>
        <a:blip xmlns:r="http://schemas.openxmlformats.org/officeDocument/2006/relationships" r:embed="rId3" cstate="print"/>
        <a:srcRect/>
        <a:stretch>
          <a:fillRect/>
        </a:stretch>
      </xdr:blipFill>
      <xdr:spPr bwMode="auto">
        <a:xfrm>
          <a:off x="34290" y="11309985"/>
          <a:ext cx="5720825" cy="693039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2</xdr:col>
      <xdr:colOff>6351</xdr:colOff>
      <xdr:row>50</xdr:row>
      <xdr:rowOff>123825</xdr:rowOff>
    </xdr:from>
    <xdr:ext cx="1308100" cy="32028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7" name="TextBox 6">
              <a:extLst>
                <a:ext uri="{FF2B5EF4-FFF2-40B4-BE49-F238E27FC236}">
                  <a16:creationId xmlns:a16="http://schemas.microsoft.com/office/drawing/2014/main" id="{2A77C112-ABE7-485B-8C58-81C18E63EB2C}"/>
                </a:ext>
              </a:extLst>
            </xdr:cNvPr>
            <xdr:cNvSpPr txBox="1"/>
          </xdr:nvSpPr>
          <xdr:spPr>
            <a:xfrm>
              <a:off x="387351" y="135921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19049</xdr:colOff>
      <xdr:row>29</xdr:row>
      <xdr:rowOff>19050</xdr:rowOff>
    </xdr:from>
    <xdr:ext cx="3857625" cy="176972"/>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,≤55</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2CE9FAA7-D9AF-46F7-AB3A-AB2EFBF3E17D}"/>
                </a:ext>
              </a:extLst>
            </xdr:cNvPr>
            <xdr:cNvSpPr txBox="1"/>
          </xdr:nvSpPr>
          <xdr:spPr>
            <a:xfrm>
              <a:off x="400049" y="96869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〖𝐸𝐹〗_(𝑏𝑎𝑠𝑒,≤55)=0.960−(0.0003∗𝑉)</a:t>
              </a:r>
              <a:endParaRPr lang="en-US" sz="1100"/>
            </a:p>
          </xdr:txBody>
        </xdr:sp>
      </mc:Fallback>
    </mc:AlternateContent>
    <xdr:clientData/>
  </xdr:oneCellAnchor>
  <xdr:oneCellAnchor>
    <xdr:from>
      <xdr:col>2</xdr:col>
      <xdr:colOff>9525</xdr:colOff>
      <xdr:row>56</xdr:row>
      <xdr:rowOff>0</xdr:rowOff>
    </xdr:from>
    <xdr:ext cx="3914775" cy="1831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9" name="TextBox 8">
              <a:extLst>
                <a:ext uri="{FF2B5EF4-FFF2-40B4-BE49-F238E27FC236}">
                  <a16:creationId xmlns:a16="http://schemas.microsoft.com/office/drawing/2014/main" id="{8956DE17-A6D6-4CE2-AD71-CCB41C9EEC26}"/>
                </a:ext>
              </a:extLst>
            </xdr:cNvPr>
            <xdr:cNvSpPr txBox="1"/>
          </xdr:nvSpPr>
          <xdr:spPr>
            <a:xfrm>
              <a:off x="390525" y="145542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33</xdr:row>
      <xdr:rowOff>19050</xdr:rowOff>
    </xdr:from>
    <xdr:ext cx="3857625" cy="176972"/>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r>
                          <a:rPr lang="en-US" sz="1100" b="0" i="1">
                            <a:solidFill>
                              <a:schemeClr val="tx1"/>
                            </a:solidFill>
                            <a:effectLst/>
                            <a:latin typeface="Cambria Math" panose="02040503050406030204" pitchFamily="18" charset="0"/>
                            <a:ea typeface="+mn-ea"/>
                            <a:cs typeface="+mn-cs"/>
                          </a:rPr>
                          <m:t>,&gt;55</m:t>
                        </m:r>
                      </m:sub>
                    </m:sSub>
                    <m:r>
                      <a:rPr lang="en-US" sz="1100" b="0" i="1">
                        <a:latin typeface="Cambria Math" panose="02040503050406030204" pitchFamily="18" charset="0"/>
                        <a:ea typeface="Cambria Math" panose="02040503050406030204" pitchFamily="18" charset="0"/>
                      </a:rPr>
                      <m:t>=2.057−</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0.00113∗</m:t>
                        </m:r>
                        <m:r>
                          <a:rPr lang="en-US" sz="1100" b="0" i="1">
                            <a:latin typeface="Cambria Math" panose="02040503050406030204" pitchFamily="18" charset="0"/>
                            <a:ea typeface="Cambria Math" panose="02040503050406030204" pitchFamily="18" charset="0"/>
                          </a:rPr>
                          <m:t>𝑉</m:t>
                        </m:r>
                      </m:e>
                    </m:d>
                  </m:oMath>
                </m:oMathPara>
              </a14:m>
              <a:endParaRPr lang="en-US" sz="1100"/>
            </a:p>
          </xdr:txBody>
        </xdr:sp>
      </mc:Choice>
      <mc:Fallback xmlns="">
        <xdr:sp macro="" textlink="">
          <xdr:nvSpPr>
            <xdr:cNvPr id="10" name="TextBox 9">
              <a:extLst>
                <a:ext uri="{FF2B5EF4-FFF2-40B4-BE49-F238E27FC236}">
                  <a16:creationId xmlns:a16="http://schemas.microsoft.com/office/drawing/2014/main" id="{16755D04-7749-4D17-BB73-DB496B2C4B83}"/>
                </a:ext>
              </a:extLst>
            </xdr:cNvPr>
            <xdr:cNvSpPr txBox="1"/>
          </xdr:nvSpPr>
          <xdr:spPr>
            <a:xfrm>
              <a:off x="400049" y="10410825"/>
              <a:ext cx="3857625" cy="176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〖𝐸𝐹〗_(𝑏𝑎𝑠𝑒,&gt;55)</a:t>
              </a:r>
              <a:r>
                <a:rPr lang="en-US" sz="1100" b="0" i="0">
                  <a:latin typeface="Cambria Math" panose="02040503050406030204" pitchFamily="18" charset="0"/>
                  <a:ea typeface="Cambria Math" panose="02040503050406030204" pitchFamily="18" charset="0"/>
                </a:rPr>
                <a:t>=2.057−(0.00113∗𝑉)</a:t>
              </a:r>
              <a:endParaRPr lang="en-US" sz="1100"/>
            </a:p>
          </xdr:txBody>
        </xdr:sp>
      </mc:Fallback>
    </mc:AlternateContent>
    <xdr:clientData/>
  </xdr:oneCellAnchor>
  <xdr:oneCellAnchor>
    <xdr:from>
      <xdr:col>2</xdr:col>
      <xdr:colOff>9525</xdr:colOff>
      <xdr:row>36</xdr:row>
      <xdr:rowOff>95251</xdr:rowOff>
    </xdr:from>
    <xdr:ext cx="5000625" cy="4953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𝐻𝑊</m:t>
                            </m:r>
                          </m:e>
                          <m:sub>
                            <m:r>
                              <a:rPr lang="en-US" sz="1100" b="0" i="1">
                                <a:latin typeface="Cambria Math" panose="02040503050406030204" pitchFamily="18" charset="0"/>
                                <a:ea typeface="Cambria Math" panose="02040503050406030204" pitchFamily="18" charset="0"/>
                              </a:rPr>
                              <m:t>𝑝𝑒𝑟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𝑆𝑞𝐹𝑡</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1" name="TextBox 10">
              <a:extLst>
                <a:ext uri="{FF2B5EF4-FFF2-40B4-BE49-F238E27FC236}">
                  <a16:creationId xmlns:a16="http://schemas.microsoft.com/office/drawing/2014/main" id="{49E4D1E2-17E5-4795-8368-8CCFDBA79A95}"/>
                </a:ext>
              </a:extLst>
            </xdr:cNvPr>
            <xdr:cNvSpPr txBox="1"/>
          </xdr:nvSpPr>
          <xdr:spPr>
            <a:xfrm>
              <a:off x="390525" y="11029951"/>
              <a:ext cx="5000625" cy="495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𝑘𝑊ℎ〗_𝑏𝑎𝑠𝑒=(1/〖𝐸𝐹〗_𝑏𝑎𝑠𝑒 )∗(〖𝐻𝑊〗_(𝑝𝑒𝑟 𝑆𝑞𝐹𝑡)∗𝐴∗𝜌∗𝑐_𝑝∗(𝑇_𝑜𝑢𝑡−𝑇_𝑖𝑛 ))/(3412 𝐵𝑡𝑢/𝑘𝑊ℎ)</a:t>
              </a:r>
              <a:endParaRPr lang="en-US" sz="1100"/>
            </a:p>
          </xdr:txBody>
        </xdr:sp>
      </mc:Fallback>
    </mc:AlternateContent>
    <xdr:clientData/>
  </xdr:oneCellAnchor>
  <xdr:oneCellAnchor>
    <xdr:from>
      <xdr:col>1</xdr:col>
      <xdr:colOff>168275</xdr:colOff>
      <xdr:row>41</xdr:row>
      <xdr:rowOff>139700</xdr:rowOff>
    </xdr:from>
    <xdr:ext cx="5362575" cy="561976"/>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00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𝑘𝑊h</m:t>
                        </m:r>
                      </m:e>
                      <m:sub>
                        <m:r>
                          <a:rPr lang="en-US" sz="1000" b="0" i="1">
                            <a:latin typeface="Cambria Math" panose="02040503050406030204" pitchFamily="18" charset="0"/>
                            <a:ea typeface="Cambria Math" panose="02040503050406030204" pitchFamily="18" charset="0"/>
                          </a:rPr>
                          <m:t>𝐸𝐸</m:t>
                        </m:r>
                      </m:sub>
                    </m:sSub>
                    <m:r>
                      <a:rPr lang="en-US" sz="1000" b="0" i="1">
                        <a:latin typeface="Cambria Math" panose="02040503050406030204" pitchFamily="18" charset="0"/>
                        <a:ea typeface="Cambria Math" panose="02040503050406030204" pitchFamily="18" charset="0"/>
                      </a:rPr>
                      <m:t>=</m:t>
                    </m:r>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r>
                          <a:rPr lang="en-US" sz="1000" b="0" i="1">
                            <a:solidFill>
                              <a:schemeClr val="tx1"/>
                            </a:solidFill>
                            <a:effectLst/>
                            <a:latin typeface="Cambria Math" panose="02040503050406030204" pitchFamily="18" charset="0"/>
                            <a:ea typeface="Cambria Math" panose="02040503050406030204" pitchFamily="18" charset="0"/>
                            <a:cs typeface="+mn-cs"/>
                          </a:rPr>
                          <m:t>1−</m:t>
                        </m:r>
                        <m:r>
                          <a:rPr lang="en-US" sz="1000" b="0" i="1">
                            <a:solidFill>
                              <a:schemeClr val="tx1"/>
                            </a:solidFill>
                            <a:effectLst/>
                            <a:latin typeface="Cambria Math" panose="02040503050406030204" pitchFamily="18" charset="0"/>
                            <a:ea typeface="Cambria Math" panose="02040503050406030204" pitchFamily="18" charset="0"/>
                            <a:cs typeface="+mn-cs"/>
                          </a:rPr>
                          <m:t>𝑆𝐹</m:t>
                        </m:r>
                      </m:e>
                    </m:d>
                    <m:d>
                      <m:dPr>
                        <m:ctrlPr>
                          <a:rPr lang="en-US" sz="1000" b="0" i="1">
                            <a:solidFill>
                              <a:schemeClr val="tx1"/>
                            </a:solidFill>
                            <a:effectLst/>
                            <a:latin typeface="Cambria Math" panose="02040503050406030204" pitchFamily="18" charset="0"/>
                            <a:ea typeface="Cambria Math" panose="02040503050406030204" pitchFamily="18" charset="0"/>
                            <a:cs typeface="+mn-cs"/>
                          </a:rPr>
                        </m:ctrlPr>
                      </m:dPr>
                      <m:e>
                        <m:f>
                          <m:fPr>
                            <m:ctrlPr>
                              <a:rPr lang="en-US" sz="1000" b="0" i="1">
                                <a:solidFill>
                                  <a:schemeClr val="tx1"/>
                                </a:solidFill>
                                <a:effectLst/>
                                <a:latin typeface="Cambria Math" panose="02040503050406030204" pitchFamily="18" charset="0"/>
                                <a:ea typeface="Cambria Math" panose="02040503050406030204" pitchFamily="18" charset="0"/>
                                <a:cs typeface="+mn-cs"/>
                              </a:rPr>
                            </m:ctrlPr>
                          </m:fPr>
                          <m:num>
                            <m:r>
                              <a:rPr lang="en-US" sz="1000" b="0" i="1">
                                <a:solidFill>
                                  <a:schemeClr val="tx1"/>
                                </a:solidFill>
                                <a:effectLst/>
                                <a:latin typeface="Cambria Math" panose="02040503050406030204" pitchFamily="18" charset="0"/>
                                <a:ea typeface="Cambria Math" panose="02040503050406030204" pitchFamily="18" charset="0"/>
                                <a:cs typeface="+mn-cs"/>
                              </a:rPr>
                              <m:t>1</m:t>
                            </m:r>
                          </m:num>
                          <m:den>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𝐸𝐹</m:t>
                                </m:r>
                              </m:e>
                              <m:sub>
                                <m:r>
                                  <a:rPr lang="en-US" sz="1000" b="0" i="1">
                                    <a:solidFill>
                                      <a:schemeClr val="tx1"/>
                                    </a:solidFill>
                                    <a:effectLst/>
                                    <a:latin typeface="Cambria Math" panose="02040503050406030204" pitchFamily="18" charset="0"/>
                                    <a:ea typeface="Cambria Math" panose="02040503050406030204" pitchFamily="18" charset="0"/>
                                    <a:cs typeface="+mn-cs"/>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𝐻𝑊</m:t>
                            </m:r>
                          </m:e>
                          <m:sub>
                            <m:r>
                              <a:rPr lang="en-US" sz="1000" b="0" i="1">
                                <a:latin typeface="Cambria Math" panose="02040503050406030204" pitchFamily="18" charset="0"/>
                                <a:ea typeface="Cambria Math" panose="02040503050406030204" pitchFamily="18" charset="0"/>
                              </a:rPr>
                              <m:t>𝑝𝑒𝑟</m:t>
                            </m:r>
                            <m:r>
                              <a:rPr lang="en-US" sz="1000" b="0" i="1">
                                <a:latin typeface="Cambria Math" panose="02040503050406030204" pitchFamily="18" charset="0"/>
                                <a:ea typeface="Cambria Math" panose="02040503050406030204" pitchFamily="18" charset="0"/>
                              </a:rPr>
                              <m:t> </m:t>
                            </m:r>
                            <m:r>
                              <a:rPr lang="en-US" sz="1000" b="0" i="1">
                                <a:latin typeface="Cambria Math" panose="02040503050406030204" pitchFamily="18" charset="0"/>
                                <a:ea typeface="Cambria Math" panose="02040503050406030204" pitchFamily="18" charset="0"/>
                              </a:rPr>
                              <m:t>𝑆𝑞𝐹𝑡</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𝐴</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𝐻𝑂𝑈</m:t>
                        </m:r>
                      </m:e>
                      <m:sub>
                        <m:r>
                          <a:rPr lang="en-US" sz="1100" b="0" i="1">
                            <a:solidFill>
                              <a:schemeClr val="tx1"/>
                            </a:solidFill>
                            <a:effectLst/>
                            <a:latin typeface="Cambria Math" panose="02040503050406030204" pitchFamily="18" charset="0"/>
                            <a:ea typeface="+mn-ea"/>
                            <a:cs typeface="+mn-cs"/>
                          </a:rPr>
                          <m:t>𝑝𝑢𝑚𝑝</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𝑀</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2D2681F0-F201-4594-B3D0-127AA0285405}"/>
                </a:ext>
              </a:extLst>
            </xdr:cNvPr>
            <xdr:cNvSpPr txBox="1"/>
          </xdr:nvSpPr>
          <xdr:spPr>
            <a:xfrm>
              <a:off x="358775" y="11979275"/>
              <a:ext cx="5362575" cy="5619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000" i="0">
                  <a:latin typeface="Cambria Math" panose="02040503050406030204" pitchFamily="18" charset="0"/>
                  <a:ea typeface="Cambria Math" panose="02040503050406030204" pitchFamily="18" charset="0"/>
                </a:rPr>
                <a:t>〖</a:t>
              </a:r>
              <a:r>
                <a:rPr lang="en-US" sz="1000" b="0" i="0">
                  <a:latin typeface="Cambria Math" panose="02040503050406030204" pitchFamily="18" charset="0"/>
                  <a:ea typeface="Cambria Math" panose="02040503050406030204" pitchFamily="18" charset="0"/>
                </a:rPr>
                <a:t>𝑘𝑊ℎ〗_𝐸𝐸=</a:t>
              </a:r>
              <a:r>
                <a:rPr lang="en-US" sz="1000" b="0" i="0">
                  <a:solidFill>
                    <a:schemeClr val="tx1"/>
                  </a:solidFill>
                  <a:effectLst/>
                  <a:latin typeface="Cambria Math" panose="02040503050406030204" pitchFamily="18" charset="0"/>
                  <a:ea typeface="Cambria Math" panose="02040503050406030204" pitchFamily="18" charset="0"/>
                  <a:cs typeface="+mn-cs"/>
                </a:rPr>
                <a:t>(1−𝑆𝐹)(1/〖𝐸𝐹〗_𝑆𝑊𝐻 )</a:t>
              </a:r>
              <a:r>
                <a:rPr lang="en-US" sz="1000" b="0" i="0">
                  <a:latin typeface="Cambria Math" panose="02040503050406030204" pitchFamily="18" charset="0"/>
                  <a:ea typeface="Cambria Math" panose="02040503050406030204" pitchFamily="18" charset="0"/>
                </a:rPr>
                <a:t>∗(〖𝐻𝑊〗_(𝑝𝑒𝑟 𝑆𝑞𝐹𝑡)∗𝐴∗𝜌∗𝑐_𝑝∗(𝑇_𝑜𝑢𝑡−𝑇_𝑖𝑛 ))/(3412 𝐵𝑡𝑢/𝑘𝑊ℎ)</a:t>
              </a:r>
              <a:r>
                <a:rPr lang="en-US" sz="1100" b="0" i="0">
                  <a:solidFill>
                    <a:schemeClr val="tx1"/>
                  </a:solidFill>
                  <a:effectLst/>
                  <a:latin typeface="Cambria Math" panose="02040503050406030204" pitchFamily="18" charset="0"/>
                  <a:ea typeface="+mn-ea"/>
                  <a:cs typeface="+mn-cs"/>
                </a:rPr>
                <a:t>+〖(𝑘𝑊〗_𝑝𝑢𝑚𝑝∗〖𝐻𝑂𝑈〗_𝑝𝑢𝑚𝑝)∗𝑀</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180974</xdr:colOff>
      <xdr:row>47</xdr:row>
      <xdr:rowOff>6350</xdr:rowOff>
    </xdr:from>
    <xdr:ext cx="3848101" cy="20955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7BA3F3F9-B2BD-4AFA-B8A9-574616918526}"/>
                </a:ext>
              </a:extLst>
            </xdr:cNvPr>
            <xdr:cNvSpPr txBox="1"/>
          </xdr:nvSpPr>
          <xdr:spPr>
            <a:xfrm>
              <a:off x="371474" y="12931775"/>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oneCellAnchor>
    <xdr:from>
      <xdr:col>2</xdr:col>
      <xdr:colOff>17453</xdr:colOff>
      <xdr:row>35</xdr:row>
      <xdr:rowOff>30826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1F585431-1A81-4085-8833-709CB7379696}"/>
                </a:ext>
              </a:extLst>
            </xdr:cNvPr>
            <xdr:cNvSpPr txBox="1"/>
          </xdr:nvSpPr>
          <xdr:spPr>
            <a:xfrm>
              <a:off x="379403" y="96891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3CDC0E90-3BFD-45EF-A803-DAED5C64F7AA}"/>
                </a:ext>
              </a:extLst>
            </xdr:cNvPr>
            <xdr:cNvSpPr txBox="1"/>
          </xdr:nvSpPr>
          <xdr:spPr>
            <a:xfrm>
              <a:off x="380462" y="10601326"/>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19049</xdr:colOff>
      <xdr:row>29</xdr:row>
      <xdr:rowOff>0</xdr:rowOff>
    </xdr:from>
    <xdr:ext cx="4429125" cy="57479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𝐻𝑊</m:t>
                            </m:r>
                          </m:e>
                          <m:sub>
                            <m:r>
                              <a:rPr lang="en-US" sz="1100" b="0" i="1">
                                <a:solidFill>
                                  <a:schemeClr val="tx1"/>
                                </a:solidFill>
                                <a:effectLst/>
                                <a:latin typeface="Cambria Math" panose="02040503050406030204" pitchFamily="18" charset="0"/>
                                <a:ea typeface="+mn-ea"/>
                                <a:cs typeface="+mn-cs"/>
                              </a:rPr>
                              <m:t>𝑝𝑒𝑟</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𝑆𝑞𝐹𝑡</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𝐴</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4" name="TextBox 3">
              <a:extLst>
                <a:ext uri="{FF2B5EF4-FFF2-40B4-BE49-F238E27FC236}">
                  <a16:creationId xmlns:a16="http://schemas.microsoft.com/office/drawing/2014/main" id="{AB262149-8EB8-409B-B4B9-94082605C63D}"/>
                </a:ext>
              </a:extLst>
            </xdr:cNvPr>
            <xdr:cNvSpPr txBox="1"/>
          </xdr:nvSpPr>
          <xdr:spPr>
            <a:xfrm>
              <a:off x="380999" y="8515350"/>
              <a:ext cx="4429125" cy="5747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=(1/〖𝑈𝐸𝐹〗_𝑏𝑎𝑠𝑒 −</a:t>
              </a:r>
              <a:r>
                <a:rPr lang="en-US" sz="1100" b="0" i="0">
                  <a:solidFill>
                    <a:schemeClr val="tx1"/>
                  </a:solidFill>
                  <a:effectLst/>
                  <a:latin typeface="Cambria Math" panose="02040503050406030204" pitchFamily="18" charset="0"/>
                  <a:ea typeface="+mn-ea"/>
                  <a:cs typeface="+mn-cs"/>
                </a:rPr>
                <a:t>1/〖𝑈𝐸𝐹〗_𝐸𝑓𝑓 )</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〖𝐻𝑊〗_(𝑝𝑒𝑟 𝑆𝑞𝐹𝑡)∗𝐴</a:t>
              </a:r>
              <a:r>
                <a:rPr lang="en-US" sz="1100" b="0" i="0">
                  <a:latin typeface="Cambria Math" panose="02040503050406030204" pitchFamily="18" charset="0"/>
                  <a:ea typeface="Cambria Math" panose="02040503050406030204" pitchFamily="18" charset="0"/>
                </a:rPr>
                <a:t>∗𝜌∗𝑐_𝑝∗(𝑇_𝑜𝑢𝑡−𝑇_𝑖𝑛 ))/(3412 𝐵𝑡𝑢/𝑘𝑊ℎ)</a:t>
              </a:r>
              <a:endParaRPr lang="en-US" sz="1100"/>
            </a:p>
          </xdr:txBody>
        </xdr:sp>
      </mc:Fallback>
    </mc:AlternateContent>
    <xdr:clientData/>
  </xdr:oneCellAnchor>
  <xdr:twoCellAnchor>
    <xdr:from>
      <xdr:col>0</xdr:col>
      <xdr:colOff>0</xdr:colOff>
      <xdr:row>65</xdr:row>
      <xdr:rowOff>190499</xdr:rowOff>
    </xdr:from>
    <xdr:to>
      <xdr:col>31</xdr:col>
      <xdr:colOff>66675</xdr:colOff>
      <xdr:row>75</xdr:row>
      <xdr:rowOff>142874</xdr:rowOff>
    </xdr:to>
    <xdr:grpSp>
      <xdr:nvGrpSpPr>
        <xdr:cNvPr id="5" name="Group 4">
          <a:extLst>
            <a:ext uri="{FF2B5EF4-FFF2-40B4-BE49-F238E27FC236}">
              <a16:creationId xmlns:a16="http://schemas.microsoft.com/office/drawing/2014/main" id="{4EB251F2-BC91-4467-8BD1-9DCE66FC163A}"/>
            </a:ext>
          </a:extLst>
        </xdr:cNvPr>
        <xdr:cNvGrpSpPr/>
      </xdr:nvGrpSpPr>
      <xdr:grpSpPr>
        <a:xfrm>
          <a:off x="0" y="24444959"/>
          <a:ext cx="5735955" cy="1788795"/>
          <a:chOff x="9353550" y="6762750"/>
          <a:chExt cx="5891530" cy="1772522"/>
        </a:xfrm>
      </xdr:grpSpPr>
      <xdr:pic>
        <xdr:nvPicPr>
          <xdr:cNvPr id="6" name="Picture 5">
            <a:extLst>
              <a:ext uri="{FF2B5EF4-FFF2-40B4-BE49-F238E27FC236}">
                <a16:creationId xmlns:a16="http://schemas.microsoft.com/office/drawing/2014/main" id="{62577789-9E67-401F-8327-7670A8085350}"/>
              </a:ext>
            </a:extLst>
          </xdr:cNvPr>
          <xdr:cNvPicPr>
            <a:picLocks noChangeAspect="1"/>
          </xdr:cNvPicPr>
        </xdr:nvPicPr>
        <xdr:blipFill rotWithShape="1">
          <a:blip xmlns:r="http://schemas.openxmlformats.org/officeDocument/2006/relationships" r:embed="rId1"/>
          <a:srcRect b="87471"/>
          <a:stretch/>
        </xdr:blipFill>
        <xdr:spPr>
          <a:xfrm>
            <a:off x="9353550" y="6762750"/>
            <a:ext cx="5891530" cy="466725"/>
          </a:xfrm>
          <a:prstGeom prst="rect">
            <a:avLst/>
          </a:prstGeom>
        </xdr:spPr>
      </xdr:pic>
      <xdr:pic>
        <xdr:nvPicPr>
          <xdr:cNvPr id="7" name="Picture 6">
            <a:extLst>
              <a:ext uri="{FF2B5EF4-FFF2-40B4-BE49-F238E27FC236}">
                <a16:creationId xmlns:a16="http://schemas.microsoft.com/office/drawing/2014/main" id="{31016CA8-186F-48B9-89FD-0E70F5DF3231}"/>
              </a:ext>
            </a:extLst>
          </xdr:cNvPr>
          <xdr:cNvPicPr>
            <a:picLocks noChangeAspect="1"/>
          </xdr:cNvPicPr>
        </xdr:nvPicPr>
        <xdr:blipFill rotWithShape="1">
          <a:blip xmlns:r="http://schemas.openxmlformats.org/officeDocument/2006/relationships" r:embed="rId1"/>
          <a:srcRect t="64691"/>
          <a:stretch/>
        </xdr:blipFill>
        <xdr:spPr>
          <a:xfrm>
            <a:off x="9353550" y="7219950"/>
            <a:ext cx="5891530" cy="1315322"/>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oneCellAnchor>
    <xdr:from>
      <xdr:col>1</xdr:col>
      <xdr:colOff>76201</xdr:colOff>
      <xdr:row>55</xdr:row>
      <xdr:rowOff>28576</xdr:rowOff>
    </xdr:from>
    <xdr:ext cx="5143500" cy="5715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90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𝑘𝑊h</m:t>
                    </m:r>
                    <m:r>
                      <a:rPr lang="en-US" sz="900" b="0" i="1">
                        <a:solidFill>
                          <a:sysClr val="windowText" lastClr="000000"/>
                        </a:solidFill>
                        <a:latin typeface="Cambria Math" panose="02040503050406030204" pitchFamily="18" charset="0"/>
                        <a:ea typeface="Cambria Math" panose="02040503050406030204" pitchFamily="18" charset="0"/>
                      </a:rPr>
                      <m:t>=</m:t>
                    </m:r>
                    <m:r>
                      <a:rPr lang="en-US" sz="900" b="0" i="1">
                        <a:solidFill>
                          <a:sysClr val="windowText" lastClr="000000"/>
                        </a:solidFill>
                        <a:latin typeface="Cambria Math" panose="02040503050406030204" pitchFamily="18" charset="0"/>
                        <a:ea typeface="Cambria Math" panose="02040503050406030204" pitchFamily="18" charset="0"/>
                      </a:rPr>
                      <m:t>𝐶𝐴𝑃</m:t>
                    </m:r>
                    <m:r>
                      <a:rPr lang="en-US" sz="900" b="0" i="1">
                        <a:solidFill>
                          <a:sysClr val="windowText" lastClr="000000"/>
                        </a:solidFill>
                        <a:latin typeface="Cambria Math" panose="02040503050406030204" pitchFamily="18" charset="0"/>
                        <a:ea typeface="Cambria Math" panose="02040503050406030204" pitchFamily="18" charset="0"/>
                      </a:rPr>
                      <m:t>∗ </m:t>
                    </m:r>
                    <m:r>
                      <a:rPr lang="en-US" sz="900" b="0" i="1">
                        <a:solidFill>
                          <a:sysClr val="windowText" lastClr="000000"/>
                        </a:solidFill>
                        <a:effectLst/>
                        <a:latin typeface="Cambria Math" panose="02040503050406030204" pitchFamily="18" charset="0"/>
                        <a:ea typeface="+mn-ea"/>
                        <a:cs typeface="+mn-cs"/>
                      </a:rPr>
                      <m:t>𝐶𝑌𝐶𝐿𝐸𝑆</m:t>
                    </m:r>
                    <m:r>
                      <a:rPr lang="en-US" sz="900" b="0" i="1">
                        <a:solidFill>
                          <a:sysClr val="windowText" lastClr="000000"/>
                        </a:solidFill>
                        <a:effectLst/>
                        <a:latin typeface="Cambria Math" panose="02040503050406030204" pitchFamily="18" charset="0"/>
                        <a:ea typeface="+mn-ea"/>
                        <a:cs typeface="+mn-cs"/>
                      </a:rPr>
                      <m:t> ∗ </m:t>
                    </m:r>
                  </m:oMath>
                </m:oMathPara>
              </a14:m>
              <a:endParaRPr lang="en-US" sz="900" b="0" i="1">
                <a:solidFill>
                  <a:sysClr val="windowText" lastClr="000000"/>
                </a:solidFill>
                <a:latin typeface="Cambria Math" panose="02040503050406030204" pitchFamily="18" charset="0"/>
                <a:ea typeface="Cambria Math" panose="02040503050406030204" pitchFamily="18" charset="0"/>
              </a:endParaRPr>
            </a:p>
            <a:p>
              <a:pPr/>
              <a14:m>
                <m:oMathPara xmlns:m="http://schemas.openxmlformats.org/officeDocument/2006/math">
                  <m:oMathParaPr>
                    <m:jc m:val="left"/>
                  </m:oMathParaPr>
                  <m:oMath xmlns:m="http://schemas.openxmlformats.org/officeDocument/2006/math">
                    <m:r>
                      <a:rPr lang="en-US" sz="900" b="0" i="1">
                        <a:solidFill>
                          <a:sysClr val="windowText" lastClr="000000"/>
                        </a:solidFill>
                        <a:latin typeface="Cambria Math" panose="02040503050406030204" pitchFamily="18" charset="0"/>
                        <a:ea typeface="Cambria Math" panose="02040503050406030204" pitchFamily="18" charset="0"/>
                      </a:rPr>
                      <m:t>        </m:t>
                    </m:r>
                    <m:d>
                      <m:dPr>
                        <m:begChr m:val="{"/>
                        <m:endChr m:val="}"/>
                        <m:ctrlPr>
                          <a:rPr lang="en-US" sz="900" b="0" i="1">
                            <a:solidFill>
                              <a:sysClr val="windowText" lastClr="000000"/>
                            </a:solidFill>
                            <a:latin typeface="Cambria Math" panose="02040503050406030204" pitchFamily="18" charset="0"/>
                            <a:ea typeface="Cambria Math" panose="02040503050406030204" pitchFamily="18" charset="0"/>
                          </a:rPr>
                        </m:ctrlPr>
                      </m:dPr>
                      <m:e>
                        <m:eqArr>
                          <m:eqArrPr>
                            <m:ctrlPr>
                              <a:rPr lang="en-US" sz="900" b="0" i="1">
                                <a:solidFill>
                                  <a:sysClr val="windowText" lastClr="000000"/>
                                </a:solidFill>
                                <a:effectLst/>
                                <a:latin typeface="Cambria Math" panose="02040503050406030204" pitchFamily="18" charset="0"/>
                                <a:ea typeface="+mn-ea"/>
                                <a:cs typeface="+mn-cs"/>
                              </a:rPr>
                            </m:ctrlPr>
                          </m:eqArrPr>
                          <m:e>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𝑏𝑎𝑠𝑒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𝑏𝑎𝑠𝑒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f>
                                  <m:fPr>
                                    <m:type m:val="lin"/>
                                    <m:ctrlPr>
                                      <a:rPr lang="en-US" sz="900" b="0" i="1">
                                        <a:solidFill>
                                          <a:sysClr val="windowText" lastClr="000000"/>
                                        </a:solidFill>
                                        <a:effectLst/>
                                        <a:latin typeface="Cambria Math" panose="02040503050406030204" pitchFamily="18" charset="0"/>
                                        <a:ea typeface="+mn-ea"/>
                                        <a:cs typeface="+mn-cs"/>
                                      </a:rPr>
                                    </m:ctrlPr>
                                  </m:fPr>
                                  <m:num>
                                    <m:r>
                                      <a:rPr lang="en-US" sz="900" b="0" i="1">
                                        <a:solidFill>
                                          <a:sysClr val="windowText" lastClr="000000"/>
                                        </a:solidFill>
                                        <a:effectLst/>
                                        <a:latin typeface="Cambria Math" panose="02040503050406030204" pitchFamily="18" charset="0"/>
                                        <a:ea typeface="+mn-ea"/>
                                        <a:cs typeface="+mn-cs"/>
                                      </a:rPr>
                                      <m:t>1</m:t>
                                    </m:r>
                                  </m:num>
                                  <m:den>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𝐼𝑀𝐸𝐹</m:t>
                                        </m:r>
                                      </m:e>
                                      <m:sub>
                                        <m:r>
                                          <a:rPr lang="en-US" sz="900" b="0" i="1">
                                            <a:solidFill>
                                              <a:sysClr val="windowText" lastClr="000000"/>
                                            </a:solidFill>
                                            <a:effectLst/>
                                            <a:latin typeface="Cambria Math" panose="02040503050406030204" pitchFamily="18" charset="0"/>
                                            <a:ea typeface="+mn-ea"/>
                                            <a:cs typeface="+mn-cs"/>
                                          </a:rPr>
                                          <m:t>h𝑒</m:t>
                                        </m:r>
                                      </m:sub>
                                    </m:sSub>
                                  </m:den>
                                </m:f>
                              </m:e>
                            </m:d>
                            <m:r>
                              <a:rPr lang="en-US" sz="900" b="0" i="1">
                                <a:solidFill>
                                  <a:sysClr val="windowText" lastClr="000000"/>
                                </a:solidFill>
                                <a:effectLst/>
                                <a:latin typeface="Cambria Math" panose="02040503050406030204" pitchFamily="18" charset="0"/>
                                <a:ea typeface="+mn-ea"/>
                                <a:cs typeface="+mn-cs"/>
                              </a:rPr>
                              <m:t>∗</m:t>
                            </m:r>
                            <m:d>
                              <m:dPr>
                                <m:begChr m:val="["/>
                                <m:endChr m:val="]"/>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𝑤𝑎𝑠h</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h𝑒𝑎𝑡</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𝐻𝐸𝐴𝑇𝐸𝑅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r>
                                  <a:rPr lang="en-US" sz="900" b="0" i="1">
                                    <a:solidFill>
                                      <a:sysClr val="windowText" lastClr="000000"/>
                                    </a:solidFill>
                                    <a:effectLst/>
                                    <a:latin typeface="Cambria Math" panose="02040503050406030204" pitchFamily="18" charset="0"/>
                                    <a:ea typeface="+mn-ea"/>
                                    <a:cs typeface="+mn-cs"/>
                                  </a:rPr>
                                  <m:t>+</m:t>
                                </m:r>
                                <m:d>
                                  <m:dPr>
                                    <m:ctrlPr>
                                      <a:rPr lang="en-US" sz="900" b="0" i="1">
                                        <a:solidFill>
                                          <a:sysClr val="windowText" lastClr="000000"/>
                                        </a:solidFill>
                                        <a:effectLst/>
                                        <a:latin typeface="Cambria Math" panose="02040503050406030204" pitchFamily="18" charset="0"/>
                                        <a:ea typeface="+mn-ea"/>
                                        <a:cs typeface="+mn-cs"/>
                                      </a:rPr>
                                    </m:ctrlPr>
                                  </m:dPr>
                                  <m:e>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𝐸</m:t>
                                        </m:r>
                                      </m:e>
                                      <m:sub>
                                        <m:r>
                                          <a:rPr lang="en-US" sz="900" b="0" i="1">
                                            <a:solidFill>
                                              <a:sysClr val="windowText" lastClr="000000"/>
                                            </a:solidFill>
                                            <a:effectLst/>
                                            <a:latin typeface="Cambria Math" panose="02040503050406030204" pitchFamily="18" charset="0"/>
                                            <a:ea typeface="+mn-ea"/>
                                            <a:cs typeface="+mn-cs"/>
                                          </a:rPr>
                                          <m:t>𝑑𝑟𝑦</m:t>
                                        </m:r>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h𝑒</m:t>
                                        </m:r>
                                      </m:sub>
                                    </m:sSub>
                                    <m:r>
                                      <a:rPr lang="en-US" sz="900" b="0" i="1">
                                        <a:solidFill>
                                          <a:sysClr val="windowText" lastClr="000000"/>
                                        </a:solidFill>
                                        <a:effectLst/>
                                        <a:latin typeface="Cambria Math" panose="02040503050406030204" pitchFamily="18" charset="0"/>
                                        <a:ea typeface="+mn-ea"/>
                                        <a:cs typeface="+mn-cs"/>
                                      </a:rPr>
                                      <m:t>∗</m:t>
                                    </m:r>
                                    <m:sSub>
                                      <m:sSubPr>
                                        <m:ctrlPr>
                                          <a:rPr lang="en-US" sz="900" b="0" i="1">
                                            <a:solidFill>
                                              <a:sysClr val="windowText" lastClr="000000"/>
                                            </a:solidFill>
                                            <a:effectLst/>
                                            <a:latin typeface="Cambria Math" panose="02040503050406030204" pitchFamily="18" charset="0"/>
                                            <a:ea typeface="+mn-ea"/>
                                            <a:cs typeface="+mn-cs"/>
                                          </a:rPr>
                                        </m:ctrlPr>
                                      </m:sSubPr>
                                      <m:e>
                                        <m:r>
                                          <a:rPr lang="en-US" sz="900" b="0" i="1">
                                            <a:solidFill>
                                              <a:sysClr val="windowText" lastClr="000000"/>
                                            </a:solidFill>
                                            <a:effectLst/>
                                            <a:latin typeface="Cambria Math" panose="02040503050406030204" pitchFamily="18" charset="0"/>
                                            <a:ea typeface="+mn-ea"/>
                                            <a:cs typeface="+mn-cs"/>
                                          </a:rPr>
                                          <m:t>%</m:t>
                                        </m:r>
                                        <m:r>
                                          <a:rPr lang="en-US" sz="900" b="0" i="1">
                                            <a:solidFill>
                                              <a:sysClr val="windowText" lastClr="000000"/>
                                            </a:solidFill>
                                            <a:effectLst/>
                                            <a:latin typeface="Cambria Math" panose="02040503050406030204" pitchFamily="18" charset="0"/>
                                            <a:ea typeface="+mn-ea"/>
                                            <a:cs typeface="+mn-cs"/>
                                          </a:rPr>
                                          <m:t>𝐷𝑅𝑌𝐸𝑅</m:t>
                                        </m:r>
                                      </m:e>
                                      <m:sub>
                                        <m:r>
                                          <a:rPr lang="en-US" sz="900" b="0" i="1">
                                            <a:solidFill>
                                              <a:sysClr val="windowText" lastClr="000000"/>
                                            </a:solidFill>
                                            <a:effectLst/>
                                            <a:latin typeface="Cambria Math" panose="02040503050406030204" pitchFamily="18" charset="0"/>
                                            <a:ea typeface="+mn-ea"/>
                                            <a:cs typeface="+mn-cs"/>
                                          </a:rPr>
                                          <m:t>𝑒𝑙𝑒𝑐𝑡𝑟𝑖𝑐</m:t>
                                        </m:r>
                                      </m:sub>
                                    </m:sSub>
                                  </m:e>
                                </m:d>
                              </m:e>
                            </m:d>
                          </m:e>
                        </m:eqArr>
                      </m:e>
                    </m:d>
                  </m:oMath>
                </m:oMathPara>
              </a14:m>
              <a:endParaRPr lang="en-US" sz="9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F2406B8-AF5F-4115-9BBD-291CF59A7B58}"/>
                </a:ext>
              </a:extLst>
            </xdr:cNvPr>
            <xdr:cNvSpPr txBox="1"/>
          </xdr:nvSpPr>
          <xdr:spPr>
            <a:xfrm>
              <a:off x="257176" y="17821276"/>
              <a:ext cx="5143500" cy="571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900" i="0">
                  <a:solidFill>
                    <a:sysClr val="windowText" lastClr="000000"/>
                  </a:solidFill>
                  <a:latin typeface="Cambria Math" panose="02040503050406030204" pitchFamily="18" charset="0"/>
                  <a:ea typeface="Cambria Math" panose="02040503050406030204" pitchFamily="18" charset="0"/>
                </a:rPr>
                <a:t>∆</a:t>
              </a:r>
              <a:r>
                <a:rPr lang="en-US" sz="900" b="0" i="0">
                  <a:solidFill>
                    <a:sysClr val="windowText" lastClr="000000"/>
                  </a:solidFill>
                  <a:latin typeface="Cambria Math" panose="02040503050406030204" pitchFamily="18" charset="0"/>
                  <a:ea typeface="Cambria Math" panose="02040503050406030204" pitchFamily="18" charset="0"/>
                </a:rPr>
                <a:t>𝑘𝑊ℎ=𝐶𝐴𝑃∗ </a:t>
              </a:r>
              <a:r>
                <a:rPr lang="en-US" sz="900" b="0" i="0">
                  <a:solidFill>
                    <a:sysClr val="windowText" lastClr="000000"/>
                  </a:solidFill>
                  <a:effectLst/>
                  <a:latin typeface="Cambria Math" panose="02040503050406030204" pitchFamily="18" charset="0"/>
                  <a:ea typeface="+mn-ea"/>
                  <a:cs typeface="+mn-cs"/>
                </a:rPr>
                <a:t>𝐶𝑌𝐶𝐿𝐸𝑆 ∗ </a:t>
              </a:r>
              <a:endParaRPr lang="en-US" sz="900" b="0" i="1">
                <a:solidFill>
                  <a:sysClr val="windowText" lastClr="000000"/>
                </a:solidFill>
                <a:latin typeface="Cambria Math" panose="02040503050406030204" pitchFamily="18" charset="0"/>
                <a:ea typeface="Cambria Math" panose="02040503050406030204" pitchFamily="18" charset="0"/>
              </a:endParaRPr>
            </a:p>
            <a:p>
              <a:pPr/>
              <a:r>
                <a:rPr lang="en-US" sz="900" b="0" i="0">
                  <a:solidFill>
                    <a:sysClr val="windowText" lastClr="000000"/>
                  </a:solidFill>
                  <a:latin typeface="Cambria Math" panose="02040503050406030204" pitchFamily="18" charset="0"/>
                  <a:ea typeface="Cambria Math" panose="02040503050406030204" pitchFamily="18" charset="0"/>
                </a:rPr>
                <a:t>        {</a:t>
              </a:r>
              <a:r>
                <a:rPr lang="en-US" sz="900" b="0" i="0">
                  <a:solidFill>
                    <a:sysClr val="windowText" lastClr="000000"/>
                  </a:solidFill>
                  <a:effectLst/>
                  <a:latin typeface="Cambria Math" panose="02040503050406030204" pitchFamily="18" charset="0"/>
                  <a:ea typeface="+mn-ea"/>
                  <a:cs typeface="+mn-cs"/>
                </a:rPr>
                <a:t>█((1∕〖𝐼𝑀𝐸𝐹〗_𝑏𝑎𝑠𝑒 )∗[〖%𝐸〗_(𝑤𝑎𝑠ℎ,𝑏𝑎𝑠𝑒)+(〖%𝐸〗_(ℎ𝑒𝑎𝑡,𝑏𝑎𝑠𝑒)∗〖%𝐻𝐸𝐴𝑇𝐸𝑅〗_𝑒𝑙𝑒𝑐𝑡𝑟𝑖𝑐 )+(〖%𝐸〗_(𝑑𝑟𝑦,𝑏𝑎𝑠𝑒)∗〖%𝐷𝑅𝑌𝐸𝑅〗_𝑒𝑙𝑒𝑐𝑡𝑟𝑖𝑐 )]@−(1∕〖𝐼𝑀𝐸𝐹〗_ℎ𝑒 )∗[〖%𝐸〗_(𝑤𝑎𝑠ℎ,ℎ𝑒)+(〖%𝐸〗_(ℎ𝑒𝑎𝑡,ℎ𝑒)∗〖%𝐻𝐸𝐴𝑇𝐸𝑅〗_𝑒𝑙𝑒𝑐𝑡𝑟𝑖𝑐 )+(〖%𝐸〗_(𝑑𝑟𝑦,ℎ𝑒)∗〖%𝐷𝑅𝑌𝐸𝑅〗_𝑒𝑙𝑒𝑐𝑡𝑟𝑖𝑐 )] )}</a:t>
              </a:r>
              <a:endParaRPr lang="en-US" sz="9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59</xdr:row>
      <xdr:rowOff>19051</xdr:rowOff>
    </xdr:from>
    <xdr:ext cx="1943100" cy="1905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84E26AC7-3F3C-44C2-AA16-DED061DA0417}"/>
                </a:ext>
              </a:extLst>
            </xdr:cNvPr>
            <xdr:cNvSpPr txBox="1"/>
          </xdr:nvSpPr>
          <xdr:spPr>
            <a:xfrm>
              <a:off x="257176" y="18926176"/>
              <a:ext cx="1943100" cy="1905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𝑘𝑊ℎ∗𝐶𝐹/𝐸𝐹𝐿𝐻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76200</xdr:colOff>
      <xdr:row>63</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50C5D68-1F3C-47B6-B650-A4AF79C58E25}"/>
                </a:ext>
              </a:extLst>
            </xdr:cNvPr>
            <xdr:cNvSpPr txBox="1"/>
          </xdr:nvSpPr>
          <xdr:spPr>
            <a:xfrm>
              <a:off x="257175" y="197072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2</xdr:col>
      <xdr:colOff>8601</xdr:colOff>
      <xdr:row>44</xdr:row>
      <xdr:rowOff>11776</xdr:rowOff>
    </xdr:from>
    <xdr:ext cx="1308100" cy="3202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2B36B53-D640-4B26-A148-BC9D1FA315B7}"/>
                </a:ext>
              </a:extLst>
            </xdr:cNvPr>
            <xdr:cNvSpPr txBox="1"/>
          </xdr:nvSpPr>
          <xdr:spPr>
            <a:xfrm>
              <a:off x="370551" y="88605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D2B36B53-D640-4B26-A148-BC9D1FA315B7}"/>
                </a:ext>
              </a:extLst>
            </xdr:cNvPr>
            <xdr:cNvSpPr txBox="1"/>
          </xdr:nvSpPr>
          <xdr:spPr>
            <a:xfrm>
              <a:off x="370551" y="88605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49</xdr:row>
      <xdr:rowOff>7793</xdr:rowOff>
    </xdr:from>
    <xdr:ext cx="3914775"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9A36258-E2A3-40B7-BD41-21FDB2AD30EB}"/>
                </a:ext>
              </a:extLst>
            </xdr:cNvPr>
            <xdr:cNvSpPr txBox="1"/>
          </xdr:nvSpPr>
          <xdr:spPr>
            <a:xfrm>
              <a:off x="399992" y="98090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B9A36258-E2A3-40B7-BD41-21FDB2AD30EB}"/>
                </a:ext>
              </a:extLst>
            </xdr:cNvPr>
            <xdr:cNvSpPr txBox="1"/>
          </xdr:nvSpPr>
          <xdr:spPr>
            <a:xfrm>
              <a:off x="399992" y="98090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37638</xdr:colOff>
      <xdr:row>39</xdr:row>
      <xdr:rowOff>224732</xdr:rowOff>
    </xdr:from>
    <xdr:ext cx="3848101" cy="20955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F2A4468-FE52-4E7E-8E87-D6E202B36F1C}"/>
                </a:ext>
              </a:extLst>
            </xdr:cNvPr>
            <xdr:cNvSpPr txBox="1"/>
          </xdr:nvSpPr>
          <xdr:spPr>
            <a:xfrm>
              <a:off x="399588" y="80828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0F2A4468-FE52-4E7E-8E87-D6E202B36F1C}"/>
                </a:ext>
              </a:extLst>
            </xdr:cNvPr>
            <xdr:cNvSpPr txBox="1"/>
          </xdr:nvSpPr>
          <xdr:spPr>
            <a:xfrm>
              <a:off x="399588" y="80828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63500</xdr:colOff>
      <xdr:row>28</xdr:row>
      <xdr:rowOff>19050</xdr:rowOff>
    </xdr:from>
    <xdr:ext cx="2286000" cy="5143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F8687FAE-271F-49F8-8A14-3987ABD62827}"/>
                </a:ext>
              </a:extLst>
            </xdr:cNvPr>
            <xdr:cNvSpPr txBox="1"/>
          </xdr:nvSpPr>
          <xdr:spPr>
            <a:xfrm>
              <a:off x="425450" y="58197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𝐿𝑂𝐴𝐷</m:t>
                        </m:r>
                      </m:num>
                      <m:den>
                        <m:r>
                          <a:rPr lang="en-US" sz="1100" b="0" i="1">
                            <a:latin typeface="Cambria Math" panose="02040503050406030204" pitchFamily="18" charset="0"/>
                            <a:ea typeface="Cambria Math" panose="02040503050406030204" pitchFamily="18" charset="0"/>
                          </a:rPr>
                          <m:t>𝐶𝐸𝐹</m:t>
                        </m:r>
                        <m:r>
                          <a:rPr lang="en-US" sz="1100" b="0" i="1" baseline="-25000">
                            <a:latin typeface="Cambria Math" panose="02040503050406030204" pitchFamily="18" charset="0"/>
                            <a:ea typeface="Cambria Math" panose="02040503050406030204" pitchFamily="18" charset="0"/>
                          </a:rPr>
                          <m:t>𝑏𝑎𝑠𝑒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𝐶𝑌𝐶𝐿𝐸𝑆</m:t>
                    </m:r>
                  </m:oMath>
                </m:oMathPara>
              </a14:m>
              <a:endParaRPr lang="en-US" sz="1100"/>
            </a:p>
          </xdr:txBody>
        </xdr:sp>
      </mc:Choice>
      <mc:Fallback xmlns="">
        <xdr:sp macro="" textlink="">
          <xdr:nvSpPr>
            <xdr:cNvPr id="5" name="TextBox 4">
              <a:extLst>
                <a:ext uri="{FF2B5EF4-FFF2-40B4-BE49-F238E27FC236}">
                  <a16:creationId xmlns:a16="http://schemas.microsoft.com/office/drawing/2014/main" id="{F8687FAE-271F-49F8-8A14-3987ABD62827}"/>
                </a:ext>
              </a:extLst>
            </xdr:cNvPr>
            <xdr:cNvSpPr txBox="1"/>
          </xdr:nvSpPr>
          <xdr:spPr>
            <a:xfrm>
              <a:off x="425450" y="58197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〖𝑘𝑊ℎ〗_𝑏𝑎𝑠𝑒</a:t>
              </a:r>
              <a:r>
                <a:rPr lang="en-US" sz="1100" b="0" i="0">
                  <a:latin typeface="Cambria Math" panose="02040503050406030204" pitchFamily="18" charset="0"/>
                  <a:ea typeface="Cambria Math" panose="02040503050406030204" pitchFamily="18" charset="0"/>
                </a:rPr>
                <a:t>=𝐿𝑂𝐴𝐷/𝐶𝐸𝐹</a:t>
              </a:r>
              <a:r>
                <a:rPr lang="en-US" sz="1100" b="0" i="0" baseline="-25000">
                  <a:latin typeface="Cambria Math" panose="02040503050406030204" pitchFamily="18" charset="0"/>
                  <a:ea typeface="Cambria Math" panose="02040503050406030204" pitchFamily="18" charset="0"/>
                </a:rPr>
                <a:t>𝑏𝑎𝑠𝑒</a:t>
              </a:r>
              <a:r>
                <a:rPr lang="en-US" sz="1100" b="0" i="0">
                  <a:latin typeface="Cambria Math" panose="02040503050406030204" pitchFamily="18" charset="0"/>
                  <a:ea typeface="Cambria Math" panose="02040503050406030204" pitchFamily="18" charset="0"/>
                </a:rPr>
                <a:t>∗𝐶𝑌𝐶𝐿𝐸𝑆</a:t>
              </a:r>
              <a:endParaRPr lang="en-US" sz="1100"/>
            </a:p>
          </xdr:txBody>
        </xdr:sp>
      </mc:Fallback>
    </mc:AlternateContent>
    <xdr:clientData/>
  </xdr:oneCellAnchor>
  <xdr:oneCellAnchor>
    <xdr:from>
      <xdr:col>2</xdr:col>
      <xdr:colOff>44450</xdr:colOff>
      <xdr:row>34</xdr:row>
      <xdr:rowOff>6350</xdr:rowOff>
    </xdr:from>
    <xdr:ext cx="2286000" cy="5143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84E3974-537D-414F-9622-81A31D3C3B20}"/>
                </a:ext>
              </a:extLst>
            </xdr:cNvPr>
            <xdr:cNvSpPr txBox="1"/>
          </xdr:nvSpPr>
          <xdr:spPr>
            <a:xfrm>
              <a:off x="406400" y="69500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𝑒𝑒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𝐿𝑂𝐴𝐷</m:t>
                        </m:r>
                      </m:num>
                      <m:den>
                        <m:r>
                          <a:rPr lang="en-US" sz="1100" b="0" i="1">
                            <a:latin typeface="Cambria Math" panose="02040503050406030204" pitchFamily="18" charset="0"/>
                            <a:ea typeface="Cambria Math" panose="02040503050406030204" pitchFamily="18" charset="0"/>
                          </a:rPr>
                          <m:t>𝐶𝐸𝐹</m:t>
                        </m:r>
                        <m:r>
                          <a:rPr lang="en-US" sz="1100" b="0" i="1" baseline="-25000">
                            <a:latin typeface="Cambria Math" panose="02040503050406030204" pitchFamily="18" charset="0"/>
                            <a:ea typeface="Cambria Math" panose="02040503050406030204" pitchFamily="18" charset="0"/>
                          </a:rPr>
                          <m:t>𝑒𝑒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𝐶𝑌𝐶𝐿𝐸𝑆</m:t>
                    </m:r>
                  </m:oMath>
                </m:oMathPara>
              </a14:m>
              <a:endParaRPr lang="en-US" sz="1100"/>
            </a:p>
          </xdr:txBody>
        </xdr:sp>
      </mc:Choice>
      <mc:Fallback xmlns="">
        <xdr:sp macro="" textlink="">
          <xdr:nvSpPr>
            <xdr:cNvPr id="6" name="TextBox 5">
              <a:extLst>
                <a:ext uri="{FF2B5EF4-FFF2-40B4-BE49-F238E27FC236}">
                  <a16:creationId xmlns:a16="http://schemas.microsoft.com/office/drawing/2014/main" id="{C84E3974-537D-414F-9622-81A31D3C3B20}"/>
                </a:ext>
              </a:extLst>
            </xdr:cNvPr>
            <xdr:cNvSpPr txBox="1"/>
          </xdr:nvSpPr>
          <xdr:spPr>
            <a:xfrm>
              <a:off x="406400" y="6950075"/>
              <a:ext cx="228600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〖𝑘𝑊ℎ〗_𝑒𝑒</a:t>
              </a:r>
              <a:r>
                <a:rPr lang="en-US" sz="1100" b="0" i="0">
                  <a:latin typeface="Cambria Math" panose="02040503050406030204" pitchFamily="18" charset="0"/>
                  <a:ea typeface="Cambria Math" panose="02040503050406030204" pitchFamily="18" charset="0"/>
                </a:rPr>
                <a:t>=𝐿𝑂𝐴𝐷/𝐶𝐸𝐹</a:t>
              </a:r>
              <a:r>
                <a:rPr lang="en-US" sz="1100" b="0" i="0" baseline="-25000">
                  <a:latin typeface="Cambria Math" panose="02040503050406030204" pitchFamily="18" charset="0"/>
                  <a:ea typeface="Cambria Math" panose="02040503050406030204" pitchFamily="18" charset="0"/>
                </a:rPr>
                <a:t>𝑒𝑒</a:t>
              </a:r>
              <a:r>
                <a:rPr lang="en-US" sz="1100" b="0" i="0">
                  <a:latin typeface="Cambria Math" panose="02040503050406030204" pitchFamily="18" charset="0"/>
                  <a:ea typeface="Cambria Math" panose="02040503050406030204" pitchFamily="18" charset="0"/>
                </a:rPr>
                <a:t>∗𝐶𝑌𝐶𝐿𝐸𝑆</a:t>
              </a:r>
              <a:endParaRPr lang="en-US" sz="110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1</xdr:col>
      <xdr:colOff>168275</xdr:colOff>
      <xdr:row>29</xdr:row>
      <xdr:rowOff>26987</xdr:rowOff>
    </xdr:from>
    <xdr:ext cx="2903166" cy="172227"/>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𝐴𝑉</m:t>
                        </m:r>
                      </m:e>
                      <m:sub>
                        <m:r>
                          <a:rPr lang="en-US" sz="1100" b="0" i="1">
                            <a:solidFill>
                              <a:schemeClr val="tx1"/>
                            </a:solidFill>
                            <a:effectLst/>
                            <a:latin typeface="Cambria Math" panose="02040503050406030204" pitchFamily="18" charset="0"/>
                            <a:ea typeface="+mn-ea"/>
                            <a:cs typeface="+mn-cs"/>
                          </a:rPr>
                          <m:t>𝑅</m:t>
                        </m:r>
                      </m:sub>
                    </m:sSub>
                    <m:r>
                      <a:rPr lang="en-US" sz="1100" b="0" i="1">
                        <a:latin typeface="Cambria Math" panose="02040503050406030204" pitchFamily="18" charset="0"/>
                      </a:rPr>
                      <m:t>=</m:t>
                    </m:r>
                    <m:r>
                      <a:rPr lang="en-US" sz="1100" b="0" i="1">
                        <a:latin typeface="Cambria Math" panose="02040503050406030204" pitchFamily="18" charset="0"/>
                      </a:rPr>
                      <m:t>𝐹𝑟𝑒𝑠h</m:t>
                    </m:r>
                    <m:r>
                      <a:rPr lang="en-US" sz="1100" b="0" i="1">
                        <a:latin typeface="Cambria Math" panose="02040503050406030204" pitchFamily="18" charset="0"/>
                      </a:rPr>
                      <m:t> </m:t>
                    </m:r>
                    <m:r>
                      <a:rPr lang="en-US" sz="1100" b="0" i="1">
                        <a:latin typeface="Cambria Math" panose="02040503050406030204" pitchFamily="18" charset="0"/>
                      </a:rPr>
                      <m:t>𝑉𝑜𝑙𝑢𝑚𝑒</m:t>
                    </m:r>
                    <m:r>
                      <a:rPr lang="en-US" sz="1100" b="0" i="1">
                        <a:latin typeface="Cambria Math" panose="02040503050406030204" pitchFamily="18" charset="0"/>
                      </a:rPr>
                      <m:t>+1.76∗</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13" name="TextBox 12">
              <a:extLst>
                <a:ext uri="{FF2B5EF4-FFF2-40B4-BE49-F238E27FC236}">
                  <a16:creationId xmlns:a16="http://schemas.microsoft.com/office/drawing/2014/main" id="{04DE7347-2EA9-4A1C-845F-7C5E94302E55}"/>
                </a:ext>
              </a:extLst>
            </xdr:cNvPr>
            <xdr:cNvSpPr txBox="1"/>
          </xdr:nvSpPr>
          <xdr:spPr>
            <a:xfrm>
              <a:off x="349250" y="7504112"/>
              <a:ext cx="290316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〖𝐴𝑉〗_𝑅</a:t>
              </a:r>
              <a:r>
                <a:rPr lang="en-US" sz="1100" b="0" i="0">
                  <a:latin typeface="Cambria Math" panose="02040503050406030204" pitchFamily="18" charset="0"/>
                </a:rPr>
                <a:t>=𝐹𝑟𝑒𝑠ℎ 𝑉𝑜𝑙𝑢𝑚𝑒+1.76∗𝐹𝑟𝑒𝑒𝑧𝑒𝑟 𝑉𝑜𝑙𝑢𝑚𝑒</a:t>
              </a:r>
              <a:endParaRPr lang="en-US" sz="1100"/>
            </a:p>
          </xdr:txBody>
        </xdr:sp>
      </mc:Fallback>
    </mc:AlternateContent>
    <xdr:clientData/>
  </xdr:oneCellAnchor>
  <xdr:oneCellAnchor>
    <xdr:from>
      <xdr:col>1</xdr:col>
      <xdr:colOff>168275</xdr:colOff>
      <xdr:row>33</xdr:row>
      <xdr:rowOff>26987</xdr:rowOff>
    </xdr:from>
    <xdr:ext cx="1854867" cy="172227"/>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𝐴𝑉</m:t>
                        </m:r>
                      </m:e>
                      <m:sub>
                        <m:r>
                          <a:rPr lang="en-US" sz="1100" b="0" i="1">
                            <a:latin typeface="Cambria Math" panose="02040503050406030204" pitchFamily="18" charset="0"/>
                          </a:rPr>
                          <m:t>𝐹</m:t>
                        </m:r>
                      </m:sub>
                    </m:sSub>
                    <m:r>
                      <a:rPr lang="en-US" sz="1100" b="0" i="1">
                        <a:latin typeface="Cambria Math" panose="02040503050406030204" pitchFamily="18" charset="0"/>
                      </a:rPr>
                      <m:t>=1.73∗</m:t>
                    </m:r>
                    <m:r>
                      <a:rPr lang="en-US" sz="1100" b="0" i="1">
                        <a:latin typeface="Cambria Math" panose="02040503050406030204" pitchFamily="18" charset="0"/>
                      </a:rPr>
                      <m:t>𝐹𝑟𝑒𝑒𝑧𝑒𝑟</m:t>
                    </m:r>
                    <m:r>
                      <a:rPr lang="en-US" sz="1100" b="0" i="1">
                        <a:latin typeface="Cambria Math" panose="02040503050406030204" pitchFamily="18" charset="0"/>
                      </a:rPr>
                      <m:t> </m:t>
                    </m:r>
                    <m:r>
                      <a:rPr lang="en-US" sz="1100" b="0" i="1">
                        <a:latin typeface="Cambria Math" panose="02040503050406030204" pitchFamily="18" charset="0"/>
                      </a:rPr>
                      <m:t>𝑉𝑜𝑙𝑢𝑚𝑒</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D1495D1C-4907-4421-A328-89AC1B9FB2B5}"/>
                </a:ext>
              </a:extLst>
            </xdr:cNvPr>
            <xdr:cNvSpPr txBox="1"/>
          </xdr:nvSpPr>
          <xdr:spPr>
            <a:xfrm>
              <a:off x="349250" y="8266112"/>
              <a:ext cx="185486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〖𝐴𝑉〗_𝐹=1.73∗𝐹𝑟𝑒𝑒𝑧𝑒𝑟 𝑉𝑜𝑙𝑢𝑚𝑒</a:t>
              </a:r>
              <a:endParaRPr lang="en-US" sz="1100"/>
            </a:p>
          </xdr:txBody>
        </xdr:sp>
      </mc:Fallback>
    </mc:AlternateContent>
    <xdr:clientData/>
  </xdr:oneCellAnchor>
  <xdr:oneCellAnchor>
    <xdr:from>
      <xdr:col>2</xdr:col>
      <xdr:colOff>9525</xdr:colOff>
      <xdr:row>37</xdr:row>
      <xdr:rowOff>19050</xdr:rowOff>
    </xdr:from>
    <xdr:ext cx="2015745" cy="184731"/>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2" name="TextBox 21">
              <a:extLst>
                <a:ext uri="{FF2B5EF4-FFF2-40B4-BE49-F238E27FC236}">
                  <a16:creationId xmlns:a16="http://schemas.microsoft.com/office/drawing/2014/main" id="{195B1280-8C1C-420A-A4F9-016D1759CB2D}"/>
                </a:ext>
              </a:extLst>
            </xdr:cNvPr>
            <xdr:cNvSpPr txBox="1"/>
          </xdr:nvSpPr>
          <xdr:spPr>
            <a:xfrm>
              <a:off x="371475" y="9020175"/>
              <a:ext cx="201574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𝐸_𝐸𝐸)∗𝑃𝐹</a:t>
              </a:r>
              <a:endParaRPr lang="en-US" sz="1100"/>
            </a:p>
          </xdr:txBody>
        </xdr:sp>
      </mc:Fallback>
    </mc:AlternateContent>
    <xdr:clientData/>
  </xdr:oneCellAnchor>
  <xdr:oneCellAnchor>
    <xdr:from>
      <xdr:col>2</xdr:col>
      <xdr:colOff>9525</xdr:colOff>
      <xdr:row>41</xdr:row>
      <xdr:rowOff>19050</xdr:rowOff>
    </xdr:from>
    <xdr:ext cx="2340769" cy="184731"/>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3" name="TextBox 22">
              <a:extLst>
                <a:ext uri="{FF2B5EF4-FFF2-40B4-BE49-F238E27FC236}">
                  <a16:creationId xmlns:a16="http://schemas.microsoft.com/office/drawing/2014/main" id="{0D3437A0-FC53-48EC-B778-56502E53732D}"/>
                </a:ext>
              </a:extLst>
            </xdr:cNvPr>
            <xdr:cNvSpPr txBox="1"/>
          </xdr:nvSpPr>
          <xdr:spPr>
            <a:xfrm>
              <a:off x="371475" y="9782175"/>
              <a:ext cx="2340769"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𝑘𝑊ℎ〗_𝑅𝑒𝑝𝑙𝑎𝑐𝑒〗∕〖𝐻𝑅𝑆)∗𝐶𝐹〗</a:t>
              </a:r>
              <a:endParaRPr lang="en-US" sz="1100"/>
            </a:p>
          </xdr:txBody>
        </xdr:sp>
      </mc:Fallback>
    </mc:AlternateContent>
    <xdr:clientData/>
  </xdr:oneCellAnchor>
  <xdr:oneCellAnchor>
    <xdr:from>
      <xdr:col>2</xdr:col>
      <xdr:colOff>9525</xdr:colOff>
      <xdr:row>49</xdr:row>
      <xdr:rowOff>0</xdr:rowOff>
    </xdr:from>
    <xdr:ext cx="3204852" cy="184731"/>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24" name="TextBox 23">
              <a:extLst>
                <a:ext uri="{FF2B5EF4-FFF2-40B4-BE49-F238E27FC236}">
                  <a16:creationId xmlns:a16="http://schemas.microsoft.com/office/drawing/2014/main" id="{7A4B7996-BA92-4BFB-8130-7A43B6561AC6}"/>
                </a:ext>
              </a:extLst>
            </xdr:cNvPr>
            <xdr:cNvSpPr txBox="1"/>
          </xdr:nvSpPr>
          <xdr:spPr>
            <a:xfrm>
              <a:off x="371475" y="11287125"/>
              <a:ext cx="3204852"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𝑘𝑊ℎ〗_(𝑅𝑒𝑝𝑙𝑎𝑐𝑒+𝑇𝑢𝑟𝑛−𝑖𝑛)=〖(𝐸〗_𝐵𝑎𝑠𝑒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𝐸_𝐸𝐸+𝐸_(𝑇𝑢𝑟𝑛−𝑖𝑛))∗𝑃𝐹</a:t>
              </a:r>
              <a:endParaRPr lang="en-US" sz="1100"/>
            </a:p>
          </xdr:txBody>
        </xdr:sp>
      </mc:Fallback>
    </mc:AlternateContent>
    <xdr:clientData/>
  </xdr:oneCellAnchor>
  <xdr:oneCellAnchor>
    <xdr:from>
      <xdr:col>2</xdr:col>
      <xdr:colOff>9525</xdr:colOff>
      <xdr:row>53</xdr:row>
      <xdr:rowOff>19050</xdr:rowOff>
    </xdr:from>
    <xdr:ext cx="3356175" cy="184731"/>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5" name="TextBox 24">
              <a:extLst>
                <a:ext uri="{FF2B5EF4-FFF2-40B4-BE49-F238E27FC236}">
                  <a16:creationId xmlns:a16="http://schemas.microsoft.com/office/drawing/2014/main" id="{88D5E160-DEF9-4458-855F-5DC4405B2497}"/>
                </a:ext>
              </a:extLst>
            </xdr:cNvPr>
            <xdr:cNvSpPr txBox="1"/>
          </xdr:nvSpPr>
          <xdr:spPr>
            <a:xfrm>
              <a:off x="371475" y="12068175"/>
              <a:ext cx="3356175"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𝑘𝑊〗_(𝑅𝑒𝑝𝑙𝑎𝑐𝑒+𝑇𝑢𝑟𝑛−𝑖𝑛)=〖(〖</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𝑘𝑊ℎ〗_(𝑅𝑒𝑝𝑙𝑎𝑐𝑒+𝑇𝑢𝑟𝑛−𝑖𝑛)〗∕〖𝐻𝑅𝑆)∗𝐶𝐹〗</a:t>
              </a:r>
              <a:endParaRPr lang="en-US" sz="1100"/>
            </a:p>
          </xdr:txBody>
        </xdr:sp>
      </mc:Fallback>
    </mc:AlternateContent>
    <xdr:clientData/>
  </xdr:oneCellAnchor>
  <xdr:oneCellAnchor>
    <xdr:from>
      <xdr:col>2</xdr:col>
      <xdr:colOff>9525</xdr:colOff>
      <xdr:row>65</xdr:row>
      <xdr:rowOff>19050</xdr:rowOff>
    </xdr:from>
    <xdr:ext cx="3017749" cy="182935"/>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mn-ea"/>
                        <a:cs typeface="+mn-cs"/>
                      </a:rPr>
                      <m:t>=</m:t>
                    </m:r>
                    <m:f>
                      <m:fPr>
                        <m:type m:val="lin"/>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num>
                      <m:den>
                        <m:r>
                          <a:rPr lang="en-US" sz="1100" b="0" i="1">
                            <a:solidFill>
                              <a:schemeClr val="tx1"/>
                            </a:solidFill>
                            <a:effectLst/>
                            <a:latin typeface="Cambria Math" panose="02040503050406030204" pitchFamily="18" charset="0"/>
                            <a:ea typeface="+mn-ea"/>
                            <a:cs typeface="+mn-cs"/>
                          </a:rPr>
                          <m:t>𝐻𝑅𝑆</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den>
                    </m:f>
                  </m:oMath>
                </m:oMathPara>
              </a14:m>
              <a:endParaRPr lang="en-US" sz="1100"/>
            </a:p>
          </xdr:txBody>
        </xdr:sp>
      </mc:Choice>
      <mc:Fallback xmlns="">
        <xdr:sp macro="" textlink="">
          <xdr:nvSpPr>
            <xdr:cNvPr id="26" name="TextBox 25">
              <a:extLst>
                <a:ext uri="{FF2B5EF4-FFF2-40B4-BE49-F238E27FC236}">
                  <a16:creationId xmlns:a16="http://schemas.microsoft.com/office/drawing/2014/main" id="{C0230B7C-A800-47E1-BBFD-D6D4437006C8}"/>
                </a:ext>
              </a:extLst>
            </xdr:cNvPr>
            <xdr:cNvSpPr txBox="1"/>
          </xdr:nvSpPr>
          <xdr:spPr>
            <a:xfrm>
              <a:off x="371475" y="14354175"/>
              <a:ext cx="3017749"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𝑂𝑛𝑙𝑦)〗∕〖𝐻𝑅𝑆)∗𝐶𝐹〗</a:t>
              </a:r>
              <a:endParaRPr lang="en-US" sz="1100"/>
            </a:p>
          </xdr:txBody>
        </xdr:sp>
      </mc:Fallback>
    </mc:AlternateContent>
    <xdr:clientData/>
  </xdr:oneCellAnchor>
  <xdr:oneCellAnchor>
    <xdr:from>
      <xdr:col>2</xdr:col>
      <xdr:colOff>53975</xdr:colOff>
      <xdr:row>45</xdr:row>
      <xdr:rowOff>19050</xdr:rowOff>
    </xdr:from>
    <xdr:ext cx="2696957" cy="184731"/>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𝑅𝑒𝑝𝑙𝑎𝑐𝑒</m:t>
                        </m:r>
                      </m:sub>
                    </m:sSub>
                  </m:oMath>
                </m:oMathPara>
              </a14:m>
              <a:endParaRPr lang="en-US" sz="1100"/>
            </a:p>
          </xdr:txBody>
        </xdr:sp>
      </mc:Choice>
      <mc:Fallback xmlns="">
        <xdr:sp macro="" textlink="">
          <xdr:nvSpPr>
            <xdr:cNvPr id="27" name="TextBox 26">
              <a:extLst>
                <a:ext uri="{FF2B5EF4-FFF2-40B4-BE49-F238E27FC236}">
                  <a16:creationId xmlns:a16="http://schemas.microsoft.com/office/drawing/2014/main" id="{40F53876-64C6-40F8-9A59-C55CB65339E7}"/>
                </a:ext>
              </a:extLst>
            </xdr:cNvPr>
            <xdr:cNvSpPr txBox="1"/>
          </xdr:nvSpPr>
          <xdr:spPr>
            <a:xfrm>
              <a:off x="415925" y="10544175"/>
              <a:ext cx="2696957" cy="1847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𝑘𝑊ℎ〗_𝑅𝑒𝑝𝑙𝑎𝑐𝑒∗〖𝐸𝑈𝐿〗_𝑅𝑒𝑝𝑙𝑎𝑐𝑒</a:t>
              </a:r>
              <a:endParaRPr lang="en-US" sz="1100"/>
            </a:p>
          </xdr:txBody>
        </xdr:sp>
      </mc:Fallback>
    </mc:AlternateContent>
    <xdr:clientData/>
  </xdr:oneCellAnchor>
  <xdr:oneCellAnchor>
    <xdr:from>
      <xdr:col>2</xdr:col>
      <xdr:colOff>9525</xdr:colOff>
      <xdr:row>57</xdr:row>
      <xdr:rowOff>0</xdr:rowOff>
    </xdr:from>
    <xdr:ext cx="4582152" cy="185628"/>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𝑅𝑒𝑝𝑙𝑎𝑐𝑒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𝑃𝐹</m:t>
                    </m:r>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oMath>
                </m:oMathPara>
              </a14:m>
              <a:endParaRPr lang="en-US" sz="1100"/>
            </a:p>
          </xdr:txBody>
        </xdr:sp>
      </mc:Choice>
      <mc:Fallback xmlns="">
        <xdr:sp macro="" textlink="">
          <xdr:nvSpPr>
            <xdr:cNvPr id="28" name="TextBox 27">
              <a:extLst>
                <a:ext uri="{FF2B5EF4-FFF2-40B4-BE49-F238E27FC236}">
                  <a16:creationId xmlns:a16="http://schemas.microsoft.com/office/drawing/2014/main" id="{F8A3AF1A-1832-4750-A62E-74D6C03C0E71}"/>
                </a:ext>
              </a:extLst>
            </xdr:cNvPr>
            <xdr:cNvSpPr txBox="1"/>
          </xdr:nvSpPr>
          <xdr:spPr>
            <a:xfrm>
              <a:off x="371475" y="12811125"/>
              <a:ext cx="4582152" cy="1856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𝑘𝑊ℎ〗_(𝑅𝑒𝑝𝑙𝑎𝑐𝑒, 𝐿𝑖𝑓𝑒)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𝐸_(𝑇𝑢𝑟𝑛−𝑖𝑛)</a:t>
              </a:r>
              <a:r>
                <a:rPr lang="en-US" sz="1100" b="0" i="0">
                  <a:solidFill>
                    <a:schemeClr val="tx1"/>
                  </a:solidFill>
                  <a:effectLst/>
                  <a:latin typeface="Cambria Math" panose="02040503050406030204" pitchFamily="18" charset="0"/>
                  <a:ea typeface="Cambria Math" panose="02040503050406030204" pitchFamily="18" charset="0"/>
                  <a:cs typeface="+mn-cs"/>
                </a:rPr>
                <a:t>∗𝑃𝐹∗〖𝑅𝑈𝐿〗_(𝑇𝑢𝑟𝑛−𝑖𝑛))</a:t>
              </a:r>
              <a:endParaRPr lang="en-US" sz="1100"/>
            </a:p>
          </xdr:txBody>
        </xdr:sp>
      </mc:Fallback>
    </mc:AlternateContent>
    <xdr:clientData/>
  </xdr:oneCellAnchor>
  <xdr:oneCellAnchor>
    <xdr:from>
      <xdr:col>2</xdr:col>
      <xdr:colOff>9525</xdr:colOff>
      <xdr:row>68</xdr:row>
      <xdr:rowOff>120651</xdr:rowOff>
    </xdr:from>
    <xdr:ext cx="3050258" cy="251726"/>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𝐿𝑖𝑓𝑒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𝑇𝑢𝑟𝑛</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𝑖𝑛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𝑂𝑛𝑙𝑦</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sub>
                        <m:r>
                          <a:rPr lang="en-US" sz="1100" b="0" i="1">
                            <a:solidFill>
                              <a:schemeClr val="tx1"/>
                            </a:solidFill>
                            <a:effectLst/>
                            <a:latin typeface="Cambria Math" panose="02040503050406030204" pitchFamily="18" charset="0"/>
                            <a:ea typeface="Cambria Math" panose="02040503050406030204" pitchFamily="18" charset="0"/>
                            <a:cs typeface="+mn-cs"/>
                          </a:rPr>
                          <m:t>𝑇𝑢𝑟𝑛</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𝑖𝑛</m:t>
                        </m:r>
                      </m:sub>
                    </m:sSub>
                  </m:oMath>
                </m:oMathPara>
              </a14:m>
              <a:endParaRPr lang="en-US" sz="1100"/>
            </a:p>
          </xdr:txBody>
        </xdr:sp>
      </mc:Choice>
      <mc:Fallback xmlns="">
        <xdr:sp macro="" textlink="">
          <xdr:nvSpPr>
            <xdr:cNvPr id="29" name="TextBox 28">
              <a:extLst>
                <a:ext uri="{FF2B5EF4-FFF2-40B4-BE49-F238E27FC236}">
                  <a16:creationId xmlns:a16="http://schemas.microsoft.com/office/drawing/2014/main" id="{D1C7EE1B-3013-4E58-96EA-5A9891A83ACC}"/>
                </a:ext>
              </a:extLst>
            </xdr:cNvPr>
            <xdr:cNvSpPr txBox="1"/>
          </xdr:nvSpPr>
          <xdr:spPr>
            <a:xfrm>
              <a:off x="371475" y="15027276"/>
              <a:ext cx="3050258" cy="25172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𝑘𝑊ℎ〗_(𝑇𝑢𝑟𝑛−𝑖𝑛, 𝐿𝑖𝑓𝑒)=〖</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𝑘𝑊〗_(𝑇𝑢𝑟𝑛−𝑖𝑛 𝑂𝑛𝑙𝑦)</a:t>
              </a:r>
              <a:r>
                <a:rPr lang="en-US" sz="1100" b="0" i="0">
                  <a:solidFill>
                    <a:schemeClr val="tx1"/>
                  </a:solidFill>
                  <a:effectLst/>
                  <a:latin typeface="Cambria Math" panose="02040503050406030204" pitchFamily="18" charset="0"/>
                  <a:ea typeface="Cambria Math" panose="02040503050406030204" pitchFamily="18" charset="0"/>
                  <a:cs typeface="+mn-cs"/>
                </a:rPr>
                <a:t>∗〖𝑅𝑈𝐿〗_(𝑇𝑢𝑟𝑛−𝑖𝑛)</a:t>
              </a:r>
              <a:endParaRPr lang="en-US" sz="1100"/>
            </a:p>
          </xdr:txBody>
        </xdr:sp>
      </mc:Fallback>
    </mc:AlternateContent>
    <xdr:clientData/>
  </xdr:oneCellAnchor>
  <xdr:oneCellAnchor>
    <xdr:from>
      <xdr:col>2</xdr:col>
      <xdr:colOff>0</xdr:colOff>
      <xdr:row>61</xdr:row>
      <xdr:rowOff>0</xdr:rowOff>
    </xdr:from>
    <xdr:ext cx="2093778" cy="182935"/>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𝑂𝑛𝑙𝑦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m:t>
                        </m:r>
                      </m:e>
                      <m:sub>
                        <m:r>
                          <a:rPr lang="en-US" sz="1100" b="0" i="1">
                            <a:solidFill>
                              <a:sysClr val="windowText" lastClr="000000"/>
                            </a:solidFill>
                            <a:effectLst/>
                            <a:latin typeface="Cambria Math" panose="02040503050406030204" pitchFamily="18" charset="0"/>
                            <a:ea typeface="+mn-ea"/>
                            <a:cs typeface="+mn-cs"/>
                          </a:rPr>
                          <m:t>𝑇𝑢𝑟𝑛</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𝑖𝑛</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F3EB33CD-4A17-48D4-A2E3-34A5EB2E39AB}"/>
                </a:ext>
              </a:extLst>
            </xdr:cNvPr>
            <xdr:cNvSpPr txBox="1"/>
          </xdr:nvSpPr>
          <xdr:spPr>
            <a:xfrm>
              <a:off x="361950" y="13573125"/>
              <a:ext cx="2093778" cy="1829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𝑘𝑊ℎ〗_(𝑇𝑢𝑟𝑛−𝑖𝑛 𝑂𝑛𝑙𝑦)=𝐸_(𝑇𝑢𝑟𝑛−𝑖𝑛)∗𝑃𝐹</a:t>
              </a:r>
              <a:endParaRPr lang="en-US" sz="1100">
                <a:solidFill>
                  <a:sysClr val="windowText" lastClr="000000"/>
                </a:solidFill>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22860</xdr:colOff>
      <xdr:row>31</xdr:row>
      <xdr:rowOff>179070</xdr:rowOff>
    </xdr:from>
    <xdr:ext cx="3200876" cy="37106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𝑆𝐻𝐺𝐹</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6B33B1B8-5AE9-43FE-81BD-882986C13EDB}"/>
                </a:ext>
              </a:extLst>
            </xdr:cNvPr>
            <xdr:cNvSpPr txBox="1"/>
          </xdr:nvSpPr>
          <xdr:spPr>
            <a:xfrm>
              <a:off x="203835" y="9246870"/>
              <a:ext cx="3200876"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𝑘𝑊=(𝐴_(𝑓𝑖𝑙𝑚,𝑜)×〖𝑆𝐻𝐺𝐹〗_𝑜×(〖𝑆𝐻𝐺𝐶〗_(𝑝𝑟𝑒,𝑜)−〖𝑆𝐻𝐺𝐶〗_(𝑝𝑜𝑠𝑡,𝑜) ))/(3,412×𝐶𝑂𝑃)</a:t>
              </a:r>
              <a:endParaRPr lang="en-US" sz="1100"/>
            </a:p>
          </xdr:txBody>
        </xdr:sp>
      </mc:Fallback>
    </mc:AlternateContent>
    <xdr:clientData/>
  </xdr:oneCellAnchor>
  <xdr:oneCellAnchor>
    <xdr:from>
      <xdr:col>1</xdr:col>
      <xdr:colOff>0</xdr:colOff>
      <xdr:row>37</xdr:row>
      <xdr:rowOff>0</xdr:rowOff>
    </xdr:from>
    <xdr:ext cx="3276025" cy="371064"/>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𝐴</m:t>
                            </m:r>
                          </m:e>
                          <m:sub>
                            <m:r>
                              <a:rPr lang="en-US" sz="1100" b="0" i="1">
                                <a:latin typeface="Cambria Math" panose="02040503050406030204" pitchFamily="18" charset="0"/>
                                <a:ea typeface="Cambria Math" panose="02040503050406030204" pitchFamily="18" charset="0"/>
                              </a:rPr>
                              <m:t>𝑓𝑖𝑙𝑚</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m:t>
                            </m:r>
                          </m:e>
                          <m:sub>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𝑝𝑟𝑒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𝑆𝐻𝐺𝐶</m:t>
                                </m:r>
                              </m:e>
                              <m:sub>
                                <m:r>
                                  <a:rPr lang="en-US" sz="1100" b="0" i="1">
                                    <a:latin typeface="Cambria Math" panose="02040503050406030204" pitchFamily="18" charset="0"/>
                                    <a:ea typeface="Cambria Math" panose="02040503050406030204" pitchFamily="18" charset="0"/>
                                  </a:rPr>
                                  <m:t>𝑝𝑜𝑠𝑡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𝑜</m:t>
                                </m:r>
                              </m:sub>
                            </m:sSub>
                          </m:e>
                        </m:d>
                      </m:num>
                      <m:den>
                        <m:r>
                          <a:rPr lang="en-US" sz="1100" b="0" i="1">
                            <a:latin typeface="Cambria Math" panose="02040503050406030204" pitchFamily="18" charset="0"/>
                            <a:ea typeface="Cambria Math" panose="02040503050406030204" pitchFamily="18" charset="0"/>
                          </a:rPr>
                          <m:t>3,412×</m:t>
                        </m:r>
                        <m:r>
                          <a:rPr lang="en-US" sz="1100" b="0" i="1">
                            <a:latin typeface="Cambria Math" panose="02040503050406030204" pitchFamily="18" charset="0"/>
                            <a:ea typeface="Cambria Math" panose="02040503050406030204" pitchFamily="18" charset="0"/>
                          </a:rPr>
                          <m:t>𝐶𝑂𝑃</m:t>
                        </m:r>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A01E13B7-4E38-4199-AAA8-2E3D03725529}"/>
                </a:ext>
              </a:extLst>
            </xdr:cNvPr>
            <xdr:cNvSpPr txBox="1"/>
          </xdr:nvSpPr>
          <xdr:spPr>
            <a:xfrm>
              <a:off x="180975" y="10210800"/>
              <a:ext cx="3276025" cy="37106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𝑘𝑊ℎ=(𝐴_(𝑓𝑖𝑙𝑚,𝑜)×〖𝑆𝐻𝐺〗_𝑜×(〖𝑆𝐻𝐺𝐶〗_(𝑝𝑟𝑒,𝑜)−〖𝑆𝐻𝐺𝐶〗_(𝑝𝑜𝑠𝑡,𝑜) ))/(3,412×𝐶𝑂𝑃)</a:t>
              </a:r>
              <a:endParaRPr lang="en-US" sz="1100"/>
            </a:p>
          </xdr:txBody>
        </xdr:sp>
      </mc:Fallback>
    </mc:AlternateContent>
    <xdr:clientData/>
  </xdr:oneCellAnchor>
  <xdr:oneCellAnchor>
    <xdr:from>
      <xdr:col>1</xdr:col>
      <xdr:colOff>30480</xdr:colOff>
      <xdr:row>42</xdr:row>
      <xdr:rowOff>11430</xdr:rowOff>
    </xdr:from>
    <xdr:ext cx="1552733"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D010E4AA-17E3-4BB4-8818-2E9CEBEA6FFA}"/>
                </a:ext>
              </a:extLst>
            </xdr:cNvPr>
            <xdr:cNvSpPr txBox="1"/>
          </xdr:nvSpPr>
          <xdr:spPr>
            <a:xfrm>
              <a:off x="211455" y="11174730"/>
              <a:ext cx="1552733"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〖∆𝑘𝑊ℎ〗_𝑙𝑖𝑓𝑒=∆𝑘𝑊ℎ×𝐸𝑈𝐿</a:t>
              </a:r>
              <a:endParaRPr lang="en-US" sz="1100"/>
            </a:p>
          </xdr:txBody>
        </xdr:sp>
      </mc:Fallback>
    </mc:AlternateContent>
    <xdr:clientData/>
  </xdr:oneCellAnchor>
</xdr:wsDr>
</file>

<file path=xl/drawings/drawing40.xml><?xml version="1.0" encoding="utf-8"?>
<xdr:wsDr xmlns:xdr="http://schemas.openxmlformats.org/drawingml/2006/spreadsheetDrawing" xmlns:a="http://schemas.openxmlformats.org/drawingml/2006/main">
  <xdr:oneCellAnchor>
    <xdr:from>
      <xdr:col>2</xdr:col>
      <xdr:colOff>12181</xdr:colOff>
      <xdr:row>27</xdr:row>
      <xdr:rowOff>174508</xdr:rowOff>
    </xdr:from>
    <xdr:ext cx="4781550" cy="55574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A96B9B0-DC6C-4CC4-95B4-DD5CA5B485D5}"/>
                </a:ext>
              </a:extLst>
            </xdr:cNvPr>
            <xdr:cNvSpPr txBox="1"/>
          </xdr:nvSpPr>
          <xdr:spPr>
            <a:xfrm>
              <a:off x="374131" y="6699133"/>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𝑘𝑊h</m:t>
                            </m:r>
                            <m:r>
                              <a:rPr lang="en-US" sz="1100" b="0" i="1" baseline="-25000">
                                <a:latin typeface="Cambria Math" panose="02040503050406030204" pitchFamily="18" charset="0"/>
                                <a:ea typeface="Cambria Math" panose="02040503050406030204" pitchFamily="18" charset="0"/>
                              </a:rPr>
                              <m:t>𝑒𝑒</m:t>
                            </m:r>
                            <m:r>
                              <a:rPr lang="en-US" sz="1100" b="0" i="1">
                                <a:latin typeface="Cambria Math" panose="02040503050406030204" pitchFamily="18" charset="0"/>
                                <a:ea typeface="Cambria Math" panose="02040503050406030204" pitchFamily="18" charset="0"/>
                              </a:rPr>
                              <m:t> ∗ </m:t>
                            </m:r>
                            <m:r>
                              <m:rPr>
                                <m:sty m:val="p"/>
                              </m:rPr>
                              <a:rPr lang="el-GR" sz="1100" b="0" i="1">
                                <a:latin typeface="Cambria Math" panose="02040503050406030204" pitchFamily="18" charset="0"/>
                                <a:ea typeface="Cambria Math" panose="02040503050406030204" pitchFamily="18" charset="0"/>
                              </a:rPr>
                              <m:t>η</m:t>
                            </m:r>
                            <m:r>
                              <a:rPr lang="en-US" sz="1100" b="0" i="1" baseline="-25000">
                                <a:latin typeface="Cambria Math" panose="02040503050406030204" pitchFamily="18" charset="0"/>
                                <a:ea typeface="Cambria Math" panose="02040503050406030204" pitchFamily="18" charset="0"/>
                              </a:rPr>
                              <m:t>𝑒𝑒</m:t>
                            </m:r>
                          </m:e>
                        </m:d>
                      </m:num>
                      <m:den>
                        <m:r>
                          <m:rPr>
                            <m:sty m:val="p"/>
                          </m:rPr>
                          <a:rPr lang="el-GR" sz="1100" b="0" i="1">
                            <a:solidFill>
                              <a:schemeClr val="tx1"/>
                            </a:solidFill>
                            <a:effectLst/>
                            <a:latin typeface="Cambria Math" panose="02040503050406030204" pitchFamily="18" charset="0"/>
                            <a:ea typeface="+mn-ea"/>
                            <a:cs typeface="+mn-cs"/>
                          </a:rPr>
                          <m:t>η</m:t>
                        </m:r>
                        <m:r>
                          <a:rPr lang="en-US" sz="1100" b="0" i="1" baseline="-25000">
                            <a:solidFill>
                              <a:schemeClr val="tx1"/>
                            </a:solidFill>
                            <a:effectLst/>
                            <a:latin typeface="Cambria Math" panose="02040503050406030204" pitchFamily="18" charset="0"/>
                            <a:ea typeface="+mn-ea"/>
                            <a:cs typeface="+mn-cs"/>
                          </a:rPr>
                          <m:t>𝑏𝑎𝑠𝑒</m:t>
                        </m:r>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BA96B9B0-DC6C-4CC4-95B4-DD5CA5B485D5}"/>
                </a:ext>
              </a:extLst>
            </xdr:cNvPr>
            <xdr:cNvSpPr txBox="1"/>
          </xdr:nvSpPr>
          <xdr:spPr>
            <a:xfrm>
              <a:off x="374131" y="6699133"/>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〖𝑘𝑊ℎ〗_𝑏𝑎𝑠𝑒=((𝑘𝑊ℎ</a:t>
              </a:r>
              <a:r>
                <a:rPr lang="en-US" sz="1100" b="0" i="0" baseline="-25000">
                  <a:latin typeface="Cambria Math" panose="02040503050406030204" pitchFamily="18" charset="0"/>
                  <a:ea typeface="Cambria Math" panose="02040503050406030204" pitchFamily="18" charset="0"/>
                </a:rPr>
                <a:t>𝑒𝑒</a:t>
              </a:r>
              <a:r>
                <a:rPr lang="en-US" sz="1100" b="0" i="0">
                  <a:latin typeface="Cambria Math" panose="02040503050406030204" pitchFamily="18" charset="0"/>
                  <a:ea typeface="Cambria Math" panose="02040503050406030204" pitchFamily="18" charset="0"/>
                </a:rPr>
                <a:t> ∗ </a:t>
              </a:r>
              <a:r>
                <a:rPr lang="el-GR" sz="1100" b="0" i="0">
                  <a:latin typeface="Cambria Math" panose="02040503050406030204" pitchFamily="18" charset="0"/>
                  <a:ea typeface="Cambria Math" panose="02040503050406030204" pitchFamily="18" charset="0"/>
                </a:rPr>
                <a:t>η</a:t>
              </a:r>
              <a:r>
                <a:rPr lang="en-US" sz="1100" b="0" i="0" baseline="-25000">
                  <a:latin typeface="Cambria Math" panose="02040503050406030204" pitchFamily="18" charset="0"/>
                  <a:ea typeface="Cambria Math" panose="02040503050406030204" pitchFamily="18" charset="0"/>
                </a:rPr>
                <a:t>𝑒𝑒))/</a:t>
              </a:r>
              <a:r>
                <a:rPr lang="el-GR" sz="1100" b="0" i="0">
                  <a:solidFill>
                    <a:schemeClr val="tx1"/>
                  </a:solidFill>
                  <a:effectLst/>
                  <a:latin typeface="Cambria Math" panose="02040503050406030204" pitchFamily="18" charset="0"/>
                  <a:ea typeface="+mn-ea"/>
                  <a:cs typeface="+mn-cs"/>
                </a:rPr>
                <a:t>η</a:t>
              </a:r>
              <a:r>
                <a:rPr lang="en-US" sz="1100" b="0" i="0" baseline="-25000">
                  <a:solidFill>
                    <a:schemeClr val="tx1"/>
                  </a:solidFill>
                  <a:effectLst/>
                  <a:latin typeface="Cambria Math" panose="02040503050406030204" pitchFamily="18" charset="0"/>
                  <a:ea typeface="+mn-ea"/>
                  <a:cs typeface="+mn-cs"/>
                </a:rPr>
                <a:t>𝑏𝑎𝑠𝑒</a:t>
              </a:r>
              <a:endParaRPr lang="en-US" sz="1100"/>
            </a:p>
          </xdr:txBody>
        </xdr:sp>
      </mc:Fallback>
    </mc:AlternateContent>
    <xdr:clientData/>
  </xdr:oneCellAnchor>
  <xdr:oneCellAnchor>
    <xdr:from>
      <xdr:col>2</xdr:col>
      <xdr:colOff>8601</xdr:colOff>
      <xdr:row>37</xdr:row>
      <xdr:rowOff>11776</xdr:rowOff>
    </xdr:from>
    <xdr:ext cx="1308100" cy="32028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BE2EBF6D-726E-4A82-83D5-598CEA690955}"/>
                </a:ext>
              </a:extLst>
            </xdr:cNvPr>
            <xdr:cNvSpPr txBox="1"/>
          </xdr:nvSpPr>
          <xdr:spPr>
            <a:xfrm>
              <a:off x="370551" y="84414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BE2EBF6D-726E-4A82-83D5-598CEA690955}"/>
                </a:ext>
              </a:extLst>
            </xdr:cNvPr>
            <xdr:cNvSpPr txBox="1"/>
          </xdr:nvSpPr>
          <xdr:spPr>
            <a:xfrm>
              <a:off x="370551" y="8441401"/>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42</xdr:row>
      <xdr:rowOff>7793</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467A85C5-6621-4289-8CA5-778C1CD6E052}"/>
                </a:ext>
              </a:extLst>
            </xdr:cNvPr>
            <xdr:cNvSpPr txBox="1"/>
          </xdr:nvSpPr>
          <xdr:spPr>
            <a:xfrm>
              <a:off x="399992" y="93899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467A85C5-6621-4289-8CA5-778C1CD6E052}"/>
                </a:ext>
              </a:extLst>
            </xdr:cNvPr>
            <xdr:cNvSpPr txBox="1"/>
          </xdr:nvSpPr>
          <xdr:spPr>
            <a:xfrm>
              <a:off x="399992" y="938991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37638</xdr:colOff>
      <xdr:row>32</xdr:row>
      <xdr:rowOff>224732</xdr:rowOff>
    </xdr:from>
    <xdr:ext cx="3848101" cy="2095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5F8E1ED-BEDB-41BE-AF73-E0AE45BA637B}"/>
                </a:ext>
              </a:extLst>
            </xdr:cNvPr>
            <xdr:cNvSpPr txBox="1"/>
          </xdr:nvSpPr>
          <xdr:spPr>
            <a:xfrm>
              <a:off x="399588" y="76637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15F8E1ED-BEDB-41BE-AF73-E0AE45BA637B}"/>
                </a:ext>
              </a:extLst>
            </xdr:cNvPr>
            <xdr:cNvSpPr txBox="1"/>
          </xdr:nvSpPr>
          <xdr:spPr>
            <a:xfrm>
              <a:off x="399588" y="7663757"/>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41.xml><?xml version="1.0" encoding="utf-8"?>
<xdr:wsDr xmlns:xdr="http://schemas.openxmlformats.org/drawingml/2006/spreadsheetDrawing" xmlns:a="http://schemas.openxmlformats.org/drawingml/2006/main">
  <xdr:oneCellAnchor>
    <xdr:from>
      <xdr:col>2</xdr:col>
      <xdr:colOff>15875</xdr:colOff>
      <xdr:row>33</xdr:row>
      <xdr:rowOff>65087</xdr:rowOff>
    </xdr:from>
    <xdr:ext cx="2085186" cy="4544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𝐻𝑉𝐴𝐶</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num>
                      <m:den>
                        <m:r>
                          <a:rPr lang="en-US" sz="1100" b="0" i="1">
                            <a:solidFill>
                              <a:schemeClr val="tx1"/>
                            </a:solidFill>
                            <a:effectLst/>
                            <a:latin typeface="Cambria Math" panose="02040503050406030204" pitchFamily="18" charset="0"/>
                            <a:ea typeface="+mn-ea"/>
                            <a:cs typeface="+mn-cs"/>
                          </a:rPr>
                          <m:t>1000</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2" name="TextBox 1">
              <a:extLst>
                <a:ext uri="{FF2B5EF4-FFF2-40B4-BE49-F238E27FC236}">
                  <a16:creationId xmlns:a16="http://schemas.microsoft.com/office/drawing/2014/main" id="{565397CB-9368-46BC-A051-53F7EF29D0AF}"/>
                </a:ext>
              </a:extLst>
            </xdr:cNvPr>
            <xdr:cNvSpPr txBox="1"/>
          </xdr:nvSpPr>
          <xdr:spPr>
            <a:xfrm>
              <a:off x="377825" y="11790362"/>
              <a:ext cx="2085186" cy="4544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∆𝑊_𝐻𝑉𝐴𝐶∗𝑁𝑆𝐴∗𝑆𝐴𝐹∗𝐶𝐹</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1000 𝑊/𝑘𝑊</a:t>
              </a:r>
              <a:r>
                <a:rPr lang="en-US" sz="1100" b="0" i="0">
                  <a:solidFill>
                    <a:schemeClr val="tx1"/>
                  </a:solidFill>
                  <a:effectLst/>
                  <a:latin typeface="Cambria Math" panose="02040503050406030204" pitchFamily="18" charset="0"/>
                  <a:ea typeface="Cambria Math" panose="02040503050406030204" pitchFamily="18" charset="0"/>
                  <a:cs typeface="+mn-cs"/>
                </a:rPr>
                <a:t>)</a:t>
              </a:r>
              <a:endParaRPr lang="en-US" sz="1100"/>
            </a:p>
          </xdr:txBody>
        </xdr:sp>
      </mc:Fallback>
    </mc:AlternateContent>
    <xdr:clientData/>
  </xdr:oneCellAnchor>
  <xdr:oneCellAnchor>
    <xdr:from>
      <xdr:col>2</xdr:col>
      <xdr:colOff>38100</xdr:colOff>
      <xdr:row>39</xdr:row>
      <xdr:rowOff>19050</xdr:rowOff>
    </xdr:from>
    <xdr:ext cx="2835584"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𝑊h</m:t>
                            </m:r>
                          </m:e>
                          <m:sub>
                            <m:r>
                              <a:rPr lang="en-US" sz="1100" b="0" i="1">
                                <a:solidFill>
                                  <a:schemeClr val="tx1"/>
                                </a:solidFill>
                                <a:effectLst/>
                                <a:latin typeface="Cambria Math" panose="02040503050406030204" pitchFamily="18" charset="0"/>
                                <a:ea typeface="+mn-ea"/>
                                <a:cs typeface="+mn-cs"/>
                              </a:rPr>
                              <m:t>𝐹𝑎𝑛</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𝑁𝑆𝐴</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𝑆𝐴𝐹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0395A873-ACDC-4EF9-9D12-D753729629CC}"/>
                </a:ext>
              </a:extLst>
            </xdr:cNvPr>
            <xdr:cNvSpPr txBox="1"/>
          </xdr:nvSpPr>
          <xdr:spPr>
            <a:xfrm>
              <a:off x="400050" y="12887325"/>
              <a:ext cx="2835584"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∆𝑘〖𝑊ℎ〗_𝐶𝑜𝑜𝑙</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∆𝑘〖𝑊ℎ〗_𝐹𝑎𝑛 )∗𝑁𝑆𝐴∗𝑆𝐴𝐹</a:t>
              </a:r>
              <a:endParaRPr lang="en-US" sz="1100"/>
            </a:p>
          </xdr:txBody>
        </xdr:sp>
      </mc:Fallback>
    </mc:AlternateContent>
    <xdr:clientData/>
  </xdr:oneCellAnchor>
  <xdr:oneCellAnchor>
    <xdr:from>
      <xdr:col>2</xdr:col>
      <xdr:colOff>25400</xdr:colOff>
      <xdr:row>43</xdr:row>
      <xdr:rowOff>6350</xdr:rowOff>
    </xdr:from>
    <xdr:ext cx="1968552"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𝑙𝑖𝑓𝑒</m:t>
                        </m:r>
                      </m:sub>
                    </m:sSub>
                    <m:r>
                      <a:rPr lang="en-US" sz="1100" b="0" i="1">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4482459-219C-4391-A5A4-70B2564808C0}"/>
                </a:ext>
              </a:extLst>
            </xdr:cNvPr>
            <xdr:cNvSpPr txBox="1"/>
          </xdr:nvSpPr>
          <xdr:spPr>
            <a:xfrm>
              <a:off x="387350" y="13636625"/>
              <a:ext cx="1968552"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𝑙𝑖𝑓𝑒=</a:t>
              </a:r>
              <a:r>
                <a:rPr lang="en-US" sz="1100" b="0" i="0">
                  <a:solidFill>
                    <a:schemeClr val="tx1"/>
                  </a:solidFill>
                  <a:effectLst/>
                  <a:latin typeface="Cambria Math" panose="02040503050406030204" pitchFamily="18" charset="0"/>
                  <a:ea typeface="+mn-ea"/>
                  <a:cs typeface="+mn-cs"/>
                </a:rPr>
                <a:t>∆𝑘𝑊ℎ∗𝑃𝐹∗〖𝐸𝑈𝐿〗_𝐸𝐸</a:t>
              </a:r>
              <a:endParaRPr lang="en-US" sz="1100"/>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2</xdr:col>
      <xdr:colOff>28575</xdr:colOff>
      <xdr:row>27</xdr:row>
      <xdr:rowOff>86994</xdr:rowOff>
    </xdr:from>
    <xdr:ext cx="5133976" cy="87503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𝑂</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𝑛</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𝐴𝑐𝑡𝑖𝑣𝑒</m:t>
                        </m:r>
                      </m:sub>
                    </m:sSub>
                    <m:r>
                      <a:rPr lang="en-US" sz="1100" b="0" i="1">
                        <a:solidFill>
                          <a:sysClr val="windowText" lastClr="000000"/>
                        </a:solidFill>
                        <a:latin typeface="Cambria Math" panose="02040503050406030204" pitchFamily="18" charset="0"/>
                        <a:ea typeface="Cambria Math" panose="02040503050406030204" pitchFamily="18" charset="0"/>
                      </a:rPr>
                      <m:t>∗365+</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sub>
                            </m:sSub>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𝑆𝑡𝑎𝑛𝑑𝑏</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𝑦</m:t>
                            </m:r>
                          </m:e>
                          <m:sub>
                            <m:r>
                              <a:rPr lang="en-US" sz="1100" b="0" i="1">
                                <a:solidFill>
                                  <a:sysClr val="windowText" lastClr="000000"/>
                                </a:solidFill>
                                <a:latin typeface="Cambria Math" panose="02040503050406030204" pitchFamily="18" charset="0"/>
                                <a:ea typeface="Cambria Math" panose="02040503050406030204" pitchFamily="18" charset="0"/>
                              </a:rPr>
                              <m:t>𝑀𝑜𝑑</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𝑒</m:t>
                                </m:r>
                              </m:e>
                              <m:sub>
                                <m:r>
                                  <a:rPr lang="en-US" sz="1100" b="0" i="1">
                                    <a:solidFill>
                                      <a:sysClr val="windowText" lastClr="000000"/>
                                    </a:solidFill>
                                    <a:latin typeface="Cambria Math" panose="02040503050406030204" pitchFamily="18" charset="0"/>
                                    <a:ea typeface="Cambria Math" panose="02040503050406030204" pitchFamily="18" charset="0"/>
                                  </a:rPr>
                                  <m:t>𝑊𝑎𝑡𝑡</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𝑠</m:t>
                                    </m:r>
                                  </m:e>
                                  <m:sub>
                                    <m:r>
                                      <a:rPr lang="en-US" sz="1100" b="0" i="1">
                                        <a:solidFill>
                                          <a:sysClr val="windowText" lastClr="000000"/>
                                        </a:solidFill>
                                        <a:latin typeface="Cambria Math" panose="02040503050406030204" pitchFamily="18" charset="0"/>
                                        <a:ea typeface="Cambria Math" panose="02040503050406030204" pitchFamily="18" charset="0"/>
                                      </a:rPr>
                                      <m:t>𝑒𝑒</m:t>
                                    </m:r>
                                  </m:sub>
                                </m:sSub>
                              </m:sub>
                            </m:sSub>
                          </m:sub>
                        </m:sSub>
                      </m:num>
                      <m:den>
                        <m:r>
                          <a:rPr lang="en-US" sz="1100" b="0" i="1">
                            <a:solidFill>
                              <a:sysClr val="windowText" lastClr="000000"/>
                            </a:solidFill>
                            <a:latin typeface="Cambria Math" panose="02040503050406030204" pitchFamily="18" charset="0"/>
                            <a:ea typeface="Cambria Math" panose="02040503050406030204" pitchFamily="18" charset="0"/>
                          </a:rPr>
                          <m:t>1000</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𝑆</m:t>
                        </m:r>
                      </m:e>
                      <m:sub>
                        <m:r>
                          <a:rPr lang="en-US" sz="1100" b="0" i="1">
                            <a:solidFill>
                              <a:sysClr val="windowText" lastClr="000000"/>
                            </a:solidFill>
                            <a:latin typeface="Cambria Math" panose="02040503050406030204" pitchFamily="18" charset="0"/>
                            <a:ea typeface="Cambria Math" panose="02040503050406030204" pitchFamily="18" charset="0"/>
                          </a:rPr>
                          <m:t>𝑆𝑡𝑎𝑛𝑑𝑏𝑦</m:t>
                        </m:r>
                      </m:sub>
                    </m:sSub>
                    <m:r>
                      <a:rPr lang="en-US" sz="1100" b="0" i="1">
                        <a:solidFill>
                          <a:sysClr val="windowText" lastClr="000000"/>
                        </a:solidFill>
                        <a:latin typeface="Cambria Math" panose="02040503050406030204" pitchFamily="18" charset="0"/>
                        <a:ea typeface="Cambria Math" panose="02040503050406030204" pitchFamily="18" charset="0"/>
                      </a:rPr>
                      <m:t>∗365</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9C827848-FBDE-4427-B48D-5389CD473AFB}"/>
                </a:ext>
              </a:extLst>
            </xdr:cNvPr>
            <xdr:cNvSpPr txBox="1"/>
          </xdr:nvSpPr>
          <xdr:spPr>
            <a:xfrm>
              <a:off x="447675" y="5459094"/>
              <a:ext cx="5133976" cy="87503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𝑘𝑊ℎ=(𝑂𝑛_(𝑀𝑜𝑑𝑒_(𝑊𝑎𝑡𝑡𝑠_𝑏𝑎𝑠𝑒 ) )−𝑂𝑛_(𝑀𝑜𝑑𝑒_(𝑊𝑎𝑡𝑡𝑠_𝑒𝑒 ) ))/1000∗𝐻𝑅𝑆_𝐴𝑐𝑡𝑖𝑣𝑒∗365+(𝑆𝑡𝑎𝑛𝑑𝑏𝑦_(𝑀𝑜𝑑𝑒_(𝑊𝑎𝑡𝑡𝑠_𝑏𝑎𝑠𝑒 ) )−𝑆𝑡𝑎𝑛𝑑𝑏𝑦_(𝑀𝑜𝑑𝑒_(𝑊𝑎𝑡𝑡𝑠_𝑒𝑒 ) ))/1000∗𝐻𝑅𝑆_𝑆𝑡𝑎𝑛𝑑𝑏𝑦∗365</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28574</xdr:colOff>
      <xdr:row>34</xdr:row>
      <xdr:rowOff>121920</xdr:rowOff>
    </xdr:from>
    <xdr:ext cx="5086351" cy="54483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𝑏𝑎𝑠𝑒</m:t>
                                        </m:r>
                                      </m:sub>
                                    </m:sSub>
                                  </m:sub>
                                </m:sSub>
                              </m:sub>
                            </m:sSub>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𝑂</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𝑛</m:t>
                                </m:r>
                              </m:e>
                              <m:sub>
                                <m:r>
                                  <a:rPr lang="en-US" sz="1100" b="0" i="1">
                                    <a:solidFill>
                                      <a:schemeClr val="tx1"/>
                                    </a:solidFill>
                                    <a:effectLst/>
                                    <a:latin typeface="Cambria Math" panose="02040503050406030204" pitchFamily="18" charset="0"/>
                                    <a:ea typeface="+mn-ea"/>
                                    <a:cs typeface="+mn-cs"/>
                                  </a:rPr>
                                  <m:t>𝑀𝑜𝑑</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𝑒</m:t>
                                    </m:r>
                                  </m:e>
                                  <m:sub>
                                    <m:r>
                                      <a:rPr lang="en-US" sz="1100" b="0" i="1">
                                        <a:solidFill>
                                          <a:schemeClr val="tx1"/>
                                        </a:solidFill>
                                        <a:effectLst/>
                                        <a:latin typeface="Cambria Math" panose="02040503050406030204" pitchFamily="18" charset="0"/>
                                        <a:ea typeface="+mn-ea"/>
                                        <a:cs typeface="+mn-cs"/>
                                      </a:rPr>
                                      <m:t>𝑊𝑎𝑡𝑡</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𝑠</m:t>
                                        </m:r>
                                      </m:e>
                                      <m:sub>
                                        <m:r>
                                          <a:rPr lang="en-US" sz="1100" b="0" i="1">
                                            <a:solidFill>
                                              <a:schemeClr val="tx1"/>
                                            </a:solidFill>
                                            <a:effectLst/>
                                            <a:latin typeface="Cambria Math" panose="02040503050406030204" pitchFamily="18" charset="0"/>
                                            <a:ea typeface="+mn-ea"/>
                                            <a:cs typeface="+mn-cs"/>
                                          </a:rPr>
                                          <m:t>𝑒𝑒</m:t>
                                        </m:r>
                                      </m:sub>
                                    </m:sSub>
                                  </m:sub>
                                </m:sSub>
                              </m:sub>
                            </m:sSub>
                          </m:e>
                        </m:d>
                      </m:num>
                      <m:den>
                        <m:r>
                          <a:rPr lang="en-US" sz="1100" b="0" i="1">
                            <a:solidFill>
                              <a:schemeClr val="tx1"/>
                            </a:solidFill>
                            <a:effectLst/>
                            <a:latin typeface="Cambria Math" panose="02040503050406030204" pitchFamily="18" charset="0"/>
                            <a:ea typeface="+mn-ea"/>
                            <a:cs typeface="+mn-cs"/>
                          </a:rPr>
                          <m:t>1000</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D197FD92-FCC3-428C-9DA6-3012238398E4}"/>
                </a:ext>
              </a:extLst>
            </xdr:cNvPr>
            <xdr:cNvSpPr txBox="1"/>
          </xdr:nvSpPr>
          <xdr:spPr>
            <a:xfrm>
              <a:off x="447674" y="6827520"/>
              <a:ext cx="5086351" cy="54483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=((𝑂𝑛_(𝑀𝑜𝑑𝑒_(𝑊𝑎𝑡𝑡𝑠_𝑏𝑎𝑠𝑒 ) )− 𝑂𝑛_(𝑀𝑜𝑑𝑒_(𝑊𝑎𝑡𝑡𝑠_𝑒𝑒 ) ) ))/1000∗𝐶𝐹</a:t>
              </a:r>
              <a:endParaRPr lang="en-US" sz="1100">
                <a:solidFill>
                  <a:sysClr val="windowText" lastClr="000000"/>
                </a:solidFill>
                <a:latin typeface="Cambria Math" panose="02040503050406030204" pitchFamily="18" charset="0"/>
                <a:ea typeface="Cambria Math" panose="02040503050406030204" pitchFamily="18" charset="0"/>
              </a:endParaRPr>
            </a:p>
            <a:p>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32708</xdr:colOff>
      <xdr:row>45</xdr:row>
      <xdr:rowOff>16355</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1270FA6-BE0D-4FB7-9797-5C2F1A4198FC}"/>
                </a:ext>
              </a:extLst>
            </xdr:cNvPr>
            <xdr:cNvSpPr txBox="1"/>
          </xdr:nvSpPr>
          <xdr:spPr>
            <a:xfrm>
              <a:off x="451808" y="881745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29210</xdr:colOff>
      <xdr:row>41</xdr:row>
      <xdr:rowOff>10795</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b="0" i="1">
                        <a:solidFill>
                          <a:sysClr val="windowText" lastClr="000000"/>
                        </a:solidFill>
                        <a:effectLst/>
                        <a:latin typeface="Cambria Math" panose="02040503050406030204" pitchFamily="18" charset="0"/>
                        <a:ea typeface="+mn-ea"/>
                        <a:cs typeface="+mn-cs"/>
                      </a:rPr>
                      <m:t>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𝑁𝑜𝑛</m:t>
                    </m:r>
                    <m:r>
                      <a:rPr lang="en-US" sz="1100" b="0" i="1">
                        <a:solidFill>
                          <a:sysClr val="windowText" lastClr="000000"/>
                        </a:solidFill>
                        <a:effectLst/>
                        <a:latin typeface="Cambria Math" panose="02040503050406030204" pitchFamily="18" charset="0"/>
                        <a:ea typeface="+mn-ea"/>
                        <a:cs typeface="+mn-cs"/>
                      </a:rPr>
                      <m:t> 4</m:t>
                    </m:r>
                    <m:r>
                      <a:rPr lang="en-US" sz="1100" b="0" i="1">
                        <a:solidFill>
                          <a:sysClr val="windowText" lastClr="000000"/>
                        </a:solidFill>
                        <a:effectLst/>
                        <a:latin typeface="Cambria Math" panose="02040503050406030204" pitchFamily="18" charset="0"/>
                        <a:ea typeface="+mn-ea"/>
                        <a:cs typeface="+mn-cs"/>
                      </a:rPr>
                      <m:t>𝐾</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𝑊𝑎𝑡𝑡𝑎𝑔𝑒</m:t>
                    </m:r>
                    <m:r>
                      <a:rPr lang="en-US" sz="1100" b="0" i="1">
                        <a:solidFill>
                          <a:sysClr val="windowText" lastClr="000000"/>
                        </a:solidFill>
                        <a:effectLst/>
                        <a:latin typeface="Cambria Math" panose="02040503050406030204" pitchFamily="18" charset="0"/>
                        <a:ea typeface="+mn-ea"/>
                        <a:cs typeface="+mn-cs"/>
                      </a:rPr>
                      <m:t>∗1.5) </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A7FC597D-8A97-4695-97B2-72CE7DEF3FAE}"/>
                </a:ext>
              </a:extLst>
            </xdr:cNvPr>
            <xdr:cNvSpPr txBox="1"/>
          </xdr:nvSpPr>
          <xdr:spPr>
            <a:xfrm>
              <a:off x="448310" y="8049895"/>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4𝐾 𝑊𝑎𝑡𝑡𝑎𝑔𝑒=(𝑁𝑜𝑛 4𝐾 𝑊𝑎𝑡𝑡𝑎𝑔𝑒∗1.5) </a:t>
              </a:r>
              <a:endParaRPr lang="en-US" sz="1100">
                <a:solidFill>
                  <a:sysClr val="windowText" lastClr="000000"/>
                </a:solidFill>
              </a:endParaRPr>
            </a:p>
          </xdr:txBody>
        </xdr:sp>
      </mc:Fallback>
    </mc:AlternateContent>
    <xdr:clientData/>
  </xdr:oneCellAnchor>
</xdr:wsDr>
</file>

<file path=xl/drawings/drawing43.xml><?xml version="1.0" encoding="utf-8"?>
<xdr:wsDr xmlns:xdr="http://schemas.openxmlformats.org/drawingml/2006/spreadsheetDrawing" xmlns:a="http://schemas.openxmlformats.org/drawingml/2006/main">
  <xdr:oneCellAnchor>
    <xdr:from>
      <xdr:col>1</xdr:col>
      <xdr:colOff>133350</xdr:colOff>
      <xdr:row>63</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85C78A8-3B21-42ED-89E9-727805A3E4A9}"/>
                </a:ext>
              </a:extLst>
            </xdr:cNvPr>
            <xdr:cNvSpPr txBox="1"/>
          </xdr:nvSpPr>
          <xdr:spPr>
            <a:xfrm>
              <a:off x="314325" y="10753725"/>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chemeClr val="tx1"/>
                  </a:solidFill>
                  <a:effectLst/>
                  <a:latin typeface="Cambria Math" panose="02040503050406030204" pitchFamily="18" charset="0"/>
                  <a:ea typeface="+mn-ea"/>
                  <a:cs typeface="+mn-cs"/>
                </a:rPr>
                <a:t>(</a:t>
              </a:r>
              <a:r>
                <a:rPr lang="en-US" sz="1100" b="0" i="0">
                  <a:solidFill>
                    <a:schemeClr val="tx1"/>
                  </a:solidFill>
                  <a:effectLst/>
                  <a:latin typeface="+mn-lt"/>
                  <a:ea typeface="+mn-ea"/>
                  <a:cs typeface="+mn-cs"/>
                </a:rPr>
                <a:t>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r>
                <a:rPr lang="en-US" sz="1100" b="0" i="0">
                  <a:solidFill>
                    <a:schemeClr val="tx1"/>
                  </a:solidFill>
                  <a:effectLst/>
                  <a:latin typeface="Cambria Math" panose="02040503050406030204" pitchFamily="18" charset="0"/>
                  <a:ea typeface="+mn-ea"/>
                  <a:cs typeface="+mn-cs"/>
                </a:rPr>
                <a:t>)</a:t>
              </a:r>
              <a:endParaRPr lang="en-US" sz="1100">
                <a:solidFill>
                  <a:sysClr val="windowText" lastClr="000000"/>
                </a:solidFill>
              </a:endParaRPr>
            </a:p>
          </xdr:txBody>
        </xdr:sp>
      </mc:Fallback>
    </mc:AlternateContent>
    <xdr:clientData/>
  </xdr:oneCellAnchor>
  <xdr:oneCellAnchor>
    <xdr:from>
      <xdr:col>1</xdr:col>
      <xdr:colOff>133350</xdr:colOff>
      <xdr:row>46</xdr:row>
      <xdr:rowOff>180976</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010A591-54F4-4ACB-B01E-44812933D430}"/>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〖((1〗∕〖〖𝐸𝐸𝑅〗_(𝐵𝐿,1)−〗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54</xdr:row>
      <xdr:rowOff>178750</xdr:rowOff>
    </xdr:from>
    <xdr:ext cx="4895850" cy="25939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C3F1D328-F791-46E9-A96C-657A950EF204}"/>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〖((1〗∕〖〖𝐶𝐸𝐸𝑅〗_(𝐵𝐿,1)−〗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50</xdr:row>
      <xdr:rowOff>180976</xdr:rowOff>
    </xdr:from>
    <xdr:ext cx="5200650" cy="229378"/>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35D970A0-3AB5-48D3-8CEB-10546603EE7B}"/>
                </a:ext>
              </a:extLst>
            </xdr:cNvPr>
            <xdr:cNvSpPr txBox="1"/>
          </xdr:nvSpPr>
          <xdr:spPr>
            <a:xfrm>
              <a:off x="314325" y="7686676"/>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〖((1〗∕〖〖𝐸𝐸𝑅〗_(𝐵𝐿,2)−〗  1∕〖〖𝐸𝐸𝑅〗_𝐸𝐸)/1000)〗∗𝐶𝐹∗𝑃𝐹</a:t>
              </a:r>
              <a:endParaRPr lang="en-US" sz="1100">
                <a:solidFill>
                  <a:sysClr val="windowText" lastClr="000000"/>
                </a:solidFill>
              </a:endParaRPr>
            </a:p>
          </xdr:txBody>
        </xdr:sp>
      </mc:Fallback>
    </mc:AlternateContent>
    <xdr:clientData/>
  </xdr:oneCellAnchor>
  <xdr:oneCellAnchor>
    <xdr:from>
      <xdr:col>1</xdr:col>
      <xdr:colOff>123825</xdr:colOff>
      <xdr:row>58</xdr:row>
      <xdr:rowOff>178750</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E3D5093-439B-4A94-BA0E-1A0EA599A850}"/>
                </a:ext>
              </a:extLst>
            </xdr:cNvPr>
            <xdr:cNvSpPr txBox="1"/>
          </xdr:nvSpPr>
          <xdr:spPr>
            <a:xfrm>
              <a:off x="304800" y="9208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〖((1〗∕〖〖𝐶𝐸𝐸𝑅〗_(𝐵𝐿,2)−〗  1∕〖〖𝐶𝐸𝐸𝑅〗_𝐸𝐸)/1000)〗∗𝐸𝐹𝐿𝐻∗𝑃𝐹</a:t>
              </a:r>
              <a:endParaRPr lang="en-US" sz="1100">
                <a:solidFill>
                  <a:sysClr val="windowText" lastClr="000000"/>
                </a:solidFill>
              </a:endParaRPr>
            </a:p>
          </xdr:txBody>
        </xdr:sp>
      </mc:Fallback>
    </mc:AlternateContent>
    <xdr:clientData/>
  </xdr:oneCellAnchor>
  <xdr:oneCellAnchor>
    <xdr:from>
      <xdr:col>1</xdr:col>
      <xdr:colOff>133350</xdr:colOff>
      <xdr:row>67</xdr:row>
      <xdr:rowOff>9525</xdr:rowOff>
    </xdr:from>
    <xdr:ext cx="2895599" cy="1831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𝑅𝑂𝐵</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E501586-1F7C-4E2C-ACA1-AAEF739EAE2D}"/>
                </a:ext>
              </a:extLst>
            </xdr:cNvPr>
            <xdr:cNvSpPr txBox="1"/>
          </xdr:nvSpPr>
          <xdr:spPr>
            <a:xfrm>
              <a:off x="314325" y="1075372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𝑅𝑂𝐵)</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𝑘𝑊ℎ〗_2𝑛𝑑</a:t>
              </a:r>
              <a:r>
                <a:rPr lang="en-US" sz="1100" b="0" i="0">
                  <a:solidFill>
                    <a:sysClr val="windowText" lastClr="000000"/>
                  </a:solidFill>
                  <a:effectLst/>
                  <a:latin typeface="Cambria Math" panose="02040503050406030204" pitchFamily="18" charset="0"/>
                  <a:ea typeface="+mn-ea"/>
                  <a:cs typeface="+mn-cs"/>
                </a:rPr>
                <a:t>∗𝐸𝑈𝐿</a:t>
              </a:r>
              <a:endParaRPr lang="en-US" sz="1100">
                <a:solidFill>
                  <a:sysClr val="windowText" lastClr="000000"/>
                </a:solidFill>
              </a:endParaRP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133350</xdr:colOff>
      <xdr:row>45</xdr:row>
      <xdr:rowOff>9525</xdr:rowOff>
    </xdr:from>
    <xdr:ext cx="2895599"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DDE7BE9-AD04-41E2-93EB-72F7D240E90C}"/>
                </a:ext>
              </a:extLst>
            </xdr:cNvPr>
            <xdr:cNvSpPr txBox="1"/>
          </xdr:nvSpPr>
          <xdr:spPr>
            <a:xfrm>
              <a:off x="314325" y="13363575"/>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1</xdr:col>
      <xdr:colOff>133350</xdr:colOff>
      <xdr:row>37</xdr:row>
      <xdr:rowOff>47626</xdr:rowOff>
    </xdr:from>
    <xdr:ext cx="3705225" cy="1722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19C1879-0470-4E07-B5EE-65B5B222551C}"/>
                </a:ext>
              </a:extLst>
            </xdr:cNvPr>
            <xdr:cNvSpPr txBox="1"/>
          </xdr:nvSpPr>
          <xdr:spPr>
            <a:xfrm>
              <a:off x="314325" y="11877676"/>
              <a:ext cx="37052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〖((1〗∕〖〖𝐸𝐸𝑅〗_𝐵𝐿−〗  1∕〖〖𝐸𝐸𝑅〗_𝐸𝐸)/1000)〗∗𝐶𝐹∗𝑃𝐹</a:t>
              </a:r>
              <a:endParaRPr lang="en-US" sz="1100">
                <a:solidFill>
                  <a:sysClr val="windowText" lastClr="000000"/>
                </a:solidFill>
              </a:endParaRPr>
            </a:p>
          </xdr:txBody>
        </xdr:sp>
      </mc:Fallback>
    </mc:AlternateContent>
    <xdr:clientData/>
  </xdr:oneCellAnchor>
  <xdr:oneCellAnchor>
    <xdr:from>
      <xdr:col>1</xdr:col>
      <xdr:colOff>152400</xdr:colOff>
      <xdr:row>41</xdr:row>
      <xdr:rowOff>19050</xdr:rowOff>
    </xdr:from>
    <xdr:ext cx="465772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B911F3E6-134D-44B8-B66D-C549F6F59572}"/>
                </a:ext>
              </a:extLst>
            </xdr:cNvPr>
            <xdr:cNvSpPr txBox="1"/>
          </xdr:nvSpPr>
          <xdr:spPr>
            <a:xfrm>
              <a:off x="333375" y="13401675"/>
              <a:ext cx="46577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〖((1〗∕〖(〖𝐶)𝑆𝐸𝐸𝑅〗_𝐵𝐿−〗  1∕〖〖𝑆𝐸𝐸𝑅〗_𝐸𝐸)/1000)〗∗𝐸𝐹𝐿𝐻∗𝑃𝐹</a:t>
              </a:r>
              <a:endParaRPr lang="en-US" sz="1100">
                <a:solidFill>
                  <a:sysClr val="windowText" lastClr="000000"/>
                </a:solidFill>
              </a:endParaRPr>
            </a:p>
          </xdr:txBody>
        </xdr:sp>
      </mc:Fallback>
    </mc:AlternateContent>
    <xdr:clientData/>
  </xdr:oneCellAnchor>
</xdr:wsDr>
</file>

<file path=xl/drawings/drawing45.xml><?xml version="1.0" encoding="utf-8"?>
<xdr:wsDr xmlns:xdr="http://schemas.openxmlformats.org/drawingml/2006/spreadsheetDrawing" xmlns:a="http://schemas.openxmlformats.org/drawingml/2006/main">
  <xdr:oneCellAnchor>
    <xdr:from>
      <xdr:col>1</xdr:col>
      <xdr:colOff>114300</xdr:colOff>
      <xdr:row>61</xdr:row>
      <xdr:rowOff>9525</xdr:rowOff>
    </xdr:from>
    <xdr:ext cx="4953000"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r>
                          <a:rPr lang="en-US" sz="1100" b="0" i="1">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𝐸𝑅</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𝐸𝑈𝐿</m:t>
                        </m:r>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427FFC8C-6CD8-49B6-9842-745BF4909916}"/>
                </a:ext>
              </a:extLst>
            </xdr:cNvPr>
            <xdr:cNvSpPr txBox="1"/>
          </xdr:nvSpPr>
          <xdr:spPr>
            <a:xfrm>
              <a:off x="295275" y="18459450"/>
              <a:ext cx="49530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 𝐸𝑅)</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a:t>
              </a:r>
              <a:r>
                <a:rPr lang="en-US" sz="1100" b="0" i="0">
                  <a:solidFill>
                    <a:sysClr val="windowText" lastClr="000000"/>
                  </a:solidFill>
                  <a:effectLst/>
                  <a:latin typeface="Cambria Math" panose="02040503050406030204" pitchFamily="18" charset="0"/>
                  <a:ea typeface="+mn-ea"/>
                  <a:cs typeface="+mn-cs"/>
                </a:rPr>
                <a:t>∗𝑅𝑈𝐿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a:t>
              </a:r>
              <a:r>
                <a:rPr lang="en-US" sz="1100" b="0" i="0">
                  <a:solidFill>
                    <a:schemeClr val="tx1"/>
                  </a:solidFill>
                  <a:effectLst/>
                  <a:latin typeface="Cambria Math" panose="02040503050406030204" pitchFamily="18" charset="0"/>
                  <a:ea typeface="Cambria Math" panose="02040503050406030204" pitchFamily="18" charset="0"/>
                  <a:cs typeface="+mn-cs"/>
                </a:rPr>
                <a:t>−𝑅𝑈𝐿)</a:t>
              </a:r>
              <a:endParaRPr lang="en-US" sz="1100">
                <a:solidFill>
                  <a:sysClr val="windowText" lastClr="000000"/>
                </a:solidFill>
              </a:endParaRPr>
            </a:p>
          </xdr:txBody>
        </xdr:sp>
      </mc:Fallback>
    </mc:AlternateContent>
    <xdr:clientData/>
  </xdr:oneCellAnchor>
  <xdr:oneCellAnchor>
    <xdr:from>
      <xdr:col>1</xdr:col>
      <xdr:colOff>85725</xdr:colOff>
      <xdr:row>43</xdr:row>
      <xdr:rowOff>0</xdr:rowOff>
    </xdr:from>
    <xdr:ext cx="5200650" cy="22937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7FA2B20C-9F12-421A-AD3C-77A590507846}"/>
                </a:ext>
              </a:extLst>
            </xdr:cNvPr>
            <xdr:cNvSpPr txBox="1"/>
          </xdr:nvSpPr>
          <xdr:spPr>
            <a:xfrm>
              <a:off x="266700" y="150209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〖(〖𝐶𝑜𝑛𝑣〗_𝐸𝐸𝑅2∗(1〗∕〖〖𝐸𝐸𝑅〗_(𝐵𝐿,1))−〗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48</xdr:row>
      <xdr:rowOff>0</xdr:rowOff>
    </xdr:from>
    <xdr:ext cx="5200650" cy="22937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𝐶𝐹</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D86514D6-8930-4651-A029-77B431099F90}"/>
                </a:ext>
              </a:extLst>
            </xdr:cNvPr>
            <xdr:cNvSpPr txBox="1"/>
          </xdr:nvSpPr>
          <xdr:spPr>
            <a:xfrm>
              <a:off x="285750" y="15973425"/>
              <a:ext cx="5200650" cy="22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〖((1〗∕〖〖𝐸𝐸𝑅2〗_(𝐵𝐿,2)−〗  1∕〖〖𝐸𝐸𝑅2〗_𝐸𝐸)/1000)〗∗𝐶𝐹∗𝑃𝐹</a:t>
              </a:r>
              <a:endParaRPr lang="en-US" sz="1100">
                <a:solidFill>
                  <a:sysClr val="windowText" lastClr="000000"/>
                </a:solidFill>
              </a:endParaRPr>
            </a:p>
          </xdr:txBody>
        </xdr:sp>
      </mc:Fallback>
    </mc:AlternateContent>
    <xdr:clientData/>
  </xdr:oneCellAnchor>
  <xdr:oneCellAnchor>
    <xdr:from>
      <xdr:col>1</xdr:col>
      <xdr:colOff>104775</xdr:colOff>
      <xdr:row>52</xdr:row>
      <xdr:rowOff>0</xdr:rowOff>
    </xdr:from>
    <xdr:ext cx="5297366" cy="259399"/>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𝑠𝑡</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𝐶𝑜𝑛𝑣</m:t>
                            </m:r>
                          </m:e>
                          <m:sub>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7FCF7A54-BB86-40A7-985A-CC67B69918C4}"/>
                </a:ext>
              </a:extLst>
            </xdr:cNvPr>
            <xdr:cNvSpPr txBox="1"/>
          </xdr:nvSpPr>
          <xdr:spPr>
            <a:xfrm>
              <a:off x="285750" y="16735425"/>
              <a:ext cx="5297366"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𝑘𝑊ℎ〗_1𝑠𝑡</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〖(〖𝐶𝑜𝑛𝑣〗_𝑆𝐸𝐸𝑅2∗(1〗∕〖〖𝑆𝐸𝐸𝑅〗_(𝐵𝐿,1))−〗  1∕〖〖𝑆𝐸𝐸𝑅2〗_𝐸𝐸)/1000)〗∗𝐸𝐹𝐿𝐻∗𝑃𝐹</a:t>
              </a:r>
              <a:endParaRPr lang="en-US" sz="1100">
                <a:solidFill>
                  <a:sysClr val="windowText" lastClr="000000"/>
                </a:solidFill>
              </a:endParaRPr>
            </a:p>
          </xdr:txBody>
        </xdr:sp>
      </mc:Fallback>
    </mc:AlternateContent>
    <xdr:clientData/>
  </xdr:oneCellAnchor>
  <xdr:oneCellAnchor>
    <xdr:from>
      <xdr:col>1</xdr:col>
      <xdr:colOff>104775</xdr:colOff>
      <xdr:row>57</xdr:row>
      <xdr:rowOff>9525</xdr:rowOff>
    </xdr:from>
    <xdr:ext cx="4895850" cy="25939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r>
                          <a:rPr lang="en-US" sz="1100" b="0" i="1">
                            <a:solidFill>
                              <a:sysClr val="windowText" lastClr="000000"/>
                            </a:solidFill>
                            <a:effectLst/>
                            <a:latin typeface="Cambria Math" panose="02040503050406030204" pitchFamily="18" charset="0"/>
                            <a:ea typeface="+mn-ea"/>
                            <a:cs typeface="+mn-cs"/>
                          </a:rPr>
                          <m:t>𝑛𝑑</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𝐶𝑎𝑝𝑎𝑐𝑖𝑡𝑦</m:t>
                    </m:r>
                    <m:r>
                      <a:rPr lang="en-US" sz="1100" b="0" i="1">
                        <a:solidFill>
                          <a:sysClr val="windowText" lastClr="000000"/>
                        </a:solidFill>
                        <a:latin typeface="Cambria Math" panose="02040503050406030204" pitchFamily="18" charset="0"/>
                        <a:ea typeface="Cambria Math" panose="02040503050406030204" pitchFamily="18" charset="0"/>
                      </a:rPr>
                      <m:t>∗</m:t>
                    </m:r>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𝐵𝐿</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en>
                    </m:f>
                    <m:f>
                      <m:fPr>
                        <m:type m:val="lin"/>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1</m:t>
                        </m:r>
                      </m:num>
                      <m:den>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𝑆𝐸𝐸𝑅</m:t>
                            </m:r>
                            <m:r>
                              <a:rPr lang="en-US" sz="1100" b="0" i="1">
                                <a:solidFill>
                                  <a:sysClr val="windowText" lastClr="000000"/>
                                </a:solidFill>
                                <a:effectLst/>
                                <a:latin typeface="Cambria Math" panose="02040503050406030204" pitchFamily="18" charset="0"/>
                                <a:ea typeface="+mn-ea"/>
                                <a:cs typeface="+mn-cs"/>
                              </a:rPr>
                              <m:t>2</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)/1000)</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𝐸𝐹𝐿𝐻</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9D8C0B1A-D4F1-4318-ABA5-B59E4DC9AF57}"/>
                </a:ext>
              </a:extLst>
            </xdr:cNvPr>
            <xdr:cNvSpPr txBox="1"/>
          </xdr:nvSpPr>
          <xdr:spPr>
            <a:xfrm>
              <a:off x="285750" y="17697450"/>
              <a:ext cx="4895850" cy="25939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𝑘𝑊ℎ〗_2𝑛𝑑</a:t>
              </a:r>
              <a:r>
                <a:rPr lang="en-US" sz="1100" b="0" i="0">
                  <a:solidFill>
                    <a:sysClr val="windowText" lastClr="000000"/>
                  </a:solidFill>
                  <a:latin typeface="Cambria Math" panose="02040503050406030204" pitchFamily="18" charset="0"/>
                  <a:ea typeface="Cambria Math" panose="02040503050406030204" pitchFamily="18" charset="0"/>
                </a:rPr>
                <a:t>=𝐶𝑎𝑝𝑎𝑐𝑖𝑡𝑦∗</a:t>
              </a:r>
              <a:r>
                <a:rPr lang="en-US" sz="1100" b="0" i="0">
                  <a:solidFill>
                    <a:sysClr val="windowText" lastClr="000000"/>
                  </a:solidFill>
                  <a:effectLst/>
                  <a:latin typeface="Cambria Math" panose="02040503050406030204" pitchFamily="18" charset="0"/>
                  <a:ea typeface="+mn-ea"/>
                  <a:cs typeface="+mn-cs"/>
                </a:rPr>
                <a:t>〖((1〗∕〖〖𝑆𝐸𝐸𝑅2〗_(𝐵𝐿,2)−〗  1∕〖〖𝑆𝐸𝐸𝑅2〗_𝐸𝐸)/1000)〗∗𝐸𝐹𝐿𝐻∗𝑃𝐹</a:t>
              </a:r>
              <a:endParaRPr lang="en-US" sz="1100">
                <a:solidFill>
                  <a:sysClr val="windowText" lastClr="000000"/>
                </a:solidFill>
              </a:endParaRPr>
            </a:p>
          </xdr:txBody>
        </xdr:sp>
      </mc:Fallback>
    </mc:AlternateContent>
    <xdr:clientData/>
  </xdr:oneCellAnchor>
</xdr:wsDr>
</file>

<file path=xl/drawings/drawing46.xml><?xml version="1.0" encoding="utf-8"?>
<xdr:wsDr xmlns:xdr="http://schemas.openxmlformats.org/drawingml/2006/spreadsheetDrawing" xmlns:a="http://schemas.openxmlformats.org/drawingml/2006/main">
  <xdr:oneCellAnchor>
    <xdr:from>
      <xdr:col>2</xdr:col>
      <xdr:colOff>19050</xdr:colOff>
      <xdr:row>30</xdr:row>
      <xdr:rowOff>19050</xdr:rowOff>
    </xdr:from>
    <xdr:ext cx="1308100"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=0</m:t>
                    </m:r>
                  </m:oMath>
                </m:oMathPara>
              </a14:m>
              <a:endParaRPr lang="en-US" sz="1100"/>
            </a:p>
          </xdr:txBody>
        </xdr:sp>
      </mc:Choice>
      <mc:Fallback xmlns="">
        <xdr:sp macro="" textlink="">
          <xdr:nvSpPr>
            <xdr:cNvPr id="2" name="TextBox 1">
              <a:extLst>
                <a:ext uri="{FF2B5EF4-FFF2-40B4-BE49-F238E27FC236}">
                  <a16:creationId xmlns:a16="http://schemas.microsoft.com/office/drawing/2014/main" id="{7A11AC9A-FD05-4DCB-ABAC-3CE72DD41E61}"/>
                </a:ext>
              </a:extLst>
            </xdr:cNvPr>
            <xdr:cNvSpPr txBox="1"/>
          </xdr:nvSpPr>
          <xdr:spPr>
            <a:xfrm>
              <a:off x="400050" y="7419975"/>
              <a:ext cx="1308100"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𝑘𝑊=0</a:t>
              </a:r>
              <a:endParaRPr lang="en-US" sz="1100"/>
            </a:p>
          </xdr:txBody>
        </xdr:sp>
      </mc:Fallback>
    </mc:AlternateContent>
    <xdr:clientData/>
  </xdr:oneCellAnchor>
  <xdr:oneCellAnchor>
    <xdr:from>
      <xdr:col>2</xdr:col>
      <xdr:colOff>28576</xdr:colOff>
      <xdr:row>34</xdr:row>
      <xdr:rowOff>38101</xdr:rowOff>
    </xdr:from>
    <xdr:ext cx="2895600" cy="47625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𝐶𝐴𝑃</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𝐸𝐹𝐿𝐻</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𝐸𝑆𝐹</m:t>
                            </m:r>
                          </m:e>
                          <m:sub>
                            <m:r>
                              <a:rPr lang="en-US" sz="1100" b="0" i="1">
                                <a:solidFill>
                                  <a:schemeClr val="tx1"/>
                                </a:solidFill>
                                <a:effectLst/>
                                <a:latin typeface="Cambria Math" panose="02040503050406030204" pitchFamily="18" charset="0"/>
                                <a:ea typeface="+mn-ea"/>
                                <a:cs typeface="+mn-cs"/>
                              </a:rPr>
                              <m:t>𝑐𝑜𝑜𝑙</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𝐼𝑆𝑅</m:t>
                        </m:r>
                      </m:num>
                      <m:den>
                        <m:r>
                          <a:rPr lang="en-US" sz="1100" b="0" i="1">
                            <a:solidFill>
                              <a:schemeClr val="tx1"/>
                            </a:solidFill>
                            <a:effectLst/>
                            <a:latin typeface="Cambria Math" panose="02040503050406030204" pitchFamily="18" charset="0"/>
                            <a:ea typeface="+mn-ea"/>
                            <a:cs typeface="+mn-cs"/>
                          </a:rPr>
                          <m:t>𝑆𝐸𝐸𝑅</m:t>
                        </m:r>
                        <m:r>
                          <a:rPr lang="en-US" sz="1100" b="0" i="1">
                            <a:solidFill>
                              <a:schemeClr val="tx1"/>
                            </a:solidFill>
                            <a:effectLst/>
                            <a:latin typeface="Cambria Math" panose="02040503050406030204" pitchFamily="18" charset="0"/>
                            <a:ea typeface="+mn-ea"/>
                            <a:cs typeface="+mn-cs"/>
                          </a:rPr>
                          <m:t>∗1000 </m:t>
                        </m:r>
                        <m:f>
                          <m:fPr>
                            <m:type m:val="skw"/>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r>
                              <a:rPr lang="en-US" sz="1100" b="0" i="1">
                                <a:solidFill>
                                  <a:schemeClr val="tx1"/>
                                </a:solidFill>
                                <a:effectLst/>
                                <a:latin typeface="Cambria Math" panose="02040503050406030204" pitchFamily="18" charset="0"/>
                                <a:ea typeface="+mn-ea"/>
                                <a:cs typeface="+mn-cs"/>
                              </a:rPr>
                              <m:t>𝑘𝑊</m:t>
                            </m:r>
                          </m:den>
                        </m:f>
                      </m:den>
                    </m:f>
                  </m:oMath>
                </m:oMathPara>
              </a14:m>
              <a:endParaRPr lang="en-US" sz="1100"/>
            </a:p>
          </xdr:txBody>
        </xdr:sp>
      </mc:Choice>
      <mc:Fallback xmlns="">
        <xdr:sp macro="" textlink="">
          <xdr:nvSpPr>
            <xdr:cNvPr id="3" name="TextBox 2">
              <a:extLst>
                <a:ext uri="{FF2B5EF4-FFF2-40B4-BE49-F238E27FC236}">
                  <a16:creationId xmlns:a16="http://schemas.microsoft.com/office/drawing/2014/main" id="{29B4D114-BDFC-4F6F-9026-94C3E7FC6DEE}"/>
                </a:ext>
              </a:extLst>
            </xdr:cNvPr>
            <xdr:cNvSpPr txBox="1"/>
          </xdr:nvSpPr>
          <xdr:spPr>
            <a:xfrm>
              <a:off x="409576" y="8201026"/>
              <a:ext cx="2895600" cy="476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(〖𝐶𝐴𝑃〗_𝑐𝑜𝑜𝑙∗〖𝐸𝐹𝐿𝐻〗_𝑐𝑜𝑜𝑙∗〖𝐸𝑆𝐹〗_𝑐𝑜𝑜𝑙∗𝐼𝑆𝑅)/(𝑆𝐸𝐸𝑅∗1000 𝑊⁄𝑘𝑊)</a:t>
              </a:r>
              <a:endParaRPr lang="en-US" sz="1100"/>
            </a:p>
          </xdr:txBody>
        </xdr:sp>
      </mc:Fallback>
    </mc:AlternateContent>
    <xdr:clientData/>
  </xdr:oneCellAnchor>
  <xdr:oneCellAnchor>
    <xdr:from>
      <xdr:col>2</xdr:col>
      <xdr:colOff>18512</xdr:colOff>
      <xdr:row>39</xdr:row>
      <xdr:rowOff>180976</xdr:rowOff>
    </xdr:from>
    <xdr:ext cx="2353214"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BFB0376E-8D87-4AD0-ACF7-0A4F75671964}"/>
                </a:ext>
              </a:extLst>
            </xdr:cNvPr>
            <xdr:cNvSpPr txBox="1"/>
          </xdr:nvSpPr>
          <xdr:spPr>
            <a:xfrm>
              <a:off x="399512" y="9296401"/>
              <a:ext cx="2353214"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wsDr>
</file>

<file path=xl/drawings/drawing47.xml><?xml version="1.0" encoding="utf-8"?>
<xdr:wsDr xmlns:xdr="http://schemas.openxmlformats.org/drawingml/2006/spreadsheetDrawing" xmlns:a="http://schemas.openxmlformats.org/drawingml/2006/main">
  <xdr:oneCellAnchor>
    <xdr:from>
      <xdr:col>1</xdr:col>
      <xdr:colOff>57150</xdr:colOff>
      <xdr:row>28</xdr:row>
      <xdr:rowOff>28575</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A86623A3-E564-4AB2-9EAA-FFD3F13074B4}"/>
                </a:ext>
              </a:extLst>
            </xdr:cNvPr>
            <xdr:cNvSpPr txBox="1"/>
          </xdr:nvSpPr>
          <xdr:spPr>
            <a:xfrm>
              <a:off x="238125" y="6724650"/>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75121</xdr:colOff>
      <xdr:row>32</xdr:row>
      <xdr:rowOff>34507</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oMath>
              </a14:m>
              <a:r>
                <a:rPr lang="en-US" sz="1100">
                  <a:solidFill>
                    <a:sysClr val="windowText" lastClr="000000"/>
                  </a:solidFill>
                  <a:latin typeface="Cambria Math" panose="02040503050406030204" pitchFamily="18" charset="0"/>
                  <a:ea typeface="Cambria Math" panose="02040503050406030204" pitchFamily="18" charset="0"/>
                </a:rPr>
                <a:t>* CF</a:t>
              </a:r>
            </a:p>
          </xdr:txBody>
        </xdr:sp>
      </mc:Choice>
      <mc:Fallback xmlns="">
        <xdr:sp macro="" textlink="">
          <xdr:nvSpPr>
            <xdr:cNvPr id="3" name="TextBox 2">
              <a:extLst>
                <a:ext uri="{FF2B5EF4-FFF2-40B4-BE49-F238E27FC236}">
                  <a16:creationId xmlns:a16="http://schemas.microsoft.com/office/drawing/2014/main" id="{5AA113F5-AC4F-43A0-9035-3216A79B4CCB}"/>
                </a:ext>
              </a:extLst>
            </xdr:cNvPr>
            <xdr:cNvSpPr txBox="1"/>
          </xdr:nvSpPr>
          <xdr:spPr>
            <a:xfrm>
              <a:off x="256096" y="7578307"/>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a:t>
              </a:r>
              <a:r>
                <a:rPr lang="en-US" sz="1100">
                  <a:solidFill>
                    <a:sysClr val="windowText" lastClr="000000"/>
                  </a:solidFill>
                  <a:latin typeface="Cambria Math" panose="02040503050406030204" pitchFamily="18" charset="0"/>
                  <a:ea typeface="Cambria Math" panose="02040503050406030204" pitchFamily="18" charset="0"/>
                </a:rPr>
                <a:t>* CF</a:t>
              </a:r>
            </a:p>
          </xdr:txBody>
        </xdr:sp>
      </mc:Fallback>
    </mc:AlternateContent>
    <xdr:clientData/>
  </xdr:oneCellAnchor>
  <xdr:oneCellAnchor>
    <xdr:from>
      <xdr:col>1</xdr:col>
      <xdr:colOff>84107</xdr:colOff>
      <xdr:row>36</xdr:row>
      <xdr:rowOff>40978</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2E141347-3411-4A36-9603-7DA66D2A6FBA}"/>
                </a:ext>
              </a:extLst>
            </xdr:cNvPr>
            <xdr:cNvSpPr txBox="1"/>
          </xdr:nvSpPr>
          <xdr:spPr>
            <a:xfrm>
              <a:off x="265082" y="8422978"/>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8.xml><?xml version="1.0" encoding="utf-8"?>
<xdr:wsDr xmlns:xdr="http://schemas.openxmlformats.org/drawingml/2006/spreadsheetDrawing" xmlns:a="http://schemas.openxmlformats.org/drawingml/2006/main">
  <xdr:oneCellAnchor>
    <xdr:from>
      <xdr:col>1</xdr:col>
      <xdr:colOff>62901</xdr:colOff>
      <xdr:row>27</xdr:row>
      <xdr:rowOff>26956</xdr:rowOff>
    </xdr:from>
    <xdr:ext cx="5148891" cy="26059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𝐸𝐹𝐿𝐻</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𝑊𝐻𝐹</m:t>
                        </m:r>
                      </m:sub>
                    </m:sSub>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2" name="TextBox 1">
              <a:extLst>
                <a:ext uri="{FF2B5EF4-FFF2-40B4-BE49-F238E27FC236}">
                  <a16:creationId xmlns:a16="http://schemas.microsoft.com/office/drawing/2014/main" id="{0C81F8A8-F4CA-4860-AFA2-EB5868197944}"/>
                </a:ext>
              </a:extLst>
            </xdr:cNvPr>
            <xdr:cNvSpPr txBox="1"/>
          </xdr:nvSpPr>
          <xdr:spPr>
            <a:xfrm>
              <a:off x="243876" y="7970806"/>
              <a:ext cx="5148891"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𝐸𝐹𝐿𝐻 − 〖</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80872</xdr:colOff>
      <xdr:row>31</xdr:row>
      <xdr:rowOff>35943</xdr:rowOff>
    </xdr:from>
    <xdr:ext cx="5059033" cy="26059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𝐴𝐶</m:t>
                      </m:r>
                    </m:e>
                    <m:sub>
                      <m:r>
                        <a:rPr lang="en-US" sz="1100" b="0" i="1">
                          <a:solidFill>
                            <a:sysClr val="windowText" lastClr="000000"/>
                          </a:solidFill>
                          <a:effectLst/>
                          <a:latin typeface="Cambria Math" panose="02040503050406030204" pitchFamily="18" charset="0"/>
                          <a:ea typeface="+mn-ea"/>
                          <a:cs typeface="+mn-cs"/>
                        </a:rPr>
                        <m:t>𝑐𝑎𝑝</m:t>
                      </m:r>
                    </m:sub>
                  </m:sSub>
                  <m:r>
                    <a:rPr lang="en-US" sz="1100" b="0" i="1">
                      <a:solidFill>
                        <a:sysClr val="windowText" lastClr="000000"/>
                      </a:solidFill>
                      <a:latin typeface="Cambria Math" panose="02040503050406030204" pitchFamily="18" charset="0"/>
                      <a:ea typeface="Cambria Math" panose="02040503050406030204" pitchFamily="18" charset="0"/>
                    </a:rPr>
                    <m:t>/ 1000 ∗ (1 / (</m:t>
                  </m:r>
                  <m:r>
                    <a:rPr lang="en-US" sz="1100" b="0" i="1">
                      <a:solidFill>
                        <a:sysClr val="windowText" lastClr="000000"/>
                      </a:solidFill>
                      <a:latin typeface="Cambria Math" panose="02040503050406030204" pitchFamily="18" charset="0"/>
                      <a:ea typeface="Cambria Math" panose="02040503050406030204" pitchFamily="18" charset="0"/>
                    </a:rPr>
                    <m:t>𝐶𝐸𝐸𝑅</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𝑜𝑟</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𝑆𝐸𝐸𝑅</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𝑠𝑣𝑔𝑠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𝑎𝑐</m:t>
                      </m:r>
                    </m:sub>
                  </m:sSub>
                  <m:r>
                    <a:rPr lang="en-US" sz="1100" b="0" i="1">
                      <a:solidFill>
                        <a:sysClr val="windowText" lastClr="000000"/>
                      </a:solidFill>
                      <a:latin typeface="Cambria Math" panose="02040503050406030204" pitchFamily="18" charset="0"/>
                      <a:ea typeface="Cambria Math" panose="02040503050406030204" pitchFamily="18" charset="0"/>
                    </a:rPr>
                    <m:t> ∗ </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𝑊𝐻𝐹</m:t>
                      </m:r>
                    </m:sub>
                  </m:sSub>
                </m:oMath>
              </a14:m>
              <a:r>
                <a:rPr lang="en-US" sz="1100">
                  <a:solidFill>
                    <a:sysClr val="windowText" lastClr="000000"/>
                  </a:solidFill>
                  <a:latin typeface="Cambria Math" panose="02040503050406030204" pitchFamily="18" charset="0"/>
                  <a:ea typeface="Cambria Math" panose="02040503050406030204" pitchFamily="18" charset="0"/>
                </a:rPr>
                <a:t>) * CF</a:t>
              </a:r>
            </a:p>
          </xdr:txBody>
        </xdr:sp>
      </mc:Choice>
      <mc:Fallback xmlns="">
        <xdr:sp macro="" textlink="">
          <xdr:nvSpPr>
            <xdr:cNvPr id="3" name="TextBox 2">
              <a:extLst>
                <a:ext uri="{FF2B5EF4-FFF2-40B4-BE49-F238E27FC236}">
                  <a16:creationId xmlns:a16="http://schemas.microsoft.com/office/drawing/2014/main" id="{191E3B8F-B259-4F42-84FE-D35D82D5874B}"/>
                </a:ext>
              </a:extLst>
            </xdr:cNvPr>
            <xdr:cNvSpPr txBox="1"/>
          </xdr:nvSpPr>
          <xdr:spPr>
            <a:xfrm>
              <a:off x="261847" y="8827518"/>
              <a:ext cx="5059033" cy="26059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ysClr val="windowText" lastClr="000000"/>
                  </a:solidFill>
                  <a:effectLst/>
                  <a:latin typeface="Cambria Math" panose="02040503050406030204" pitchFamily="18" charset="0"/>
                  <a:ea typeface="+mn-ea"/>
                  <a:cs typeface="+mn-cs"/>
                </a:rPr>
                <a:t>𝐴𝐶</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𝑐𝑎𝑝</a:t>
              </a:r>
              <a:r>
                <a:rPr lang="en-US" sz="1100" b="0" i="0">
                  <a:solidFill>
                    <a:sysClr val="windowText" lastClr="000000"/>
                  </a:solidFill>
                  <a:latin typeface="Cambria Math" panose="02040503050406030204" pitchFamily="18" charset="0"/>
                  <a:ea typeface="Cambria Math" panose="02040503050406030204" pitchFamily="18" charset="0"/>
                </a:rPr>
                <a:t>/ 1000 ∗ (1 / (𝐶𝐸𝐸𝑅 𝑜𝑟 𝑆𝐸𝐸𝑅)) ∗ </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𝑠𝑣𝑔𝑠,𝑎𝑐</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 ∗ 𝑃𝐹 − 〖</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effectLst/>
                  <a:latin typeface="Cambria Math" panose="02040503050406030204" pitchFamily="18" charset="0"/>
                  <a:ea typeface="+mn-ea"/>
                  <a:cs typeface="+mn-cs"/>
                </a:rPr>
                <a:t>𝑊𝐻𝐹</a:t>
              </a:r>
              <a:r>
                <a:rPr lang="en-US" sz="1100">
                  <a:solidFill>
                    <a:sysClr val="windowText" lastClr="000000"/>
                  </a:solidFill>
                  <a:latin typeface="Cambria Math" panose="02040503050406030204" pitchFamily="18" charset="0"/>
                  <a:ea typeface="Cambria Math" panose="02040503050406030204" pitchFamily="18" charset="0"/>
                </a:rPr>
                <a:t>) * CF</a:t>
              </a:r>
            </a:p>
          </xdr:txBody>
        </xdr:sp>
      </mc:Fallback>
    </mc:AlternateContent>
    <xdr:clientData/>
  </xdr:oneCellAnchor>
  <xdr:oneCellAnchor>
    <xdr:from>
      <xdr:col>1</xdr:col>
      <xdr:colOff>89858</xdr:colOff>
      <xdr:row>35</xdr:row>
      <xdr:rowOff>44930</xdr:rowOff>
    </xdr:from>
    <xdr:ext cx="3914775"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06D9A3D8-BC3E-4E0E-999D-E73D7A1751AB}"/>
                </a:ext>
              </a:extLst>
            </xdr:cNvPr>
            <xdr:cNvSpPr txBox="1"/>
          </xdr:nvSpPr>
          <xdr:spPr>
            <a:xfrm>
              <a:off x="270833" y="9674705"/>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drawings/drawing49.xml><?xml version="1.0" encoding="utf-8"?>
<xdr:wsDr xmlns:xdr="http://schemas.openxmlformats.org/drawingml/2006/spreadsheetDrawing" xmlns:a="http://schemas.openxmlformats.org/drawingml/2006/main">
  <xdr:oneCellAnchor>
    <xdr:from>
      <xdr:col>2</xdr:col>
      <xdr:colOff>1</xdr:colOff>
      <xdr:row>40</xdr:row>
      <xdr:rowOff>9525</xdr:rowOff>
    </xdr:from>
    <xdr:ext cx="4876799" cy="2063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7F7996C0-E172-4F5E-A82A-AF905A2EDEFF}"/>
                </a:ext>
              </a:extLst>
            </xdr:cNvPr>
            <xdr:cNvSpPr txBox="1"/>
          </xdr:nvSpPr>
          <xdr:spPr>
            <a:xfrm>
              <a:off x="381001" y="77914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31</xdr:row>
      <xdr:rowOff>171449</xdr:rowOff>
    </xdr:from>
    <xdr:ext cx="4981575" cy="2381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B994C65F-90F4-4DD6-A464-E08C26AB5C06}"/>
                </a:ext>
              </a:extLst>
            </xdr:cNvPr>
            <xdr:cNvSpPr txBox="1"/>
          </xdr:nvSpPr>
          <xdr:spPr>
            <a:xfrm>
              <a:off x="387350" y="6324599"/>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48</xdr:row>
      <xdr:rowOff>6351</xdr:rowOff>
    </xdr:from>
    <xdr:ext cx="3914775"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7B1B262-4488-4EC9-BD21-09AC43AFBD77}"/>
                </a:ext>
              </a:extLst>
            </xdr:cNvPr>
            <xdr:cNvSpPr txBox="1"/>
          </xdr:nvSpPr>
          <xdr:spPr>
            <a:xfrm>
              <a:off x="349250" y="92360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44</xdr:row>
      <xdr:rowOff>0</xdr:rowOff>
    </xdr:from>
    <xdr:ext cx="4914900" cy="22860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F360813A-0CB4-4022-AD17-233D4A61E0FC}"/>
                </a:ext>
              </a:extLst>
            </xdr:cNvPr>
            <xdr:cNvSpPr txBox="1"/>
          </xdr:nvSpPr>
          <xdr:spPr>
            <a:xfrm>
              <a:off x="381000" y="85058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35</xdr:row>
      <xdr:rowOff>171449</xdr:rowOff>
    </xdr:from>
    <xdr:ext cx="4962526" cy="23812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𝐿𝐸𝐷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9" name="TextBox 8">
              <a:extLst>
                <a:ext uri="{FF2B5EF4-FFF2-40B4-BE49-F238E27FC236}">
                  <a16:creationId xmlns:a16="http://schemas.microsoft.com/office/drawing/2014/main" id="{CB00FAF0-9628-42AC-BA44-AD38288F35CB}"/>
                </a:ext>
              </a:extLst>
            </xdr:cNvPr>
            <xdr:cNvSpPr txBox="1"/>
          </xdr:nvSpPr>
          <xdr:spPr>
            <a:xfrm>
              <a:off x="387350" y="7048499"/>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2𝑛𝑑=(〖𝑘𝑊〗_(𝑏𝑎𝑠𝑒,2)−〖𝑘𝑊〗_𝐿𝐸𝐷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52</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2D66C6EE-9A2D-4E3C-B6DB-8EC7359F0475}"/>
                </a:ext>
              </a:extLst>
            </xdr:cNvPr>
            <xdr:cNvSpPr txBox="1"/>
          </xdr:nvSpPr>
          <xdr:spPr>
            <a:xfrm>
              <a:off x="349250" y="99599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𝑘𝑊ℎ〗_2𝑛𝑑∗〖𝐸𝑈𝐿〗_𝐿𝐸𝐷</a:t>
              </a:r>
              <a:endParaRPr lang="en-US" sz="1100"/>
            </a:p>
          </xdr:txBody>
        </xdr:sp>
      </mc:Fallback>
    </mc:AlternateContent>
    <xdr:clientData/>
  </xdr:oneCellAnchor>
  <xdr:oneCellAnchor>
    <xdr:from>
      <xdr:col>1</xdr:col>
      <xdr:colOff>171450</xdr:colOff>
      <xdr:row>56</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521890E7-5C9E-4A6B-BB4E-2D4D29961435}"/>
                </a:ext>
              </a:extLst>
            </xdr:cNvPr>
            <xdr:cNvSpPr txBox="1"/>
          </xdr:nvSpPr>
          <xdr:spPr>
            <a:xfrm>
              <a:off x="361950" y="10685462"/>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58</xdr:row>
      <xdr:rowOff>0</xdr:rowOff>
    </xdr:from>
    <xdr:ext cx="2150845"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12" name="TextBox 11">
              <a:extLst>
                <a:ext uri="{FF2B5EF4-FFF2-40B4-BE49-F238E27FC236}">
                  <a16:creationId xmlns:a16="http://schemas.microsoft.com/office/drawing/2014/main" id="{26F42337-43B3-4EB7-997A-F0B712E9D103}"/>
                </a:ext>
              </a:extLst>
            </xdr:cNvPr>
            <xdr:cNvSpPr txBox="1"/>
          </xdr:nvSpPr>
          <xdr:spPr>
            <a:xfrm>
              <a:off x="349250" y="11039475"/>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CB9A2535-D297-4709-A70E-D8DF41170AA8}"/>
                </a:ext>
              </a:extLst>
            </xdr:cNvPr>
            <xdr:cNvSpPr txBox="1"/>
          </xdr:nvSpPr>
          <xdr:spPr>
            <a:xfrm>
              <a:off x="361950" y="8562975"/>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53</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45AEA370-333C-4F80-945D-81C59C4A2886}"/>
                </a:ext>
              </a:extLst>
            </xdr:cNvPr>
            <xdr:cNvSpPr txBox="1"/>
          </xdr:nvSpPr>
          <xdr:spPr>
            <a:xfrm>
              <a:off x="361951" y="1316355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57</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9F4CC3C-3CC4-452F-A508-D7691A6CA88A}"/>
                </a:ext>
              </a:extLst>
            </xdr:cNvPr>
            <xdr:cNvSpPr txBox="1"/>
          </xdr:nvSpPr>
          <xdr:spPr>
            <a:xfrm>
              <a:off x="361950" y="1392555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161924</xdr:rowOff>
    </xdr:from>
    <xdr:ext cx="4505325" cy="20741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359BBAB6-9E09-4044-9ABE-2B69C4AB328E}"/>
                </a:ext>
              </a:extLst>
            </xdr:cNvPr>
            <xdr:cNvSpPr txBox="1"/>
          </xdr:nvSpPr>
          <xdr:spPr>
            <a:xfrm>
              <a:off x="361950" y="9667874"/>
              <a:ext cx="4505325" cy="2074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𝐸_(𝑐𝑜𝑛𝑣𝑒𝑐𝑡𝑖𝑜𝑛, 𝐻𝐸 )+ 𝐸_(𝑠𝑡𝑒𝑎𝑚, 𝐻𝐸)+𝐸_(𝑖𝑑𝑙𝑒,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3693</xdr:colOff>
      <xdr:row>31</xdr:row>
      <xdr:rowOff>184669</xdr:rowOff>
    </xdr:from>
    <xdr:ext cx="5122117" cy="17354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10A642F2-BF49-4A0E-A72A-D8941D0CE4A4}"/>
                </a:ext>
              </a:extLst>
            </xdr:cNvPr>
            <xdr:cNvSpPr txBox="1"/>
          </xdr:nvSpPr>
          <xdr:spPr>
            <a:xfrm>
              <a:off x="365643" y="9585844"/>
              <a:ext cx="5122117" cy="1735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𝐸_(𝑐𝑜𝑛𝑣𝑒𝑐𝑡𝑖𝑜𝑛, 𝐵𝑎𝑠𝑒𝑙𝑖𝑛𝑒 )+ 〖𝐸_(𝑠𝑡𝑒𝑎𝑚, 𝐵𝑎𝑠𝑒𝑙𝑖𝑛𝑒 )+𝐸〗_(𝑖𝑑𝑙𝑒, 𝐵𝑎𝑠𝑒𝑙𝑖𝑛𝑒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66675</xdr:colOff>
      <xdr:row>36</xdr:row>
      <xdr:rowOff>0</xdr:rowOff>
    </xdr:from>
    <xdr:ext cx="3400426"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𝐸𝑃𝑀𝑐𝑜𝑛𝑣𝑒𝑐𝑡𝑖𝑜</m:t>
                    </m:r>
                    <m:r>
                      <a:rPr lang="en-US" sz="1100" b="0" i="1" baseline="-25000">
                        <a:solidFill>
                          <a:schemeClr val="tx1"/>
                        </a:solidFill>
                        <a:effectLst/>
                        <a:latin typeface="Cambria Math" panose="02040503050406030204" pitchFamily="18" charset="0"/>
                        <a:ea typeface="+mn-ea"/>
                        <a:cs typeface="+mn-cs"/>
                      </a:rPr>
                      <m:t>𝑛</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66A868EA-2008-440B-A0EB-D70FE59FF148}"/>
                </a:ext>
              </a:extLst>
            </xdr:cNvPr>
            <xdr:cNvSpPr txBox="1"/>
          </xdr:nvSpPr>
          <xdr:spPr>
            <a:xfrm>
              <a:off x="247650" y="10058400"/>
              <a:ext cx="3400426"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chemeClr val="tx1"/>
                  </a:solidFill>
                  <a:effectLst/>
                  <a:latin typeface="Cambria Math" panose="02040503050406030204" pitchFamily="18" charset="0"/>
                  <a:ea typeface="+mn-ea"/>
                  <a:cs typeface="+mn-cs"/>
                </a:rPr>
                <a:t>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ƞ_(𝑐𝑜𝑛𝑣𝑒𝑐𝑡𝑖𝑜𝑛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76201</xdr:colOff>
      <xdr:row>38</xdr:row>
      <xdr:rowOff>0</xdr:rowOff>
    </xdr:from>
    <xdr:ext cx="2647950"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𝐸𝑃𝑀𝑠𝑡𝑒𝑎𝑚</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𝑠𝑡𝑒𝑎𝑚</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4CBAB6EC-6C27-482C-8654-641304DA135F}"/>
                </a:ext>
              </a:extLst>
            </xdr:cNvPr>
            <xdr:cNvSpPr txBox="1"/>
          </xdr:nvSpPr>
          <xdr:spPr>
            <a:xfrm>
              <a:off x="257176" y="10420350"/>
              <a:ext cx="264795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𝐸_𝑠𝑡𝑒𝑎𝑚  </a:t>
              </a:r>
              <a:r>
                <a:rPr lang="en-US" sz="1100" b="0" i="0">
                  <a:solidFill>
                    <a:sysClr val="windowText" lastClr="000000"/>
                  </a:solidFill>
                  <a:latin typeface="Cambria Math" panose="02040503050406030204" pitchFamily="18" charset="0"/>
                  <a:ea typeface="Cambria Math" panose="02040503050406030204" pitchFamily="18" charset="0"/>
                </a:rPr>
                <a:t>=𝐸𝑃𝑀</a:t>
              </a:r>
              <a:r>
                <a:rPr lang="en-US" sz="1100" b="0" i="0" baseline="-25000">
                  <a:solidFill>
                    <a:sysClr val="windowText" lastClr="000000"/>
                  </a:solidFill>
                  <a:latin typeface="Cambria Math" panose="02040503050406030204" pitchFamily="18" charset="0"/>
                  <a:ea typeface="Cambria Math" panose="02040503050406030204" pitchFamily="18" charset="0"/>
                </a:rPr>
                <a:t>𝑠𝑡𝑒𝑎𝑚</a:t>
              </a:r>
              <a:r>
                <a:rPr lang="en-US" sz="1100" b="0" i="0">
                  <a:solidFill>
                    <a:sysClr val="windowText" lastClr="000000"/>
                  </a:solidFill>
                  <a:latin typeface="Cambria Math" panose="02040503050406030204" pitchFamily="18" charset="0"/>
                  <a:ea typeface="Cambria Math" panose="02040503050406030204" pitchFamily="18" charset="0"/>
                </a:rPr>
                <a:t> ∗𝑀𝐴𝑆𝑆𝐷𝐴𝑌/ </a:t>
              </a:r>
              <a:r>
                <a:rPr lang="en-US" sz="1100" b="0" i="0">
                  <a:solidFill>
                    <a:schemeClr val="tx1"/>
                  </a:solidFill>
                  <a:effectLst/>
                  <a:latin typeface="Cambria Math" panose="02040503050406030204" pitchFamily="18" charset="0"/>
                  <a:ea typeface="+mn-ea"/>
                  <a:cs typeface="+mn-cs"/>
                </a:rPr>
                <a:t>ƞ_𝑠𝑡𝑒𝑎𝑚</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42</xdr:row>
      <xdr:rowOff>0</xdr:rowOff>
    </xdr:from>
    <xdr:ext cx="4876800" cy="257175"/>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r>
                        <a:rPr lang="en-US" sz="1100" b="0" i="1">
                          <a:solidFill>
                            <a:schemeClr val="tx1"/>
                          </a:solidFill>
                          <a:effectLst/>
                          <a:latin typeface="Cambria Math" panose="02040503050406030204" pitchFamily="18" charset="0"/>
                          <a:ea typeface="+mn-ea"/>
                          <a:cs typeface="+mn-cs"/>
                        </a:rPr>
                        <m:t> </m:t>
                      </m:r>
                    </m:sub>
                  </m:sSub>
                </m:oMath>
              </a14:m>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E3368394-C9C3-4D27-9D04-B6C07466C2FF}"/>
                </a:ext>
              </a:extLst>
            </xdr:cNvPr>
            <xdr:cNvSpPr txBox="1"/>
          </xdr:nvSpPr>
          <xdr:spPr>
            <a:xfrm>
              <a:off x="361950" y="1114425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𝐸_(𝑖𝑑𝑙𝑒,𝑐𝑜𝑛𝑣𝑒𝑐𝑡𝑖𝑜𝑛)</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𝑐𝑜𝑛𝑣𝑒𝑐𝑡𝑖𝑜𝑛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19049</xdr:colOff>
      <xdr:row>46</xdr:row>
      <xdr:rowOff>9525</xdr:rowOff>
    </xdr:from>
    <xdr:ext cx="3781425" cy="304800"/>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𝑐𝑜𝑛𝑣𝑒𝑐𝑡𝑖𝑜𝑛</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𝐶𝐴𝑃𝑐𝑜𝑛𝑣𝑒𝑐𝑡𝑖𝑜𝑛</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F8F8FD43-E01A-43A8-9951-320968B7E3E8}"/>
                </a:ext>
              </a:extLst>
            </xdr:cNvPr>
            <xdr:cNvSpPr txBox="1"/>
          </xdr:nvSpPr>
          <xdr:spPr>
            <a:xfrm>
              <a:off x="380999" y="118776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𝑡_(𝑖𝑑𝑙𝑒,𝑐𝑜𝑛𝑣𝑒𝑐𝑡𝑖𝑜𝑛)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48</xdr:row>
      <xdr:rowOff>142875</xdr:rowOff>
    </xdr:from>
    <xdr:ext cx="3781425" cy="304800"/>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𝐶𝐴𝑃𝑠𝑡𝑒𝑎𝑚</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38D7709E-B349-406E-976A-A4870412671D}"/>
                </a:ext>
              </a:extLst>
            </xdr:cNvPr>
            <xdr:cNvSpPr txBox="1"/>
          </xdr:nvSpPr>
          <xdr:spPr>
            <a:xfrm>
              <a:off x="381000" y="12372975"/>
              <a:ext cx="3781425"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𝑡_(𝑖𝑑𝑙𝑒,𝑠𝑡𝑒𝑎𝑚)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𝑀𝐴𝑆𝑆𝐷𝐴𝑌/𝐶𝐴𝑃𝑠𝑡𝑒𝑎𝑚)</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44</xdr:row>
      <xdr:rowOff>0</xdr:rowOff>
    </xdr:from>
    <xdr:ext cx="4876800" cy="257175"/>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108C462A-7F39-401B-B6BD-14DEDE7A89BF}"/>
                </a:ext>
              </a:extLst>
            </xdr:cNvPr>
            <xdr:cNvSpPr txBox="1"/>
          </xdr:nvSpPr>
          <xdr:spPr>
            <a:xfrm>
              <a:off x="361950" y="115062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𝐸_(𝑖𝑑𝑙𝑒,𝑠𝑡𝑒𝑎𝑚)</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𝑃_(𝑖𝑑𝑙𝑒,𝑠𝑡𝑒𝑎𝑚)</a:t>
              </a:r>
              <a:r>
                <a:rPr lang="en-US" sz="1100" i="1">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a:t>
              </a:r>
              <a:r>
                <a:rPr lang="en-US" sz="1100" i="1" baseline="0">
                  <a:solidFill>
                    <a:schemeClr val="tx1"/>
                  </a:solidFill>
                  <a:effectLst/>
                  <a:latin typeface="+mn-lt"/>
                  <a:ea typeface="+mn-ea"/>
                  <a:cs typeface="+mn-cs"/>
                </a:rPr>
                <a:t> </a:t>
              </a:r>
              <a:r>
                <a:rPr lang="en-US" sz="1100" i="1" baseline="-25000">
                  <a:solidFill>
                    <a:schemeClr val="tx1"/>
                  </a:solidFill>
                  <a:effectLst/>
                  <a:latin typeface="+mn-lt"/>
                  <a:ea typeface="+mn-ea"/>
                  <a:cs typeface="+mn-cs"/>
                </a:rPr>
                <a:t> </a:t>
              </a:r>
              <a:r>
                <a:rPr lang="en-US" sz="1100" b="0" i="0">
                  <a:solidFill>
                    <a:schemeClr val="tx1"/>
                  </a:solidFill>
                  <a:effectLst/>
                  <a:latin typeface="Cambria Math" panose="02040503050406030204" pitchFamily="18" charset="0"/>
                  <a:ea typeface="+mn-ea"/>
                  <a:cs typeface="+mn-cs"/>
                </a:rPr>
                <a:t>𝑡_(𝑖𝑑𝑙𝑒,𝑠𝑡𝑒𝑎𝑚)</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40</xdr:row>
      <xdr:rowOff>0</xdr:rowOff>
    </xdr:from>
    <xdr:ext cx="4876800" cy="257175"/>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𝑐𝑜𝑛𝑣𝑒𝑐𝑡𝑖𝑜𝑛</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𝑠𝑡𝑒𝑎𝑚</m:t>
                      </m:r>
                    </m:sub>
                  </m:sSub>
                </m:oMath>
              </a14:m>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37373678-7D30-48F6-A18E-4A476437F015}"/>
                </a:ext>
              </a:extLst>
            </xdr:cNvPr>
            <xdr:cNvSpPr txBox="1"/>
          </xdr:nvSpPr>
          <xdr:spPr>
            <a:xfrm>
              <a:off x="361950" y="10782300"/>
              <a:ext cx="4876800"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𝐸_(𝑖𝑑𝑙𝑒, 𝑐𝑜𝑛𝑣𝑒𝑐𝑡𝑖𝑜𝑛)</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𝐸_(𝑖𝑑𝑙𝑒,𝑠𝑡𝑒𝑎𝑚)</a:t>
              </a:r>
              <a:r>
                <a:rPr lang="en-US" sz="1100" i="1">
                  <a:solidFill>
                    <a:schemeClr val="tx1"/>
                  </a:solidFill>
                  <a:effectLst/>
                  <a:latin typeface="+mn-lt"/>
                  <a:ea typeface="+mn-ea"/>
                  <a:cs typeface="+mn-cs"/>
                </a:rPr>
                <a:t> </a:t>
              </a:r>
              <a:r>
                <a:rPr lang="en-US" sz="1100" i="0">
                  <a:solidFill>
                    <a:schemeClr val="tx1"/>
                  </a:solidFill>
                  <a:effectLst/>
                  <a:latin typeface="+mn-lt"/>
                  <a:ea typeface="+mn-ea"/>
                  <a:cs typeface="+mn-cs"/>
                </a:rPr>
                <a:t> </a:t>
              </a:r>
              <a:endParaRPr lang="en-US" sz="11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0.xml><?xml version="1.0" encoding="utf-8"?>
<xdr:wsDr xmlns:xdr="http://schemas.openxmlformats.org/drawingml/2006/spreadsheetDrawing" xmlns:a="http://schemas.openxmlformats.org/drawingml/2006/main">
  <xdr:oneCellAnchor>
    <xdr:from>
      <xdr:col>1</xdr:col>
      <xdr:colOff>177801</xdr:colOff>
      <xdr:row>38</xdr:row>
      <xdr:rowOff>171450</xdr:rowOff>
    </xdr:from>
    <xdr:ext cx="4905374" cy="257176"/>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63E0A479-8523-48F8-96D8-860F99204D43}"/>
                </a:ext>
              </a:extLst>
            </xdr:cNvPr>
            <xdr:cNvSpPr txBox="1"/>
          </xdr:nvSpPr>
          <xdr:spPr>
            <a:xfrm>
              <a:off x="368301" y="10086975"/>
              <a:ext cx="4905374" cy="2571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819650"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,1</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3EF9F9D7-63FE-483B-A183-F1F412FB0F4A}"/>
                </a:ext>
              </a:extLst>
            </xdr:cNvPr>
            <xdr:cNvSpPr txBox="1"/>
          </xdr:nvSpPr>
          <xdr:spPr>
            <a:xfrm>
              <a:off x="387350" y="8639174"/>
              <a:ext cx="481965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a:t>
              </a:r>
              <a:r>
                <a:rPr lang="en-US" sz="1100" b="0" i="0">
                  <a:solidFill>
                    <a:schemeClr val="tx1"/>
                  </a:solidFill>
                  <a:effectLst/>
                  <a:latin typeface="Cambria Math" panose="02040503050406030204" pitchFamily="18" charset="0"/>
                  <a:ea typeface="+mn-ea"/>
                  <a:cs typeface="+mn-cs"/>
                </a:rPr>
                <a:t>〖𝑘𝑊〗_(𝑐𝑡𝑟𝑙,1)</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𝐷𝑢𝑎𝑙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7" name="TextBox 6">
              <a:extLst>
                <a:ext uri="{FF2B5EF4-FFF2-40B4-BE49-F238E27FC236}">
                  <a16:creationId xmlns:a16="http://schemas.microsoft.com/office/drawing/2014/main" id="{AA968269-950C-4985-8AFC-EF57489CD369}"/>
                </a:ext>
              </a:extLst>
            </xdr:cNvPr>
            <xdr:cNvSpPr txBox="1"/>
          </xdr:nvSpPr>
          <xdr:spPr>
            <a:xfrm>
              <a:off x="349250" y="115506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𝐷𝑢𝑎𝑙=</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1</xdr:col>
      <xdr:colOff>158750</xdr:colOff>
      <xdr:row>51</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10" name="TextBox 9">
              <a:extLst>
                <a:ext uri="{FF2B5EF4-FFF2-40B4-BE49-F238E27FC236}">
                  <a16:creationId xmlns:a16="http://schemas.microsoft.com/office/drawing/2014/main" id="{F859CEAB-7E0C-4A05-BFE3-F4C9F9C062CD}"/>
                </a:ext>
              </a:extLst>
            </xdr:cNvPr>
            <xdr:cNvSpPr txBox="1"/>
          </xdr:nvSpPr>
          <xdr:spPr>
            <a:xfrm>
              <a:off x="349250" y="12274551"/>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𝑘𝑊ℎ〗_2𝑛𝑑∗〖𝐸𝑈𝐿〗_𝐸𝐸</a:t>
              </a:r>
              <a:endParaRPr lang="en-US" sz="1100"/>
            </a:p>
          </xdr:txBody>
        </xdr:sp>
      </mc:Fallback>
    </mc:AlternateContent>
    <xdr:clientData/>
  </xdr:oneCellAnchor>
  <xdr:oneCellAnchor>
    <xdr:from>
      <xdr:col>1</xdr:col>
      <xdr:colOff>177800</xdr:colOff>
      <xdr:row>35</xdr:row>
      <xdr:rowOff>0</xdr:rowOff>
    </xdr:from>
    <xdr:ext cx="4410075" cy="238125"/>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1" name="TextBox 10">
              <a:extLst>
                <a:ext uri="{FF2B5EF4-FFF2-40B4-BE49-F238E27FC236}">
                  <a16:creationId xmlns:a16="http://schemas.microsoft.com/office/drawing/2014/main" id="{190433FB-CA10-492A-A01D-F804DFB9E025}"/>
                </a:ext>
              </a:extLst>
            </xdr:cNvPr>
            <xdr:cNvSpPr txBox="1"/>
          </xdr:nvSpPr>
          <xdr:spPr>
            <a:xfrm>
              <a:off x="368300" y="9372600"/>
              <a:ext cx="44100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42</xdr:row>
      <xdr:rowOff>158750</xdr:rowOff>
    </xdr:from>
    <xdr:ext cx="4867275" cy="24765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m:t>
                        </m:r>
                      </m:e>
                      <m:sub>
                        <m:r>
                          <a:rPr lang="en-US" sz="1100" b="0" i="1">
                            <a:solidFill>
                              <a:schemeClr val="tx1"/>
                            </a:solidFill>
                            <a:effectLst/>
                            <a:latin typeface="Cambria Math" panose="02040503050406030204" pitchFamily="18" charset="0"/>
                            <a:ea typeface="+mn-ea"/>
                            <a:cs typeface="+mn-cs"/>
                          </a:rPr>
                          <m:t>𝑐𝑡𝑟𝑙</m:t>
                        </m:r>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𝑅𝑇𝑅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12" name="TextBox 11">
              <a:extLst>
                <a:ext uri="{FF2B5EF4-FFF2-40B4-BE49-F238E27FC236}">
                  <a16:creationId xmlns:a16="http://schemas.microsoft.com/office/drawing/2014/main" id="{BD8CCA2F-5FF4-4B0D-BA22-DE54314874F1}"/>
                </a:ext>
              </a:extLst>
            </xdr:cNvPr>
            <xdr:cNvSpPr txBox="1"/>
          </xdr:nvSpPr>
          <xdr:spPr>
            <a:xfrm>
              <a:off x="361950" y="10798175"/>
              <a:ext cx="4867275" cy="2476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a:t>
              </a:r>
              <a:r>
                <a:rPr lang="en-US" sz="1100" b="0" i="0">
                  <a:solidFill>
                    <a:schemeClr val="tx1"/>
                  </a:solidFill>
                  <a:effectLst/>
                  <a:latin typeface="Cambria Math" panose="02040503050406030204" pitchFamily="18" charset="0"/>
                  <a:ea typeface="+mn-ea"/>
                  <a:cs typeface="+mn-cs"/>
                </a:rPr>
                <a:t>〖𝑘𝑊〗_(𝑐𝑡𝑟𝑙,2)</a:t>
              </a:r>
              <a:r>
                <a:rPr lang="en-US" sz="1100" b="0" i="0">
                  <a:latin typeface="Cambria Math" panose="02040503050406030204" pitchFamily="18" charset="0"/>
                  <a:ea typeface="Cambria Math" panose="02040503050406030204" pitchFamily="18" charset="0"/>
                </a:rPr>
                <a:t>∗𝑅𝑇𝑅∗𝐼𝑆𝑅∗𝐻𝑂𝑈∗365𝑑𝑎𝑦/𝑦𝑟∗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171450</xdr:colOff>
      <xdr:row>55</xdr:row>
      <xdr:rowOff>7937</xdr:rowOff>
    </xdr:from>
    <xdr:ext cx="2241768"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A52C8D37-0B43-41B4-88CA-9E83EEAEDD6A}"/>
                </a:ext>
              </a:extLst>
            </xdr:cNvPr>
            <xdr:cNvSpPr txBox="1"/>
          </xdr:nvSpPr>
          <xdr:spPr>
            <a:xfrm>
              <a:off x="361950" y="13000037"/>
              <a:ext cx="22417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57</xdr:row>
      <xdr:rowOff>0</xdr:rowOff>
    </xdr:from>
    <xdr:ext cx="2150845"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𝐼𝑛𝑡</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2D2E33EE-DE8E-4CBB-AFB6-35975A5349BF}"/>
                </a:ext>
              </a:extLst>
            </xdr:cNvPr>
            <xdr:cNvSpPr txBox="1"/>
          </xdr:nvSpPr>
          <xdr:spPr>
            <a:xfrm>
              <a:off x="349250" y="13354050"/>
              <a:ext cx="2150845"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%_𝐶𝑜𝑜𝑙∗%_𝐼𝑛𝑡∗</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1.xml><?xml version="1.0" encoding="utf-8"?>
<xdr:wsDr xmlns:xdr="http://schemas.openxmlformats.org/drawingml/2006/spreadsheetDrawing" xmlns:a="http://schemas.openxmlformats.org/drawingml/2006/main">
  <xdr:oneCellAnchor>
    <xdr:from>
      <xdr:col>2</xdr:col>
      <xdr:colOff>28576</xdr:colOff>
      <xdr:row>40</xdr:row>
      <xdr:rowOff>85725</xdr:rowOff>
    </xdr:from>
    <xdr:ext cx="4876799" cy="42545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5611C5B4-2DA3-4051-82FF-489F76632AF8}"/>
                </a:ext>
              </a:extLst>
            </xdr:cNvPr>
            <xdr:cNvSpPr txBox="1"/>
          </xdr:nvSpPr>
          <xdr:spPr>
            <a:xfrm>
              <a:off x="409576" y="7077075"/>
              <a:ext cx="4876799" cy="4254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𝑊/𝑘𝑊)∗𝐼𝑆𝑅∗𝐻𝑂𝑈</a:t>
              </a:r>
              <a:r>
                <a:rPr lang="en-US" sz="1100" b="0" i="0">
                  <a:solidFill>
                    <a:sysClr val="windowText" lastClr="000000"/>
                  </a:solidFill>
                  <a:effectLst/>
                  <a:latin typeface="Cambria Math" panose="02040503050406030204" pitchFamily="18" charset="0"/>
                  <a:ea typeface="+mn-ea"/>
                  <a:cs typeface="+mn-cs"/>
                </a:rPr>
                <a:t>∗(1+〖𝑊𝐻〗_(𝐶,𝐸)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2</xdr:col>
      <xdr:colOff>34925</xdr:colOff>
      <xdr:row>36</xdr:row>
      <xdr:rowOff>107949</xdr:rowOff>
    </xdr:from>
    <xdr:ext cx="4981575" cy="409576"/>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1+</m:t>
                        </m:r>
                        <m:sSub>
                          <m:sSubPr>
                            <m:ctrlPr>
                              <a:rPr lang="en-US" sz="110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𝑊𝐻</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e>
                    </m:d>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9" name="TextBox 8">
              <a:extLst>
                <a:ext uri="{FF2B5EF4-FFF2-40B4-BE49-F238E27FC236}">
                  <a16:creationId xmlns:a16="http://schemas.microsoft.com/office/drawing/2014/main" id="{444BF223-C5C5-4088-859C-28C6DA907CE1}"/>
                </a:ext>
              </a:extLst>
            </xdr:cNvPr>
            <xdr:cNvSpPr txBox="1"/>
          </xdr:nvSpPr>
          <xdr:spPr>
            <a:xfrm>
              <a:off x="415925" y="6375399"/>
              <a:ext cx="4981575" cy="409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a:t>
              </a:r>
              <a:r>
                <a:rPr lang="en-US" sz="1100" b="0" i="0">
                  <a:solidFill>
                    <a:sysClr val="windowText" lastClr="000000"/>
                  </a:solidFill>
                  <a:effectLst/>
                  <a:latin typeface="Cambria Math" panose="02040503050406030204" pitchFamily="18" charset="0"/>
                  <a:ea typeface="+mn-ea"/>
                  <a:cs typeface="+mn-cs"/>
                </a:rPr>
                <a:t>∗(1+〖𝑊𝐻〗_(𝐶,𝐷) )</a:t>
              </a:r>
              <a:r>
                <a:rPr lang="en-US" sz="1100" b="0" i="0">
                  <a:solidFill>
                    <a:sysClr val="windowText" lastClr="000000"/>
                  </a:solidFill>
                  <a:latin typeface="Cambria Math" panose="02040503050406030204" pitchFamily="18" charset="0"/>
                  <a:ea typeface="Cambria Math" panose="02040503050406030204" pitchFamily="18" charset="0"/>
                </a:rPr>
                <a:t>∗𝑃𝐹</a:t>
              </a:r>
              <a:endParaRPr lang="en-US" sz="1100">
                <a:solidFill>
                  <a:sysClr val="windowText" lastClr="000000"/>
                </a:solidFill>
              </a:endParaRPr>
            </a:p>
          </xdr:txBody>
        </xdr:sp>
      </mc:Fallback>
    </mc:AlternateContent>
    <xdr:clientData/>
  </xdr:oneCellAnchor>
  <xdr:oneCellAnchor>
    <xdr:from>
      <xdr:col>1</xdr:col>
      <xdr:colOff>187325</xdr:colOff>
      <xdr:row>45</xdr:row>
      <xdr:rowOff>6351</xdr:rowOff>
    </xdr:from>
    <xdr:ext cx="3914775"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10" name="TextBox 9">
              <a:extLst>
                <a:ext uri="{FF2B5EF4-FFF2-40B4-BE49-F238E27FC236}">
                  <a16:creationId xmlns:a16="http://schemas.microsoft.com/office/drawing/2014/main" id="{3AE8A938-206D-43F4-B287-125B8B635763}"/>
                </a:ext>
              </a:extLst>
            </xdr:cNvPr>
            <xdr:cNvSpPr txBox="1"/>
          </xdr:nvSpPr>
          <xdr:spPr>
            <a:xfrm>
              <a:off x="377825" y="79025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oneCellAnchor>
    <xdr:from>
      <xdr:col>1</xdr:col>
      <xdr:colOff>180975</xdr:colOff>
      <xdr:row>49</xdr:row>
      <xdr:rowOff>0</xdr:rowOff>
    </xdr:from>
    <xdr:ext cx="1776897" cy="191078"/>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𝐷</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𝐷</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520ECA61-6B7A-4295-B09B-A7EF809F8980}"/>
                </a:ext>
              </a:extLst>
            </xdr:cNvPr>
            <xdr:cNvSpPr txBox="1"/>
          </xdr:nvSpPr>
          <xdr:spPr>
            <a:xfrm>
              <a:off x="371475" y="8620125"/>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𝑊𝐻〗_(𝐶,𝐷)=</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〖𝐼𝐸〗_(𝐶,𝐷)−1)</a:t>
              </a:r>
              <a:endParaRPr lang="en-US" sz="1100">
                <a:solidFill>
                  <a:sysClr val="windowText" lastClr="000000"/>
                </a:solidFill>
              </a:endParaRPr>
            </a:p>
          </xdr:txBody>
        </xdr:sp>
      </mc:Fallback>
    </mc:AlternateContent>
    <xdr:clientData/>
  </xdr:oneCellAnchor>
  <xdr:oneCellAnchor>
    <xdr:from>
      <xdr:col>1</xdr:col>
      <xdr:colOff>180975</xdr:colOff>
      <xdr:row>51</xdr:row>
      <xdr:rowOff>0</xdr:rowOff>
    </xdr:from>
    <xdr:ext cx="1764073" cy="191078"/>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latin typeface="Cambria Math" panose="02040503050406030204" pitchFamily="18" charset="0"/>
                          </a:rPr>
                        </m:ctrlPr>
                      </m:sSubPr>
                      <m:e>
                        <m:r>
                          <a:rPr lang="en-US" sz="1100" b="0" i="1">
                            <a:solidFill>
                              <a:sysClr val="windowText" lastClr="000000"/>
                            </a:solidFill>
                            <a:latin typeface="Cambria Math" panose="02040503050406030204" pitchFamily="18" charset="0"/>
                          </a:rPr>
                          <m:t>𝑊𝐻</m:t>
                        </m:r>
                      </m:e>
                      <m:sub>
                        <m:r>
                          <a:rPr lang="en-US" sz="1100" b="0" i="1">
                            <a:solidFill>
                              <a:sysClr val="windowText" lastClr="000000"/>
                            </a:solidFill>
                            <a:latin typeface="Cambria Math" panose="02040503050406030204" pitchFamily="18" charset="0"/>
                          </a:rPr>
                          <m:t>𝐶</m:t>
                        </m:r>
                        <m:r>
                          <a:rPr lang="en-US" sz="1100" b="0" i="1">
                            <a:solidFill>
                              <a:sysClr val="windowText" lastClr="000000"/>
                            </a:solidFill>
                            <a:latin typeface="Cambria Math" panose="02040503050406030204" pitchFamily="18" charset="0"/>
                          </a:rPr>
                          <m:t>,</m:t>
                        </m:r>
                        <m:r>
                          <a:rPr lang="en-US" sz="1100" b="0" i="1">
                            <a:solidFill>
                              <a:sysClr val="windowText" lastClr="000000"/>
                            </a:solidFill>
                            <a:latin typeface="Cambria Math" panose="02040503050406030204" pitchFamily="18" charset="0"/>
                          </a:rPr>
                          <m:t>𝐸</m:t>
                        </m:r>
                      </m:sub>
                    </m:sSub>
                    <m:r>
                      <a:rPr lang="en-US" sz="1100" b="0" i="1">
                        <a:solidFill>
                          <a:sysClr val="windowText" lastClr="000000"/>
                        </a:solidFill>
                        <a:latin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m:t>
                        </m:r>
                      </m:e>
                      <m:sub>
                        <m:r>
                          <a:rPr lang="en-US" sz="1100" b="0" i="1">
                            <a:solidFill>
                              <a:sysClr val="windowText" lastClr="000000"/>
                            </a:solidFill>
                            <a:effectLst/>
                            <a:latin typeface="Cambria Math" panose="02040503050406030204" pitchFamily="18" charset="0"/>
                            <a:ea typeface="+mn-ea"/>
                            <a:cs typeface="+mn-cs"/>
                          </a:rPr>
                          <m:t>𝐶𝑜𝑜𝑙</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𝐼𝐸</m:t>
                            </m:r>
                          </m:e>
                          <m:sub>
                            <m:r>
                              <a:rPr lang="en-US" sz="1100" b="0" i="1">
                                <a:solidFill>
                                  <a:sysClr val="windowText" lastClr="000000"/>
                                </a:solidFill>
                                <a:effectLst/>
                                <a:latin typeface="Cambria Math" panose="02040503050406030204" pitchFamily="18" charset="0"/>
                                <a:ea typeface="+mn-ea"/>
                                <a:cs typeface="+mn-cs"/>
                              </a:rPr>
                              <m:t>𝐶</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m:t>
                            </m:r>
                          </m:sub>
                        </m:sSub>
                        <m:r>
                          <a:rPr lang="en-US" sz="1100" b="0" i="1">
                            <a:solidFill>
                              <a:sysClr val="windowText" lastClr="000000"/>
                            </a:solidFill>
                            <a:effectLst/>
                            <a:latin typeface="Cambria Math" panose="02040503050406030204" pitchFamily="18" charset="0"/>
                            <a:ea typeface="+mn-ea"/>
                            <a:cs typeface="+mn-cs"/>
                          </a:rPr>
                          <m:t>−1</m:t>
                        </m:r>
                      </m:e>
                    </m:d>
                  </m:oMath>
                </m:oMathPara>
              </a14:m>
              <a:endParaRPr lang="en-US" sz="11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D2225E4C-5262-4A7B-8F08-78CC6E60D069}"/>
                </a:ext>
              </a:extLst>
            </xdr:cNvPr>
            <xdr:cNvSpPr txBox="1"/>
          </xdr:nvSpPr>
          <xdr:spPr>
            <a:xfrm>
              <a:off x="371475" y="8982075"/>
              <a:ext cx="1764073"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solidFill>
                    <a:sysClr val="windowText" lastClr="000000"/>
                  </a:solidFill>
                  <a:latin typeface="Cambria Math" panose="02040503050406030204" pitchFamily="18" charset="0"/>
                </a:rPr>
                <a:t>〖</a:t>
              </a:r>
              <a:r>
                <a:rPr lang="en-US" sz="1100" b="0" i="0">
                  <a:solidFill>
                    <a:sysClr val="windowText" lastClr="000000"/>
                  </a:solidFill>
                  <a:latin typeface="Cambria Math" panose="02040503050406030204" pitchFamily="18" charset="0"/>
                </a:rPr>
                <a:t>𝑊𝐻〗_(𝐶,𝐸)=</a:t>
              </a:r>
              <a:r>
                <a:rPr lang="en-US" sz="1100" b="0" i="0">
                  <a:solidFill>
                    <a:sysClr val="windowText" lastClr="000000"/>
                  </a:solidFill>
                  <a:effectLst/>
                  <a:latin typeface="Cambria Math" panose="02040503050406030204" pitchFamily="18" charset="0"/>
                  <a:ea typeface="+mn-ea"/>
                  <a:cs typeface="+mn-cs"/>
                </a:rPr>
                <a:t>%_𝐶𝑜𝑜𝑙∗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〖𝐼𝐸〗_(𝐶,𝐸)−1)</a:t>
              </a:r>
              <a:endParaRPr lang="en-US" sz="1100">
                <a:solidFill>
                  <a:sysClr val="windowText" lastClr="000000"/>
                </a:solidFill>
              </a:endParaRPr>
            </a:p>
          </xdr:txBody>
        </xdr:sp>
      </mc:Fallback>
    </mc:AlternateContent>
    <xdr:clientData/>
  </xdr:oneCellAnchor>
</xdr:wsDr>
</file>

<file path=xl/drawings/drawing52.xml><?xml version="1.0" encoding="utf-8"?>
<xdr:wsDr xmlns:xdr="http://schemas.openxmlformats.org/drawingml/2006/spreadsheetDrawing" xmlns:a="http://schemas.openxmlformats.org/drawingml/2006/main">
  <xdr:oneCellAnchor>
    <xdr:from>
      <xdr:col>2</xdr:col>
      <xdr:colOff>1</xdr:colOff>
      <xdr:row>47</xdr:row>
      <xdr:rowOff>63500</xdr:rowOff>
    </xdr:from>
    <xdr:ext cx="4876799" cy="3778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AD4E1D8D-6B90-4325-9729-2094AE61A142}"/>
                </a:ext>
              </a:extLst>
            </xdr:cNvPr>
            <xdr:cNvSpPr txBox="1"/>
          </xdr:nvSpPr>
          <xdr:spPr>
            <a:xfrm>
              <a:off x="381001" y="6311900"/>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39</xdr:row>
      <xdr:rowOff>57149</xdr:rowOff>
    </xdr:from>
    <xdr:ext cx="4981575" cy="4000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B079128-AF88-44AC-87D6-9A970F73D5DB}"/>
                </a:ext>
              </a:extLst>
            </xdr:cNvPr>
            <xdr:cNvSpPr txBox="1"/>
          </xdr:nvSpPr>
          <xdr:spPr>
            <a:xfrm>
              <a:off x="387350" y="5581649"/>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〗_1</a:t>
              </a:r>
              <a:r>
                <a:rPr lang="en-US" sz="1100" b="0" i="0">
                  <a:solidFill>
                    <a:sysClr val="windowText" lastClr="000000"/>
                  </a:solidFill>
                  <a:latin typeface="Cambria Math" panose="02040503050406030204" pitchFamily="18" charset="0"/>
                  <a:ea typeface="Cambria Math" panose="02040503050406030204" pitchFamily="18" charset="0"/>
                </a:rPr>
                <a:t>=((𝑊_𝑏𝑎𝑠𝑒1−𝑊_𝐿𝐸𝐷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oneCellAnchor>
    <xdr:from>
      <xdr:col>2</xdr:col>
      <xdr:colOff>6350</xdr:colOff>
      <xdr:row>58</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𝑑𝑢𝑎𝑙</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2</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FB552D71-06D9-43E0-A1D7-9030EAE112A5}"/>
                </a:ext>
              </a:extLst>
            </xdr:cNvPr>
            <xdr:cNvSpPr txBox="1"/>
          </xdr:nvSpPr>
          <xdr:spPr>
            <a:xfrm>
              <a:off x="368300" y="116363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〗_𝑑𝑢𝑎𝑙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solidFill>
                    <a:schemeClr val="tx1"/>
                  </a:solidFill>
                  <a:effectLst/>
                  <a:latin typeface="Cambria Math" panose="02040503050406030204" pitchFamily="18" charset="0"/>
                  <a:ea typeface="+mn-ea"/>
                  <a:cs typeface="+mn-cs"/>
                </a:rPr>
                <a:t>〗_1∗〖𝐸𝑈𝐿〗_1</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mn-lt"/>
                  <a:ea typeface="+mn-ea"/>
                  <a:cs typeface="+mn-cs"/>
                </a:rPr>
                <a:t>∗〖𝐸𝑈𝐿〗_</a:t>
              </a:r>
              <a:r>
                <a:rPr lang="en-US" sz="1100" b="0" i="0">
                  <a:solidFill>
                    <a:schemeClr val="tx1"/>
                  </a:solidFill>
                  <a:effectLst/>
                  <a:latin typeface="Cambria Math" panose="02040503050406030204" pitchFamily="18" charset="0"/>
                  <a:ea typeface="+mn-ea"/>
                  <a:cs typeface="+mn-cs"/>
                </a:rPr>
                <a:t>2</a:t>
              </a:r>
              <a:endParaRPr lang="en-US" sz="1100"/>
            </a:p>
          </xdr:txBody>
        </xdr:sp>
      </mc:Fallback>
    </mc:AlternateContent>
    <xdr:clientData/>
  </xdr:oneCellAnchor>
  <xdr:oneCellAnchor>
    <xdr:from>
      <xdr:col>2</xdr:col>
      <xdr:colOff>6350</xdr:colOff>
      <xdr:row>62</xdr:row>
      <xdr:rowOff>6351</xdr:rowOff>
    </xdr:from>
    <xdr:ext cx="3914775" cy="18332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𝑠𝑖𝑛𝑔𝑙𝑒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𝐿𝐸𝐷</m:t>
                        </m:r>
                      </m:sub>
                    </m:sSub>
                  </m:oMath>
                </m:oMathPara>
              </a14:m>
              <a:endParaRPr lang="en-US" sz="1100"/>
            </a:p>
          </xdr:txBody>
        </xdr:sp>
      </mc:Choice>
      <mc:Fallback xmlns="">
        <xdr:sp macro="" textlink="">
          <xdr:nvSpPr>
            <xdr:cNvPr id="5" name="TextBox 4">
              <a:extLst>
                <a:ext uri="{FF2B5EF4-FFF2-40B4-BE49-F238E27FC236}">
                  <a16:creationId xmlns:a16="http://schemas.microsoft.com/office/drawing/2014/main" id="{8031487B-122A-48B4-B2E8-2B11D2C33ACD}"/>
                </a:ext>
              </a:extLst>
            </xdr:cNvPr>
            <xdr:cNvSpPr txBox="1"/>
          </xdr:nvSpPr>
          <xdr:spPr>
            <a:xfrm>
              <a:off x="368300" y="12207876"/>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𝑠𝑖𝑛𝑔𝑙𝑒</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𝑘𝑊ℎ〗_2</a:t>
              </a:r>
              <a:r>
                <a:rPr lang="en-US" sz="1100" b="0" i="0">
                  <a:solidFill>
                    <a:schemeClr val="tx1"/>
                  </a:solidFill>
                  <a:effectLst/>
                  <a:latin typeface="Cambria Math" panose="02040503050406030204" pitchFamily="18" charset="0"/>
                  <a:ea typeface="+mn-ea"/>
                  <a:cs typeface="+mn-cs"/>
                </a:rPr>
                <a:t>∗〖𝐸𝑈𝐿〗_𝐿𝐸𝐷</a:t>
              </a:r>
              <a:endParaRPr lang="en-US" sz="1100"/>
            </a:p>
          </xdr:txBody>
        </xdr:sp>
      </mc:Fallback>
    </mc:AlternateContent>
    <xdr:clientData/>
  </xdr:oneCellAnchor>
  <xdr:oneCellAnchor>
    <xdr:from>
      <xdr:col>2</xdr:col>
      <xdr:colOff>1</xdr:colOff>
      <xdr:row>51</xdr:row>
      <xdr:rowOff>63500</xdr:rowOff>
    </xdr:from>
    <xdr:ext cx="4876799" cy="3778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F9841B3E-4983-43F6-AA9B-92BD37FB49E9}"/>
                </a:ext>
              </a:extLst>
            </xdr:cNvPr>
            <xdr:cNvSpPr txBox="1"/>
          </xdr:nvSpPr>
          <xdr:spPr>
            <a:xfrm>
              <a:off x="361951" y="9026525"/>
              <a:ext cx="4876799" cy="377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mn-lt"/>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𝑘𝑊ℎ〗_</a:t>
              </a:r>
              <a:r>
                <a:rPr lang="en-US" sz="1100" b="0" i="0">
                  <a:solidFill>
                    <a:schemeClr val="tx1"/>
                  </a:solidFill>
                  <a:effectLst/>
                  <a:latin typeface="Cambria Math" panose="02040503050406030204" pitchFamily="18" charset="0"/>
                  <a:ea typeface="+mn-ea"/>
                  <a:cs typeface="+mn-cs"/>
                </a:rPr>
                <a:t>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𝑊/𝑘𝑊)∗𝐼𝑆𝑅∗𝐻𝑂𝑈∗𝑃𝐹</a:t>
              </a:r>
              <a:endParaRPr lang="en-US" sz="1100">
                <a:solidFill>
                  <a:sysClr val="windowText" lastClr="000000"/>
                </a:solidFill>
              </a:endParaRPr>
            </a:p>
          </xdr:txBody>
        </xdr:sp>
      </mc:Fallback>
    </mc:AlternateContent>
    <xdr:clientData/>
  </xdr:oneCellAnchor>
  <xdr:oneCellAnchor>
    <xdr:from>
      <xdr:col>2</xdr:col>
      <xdr:colOff>6350</xdr:colOff>
      <xdr:row>43</xdr:row>
      <xdr:rowOff>57149</xdr:rowOff>
    </xdr:from>
    <xdr:ext cx="4981575" cy="400051"/>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D78D58A9-080C-4EEB-BCB3-CF42F3BA61FF}"/>
                </a:ext>
              </a:extLst>
            </xdr:cNvPr>
            <xdr:cNvSpPr txBox="1"/>
          </xdr:nvSpPr>
          <xdr:spPr>
            <a:xfrm>
              <a:off x="368300" y="8258174"/>
              <a:ext cx="4981575" cy="4000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solidFill>
                    <a:sysClr val="windowText" lastClr="000000"/>
                  </a:solidFill>
                  <a:effectLst/>
                  <a:latin typeface="Cambria Math" panose="02040503050406030204" pitchFamily="18" charset="0"/>
                  <a:ea typeface="+mn-ea"/>
                  <a:cs typeface="+mn-cs"/>
                </a:rPr>
                <a:t>〗_2</a:t>
              </a:r>
              <a:r>
                <a:rPr lang="en-US" sz="1100" b="0" i="0">
                  <a:solidFill>
                    <a:sysClr val="windowText" lastClr="000000"/>
                  </a:solidFill>
                  <a:latin typeface="Cambria Math" panose="02040503050406030204" pitchFamily="18" charset="0"/>
                  <a:ea typeface="Cambria Math" panose="02040503050406030204" pitchFamily="18" charset="0"/>
                </a:rPr>
                <a:t>=((𝑊_𝑏𝑎𝑠𝑒2−𝑊_𝐿𝐸𝐷 ))/(1,000 </a:t>
              </a:r>
              <a:r>
                <a:rPr lang="en-US" sz="1100" b="0" i="0">
                  <a:solidFill>
                    <a:sysClr val="windowText" lastClr="000000"/>
                  </a:solidFill>
                  <a:effectLst/>
                  <a:latin typeface="Cambria Math" panose="02040503050406030204" pitchFamily="18" charset="0"/>
                  <a:ea typeface="+mn-ea"/>
                  <a:cs typeface="+mn-cs"/>
                </a:rPr>
                <a:t>𝑊/𝑘𝑊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∗𝐼𝑆𝑅∗𝐶𝐹∗𝑃𝐹</a:t>
              </a:r>
              <a:endParaRPr lang="en-US" sz="1100">
                <a:solidFill>
                  <a:sysClr val="windowText" lastClr="000000"/>
                </a:solidFill>
              </a:endParaRPr>
            </a:p>
          </xdr:txBody>
        </xdr:sp>
      </mc:Fallback>
    </mc:AlternateContent>
    <xdr:clientData/>
  </xdr:oneCellAnchor>
</xdr:wsDr>
</file>

<file path=xl/drawings/drawing53.xml><?xml version="1.0" encoding="utf-8"?>
<xdr:wsDr xmlns:xdr="http://schemas.openxmlformats.org/drawingml/2006/spreadsheetDrawing" xmlns:a="http://schemas.openxmlformats.org/drawingml/2006/main">
  <xdr:oneCellAnchor>
    <xdr:from>
      <xdr:col>2</xdr:col>
      <xdr:colOff>9526</xdr:colOff>
      <xdr:row>30</xdr:row>
      <xdr:rowOff>85725</xdr:rowOff>
    </xdr:from>
    <xdr:ext cx="4876799" cy="3683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effectLst/>
                            <a:latin typeface="Cambria Math" panose="02040503050406030204" pitchFamily="18" charset="0"/>
                            <a:ea typeface="+mn-ea"/>
                            <a:cs typeface="+mn-cs"/>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𝐿𝐸𝐷</m:t>
                                </m:r>
                              </m:sub>
                            </m:sSub>
                          </m:e>
                        </m:d>
                      </m:num>
                      <m:den>
                        <m:r>
                          <a:rPr lang="en-US" sz="1100" b="0" i="1">
                            <a:solidFill>
                              <a:sysClr val="windowText" lastClr="000000"/>
                            </a:solidFill>
                            <a:effectLst/>
                            <a:latin typeface="Cambria Math" panose="02040503050406030204" pitchFamily="18" charset="0"/>
                            <a:ea typeface="+mn-ea"/>
                            <a:cs typeface="+mn-cs"/>
                          </a:rPr>
                          <m:t>1,000 </m:t>
                        </m:r>
                        <m:r>
                          <a:rPr lang="en-US" sz="1100" b="0" i="1">
                            <a:solidFill>
                              <a:sysClr val="windowText" lastClr="000000"/>
                            </a:solidFill>
                            <a:effectLst/>
                            <a:latin typeface="Cambria Math" panose="02040503050406030204" pitchFamily="18" charset="0"/>
                            <a:ea typeface="+mn-ea"/>
                            <a:cs typeface="+mn-cs"/>
                          </a:rPr>
                          <m:t>𝑊</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𝐻𝑂𝑈</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030CAFBB-5B2C-4274-B1C4-C93A513F82E3}"/>
                </a:ext>
              </a:extLst>
            </xdr:cNvPr>
            <xdr:cNvSpPr txBox="1"/>
          </xdr:nvSpPr>
          <xdr:spPr>
            <a:xfrm>
              <a:off x="390526" y="5781675"/>
              <a:ext cx="4876799" cy="368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((𝑊_𝑏𝑎𝑠𝑒−𝑊_𝐿𝐸𝐷 ))/(1,000 𝑊/𝑘𝑊)</a:t>
              </a:r>
              <a:r>
                <a:rPr lang="en-US" sz="1100" b="0" i="0">
                  <a:solidFill>
                    <a:sysClr val="windowText" lastClr="000000"/>
                  </a:solidFill>
                  <a:latin typeface="Cambria Math" panose="02040503050406030204" pitchFamily="18" charset="0"/>
                  <a:ea typeface="Cambria Math" panose="02040503050406030204" pitchFamily="18" charset="0"/>
                </a:rPr>
                <a:t>∗𝐼𝑆𝑅∗𝐻𝑂𝑈∗𝑃𝐹</a:t>
              </a:r>
              <a:endParaRPr lang="en-US" sz="1100">
                <a:solidFill>
                  <a:sysClr val="windowText" lastClr="000000"/>
                </a:solidFill>
              </a:endParaRPr>
            </a:p>
          </xdr:txBody>
        </xdr:sp>
      </mc:Fallback>
    </mc:AlternateContent>
    <xdr:clientData/>
  </xdr:oneCellAnchor>
  <xdr:oneCellAnchor>
    <xdr:from>
      <xdr:col>2</xdr:col>
      <xdr:colOff>15875</xdr:colOff>
      <xdr:row>26</xdr:row>
      <xdr:rowOff>57149</xdr:rowOff>
    </xdr:from>
    <xdr:ext cx="4981575" cy="41910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𝑊</m:t>
                                </m:r>
                              </m:e>
                              <m:sub>
                                <m:r>
                                  <a:rPr lang="en-US" sz="1100" b="0" i="1">
                                    <a:solidFill>
                                      <a:sysClr val="windowText" lastClr="000000"/>
                                    </a:solidFill>
                                    <a:latin typeface="Cambria Math" panose="02040503050406030204" pitchFamily="18" charset="0"/>
                                    <a:ea typeface="Cambria Math" panose="02040503050406030204" pitchFamily="18" charset="0"/>
                                  </a:rPr>
                                  <m:t>𝐿𝐸𝐷</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1,000 </m:t>
                        </m:r>
                        <m:r>
                          <a:rPr lang="en-US" sz="1100" b="0" i="1">
                            <a:solidFill>
                              <a:sysClr val="windowText" lastClr="000000"/>
                            </a:solidFill>
                            <a:latin typeface="Cambria Math" panose="02040503050406030204" pitchFamily="18" charset="0"/>
                            <a:ea typeface="Cambria Math" panose="02040503050406030204" pitchFamily="18" charset="0"/>
                          </a:rPr>
                          <m:t>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F38D0841-B7BF-48F2-926D-71FDCB915F2C}"/>
                </a:ext>
              </a:extLst>
            </xdr:cNvPr>
            <xdr:cNvSpPr txBox="1"/>
          </xdr:nvSpPr>
          <xdr:spPr>
            <a:xfrm>
              <a:off x="396875" y="5029199"/>
              <a:ext cx="4981575" cy="4191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latin typeface="Cambria Math" panose="02040503050406030204" pitchFamily="18" charset="0"/>
                  <a:ea typeface="Cambria Math" panose="02040503050406030204" pitchFamily="18" charset="0"/>
                </a:rPr>
                <a:t>=((𝑊_𝑏𝑎𝑠𝑒−𝑊_𝐿𝐸𝐷 ))/(1,000 𝑊/𝑘𝑊)∗𝐼𝑆𝑅∗𝐶𝐹∗𝑃𝐹</a:t>
              </a:r>
              <a:endParaRPr lang="en-US" sz="1100">
                <a:solidFill>
                  <a:sysClr val="windowText" lastClr="000000"/>
                </a:solidFill>
              </a:endParaRPr>
            </a:p>
          </xdr:txBody>
        </xdr:sp>
      </mc:Fallback>
    </mc:AlternateContent>
    <xdr:clientData/>
  </xdr:oneCellAnchor>
  <xdr:oneCellAnchor>
    <xdr:from>
      <xdr:col>1</xdr:col>
      <xdr:colOff>168275</xdr:colOff>
      <xdr:row>35</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B3A3C539-F187-4799-82C2-31BBB13601EE}"/>
                </a:ext>
              </a:extLst>
            </xdr:cNvPr>
            <xdr:cNvSpPr txBox="1"/>
          </xdr:nvSpPr>
          <xdr:spPr>
            <a:xfrm>
              <a:off x="358775" y="66071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4.xml><?xml version="1.0" encoding="utf-8"?>
<xdr:wsDr xmlns:xdr="http://schemas.openxmlformats.org/drawingml/2006/spreadsheetDrawing" xmlns:a="http://schemas.openxmlformats.org/drawingml/2006/main">
  <xdr:oneCellAnchor>
    <xdr:from>
      <xdr:col>2</xdr:col>
      <xdr:colOff>1</xdr:colOff>
      <xdr:row>35</xdr:row>
      <xdr:rowOff>9525</xdr:rowOff>
    </xdr:from>
    <xdr:ext cx="4876799" cy="2063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latin typeface="Cambria Math" panose="02040503050406030204" pitchFamily="18" charset="0"/>
                        <a:ea typeface="Cambria Math" panose="02040503050406030204" pitchFamily="18" charset="0"/>
                      </a:rPr>
                      <m:t>𝑑𝑎𝑦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𝑦𝑟</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2" name="TextBox 1">
              <a:extLst>
                <a:ext uri="{FF2B5EF4-FFF2-40B4-BE49-F238E27FC236}">
                  <a16:creationId xmlns:a16="http://schemas.microsoft.com/office/drawing/2014/main" id="{6FCEDF45-34F1-4960-A49C-AE58F30AC553}"/>
                </a:ext>
              </a:extLst>
            </xdr:cNvPr>
            <xdr:cNvSpPr txBox="1"/>
          </xdr:nvSpPr>
          <xdr:spPr>
            <a:xfrm>
              <a:off x="361951" y="9467850"/>
              <a:ext cx="4876799" cy="2063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)∗𝐼𝑆𝑅∗𝐻𝑂𝑈∗365𝑑𝑎𝑦/𝑦𝑟∗</a:t>
              </a:r>
              <a:r>
                <a:rPr lang="en-US" sz="1100" b="0" i="0">
                  <a:solidFill>
                    <a:schemeClr val="tx1"/>
                  </a:solidFill>
                  <a:effectLst/>
                  <a:latin typeface="Cambria Math" panose="02040503050406030204" pitchFamily="18" charset="0"/>
                  <a:ea typeface="+mn-ea"/>
                  <a:cs typeface="+mn-cs"/>
                </a:rPr>
                <a:t>(1+〖𝑊𝐻〗_(𝐶,𝐸)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26</xdr:row>
      <xdr:rowOff>171449</xdr:rowOff>
    </xdr:from>
    <xdr:ext cx="49815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𝑠𝑡</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,1</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2B5840D3-6BC2-4938-A09E-5368593BC5F1}"/>
                </a:ext>
              </a:extLst>
            </xdr:cNvPr>
            <xdr:cNvSpPr txBox="1"/>
          </xdr:nvSpPr>
          <xdr:spPr>
            <a:xfrm>
              <a:off x="368300" y="7915274"/>
              <a:ext cx="49815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1𝑠𝑡=(〖𝑘𝑊〗_(𝑏𝑎𝑠𝑒,1)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43</xdr:row>
      <xdr:rowOff>6351</xdr:rowOff>
    </xdr:from>
    <xdr:ext cx="3914775"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𝑃𝑌</m:t>
                        </m:r>
                        <m:r>
                          <a:rPr lang="en-US" sz="1100" b="0" i="1">
                            <a:latin typeface="Cambria Math" panose="02040503050406030204" pitchFamily="18" charset="0"/>
                            <a:ea typeface="Cambria Math" panose="02040503050406030204" pitchFamily="18" charset="0"/>
                          </a:rPr>
                          <m:t>21</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r>
                      <a:rPr lang="en-US" sz="1100" b="0" i="0">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𝑠𝑡</m:t>
                            </m:r>
                          </m:sub>
                        </m:sSub>
                      </m:e>
                    </m:d>
                  </m:oMath>
                </m:oMathPara>
              </a14:m>
              <a:endParaRPr lang="en-US" sz="1100"/>
            </a:p>
          </xdr:txBody>
        </xdr:sp>
      </mc:Choice>
      <mc:Fallback xmlns="">
        <xdr:sp macro="" textlink="">
          <xdr:nvSpPr>
            <xdr:cNvPr id="4" name="TextBox 3">
              <a:extLst>
                <a:ext uri="{FF2B5EF4-FFF2-40B4-BE49-F238E27FC236}">
                  <a16:creationId xmlns:a16="http://schemas.microsoft.com/office/drawing/2014/main" id="{2F0DEB89-CF49-407A-B76B-6E0526883A3B}"/>
                </a:ext>
              </a:extLst>
            </xdr:cNvPr>
            <xdr:cNvSpPr txBox="1"/>
          </xdr:nvSpPr>
          <xdr:spPr>
            <a:xfrm>
              <a:off x="339725" y="10988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𝑃𝑌21=</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𝑘𝑊ℎ〗_1𝑠𝑡∗〖𝐸𝑈𝐿〗_1𝑠𝑡+〖</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r>
                <a:rPr lang="en-US" sz="1100" b="0" i="0">
                  <a:solidFill>
                    <a:schemeClr val="tx1"/>
                  </a:solidFill>
                  <a:effectLst/>
                  <a:latin typeface="Cambria Math" panose="02040503050406030204" pitchFamily="18" charset="0"/>
                  <a:ea typeface="Cambria Math" panose="02040503050406030204" pitchFamily="18" charset="0"/>
                  <a:cs typeface="+mn-cs"/>
                </a:rPr>
                <a:t>−</a:t>
              </a:r>
              <a:r>
                <a:rPr lang="en-US" sz="1100" b="0" i="0">
                  <a:solidFill>
                    <a:schemeClr val="tx1"/>
                  </a:solidFill>
                  <a:effectLst/>
                  <a:latin typeface="Cambria Math" panose="02040503050406030204" pitchFamily="18" charset="0"/>
                  <a:ea typeface="+mn-ea"/>
                  <a:cs typeface="+mn-cs"/>
                </a:rPr>
                <a:t>〖𝐸𝑈𝐿〗_1𝑠𝑡 )</a:t>
              </a:r>
              <a:endParaRPr lang="en-US" sz="1100"/>
            </a:p>
          </xdr:txBody>
        </xdr:sp>
      </mc:Fallback>
    </mc:AlternateContent>
    <xdr:clientData/>
  </xdr:oneCellAnchor>
  <xdr:oneCellAnchor>
    <xdr:from>
      <xdr:col>2</xdr:col>
      <xdr:colOff>0</xdr:colOff>
      <xdr:row>39</xdr:row>
      <xdr:rowOff>0</xdr:rowOff>
    </xdr:from>
    <xdr:ext cx="4914900"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m:t>
                    </m:r>
                    <m:r>
                      <a:rPr lang="en-US" sz="1100" b="0" i="1">
                        <a:latin typeface="Cambria Math" panose="02040503050406030204" pitchFamily="18" charset="0"/>
                        <a:ea typeface="Cambria Math" panose="02040503050406030204" pitchFamily="18" charset="0"/>
                      </a:rPr>
                      <m:t>∗365</m:t>
                    </m:r>
                    <m:r>
                      <a:rPr lang="en-US" sz="1100" b="0" i="1">
                        <a:solidFill>
                          <a:schemeClr val="tx1"/>
                        </a:solidFill>
                        <a:effectLst/>
                        <a:latin typeface="Cambria Math" panose="02040503050406030204" pitchFamily="18" charset="0"/>
                        <a:ea typeface="+mn-ea"/>
                        <a:cs typeface="+mn-cs"/>
                      </a:rPr>
                      <m:t>𝑑𝑎𝑦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𝑦𝑟</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D9148DAF-F5A1-4DFB-8FEC-CCAE14C7988D}"/>
                </a:ext>
              </a:extLst>
            </xdr:cNvPr>
            <xdr:cNvSpPr txBox="1"/>
          </xdr:nvSpPr>
          <xdr:spPr>
            <a:xfrm>
              <a:off x="361950" y="10220325"/>
              <a:ext cx="491490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)∗𝐼𝑆𝑅∗𝐻𝑂𝑈∗365</a:t>
              </a:r>
              <a:r>
                <a:rPr lang="en-US" sz="1100" b="0" i="0">
                  <a:solidFill>
                    <a:schemeClr val="tx1"/>
                  </a:solidFill>
                  <a:effectLst/>
                  <a:latin typeface="Cambria Math" panose="02040503050406030204" pitchFamily="18" charset="0"/>
                  <a:ea typeface="+mn-ea"/>
                  <a:cs typeface="+mn-cs"/>
                </a:rPr>
                <a:t>𝑑𝑎𝑦/𝑦𝑟∗(1+〖𝑊𝐻〗_(𝐶,𝐸)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2</xdr:col>
      <xdr:colOff>6350</xdr:colOff>
      <xdr:row>30</xdr:row>
      <xdr:rowOff>171449</xdr:rowOff>
    </xdr:from>
    <xdr:ext cx="4962526" cy="2381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e>
                      <m:sub>
                        <m: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𝑛𝑑</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m:t>
                            </m:r>
                          </m:e>
                          <m:sub>
                            <m:r>
                              <a:rPr lang="en-US" sz="1100" b="0" i="1">
                                <a:latin typeface="Cambria Math" panose="02040503050406030204" pitchFamily="18" charset="0"/>
                                <a:ea typeface="Cambria Math" panose="02040503050406030204" pitchFamily="18" charset="0"/>
                              </a:rPr>
                              <m:t>𝑏𝑎𝑠𝑒</m:t>
                            </m:r>
                            <m:r>
                              <a:rPr lang="en-US" sz="1100" b="0" i="1">
                                <a:latin typeface="Cambria Math" panose="02040503050406030204" pitchFamily="18" charset="0"/>
                                <a:ea typeface="Cambria Math" panose="02040503050406030204" pitchFamily="18" charset="0"/>
                              </a:rPr>
                              <m:t>,2</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𝑊𝐻</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6" name="TextBox 5">
              <a:extLst>
                <a:ext uri="{FF2B5EF4-FFF2-40B4-BE49-F238E27FC236}">
                  <a16:creationId xmlns:a16="http://schemas.microsoft.com/office/drawing/2014/main" id="{4748B750-57A2-4A94-95D2-D592B2B48B11}"/>
                </a:ext>
              </a:extLst>
            </xdr:cNvPr>
            <xdr:cNvSpPr txBox="1"/>
          </xdr:nvSpPr>
          <xdr:spPr>
            <a:xfrm>
              <a:off x="368300" y="8677274"/>
              <a:ext cx="4962526"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a:t>
              </a:r>
              <a:r>
                <a:rPr lang="en-US" sz="1100" b="0" i="0">
                  <a:solidFill>
                    <a:schemeClr val="tx1"/>
                  </a:solidFill>
                  <a:effectLst/>
                  <a:latin typeface="Cambria Math" panose="02040503050406030204" pitchFamily="18" charset="0"/>
                  <a:ea typeface="Cambria Math" panose="02040503050406030204" pitchFamily="18" charset="0"/>
                  <a:cs typeface="+mn-cs"/>
                </a:rPr>
                <a:t>〗_</a:t>
              </a:r>
              <a:r>
                <a:rPr lang="en-US" sz="1100" b="0" i="0">
                  <a:latin typeface="Cambria Math" panose="02040503050406030204" pitchFamily="18" charset="0"/>
                  <a:ea typeface="Cambria Math" panose="02040503050406030204" pitchFamily="18" charset="0"/>
                </a:rPr>
                <a:t>2𝑛𝑑=(〖𝑘𝑊〗_(𝑏𝑎𝑠𝑒,2) )∗𝐼𝑆𝑅∗𝐶𝐹∗</a:t>
              </a:r>
              <a:r>
                <a:rPr lang="en-US" sz="1100" b="0" i="0">
                  <a:solidFill>
                    <a:schemeClr val="tx1"/>
                  </a:solidFill>
                  <a:effectLst/>
                  <a:latin typeface="Cambria Math" panose="02040503050406030204" pitchFamily="18" charset="0"/>
                  <a:ea typeface="+mn-ea"/>
                  <a:cs typeface="+mn-cs"/>
                </a:rPr>
                <a:t>(1+〖𝑊𝐻〗_(𝐶,𝐷)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oneCellAnchor>
    <xdr:from>
      <xdr:col>1</xdr:col>
      <xdr:colOff>158750</xdr:colOff>
      <xdr:row>47</xdr:row>
      <xdr:rowOff>6351</xdr:rowOff>
    </xdr:from>
    <xdr:ext cx="391477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𝑃𝑌</m:t>
                        </m:r>
                        <m:r>
                          <a:rPr lang="en-US" sz="1100" b="0" i="1">
                            <a:solidFill>
                              <a:schemeClr val="tx1"/>
                            </a:solidFill>
                            <a:effectLst/>
                            <a:latin typeface="Cambria Math" panose="02040503050406030204" pitchFamily="18" charset="0"/>
                            <a:ea typeface="+mn-ea"/>
                            <a:cs typeface="+mn-cs"/>
                          </a:rPr>
                          <m:t>22+</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2</m:t>
                        </m:r>
                        <m:r>
                          <a:rPr lang="en-US" sz="1100" b="0" i="1">
                            <a:solidFill>
                              <a:schemeClr val="tx1"/>
                            </a:solidFill>
                            <a:effectLst/>
                            <a:latin typeface="Cambria Math" panose="02040503050406030204" pitchFamily="18" charset="0"/>
                            <a:ea typeface="+mn-ea"/>
                            <a:cs typeface="+mn-cs"/>
                          </a:rPr>
                          <m:t>𝑛𝑑</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𝑡𝑢𝑏𝑒</m:t>
                        </m:r>
                      </m:sub>
                    </m:sSub>
                  </m:oMath>
                </m:oMathPara>
              </a14:m>
              <a:endParaRPr lang="en-US" sz="1100"/>
            </a:p>
          </xdr:txBody>
        </xdr:sp>
      </mc:Choice>
      <mc:Fallback xmlns="">
        <xdr:sp macro="" textlink="">
          <xdr:nvSpPr>
            <xdr:cNvPr id="7" name="TextBox 6">
              <a:extLst>
                <a:ext uri="{FF2B5EF4-FFF2-40B4-BE49-F238E27FC236}">
                  <a16:creationId xmlns:a16="http://schemas.microsoft.com/office/drawing/2014/main" id="{75253DA0-6FB9-492C-B087-A52B33DAD646}"/>
                </a:ext>
              </a:extLst>
            </xdr:cNvPr>
            <xdr:cNvSpPr txBox="1"/>
          </xdr:nvSpPr>
          <xdr:spPr>
            <a:xfrm>
              <a:off x="339725" y="11750676"/>
              <a:ext cx="391477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𝑘𝑊ℎ〗_(𝑃𝑌22+)</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𝑘𝑊ℎ〗_2𝑛𝑑∗〖𝐸𝑈𝐿〗_𝑡𝑢𝑏𝑒</a:t>
              </a:r>
              <a:endParaRPr lang="en-US" sz="1100"/>
            </a:p>
          </xdr:txBody>
        </xdr:sp>
      </mc:Fallback>
    </mc:AlternateContent>
    <xdr:clientData/>
  </xdr:oneCellAnchor>
  <xdr:oneCellAnchor>
    <xdr:from>
      <xdr:col>1</xdr:col>
      <xdr:colOff>171450</xdr:colOff>
      <xdr:row>51</xdr:row>
      <xdr:rowOff>7937</xdr:rowOff>
    </xdr:from>
    <xdr:ext cx="1776897" cy="191078"/>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𝐷</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8" name="TextBox 7">
              <a:extLst>
                <a:ext uri="{FF2B5EF4-FFF2-40B4-BE49-F238E27FC236}">
                  <a16:creationId xmlns:a16="http://schemas.microsoft.com/office/drawing/2014/main" id="{E0D0095B-9161-43B3-892B-B02C1EF96830}"/>
                </a:ext>
              </a:extLst>
            </xdr:cNvPr>
            <xdr:cNvSpPr txBox="1"/>
          </xdr:nvSpPr>
          <xdr:spPr>
            <a:xfrm>
              <a:off x="352425" y="12514262"/>
              <a:ext cx="1776897"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𝑊𝐻〗_(𝐶,𝐷)=</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〖𝐼𝐸〗_(𝐶,𝐷)−1)</a:t>
              </a:r>
              <a:endParaRPr lang="en-US" sz="1100"/>
            </a:p>
          </xdr:txBody>
        </xdr:sp>
      </mc:Fallback>
    </mc:AlternateContent>
    <xdr:clientData/>
  </xdr:oneCellAnchor>
  <xdr:oneCellAnchor>
    <xdr:from>
      <xdr:col>1</xdr:col>
      <xdr:colOff>158750</xdr:colOff>
      <xdr:row>53</xdr:row>
      <xdr:rowOff>0</xdr:rowOff>
    </xdr:from>
    <xdr:ext cx="1832168" cy="19107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𝑊𝐻</m:t>
                        </m:r>
                      </m:e>
                      <m:sub>
                        <m:r>
                          <a:rPr lang="en-US" sz="1100" b="0" i="1">
                            <a:latin typeface="Cambria Math" panose="02040503050406030204" pitchFamily="18" charset="0"/>
                          </a:rPr>
                          <m:t>𝐶</m:t>
                        </m:r>
                        <m:r>
                          <a:rPr lang="en-US" sz="1100" b="0" i="1">
                            <a:latin typeface="Cambria Math" panose="02040503050406030204" pitchFamily="18" charset="0"/>
                          </a:rPr>
                          <m:t>,</m:t>
                        </m:r>
                        <m:r>
                          <a:rPr lang="en-US" sz="1100" b="0" i="1">
                            <a:latin typeface="Cambria Math" panose="02040503050406030204" pitchFamily="18" charset="0"/>
                          </a:rPr>
                          <m:t>𝐸</m:t>
                        </m:r>
                      </m:sub>
                    </m:sSub>
                    <m:r>
                      <a:rPr lang="en-US" sz="1100" b="0" i="1">
                        <a:latin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e>
                      <m:sub>
                        <m:r>
                          <a:rPr lang="en-US" sz="1100" b="0" i="1">
                            <a:solidFill>
                              <a:schemeClr val="tx1"/>
                            </a:solidFill>
                            <a:effectLst/>
                            <a:latin typeface="Cambria Math" panose="02040503050406030204" pitchFamily="18" charset="0"/>
                            <a:ea typeface="+mn-ea"/>
                            <a:cs typeface="+mn-cs"/>
                          </a:rPr>
                          <m:t>𝐶𝑜𝑜𝑙</m:t>
                        </m:r>
                      </m:sub>
                    </m:sSub>
                    <m:r>
                      <a:rPr lang="en-US" sz="1100" b="0" i="1">
                        <a:solidFill>
                          <a:schemeClr val="tx1"/>
                        </a:solidFill>
                        <a:effectLst/>
                        <a:latin typeface="Cambria Math" panose="02040503050406030204" pitchFamily="18" charset="0"/>
                        <a:ea typeface="+mn-ea"/>
                        <a:cs typeface="+mn-cs"/>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𝐼𝐸</m:t>
                            </m:r>
                          </m:e>
                          <m:sub>
                            <m:r>
                              <a:rPr lang="en-US" sz="1100" b="0" i="1">
                                <a:solidFill>
                                  <a:schemeClr val="tx1"/>
                                </a:solidFill>
                                <a:effectLst/>
                                <a:latin typeface="Cambria Math" panose="02040503050406030204" pitchFamily="18" charset="0"/>
                                <a:ea typeface="+mn-ea"/>
                                <a:cs typeface="+mn-cs"/>
                              </a:rPr>
                              <m:t>𝐶</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m:t>
                            </m:r>
                          </m:sub>
                        </m:sSub>
                        <m:r>
                          <a:rPr lang="en-US" sz="1100" b="0" i="1">
                            <a:solidFill>
                              <a:schemeClr val="tx1"/>
                            </a:solidFill>
                            <a:effectLst/>
                            <a:latin typeface="Cambria Math" panose="02040503050406030204" pitchFamily="18" charset="0"/>
                            <a:ea typeface="+mn-ea"/>
                            <a:cs typeface="+mn-cs"/>
                          </a:rPr>
                          <m:t>−1</m:t>
                        </m:r>
                      </m:e>
                    </m:d>
                  </m:oMath>
                </m:oMathPara>
              </a14:m>
              <a:endParaRPr lang="en-US" sz="1100"/>
            </a:p>
          </xdr:txBody>
        </xdr:sp>
      </mc:Choice>
      <mc:Fallback xmlns="">
        <xdr:sp macro="" textlink="">
          <xdr:nvSpPr>
            <xdr:cNvPr id="9" name="TextBox 8">
              <a:extLst>
                <a:ext uri="{FF2B5EF4-FFF2-40B4-BE49-F238E27FC236}">
                  <a16:creationId xmlns:a16="http://schemas.microsoft.com/office/drawing/2014/main" id="{FF1982E1-EB4C-466B-A51B-27E3F1FCEF9F}"/>
                </a:ext>
              </a:extLst>
            </xdr:cNvPr>
            <xdr:cNvSpPr txBox="1"/>
          </xdr:nvSpPr>
          <xdr:spPr>
            <a:xfrm>
              <a:off x="339725" y="12887325"/>
              <a:ext cx="1832168" cy="1910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rPr>
                <a:t>〖</a:t>
              </a:r>
              <a:r>
                <a:rPr lang="en-US" sz="1100" b="0" i="0">
                  <a:latin typeface="Cambria Math" panose="02040503050406030204" pitchFamily="18" charset="0"/>
                </a:rPr>
                <a:t>𝑊𝐻〗_(𝐶,𝐸)=</a:t>
              </a:r>
              <a:r>
                <a:rPr lang="en-US" sz="1100" b="0" i="0">
                  <a:solidFill>
                    <a:schemeClr val="tx1"/>
                  </a:solidFill>
                  <a:effectLst/>
                  <a:latin typeface="Cambria Math" panose="02040503050406030204" pitchFamily="18" charset="0"/>
                  <a:ea typeface="+mn-ea"/>
                  <a:cs typeface="+mn-cs"/>
                </a:rPr>
                <a:t>%_𝐶𝑜𝑜𝑙∗</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〖𝐼𝐸〗_(𝐶,𝐸)−1)</a:t>
              </a:r>
              <a:endParaRPr lang="en-US" sz="1100"/>
            </a:p>
          </xdr:txBody>
        </xdr:sp>
      </mc:Fallback>
    </mc:AlternateContent>
    <xdr:clientData/>
  </xdr:oneCellAnchor>
</xdr:wsDr>
</file>

<file path=xl/drawings/drawing55.xml><?xml version="1.0" encoding="utf-8"?>
<xdr:wsDr xmlns:xdr="http://schemas.openxmlformats.org/drawingml/2006/spreadsheetDrawing" xmlns:a="http://schemas.openxmlformats.org/drawingml/2006/main">
  <xdr:oneCellAnchor>
    <xdr:from>
      <xdr:col>2</xdr:col>
      <xdr:colOff>182880</xdr:colOff>
      <xdr:row>35</xdr:row>
      <xdr:rowOff>152400</xdr:rowOff>
    </xdr:from>
    <xdr:ext cx="1658595" cy="1831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8C4594D2-E7FB-436E-B341-01003DEFDD78}"/>
                </a:ext>
              </a:extLst>
            </xdr:cNvPr>
            <xdr:cNvSpPr txBox="1"/>
          </xdr:nvSpPr>
          <xdr:spPr>
            <a:xfrm>
              <a:off x="659130" y="9753600"/>
              <a:ext cx="165859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𝑙𝑖𝑓𝑒=</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oneCellAnchor>
    <xdr:from>
      <xdr:col>2</xdr:col>
      <xdr:colOff>160020</xdr:colOff>
      <xdr:row>27</xdr:row>
      <xdr:rowOff>190499</xdr:rowOff>
    </xdr:from>
    <xdr:ext cx="3430270"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𝐾𝑊𝐻</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59AB0CBC-8B64-48EC-81B8-DEFD0EB7C436}"/>
                </a:ext>
              </a:extLst>
            </xdr:cNvPr>
            <xdr:cNvSpPr txBox="1"/>
          </xdr:nvSpPr>
          <xdr:spPr>
            <a:xfrm>
              <a:off x="636270" y="8267699"/>
              <a:ext cx="3430270"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 𝑆𝑎𝑣𝑖𝑛𝑔𝑠∗〖𝐾𝑊𝐻〗_𝐵𝑎𝑠𝑒𝑙𝑖𝑛𝑒∗𝐼𝑆𝑅∗𝑃𝐹</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160019</xdr:colOff>
      <xdr:row>31</xdr:row>
      <xdr:rowOff>190499</xdr:rowOff>
    </xdr:from>
    <xdr:ext cx="4021455" cy="2571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𝑆𝑎𝑣𝑖𝑛𝑔𝑠</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𝐾𝑊𝐻</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𝐼𝑆𝑅</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𝑃𝐹</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CF</m:t>
                    </m:r>
                    <m:r>
                      <a:rPr lang="en-US" sz="1100" b="0" i="0">
                        <a:solidFill>
                          <a:sysClr val="windowText" lastClr="000000"/>
                        </a:solidFill>
                        <a:latin typeface="Cambria Math" panose="02040503050406030204" pitchFamily="18" charset="0"/>
                        <a:ea typeface="Cambria Math" panose="02040503050406030204" pitchFamily="18" charset="0"/>
                      </a:rPr>
                      <m:t>/</m:t>
                    </m:r>
                    <m:r>
                      <m:rPr>
                        <m:sty m:val="p"/>
                      </m:rPr>
                      <a:rPr lang="en-US" sz="1100" b="0" i="0">
                        <a:solidFill>
                          <a:sysClr val="windowText" lastClr="000000"/>
                        </a:solidFill>
                        <a:latin typeface="Cambria Math" panose="02040503050406030204" pitchFamily="18" charset="0"/>
                        <a:ea typeface="Cambria Math" panose="02040503050406030204" pitchFamily="18" charset="0"/>
                      </a:rPr>
                      <m:t>HRS</m:t>
                    </m:r>
                  </m:oMath>
                </m:oMathPara>
              </a14:m>
              <a:endParaRPr lang="en-US" sz="11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B3A26A81-701E-40B6-B753-4349BD9F2A7C}"/>
                </a:ext>
              </a:extLst>
            </xdr:cNvPr>
            <xdr:cNvSpPr txBox="1"/>
          </xdr:nvSpPr>
          <xdr:spPr>
            <a:xfrm>
              <a:off x="636269" y="9029699"/>
              <a:ext cx="402145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𝑆𝑎𝑣𝑖𝑛𝑔𝑠∗</a:t>
              </a:r>
              <a:r>
                <a:rPr lang="en-US" sz="1100" b="0" i="0">
                  <a:solidFill>
                    <a:schemeClr val="tx1"/>
                  </a:solidFill>
                  <a:effectLst/>
                  <a:latin typeface="Cambria Math" panose="02040503050406030204" pitchFamily="18" charset="0"/>
                  <a:ea typeface="+mn-ea"/>
                  <a:cs typeface="+mn-cs"/>
                </a:rPr>
                <a:t>〖𝐾𝑊𝐻〗_𝐵𝑎𝑠𝑒𝑙𝑖𝑛𝑒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∗𝐼𝑆𝑅∗𝑃𝐹∗CF/HRS</a:t>
              </a:r>
              <a:endParaRPr lang="en-US" sz="11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6.xml><?xml version="1.0" encoding="utf-8"?>
<xdr:wsDr xmlns:xdr="http://schemas.openxmlformats.org/drawingml/2006/spreadsheetDrawing" xmlns:a="http://schemas.openxmlformats.org/drawingml/2006/main">
  <xdr:oneCellAnchor>
    <xdr:from>
      <xdr:col>2</xdr:col>
      <xdr:colOff>8601</xdr:colOff>
      <xdr:row>56</xdr:row>
      <xdr:rowOff>11776</xdr:rowOff>
    </xdr:from>
    <xdr:ext cx="2680380" cy="23587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008DEBF-209B-404B-8ABC-50761D15ECB9}"/>
                </a:ext>
              </a:extLst>
            </xdr:cNvPr>
            <xdr:cNvSpPr txBox="1"/>
          </xdr:nvSpPr>
          <xdr:spPr>
            <a:xfrm>
              <a:off x="370551" y="11765626"/>
              <a:ext cx="2680380" cy="2358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𝑘𝑊</m:t>
                    </m:r>
                    <m:r>
                      <a:rPr lang="en-US" sz="1100" b="0" i="1" baseline="-25000">
                        <a:solidFill>
                          <a:sysClr val="windowText" lastClr="000000"/>
                        </a:solidFill>
                        <a:effectLst/>
                        <a:latin typeface="Cambria Math" panose="02040503050406030204" pitchFamily="18" charset="0"/>
                        <a:ea typeface="+mn-ea"/>
                        <a:cs typeface="+mn-cs"/>
                      </a:rPr>
                      <m:t>𝑠</m:t>
                    </m:r>
                    <m:r>
                      <a:rPr lang="en-US" sz="1100" b="0" i="1" baseline="-2500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𝑎𝑣𝑒𝑟𝑎𝑔𝑒</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008DEBF-209B-404B-8ABC-50761D15ECB9}"/>
                </a:ext>
              </a:extLst>
            </xdr:cNvPr>
            <xdr:cNvSpPr txBox="1"/>
          </xdr:nvSpPr>
          <xdr:spPr>
            <a:xfrm>
              <a:off x="370551" y="11765626"/>
              <a:ext cx="2680380" cy="23587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ysClr val="windowText" lastClr="000000"/>
                  </a:solidFill>
                  <a:effectLst/>
                  <a:latin typeface="Cambria Math" panose="02040503050406030204" pitchFamily="18" charset="0"/>
                  <a:ea typeface="+mn-ea"/>
                  <a:cs typeface="+mn-cs"/>
                </a:rPr>
                <a:t>𝑘𝑊</a:t>
              </a:r>
              <a:r>
                <a:rPr lang="en-US" sz="1100" b="0" i="0" baseline="-25000">
                  <a:solidFill>
                    <a:sysClr val="windowText" lastClr="000000"/>
                  </a:solidFill>
                  <a:effectLst/>
                  <a:latin typeface="Cambria Math" panose="02040503050406030204" pitchFamily="18" charset="0"/>
                  <a:ea typeface="+mn-ea"/>
                  <a:cs typeface="+mn-cs"/>
                </a:rPr>
                <a:t>𝑠,𝑎𝑣𝑒𝑟𝑎𝑔𝑒</a:t>
              </a:r>
              <a:r>
                <a:rPr lang="en-US" sz="1100" b="0" i="0">
                  <a:solidFill>
                    <a:sysClr val="windowText" lastClr="000000"/>
                  </a:solidFill>
                  <a:latin typeface="Cambria Math" panose="02040503050406030204" pitchFamily="18" charset="0"/>
                  <a:ea typeface="Cambria Math" panose="02040503050406030204" pitchFamily="18" charset="0"/>
                </a:rPr>
                <a:t>∗𝐶𝐹</a:t>
              </a:r>
              <a:endParaRPr lang="en-US" sz="1100">
                <a:solidFill>
                  <a:sysClr val="windowText" lastClr="000000"/>
                </a:solidFill>
              </a:endParaRPr>
            </a:p>
          </xdr:txBody>
        </xdr:sp>
      </mc:Fallback>
    </mc:AlternateContent>
    <xdr:clientData/>
  </xdr:oneCellAnchor>
  <xdr:oneCellAnchor>
    <xdr:from>
      <xdr:col>2</xdr:col>
      <xdr:colOff>38042</xdr:colOff>
      <xdr:row>61</xdr:row>
      <xdr:rowOff>7793</xdr:rowOff>
    </xdr:from>
    <xdr:ext cx="3914775"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060D773-E16E-413B-95D5-A09C068FEA33}"/>
                </a:ext>
              </a:extLst>
            </xdr:cNvPr>
            <xdr:cNvSpPr txBox="1"/>
          </xdr:nvSpPr>
          <xdr:spPr>
            <a:xfrm>
              <a:off x="399992" y="1271414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𝑒𝑒</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E060D773-E16E-413B-95D5-A09C068FEA33}"/>
                </a:ext>
              </a:extLst>
            </xdr:cNvPr>
            <xdr:cNvSpPr txBox="1"/>
          </xdr:nvSpPr>
          <xdr:spPr>
            <a:xfrm>
              <a:off x="399992" y="1271414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𝑘𝑊ℎ∗〖𝐸𝑈𝐿〗_𝑒𝑒</a:t>
              </a:r>
              <a:endParaRPr lang="en-US" sz="1100"/>
            </a:p>
          </xdr:txBody>
        </xdr:sp>
      </mc:Fallback>
    </mc:AlternateContent>
    <xdr:clientData/>
  </xdr:oneCellAnchor>
  <xdr:oneCellAnchor>
    <xdr:from>
      <xdr:col>2</xdr:col>
      <xdr:colOff>22985</xdr:colOff>
      <xdr:row>45</xdr:row>
      <xdr:rowOff>29592</xdr:rowOff>
    </xdr:from>
    <xdr:ext cx="3848101" cy="20955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C88AE0F-A04D-4B19-BB64-8C5A63951927}"/>
                </a:ext>
              </a:extLst>
            </xdr:cNvPr>
            <xdr:cNvSpPr txBox="1"/>
          </xdr:nvSpPr>
          <xdr:spPr>
            <a:xfrm>
              <a:off x="384935" y="968794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𝑒𝑒</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EC88AE0F-A04D-4B19-BB64-8C5A63951927}"/>
                </a:ext>
              </a:extLst>
            </xdr:cNvPr>
            <xdr:cNvSpPr txBox="1"/>
          </xdr:nvSpPr>
          <xdr:spPr>
            <a:xfrm>
              <a:off x="384935" y="968794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〖𝑘𝑊ℎ〗_𝑏𝑎𝑠𝑒−〖𝑘𝑊ℎ〗_𝑒𝑒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66675</xdr:colOff>
      <xdr:row>28</xdr:row>
      <xdr:rowOff>19050</xdr:rowOff>
    </xdr:from>
    <xdr:ext cx="3113210" cy="51435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4D6CB89B-CA96-47BC-A55D-EB23A5050AEF}"/>
                </a:ext>
              </a:extLst>
            </xdr:cNvPr>
            <xdr:cNvSpPr txBox="1"/>
          </xdr:nvSpPr>
          <xdr:spPr>
            <a:xfrm>
              <a:off x="428625" y="6438900"/>
              <a:ext cx="311321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𝐻𝑅𝑆</m:t>
                            </m:r>
                            <m:r>
                              <a:rPr lang="en-US" sz="1100" b="0" i="1" baseline="-25000">
                                <a:latin typeface="Cambria Math" panose="02040503050406030204" pitchFamily="18" charset="0"/>
                                <a:ea typeface="Cambria Math" panose="02040503050406030204" pitchFamily="18" charset="0"/>
                              </a:rPr>
                              <m:t>𝑠𝑝</m:t>
                            </m:r>
                            <m:r>
                              <a:rPr lang="en-US" sz="1100" b="0" i="1" baseline="0">
                                <a:latin typeface="Cambria Math" panose="02040503050406030204" pitchFamily="18" charset="0"/>
                                <a:ea typeface="Cambria Math" panose="02040503050406030204" pitchFamily="18" charset="0"/>
                              </a:rPr>
                              <m:t>+</m:t>
                            </m:r>
                            <m:sSub>
                              <m:sSubPr>
                                <m:ctrlPr>
                                  <a:rPr lang="en-US" sz="1100" b="0" i="1" baseline="0">
                                    <a:latin typeface="Cambria Math" panose="02040503050406030204" pitchFamily="18" charset="0"/>
                                    <a:ea typeface="Cambria Math" panose="02040503050406030204" pitchFamily="18" charset="0"/>
                                  </a:rPr>
                                </m:ctrlPr>
                              </m:sSubPr>
                              <m:e>
                                <m:r>
                                  <a:rPr lang="en-US" sz="1100" b="0" i="1" baseline="0">
                                    <a:latin typeface="Cambria Math" panose="02040503050406030204" pitchFamily="18" charset="0"/>
                                    <a:ea typeface="Cambria Math" panose="02040503050406030204" pitchFamily="18" charset="0"/>
                                  </a:rPr>
                                  <m:t>𝐻𝑅𝑆</m:t>
                                </m:r>
                              </m:e>
                              <m:sub>
                                <m:r>
                                  <a:rPr lang="en-US" sz="1100" b="0" i="1" baseline="0">
                                    <a:latin typeface="Cambria Math" panose="02040503050406030204" pitchFamily="18" charset="0"/>
                                    <a:ea typeface="Cambria Math" panose="02040503050406030204" pitchFamily="18" charset="0"/>
                                  </a:rPr>
                                  <m:t>𝑠𝑢</m:t>
                                </m:r>
                              </m:sub>
                            </m:sSub>
                          </m:e>
                        </m:d>
                        <m:r>
                          <a:rPr lang="en-US" sz="1100" b="0" i="1" baseline="0">
                            <a:latin typeface="Cambria Math" panose="02040503050406030204" pitchFamily="18" charset="0"/>
                            <a:ea typeface="Cambria Math" panose="02040503050406030204" pitchFamily="18" charset="0"/>
                          </a:rPr>
                          <m:t>∗</m:t>
                        </m:r>
                        <m:sSub>
                          <m:sSubPr>
                            <m:ctrlPr>
                              <a:rPr lang="en-US" sz="1100" b="0" i="1" baseline="0">
                                <a:latin typeface="Cambria Math" panose="02040503050406030204" pitchFamily="18" charset="0"/>
                                <a:ea typeface="Cambria Math" panose="02040503050406030204" pitchFamily="18" charset="0"/>
                              </a:rPr>
                            </m:ctrlPr>
                          </m:sSubPr>
                          <m:e>
                            <m:r>
                              <a:rPr lang="en-US" sz="1100" b="0" i="1" baseline="0">
                                <a:latin typeface="Cambria Math" panose="02040503050406030204" pitchFamily="18" charset="0"/>
                                <a:ea typeface="Cambria Math" panose="02040503050406030204" pitchFamily="18" charset="0"/>
                              </a:rPr>
                              <m:t>𝑊</m:t>
                            </m:r>
                          </m:e>
                          <m:sub>
                            <m:r>
                              <a:rPr lang="en-US" sz="1100" b="0" i="1" baseline="0">
                                <a:latin typeface="Cambria Math" panose="02040503050406030204" pitchFamily="18" charset="0"/>
                                <a:ea typeface="Cambria Math" panose="02040503050406030204" pitchFamily="18" charset="0"/>
                              </a:rPr>
                              <m:t>𝑏𝑎𝑠𝑒</m:t>
                            </m:r>
                          </m:sub>
                        </m:sSub>
                      </m:num>
                      <m:den>
                        <m:r>
                          <a:rPr lang="en-US" sz="1100" b="0" i="1">
                            <a:latin typeface="Cambria Math" panose="02040503050406030204" pitchFamily="18" charset="0"/>
                            <a:ea typeface="Cambria Math" panose="02040503050406030204" pitchFamily="18" charset="0"/>
                          </a:rPr>
                          <m:t>1000</m:t>
                        </m:r>
                      </m:den>
                    </m:f>
                  </m:oMath>
                </m:oMathPara>
              </a14:m>
              <a:endParaRPr lang="en-US" sz="1100"/>
            </a:p>
          </xdr:txBody>
        </xdr:sp>
      </mc:Choice>
      <mc:Fallback xmlns="">
        <xdr:sp macro="" textlink="">
          <xdr:nvSpPr>
            <xdr:cNvPr id="5" name="TextBox 4">
              <a:extLst>
                <a:ext uri="{FF2B5EF4-FFF2-40B4-BE49-F238E27FC236}">
                  <a16:creationId xmlns:a16="http://schemas.microsoft.com/office/drawing/2014/main" id="{4D6CB89B-CA96-47BC-A55D-EB23A5050AEF}"/>
                </a:ext>
              </a:extLst>
            </xdr:cNvPr>
            <xdr:cNvSpPr txBox="1"/>
          </xdr:nvSpPr>
          <xdr:spPr>
            <a:xfrm>
              <a:off x="428625" y="6438900"/>
              <a:ext cx="3113210"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〖𝑘𝑊ℎ〗_𝑏𝑎𝑠𝑒</a:t>
              </a:r>
              <a:r>
                <a:rPr lang="en-US" sz="1100" b="0" i="0">
                  <a:latin typeface="Cambria Math" panose="02040503050406030204" pitchFamily="18" charset="0"/>
                  <a:ea typeface="Cambria Math" panose="02040503050406030204" pitchFamily="18" charset="0"/>
                </a:rPr>
                <a:t>=((𝐻𝑅𝑆</a:t>
              </a:r>
              <a:r>
                <a:rPr lang="en-US" sz="1100" b="0" i="0" baseline="-25000">
                  <a:latin typeface="Cambria Math" panose="02040503050406030204" pitchFamily="18" charset="0"/>
                  <a:ea typeface="Cambria Math" panose="02040503050406030204" pitchFamily="18" charset="0"/>
                </a:rPr>
                <a:t>𝑠𝑝</a:t>
              </a:r>
              <a:r>
                <a:rPr lang="en-US" sz="1100" b="0" i="0" baseline="0">
                  <a:latin typeface="Cambria Math" panose="02040503050406030204" pitchFamily="18" charset="0"/>
                  <a:ea typeface="Cambria Math" panose="02040503050406030204" pitchFamily="18" charset="0"/>
                </a:rPr>
                <a:t>+〖𝐻𝑅𝑆〗_𝑠𝑢 )∗𝑊_𝑏𝑎𝑠𝑒)/</a:t>
              </a:r>
              <a:r>
                <a:rPr lang="en-US" sz="1100" b="0" i="0">
                  <a:latin typeface="Cambria Math" panose="02040503050406030204" pitchFamily="18" charset="0"/>
                  <a:ea typeface="Cambria Math" panose="02040503050406030204" pitchFamily="18" charset="0"/>
                </a:rPr>
                <a:t>1000</a:t>
              </a:r>
              <a:endParaRPr lang="en-US" sz="1100"/>
            </a:p>
          </xdr:txBody>
        </xdr:sp>
      </mc:Fallback>
    </mc:AlternateContent>
    <xdr:clientData/>
  </xdr:oneCellAnchor>
  <xdr:oneCellAnchor>
    <xdr:from>
      <xdr:col>2</xdr:col>
      <xdr:colOff>47624</xdr:colOff>
      <xdr:row>34</xdr:row>
      <xdr:rowOff>9525</xdr:rowOff>
    </xdr:from>
    <xdr:ext cx="5051913" cy="5143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F9CD3653-4A11-405F-BDF0-B19299156080}"/>
                </a:ext>
              </a:extLst>
            </xdr:cNvPr>
            <xdr:cNvSpPr txBox="1"/>
          </xdr:nvSpPr>
          <xdr:spPr>
            <a:xfrm>
              <a:off x="409574" y="7572375"/>
              <a:ext cx="5051913"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𝑒𝑒</m:t>
                        </m:r>
                      </m:sub>
                    </m:sSub>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𝐻𝑅𝑆</m:t>
                            </m:r>
                            <m:r>
                              <a:rPr lang="en-US" sz="1100" b="0" i="1" baseline="-25000">
                                <a:latin typeface="Cambria Math" panose="02040503050406030204" pitchFamily="18" charset="0"/>
                                <a:ea typeface="Cambria Math" panose="02040503050406030204" pitchFamily="18" charset="0"/>
                              </a:rPr>
                              <m:t>𝑠𝑝</m:t>
                            </m:r>
                            <m:r>
                              <a:rPr lang="en-US" sz="1100" b="0" i="1">
                                <a:latin typeface="Cambria Math" panose="02040503050406030204" pitchFamily="18" charset="0"/>
                                <a:ea typeface="Cambria Math" panose="02040503050406030204" pitchFamily="18" charset="0"/>
                              </a:rPr>
                              <m:t> ∗</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𝑒𝑒𝑝</m:t>
                                </m:r>
                              </m:sub>
                            </m:sSub>
                          </m:e>
                        </m:d>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𝑠𝑢</m:t>
                            </m:r>
                          </m:sub>
                        </m:sSub>
                        <m:r>
                          <a:rPr lang="en-US" sz="1100" b="0" i="1">
                            <a:latin typeface="Cambria Math" panose="02040503050406030204" pitchFamily="18" charset="0"/>
                            <a:ea typeface="Cambria Math" panose="02040503050406030204" pitchFamily="18" charset="0"/>
                          </a:rPr>
                          <m:t> ∗</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𝑊</m:t>
                            </m:r>
                          </m:e>
                          <m:sub>
                            <m:r>
                              <a:rPr lang="en-US" sz="1100" b="0" i="1">
                                <a:latin typeface="Cambria Math" panose="02040503050406030204" pitchFamily="18" charset="0"/>
                                <a:ea typeface="Cambria Math" panose="02040503050406030204" pitchFamily="18" charset="0"/>
                              </a:rPr>
                              <m:t>𝑒𝑒𝑢</m:t>
                            </m:r>
                          </m:sub>
                        </m:sSub>
                        <m:r>
                          <a:rPr lang="en-US" sz="1100" b="0" i="1">
                            <a:latin typeface="Cambria Math" panose="02040503050406030204" pitchFamily="18" charset="0"/>
                            <a:ea typeface="Cambria Math" panose="02040503050406030204" pitchFamily="18" charset="0"/>
                          </a:rPr>
                          <m:t>)</m:t>
                        </m:r>
                      </m:num>
                      <m:den>
                        <m:r>
                          <a:rPr lang="en-US" sz="1100" b="0" i="1">
                            <a:latin typeface="Cambria Math" panose="02040503050406030204" pitchFamily="18" charset="0"/>
                            <a:ea typeface="Cambria Math" panose="02040503050406030204" pitchFamily="18" charset="0"/>
                          </a:rPr>
                          <m:t>1000</m:t>
                        </m:r>
                      </m:den>
                    </m:f>
                  </m:oMath>
                </m:oMathPara>
              </a14:m>
              <a:endParaRPr lang="en-US" sz="1100"/>
            </a:p>
          </xdr:txBody>
        </xdr:sp>
      </mc:Choice>
      <mc:Fallback xmlns="">
        <xdr:sp macro="" textlink="">
          <xdr:nvSpPr>
            <xdr:cNvPr id="6" name="TextBox 5">
              <a:extLst>
                <a:ext uri="{FF2B5EF4-FFF2-40B4-BE49-F238E27FC236}">
                  <a16:creationId xmlns:a16="http://schemas.microsoft.com/office/drawing/2014/main" id="{F9CD3653-4A11-405F-BDF0-B19299156080}"/>
                </a:ext>
              </a:extLst>
            </xdr:cNvPr>
            <xdr:cNvSpPr txBox="1"/>
          </xdr:nvSpPr>
          <xdr:spPr>
            <a:xfrm>
              <a:off x="409574" y="7572375"/>
              <a:ext cx="5051913" cy="514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〖𝑘𝑊ℎ〗_𝑒𝑒</a:t>
              </a:r>
              <a:r>
                <a:rPr lang="en-US" sz="1100" b="0" i="0">
                  <a:latin typeface="Cambria Math" panose="02040503050406030204" pitchFamily="18" charset="0"/>
                  <a:ea typeface="Cambria Math" panose="02040503050406030204" pitchFamily="18" charset="0"/>
                </a:rPr>
                <a:t>=((𝐻𝑅𝑆</a:t>
              </a:r>
              <a:r>
                <a:rPr lang="en-US" sz="1100" b="0" i="0" baseline="-25000">
                  <a:latin typeface="Cambria Math" panose="02040503050406030204" pitchFamily="18" charset="0"/>
                  <a:ea typeface="Cambria Math" panose="02040503050406030204" pitchFamily="18" charset="0"/>
                </a:rPr>
                <a:t>𝑠𝑝</a:t>
              </a:r>
              <a:r>
                <a:rPr lang="en-US" sz="1100" b="0" i="0">
                  <a:latin typeface="Cambria Math" panose="02040503050406030204" pitchFamily="18" charset="0"/>
                  <a:ea typeface="Cambria Math" panose="02040503050406030204" pitchFamily="18" charset="0"/>
                </a:rPr>
                <a:t> ∗𝑊_𝑒𝑒𝑝 )+(〖𝐻𝑅𝑆〗_𝑠𝑢  ∗𝑊_𝑒𝑒𝑢))/1000</a:t>
              </a:r>
              <a:endParaRPr lang="en-US" sz="1100"/>
            </a:p>
          </xdr:txBody>
        </xdr:sp>
      </mc:Fallback>
    </mc:AlternateContent>
    <xdr:clientData/>
  </xdr:oneCellAnchor>
  <xdr:oneCellAnchor>
    <xdr:from>
      <xdr:col>1</xdr:col>
      <xdr:colOff>180000</xdr:colOff>
      <xdr:row>39</xdr:row>
      <xdr:rowOff>164368</xdr:rowOff>
    </xdr:from>
    <xdr:ext cx="5051913" cy="194651"/>
    <mc:AlternateContent xmlns:mc="http://schemas.openxmlformats.org/markup-compatibility/2006" xmlns:a14="http://schemas.microsoft.com/office/drawing/2010/main">
      <mc:Choice Requires="a14">
        <xdr:sp macro="" textlink="">
          <xdr:nvSpPr>
            <xdr:cNvPr id="7" name="TextBox 7">
              <a:extLst>
                <a:ext uri="{FF2B5EF4-FFF2-40B4-BE49-F238E27FC236}">
                  <a16:creationId xmlns:a16="http://schemas.microsoft.com/office/drawing/2014/main" id="{2722E67E-899E-433F-81F9-A38B7EC1AEA8}"/>
                </a:ext>
              </a:extLst>
            </xdr:cNvPr>
            <xdr:cNvSpPr txBox="1"/>
          </xdr:nvSpPr>
          <xdr:spPr>
            <a:xfrm>
              <a:off x="360975" y="8679718"/>
              <a:ext cx="5051913" cy="1946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𝐻𝑅𝑆</m:t>
                        </m:r>
                      </m:e>
                      <m:sub>
                        <m:r>
                          <a:rPr lang="en-US" sz="1100" b="0" i="1">
                            <a:solidFill>
                              <a:schemeClr val="tx1"/>
                            </a:solidFill>
                            <a:effectLst/>
                            <a:latin typeface="Cambria Math" panose="02040503050406030204" pitchFamily="18" charset="0"/>
                            <a:ea typeface="+mn-ea"/>
                            <a:cs typeface="+mn-cs"/>
                          </a:rPr>
                          <m:t>𝑠𝑝</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𝐻𝑅𝑆</m:t>
                        </m:r>
                      </m:e>
                      <m:sub>
                        <m:r>
                          <a:rPr lang="en-US" sz="1100" b="0" i="1">
                            <a:latin typeface="Cambria Math" panose="02040503050406030204" pitchFamily="18" charset="0"/>
                            <a:ea typeface="Cambria Math" panose="02040503050406030204" pitchFamily="18" charset="0"/>
                          </a:rPr>
                          <m:t>𝑐</m:t>
                        </m:r>
                      </m:sub>
                    </m:sSub>
                  </m:oMath>
                </m:oMathPara>
              </a14:m>
              <a:endParaRPr lang="en-US" sz="1100" baseline="-25000"/>
            </a:p>
          </xdr:txBody>
        </xdr:sp>
      </mc:Choice>
      <mc:Fallback xmlns="">
        <xdr:sp macro="" textlink="">
          <xdr:nvSpPr>
            <xdr:cNvPr id="7" name="TextBox 7">
              <a:extLst>
                <a:ext uri="{FF2B5EF4-FFF2-40B4-BE49-F238E27FC236}">
                  <a16:creationId xmlns:a16="http://schemas.microsoft.com/office/drawing/2014/main" id="{2722E67E-899E-433F-81F9-A38B7EC1AEA8}"/>
                </a:ext>
              </a:extLst>
            </xdr:cNvPr>
            <xdr:cNvSpPr txBox="1"/>
          </xdr:nvSpPr>
          <xdr:spPr>
            <a:xfrm>
              <a:off x="360975" y="8679718"/>
              <a:ext cx="5051913" cy="1946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〖𝐻𝑅𝑆〗_𝑠𝑝</a:t>
              </a:r>
              <a:r>
                <a:rPr lang="en-US" sz="1100" b="0" i="0">
                  <a:latin typeface="Cambria Math" panose="02040503050406030204" pitchFamily="18" charset="0"/>
                  <a:ea typeface="Cambria Math" panose="02040503050406030204" pitchFamily="18" charset="0"/>
                </a:rPr>
                <a:t>=〖𝐻𝑅𝑆〗_𝑝−〖𝐻𝑅𝑆〗_𝑐</a:t>
              </a:r>
              <a:endParaRPr lang="en-US" sz="1100" baseline="-25000"/>
            </a:p>
          </xdr:txBody>
        </xdr:sp>
      </mc:Fallback>
    </mc:AlternateContent>
    <xdr:clientData/>
  </xdr:oneCellAnchor>
  <xdr:oneCellAnchor>
    <xdr:from>
      <xdr:col>1</xdr:col>
      <xdr:colOff>51288</xdr:colOff>
      <xdr:row>50</xdr:row>
      <xdr:rowOff>14654</xdr:rowOff>
    </xdr:from>
    <xdr:ext cx="5273188" cy="404446"/>
    <mc:AlternateContent xmlns:mc="http://schemas.openxmlformats.org/markup-compatibility/2006" xmlns:a14="http://schemas.microsoft.com/office/drawing/2010/main">
      <mc:Choice Requires="a14">
        <xdr:sp macro="" textlink="">
          <xdr:nvSpPr>
            <xdr:cNvPr id="8" name="TextBox 5">
              <a:extLst>
                <a:ext uri="{FF2B5EF4-FFF2-40B4-BE49-F238E27FC236}">
                  <a16:creationId xmlns:a16="http://schemas.microsoft.com/office/drawing/2014/main" id="{A7EF12D5-7CA1-49AC-9326-56C9CB0FDD40}"/>
                </a:ext>
              </a:extLst>
            </xdr:cNvPr>
            <xdr:cNvSpPr txBox="1"/>
          </xdr:nvSpPr>
          <xdr:spPr>
            <a:xfrm>
              <a:off x="232263" y="10625504"/>
              <a:ext cx="5273188" cy="4044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effectLst/>
                            <a:latin typeface="Cambria Math" panose="02040503050406030204" pitchFamily="18" charset="0"/>
                            <a:ea typeface="+mn-ea"/>
                            <a:cs typeface="+mn-cs"/>
                          </a:rPr>
                          <m:t>𝑠</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𝑎𝑣𝑒𝑟𝑎𝑔𝑒</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effectLst/>
                            <a:latin typeface="Cambria Math" panose="02040503050406030204" pitchFamily="18" charset="0"/>
                            <a:ea typeface="+mn-ea"/>
                            <a:cs typeface="+mn-cs"/>
                          </a:rPr>
                          <m:t>𝑊</m:t>
                        </m:r>
                        <m:r>
                          <a:rPr lang="en-US" sz="1100" b="0" i="1" baseline="-25000">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𝑒𝑒𝑝</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𝐻𝑅𝑆</m:t>
                            </m:r>
                          </m:e>
                          <m:sub>
                            <m:r>
                              <a:rPr lang="en-US" sz="1100" b="0" i="1">
                                <a:solidFill>
                                  <a:sysClr val="windowText" lastClr="000000"/>
                                </a:solidFill>
                                <a:effectLst/>
                                <a:latin typeface="Cambria Math" panose="02040503050406030204" pitchFamily="18" charset="0"/>
                                <a:ea typeface="+mn-ea"/>
                                <a:cs typeface="+mn-cs"/>
                              </a:rPr>
                              <m:t>𝑠𝑝</m:t>
                            </m:r>
                          </m:sub>
                        </m:sSub>
                        <m:r>
                          <a:rPr lang="en-US" sz="1100" b="0" i="1" baseline="-2500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𝑊</m:t>
                            </m:r>
                            <m:r>
                              <a:rPr lang="en-US" sz="1100" b="0" i="1" baseline="-25000">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𝑒𝑒𝑢</m:t>
                                </m:r>
                              </m:sub>
                            </m:sSub>
                          </m:e>
                        </m:d>
                        <m:r>
                          <a:rPr lang="en-US" sz="1100" b="0" i="1" baseline="-25000">
                            <a:solidFill>
                              <a:sysClr val="windowText" lastClr="000000"/>
                            </a:solidFill>
                            <a:effectLst/>
                            <a:latin typeface="Cambria Math" panose="02040503050406030204" pitchFamily="18" charset="0"/>
                            <a:ea typeface="+mn-ea"/>
                            <a:cs typeface="+mn-cs"/>
                          </a:rPr>
                          <m:t> </m:t>
                        </m:r>
                        <m:r>
                          <a:rPr lang="en-US" sz="1100" b="0" i="1" baseline="0">
                            <a:solidFill>
                              <a:sysClr val="windowText" lastClr="000000"/>
                            </a:solidFill>
                            <a:effectLst/>
                            <a:latin typeface="Cambria Math" panose="02040503050406030204" pitchFamily="18" charset="0"/>
                            <a:ea typeface="+mn-ea"/>
                            <a:cs typeface="+mn-cs"/>
                          </a:rPr>
                          <m:t>∗</m:t>
                        </m:r>
                        <m:r>
                          <a:rPr lang="en-US" sz="1100" b="0" i="1" baseline="-25000">
                            <a:solidFill>
                              <a:sysClr val="windowText" lastClr="000000"/>
                            </a:solidFill>
                            <a:effectLst/>
                            <a:latin typeface="Cambria Math" panose="02040503050406030204" pitchFamily="18" charset="0"/>
                            <a:ea typeface="+mn-ea"/>
                            <a:cs typeface="+mn-cs"/>
                          </a:rPr>
                          <m:t> </m:t>
                        </m:r>
                        <m:r>
                          <a:rPr lang="en-US" sz="1100" b="0" i="1">
                            <a:solidFill>
                              <a:sysClr val="windowText" lastClr="000000"/>
                            </a:solidFill>
                            <a:effectLst/>
                            <a:latin typeface="Cambria Math" panose="02040503050406030204" pitchFamily="18" charset="0"/>
                            <a:ea typeface="+mn-ea"/>
                            <a:cs typeface="+mn-cs"/>
                          </a:rPr>
                          <m:t>𝐻𝑅𝑆</m:t>
                        </m:r>
                        <m:r>
                          <a:rPr lang="en-US" sz="1100" b="0" i="1" baseline="-25000">
                            <a:solidFill>
                              <a:sysClr val="windowText" lastClr="000000"/>
                            </a:solidFill>
                            <a:effectLst/>
                            <a:latin typeface="Cambria Math" panose="02040503050406030204" pitchFamily="18" charset="0"/>
                            <a:ea typeface="+mn-ea"/>
                            <a:cs typeface="+mn-cs"/>
                          </a:rPr>
                          <m:t>𝑠𝑢</m:t>
                        </m:r>
                        <m:r>
                          <a:rPr lang="en-US" sz="1100" b="0" i="1">
                            <a:solidFill>
                              <a:sysClr val="windowText" lastClr="000000"/>
                            </a:solidFill>
                            <a:effectLst/>
                            <a:latin typeface="Cambria Math" panose="02040503050406030204" pitchFamily="18" charset="0"/>
                            <a:ea typeface="+mn-ea"/>
                            <a:cs typeface="+mn-cs"/>
                          </a:rPr>
                          <m:t> </m:t>
                        </m:r>
                      </m:num>
                      <m:den>
                        <m:r>
                          <a:rPr lang="en-US" sz="1100" b="0" i="1">
                            <a:solidFill>
                              <a:sysClr val="windowText" lastClr="000000"/>
                            </a:solidFill>
                            <a:latin typeface="Cambria Math" panose="02040503050406030204" pitchFamily="18" charset="0"/>
                            <a:ea typeface="Cambria Math" panose="02040503050406030204" pitchFamily="18" charset="0"/>
                          </a:rPr>
                          <m:t>1000∗</m:t>
                        </m:r>
                        <m:r>
                          <a:rPr lang="en-US" sz="1100" b="0" i="1" baseline="0">
                            <a:solidFill>
                              <a:sysClr val="windowText" lastClr="000000"/>
                            </a:solidFill>
                            <a:effectLst/>
                            <a:latin typeface="Cambria Math" panose="02040503050406030204" pitchFamily="18" charset="0"/>
                            <a:ea typeface="+mn-ea"/>
                            <a:cs typeface="+mn-cs"/>
                          </a:rPr>
                          <m:t>(8760−</m:t>
                        </m:r>
                        <m:r>
                          <a:rPr lang="en-US" sz="1100" b="0" i="1">
                            <a:solidFill>
                              <a:sysClr val="windowText" lastClr="000000"/>
                            </a:solidFill>
                            <a:effectLst/>
                            <a:latin typeface="Cambria Math" panose="02040503050406030204" pitchFamily="18" charset="0"/>
                            <a:ea typeface="+mn-ea"/>
                            <a:cs typeface="+mn-cs"/>
                          </a:rPr>
                          <m:t>𝐻𝑅𝑆</m:t>
                        </m:r>
                        <m:r>
                          <a:rPr lang="en-US" sz="1100" b="0" i="1" baseline="-25000">
                            <a:solidFill>
                              <a:sysClr val="windowText" lastClr="000000"/>
                            </a:solidFill>
                            <a:effectLst/>
                            <a:latin typeface="Cambria Math" panose="02040503050406030204" pitchFamily="18" charset="0"/>
                            <a:ea typeface="+mn-ea"/>
                            <a:cs typeface="+mn-cs"/>
                          </a:rPr>
                          <m:t>𝑐</m:t>
                        </m:r>
                        <m:r>
                          <a:rPr lang="en-US" sz="1100" b="0" i="1">
                            <a:solidFill>
                              <a:sysClr val="windowText" lastClr="000000"/>
                            </a:solidFill>
                            <a:effectLst/>
                            <a:latin typeface="Cambria Math" panose="02040503050406030204" pitchFamily="18" charset="0"/>
                            <a:ea typeface="+mn-ea"/>
                            <a:cs typeface="+mn-cs"/>
                          </a:rPr>
                          <m:t>)</m:t>
                        </m:r>
                      </m:den>
                    </m:f>
                  </m:oMath>
                </m:oMathPara>
              </a14:m>
              <a:endParaRPr lang="en-US" sz="1100">
                <a:solidFill>
                  <a:sysClr val="windowText" lastClr="000000"/>
                </a:solidFill>
              </a:endParaRPr>
            </a:p>
          </xdr:txBody>
        </xdr:sp>
      </mc:Choice>
      <mc:Fallback xmlns="">
        <xdr:sp macro="" textlink="">
          <xdr:nvSpPr>
            <xdr:cNvPr id="8" name="TextBox 5">
              <a:extLst>
                <a:ext uri="{FF2B5EF4-FFF2-40B4-BE49-F238E27FC236}">
                  <a16:creationId xmlns:a16="http://schemas.microsoft.com/office/drawing/2014/main" id="{A7EF12D5-7CA1-49AC-9326-56C9CB0FDD40}"/>
                </a:ext>
              </a:extLst>
            </xdr:cNvPr>
            <xdr:cNvSpPr txBox="1"/>
          </xdr:nvSpPr>
          <xdr:spPr>
            <a:xfrm>
              <a:off x="232263" y="10625504"/>
              <a:ext cx="5273188" cy="40444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𝑘𝑊〗_(𝑠,𝑎𝑣𝑒𝑟𝑎𝑔𝑒)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a:t>
              </a:r>
              <a:r>
                <a:rPr lang="en-US" sz="1100" b="0" i="0" baseline="-25000">
                  <a:solidFill>
                    <a:sysClr val="windowText" lastClr="000000"/>
                  </a:solidFill>
                  <a:effectLst/>
                  <a:latin typeface="Cambria Math" panose="02040503050406030204" pitchFamily="18" charset="0"/>
                  <a:ea typeface="+mn-ea"/>
                  <a:cs typeface="+mn-cs"/>
                </a:rPr>
                <a:t>𝑏𝑎𝑠𝑒</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𝑊_𝑒𝑒𝑝</a:t>
              </a:r>
              <a:r>
                <a:rPr lang="en-US" sz="1100" b="0" i="0">
                  <a:solidFill>
                    <a:sysClr val="windowText" lastClr="000000"/>
                  </a:solidFill>
                  <a:effectLst/>
                  <a:latin typeface="Cambria Math" panose="02040503050406030204" pitchFamily="18" charset="0"/>
                  <a:ea typeface="+mn-ea"/>
                  <a:cs typeface="+mn-cs"/>
                </a:rPr>
                <a:t>)∗〖𝐻𝑅𝑆〗_𝑠𝑝</a:t>
              </a:r>
              <a:r>
                <a:rPr lang="en-US" sz="1100" b="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(𝑊</a:t>
              </a:r>
              <a:r>
                <a:rPr lang="en-US" sz="1100" b="0" i="0" baseline="-25000">
                  <a:solidFill>
                    <a:sysClr val="windowText" lastClr="000000"/>
                  </a:solidFill>
                  <a:effectLst/>
                  <a:latin typeface="Cambria Math" panose="02040503050406030204" pitchFamily="18" charset="0"/>
                  <a:ea typeface="+mn-ea"/>
                  <a:cs typeface="+mn-cs"/>
                </a:rPr>
                <a:t>𝑏𝑎𝑠𝑒</a:t>
              </a:r>
              <a:r>
                <a:rPr lang="en-US" sz="1100" b="0" i="0">
                  <a:solidFill>
                    <a:sysClr val="windowText" lastClr="000000"/>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𝑊_𝑒𝑒𝑢 )</a:t>
              </a:r>
              <a:r>
                <a:rPr lang="en-US" sz="1100" b="0" i="0" baseline="-25000">
                  <a:solidFill>
                    <a:sysClr val="windowText" lastClr="000000"/>
                  </a:solidFill>
                  <a:effectLst/>
                  <a:latin typeface="Cambria Math" panose="02040503050406030204" pitchFamily="18" charset="0"/>
                  <a:ea typeface="+mn-ea"/>
                  <a:cs typeface="+mn-cs"/>
                </a:rPr>
                <a:t>  </a:t>
              </a:r>
              <a:r>
                <a:rPr lang="en-US" sz="1100" b="0" i="0" baseline="0">
                  <a:solidFill>
                    <a:sysClr val="windowText" lastClr="000000"/>
                  </a:solidFill>
                  <a:effectLst/>
                  <a:latin typeface="Cambria Math" panose="02040503050406030204" pitchFamily="18" charset="0"/>
                  <a:ea typeface="+mn-ea"/>
                  <a:cs typeface="+mn-cs"/>
                </a:rPr>
                <a:t>∗</a:t>
              </a:r>
              <a:r>
                <a:rPr lang="en-US" sz="1100" b="0" i="0" baseline="-2500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mn-ea"/>
                  <a:cs typeface="+mn-cs"/>
                </a:rPr>
                <a:t>𝐻𝑅𝑆</a:t>
              </a:r>
              <a:r>
                <a:rPr lang="en-US" sz="1100" b="0" i="0" baseline="-25000">
                  <a:solidFill>
                    <a:sysClr val="windowText" lastClr="000000"/>
                  </a:solidFill>
                  <a:effectLst/>
                  <a:latin typeface="Cambria Math" panose="02040503050406030204" pitchFamily="18" charset="0"/>
                  <a:ea typeface="+mn-ea"/>
                  <a:cs typeface="+mn-cs"/>
                </a:rPr>
                <a:t>𝑠𝑢</a:t>
              </a:r>
              <a:r>
                <a:rPr lang="en-US" sz="1100" b="0" i="0">
                  <a:solidFill>
                    <a:sysClr val="windowText" lastClr="000000"/>
                  </a:solidFill>
                  <a:effectLst/>
                  <a:latin typeface="Cambria Math" panose="02040503050406030204" pitchFamily="18" charset="0"/>
                  <a:ea typeface="+mn-ea"/>
                  <a:cs typeface="+mn-cs"/>
                </a:rPr>
                <a:t>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1000∗</a:t>
              </a:r>
              <a:r>
                <a:rPr lang="en-US" sz="1100" b="0" i="0" baseline="0">
                  <a:solidFill>
                    <a:sysClr val="windowText" lastClr="000000"/>
                  </a:solidFill>
                  <a:effectLst/>
                  <a:latin typeface="Cambria Math" panose="02040503050406030204" pitchFamily="18" charset="0"/>
                  <a:ea typeface="+mn-ea"/>
                  <a:cs typeface="+mn-cs"/>
                </a:rPr>
                <a:t>(8760−</a:t>
              </a:r>
              <a:r>
                <a:rPr lang="en-US" sz="1100" b="0" i="0">
                  <a:solidFill>
                    <a:sysClr val="windowText" lastClr="000000"/>
                  </a:solidFill>
                  <a:effectLst/>
                  <a:latin typeface="Cambria Math" panose="02040503050406030204" pitchFamily="18" charset="0"/>
                  <a:ea typeface="+mn-ea"/>
                  <a:cs typeface="+mn-cs"/>
                </a:rPr>
                <a:t>𝐻𝑅𝑆</a:t>
              </a:r>
              <a:r>
                <a:rPr lang="en-US" sz="1100" b="0" i="0" baseline="-25000">
                  <a:solidFill>
                    <a:sysClr val="windowText" lastClr="000000"/>
                  </a:solidFill>
                  <a:effectLst/>
                  <a:latin typeface="Cambria Math" panose="02040503050406030204" pitchFamily="18" charset="0"/>
                  <a:ea typeface="+mn-ea"/>
                  <a:cs typeface="+mn-cs"/>
                </a:rPr>
                <a:t>𝑐</a:t>
              </a:r>
              <a:r>
                <a:rPr lang="en-US" sz="1100" b="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57.xml><?xml version="1.0" encoding="utf-8"?>
<xdr:wsDr xmlns:xdr="http://schemas.openxmlformats.org/drawingml/2006/spreadsheetDrawing" xmlns:a="http://schemas.openxmlformats.org/drawingml/2006/main">
  <xdr:oneCellAnchor>
    <xdr:from>
      <xdr:col>2</xdr:col>
      <xdr:colOff>6350</xdr:colOff>
      <xdr:row>27</xdr:row>
      <xdr:rowOff>152</xdr:rowOff>
    </xdr:from>
    <xdr:ext cx="4591050" cy="19492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𝑘𝑊h</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𝐷𝑎𝑦𝑠</m:t>
                  </m:r>
                </m:oMath>
              </a14:m>
              <a:r>
                <a:rPr lang="en-US">
                  <a:effectLst/>
                </a:rPr>
                <a:t> </a:t>
              </a:r>
            </a:p>
          </xdr:txBody>
        </xdr:sp>
      </mc:Choice>
      <mc:Fallback xmlns="">
        <xdr:sp macro="" textlink="">
          <xdr:nvSpPr>
            <xdr:cNvPr id="2" name="TextBox 1">
              <a:extLst>
                <a:ext uri="{FF2B5EF4-FFF2-40B4-BE49-F238E27FC236}">
                  <a16:creationId xmlns:a16="http://schemas.microsoft.com/office/drawing/2014/main" id="{75F39245-A474-4932-A4BA-3AB402233E52}"/>
                </a:ext>
              </a:extLst>
            </xdr:cNvPr>
            <xdr:cNvSpPr txBox="1"/>
          </xdr:nvSpPr>
          <xdr:spPr>
            <a:xfrm>
              <a:off x="387350" y="6867677"/>
              <a:ext cx="4591050"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∆𝑘𝑊ℎ</a:t>
              </a:r>
              <a:r>
                <a:rPr lang="en-US" sz="1100" b="0" i="0">
                  <a:solidFill>
                    <a:schemeClr val="tx1"/>
                  </a:solidFill>
                  <a:effectLst/>
                  <a:latin typeface="Cambria Math" panose="02040503050406030204" pitchFamily="18" charset="0"/>
                  <a:ea typeface="+mn-ea"/>
                  <a:cs typeface="+mn-cs"/>
                </a:rPr>
                <a:t>=(〖𝑘𝑊ℎ〗_(𝐷𝑎𝑖𝑙𝑦,𝐵𝑎𝑠𝑒)−〖𝑘𝑊ℎ〗_(𝐷𝑎𝑖𝑙𝑦,𝐸𝑓𝑓) )∗𝐷𝑎𝑦𝑠</a:t>
              </a:r>
              <a:r>
                <a:rPr lang="en-US">
                  <a:effectLst/>
                </a:rPr>
                <a:t> </a:t>
              </a:r>
            </a:p>
          </xdr:txBody>
        </xdr:sp>
      </mc:Fallback>
    </mc:AlternateContent>
    <xdr:clientData/>
  </xdr:oneCellAnchor>
  <xdr:oneCellAnchor>
    <xdr:from>
      <xdr:col>2</xdr:col>
      <xdr:colOff>11113</xdr:colOff>
      <xdr:row>30</xdr:row>
      <xdr:rowOff>179163</xdr:rowOff>
    </xdr:from>
    <xdr:ext cx="4008437" cy="38587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100" b="0" i="1">
                        <a:solidFill>
                          <a:schemeClr val="tx1"/>
                        </a:solidFill>
                        <a:effectLst/>
                        <a:latin typeface="Cambria Math" panose="02040503050406030204" pitchFamily="18" charset="0"/>
                        <a:ea typeface="Cambria Math" panose="02040503050406030204" pitchFamily="18" charset="0"/>
                        <a:cs typeface="+mn-cs"/>
                      </a:rPr>
                      <m:t>∆</m:t>
                    </m:r>
                    <m:r>
                      <a:rPr lang="en-US" sz="1100" b="0" i="1">
                        <a:solidFill>
                          <a:schemeClr val="tx1"/>
                        </a:solidFill>
                        <a:effectLst/>
                        <a:latin typeface="Cambria Math" panose="02040503050406030204" pitchFamily="18" charset="0"/>
                        <a:ea typeface="Cambria Math" panose="02040503050406030204" pitchFamily="18" charset="0"/>
                        <a:cs typeface="+mn-cs"/>
                      </a:rPr>
                      <m:t>𝑘𝑊</m:t>
                    </m:r>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𝐵𝑎𝑠𝑒</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𝐵𝑎𝑠𝑒</m:t>
                            </m:r>
                          </m:sub>
                        </m:sSub>
                      </m:e>
                    </m:d>
                    <m:r>
                      <a:rPr lang="en-US" sz="1100" b="0" i="1">
                        <a:solidFill>
                          <a:schemeClr val="tx1"/>
                        </a:solidFill>
                        <a:effectLst/>
                        <a:latin typeface="Cambria Math" panose="02040503050406030204" pitchFamily="18" charset="0"/>
                        <a:ea typeface="+mn-ea"/>
                        <a:cs typeface="+mn-cs"/>
                      </a:rPr>
                      <m:t>−</m:t>
                    </m:r>
                    <m:d>
                      <m:dPr>
                        <m:begChr m:val="["/>
                        <m:endChr m:val="]"/>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𝐻𝑜𝑢𝑟𝑠</m:t>
                                    </m:r>
                                  </m:e>
                                  <m:sub>
                                    <m:r>
                                      <a:rPr lang="en-US" sz="1100" b="0" i="1">
                                        <a:solidFill>
                                          <a:schemeClr val="tx1"/>
                                        </a:solidFill>
                                        <a:effectLst/>
                                        <a:latin typeface="Cambria Math" panose="02040503050406030204" pitchFamily="18" charset="0"/>
                                        <a:ea typeface="+mn-ea"/>
                                        <a:cs typeface="+mn-cs"/>
                                      </a:rPr>
                                      <m:t>𝐷𝑎𝑖𝑙𝑦</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𝐸𝑓𝑓</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𝐶𝐹</m:t>
                            </m:r>
                          </m:e>
                          <m:sub>
                            <m:r>
                              <a:rPr lang="en-US" sz="1100" b="0" i="1">
                                <a:solidFill>
                                  <a:schemeClr val="tx1"/>
                                </a:solidFill>
                                <a:effectLst/>
                                <a:latin typeface="Cambria Math" panose="02040503050406030204" pitchFamily="18" charset="0"/>
                                <a:ea typeface="+mn-ea"/>
                                <a:cs typeface="+mn-cs"/>
                              </a:rPr>
                              <m:t>𝐸𝑓𝑓</m:t>
                            </m:r>
                          </m:sub>
                        </m:sSub>
                      </m:e>
                    </m:d>
                  </m:oMath>
                </m:oMathPara>
              </a14:m>
              <a:endParaRPr lang="en-US">
                <a:effectLst/>
              </a:endParaRPr>
            </a:p>
          </xdr:txBody>
        </xdr:sp>
      </mc:Choice>
      <mc:Fallback xmlns="">
        <xdr:sp macro="" textlink="">
          <xdr:nvSpPr>
            <xdr:cNvPr id="3" name="TextBox 2">
              <a:extLst>
                <a:ext uri="{FF2B5EF4-FFF2-40B4-BE49-F238E27FC236}">
                  <a16:creationId xmlns:a16="http://schemas.microsoft.com/office/drawing/2014/main" id="{66C20140-A09E-4695-9356-6338CE93CAAC}"/>
                </a:ext>
              </a:extLst>
            </xdr:cNvPr>
            <xdr:cNvSpPr txBox="1"/>
          </xdr:nvSpPr>
          <xdr:spPr>
            <a:xfrm>
              <a:off x="392113" y="7599138"/>
              <a:ext cx="4008437" cy="385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Cambria Math" panose="02040503050406030204" pitchFamily="18" charset="0"/>
                  <a:ea typeface="Cambria Math" panose="02040503050406030204" pitchFamily="18" charset="0"/>
                  <a:cs typeface="+mn-cs"/>
                </a:rPr>
                <a:t>∆𝑘𝑊</a:t>
              </a:r>
              <a:r>
                <a:rPr lang="en-US" sz="1100" b="0" i="0">
                  <a:solidFill>
                    <a:schemeClr val="tx1"/>
                  </a:solidFill>
                  <a:effectLst/>
                  <a:latin typeface="Cambria Math" panose="02040503050406030204" pitchFamily="18" charset="0"/>
                  <a:ea typeface="+mn-ea"/>
                  <a:cs typeface="+mn-cs"/>
                </a:rPr>
                <a:t>=[(〖𝑘𝑊ℎ〗_(𝐷𝑎𝑖𝑙𝑦,𝐵𝑎𝑠𝑒)/〖𝐻𝑜𝑢𝑟𝑠〗_(𝐷𝑎𝑖𝑙𝑦,𝐵𝑎𝑠𝑒) )∗〖𝐶𝐹〗_𝐵𝑎𝑠𝑒 ]−[(〖𝑘𝑊ℎ〗_(𝐷𝑎𝑖𝑙𝑦,𝐸𝑓𝑓)/〖𝐻𝑜𝑢𝑟𝑠〗_(𝐷𝑎𝑖𝑙𝑦,𝐸𝑓𝑓) )∗〖𝐶𝐹〗_𝐸𝑓𝑓 ]</a:t>
              </a:r>
              <a:endParaRPr lang="en-US">
                <a:effectLst/>
              </a:endParaRPr>
            </a:p>
          </xdr:txBody>
        </xdr:sp>
      </mc:Fallback>
    </mc:AlternateContent>
    <xdr:clientData/>
  </xdr:oneCellAnchor>
  <xdr:oneCellAnchor>
    <xdr:from>
      <xdr:col>2</xdr:col>
      <xdr:colOff>44450</xdr:colOff>
      <xdr:row>36</xdr:row>
      <xdr:rowOff>7938</xdr:rowOff>
    </xdr:from>
    <xdr:ext cx="289559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𝐸𝑈𝐿</m:t>
                    </m:r>
                  </m:oMath>
                </m:oMathPara>
              </a14:m>
              <a:endParaRPr lang="en-US" sz="1100"/>
            </a:p>
          </xdr:txBody>
        </xdr:sp>
      </mc:Choice>
      <mc:Fallback xmlns="">
        <xdr:sp macro="" textlink="">
          <xdr:nvSpPr>
            <xdr:cNvPr id="4" name="TextBox 3">
              <a:extLst>
                <a:ext uri="{FF2B5EF4-FFF2-40B4-BE49-F238E27FC236}">
                  <a16:creationId xmlns:a16="http://schemas.microsoft.com/office/drawing/2014/main" id="{15B9CA61-052C-4505-A76C-0F76D29282D9}"/>
                </a:ext>
              </a:extLst>
            </xdr:cNvPr>
            <xdr:cNvSpPr txBox="1"/>
          </xdr:nvSpPr>
          <xdr:spPr>
            <a:xfrm>
              <a:off x="425450" y="8513763"/>
              <a:ext cx="289559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a:t>
              </a:r>
              <a:endParaRPr lang="en-US" sz="1100"/>
            </a:p>
          </xdr:txBody>
        </xdr:sp>
      </mc:Fallback>
    </mc:AlternateContent>
    <xdr:clientData/>
  </xdr:oneCellAnchor>
</xdr:wsDr>
</file>

<file path=xl/drawings/drawing58.xml><?xml version="1.0" encoding="utf-8"?>
<xdr:wsDr xmlns:xdr="http://schemas.openxmlformats.org/drawingml/2006/spreadsheetDrawing" xmlns:a="http://schemas.openxmlformats.org/drawingml/2006/main">
  <xdr:oneCellAnchor>
    <xdr:from>
      <xdr:col>2</xdr:col>
      <xdr:colOff>18531</xdr:colOff>
      <xdr:row>38</xdr:row>
      <xdr:rowOff>15758</xdr:rowOff>
    </xdr:from>
    <xdr:ext cx="4781550" cy="55574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17" name="TextBox 16">
              <a:extLst>
                <a:ext uri="{FF2B5EF4-FFF2-40B4-BE49-F238E27FC236}">
                  <a16:creationId xmlns:a16="http://schemas.microsoft.com/office/drawing/2014/main" id="{E9275D11-CEB5-4511-ADA3-82FD76A1D16E}"/>
                </a:ext>
              </a:extLst>
            </xdr:cNvPr>
            <xdr:cNvSpPr txBox="1"/>
          </xdr:nvSpPr>
          <xdr:spPr>
            <a:xfrm>
              <a:off x="380481" y="8626358"/>
              <a:ext cx="4781550" cy="5557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〖𝑘𝑊ℎ〗_𝑏𝑎𝑠𝑒=(1/〖𝑈𝐸𝐹〗_𝑏𝑎𝑠𝑒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25459</xdr:colOff>
      <xdr:row>28</xdr:row>
      <xdr:rowOff>12642</xdr:rowOff>
    </xdr:from>
    <xdr:ext cx="4441765" cy="172227"/>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=0.9254−</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8" name="TextBox 17">
              <a:extLst>
                <a:ext uri="{FF2B5EF4-FFF2-40B4-BE49-F238E27FC236}">
                  <a16:creationId xmlns:a16="http://schemas.microsoft.com/office/drawing/2014/main" id="{332FE5AC-5FFA-4A2C-9551-20E525CD1C71}"/>
                </a:ext>
              </a:extLst>
            </xdr:cNvPr>
            <xdr:cNvSpPr txBox="1"/>
          </xdr:nvSpPr>
          <xdr:spPr>
            <a:xfrm>
              <a:off x="387409" y="6718242"/>
              <a:ext cx="444176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=0.9254−(0.0003∗𝑅𝑎𝑡𝑒𝑑 𝑆𝑡𝑜𝑟𝑎𝑔𝑒 𝑉𝑜𝑙𝑢𝑚𝑒 𝑖𝑛 𝑔𝑎𝑙𝑙𝑜𝑛𝑠)</a:t>
              </a:r>
              <a:endParaRPr lang="en-US" sz="1100"/>
            </a:p>
          </xdr:txBody>
        </xdr:sp>
      </mc:Fallback>
    </mc:AlternateContent>
    <xdr:clientData/>
  </xdr:oneCellAnchor>
  <xdr:oneCellAnchor>
    <xdr:from>
      <xdr:col>2</xdr:col>
      <xdr:colOff>28575</xdr:colOff>
      <xdr:row>33</xdr:row>
      <xdr:rowOff>11084</xdr:rowOff>
    </xdr:from>
    <xdr:ext cx="4564553" cy="17222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𝑈𝐸𝐹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=2.0440−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0.0011∗</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19" name="TextBox 18">
              <a:extLst>
                <a:ext uri="{FF2B5EF4-FFF2-40B4-BE49-F238E27FC236}">
                  <a16:creationId xmlns:a16="http://schemas.microsoft.com/office/drawing/2014/main" id="{F0CAC707-EED8-4421-8AE1-1DE6A49D493D}"/>
                </a:ext>
              </a:extLst>
            </xdr:cNvPr>
            <xdr:cNvSpPr txBox="1"/>
          </xdr:nvSpPr>
          <xdr:spPr>
            <a:xfrm>
              <a:off x="390525" y="7669184"/>
              <a:ext cx="4564553"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〖𝑈𝐸𝐹〗_𝑏𝑎𝑠𝑒</a:t>
              </a:r>
              <a:r>
                <a:rPr lang="en-US" sz="1100" b="0" i="0">
                  <a:latin typeface="Cambria Math" panose="02040503050406030204" pitchFamily="18" charset="0"/>
                  <a:ea typeface="Cambria Math" panose="02040503050406030204" pitchFamily="18" charset="0"/>
                </a:rPr>
                <a:t>=2.0440−(0.0011∗𝑅𝑎𝑡𝑒𝑑 𝑆𝑡𝑜𝑟𝑎𝑔𝑒 𝑉𝑜𝑙𝑢𝑚𝑒 𝑖𝑛 𝑔𝑎𝑙𝑙𝑜𝑛𝑠)</a:t>
              </a:r>
              <a:endParaRPr lang="en-US" sz="1100"/>
            </a:p>
          </xdr:txBody>
        </xdr:sp>
      </mc:Fallback>
    </mc:AlternateContent>
    <xdr:clientData/>
  </xdr:oneCellAnchor>
  <xdr:oneCellAnchor>
    <xdr:from>
      <xdr:col>2</xdr:col>
      <xdr:colOff>22513</xdr:colOff>
      <xdr:row>44</xdr:row>
      <xdr:rowOff>13911</xdr:rowOff>
    </xdr:from>
    <xdr:ext cx="4781550" cy="567114"/>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𝐸𝑓𝑓</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𝑈𝐸𝐹</m:t>
                                </m:r>
                              </m:e>
                              <m:sub>
                                <m:r>
                                  <a:rPr lang="en-US" sz="1100" b="0" i="1">
                                    <a:latin typeface="Cambria Math" panose="02040503050406030204" pitchFamily="18" charset="0"/>
                                    <a:ea typeface="Cambria Math" panose="02040503050406030204" pitchFamily="18" charset="0"/>
                                  </a:rPr>
                                  <m:t>𝐸𝑓𝑓</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20" name="TextBox 19">
              <a:extLst>
                <a:ext uri="{FF2B5EF4-FFF2-40B4-BE49-F238E27FC236}">
                  <a16:creationId xmlns:a16="http://schemas.microsoft.com/office/drawing/2014/main" id="{71B5EE2C-4A5C-4E74-97A8-FAECF6115935}"/>
                </a:ext>
              </a:extLst>
            </xdr:cNvPr>
            <xdr:cNvSpPr txBox="1"/>
          </xdr:nvSpPr>
          <xdr:spPr>
            <a:xfrm>
              <a:off x="384463" y="9805611"/>
              <a:ext cx="4781550" cy="56711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latin typeface="Cambria Math" panose="02040503050406030204" pitchFamily="18" charset="0"/>
                  <a:ea typeface="Cambria Math" panose="02040503050406030204" pitchFamily="18" charset="0"/>
                </a:rPr>
                <a:t>〖𝑘𝑊ℎ〗_𝐸𝑓𝑓=(1/〖𝑈𝐸𝐹〗_𝐸𝑓𝑓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8601</xdr:colOff>
      <xdr:row>54</xdr:row>
      <xdr:rowOff>11776</xdr:rowOff>
    </xdr:from>
    <xdr:ext cx="1308100" cy="320280"/>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21" name="TextBox 20">
              <a:extLst>
                <a:ext uri="{FF2B5EF4-FFF2-40B4-BE49-F238E27FC236}">
                  <a16:creationId xmlns:a16="http://schemas.microsoft.com/office/drawing/2014/main" id="{B2D1DEA2-E721-4EA6-B61E-F5031A1C1F70}"/>
                </a:ext>
              </a:extLst>
            </xdr:cNvPr>
            <xdr:cNvSpPr txBox="1"/>
          </xdr:nvSpPr>
          <xdr:spPr>
            <a:xfrm>
              <a:off x="370551" y="11708476"/>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38042</xdr:colOff>
      <xdr:row>59</xdr:row>
      <xdr:rowOff>7793</xdr:rowOff>
    </xdr:from>
    <xdr:ext cx="3914775" cy="183127"/>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22" name="TextBox 21">
              <a:extLst>
                <a:ext uri="{FF2B5EF4-FFF2-40B4-BE49-F238E27FC236}">
                  <a16:creationId xmlns:a16="http://schemas.microsoft.com/office/drawing/2014/main" id="{75C53141-3A19-4F3E-92CF-843315CB405F}"/>
                </a:ext>
              </a:extLst>
            </xdr:cNvPr>
            <xdr:cNvSpPr txBox="1"/>
          </xdr:nvSpPr>
          <xdr:spPr>
            <a:xfrm>
              <a:off x="399992" y="12656993"/>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37638</xdr:colOff>
      <xdr:row>49</xdr:row>
      <xdr:rowOff>224732</xdr:rowOff>
    </xdr:from>
    <xdr:ext cx="3848101" cy="209550"/>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23" name="TextBox 22">
              <a:extLst>
                <a:ext uri="{FF2B5EF4-FFF2-40B4-BE49-F238E27FC236}">
                  <a16:creationId xmlns:a16="http://schemas.microsoft.com/office/drawing/2014/main" id="{A1294D38-9C41-4CD7-9CF6-7F5BC531E6F1}"/>
                </a:ext>
              </a:extLst>
            </xdr:cNvPr>
            <xdr:cNvSpPr txBox="1"/>
          </xdr:nvSpPr>
          <xdr:spPr>
            <a:xfrm>
              <a:off x="399588" y="10930832"/>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59.xml><?xml version="1.0" encoding="utf-8"?>
<xdr:wsDr xmlns:xdr="http://schemas.openxmlformats.org/drawingml/2006/spreadsheetDrawing" xmlns:a="http://schemas.openxmlformats.org/drawingml/2006/main">
  <xdr:oneCellAnchor>
    <xdr:from>
      <xdr:col>2</xdr:col>
      <xdr:colOff>15876</xdr:colOff>
      <xdr:row>49</xdr:row>
      <xdr:rowOff>123825</xdr:rowOff>
    </xdr:from>
    <xdr:ext cx="1308100" cy="32028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𝐸𝐹𝐿𝐻</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5BDE0-9084-4CD0-8E9F-CEB1B7521B2F}"/>
                </a:ext>
              </a:extLst>
            </xdr:cNvPr>
            <xdr:cNvSpPr txBox="1"/>
          </xdr:nvSpPr>
          <xdr:spPr>
            <a:xfrm>
              <a:off x="396876" y="1334452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𝑘𝑊=∆𝑘𝑊ℎ/𝐸𝐹𝐿𝐻∗𝐶𝐹</a:t>
              </a:r>
              <a:endParaRPr lang="en-US" sz="1100"/>
            </a:p>
          </xdr:txBody>
        </xdr:sp>
      </mc:Fallback>
    </mc:AlternateContent>
    <xdr:clientData/>
  </xdr:oneCellAnchor>
  <xdr:oneCellAnchor>
    <xdr:from>
      <xdr:col>2</xdr:col>
      <xdr:colOff>28574</xdr:colOff>
      <xdr:row>31</xdr:row>
      <xdr:rowOff>19050</xdr:rowOff>
    </xdr:from>
    <xdr:ext cx="3857625" cy="17222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m:t>
                        </m:r>
                      </m:e>
                      <m:sub>
                        <m:r>
                          <a:rPr lang="en-US" sz="1100" b="0" i="1">
                            <a:solidFill>
                              <a:schemeClr val="tx1"/>
                            </a:solidFill>
                            <a:effectLst/>
                            <a:latin typeface="Cambria Math" panose="02040503050406030204" pitchFamily="18" charset="0"/>
                            <a:ea typeface="+mn-ea"/>
                            <a:cs typeface="+mn-cs"/>
                          </a:rPr>
                          <m:t>𝑏𝑎𝑠𝑒</m:t>
                        </m:r>
                      </m:sub>
                    </m:sSub>
                    <m:r>
                      <a:rPr lang="en-US" sz="1100" b="0" i="1">
                        <a:latin typeface="Cambria Math" panose="02040503050406030204" pitchFamily="18" charset="0"/>
                        <a:ea typeface="Cambria Math" panose="02040503050406030204" pitchFamily="18" charset="0"/>
                      </a:rPr>
                      <m:t>=0.960−</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0.0003∗</m:t>
                        </m:r>
                        <m:r>
                          <a:rPr lang="en-US" sz="1100" b="0" i="1">
                            <a:latin typeface="Cambria Math" panose="02040503050406030204" pitchFamily="18" charset="0"/>
                            <a:ea typeface="Cambria Math" panose="02040503050406030204" pitchFamily="18" charset="0"/>
                          </a:rPr>
                          <m:t>𝑅𝑎𝑡𝑒𝑑</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𝑆𝑡𝑜𝑟𝑎𝑔𝑒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𝑉𝑜𝑙𝑢𝑚𝑒</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𝑖𝑛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𝑔𝑎𝑙𝑙𝑜𝑛𝑠</m:t>
                        </m:r>
                      </m:e>
                    </m:d>
                  </m:oMath>
                </m:oMathPara>
              </a14:m>
              <a:endParaRPr lang="en-US" sz="1100"/>
            </a:p>
          </xdr:txBody>
        </xdr:sp>
      </mc:Choice>
      <mc:Fallback xmlns="">
        <xdr:sp macro="" textlink="">
          <xdr:nvSpPr>
            <xdr:cNvPr id="7" name="TextBox 6">
              <a:extLst>
                <a:ext uri="{FF2B5EF4-FFF2-40B4-BE49-F238E27FC236}">
                  <a16:creationId xmlns:a16="http://schemas.microsoft.com/office/drawing/2014/main" id="{481BF10E-7575-43AA-9460-7AC5A14757ED}"/>
                </a:ext>
              </a:extLst>
            </xdr:cNvPr>
            <xdr:cNvSpPr txBox="1"/>
          </xdr:nvSpPr>
          <xdr:spPr>
            <a:xfrm>
              <a:off x="409574" y="9810750"/>
              <a:ext cx="3857625"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〖𝐸𝐹〗_𝑏𝑎𝑠𝑒</a:t>
              </a:r>
              <a:r>
                <a:rPr lang="en-US" sz="1100" b="0" i="0">
                  <a:latin typeface="Cambria Math" panose="02040503050406030204" pitchFamily="18" charset="0"/>
                  <a:ea typeface="Cambria Math" panose="02040503050406030204" pitchFamily="18" charset="0"/>
                </a:rPr>
                <a:t>=0.960−(0.0003∗𝑅𝑎𝑡𝑒𝑑 𝑆𝑡𝑜𝑟𝑎𝑔𝑒 𝑉𝑜𝑙𝑢𝑚𝑒 𝑖𝑛 𝑔𝑎𝑙𝑙𝑜𝑛𝑠)</a:t>
              </a:r>
              <a:endParaRPr lang="en-US" sz="1100"/>
            </a:p>
          </xdr:txBody>
        </xdr:sp>
      </mc:Fallback>
    </mc:AlternateContent>
    <xdr:clientData/>
  </xdr:oneCellAnchor>
  <xdr:oneCellAnchor>
    <xdr:from>
      <xdr:col>2</xdr:col>
      <xdr:colOff>19050</xdr:colOff>
      <xdr:row>55</xdr:row>
      <xdr:rowOff>0</xdr:rowOff>
    </xdr:from>
    <xdr:ext cx="3914775" cy="1831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D851006B-2804-4C4C-9409-FC122D131B73}"/>
                </a:ext>
              </a:extLst>
            </xdr:cNvPr>
            <xdr:cNvSpPr txBox="1"/>
          </xdr:nvSpPr>
          <xdr:spPr>
            <a:xfrm>
              <a:off x="400050" y="14363700"/>
              <a:ext cx="3914775"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6350</xdr:colOff>
      <xdr:row>34</xdr:row>
      <xdr:rowOff>82550</xdr:rowOff>
    </xdr:from>
    <xdr:ext cx="4781550" cy="47275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𝑘𝑊h</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1</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𝐸𝐹</m:t>
                                </m:r>
                              </m:e>
                              <m:sub>
                                <m:r>
                                  <a:rPr lang="en-US" sz="1100" b="0" i="1">
                                    <a:latin typeface="Cambria Math" panose="02040503050406030204" pitchFamily="18" charset="0"/>
                                    <a:ea typeface="Cambria Math" panose="02040503050406030204" pitchFamily="18" charset="0"/>
                                  </a:rPr>
                                  <m:t>𝑏𝑎𝑠𝑒</m:t>
                                </m:r>
                              </m:sub>
                            </m:sSub>
                          </m:den>
                        </m:f>
                      </m:e>
                    </m:d>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𝐺𝑃𝐷</m:t>
                            </m:r>
                          </m:e>
                          <m:sub>
                            <m:r>
                              <a:rPr lang="en-US" sz="1100" b="0" i="1">
                                <a:latin typeface="Cambria Math" panose="02040503050406030204" pitchFamily="18" charset="0"/>
                                <a:ea typeface="Cambria Math" panose="02040503050406030204" pitchFamily="18" charset="0"/>
                              </a:rPr>
                              <m:t>𝑂𝑐𝑐</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𝑂𝑐𝑐</m:t>
                        </m:r>
                        <m:r>
                          <a:rPr lang="en-US" sz="1100" b="0" i="1">
                            <a:latin typeface="Cambria Math" panose="02040503050406030204" pitchFamily="18" charset="0"/>
                            <a:ea typeface="Cambria Math" panose="02040503050406030204" pitchFamily="18" charset="0"/>
                          </a:rPr>
                          <m:t>∗365 </m:t>
                        </m:r>
                        <m:r>
                          <a:rPr lang="en-US" sz="1100" b="0" i="1">
                            <a:latin typeface="Cambria Math" panose="02040503050406030204" pitchFamily="18" charset="0"/>
                            <a:ea typeface="Cambria Math" panose="02040503050406030204" pitchFamily="18" charset="0"/>
                          </a:rPr>
                          <m:t>𝑑𝑎𝑦𝑠</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𝜌</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𝑐</m:t>
                            </m:r>
                          </m:e>
                          <m:sub>
                            <m:r>
                              <a:rPr lang="en-US" sz="1100" b="0" i="1">
                                <a:latin typeface="Cambria Math" panose="02040503050406030204" pitchFamily="18" charset="0"/>
                                <a:ea typeface="Cambria Math" panose="02040503050406030204" pitchFamily="18" charset="0"/>
                              </a:rPr>
                              <m:t>𝑝</m:t>
                            </m:r>
                          </m:sub>
                        </m:sSub>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𝑜𝑢𝑡</m:t>
                                </m:r>
                              </m:sub>
                            </m:sSub>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𝑇</m:t>
                                </m:r>
                              </m:e>
                              <m:sub>
                                <m:r>
                                  <a:rPr lang="en-US" sz="1100" b="0" i="1">
                                    <a:latin typeface="Cambria Math" panose="02040503050406030204" pitchFamily="18" charset="0"/>
                                    <a:ea typeface="Cambria Math" panose="02040503050406030204" pitchFamily="18" charset="0"/>
                                  </a:rPr>
                                  <m:t>𝑖𝑛</m:t>
                                </m:r>
                              </m:sub>
                            </m:sSub>
                          </m:e>
                        </m:d>
                      </m:num>
                      <m:den>
                        <m:r>
                          <a:rPr lang="en-US" sz="1100" b="0" i="1">
                            <a:latin typeface="Cambria Math" panose="02040503050406030204" pitchFamily="18" charset="0"/>
                            <a:ea typeface="Cambria Math" panose="02040503050406030204" pitchFamily="18" charset="0"/>
                          </a:rPr>
                          <m:t>3412</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𝐵𝑡𝑢</m:t>
                            </m:r>
                          </m:num>
                          <m:den>
                            <m:r>
                              <a:rPr lang="en-US" sz="1100" b="0" i="1">
                                <a:latin typeface="Cambria Math" panose="02040503050406030204" pitchFamily="18" charset="0"/>
                                <a:ea typeface="Cambria Math" panose="02040503050406030204" pitchFamily="18" charset="0"/>
                              </a:rPr>
                              <m:t>𝑘𝑊h</m:t>
                            </m:r>
                          </m:den>
                        </m:f>
                      </m:den>
                    </m:f>
                  </m:oMath>
                </m:oMathPara>
              </a14:m>
              <a:endParaRPr lang="en-US" sz="1100"/>
            </a:p>
          </xdr:txBody>
        </xdr:sp>
      </mc:Choice>
      <mc:Fallback xmlns="">
        <xdr:sp macro="" textlink="">
          <xdr:nvSpPr>
            <xdr:cNvPr id="6" name="TextBox 5">
              <a:extLst>
                <a:ext uri="{FF2B5EF4-FFF2-40B4-BE49-F238E27FC236}">
                  <a16:creationId xmlns:a16="http://schemas.microsoft.com/office/drawing/2014/main" id="{CB3D7DC1-2921-4BDA-A099-6D48D2E69D3D}"/>
                </a:ext>
              </a:extLst>
            </xdr:cNvPr>
            <xdr:cNvSpPr txBox="1"/>
          </xdr:nvSpPr>
          <xdr:spPr>
            <a:xfrm>
              <a:off x="387350" y="10445750"/>
              <a:ext cx="4781550" cy="4727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ea typeface="Cambria Math" panose="02040503050406030204" pitchFamily="18" charset="0"/>
                </a:rPr>
                <a:t>〖𝑘𝑊ℎ〗_𝑏𝑎𝑠𝑒=(1/〖𝐸𝐹〗_𝑏𝑎𝑠𝑒 )∗(〖𝐺𝑃𝐷〗_𝑂𝑐𝑐∗#𝑂𝑐𝑐∗365 𝑑𝑎𝑦𝑠∗𝜌∗𝑐_𝑝∗(𝑇_𝑜𝑢𝑡−𝑇_𝑖𝑛 ))/(3412 𝐵𝑡𝑢/𝑘𝑊ℎ)</a:t>
              </a:r>
              <a:endParaRPr lang="en-US" sz="1100"/>
            </a:p>
          </xdr:txBody>
        </xdr:sp>
      </mc:Fallback>
    </mc:AlternateContent>
    <xdr:clientData/>
  </xdr:oneCellAnchor>
  <xdr:oneCellAnchor>
    <xdr:from>
      <xdr:col>2</xdr:col>
      <xdr:colOff>25400</xdr:colOff>
      <xdr:row>46</xdr:row>
      <xdr:rowOff>0</xdr:rowOff>
    </xdr:from>
    <xdr:ext cx="3848101" cy="20955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𝑏𝑎𝑠𝑒</m:t>
                            </m:r>
                          </m:sub>
                        </m:sSub>
                        <m:r>
                          <a:rPr lang="en-US"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US" sz="1100" b="0" i="1">
                                <a:solidFill>
                                  <a:schemeClr val="tx1"/>
                                </a:solidFill>
                                <a:effectLst/>
                                <a:latin typeface="Cambria Math" panose="02040503050406030204" pitchFamily="18" charset="0"/>
                                <a:ea typeface="Cambria Math" panose="02040503050406030204" pitchFamily="18" charset="0"/>
                                <a:cs typeface="+mn-cs"/>
                              </a:rPr>
                            </m:ctrlPr>
                          </m:sSubPr>
                          <m:e>
                            <m:r>
                              <a:rPr lang="en-US" sz="11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100" b="0" i="1">
                                <a:solidFill>
                                  <a:schemeClr val="tx1"/>
                                </a:solidFill>
                                <a:effectLst/>
                                <a:latin typeface="Cambria Math" panose="02040503050406030204" pitchFamily="18" charset="0"/>
                                <a:ea typeface="Cambria Math" panose="02040503050406030204" pitchFamily="18" charset="0"/>
                                <a:cs typeface="+mn-cs"/>
                              </a:rPr>
                              <m:t>𝐸𝐸</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979467D-1B97-495F-8E65-4A64B863451B}"/>
                </a:ext>
              </a:extLst>
            </xdr:cNvPr>
            <xdr:cNvSpPr txBox="1"/>
          </xdr:nvSpPr>
          <xdr:spPr>
            <a:xfrm>
              <a:off x="406400" y="12649200"/>
              <a:ext cx="3848101" cy="2095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Cambria Math" panose="02040503050406030204" pitchFamily="18" charset="0"/>
                  <a:cs typeface="+mn-cs"/>
                </a:rPr>
                <a:t>〖𝑘𝑊ℎ〗_𝑏𝑎𝑠𝑒−〖𝑘𝑊ℎ〗_𝐸𝐸 )</a:t>
              </a:r>
              <a:r>
                <a:rPr lang="en-US" sz="1100" b="0" i="0">
                  <a:latin typeface="Cambria Math" panose="02040503050406030204" pitchFamily="18" charset="0"/>
                  <a:ea typeface="Cambria Math" panose="02040503050406030204" pitchFamily="18" charset="0"/>
                </a:rPr>
                <a:t>∗𝑃𝐹</a:t>
              </a:r>
              <a:endParaRPr lang="en-US" sz="1100">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6350</xdr:colOff>
      <xdr:row>40</xdr:row>
      <xdr:rowOff>6350</xdr:rowOff>
    </xdr:from>
    <xdr:ext cx="5334000" cy="580159"/>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000" b="0" i="1">
                            <a:solidFill>
                              <a:schemeClr val="tx1"/>
                            </a:solidFill>
                            <a:effectLst/>
                            <a:latin typeface="Cambria Math" panose="02040503050406030204" pitchFamily="18" charset="0"/>
                            <a:ea typeface="Cambria Math" panose="02040503050406030204" pitchFamily="18" charset="0"/>
                            <a:cs typeface="+mn-cs"/>
                          </a:rPr>
                        </m:ctrlPr>
                      </m:sSubPr>
                      <m:e>
                        <m:r>
                          <a:rPr lang="en-US" sz="1000" b="0" i="1">
                            <a:solidFill>
                              <a:schemeClr val="tx1"/>
                            </a:solidFill>
                            <a:effectLst/>
                            <a:latin typeface="Cambria Math" panose="02040503050406030204" pitchFamily="18" charset="0"/>
                            <a:ea typeface="Cambria Math" panose="02040503050406030204" pitchFamily="18" charset="0"/>
                            <a:cs typeface="+mn-cs"/>
                          </a:rPr>
                          <m:t>𝑘𝑊h</m:t>
                        </m:r>
                      </m:e>
                      <m:sub>
                        <m:r>
                          <a:rPr lang="en-US" sz="1000" b="0" i="1">
                            <a:solidFill>
                              <a:schemeClr val="tx1"/>
                            </a:solidFill>
                            <a:effectLst/>
                            <a:latin typeface="Cambria Math" panose="02040503050406030204" pitchFamily="18" charset="0"/>
                            <a:ea typeface="Cambria Math" panose="02040503050406030204" pitchFamily="18" charset="0"/>
                            <a:cs typeface="+mn-cs"/>
                          </a:rPr>
                          <m:t>𝐸𝐸</m:t>
                        </m:r>
                      </m:sub>
                    </m:sSub>
                    <m:r>
                      <a:rPr lang="en-US" sz="1000" b="0" i="1">
                        <a:latin typeface="Cambria Math" panose="02040503050406030204" pitchFamily="18" charset="0"/>
                        <a:ea typeface="Cambria Math" panose="02040503050406030204" pitchFamily="18" charset="0"/>
                      </a:rPr>
                      <m:t>=</m:t>
                    </m:r>
                  </m:oMath>
                </m:oMathPara>
              </a14:m>
              <a:endParaRPr lang="en-US" sz="1000" b="0" i="1">
                <a:latin typeface="Cambria Math" panose="02040503050406030204" pitchFamily="18" charset="0"/>
                <a:ea typeface="Cambria Math" panose="02040503050406030204" pitchFamily="18" charset="0"/>
              </a:endParaRPr>
            </a:p>
            <a:p>
              <a:pPr/>
              <a14:m>
                <m:oMathPara xmlns:m="http://schemas.openxmlformats.org/officeDocument/2006/math">
                  <m:oMathParaPr>
                    <m:jc m:val="right"/>
                  </m:oMathParaPr>
                  <m:oMath xmlns:m="http://schemas.openxmlformats.org/officeDocument/2006/math">
                    <m:d>
                      <m:dPr>
                        <m:ctrlPr>
                          <a:rPr lang="en-US" sz="1000" b="0" i="1">
                            <a:latin typeface="Cambria Math" panose="02040503050406030204" pitchFamily="18" charset="0"/>
                            <a:ea typeface="Cambria Math" panose="02040503050406030204" pitchFamily="18" charset="0"/>
                          </a:rPr>
                        </m:ctrlPr>
                      </m:dPr>
                      <m:e>
                        <m:r>
                          <a:rPr lang="en-US" sz="1000" b="0" i="1">
                            <a:latin typeface="Cambria Math" panose="02040503050406030204" pitchFamily="18" charset="0"/>
                            <a:ea typeface="Cambria Math" panose="02040503050406030204" pitchFamily="18" charset="0"/>
                          </a:rPr>
                          <m:t>1−</m:t>
                        </m:r>
                        <m:r>
                          <a:rPr lang="en-US" sz="1000" b="0" i="1">
                            <a:latin typeface="Cambria Math" panose="02040503050406030204" pitchFamily="18" charset="0"/>
                            <a:ea typeface="Cambria Math" panose="02040503050406030204" pitchFamily="18" charset="0"/>
                          </a:rPr>
                          <m:t>𝑆𝐹</m:t>
                        </m:r>
                      </m:e>
                    </m:d>
                    <m:d>
                      <m:dPr>
                        <m:ctrlPr>
                          <a:rPr lang="en-US" sz="1000" b="0" i="1">
                            <a:latin typeface="Cambria Math" panose="02040503050406030204" pitchFamily="18" charset="0"/>
                            <a:ea typeface="Cambria Math" panose="02040503050406030204" pitchFamily="18" charset="0"/>
                          </a:rPr>
                        </m:ctrlPr>
                      </m:dPr>
                      <m:e>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1</m:t>
                            </m:r>
                          </m:num>
                          <m:den>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𝐸𝐹</m:t>
                                </m:r>
                              </m:e>
                              <m:sub>
                                <m:r>
                                  <a:rPr lang="en-US" sz="1000" b="0" i="1">
                                    <a:latin typeface="Cambria Math" panose="02040503050406030204" pitchFamily="18" charset="0"/>
                                    <a:ea typeface="Cambria Math" panose="02040503050406030204" pitchFamily="18" charset="0"/>
                                  </a:rPr>
                                  <m:t>𝑆𝑊𝐻</m:t>
                                </m:r>
                              </m:sub>
                            </m:sSub>
                          </m:den>
                        </m:f>
                      </m:e>
                    </m:d>
                    <m:r>
                      <a:rPr lang="en-US" sz="1000" b="0" i="1">
                        <a:latin typeface="Cambria Math" panose="02040503050406030204" pitchFamily="18" charset="0"/>
                        <a:ea typeface="Cambria Math" panose="02040503050406030204" pitchFamily="18" charset="0"/>
                      </a:rPr>
                      <m:t>∗</m:t>
                    </m:r>
                    <m:f>
                      <m:fPr>
                        <m:ctrlPr>
                          <a:rPr lang="en-US" sz="1000" b="0" i="1">
                            <a:latin typeface="Cambria Math" panose="02040503050406030204" pitchFamily="18" charset="0"/>
                            <a:ea typeface="Cambria Math" panose="02040503050406030204" pitchFamily="18" charset="0"/>
                          </a:rPr>
                        </m:ctrlPr>
                      </m:fPr>
                      <m:num>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𝐺𝑃𝐷</m:t>
                            </m:r>
                          </m:e>
                          <m:sub>
                            <m:r>
                              <a:rPr lang="en-US" sz="1000" b="0" i="1">
                                <a:latin typeface="Cambria Math" panose="02040503050406030204" pitchFamily="18" charset="0"/>
                                <a:ea typeface="Cambria Math" panose="02040503050406030204" pitchFamily="18" charset="0"/>
                              </a:rPr>
                              <m:t>𝑂𝑐𝑐</m:t>
                            </m:r>
                          </m:sub>
                        </m:sSub>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𝑂𝑐𝑐</m:t>
                        </m:r>
                        <m:r>
                          <a:rPr lang="en-US" sz="1000" b="0" i="1">
                            <a:latin typeface="Cambria Math" panose="02040503050406030204" pitchFamily="18" charset="0"/>
                            <a:ea typeface="Cambria Math" panose="02040503050406030204" pitchFamily="18" charset="0"/>
                          </a:rPr>
                          <m:t>∗365 </m:t>
                        </m:r>
                        <m:r>
                          <a:rPr lang="en-US" sz="1000" b="0" i="1">
                            <a:latin typeface="Cambria Math" panose="02040503050406030204" pitchFamily="18" charset="0"/>
                            <a:ea typeface="Cambria Math" panose="02040503050406030204" pitchFamily="18" charset="0"/>
                          </a:rPr>
                          <m:t>𝑑𝑎𝑦𝑠</m:t>
                        </m:r>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𝜌</m:t>
                        </m:r>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𝑐</m:t>
                            </m:r>
                          </m:e>
                          <m:sub>
                            <m:r>
                              <a:rPr lang="en-US" sz="1000" b="0" i="1">
                                <a:latin typeface="Cambria Math" panose="02040503050406030204" pitchFamily="18" charset="0"/>
                                <a:ea typeface="Cambria Math" panose="02040503050406030204" pitchFamily="18" charset="0"/>
                              </a:rPr>
                              <m:t>𝑝</m:t>
                            </m:r>
                          </m:sub>
                        </m:sSub>
                        <m:r>
                          <a:rPr lang="en-US" sz="1000" b="0" i="1">
                            <a:latin typeface="Cambria Math" panose="02040503050406030204" pitchFamily="18" charset="0"/>
                            <a:ea typeface="Cambria Math" panose="02040503050406030204" pitchFamily="18" charset="0"/>
                          </a:rPr>
                          <m:t>∗</m:t>
                        </m:r>
                        <m:d>
                          <m:dPr>
                            <m:ctrlPr>
                              <a:rPr lang="en-US" sz="1000" b="0" i="1">
                                <a:latin typeface="Cambria Math" panose="02040503050406030204" pitchFamily="18" charset="0"/>
                                <a:ea typeface="Cambria Math" panose="02040503050406030204" pitchFamily="18" charset="0"/>
                              </a:rPr>
                            </m:ctrlPr>
                          </m:dPr>
                          <m:e>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𝑜𝑢𝑡</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𝑇</m:t>
                                </m:r>
                              </m:e>
                              <m:sub>
                                <m:r>
                                  <a:rPr lang="en-US" sz="1000" b="0" i="1">
                                    <a:latin typeface="Cambria Math" panose="02040503050406030204" pitchFamily="18" charset="0"/>
                                    <a:ea typeface="Cambria Math" panose="02040503050406030204" pitchFamily="18" charset="0"/>
                                  </a:rPr>
                                  <m:t>𝑖𝑛</m:t>
                                </m:r>
                              </m:sub>
                            </m:sSub>
                          </m:e>
                        </m:d>
                      </m:num>
                      <m:den>
                        <m:r>
                          <a:rPr lang="en-US" sz="1000" b="0" i="1">
                            <a:latin typeface="Cambria Math" panose="02040503050406030204" pitchFamily="18" charset="0"/>
                            <a:ea typeface="Cambria Math" panose="02040503050406030204" pitchFamily="18" charset="0"/>
                          </a:rPr>
                          <m:t>3412</m:t>
                        </m:r>
                        <m:f>
                          <m:fPr>
                            <m:ctrlPr>
                              <a:rPr lang="en-US" sz="1000" b="0" i="1">
                                <a:latin typeface="Cambria Math" panose="02040503050406030204" pitchFamily="18" charset="0"/>
                                <a:ea typeface="Cambria Math" panose="02040503050406030204" pitchFamily="18" charset="0"/>
                              </a:rPr>
                            </m:ctrlPr>
                          </m:fPr>
                          <m:num>
                            <m:r>
                              <a:rPr lang="en-US" sz="1000" b="0" i="1">
                                <a:latin typeface="Cambria Math" panose="02040503050406030204" pitchFamily="18" charset="0"/>
                                <a:ea typeface="Cambria Math" panose="02040503050406030204" pitchFamily="18" charset="0"/>
                              </a:rPr>
                              <m:t>𝐵𝑡𝑢</m:t>
                            </m:r>
                          </m:num>
                          <m:den>
                            <m:r>
                              <a:rPr lang="en-US" sz="1000" b="0" i="1">
                                <a:latin typeface="Cambria Math" panose="02040503050406030204" pitchFamily="18" charset="0"/>
                                <a:ea typeface="Cambria Math" panose="02040503050406030204" pitchFamily="18" charset="0"/>
                              </a:rPr>
                              <m:t>𝑘𝑊h</m:t>
                            </m:r>
                          </m:den>
                        </m:f>
                      </m:den>
                    </m:f>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m:t>
                        </m:r>
                        <m:r>
                          <a:rPr lang="en-US" sz="1000" b="0" i="1">
                            <a:latin typeface="Cambria Math" panose="02040503050406030204" pitchFamily="18" charset="0"/>
                            <a:ea typeface="Cambria Math" panose="02040503050406030204" pitchFamily="18" charset="0"/>
                          </a:rPr>
                          <m:t>𝑘𝑊</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sSub>
                      <m:sSubPr>
                        <m:ctrlPr>
                          <a:rPr lang="en-US" sz="1000" b="0" i="1">
                            <a:latin typeface="Cambria Math" panose="02040503050406030204" pitchFamily="18" charset="0"/>
                            <a:ea typeface="Cambria Math" panose="02040503050406030204" pitchFamily="18" charset="0"/>
                          </a:rPr>
                        </m:ctrlPr>
                      </m:sSubPr>
                      <m:e>
                        <m:r>
                          <a:rPr lang="en-US" sz="1000" b="0" i="1">
                            <a:latin typeface="Cambria Math" panose="02040503050406030204" pitchFamily="18" charset="0"/>
                            <a:ea typeface="Cambria Math" panose="02040503050406030204" pitchFamily="18" charset="0"/>
                          </a:rPr>
                          <m:t>𝐻𝑂𝑈</m:t>
                        </m:r>
                      </m:e>
                      <m:sub>
                        <m:r>
                          <a:rPr lang="en-US" sz="1000" b="0" i="1">
                            <a:latin typeface="Cambria Math" panose="02040503050406030204" pitchFamily="18" charset="0"/>
                            <a:ea typeface="Cambria Math" panose="02040503050406030204" pitchFamily="18" charset="0"/>
                          </a:rPr>
                          <m:t>𝑝𝑢𝑚𝑝</m:t>
                        </m:r>
                      </m:sub>
                    </m:sSub>
                    <m:r>
                      <a:rPr lang="en-US" sz="1000" b="0" i="1">
                        <a:latin typeface="Cambria Math" panose="02040503050406030204" pitchFamily="18" charset="0"/>
                        <a:ea typeface="Cambria Math" panose="02040503050406030204" pitchFamily="18" charset="0"/>
                      </a:rPr>
                      <m:t>)</m:t>
                    </m:r>
                  </m:oMath>
                </m:oMathPara>
              </a14:m>
              <a:endParaRPr lang="en-US" sz="1000">
                <a:latin typeface="Cambria Math" panose="02040503050406030204" pitchFamily="18" charset="0"/>
                <a:ea typeface="Cambria Math" panose="02040503050406030204" pitchFamily="18" charset="0"/>
              </a:endParaRPr>
            </a:p>
          </xdr:txBody>
        </xdr:sp>
      </mc:Choice>
      <mc:Fallback xmlns="">
        <xdr:sp macro="" textlink="">
          <xdr:nvSpPr>
            <xdr:cNvPr id="10" name="TextBox 9">
              <a:extLst>
                <a:ext uri="{FF2B5EF4-FFF2-40B4-BE49-F238E27FC236}">
                  <a16:creationId xmlns:a16="http://schemas.microsoft.com/office/drawing/2014/main" id="{3C4EBA7F-06EA-4A54-8B04-901C1391B88C}"/>
                </a:ext>
              </a:extLst>
            </xdr:cNvPr>
            <xdr:cNvSpPr txBox="1"/>
          </xdr:nvSpPr>
          <xdr:spPr>
            <a:xfrm>
              <a:off x="387350" y="11512550"/>
              <a:ext cx="5334000" cy="5801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000" b="0" i="0">
                  <a:solidFill>
                    <a:schemeClr val="tx1"/>
                  </a:solidFill>
                  <a:effectLst/>
                  <a:latin typeface="Cambria Math" panose="02040503050406030204" pitchFamily="18" charset="0"/>
                  <a:ea typeface="Cambria Math" panose="02040503050406030204" pitchFamily="18" charset="0"/>
                  <a:cs typeface="+mn-cs"/>
                </a:rPr>
                <a:t>〖𝑘𝑊ℎ〗_𝐸𝐸</a:t>
              </a:r>
              <a:r>
                <a:rPr lang="en-US" sz="1000" b="0" i="0">
                  <a:latin typeface="Cambria Math" panose="02040503050406030204" pitchFamily="18" charset="0"/>
                  <a:ea typeface="Cambria Math" panose="02040503050406030204" pitchFamily="18" charset="0"/>
                </a:rPr>
                <a:t>=</a:t>
              </a:r>
              <a:endParaRPr lang="en-US" sz="1000" b="0" i="1">
                <a:latin typeface="Cambria Math" panose="02040503050406030204" pitchFamily="18" charset="0"/>
                <a:ea typeface="Cambria Math" panose="02040503050406030204" pitchFamily="18" charset="0"/>
              </a:endParaRPr>
            </a:p>
            <a:p>
              <a:pPr/>
              <a:r>
                <a:rPr lang="en-US" sz="1000" b="0" i="0">
                  <a:latin typeface="Cambria Math" panose="02040503050406030204" pitchFamily="18" charset="0"/>
                  <a:ea typeface="Cambria Math" panose="02040503050406030204" pitchFamily="18" charset="0"/>
                </a:rPr>
                <a:t>(1−𝑆𝐹)(1/〖𝐸𝐹〗_𝑆𝑊𝐻 )∗(〖𝐺𝑃𝐷〗_𝑂𝑐𝑐∗#𝑂𝑐𝑐∗365 𝑑𝑎𝑦𝑠∗𝜌∗𝑐_𝑝∗(𝑇_𝑜𝑢𝑡−𝑇_𝑖𝑛 ))/(3412 𝐵𝑡𝑢/𝑘𝑊ℎ)+〖(𝑘𝑊〗_𝑝𝑢𝑚𝑝∗〖𝐻𝑂𝑈〗_𝑝𝑢𝑚𝑝)</a:t>
              </a:r>
              <a:endParaRPr lang="en-US" sz="1000">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28</xdr:row>
      <xdr:rowOff>9525</xdr:rowOff>
    </xdr:from>
    <xdr:ext cx="2712720" cy="18288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0">
                      <a:solidFill>
                        <a:schemeClr val="tx1"/>
                      </a:solidFill>
                      <a:effectLst/>
                      <a:latin typeface="Cambria Math" panose="02040503050406030204" pitchFamily="18" charset="0"/>
                      <a:ea typeface="+mn-ea"/>
                      <a:cs typeface="+mn-cs"/>
                    </a:rPr>
                    <m:t>)</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AC91632D-EF5C-4C54-948E-90330E463D7C}"/>
                </a:ext>
              </a:extLst>
            </xdr:cNvPr>
            <xdr:cNvSpPr txBox="1"/>
          </xdr:nvSpPr>
          <xdr:spPr>
            <a:xfrm>
              <a:off x="361950" y="8534400"/>
              <a:ext cx="2712720" cy="1828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  − </a:t>
              </a:r>
              <a:r>
                <a:rPr lang="en-US" sz="1100" b="0" i="0">
                  <a:solidFill>
                    <a:schemeClr val="tx1"/>
                  </a:solidFill>
                  <a:effectLst/>
                  <a:latin typeface="Cambria Math" panose="02040503050406030204" pitchFamily="18" charset="0"/>
                  <a:ea typeface="+mn-ea"/>
                  <a:cs typeface="+mn-cs"/>
                </a:rPr>
                <a:t>𝐸_𝐻𝐸)</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44</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74C3D8B1-FB48-48B7-8FA8-141F7B6C3E0D}"/>
                </a:ext>
              </a:extLst>
            </xdr:cNvPr>
            <xdr:cNvSpPr txBox="1"/>
          </xdr:nvSpPr>
          <xdr:spPr>
            <a:xfrm>
              <a:off x="361951" y="11506201"/>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48</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6CBD6896-62B3-40BA-A42B-B862C7E5A389}"/>
                </a:ext>
              </a:extLst>
            </xdr:cNvPr>
            <xdr:cNvSpPr txBox="1"/>
          </xdr:nvSpPr>
          <xdr:spPr>
            <a:xfrm>
              <a:off x="361950" y="12268201"/>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33</xdr:row>
      <xdr:rowOff>161925</xdr:rowOff>
    </xdr:from>
    <xdr:ext cx="4505325" cy="22860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𝐻𝐸</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 </m:t>
                      </m:r>
                    </m:sub>
                  </m:sSub>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 name="TextBox 4">
              <a:extLst>
                <a:ext uri="{FF2B5EF4-FFF2-40B4-BE49-F238E27FC236}">
                  <a16:creationId xmlns:a16="http://schemas.microsoft.com/office/drawing/2014/main" id="{10456E7B-BDB2-4F2A-BB4F-B340D4BB96DB}"/>
                </a:ext>
              </a:extLst>
            </xdr:cNvPr>
            <xdr:cNvSpPr txBox="1"/>
          </xdr:nvSpPr>
          <xdr:spPr>
            <a:xfrm>
              <a:off x="361950" y="9639300"/>
              <a:ext cx="4505325"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𝐸_𝐻𝐸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𝐻𝐸)+ </a:t>
              </a:r>
              <a:r>
                <a:rPr lang="en-US" sz="1100" b="0" i="0">
                  <a:solidFill>
                    <a:schemeClr val="tx1"/>
                  </a:solidFill>
                  <a:effectLst/>
                  <a:latin typeface="Cambria Math" panose="02040503050406030204" pitchFamily="18" charset="0"/>
                  <a:ea typeface="+mn-ea"/>
                  <a:cs typeface="+mn-cs"/>
                </a:rPr>
                <a:t>𝐸_(𝑐𝑜𝑜𝑘, 𝐻𝐸 )+ 𝐸_(𝑖𝑑𝑙𝑒, 𝐻𝐸 )</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32</xdr:row>
      <xdr:rowOff>0</xdr:rowOff>
    </xdr:from>
    <xdr:ext cx="3781425" cy="16192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𝐵𝑎𝑠𝑒𝑙𝑖𝑛𝑒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𝑝𝑟𝑒h𝑒𝑎𝑡</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sub>
                    </m:sSub>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𝐵𝑎𝑠𝑒𝑙𝑖𝑛𝑒</m:t>
                        </m:r>
                        <m:r>
                          <a:rPr lang="en-US" sz="1100" b="0" i="1">
                            <a:solidFill>
                              <a:schemeClr val="tx1"/>
                            </a:solidFill>
                            <a:effectLst/>
                            <a:latin typeface="Cambria Math" panose="02040503050406030204" pitchFamily="18" charset="0"/>
                            <a:ea typeface="+mn-ea"/>
                            <a:cs typeface="+mn-cs"/>
                          </a:rPr>
                          <m:t> </m:t>
                        </m:r>
                      </m:sub>
                    </m:sSub>
                    <m:r>
                      <a:rPr lang="en-US" sz="1100" b="0" i="0">
                        <a:solidFill>
                          <a:schemeClr val="tx1"/>
                        </a:solidFill>
                        <a:effectLst/>
                        <a:latin typeface="Cambria Math" panose="02040503050406030204" pitchFamily="18" charset="0"/>
                        <a:ea typeface="+mn-ea"/>
                        <a:cs typeface="+mn-cs"/>
                      </a:rPr>
                      <m:t>)</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7EAE2AB4-78CD-4209-9BC2-BB65B712DBE6}"/>
                </a:ext>
              </a:extLst>
            </xdr:cNvPr>
            <xdr:cNvSpPr txBox="1"/>
          </xdr:nvSpPr>
          <xdr:spPr>
            <a:xfrm>
              <a:off x="361950" y="9286875"/>
              <a:ext cx="3781425" cy="1619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𝐸_𝐵𝑎𝑠𝑒𝑙𝑖𝑛𝑒  </a:t>
              </a:r>
              <a:r>
                <a:rPr lang="en-US" sz="1100" b="0" i="0">
                  <a:solidFill>
                    <a:sysClr val="windowText" lastClr="000000"/>
                  </a:solidFill>
                  <a:latin typeface="Cambria Math" panose="02040503050406030204" pitchFamily="18" charset="0"/>
                  <a:ea typeface="Cambria Math" panose="02040503050406030204" pitchFamily="18" charset="0"/>
                </a:rPr>
                <a:t>=( 𝐸_(𝑝𝑟𝑒ℎ𝑒𝑎𝑡, 𝐵𝑎𝑠𝑒𝑙𝑖𝑛𝑒)+ </a:t>
              </a:r>
              <a:r>
                <a:rPr lang="en-US" sz="1100" b="0" i="0">
                  <a:solidFill>
                    <a:schemeClr val="tx1"/>
                  </a:solidFill>
                  <a:effectLst/>
                  <a:latin typeface="Cambria Math" panose="02040503050406030204" pitchFamily="18" charset="0"/>
                  <a:ea typeface="+mn-ea"/>
                  <a:cs typeface="+mn-cs"/>
                </a:rPr>
                <a:t>𝐸_(𝑐𝑜𝑜𝑘, 𝐵𝑎𝑠𝑒𝑙𝑖𝑛𝑒 )+ 𝐸_(𝑖𝑑𝑙𝑒, 𝐵𝑎𝑠𝑒𝑙𝑖𝑛𝑒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35</xdr:row>
      <xdr:rowOff>180974</xdr:rowOff>
    </xdr:from>
    <xdr:ext cx="2066925" cy="257175"/>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𝑐𝑜𝑜𝑘</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𝐸𝑃𝑀</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𝑀𝐴𝑆𝑆𝐷𝐴𝑌</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ƞ</m:t>
                        </m:r>
                      </m:e>
                      <m:sub>
                        <m:r>
                          <a:rPr lang="en-US" sz="1100" b="0" i="1">
                            <a:solidFill>
                              <a:schemeClr val="tx1"/>
                            </a:solidFill>
                            <a:effectLst/>
                            <a:latin typeface="Cambria Math" panose="02040503050406030204" pitchFamily="18" charset="0"/>
                            <a:ea typeface="+mn-ea"/>
                            <a:cs typeface="+mn-cs"/>
                          </a:rPr>
                          <m:t>𝑐𝑜𝑜𝑘</m:t>
                        </m:r>
                        <m:r>
                          <a:rPr lang="en-US" sz="1100" b="0" i="1">
                            <a:solidFill>
                              <a:schemeClr val="tx1"/>
                            </a:solidFill>
                            <a:effectLst/>
                            <a:latin typeface="Cambria Math" panose="02040503050406030204" pitchFamily="18" charset="0"/>
                            <a:ea typeface="+mn-ea"/>
                            <a:cs typeface="+mn-cs"/>
                          </a:rPr>
                          <m:t> </m:t>
                        </m:r>
                      </m:sub>
                    </m:sSub>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1988B409-B3C5-4CA2-B46E-525583618326}"/>
                </a:ext>
              </a:extLst>
            </xdr:cNvPr>
            <xdr:cNvSpPr txBox="1"/>
          </xdr:nvSpPr>
          <xdr:spPr>
            <a:xfrm>
              <a:off x="361950" y="10029824"/>
              <a:ext cx="20669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chemeClr val="tx1"/>
                  </a:solidFill>
                  <a:effectLst/>
                  <a:latin typeface="Cambria Math" panose="02040503050406030204" pitchFamily="18" charset="0"/>
                  <a:ea typeface="+mn-ea"/>
                  <a:cs typeface="+mn-cs"/>
                </a:rPr>
                <a:t>𝐸_𝑐𝑜𝑜𝑘  </a:t>
              </a:r>
              <a:r>
                <a:rPr lang="en-US" sz="1100" b="0" i="0">
                  <a:solidFill>
                    <a:sysClr val="windowText" lastClr="000000"/>
                  </a:solidFill>
                  <a:latin typeface="Cambria Math" panose="02040503050406030204" pitchFamily="18" charset="0"/>
                  <a:ea typeface="Cambria Math" panose="02040503050406030204" pitchFamily="18" charset="0"/>
                </a:rPr>
                <a:t>=𝐸𝑃𝑀 ∗𝑀𝐴𝑆𝑆𝐷𝐴𝑌/ </a:t>
              </a:r>
              <a:r>
                <a:rPr lang="en-US" sz="1100" b="0" i="0">
                  <a:solidFill>
                    <a:schemeClr val="tx1"/>
                  </a:solidFill>
                  <a:effectLst/>
                  <a:latin typeface="Cambria Math" panose="02040503050406030204" pitchFamily="18" charset="0"/>
                  <a:ea typeface="+mn-ea"/>
                  <a:cs typeface="+mn-cs"/>
                </a:rPr>
                <a:t>ƞ_(𝑐𝑜𝑜𝑘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19050</xdr:colOff>
      <xdr:row>37</xdr:row>
      <xdr:rowOff>152400</xdr:rowOff>
    </xdr:from>
    <xdr:ext cx="1724025" cy="2571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𝑖𝑑𝑙𝑒</m:t>
                      </m:r>
                    </m:sub>
                  </m:sSub>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m:t>
                  </m:r>
                </m:oMath>
              </a14:m>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A17FBA50-7023-4AB8-9FE6-5FFF381FDB5F}"/>
                </a:ext>
              </a:extLst>
            </xdr:cNvPr>
            <xdr:cNvSpPr txBox="1"/>
          </xdr:nvSpPr>
          <xdr:spPr>
            <a:xfrm>
              <a:off x="381000" y="10363200"/>
              <a:ext cx="1724025" cy="2571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𝐸_𝑖𝑑𝑙𝑒  </a:t>
              </a:r>
              <a:r>
                <a:rPr lang="en-US" sz="1100" b="0" i="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𝑃_𝑖𝑑𝑙𝑒</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baseline="0">
                  <a:solidFill>
                    <a:sysClr val="windowText" lastClr="000000"/>
                  </a:solidFill>
                  <a:latin typeface="Cambria Math" panose="02040503050406030204" pitchFamily="18" charset="0"/>
                  <a:ea typeface="Cambria Math" panose="02040503050406030204" pitchFamily="18" charset="0"/>
                </a:rPr>
                <a:t> </a:t>
              </a:r>
              <a:r>
                <a:rPr lang="en-US" sz="1100" i="1" baseline="-250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𝑡_𝑖𝑑𝑙𝑒  </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19051</xdr:colOff>
      <xdr:row>39</xdr:row>
      <xdr:rowOff>114301</xdr:rowOff>
    </xdr:from>
    <xdr:ext cx="3209924" cy="304800"/>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𝑡</m:t>
                      </m:r>
                    </m:e>
                    <m:sub>
                      <m:r>
                        <a:rPr lang="en-US" sz="1100" b="0" i="1">
                          <a:solidFill>
                            <a:schemeClr val="tx1"/>
                          </a:solidFill>
                          <a:effectLst/>
                          <a:latin typeface="Cambria Math" panose="02040503050406030204" pitchFamily="18" charset="0"/>
                          <a:ea typeface="+mn-ea"/>
                          <a:cs typeface="+mn-cs"/>
                        </a:rPr>
                        <m:t>𝑖𝑑𝑙𝑒</m:t>
                      </m:r>
                    </m:sub>
                  </m:sSub>
                  <m:r>
                    <a:rPr lang="en-US" sz="1100" b="0" i="1">
                      <a:solidFill>
                        <a:schemeClr val="tx1"/>
                      </a:solidFill>
                      <a:effectLst/>
                      <a:latin typeface="Cambria Math" panose="02040503050406030204" pitchFamily="18" charset="0"/>
                      <a:ea typeface="+mn-ea"/>
                      <a:cs typeface="+mn-cs"/>
                    </a:rPr>
                    <m:t> </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𝐷𝐴𝑌𝐻𝑅𝑆</m:t>
                  </m:r>
                  <m:r>
                    <a:rPr lang="en-US" sz="1100" b="0" i="1">
                      <a:solidFill>
                        <a:sysClr val="windowText" lastClr="000000"/>
                      </a:solidFill>
                      <a:latin typeface="Cambria Math" panose="02040503050406030204" pitchFamily="18" charset="0"/>
                      <a:ea typeface="Cambria Math" panose="02040503050406030204" pitchFamily="18" charset="0"/>
                    </a:rPr>
                    <m:t> −</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𝑀𝐴𝑆𝑆𝐷𝐴𝑌</m:t>
                          </m:r>
                        </m:num>
                        <m:den>
                          <m:r>
                            <a:rPr lang="en-US" sz="1100" b="0" i="1">
                              <a:solidFill>
                                <a:schemeClr val="tx1"/>
                              </a:solidFill>
                              <a:effectLst/>
                              <a:latin typeface="Cambria Math" panose="02040503050406030204" pitchFamily="18" charset="0"/>
                              <a:ea typeface="+mn-ea"/>
                              <a:cs typeface="+mn-cs"/>
                            </a:rPr>
                            <m:t>𝐶𝐴𝑃</m:t>
                          </m:r>
                        </m:den>
                      </m:f>
                    </m:e>
                  </m:d>
                </m:oMath>
              </a14:m>
              <a:r>
                <a:rPr lang="en-US" sz="1100" i="1">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1">
                      <a:solidFill>
                        <a:schemeClr val="tx1"/>
                      </a:solidFill>
                      <a:effectLst/>
                      <a:latin typeface="Cambria Math" panose="02040503050406030204" pitchFamily="18" charset="0"/>
                      <a:ea typeface="+mn-ea"/>
                      <a:cs typeface="+mn-cs"/>
                    </a:rPr>
                    <m:t>− </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𝑡</m:t>
                          </m:r>
                          <m:r>
                            <a:rPr lang="en-US" sz="1100" b="0" i="1" baseline="-25000">
                              <a:solidFill>
                                <a:schemeClr val="tx1"/>
                              </a:solidFill>
                              <a:effectLst/>
                              <a:latin typeface="Cambria Math" panose="02040503050406030204" pitchFamily="18" charset="0"/>
                              <a:ea typeface="+mn-ea"/>
                              <a:cs typeface="+mn-cs"/>
                            </a:rPr>
                            <m:t>𝑝𝑟𝑒h𝑒𝑎𝑡</m:t>
                          </m:r>
                        </m:num>
                        <m:den>
                          <m:r>
                            <a:rPr lang="en-US" sz="1100" b="0" i="1">
                              <a:solidFill>
                                <a:schemeClr val="tx1"/>
                              </a:solidFill>
                              <a:effectLst/>
                              <a:latin typeface="Cambria Math" panose="02040503050406030204" pitchFamily="18" charset="0"/>
                              <a:ea typeface="+mn-ea"/>
                              <a:cs typeface="+mn-cs"/>
                            </a:rPr>
                            <m:t>60</m:t>
                          </m:r>
                        </m:den>
                      </m:f>
                    </m:e>
                  </m:d>
                </m:oMath>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AE1AA44C-33EA-4B23-868E-D587FCB77891}"/>
                </a:ext>
              </a:extLst>
            </xdr:cNvPr>
            <xdr:cNvSpPr txBox="1"/>
          </xdr:nvSpPr>
          <xdr:spPr>
            <a:xfrm>
              <a:off x="381001" y="10687051"/>
              <a:ext cx="3209924" cy="304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b="0" i="0">
                  <a:solidFill>
                    <a:schemeClr val="tx1"/>
                  </a:solidFill>
                  <a:effectLst/>
                  <a:latin typeface="Cambria Math" panose="02040503050406030204" pitchFamily="18" charset="0"/>
                  <a:ea typeface="+mn-ea"/>
                  <a:cs typeface="+mn-cs"/>
                </a:rPr>
                <a:t>𝑡_𝑖𝑑𝑙𝑒  </a:t>
              </a:r>
              <a:r>
                <a:rPr lang="en-US" sz="1100" b="0" i="0">
                  <a:solidFill>
                    <a:sysClr val="windowText" lastClr="000000"/>
                  </a:solidFill>
                  <a:latin typeface="Cambria Math" panose="02040503050406030204" pitchFamily="18" charset="0"/>
                  <a:ea typeface="Cambria Math" panose="02040503050406030204" pitchFamily="18" charset="0"/>
                </a:rPr>
                <a:t>=  𝐷𝐴𝑌𝐻𝑅𝑆 −(</a:t>
              </a:r>
              <a:r>
                <a:rPr lang="en-US" sz="1100" b="0" i="0">
                  <a:solidFill>
                    <a:schemeClr val="tx1"/>
                  </a:solidFill>
                  <a:effectLst/>
                  <a:latin typeface="Cambria Math" panose="02040503050406030204" pitchFamily="18" charset="0"/>
                  <a:ea typeface="+mn-ea"/>
                  <a:cs typeface="+mn-cs"/>
                </a:rPr>
                <a:t>𝑀𝐴𝑆𝑆𝐷𝐴𝑌/𝐶𝐴𝑃)</a:t>
              </a:r>
              <a:r>
                <a:rPr lang="en-US" sz="1100" i="1">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 (𝑡</a:t>
              </a:r>
              <a:r>
                <a:rPr lang="en-US" sz="1100" b="0" i="0" baseline="-25000">
                  <a:solidFill>
                    <a:schemeClr val="tx1"/>
                  </a:solidFill>
                  <a:effectLst/>
                  <a:latin typeface="Cambria Math" panose="02040503050406030204" pitchFamily="18" charset="0"/>
                  <a:ea typeface="+mn-ea"/>
                  <a:cs typeface="+mn-cs"/>
                </a:rPr>
                <a:t>𝑝𝑟𝑒ℎ𝑒𝑎𝑡/</a:t>
              </a:r>
              <a:r>
                <a:rPr lang="en-US" sz="1100" b="0" i="0">
                  <a:solidFill>
                    <a:schemeClr val="tx1"/>
                  </a:solidFill>
                  <a:effectLst/>
                  <a:latin typeface="Cambria Math" panose="02040503050406030204" pitchFamily="18" charset="0"/>
                  <a:ea typeface="+mn-ea"/>
                  <a:cs typeface="+mn-cs"/>
                </a:rPr>
                <a:t>60)</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60.xml><?xml version="1.0" encoding="utf-8"?>
<xdr:wsDr xmlns:xdr="http://schemas.openxmlformats.org/drawingml/2006/spreadsheetDrawing" xmlns:a="http://schemas.openxmlformats.org/drawingml/2006/main">
  <xdr:oneCellAnchor>
    <xdr:from>
      <xdr:col>2</xdr:col>
      <xdr:colOff>38101</xdr:colOff>
      <xdr:row>35</xdr:row>
      <xdr:rowOff>9525</xdr:rowOff>
    </xdr:from>
    <xdr:ext cx="1943100"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chemeClr val="tx1"/>
                            </a:solidFill>
                            <a:effectLst/>
                            <a:latin typeface="Cambria Math" panose="02040503050406030204" pitchFamily="18" charset="0"/>
                            <a:ea typeface="+mn-ea"/>
                            <a:cs typeface="+mn-cs"/>
                          </a:rPr>
                        </m:ctrlPr>
                      </m:sSubPr>
                      <m:e>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e>
                      <m:sub>
                        <m:r>
                          <a:rPr lang="en-US" sz="1100" b="0" i="1">
                            <a:solidFill>
                              <a:schemeClr val="tx1"/>
                            </a:solidFill>
                            <a:effectLst/>
                            <a:latin typeface="Cambria Math" panose="02040503050406030204" pitchFamily="18" charset="0"/>
                            <a:ea typeface="+mn-ea"/>
                            <a:cs typeface="+mn-cs"/>
                          </a:rPr>
                          <m:t>𝑙𝑖𝑓𝑒</m:t>
                        </m:r>
                      </m:sub>
                    </m:sSub>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𝐸𝑈𝐿</m:t>
                        </m:r>
                      </m:e>
                      <m:sub>
                        <m:r>
                          <a:rPr lang="en-US" sz="1100" b="0" i="1">
                            <a:solidFill>
                              <a:schemeClr val="tx1"/>
                            </a:solidFill>
                            <a:effectLst/>
                            <a:latin typeface="Cambria Math" panose="02040503050406030204" pitchFamily="18" charset="0"/>
                            <a:ea typeface="+mn-ea"/>
                            <a:cs typeface="+mn-cs"/>
                          </a:rPr>
                          <m:t>𝐸𝐸</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D157C804-4164-4A41-8FF8-631CF8B1A7C2}"/>
                </a:ext>
              </a:extLst>
            </xdr:cNvPr>
            <xdr:cNvSpPr txBox="1"/>
          </xdr:nvSpPr>
          <xdr:spPr>
            <a:xfrm>
              <a:off x="400051" y="8172450"/>
              <a:ext cx="1943100"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chemeClr val="tx1"/>
                  </a:solidFill>
                  <a:effectLst/>
                  <a:latin typeface="Cambria Math" panose="02040503050406030204" pitchFamily="18" charset="0"/>
                  <a:ea typeface="+mn-ea"/>
                  <a:cs typeface="+mn-cs"/>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𝑘𝑊ℎ〗_𝑙𝑖𝑓𝑒</a:t>
              </a:r>
              <a:r>
                <a:rPr lang="en-US" sz="1100" b="0" i="0">
                  <a:latin typeface="Cambria Math" panose="02040503050406030204" pitchFamily="18" charset="0"/>
                  <a:ea typeface="Cambria Math" panose="02040503050406030204" pitchFamily="18" charset="0"/>
                </a:rPr>
                <a:t>=</a:t>
              </a:r>
              <a:r>
                <a:rPr lang="en-US" sz="1100" i="0">
                  <a:solidFill>
                    <a:schemeClr val="tx1"/>
                  </a:solidFill>
                  <a:effectLst/>
                  <a:latin typeface="Cambria Math" panose="02040503050406030204" pitchFamily="18" charset="0"/>
                  <a:ea typeface="+mn-ea"/>
                  <a:cs typeface="+mn-cs"/>
                </a:rPr>
                <a:t>∆</a:t>
              </a:r>
              <a:r>
                <a:rPr lang="en-US" sz="1100" b="0" i="0">
                  <a:solidFill>
                    <a:schemeClr val="tx1"/>
                  </a:solidFill>
                  <a:effectLst/>
                  <a:latin typeface="Cambria Math" panose="02040503050406030204" pitchFamily="18" charset="0"/>
                  <a:ea typeface="+mn-ea"/>
                  <a:cs typeface="+mn-cs"/>
                </a:rPr>
                <a:t>𝑘𝑊ℎ∗〖𝐸𝑈𝐿〗_𝐸𝐸</a:t>
              </a:r>
              <a:endParaRPr lang="en-US" sz="1100"/>
            </a:p>
          </xdr:txBody>
        </xdr:sp>
      </mc:Fallback>
    </mc:AlternateContent>
    <xdr:clientData/>
  </xdr:oneCellAnchor>
  <xdr:oneCellAnchor>
    <xdr:from>
      <xdr:col>2</xdr:col>
      <xdr:colOff>38100</xdr:colOff>
      <xdr:row>31</xdr:row>
      <xdr:rowOff>19050</xdr:rowOff>
    </xdr:from>
    <xdr:ext cx="1971675" cy="19652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𝑘𝑊h</m:t>
                    </m:r>
                    <m:r>
                      <a:rPr lang="en-US" sz="1100" b="0" i="1">
                        <a:latin typeface="Cambria Math" panose="02040503050406030204" pitchFamily="18" charset="0"/>
                        <a:ea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𝑜𝑝</m:t>
                            </m:r>
                          </m:sub>
                        </m:sSub>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𝑃𝐹</m:t>
                    </m:r>
                  </m:oMath>
                </m:oMathPara>
              </a14:m>
              <a:endParaRPr lang="en-US" sz="1100"/>
            </a:p>
          </xdr:txBody>
        </xdr:sp>
      </mc:Choice>
      <mc:Fallback xmlns="">
        <xdr:sp macro="" textlink="">
          <xdr:nvSpPr>
            <xdr:cNvPr id="4" name="TextBox 3">
              <a:extLst>
                <a:ext uri="{FF2B5EF4-FFF2-40B4-BE49-F238E27FC236}">
                  <a16:creationId xmlns:a16="http://schemas.microsoft.com/office/drawing/2014/main" id="{2BD2A9F6-4AC3-447B-B7A7-E6250FFD2307}"/>
                </a:ext>
              </a:extLst>
            </xdr:cNvPr>
            <xdr:cNvSpPr txBox="1"/>
          </xdr:nvSpPr>
          <xdr:spPr>
            <a:xfrm>
              <a:off x="400050" y="7610475"/>
              <a:ext cx="1971675" cy="196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𝑘𝑊ℎ</a:t>
              </a:r>
              <a:r>
                <a:rPr lang="en-US" sz="1100" b="0" i="0">
                  <a:latin typeface="Cambria Math" panose="02040503050406030204" pitchFamily="18" charset="0"/>
                  <a:ea typeface="Cambria Math" panose="02040503050406030204" pitchFamily="18" charset="0"/>
                </a:rPr>
                <a:t>=</a:t>
              </a:r>
              <a:r>
                <a:rPr lang="en-US" sz="1100" b="0" i="0">
                  <a:solidFill>
                    <a:schemeClr val="tx1"/>
                  </a:solidFill>
                  <a:effectLst/>
                  <a:latin typeface="+mn-lt"/>
                  <a:ea typeface="+mn-ea"/>
                  <a:cs typeface="+mn-cs"/>
                </a:rPr>
                <a:t>(</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_𝑏𝑎𝑠𝑒−</a:t>
              </a:r>
              <a:r>
                <a:rPr lang="en-US" sz="1100" b="0" i="0">
                  <a:solidFill>
                    <a:schemeClr val="tx1"/>
                  </a:solidFill>
                  <a:effectLst/>
                  <a:latin typeface="Cambria Math" panose="02040503050406030204" pitchFamily="18" charset="0"/>
                  <a:ea typeface="+mn-ea"/>
                  <a:cs typeface="+mn-cs"/>
                </a:rPr>
                <a:t>𝐸</a:t>
              </a:r>
              <a:r>
                <a:rPr lang="en-US" sz="1100" b="0" i="0">
                  <a:solidFill>
                    <a:schemeClr val="tx1"/>
                  </a:solidFill>
                  <a:effectLst/>
                  <a:latin typeface="+mn-lt"/>
                  <a:ea typeface="+mn-ea"/>
                  <a:cs typeface="+mn-cs"/>
                </a:rPr>
                <a:t>_𝑜𝑝 )∗𝑃𝐹</a:t>
              </a:r>
              <a:endParaRPr lang="en-US" sz="1100"/>
            </a:p>
          </xdr:txBody>
        </xdr:sp>
      </mc:Fallback>
    </mc:AlternateContent>
    <xdr:clientData/>
  </xdr:oneCellAnchor>
  <xdr:oneCellAnchor>
    <xdr:from>
      <xdr:col>2</xdr:col>
      <xdr:colOff>28575</xdr:colOff>
      <xdr:row>27</xdr:row>
      <xdr:rowOff>19050</xdr:rowOff>
    </xdr:from>
    <xdr:ext cx="1857375" cy="19441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𝑘𝑊</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m:t>
                            </m:r>
                          </m:e>
                          <m:sub>
                            <m:r>
                              <a:rPr lang="en-US" sz="1100" b="0" i="1">
                                <a:latin typeface="Cambria Math" panose="02040503050406030204" pitchFamily="18" charset="0"/>
                                <a:ea typeface="Cambria Math" panose="02040503050406030204" pitchFamily="18" charset="0"/>
                              </a:rPr>
                              <m:t>𝑏𝑎𝑠𝑒</m:t>
                            </m:r>
                          </m:sub>
                        </m:sSub>
                        <m:r>
                          <a:rPr lang="en-US" sz="11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𝑜𝑝</m:t>
                            </m:r>
                          </m:sub>
                        </m:sSub>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1FE15ACB-EA6C-45D4-A20D-8C7544084B62}"/>
                </a:ext>
              </a:extLst>
            </xdr:cNvPr>
            <xdr:cNvSpPr txBox="1"/>
          </xdr:nvSpPr>
          <xdr:spPr>
            <a:xfrm>
              <a:off x="390525" y="6858000"/>
              <a:ext cx="1857375" cy="1944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chemeClr val="tx1"/>
                  </a:solidFill>
                  <a:effectLst/>
                  <a:latin typeface="+mn-lt"/>
                  <a:ea typeface="+mn-ea"/>
                  <a:cs typeface="+mn-cs"/>
                </a:rPr>
                <a:t>∆</a:t>
              </a:r>
              <a:r>
                <a:rPr lang="en-US" sz="1100" b="0" i="0">
                  <a:solidFill>
                    <a:schemeClr val="tx1"/>
                  </a:solidFill>
                  <a:effectLst/>
                  <a:latin typeface="+mn-lt"/>
                  <a:ea typeface="+mn-ea"/>
                  <a:cs typeface="+mn-cs"/>
                </a:rPr>
                <a:t>𝑘𝑊</a:t>
              </a:r>
              <a:r>
                <a:rPr lang="en-US" sz="1100" b="0" i="0">
                  <a:latin typeface="Cambria Math" panose="02040503050406030204" pitchFamily="18" charset="0"/>
                  <a:ea typeface="Cambria Math" panose="02040503050406030204" pitchFamily="18" charset="0"/>
                </a:rPr>
                <a:t>=(𝑃_𝑏𝑎𝑠𝑒−</a:t>
              </a:r>
              <a:r>
                <a:rPr lang="en-US" sz="1100" b="0" i="0">
                  <a:solidFill>
                    <a:schemeClr val="tx1"/>
                  </a:solidFill>
                  <a:effectLst/>
                  <a:latin typeface="+mn-lt"/>
                  <a:ea typeface="+mn-ea"/>
                  <a:cs typeface="+mn-cs"/>
                </a:rPr>
                <a:t>𝑃_</a:t>
              </a:r>
              <a:r>
                <a:rPr lang="en-US" sz="1100" b="0" i="0">
                  <a:solidFill>
                    <a:schemeClr val="tx1"/>
                  </a:solidFill>
                  <a:effectLst/>
                  <a:latin typeface="Cambria Math" panose="02040503050406030204" pitchFamily="18" charset="0"/>
                  <a:ea typeface="+mn-ea"/>
                  <a:cs typeface="+mn-cs"/>
                </a:rPr>
                <a:t>𝑜𝑝</a:t>
              </a:r>
              <a:r>
                <a:rPr lang="en-US" sz="1100" b="0" i="0">
                  <a:solidFill>
                    <a:schemeClr val="tx1"/>
                  </a:solidFill>
                  <a:effectLst/>
                  <a:latin typeface="Cambria Math" panose="02040503050406030204" pitchFamily="18" charset="0"/>
                  <a:ea typeface="Cambria Math" panose="02040503050406030204" pitchFamily="18" charset="0"/>
                  <a:cs typeface="+mn-cs"/>
                </a:rPr>
                <a:t> )</a:t>
              </a:r>
              <a:r>
                <a:rPr lang="en-US" sz="1100" b="0" i="0">
                  <a:latin typeface="Cambria Math" panose="02040503050406030204" pitchFamily="18" charset="0"/>
                  <a:ea typeface="Cambria Math" panose="02040503050406030204" pitchFamily="18" charset="0"/>
                </a:rPr>
                <a:t>∗𝑃𝐹</a:t>
              </a:r>
              <a:endParaRPr lang="en-US" sz="1100"/>
            </a:p>
          </xdr:txBody>
        </xdr:sp>
      </mc:Fallback>
    </mc:AlternateContent>
    <xdr:clientData/>
  </xdr:oneCellAnchor>
</xdr:wsDr>
</file>

<file path=xl/drawings/drawing61.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2BB959A5-FC7F-4A61-B2FC-243F670DB81A}"/>
                </a:ext>
              </a:extLst>
            </xdr:cNvPr>
            <xdr:cNvSpPr txBox="1"/>
          </xdr:nvSpPr>
          <xdr:spPr>
            <a:xfrm>
              <a:off x="368300" y="12017376"/>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E1E466D5-105B-4735-9882-D3F784825552}"/>
                </a:ext>
              </a:extLst>
            </xdr:cNvPr>
            <xdr:cNvSpPr txBox="1"/>
          </xdr:nvSpPr>
          <xdr:spPr>
            <a:xfrm>
              <a:off x="400050" y="12801599"/>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EEFEED1E-325E-4631-8875-2230EEF27585}"/>
                </a:ext>
              </a:extLst>
            </xdr:cNvPr>
            <xdr:cNvSpPr txBox="1"/>
          </xdr:nvSpPr>
          <xdr:spPr>
            <a:xfrm>
              <a:off x="409575" y="13506450"/>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4600575"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CA261081-C68B-42F9-930A-C829BCC29FA6}"/>
                </a:ext>
              </a:extLst>
            </xdr:cNvPr>
            <xdr:cNvSpPr txBox="1"/>
          </xdr:nvSpPr>
          <xdr:spPr>
            <a:xfrm>
              <a:off x="371475" y="9344025"/>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C30F5E8F-2AC4-4261-8F16-73B453FF3BC6}"/>
                </a:ext>
              </a:extLst>
            </xdr:cNvPr>
            <xdr:cNvSpPr txBox="1"/>
          </xdr:nvSpPr>
          <xdr:spPr>
            <a:xfrm>
              <a:off x="371475" y="7772401"/>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C13FEEBD-180B-4C8A-968B-1E03CCDA015B}"/>
                </a:ext>
              </a:extLst>
            </xdr:cNvPr>
            <xdr:cNvSpPr txBox="1"/>
          </xdr:nvSpPr>
          <xdr:spPr>
            <a:xfrm>
              <a:off x="361950" y="8534400"/>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460057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1F435538-843D-4CFD-9982-C1E10572BD7C}"/>
                </a:ext>
              </a:extLst>
            </xdr:cNvPr>
            <xdr:cNvSpPr txBox="1"/>
          </xdr:nvSpPr>
          <xdr:spPr>
            <a:xfrm>
              <a:off x="390525" y="10477500"/>
              <a:ext cx="460057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62.xml><?xml version="1.0" encoding="utf-8"?>
<xdr:wsDr xmlns:xdr="http://schemas.openxmlformats.org/drawingml/2006/spreadsheetDrawing" xmlns:a="http://schemas.openxmlformats.org/drawingml/2006/main">
  <xdr:oneCellAnchor>
    <xdr:from>
      <xdr:col>2</xdr:col>
      <xdr:colOff>6350</xdr:colOff>
      <xdr:row>52</xdr:row>
      <xdr:rowOff>6351</xdr:rowOff>
    </xdr:from>
    <xdr:ext cx="3914775" cy="222249"/>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𝑑𝑢𝑎𝑙</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𝐸𝑈𝐿</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𝑅𝑈𝐿</m:t>
                        </m:r>
                      </m:e>
                    </m:d>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10ACCF0F-5C6C-4A3A-9C33-F78EB12DAE0D}"/>
                </a:ext>
              </a:extLst>
            </xdr:cNvPr>
            <xdr:cNvSpPr txBox="1"/>
          </xdr:nvSpPr>
          <xdr:spPr>
            <a:xfrm>
              <a:off x="368300" y="11626851"/>
              <a:ext cx="3914775" cy="2222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𝑘𝑊ℎ〗_𝑑𝑢𝑎𝑙</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𝑘𝑊ℎ〗_1∗𝑅𝑈𝐿</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𝑘𝑊ℎ〗_2∗(𝐸𝑈𝐿−𝑅𝑈𝐿)</a:t>
              </a:r>
              <a:endParaRPr lang="en-US" sz="1100">
                <a:solidFill>
                  <a:sysClr val="windowText" lastClr="000000"/>
                </a:solidFill>
              </a:endParaRPr>
            </a:p>
          </xdr:txBody>
        </xdr:sp>
      </mc:Fallback>
    </mc:AlternateContent>
    <xdr:clientData/>
  </xdr:oneCellAnchor>
  <xdr:oneCellAnchor>
    <xdr:from>
      <xdr:col>2</xdr:col>
      <xdr:colOff>38100</xdr:colOff>
      <xdr:row>56</xdr:row>
      <xdr:rowOff>28574</xdr:rowOff>
    </xdr:from>
    <xdr:ext cx="3914775" cy="238125"/>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90AFF52A-116A-4DFC-AF90-47C5B38D6CDF}"/>
                </a:ext>
              </a:extLst>
            </xdr:cNvPr>
            <xdr:cNvSpPr txBox="1"/>
          </xdr:nvSpPr>
          <xdr:spPr>
            <a:xfrm>
              <a:off x="400050" y="12411074"/>
              <a:ext cx="3914775" cy="2381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𝑘𝑊ℎ〗_1∗𝐸𝑈𝐿</a:t>
              </a:r>
              <a:endParaRPr lang="en-US" sz="1100">
                <a:solidFill>
                  <a:sysClr val="windowText" lastClr="000000"/>
                </a:solidFill>
              </a:endParaRPr>
            </a:p>
          </xdr:txBody>
        </xdr:sp>
      </mc:Fallback>
    </mc:AlternateContent>
    <xdr:clientData/>
  </xdr:oneCellAnchor>
  <xdr:oneCellAnchor>
    <xdr:from>
      <xdr:col>2</xdr:col>
      <xdr:colOff>47625</xdr:colOff>
      <xdr:row>59</xdr:row>
      <xdr:rowOff>161925</xdr:rowOff>
    </xdr:from>
    <xdr:ext cx="3914775" cy="1833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𝑠𝑖𝑛𝑔𝑙𝑒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55DAA0CD-D569-4F5E-A05B-EAAB6E2C6945}"/>
                </a:ext>
              </a:extLst>
            </xdr:cNvPr>
            <xdr:cNvSpPr txBox="1"/>
          </xdr:nvSpPr>
          <xdr:spPr>
            <a:xfrm>
              <a:off x="409575" y="13115925"/>
              <a:ext cx="3914775" cy="183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𝑘𝑊ℎ〗_𝑠𝑖𝑛𝑔𝑙𝑒2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𝑘𝑊ℎ〗_2∗𝐸𝑈𝐿</a:t>
              </a:r>
              <a:endParaRPr lang="en-US" sz="1100">
                <a:solidFill>
                  <a:sysClr val="windowText" lastClr="000000"/>
                </a:solidFill>
              </a:endParaRPr>
            </a:p>
          </xdr:txBody>
        </xdr:sp>
      </mc:Fallback>
    </mc:AlternateContent>
    <xdr:clientData/>
  </xdr:oneCellAnchor>
  <xdr:oneCellAnchor>
    <xdr:from>
      <xdr:col>2</xdr:col>
      <xdr:colOff>9525</xdr:colOff>
      <xdr:row>38</xdr:row>
      <xdr:rowOff>0</xdr:rowOff>
    </xdr:from>
    <xdr:ext cx="5048250" cy="523875"/>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1</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553202D6-2738-459E-A93E-CE98B099388A}"/>
                </a:ext>
              </a:extLst>
            </xdr:cNvPr>
            <xdr:cNvSpPr txBox="1"/>
          </xdr:nvSpPr>
          <xdr:spPr>
            <a:xfrm>
              <a:off x="371475" y="8953500"/>
              <a:ext cx="5048250"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𝑘𝑊ℎ〗_1</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(〖𝑔𝑝𝑚〗_𝑏𝑎𝑠𝑒1−〖𝑔𝑝𝑚〗_𝐸𝐸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2</xdr:col>
      <xdr:colOff>9525</xdr:colOff>
      <xdr:row>29</xdr:row>
      <xdr:rowOff>142876</xdr:rowOff>
    </xdr:from>
    <xdr:ext cx="1988237" cy="323850"/>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1</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6" name="TextBox 5">
              <a:extLst>
                <a:ext uri="{FF2B5EF4-FFF2-40B4-BE49-F238E27FC236}">
                  <a16:creationId xmlns:a16="http://schemas.microsoft.com/office/drawing/2014/main" id="{4106C1E5-1631-426E-9483-60F96625E60E}"/>
                </a:ext>
              </a:extLst>
            </xdr:cNvPr>
            <xdr:cNvSpPr txBox="1"/>
          </xdr:nvSpPr>
          <xdr:spPr>
            <a:xfrm>
              <a:off x="371475" y="7381876"/>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1∗〖𝑅𝑎𝑡𝑖𝑜〗_(𝐴𝑛𝑛𝑢𝑎𝑙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0</xdr:colOff>
      <xdr:row>33</xdr:row>
      <xdr:rowOff>142875</xdr:rowOff>
    </xdr:from>
    <xdr:ext cx="1988237" cy="32385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latin typeface="Cambria Math" panose="02040503050406030204" pitchFamily="18" charset="0"/>
                            <a:ea typeface="Cambria Math" panose="02040503050406030204" pitchFamily="18" charset="0"/>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sSubSup>
                      <m:sSubSupPr>
                        <m:ctrlPr>
                          <a:rPr lang="en-US" sz="1100" b="0" i="1">
                            <a:solidFill>
                              <a:sysClr val="windowText" lastClr="000000"/>
                            </a:solidFill>
                            <a:latin typeface="Cambria Math" panose="02040503050406030204" pitchFamily="18" charset="0"/>
                            <a:ea typeface="Cambria Math" panose="02040503050406030204" pitchFamily="18" charset="0"/>
                          </a:rPr>
                        </m:ctrlPr>
                      </m:sSubSupPr>
                      <m:e>
                        <m:r>
                          <a:rPr lang="en-US" sz="1100" b="0" i="1">
                            <a:solidFill>
                              <a:sysClr val="windowText" lastClr="000000"/>
                            </a:solidFill>
                            <a:latin typeface="Cambria Math" panose="02040503050406030204" pitchFamily="18" charset="0"/>
                            <a:ea typeface="Cambria Math" panose="02040503050406030204" pitchFamily="18" charset="0"/>
                          </a:rPr>
                          <m:t>𝑅𝑎𝑡𝑖𝑜</m:t>
                        </m:r>
                      </m:e>
                      <m:sub>
                        <m:r>
                          <a:rPr lang="en-US" sz="1100" b="0" i="1">
                            <a:solidFill>
                              <a:sysClr val="windowText" lastClr="000000"/>
                            </a:solidFill>
                            <a:latin typeface="Cambria Math" panose="02040503050406030204" pitchFamily="18" charset="0"/>
                            <a:ea typeface="Cambria Math" panose="02040503050406030204" pitchFamily="18" charset="0"/>
                          </a:rPr>
                          <m:t>𝐴𝑛𝑛𝑢𝑎𝑙</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𝑘𝑊h</m:t>
                        </m:r>
                      </m:sub>
                      <m:sup>
                        <m:r>
                          <a:rPr lang="en-US" sz="1100" b="0" i="1">
                            <a:solidFill>
                              <a:sysClr val="windowText" lastClr="000000"/>
                            </a:solidFill>
                            <a:latin typeface="Cambria Math" panose="02040503050406030204" pitchFamily="18" charset="0"/>
                            <a:ea typeface="Cambria Math" panose="02040503050406030204" pitchFamily="18" charset="0"/>
                          </a:rPr>
                          <m:t>𝑃𝑒𝑎𝑘</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latin typeface="Cambria Math" panose="02040503050406030204" pitchFamily="18" charset="0"/>
                            <a:ea typeface="Cambria Math" panose="02040503050406030204" pitchFamily="18" charset="0"/>
                          </a:rPr>
                          <m:t>𝑘𝑊</m:t>
                        </m:r>
                      </m:sup>
                    </m:sSubSup>
                  </m:oMath>
                </m:oMathPara>
              </a14:m>
              <a:endParaRPr lang="en-US" sz="110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7798D71D-ACFE-4998-93B7-1D800ADF52E4}"/>
                </a:ext>
              </a:extLst>
            </xdr:cNvPr>
            <xdr:cNvSpPr txBox="1"/>
          </xdr:nvSpPr>
          <xdr:spPr>
            <a:xfrm>
              <a:off x="361950" y="8143875"/>
              <a:ext cx="1988237" cy="3238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a:t>
              </a:r>
              <a:r>
                <a:rPr lang="en-US" sz="1100" b="0" i="0">
                  <a:solidFill>
                    <a:sysClr val="windowText" lastClr="000000"/>
                  </a:solidFill>
                  <a:effectLst/>
                  <a:latin typeface="Cambria Math" panose="02040503050406030204" pitchFamily="18" charset="0"/>
                  <a:ea typeface="+mn-ea"/>
                  <a:cs typeface="+mn-cs"/>
                </a:rPr>
                <a:t>∆𝑘𝑊ℎ</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100" b="0" i="0">
                  <a:solidFill>
                    <a:sysClr val="windowText" lastClr="000000"/>
                  </a:solidFill>
                  <a:latin typeface="Cambria Math" panose="02040503050406030204" pitchFamily="18" charset="0"/>
                  <a:ea typeface="Cambria Math" panose="02040503050406030204" pitchFamily="18" charset="0"/>
                </a:rPr>
                <a:t>2∗〖𝑅𝑎𝑡𝑖𝑜〗_(𝐴𝑛𝑛𝑢𝑎𝑙 𝑘𝑊ℎ)^(𝑃𝑒𝑎𝑘 𝑘𝑊)</a:t>
              </a:r>
              <a:endParaRPr lang="en-US" sz="1100">
                <a:solidFill>
                  <a:sysClr val="windowText" lastClr="000000"/>
                </a:solidFill>
              </a:endParaRPr>
            </a:p>
          </xdr:txBody>
        </xdr:sp>
      </mc:Fallback>
    </mc:AlternateContent>
    <xdr:clientData/>
  </xdr:oneCellAnchor>
  <xdr:oneCellAnchor>
    <xdr:from>
      <xdr:col>2</xdr:col>
      <xdr:colOff>28575</xdr:colOff>
      <xdr:row>43</xdr:row>
      <xdr:rowOff>180975</xdr:rowOff>
    </xdr:from>
    <xdr:ext cx="5000625" cy="5238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𝑏𝑎𝑠𝑒</m:t>
                                </m:r>
                                <m:r>
                                  <a:rPr lang="en-US" sz="1100" b="0" i="1">
                                    <a:solidFill>
                                      <a:sysClr val="windowText" lastClr="000000"/>
                                    </a:solidFill>
                                    <a:effectLst/>
                                    <a:latin typeface="Cambria Math" panose="02040503050406030204" pitchFamily="18" charset="0"/>
                                    <a:ea typeface="+mn-ea"/>
                                    <a:cs typeface="+mn-cs"/>
                                  </a:rPr>
                                  <m:t>2</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𝑔𝑝𝑚</m:t>
                                </m:r>
                              </m:e>
                              <m:sub>
                                <m:r>
                                  <a:rPr lang="en-US" sz="1100" b="0" i="1">
                                    <a:solidFill>
                                      <a:sysClr val="windowText" lastClr="000000"/>
                                    </a:solidFill>
                                    <a:effectLst/>
                                    <a:latin typeface="Cambria Math" panose="02040503050406030204" pitchFamily="18" charset="0"/>
                                    <a:ea typeface="+mn-ea"/>
                                    <a:cs typeface="+mn-cs"/>
                                  </a:rPr>
                                  <m:t>𝐸𝐸</m:t>
                                </m:r>
                              </m:sub>
                            </m:sSub>
                          </m:e>
                        </m:d>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𝑀𝑃𝑆</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𝑆𝑃𝐷</m:t>
                        </m:r>
                        <m:r>
                          <a:rPr lang="en-US" sz="1100" b="0" i="1">
                            <a:solidFill>
                              <a:sysClr val="windowText" lastClr="000000"/>
                            </a:solidFill>
                            <a:effectLst/>
                            <a:latin typeface="Cambria Math" panose="02040503050406030204" pitchFamily="18" charset="0"/>
                            <a:ea typeface="+mn-ea"/>
                            <a:cs typeface="+mn-cs"/>
                          </a:rPr>
                          <m:t>∗</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𝑃𝐻</m:t>
                            </m:r>
                          </m:num>
                          <m:den>
                            <m:r>
                              <a:rPr lang="en-US" sz="1100" b="0" i="1">
                                <a:solidFill>
                                  <a:sysClr val="windowText" lastClr="000000"/>
                                </a:solidFill>
                                <a:effectLst/>
                                <a:latin typeface="Cambria Math" panose="02040503050406030204" pitchFamily="18" charset="0"/>
                                <a:ea typeface="+mn-ea"/>
                                <a:cs typeface="+mn-cs"/>
                              </a:rPr>
                              <m:t>𝐹𝐻</m:t>
                            </m:r>
                          </m:den>
                        </m:f>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𝑆</m:t>
                        </m:r>
                        <m:r>
                          <a:rPr lang="en-US" sz="1100" b="0" i="1">
                            <a:solidFill>
                              <a:sysClr val="windowText" lastClr="000000"/>
                            </a:solidFill>
                            <a:effectLst/>
                            <a:latin typeface="Cambria Math" panose="02040503050406030204" pitchFamily="18" charset="0"/>
                            <a:ea typeface="+mn-ea"/>
                            <a:cs typeface="+mn-cs"/>
                          </a:rPr>
                          <m:t>∗</m:t>
                        </m:r>
                        <m:d>
                          <m:dPr>
                            <m:ctrlPr>
                              <a:rPr lang="en-US" sz="1100" b="0" i="1">
                                <a:solidFill>
                                  <a:sysClr val="windowText" lastClr="000000"/>
                                </a:solidFill>
                                <a:effectLst/>
                                <a:latin typeface="Cambria Math" panose="02040503050406030204" pitchFamily="18" charset="0"/>
                                <a:ea typeface="+mn-ea"/>
                                <a:cs typeface="+mn-cs"/>
                              </a:rPr>
                            </m:ctrlPr>
                          </m:dPr>
                          <m:e>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𝑚𝑖𝑥</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𝑖𝑛𝑙𝑒𝑡</m:t>
                                </m:r>
                              </m:sub>
                            </m:sSub>
                          </m:e>
                        </m:d>
                        <m:r>
                          <a:rPr lang="en-US" sz="1100" b="0" i="1">
                            <a:solidFill>
                              <a:sysClr val="windowText" lastClr="000000"/>
                            </a:solidFill>
                            <a:effectLst/>
                            <a:latin typeface="Cambria Math" panose="02040503050406030204" pitchFamily="18" charset="0"/>
                            <a:ea typeface="+mn-ea"/>
                            <a:cs typeface="+mn-cs"/>
                          </a:rPr>
                          <m:t>∗365∗</m:t>
                        </m:r>
                        <m:r>
                          <a:rPr lang="en-US" sz="1100" b="0" i="1">
                            <a:solidFill>
                              <a:sysClr val="windowText" lastClr="000000"/>
                            </a:solidFill>
                            <a:effectLst/>
                            <a:latin typeface="Cambria Math" panose="02040503050406030204" pitchFamily="18" charset="0"/>
                            <a:ea typeface="+mn-ea"/>
                            <a:cs typeface="+mn-cs"/>
                          </a:rPr>
                          <m:t>𝐼𝑆𝑅</m:t>
                        </m:r>
                      </m:num>
                      <m:den>
                        <m:d>
                          <m:dPr>
                            <m:ctrlPr>
                              <a:rPr lang="en-US" sz="1100" b="0" i="1">
                                <a:solidFill>
                                  <a:sysClr val="windowText" lastClr="000000"/>
                                </a:solidFill>
                                <a:effectLst/>
                                <a:latin typeface="Cambria Math" panose="02040503050406030204" pitchFamily="18" charset="0"/>
                                <a:ea typeface="+mn-ea"/>
                                <a:cs typeface="+mn-cs"/>
                              </a:rPr>
                            </m:ctrlPr>
                          </m:dPr>
                          <m:e>
                            <m:r>
                              <a:rPr lang="en-US" sz="1100" b="0" i="1">
                                <a:solidFill>
                                  <a:sysClr val="windowText" lastClr="000000"/>
                                </a:solidFill>
                                <a:effectLst/>
                                <a:latin typeface="Cambria Math" panose="02040503050406030204" pitchFamily="18" charset="0"/>
                                <a:ea typeface="+mn-ea"/>
                                <a:cs typeface="+mn-cs"/>
                              </a:rPr>
                              <m:t>𝐸𝐹</m:t>
                            </m:r>
                            <m:r>
                              <a:rPr lang="en-US" sz="1100" b="0" i="1">
                                <a:solidFill>
                                  <a:sysClr val="windowText" lastClr="000000"/>
                                </a:solidFill>
                                <a:effectLst/>
                                <a:latin typeface="Cambria Math" panose="02040503050406030204" pitchFamily="18" charset="0"/>
                                <a:ea typeface="+mn-ea"/>
                                <a:cs typeface="+mn-cs"/>
                              </a:rPr>
                              <m:t>∗3412</m:t>
                            </m:r>
                          </m:e>
                        </m:d>
                      </m:den>
                    </m:f>
                  </m:oMath>
                </m:oMathPara>
              </a14:m>
              <a:endParaRPr lang="en-US" sz="11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9D16EC93-784E-4DFD-A6A2-CB00D0C0D605}"/>
                </a:ext>
              </a:extLst>
            </xdr:cNvPr>
            <xdr:cNvSpPr txBox="1"/>
          </xdr:nvSpPr>
          <xdr:spPr>
            <a:xfrm>
              <a:off x="390525" y="10086975"/>
              <a:ext cx="5000625" cy="5238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𝑘𝑊ℎ〗_2</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effectLst/>
                  <a:latin typeface="Cambria Math" panose="02040503050406030204" pitchFamily="18" charset="0"/>
                  <a:ea typeface="+mn-ea"/>
                  <a:cs typeface="+mn-cs"/>
                </a:rPr>
                <a:t>(〖𝑔𝑝𝑚〗_𝑏𝑎𝑠𝑒2−〖𝑔𝑝𝑚〗_𝐸𝐸 )∗𝑀𝑃𝑆∗𝑆𝑃𝐷∗𝑃𝐻/𝐹𝐻∗𝑆∗(𝑇_𝑚𝑖𝑥−𝑇_𝑖𝑛𝑙𝑒𝑡 )∗365∗𝐼𝑆𝑅</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(𝐸𝐹∗3412)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30</xdr:col>
      <xdr:colOff>129540</xdr:colOff>
      <xdr:row>5</xdr:row>
      <xdr:rowOff>102870</xdr:rowOff>
    </xdr:from>
    <xdr:ext cx="65" cy="172227"/>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5615940" y="507111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129540</xdr:colOff>
      <xdr:row>9</xdr:row>
      <xdr:rowOff>102870</xdr:rowOff>
    </xdr:from>
    <xdr:ext cx="65" cy="172227"/>
    <xdr:sp macro="" textlink="">
      <xdr:nvSpPr>
        <xdr:cNvPr id="3" name="TextBox 2">
          <a:extLst>
            <a:ext uri="{FF2B5EF4-FFF2-40B4-BE49-F238E27FC236}">
              <a16:creationId xmlns:a16="http://schemas.microsoft.com/office/drawing/2014/main" id="{87441400-2471-4BC9-9448-71216721B897}"/>
            </a:ext>
          </a:extLst>
        </xdr:cNvPr>
        <xdr:cNvSpPr txBox="1"/>
      </xdr:nvSpPr>
      <xdr:spPr>
        <a:xfrm>
          <a:off x="5558790" y="18173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xdr:col>
      <xdr:colOff>0</xdr:colOff>
      <xdr:row>32</xdr:row>
      <xdr:rowOff>123825</xdr:rowOff>
    </xdr:from>
    <xdr:ext cx="2705100" cy="35718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 name="TextBox 3">
              <a:extLst>
                <a:ext uri="{FF2B5EF4-FFF2-40B4-BE49-F238E27FC236}">
                  <a16:creationId xmlns:a16="http://schemas.microsoft.com/office/drawing/2014/main" id="{5654349B-37CF-4508-A730-965E6641890B}"/>
                </a:ext>
              </a:extLst>
            </xdr:cNvPr>
            <xdr:cNvSpPr txBox="1"/>
          </xdr:nvSpPr>
          <xdr:spPr>
            <a:xfrm>
              <a:off x="361950" y="102584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a:t>
              </a:r>
              <a:r>
                <a:rPr lang="en-US" sz="1100" b="0" i="0">
                  <a:solidFill>
                    <a:schemeClr val="tx1"/>
                  </a:solidFill>
                  <a:effectLst/>
                  <a:latin typeface="Cambria Math" panose="02040503050406030204" pitchFamily="18" charset="0"/>
                  <a:ea typeface="+mn-ea"/>
                  <a:cs typeface="+mn-cs"/>
                </a:rPr>
                <a:t>𝑘𝑊/𝐻𝑃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38</xdr:row>
      <xdr:rowOff>0</xdr:rowOff>
    </xdr:from>
    <xdr:ext cx="2686049" cy="1831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DDB34E90-FF38-45C6-BBFC-6E97459433D6}"/>
                </a:ext>
              </a:extLst>
            </xdr:cNvPr>
            <xdr:cNvSpPr txBox="1"/>
          </xdr:nvSpPr>
          <xdr:spPr>
            <a:xfrm>
              <a:off x="361950" y="10534650"/>
              <a:ext cx="268604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oneCellAnchor>
    <xdr:from>
      <xdr:col>2</xdr:col>
      <xdr:colOff>0</xdr:colOff>
      <xdr:row>27</xdr:row>
      <xdr:rowOff>123825</xdr:rowOff>
    </xdr:from>
    <xdr:ext cx="2705100" cy="35718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𝑘𝑊h</m:t>
                        </m:r>
                      </m:num>
                      <m:den>
                        <m:r>
                          <a:rPr lang="en-US" sz="1100" b="0" i="1">
                            <a:solidFill>
                              <a:schemeClr val="tx1"/>
                            </a:solidFill>
                            <a:effectLst/>
                            <a:latin typeface="Cambria Math" panose="02040503050406030204" pitchFamily="18" charset="0"/>
                            <a:ea typeface="+mn-ea"/>
                            <a:cs typeface="+mn-cs"/>
                          </a:rPr>
                          <m:t>𝐻𝑃</m:t>
                        </m:r>
                      </m:den>
                    </m:f>
                    <m:r>
                      <a:rPr lang="en-US" sz="1100" b="0" i="0">
                        <a:solidFill>
                          <a:schemeClr val="tx1"/>
                        </a:solidFill>
                        <a:effectLst/>
                        <a:latin typeface="Cambria Math" panose="02040503050406030204" pitchFamily="18" charset="0"/>
                        <a:ea typeface="+mn-ea"/>
                        <a:cs typeface="+mn-cs"/>
                      </a:rPr>
                      <m:t> </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𝐻𝑃</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6" name="TextBox 5">
              <a:extLst>
                <a:ext uri="{FF2B5EF4-FFF2-40B4-BE49-F238E27FC236}">
                  <a16:creationId xmlns:a16="http://schemas.microsoft.com/office/drawing/2014/main" id="{C7475174-351F-4E4B-8194-E7F7F3D8AF47}"/>
                </a:ext>
              </a:extLst>
            </xdr:cNvPr>
            <xdr:cNvSpPr txBox="1"/>
          </xdr:nvSpPr>
          <xdr:spPr>
            <a:xfrm>
              <a:off x="361950" y="9305925"/>
              <a:ext cx="2705100" cy="35718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a:t>
              </a:r>
              <a:r>
                <a:rPr lang="en-US" sz="1100" b="0" i="0">
                  <a:solidFill>
                    <a:schemeClr val="tx1"/>
                  </a:solidFill>
                  <a:effectLst/>
                  <a:latin typeface="Cambria Math" panose="02040503050406030204" pitchFamily="18" charset="0"/>
                  <a:ea typeface="+mn-ea"/>
                  <a:cs typeface="+mn-cs"/>
                </a:rPr>
                <a:t>𝑘𝑊ℎ/𝐻𝑃  </a:t>
              </a:r>
              <a:r>
                <a:rPr lang="en-US" sz="1100" b="0" i="0">
                  <a:solidFill>
                    <a:sysClr val="windowText" lastClr="000000"/>
                  </a:solidFill>
                  <a:latin typeface="Cambria Math" panose="02040503050406030204" pitchFamily="18" charset="0"/>
                  <a:ea typeface="Cambria Math" panose="02040503050406030204" pitchFamily="18" charset="0"/>
                </a:rPr>
                <a:t>∗𝐻𝑃</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28</xdr:row>
      <xdr:rowOff>9525</xdr:rowOff>
    </xdr:from>
    <xdr:ext cx="4400550" cy="180975"/>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𝐸</m:t>
                      </m:r>
                    </m:e>
                    <m:sub>
                      <m:r>
                        <a:rPr lang="en-US" sz="1100" b="0" i="1">
                          <a:solidFill>
                            <a:sysClr val="windowText" lastClr="000000"/>
                          </a:solidFill>
                          <a:latin typeface="Cambria Math" panose="02040503050406030204" pitchFamily="18" charset="0"/>
                          <a:ea typeface="Cambria Math" panose="02040503050406030204" pitchFamily="18" charset="0"/>
                        </a:rPr>
                        <m:t>𝐵𝑎𝑠𝑒𝑙𝑖𝑛𝑒</m:t>
                      </m:r>
                      <m:r>
                        <a:rPr lang="en-US" sz="1100" b="0" i="1">
                          <a:solidFill>
                            <a:sysClr val="windowText" lastClr="000000"/>
                          </a:solidFill>
                          <a:latin typeface="Cambria Math" panose="02040503050406030204" pitchFamily="18" charset="0"/>
                          <a:ea typeface="Cambria Math" panose="02040503050406030204" pitchFamily="18" charset="0"/>
                        </a:rPr>
                        <m:t>,100</m:t>
                      </m:r>
                      <m:r>
                        <a:rPr lang="en-US" sz="1100" b="0" i="1">
                          <a:solidFill>
                            <a:sysClr val="windowText" lastClr="000000"/>
                          </a:solidFill>
                          <a:latin typeface="Cambria Math" panose="02040503050406030204" pitchFamily="18" charset="0"/>
                          <a:ea typeface="Cambria Math" panose="02040503050406030204" pitchFamily="18" charset="0"/>
                        </a:rPr>
                        <m:t>𝑙𝑏</m:t>
                      </m:r>
                    </m:sub>
                  </m:sSub>
                  <m:r>
                    <a:rPr lang="en-US" sz="1100" b="0" i="1">
                      <a:solidFill>
                        <a:sysClr val="windowText" lastClr="000000"/>
                      </a:solidFill>
                      <a:latin typeface="Cambria Math" panose="02040503050406030204" pitchFamily="18" charset="0"/>
                      <a:ea typeface="Cambria Math" panose="02040503050406030204" pitchFamily="18" charset="0"/>
                    </a:rPr>
                    <m:t> − </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m:t>
                      </m:r>
                    </m:e>
                    <m:sub>
                      <m:r>
                        <a:rPr lang="en-US" sz="1100" b="0" i="1">
                          <a:solidFill>
                            <a:schemeClr val="tx1"/>
                          </a:solidFill>
                          <a:effectLst/>
                          <a:latin typeface="Cambria Math" panose="02040503050406030204" pitchFamily="18" charset="0"/>
                          <a:ea typeface="+mn-ea"/>
                          <a:cs typeface="+mn-cs"/>
                        </a:rPr>
                        <m:t>𝐻𝐸</m:t>
                      </m:r>
                      <m:r>
                        <a:rPr lang="en-US" sz="1100" b="0" i="1">
                          <a:solidFill>
                            <a:schemeClr val="tx1"/>
                          </a:solidFill>
                          <a:effectLst/>
                          <a:latin typeface="Cambria Math" panose="02040503050406030204" pitchFamily="18" charset="0"/>
                          <a:ea typeface="+mn-ea"/>
                          <a:cs typeface="+mn-cs"/>
                        </a:rPr>
                        <m:t>,100</m:t>
                      </m:r>
                      <m:r>
                        <a:rPr lang="en-US" sz="1100" b="0" i="1">
                          <a:solidFill>
                            <a:schemeClr val="tx1"/>
                          </a:solidFill>
                          <a:effectLst/>
                          <a:latin typeface="Cambria Math" panose="02040503050406030204" pitchFamily="18" charset="0"/>
                          <a:ea typeface="+mn-ea"/>
                          <a:cs typeface="+mn-cs"/>
                        </a:rPr>
                        <m:t>𝑙𝑏</m:t>
                      </m:r>
                    </m:sub>
                  </m:sSub>
                  <m:r>
                    <a:rPr lang="en-US" sz="1100" b="0" i="0">
                      <a:solidFill>
                        <a:schemeClr val="tx1"/>
                      </a:solidFill>
                      <a:effectLst/>
                      <a:latin typeface="Cambria Math" panose="02040503050406030204" pitchFamily="18" charset="0"/>
                      <a:ea typeface="+mn-ea"/>
                      <a:cs typeface="+mn-cs"/>
                    </a:rPr>
                    <m:t>)/100 ∗</m:t>
                  </m:r>
                  <m:r>
                    <a:rPr lang="en-US" sz="1100" b="0" i="1">
                      <a:solidFill>
                        <a:schemeClr val="tx1"/>
                      </a:solidFill>
                      <a:effectLst/>
                      <a:latin typeface="Cambria Math" panose="02040503050406030204" pitchFamily="18" charset="0"/>
                      <a:ea typeface="+mn-ea"/>
                      <a:cs typeface="+mn-cs"/>
                    </a:rPr>
                    <m:t>𝐷𝐶</m:t>
                  </m:r>
                  <m:r>
                    <a:rPr lang="en-US" sz="1100" b="0" i="0">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𝐻</m:t>
                  </m:r>
                </m:oMath>
              </a14:m>
              <a:r>
                <a:rPr lang="en-US" sz="1100">
                  <a:solidFill>
                    <a:sysClr val="windowText" lastClr="000000"/>
                  </a:solidFill>
                  <a:latin typeface="Cambria Math" panose="02040503050406030204" pitchFamily="18" charset="0"/>
                  <a:ea typeface="Cambria Math" panose="02040503050406030204" pitchFamily="18" charset="0"/>
                </a:rPr>
                <a:t> </a:t>
              </a:r>
              <a14:m>
                <m:oMath xmlns:m="http://schemas.openxmlformats.org/officeDocument/2006/math">
                  <m:r>
                    <a:rPr lang="en-US" sz="1100" b="0" i="0">
                      <a:solidFill>
                        <a:schemeClr val="tx1"/>
                      </a:solidFill>
                      <a:effectLst/>
                      <a:latin typeface="Cambria Math" panose="02040503050406030204" pitchFamily="18" charset="0"/>
                      <a:ea typeface="+mn-ea"/>
                      <a:cs typeface="+mn-cs"/>
                    </a:rPr>
                    <m:t>∗</m:t>
                  </m:r>
                </m:oMath>
              </a14:m>
              <a:r>
                <a:rPr lang="en-US" sz="1100" i="1">
                  <a:solidFill>
                    <a:sysClr val="windowText" lastClr="000000"/>
                  </a:solidFill>
                  <a:latin typeface="Cambria Math" panose="02040503050406030204" pitchFamily="18" charset="0"/>
                  <a:ea typeface="Cambria Math" panose="02040503050406030204" pitchFamily="18" charset="0"/>
                </a:rPr>
                <a:t> DAYS</a:t>
              </a:r>
            </a:p>
          </xdr:txBody>
        </xdr:sp>
      </mc:Choice>
      <mc:Fallback xmlns="">
        <xdr:sp macro="" textlink="">
          <xdr:nvSpPr>
            <xdr:cNvPr id="2" name="TextBox 1">
              <a:extLst>
                <a:ext uri="{FF2B5EF4-FFF2-40B4-BE49-F238E27FC236}">
                  <a16:creationId xmlns:a16="http://schemas.microsoft.com/office/drawing/2014/main" id="{2AA8B230-2168-4772-8C52-E064CC7E5889}"/>
                </a:ext>
              </a:extLst>
            </xdr:cNvPr>
            <xdr:cNvSpPr txBox="1"/>
          </xdr:nvSpPr>
          <xdr:spPr>
            <a:xfrm>
              <a:off x="361950" y="8601075"/>
              <a:ext cx="4400550" cy="1809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𝑘𝑊ℎ=〖(𝐸〗_(𝐵𝑎𝑠𝑒𝑙𝑖𝑛𝑒,100𝑙𝑏)  − </a:t>
              </a:r>
              <a:r>
                <a:rPr lang="en-US" sz="1100" b="0" i="0">
                  <a:solidFill>
                    <a:schemeClr val="tx1"/>
                  </a:solidFill>
                  <a:effectLst/>
                  <a:latin typeface="Cambria Math" panose="02040503050406030204" pitchFamily="18" charset="0"/>
                  <a:ea typeface="+mn-ea"/>
                  <a:cs typeface="+mn-cs"/>
                </a:rPr>
                <a:t>𝐸_(𝐻𝐸,100𝑙𝑏))/100 ∗𝐷𝐶 ∗𝐻</a:t>
              </a:r>
              <a:r>
                <a:rPr lang="en-US" sz="1100">
                  <a:solidFill>
                    <a:sysClr val="windowText" lastClr="000000"/>
                  </a:solidFill>
                  <a:latin typeface="Cambria Math" panose="02040503050406030204" pitchFamily="18" charset="0"/>
                  <a:ea typeface="Cambria Math" panose="02040503050406030204" pitchFamily="18" charset="0"/>
                </a:rPr>
                <a:t> </a:t>
              </a:r>
              <a:r>
                <a:rPr lang="en-US" sz="1100" b="0" i="0">
                  <a:solidFill>
                    <a:schemeClr val="tx1"/>
                  </a:solidFill>
                  <a:effectLst/>
                  <a:latin typeface="Cambria Math" panose="02040503050406030204" pitchFamily="18" charset="0"/>
                  <a:ea typeface="+mn-ea"/>
                  <a:cs typeface="+mn-cs"/>
                </a:rPr>
                <a:t>∗</a:t>
              </a:r>
              <a:r>
                <a:rPr lang="en-US" sz="1100" i="1">
                  <a:solidFill>
                    <a:sysClr val="windowText" lastClr="000000"/>
                  </a:solidFill>
                  <a:latin typeface="Cambria Math" panose="02040503050406030204" pitchFamily="18" charset="0"/>
                  <a:ea typeface="Cambria Math" panose="02040503050406030204" pitchFamily="18" charset="0"/>
                </a:rPr>
                <a:t> DAYS</a:t>
              </a:r>
            </a:p>
          </xdr:txBody>
        </xdr:sp>
      </mc:Fallback>
    </mc:AlternateContent>
    <xdr:clientData/>
  </xdr:oneCellAnchor>
  <xdr:oneCellAnchor>
    <xdr:from>
      <xdr:col>2</xdr:col>
      <xdr:colOff>1</xdr:colOff>
      <xdr:row>32</xdr:row>
      <xdr:rowOff>9526</xdr:rowOff>
    </xdr:from>
    <xdr:ext cx="2705100" cy="251459"/>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𝑘𝑊h</m:t>
                    </m:r>
                    <m:r>
                      <a:rPr lang="en-US" sz="1100" b="0" i="0">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𝐻𝑅𝑆</m:t>
                    </m:r>
                  </m:oMath>
                </m:oMathPara>
              </a14:m>
              <a:endParaRPr lang="en-US" sz="11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3" name="TextBox 2">
              <a:extLst>
                <a:ext uri="{FF2B5EF4-FFF2-40B4-BE49-F238E27FC236}">
                  <a16:creationId xmlns:a16="http://schemas.microsoft.com/office/drawing/2014/main" id="{07F23D3D-429E-48BC-A0B8-EED02B0BC4ED}"/>
                </a:ext>
              </a:extLst>
            </xdr:cNvPr>
            <xdr:cNvSpPr txBox="1"/>
          </xdr:nvSpPr>
          <xdr:spPr>
            <a:xfrm>
              <a:off x="361951" y="9363076"/>
              <a:ext cx="2705100" cy="25145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 ∆</a:t>
              </a:r>
              <a:r>
                <a:rPr lang="en-US" sz="1100" b="0" i="0">
                  <a:solidFill>
                    <a:schemeClr val="tx1"/>
                  </a:solidFill>
                  <a:effectLst/>
                  <a:latin typeface="Cambria Math" panose="02040503050406030204" pitchFamily="18" charset="0"/>
                  <a:ea typeface="+mn-ea"/>
                  <a:cs typeface="+mn-cs"/>
                </a:rPr>
                <a:t>𝑘𝑊ℎ</a:t>
              </a:r>
              <a:r>
                <a:rPr lang="en-US" sz="1100" b="0" i="0">
                  <a:solidFill>
                    <a:sysClr val="windowText" lastClr="000000"/>
                  </a:solidFill>
                  <a:latin typeface="Cambria Math" panose="02040503050406030204" pitchFamily="18" charset="0"/>
                  <a:ea typeface="Cambria Math" panose="02040503050406030204" pitchFamily="18" charset="0"/>
                </a:rPr>
                <a:t>∗𝐶𝐹/𝐻𝑅𝑆</a:t>
              </a:r>
              <a:endParaRPr lang="en-US" sz="11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oneCellAnchor>
  <xdr:oneCellAnchor>
    <xdr:from>
      <xdr:col>2</xdr:col>
      <xdr:colOff>0</xdr:colOff>
      <xdr:row>36</xdr:row>
      <xdr:rowOff>9526</xdr:rowOff>
    </xdr:from>
    <xdr:ext cx="2727959" cy="1831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𝐸𝑈𝐿</m:t>
                    </m:r>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B60B1363-B094-4D9D-B2A0-103BB8D2F55B}"/>
                </a:ext>
              </a:extLst>
            </xdr:cNvPr>
            <xdr:cNvSpPr txBox="1"/>
          </xdr:nvSpPr>
          <xdr:spPr>
            <a:xfrm>
              <a:off x="361950" y="10125076"/>
              <a:ext cx="2727959" cy="1831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a:t>
              </a:r>
              <a:endParaRPr lang="en-US" sz="1100">
                <a:solidFill>
                  <a:sysClr val="windowText" lastClr="000000"/>
                </a:solidFill>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oneCellAnchor>
    <xdr:from>
      <xdr:col>1</xdr:col>
      <xdr:colOff>28575</xdr:colOff>
      <xdr:row>36</xdr:row>
      <xdr:rowOff>28575</xdr:rowOff>
    </xdr:from>
    <xdr:ext cx="4695825" cy="49244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d>
                          <m:dPr>
                            <m:ctrlPr>
                              <a:rPr lang="en-US" sz="11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𝐺𝑃𝑀</m:t>
                                </m:r>
                              </m:e>
                              <m:sub>
                                <m:r>
                                  <a:rPr lang="en-US" sz="1100" b="0" i="1">
                                    <a:solidFill>
                                      <a:sysClr val="windowText" lastClr="000000"/>
                                    </a:solidFill>
                                    <a:latin typeface="Cambria Math" panose="02040503050406030204" pitchFamily="18" charset="0"/>
                                    <a:ea typeface="Cambria Math" panose="02040503050406030204" pitchFamily="18" charset="0"/>
                                  </a:rPr>
                                  <m:t>𝐸𝐸</m:t>
                                </m:r>
                              </m:sub>
                            </m:sSub>
                          </m:e>
                        </m:d>
                        <m:r>
                          <a:rPr lang="en-US" sz="1100" b="0" i="1">
                            <a:solidFill>
                              <a:sysClr val="windowText" lastClr="000000"/>
                            </a:solidFill>
                            <a:latin typeface="Cambria Math" panose="02040503050406030204" pitchFamily="18" charset="0"/>
                            <a:ea typeface="Cambria Math" panose="02040503050406030204" pitchFamily="18" charset="0"/>
                          </a:rPr>
                          <m:t>∗</m:t>
                        </m:r>
                        <m:sSub>
                          <m:sSubPr>
                            <m:ctrlPr>
                              <a:rPr lang="en-US" sz="1100" b="0" i="1">
                                <a:solidFill>
                                  <a:sysClr val="windowText" lastClr="000000"/>
                                </a:solidFill>
                                <a:latin typeface="Cambria Math" panose="02040503050406030204" pitchFamily="18" charset="0"/>
                                <a:ea typeface="Cambria Math" panose="02040503050406030204" pitchFamily="18" charset="0"/>
                              </a:rPr>
                            </m:ctrlPr>
                          </m:sSubPr>
                          <m:e>
                            <m:r>
                              <a:rPr lang="en-US" sz="1100" b="0" i="1">
                                <a:solidFill>
                                  <a:sysClr val="windowText" lastClr="000000"/>
                                </a:solidFill>
                                <a:latin typeface="Cambria Math" panose="02040503050406030204" pitchFamily="18" charset="0"/>
                                <a:ea typeface="Cambria Math" panose="02040503050406030204" pitchFamily="18" charset="0"/>
                              </a:rPr>
                              <m:t>𝑀𝑖𝑛</m:t>
                            </m:r>
                          </m:e>
                          <m:sub>
                            <m:r>
                              <a:rPr lang="en-US" sz="1100" b="0" i="1">
                                <a:solidFill>
                                  <a:sysClr val="windowText" lastClr="000000"/>
                                </a:solidFill>
                                <a:latin typeface="Cambria Math" panose="02040503050406030204" pitchFamily="18" charset="0"/>
                                <a:ea typeface="Cambria Math" panose="02040503050406030204" pitchFamily="18" charset="0"/>
                              </a:rPr>
                              <m:t>𝑑𝑎𝑦</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𝐷𝑎𝑦</m:t>
                            </m:r>
                          </m:e>
                          <m:sub>
                            <m:r>
                              <a:rPr lang="en-US" sz="1100" b="0" i="1">
                                <a:solidFill>
                                  <a:sysClr val="windowText" lastClr="000000"/>
                                </a:solidFill>
                                <a:effectLst/>
                                <a:latin typeface="Cambria Math" panose="02040503050406030204" pitchFamily="18" charset="0"/>
                                <a:ea typeface="+mn-ea"/>
                                <a:cs typeface="+mn-cs"/>
                              </a:rPr>
                              <m:t>𝑦𝑒𝑎𝑟</m:t>
                            </m:r>
                          </m:sub>
                        </m:sSub>
                        <m:r>
                          <a:rPr lang="en-US" sz="1100" b="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𝜌</m:t>
                        </m:r>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𝑐</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𝑝</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d>
                          <m:d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dPr>
                          <m:e>
                            <m:sSub>
                              <m:sSubPr>
                                <m:ctrlPr>
                                  <a:rPr lang="en-US" sz="11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𝑇</m:t>
                                </m:r>
                              </m:e>
                              <m: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𝑚𝑖𝑥</m:t>
                                </m:r>
                              </m:sub>
                            </m:sSub>
                            <m:r>
                              <a:rPr lang="en-US" sz="11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𝑇</m:t>
                                </m:r>
                              </m:e>
                              <m:sub>
                                <m:r>
                                  <a:rPr lang="en-US" sz="1100" b="0" i="1">
                                    <a:solidFill>
                                      <a:sysClr val="windowText" lastClr="000000"/>
                                    </a:solidFill>
                                    <a:effectLst/>
                                    <a:latin typeface="Cambria Math" panose="02040503050406030204" pitchFamily="18" charset="0"/>
                                    <a:ea typeface="+mn-ea"/>
                                    <a:cs typeface="+mn-cs"/>
                                  </a:rPr>
                                  <m:t>𝑠𝑢𝑝𝑝𝑙𝑦</m:t>
                                </m:r>
                              </m:sub>
                            </m:sSub>
                          </m:e>
                        </m:d>
                      </m:num>
                      <m:den>
                        <m:r>
                          <a:rPr lang="en-US" sz="1100" b="0" i="1">
                            <a:solidFill>
                              <a:sysClr val="windowText" lastClr="000000"/>
                            </a:solidFill>
                            <a:latin typeface="Cambria Math" panose="02040503050406030204" pitchFamily="18" charset="0"/>
                            <a:ea typeface="Cambria Math" panose="02040503050406030204" pitchFamily="18" charset="0"/>
                          </a:rPr>
                          <m:t>𝑈𝐸𝐹</m:t>
                        </m:r>
                        <m:r>
                          <a:rPr lang="en-US" sz="1100" b="0" i="1">
                            <a:solidFill>
                              <a:sysClr val="windowText" lastClr="000000"/>
                            </a:solidFill>
                            <a:latin typeface="Cambria Math" panose="02040503050406030204" pitchFamily="18" charset="0"/>
                            <a:ea typeface="Cambria Math" panose="02040503050406030204" pitchFamily="18" charset="0"/>
                          </a:rPr>
                          <m:t>∗</m:t>
                        </m:r>
                        <m:d>
                          <m:dPr>
                            <m:ctrlPr>
                              <a:rPr lang="en-US" sz="1100" b="0" i="1">
                                <a:solidFill>
                                  <a:sysClr val="windowText" lastClr="000000"/>
                                </a:solidFill>
                                <a:latin typeface="Cambria Math" panose="02040503050406030204" pitchFamily="18" charset="0"/>
                                <a:ea typeface="Cambria Math" panose="02040503050406030204" pitchFamily="18" charset="0"/>
                              </a:rPr>
                            </m:ctrlPr>
                          </m:dPr>
                          <m:e>
                            <m:r>
                              <a:rPr lang="en-US" sz="1100" b="0" i="1">
                                <a:solidFill>
                                  <a:sysClr val="windowText" lastClr="000000"/>
                                </a:solidFill>
                                <a:effectLst/>
                                <a:latin typeface="Cambria Math" panose="02040503050406030204" pitchFamily="18" charset="0"/>
                                <a:ea typeface="+mn-ea"/>
                                <a:cs typeface="+mn-cs"/>
                              </a:rPr>
                              <m:t>3412</m:t>
                            </m:r>
                            <m:f>
                              <m:fPr>
                                <m:ctrlPr>
                                  <a:rPr lang="en-US" sz="1100" b="0" i="1">
                                    <a:solidFill>
                                      <a:sysClr val="windowText" lastClr="000000"/>
                                    </a:solidFill>
                                    <a:effectLst/>
                                    <a:latin typeface="Cambria Math" panose="02040503050406030204" pitchFamily="18" charset="0"/>
                                    <a:ea typeface="+mn-ea"/>
                                    <a:cs typeface="+mn-cs"/>
                                  </a:rPr>
                                </m:ctrlPr>
                              </m:fPr>
                              <m:num>
                                <m:r>
                                  <a:rPr lang="en-US" sz="1100" b="0" i="1">
                                    <a:solidFill>
                                      <a:sysClr val="windowText" lastClr="000000"/>
                                    </a:solidFill>
                                    <a:effectLst/>
                                    <a:latin typeface="Cambria Math" panose="02040503050406030204" pitchFamily="18" charset="0"/>
                                    <a:ea typeface="+mn-ea"/>
                                    <a:cs typeface="+mn-cs"/>
                                  </a:rPr>
                                  <m:t>𝐵𝑡𝑢</m:t>
                                </m:r>
                              </m:num>
                              <m:den>
                                <m:r>
                                  <a:rPr lang="en-US" sz="1100" b="0" i="1">
                                    <a:solidFill>
                                      <a:sysClr val="windowText" lastClr="000000"/>
                                    </a:solidFill>
                                    <a:effectLst/>
                                    <a:latin typeface="Cambria Math" panose="02040503050406030204" pitchFamily="18" charset="0"/>
                                    <a:ea typeface="+mn-ea"/>
                                    <a:cs typeface="+mn-cs"/>
                                  </a:rPr>
                                  <m:t>𝑘𝑊h</m:t>
                                </m:r>
                              </m:den>
                            </m:f>
                          </m:e>
                        </m:d>
                      </m:den>
                    </m:f>
                  </m:oMath>
                </m:oMathPara>
              </a14:m>
              <a:endParaRPr lang="en-US" sz="1100">
                <a:solidFill>
                  <a:sysClr val="windowText" lastClr="000000"/>
                </a:solidFill>
              </a:endParaRPr>
            </a:p>
          </xdr:txBody>
        </xdr:sp>
      </mc:Choice>
      <mc:Fallback xmlns="">
        <xdr:sp macro="" textlink="">
          <xdr:nvSpPr>
            <xdr:cNvPr id="2" name="TextBox 1">
              <a:extLst>
                <a:ext uri="{FF2B5EF4-FFF2-40B4-BE49-F238E27FC236}">
                  <a16:creationId xmlns:a16="http://schemas.microsoft.com/office/drawing/2014/main" id="{DAFD533A-25B1-4563-BF17-8FF70AA85D77}"/>
                </a:ext>
              </a:extLst>
            </xdr:cNvPr>
            <xdr:cNvSpPr txBox="1"/>
          </xdr:nvSpPr>
          <xdr:spPr>
            <a:xfrm>
              <a:off x="209550" y="10191750"/>
              <a:ext cx="4695825" cy="4924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𝑘𝑊ℎ=((〖𝐺𝑃𝑀〗_𝐵𝑎𝑠𝑒−〖𝐺𝑃𝑀〗_𝐸𝐸 )∗〖𝑀𝑖𝑛〗_𝑑𝑎𝑦</a:t>
              </a:r>
              <a:r>
                <a:rPr lang="en-US" sz="1100" b="0" i="0">
                  <a:solidFill>
                    <a:sysClr val="windowText" lastClr="000000"/>
                  </a:solidFill>
                  <a:effectLst/>
                  <a:latin typeface="Cambria Math" panose="02040503050406030204" pitchFamily="18" charset="0"/>
                  <a:ea typeface="+mn-ea"/>
                  <a:cs typeface="+mn-cs"/>
                </a:rPr>
                <a:t>∗〖𝐷𝑎𝑦〗_𝑦𝑒𝑎𝑟∗</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𝜌∗𝑐_𝑝∗(𝑇_𝑚𝑖𝑥−</a:t>
              </a:r>
              <a:r>
                <a:rPr lang="en-US" sz="1100" b="0" i="0">
                  <a:solidFill>
                    <a:sysClr val="windowText" lastClr="000000"/>
                  </a:solidFill>
                  <a:effectLst/>
                  <a:latin typeface="Cambria Math" panose="02040503050406030204" pitchFamily="18" charset="0"/>
                  <a:ea typeface="+mn-ea"/>
                  <a:cs typeface="+mn-cs"/>
                </a:rPr>
                <a:t>𝑇_𝑠𝑢𝑝𝑝𝑙𝑦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latin typeface="Cambria Math" panose="02040503050406030204" pitchFamily="18" charset="0"/>
                  <a:ea typeface="Cambria Math" panose="02040503050406030204" pitchFamily="18" charset="0"/>
                </a:rPr>
                <a:t>𝑈𝐸𝐹∗(</a:t>
              </a:r>
              <a:r>
                <a:rPr lang="en-US" sz="1100" b="0" i="0">
                  <a:solidFill>
                    <a:sysClr val="windowText" lastClr="000000"/>
                  </a:solidFill>
                  <a:effectLst/>
                  <a:latin typeface="Cambria Math" panose="02040503050406030204" pitchFamily="18" charset="0"/>
                  <a:ea typeface="+mn-ea"/>
                  <a:cs typeface="+mn-cs"/>
                </a:rPr>
                <a:t>3412 𝐵𝑡𝑢/𝑘𝑊ℎ) </a:t>
              </a:r>
              <a:r>
                <a:rPr lang="en-US" sz="11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100">
                <a:solidFill>
                  <a:sysClr val="windowText" lastClr="000000"/>
                </a:solidFill>
              </a:endParaRPr>
            </a:p>
          </xdr:txBody>
        </xdr:sp>
      </mc:Fallback>
    </mc:AlternateContent>
    <xdr:clientData/>
  </xdr:oneCellAnchor>
  <xdr:oneCellAnchor>
    <xdr:from>
      <xdr:col>1</xdr:col>
      <xdr:colOff>38100</xdr:colOff>
      <xdr:row>40</xdr:row>
      <xdr:rowOff>0</xdr:rowOff>
    </xdr:from>
    <xdr:ext cx="1308100" cy="32028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sz="110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m:t>
                    </m:r>
                    <m:r>
                      <a:rPr lang="en-US" sz="1100" b="0" i="1">
                        <a:solidFill>
                          <a:sysClr val="windowText" lastClr="000000"/>
                        </a:solidFill>
                        <a:latin typeface="Cambria Math" panose="02040503050406030204" pitchFamily="18" charset="0"/>
                        <a:ea typeface="Cambria Math" panose="02040503050406030204" pitchFamily="18" charset="0"/>
                      </a:rPr>
                      <m:t>=</m:t>
                    </m:r>
                    <m:f>
                      <m:fPr>
                        <m:ctrlPr>
                          <a:rPr lang="en-US" sz="1100" b="0" i="1">
                            <a:solidFill>
                              <a:sysClr val="windowText" lastClr="000000"/>
                            </a:solidFill>
                            <a:latin typeface="Cambria Math" panose="02040503050406030204" pitchFamily="18" charset="0"/>
                            <a:ea typeface="Cambria Math" panose="02040503050406030204" pitchFamily="18" charset="0"/>
                          </a:rPr>
                        </m:ctrlPr>
                      </m:fPr>
                      <m:num>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𝑘𝑊h</m:t>
                        </m:r>
                      </m:num>
                      <m:den>
                        <m:r>
                          <a:rPr lang="en-US" sz="1100" b="0" i="1">
                            <a:solidFill>
                              <a:sysClr val="windowText" lastClr="000000"/>
                            </a:solidFill>
                            <a:latin typeface="Cambria Math" panose="02040503050406030204" pitchFamily="18" charset="0"/>
                            <a:ea typeface="Cambria Math" panose="02040503050406030204" pitchFamily="18" charset="0"/>
                          </a:rPr>
                          <m:t>𝐸𝐹𝐿𝐻</m:t>
                        </m:r>
                      </m:den>
                    </m:f>
                    <m:r>
                      <a:rPr lang="en-US" sz="1100" b="0" i="1">
                        <a:solidFill>
                          <a:sysClr val="windowText" lastClr="000000"/>
                        </a:solidFill>
                        <a:latin typeface="Cambria Math" panose="02040503050406030204" pitchFamily="18" charset="0"/>
                        <a:ea typeface="Cambria Math" panose="02040503050406030204" pitchFamily="18" charset="0"/>
                      </a:rPr>
                      <m:t>∗</m:t>
                    </m:r>
                    <m:r>
                      <a:rPr lang="en-US" sz="11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100">
                <a:solidFill>
                  <a:sysClr val="windowText" lastClr="000000"/>
                </a:solidFill>
              </a:endParaRPr>
            </a:p>
          </xdr:txBody>
        </xdr:sp>
      </mc:Choice>
      <mc:Fallback xmlns="">
        <xdr:sp macro="" textlink="">
          <xdr:nvSpPr>
            <xdr:cNvPr id="3" name="TextBox 2">
              <a:extLst>
                <a:ext uri="{FF2B5EF4-FFF2-40B4-BE49-F238E27FC236}">
                  <a16:creationId xmlns:a16="http://schemas.microsoft.com/office/drawing/2014/main" id="{5E602344-2DA9-46B4-BB19-1C6014275104}"/>
                </a:ext>
              </a:extLst>
            </xdr:cNvPr>
            <xdr:cNvSpPr txBox="1"/>
          </xdr:nvSpPr>
          <xdr:spPr>
            <a:xfrm>
              <a:off x="219075" y="11268075"/>
              <a:ext cx="1308100" cy="32028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i="0">
                  <a:solidFill>
                    <a:sysClr val="windowText" lastClr="000000"/>
                  </a:solidFill>
                  <a:latin typeface="Cambria Math" panose="02040503050406030204" pitchFamily="18" charset="0"/>
                  <a:ea typeface="Cambria Math" panose="02040503050406030204" pitchFamily="18" charset="0"/>
                </a:rPr>
                <a:t>∆</a:t>
              </a:r>
              <a:r>
                <a:rPr lang="en-US" sz="1100" b="0" i="0">
                  <a:solidFill>
                    <a:sysClr val="windowText" lastClr="000000"/>
                  </a:solidFill>
                  <a:latin typeface="Cambria Math" panose="02040503050406030204" pitchFamily="18" charset="0"/>
                  <a:ea typeface="Cambria Math" panose="02040503050406030204" pitchFamily="18" charset="0"/>
                </a:rPr>
                <a:t>𝑘𝑊=∆𝑘𝑊ℎ/𝐸𝐹𝐿𝐻∗𝐶𝐹</a:t>
              </a:r>
              <a:endParaRPr lang="en-US" sz="1100">
                <a:solidFill>
                  <a:sysClr val="windowText" lastClr="000000"/>
                </a:solidFill>
              </a:endParaRPr>
            </a:p>
          </xdr:txBody>
        </xdr:sp>
      </mc:Fallback>
    </mc:AlternateContent>
    <xdr:clientData/>
  </xdr:oneCellAnchor>
  <xdr:oneCellAnchor>
    <xdr:from>
      <xdr:col>1</xdr:col>
      <xdr:colOff>9525</xdr:colOff>
      <xdr:row>44</xdr:row>
      <xdr:rowOff>19050</xdr:rowOff>
    </xdr:from>
    <xdr:ext cx="1885950" cy="2286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100" b="0" i="1">
                            <a:solidFill>
                              <a:sysClr val="windowText" lastClr="000000"/>
                            </a:solidFill>
                            <a:effectLst/>
                            <a:latin typeface="Cambria Math" panose="02040503050406030204" pitchFamily="18" charset="0"/>
                            <a:ea typeface="+mn-ea"/>
                            <a:cs typeface="+mn-cs"/>
                          </a:rPr>
                        </m:ctrlPr>
                      </m:sSubPr>
                      <m:e>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e>
                      <m:sub>
                        <m:r>
                          <a:rPr lang="en-US" sz="1100" b="0" i="1">
                            <a:solidFill>
                              <a:sysClr val="windowText" lastClr="000000"/>
                            </a:solidFill>
                            <a:effectLst/>
                            <a:latin typeface="Cambria Math" panose="02040503050406030204" pitchFamily="18" charset="0"/>
                            <a:ea typeface="+mn-ea"/>
                            <a:cs typeface="+mn-cs"/>
                          </a:rPr>
                          <m:t>𝑙𝑖𝑓𝑒</m:t>
                        </m:r>
                      </m:sub>
                    </m:sSub>
                    <m:r>
                      <a:rPr lang="en-US" sz="1100" b="0" i="1">
                        <a:solidFill>
                          <a:sysClr val="windowText" lastClr="000000"/>
                        </a:solidFill>
                        <a:latin typeface="Cambria Math" panose="02040503050406030204" pitchFamily="18" charset="0"/>
                        <a:ea typeface="Cambria Math" panose="02040503050406030204" pitchFamily="18" charset="0"/>
                      </a:rPr>
                      <m:t>=</m:t>
                    </m:r>
                    <m:r>
                      <a:rPr lang="en-US" sz="1100" i="1">
                        <a:solidFill>
                          <a:sysClr val="windowText" lastClr="000000"/>
                        </a:solidFill>
                        <a:effectLst/>
                        <a:latin typeface="Cambria Math" panose="02040503050406030204" pitchFamily="18" charset="0"/>
                        <a:ea typeface="+mn-ea"/>
                        <a:cs typeface="+mn-cs"/>
                      </a:rPr>
                      <m:t>∆</m:t>
                    </m:r>
                    <m:r>
                      <a:rPr lang="en-US" sz="1100" b="0" i="1">
                        <a:solidFill>
                          <a:sysClr val="windowText" lastClr="000000"/>
                        </a:solidFill>
                        <a:effectLst/>
                        <a:latin typeface="Cambria Math" panose="02040503050406030204" pitchFamily="18" charset="0"/>
                        <a:ea typeface="+mn-ea"/>
                        <a:cs typeface="+mn-cs"/>
                      </a:rPr>
                      <m:t>𝑘𝑊h</m:t>
                    </m:r>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𝐸𝑈𝐿</m:t>
                        </m:r>
                      </m:e>
                      <m:sub>
                        <m:r>
                          <a:rPr lang="en-US" sz="1100" b="0" i="1">
                            <a:solidFill>
                              <a:sysClr val="windowText" lastClr="000000"/>
                            </a:solidFill>
                            <a:effectLst/>
                            <a:latin typeface="Cambria Math" panose="02040503050406030204" pitchFamily="18" charset="0"/>
                            <a:ea typeface="+mn-ea"/>
                            <a:cs typeface="+mn-cs"/>
                          </a:rPr>
                          <m:t>𝐸𝐸</m:t>
                        </m:r>
                      </m:sub>
                    </m:sSub>
                  </m:oMath>
                </m:oMathPara>
              </a14:m>
              <a:endParaRPr lang="en-US" sz="1100">
                <a:solidFill>
                  <a:sysClr val="windowText" lastClr="000000"/>
                </a:solidFill>
              </a:endParaRPr>
            </a:p>
          </xdr:txBody>
        </xdr:sp>
      </mc:Choice>
      <mc:Fallback xmlns="">
        <xdr:sp macro="" textlink="">
          <xdr:nvSpPr>
            <xdr:cNvPr id="4" name="TextBox 3">
              <a:extLst>
                <a:ext uri="{FF2B5EF4-FFF2-40B4-BE49-F238E27FC236}">
                  <a16:creationId xmlns:a16="http://schemas.microsoft.com/office/drawing/2014/main" id="{8184D417-ECD4-4AAC-B975-958B7A922DEA}"/>
                </a:ext>
              </a:extLst>
            </xdr:cNvPr>
            <xdr:cNvSpPr txBox="1"/>
          </xdr:nvSpPr>
          <xdr:spPr>
            <a:xfrm>
              <a:off x="190500" y="12201525"/>
              <a:ext cx="1885950" cy="2286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100" b="0" i="0">
                  <a:solidFill>
                    <a:sysClr val="windowText" lastClr="000000"/>
                  </a:solidFill>
                  <a:effectLst/>
                  <a:latin typeface="Cambria Math" panose="02040503050406030204" pitchFamily="18" charset="0"/>
                  <a:ea typeface="+mn-ea"/>
                  <a:cs typeface="+mn-cs"/>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𝑘𝑊ℎ〗_𝑙𝑖𝑓𝑒</a:t>
              </a:r>
              <a:r>
                <a:rPr lang="en-US" sz="1100" b="0" i="0">
                  <a:solidFill>
                    <a:sysClr val="windowText" lastClr="000000"/>
                  </a:solidFill>
                  <a:latin typeface="Cambria Math" panose="02040503050406030204" pitchFamily="18" charset="0"/>
                  <a:ea typeface="Cambria Math" panose="02040503050406030204" pitchFamily="18" charset="0"/>
                </a:rPr>
                <a:t>=</a:t>
              </a:r>
              <a:r>
                <a:rPr lang="en-US" sz="1100" i="0">
                  <a:solidFill>
                    <a:sysClr val="windowText" lastClr="000000"/>
                  </a:solidFill>
                  <a:effectLst/>
                  <a:latin typeface="Cambria Math" panose="02040503050406030204" pitchFamily="18" charset="0"/>
                  <a:ea typeface="+mn-ea"/>
                  <a:cs typeface="+mn-cs"/>
                </a:rPr>
                <a:t>∆</a:t>
              </a:r>
              <a:r>
                <a:rPr lang="en-US" sz="1100" b="0" i="0">
                  <a:solidFill>
                    <a:sysClr val="windowText" lastClr="000000"/>
                  </a:solidFill>
                  <a:effectLst/>
                  <a:latin typeface="Cambria Math" panose="02040503050406030204" pitchFamily="18" charset="0"/>
                  <a:ea typeface="+mn-ea"/>
                  <a:cs typeface="+mn-cs"/>
                </a:rPr>
                <a:t>𝑘𝑊ℎ∗〖𝐸𝑈𝐿〗_𝐸𝐸</a:t>
              </a:r>
              <a:endParaRPr lang="en-US" sz="1100">
                <a:solidFill>
                  <a:sysClr val="windowText" lastClr="000000"/>
                </a:solidFill>
              </a:endParaRP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kparmenter_ameresco_com/Documents/Documents/AEG/0%20-%202020-2021%20Work/00%20-%20TRM/0%20-%20PY22/Updates/00%20-%20Added%20to%20TRM/PY22%20C_HVAC_Chiller%20-%20Analysis%20Fi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parmenter\OneDrive%20-%20AMERESCO\Documents\AEG\2018\Hawaii%20PUC\Task%203%20-%20TRM\0%20-%20Measure%20Update%20Worksheets\PY19%20TRM%20Working%20Draf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kparmenter_ameresco_com/Documents/Documents/AEG/0%20-%202020-2021%20Work/00%20-%20TRM/0%20-%20PY21%20TRM/Measure%20Updates/TV/PY21%20R_Electronics_Television%20Analysis%20File_Mar%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kparmenter_ameresco_com/Documents/Documents/AEG/0%20-%202020-2021%20Work/00%20-%20TRM/PY20%20TRM%20v1.0/PY20%20TRM%20V1.0_Final_Sign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_HVAC_Chiller-TRM"/>
      <sheetName val="C_HVAC_Chiller-Notes"/>
      <sheetName val="C_HVAC_Chiller_WKST-TRM"/>
      <sheetName val="C_HVAC_Chiller_WKST-Notes"/>
    </sheetNames>
    <sheetDataSet>
      <sheetData sheetId="0" refreshError="1"/>
      <sheetData sheetId="1" refreshError="1"/>
      <sheetData sheetId="2">
        <row r="52">
          <cell r="Q52">
            <v>22</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R_Electronics_Television_TRM"/>
      <sheetName val="R_Electronics_Television - Note"/>
      <sheetName val="Savings Calculation"/>
      <sheetName val="CF"/>
      <sheetName val="RECS Data"/>
      <sheetName val="Lifetime Comparison"/>
    </sheetNames>
    <sheetDataSet>
      <sheetData sheetId="0" refreshError="1"/>
      <sheetData sheetId="1" refreshError="1"/>
      <sheetData sheetId="2" refreshError="1"/>
      <sheetData sheetId="3"/>
      <sheetData sheetId="4">
        <row r="6">
          <cell r="I6">
            <v>0.55970548302982814</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Log"/>
      <sheetName val="Cover Page"/>
      <sheetName val="TOC"/>
      <sheetName val="Changes from PY19"/>
      <sheetName val="Introduction"/>
      <sheetName val="Signatures"/>
      <sheetName val="Glossary"/>
      <sheetName val="C&amp;S Tracking"/>
      <sheetName val="Key Metrics"/>
      <sheetName val="Master EUL"/>
      <sheetName val="Savings Factors"/>
      <sheetName val="EFLH &amp; CF"/>
      <sheetName val="Custom"/>
      <sheetName val="---------------------------"/>
      <sheetName val="C_Appliance_Refrigerator"/>
      <sheetName val="C_BEnvelope_Cool Roof"/>
      <sheetName val="C_BEnvelope_Window Film"/>
      <sheetName val="C_Kitchen_Combination Oven"/>
      <sheetName val="C_Kitchen_Convection Oven"/>
      <sheetName val="C_Kitchen_DCV"/>
      <sheetName val="C_Kitchen_Electric Griddle"/>
      <sheetName val="C_Kitchen_Electric Steam Cooker"/>
      <sheetName val="C_Kitchen_Fryer"/>
      <sheetName val="C_Kitchen_HF Holding Cabinet"/>
      <sheetName val="C_Kitchen_Ice Machine"/>
      <sheetName val="C_Kitchen_LF Spray Nozzle"/>
      <sheetName val="C_Kitchen_Freezer"/>
      <sheetName val="C_Kitchen_Refrigerator"/>
      <sheetName val="C_ESG_Design Assistance"/>
      <sheetName val="C_ESG_Energy Study"/>
      <sheetName val="C_HVAC_Chiller"/>
      <sheetName val="C_HVAC_Chiller_WKST"/>
      <sheetName val="C_HVAC_AC &amp; Heat Pump"/>
      <sheetName val="C_HVAC_AC_HP_WKST"/>
      <sheetName val="C_HVAC_Window AC"/>
      <sheetName val="C_HVAC_WindowAC_WKST"/>
      <sheetName val="C_HVAC_VFD Water Pump"/>
      <sheetName val="C_HVAC_VFD Water Pump Reference"/>
      <sheetName val="C_HVAC_VRF"/>
      <sheetName val="C_HVAC_VRF_WKST"/>
      <sheetName val="C_HVAC_EMS"/>
      <sheetName val="C_Light_General"/>
      <sheetName val="C_Light_Exterior"/>
      <sheetName val="C_Light_Dimmable(Nonlinear LED)"/>
      <sheetName val="C_Lighting_Refrigerated Case"/>
      <sheetName val="C_Light_Occupancy Sensor"/>
      <sheetName val="C_Light_Stairwell Bi-Level"/>
      <sheetName val="C_Light_Energy Advantage"/>
      <sheetName val="C_PlugProcess_ASH Control"/>
      <sheetName val="C_PlugProcess_Vending Miser"/>
      <sheetName val="C_PlugProcess_Water Cooler Tmr"/>
      <sheetName val="C_PlugProcess_Case Night Cover"/>
      <sheetName val="C_PumpMotor_VFD Booster Pump"/>
      <sheetName val="C_PumpMotor_ECM"/>
      <sheetName val="C_PumpMotor_PE Motor"/>
      <sheetName val="C_PumpMotor_VFD Pool Pump"/>
      <sheetName val="C_SubMeter_Condominium"/>
      <sheetName val="C_SubMeter_Small Business"/>
      <sheetName val="Dropdown"/>
      <sheetName val="C_WH_Solar"/>
      <sheetName val="C_Other_Re|Retro-Commissioning"/>
      <sheetName val="-------------------------------"/>
      <sheetName val="R_Appliance_Clothes Washer"/>
      <sheetName val="R_Appliance_Clothes Dryer"/>
      <sheetName val="R_Appliance_Refrigerator"/>
      <sheetName val="R_Appliance_Dishwasher"/>
      <sheetName val="R_Appliance_Air Purifier"/>
      <sheetName val="R_Electronics_Television"/>
      <sheetName val="R_Electronics_Soundbar"/>
      <sheetName val="R_HVAC_Window AC"/>
      <sheetName val="R_HVAC_Ductless"/>
      <sheetName val="R_HVAC_Central AC Retrofit"/>
      <sheetName val="R_HVAC_AC_WKST"/>
      <sheetName val="R_HVAC_Central AC Tune Up"/>
      <sheetName val="R_HVAC_Ceiling Fan"/>
      <sheetName val="R_HVAC_Smart Thermostat"/>
      <sheetName val="R_HVAC_Solar Attic Fan"/>
      <sheetName val="R_HVAC_Whole House Fan"/>
      <sheetName val="R_HVAC_Dehumidifier"/>
      <sheetName val="R_Light_LED"/>
      <sheetName val="R_Light_Occupancy Sensor"/>
      <sheetName val="R_Light_Linear LED"/>
      <sheetName val="R_Light_Security Light"/>
      <sheetName val="R_Light_Holiday String Light"/>
      <sheetName val="R_PlugProcess_Adv Power Strip"/>
      <sheetName val="R_PlugProcess_Switch Plug"/>
      <sheetName val="R_PlugProcess_Switch_Plug_CALC"/>
      <sheetName val="R_PumpMotor_VFD Pool Pump"/>
      <sheetName val="R_WH_Heat Pump"/>
      <sheetName val="R_WH_SWH"/>
      <sheetName val="R_WH_SWH Tune Up"/>
      <sheetName val="R_WH_Faucet Aerator"/>
      <sheetName val="R_WH_LFShowerhead"/>
      <sheetName val="R_Other_Peer Group Comparison"/>
      <sheetName val="MASTER"/>
      <sheetName val="Revision Log (internal)"/>
      <sheetName val="OLD_Delete_Transformer"/>
      <sheetName val="OLD_CFL"/>
      <sheetName val="OLD_Other_Direct Install Kit"/>
      <sheetName val="OLD_HVAC_Chiller (2)"/>
      <sheetName val="OLD_C_WH_Heat P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69">
          <cell r="Q69">
            <v>0.85</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H243" totalsRowShown="0" headerRowDxfId="50" dataDxfId="49">
  <autoFilter ref="A2:H243" xr:uid="{00000000-0009-0000-0100-000001000000}">
    <filterColumn colId="7">
      <filters>
        <filter val="Yes"/>
      </filters>
    </filterColumn>
  </autoFilter>
  <sortState xmlns:xlrd2="http://schemas.microsoft.com/office/spreadsheetml/2017/richdata2" ref="A3:G105">
    <sortCondition ref="E2:E105"/>
  </sortState>
  <tableColumns count="8">
    <tableColumn id="1" xr3:uid="{00000000-0010-0000-0000-000001000000}" name="#" dataDxfId="48"/>
    <tableColumn id="2" xr3:uid="{00000000-0010-0000-0000-000002000000}" name="Tab Name" dataDxfId="47"/>
    <tableColumn id="3" xr3:uid="{00000000-0010-0000-0000-000003000000}" name="Measure Name" dataDxfId="46"/>
    <tableColumn id="4" xr3:uid="{00000000-0010-0000-0000-000004000000}" name="Issues" dataDxfId="45"/>
    <tableColumn id="5" xr3:uid="{00000000-0010-0000-0000-000005000000}" name="Resolution Status" dataDxfId="44"/>
    <tableColumn id="6" xr3:uid="{00000000-0010-0000-0000-000006000000}" name="Status Last Updated" dataDxfId="43"/>
    <tableColumn id="7" xr3:uid="{00000000-0010-0000-0000-000007000000}" name="Other Notes" dataDxfId="42"/>
    <tableColumn id="8" xr3:uid="{00000000-0010-0000-0000-000008000000}" name="Part of PY23 v1.0 or v2.0 Update" dataDxfId="41"/>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8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6">
    <tabColor theme="5"/>
    <pageSetUpPr autoPageBreaks="0"/>
  </sheetPr>
  <dimension ref="A1:AH243"/>
  <sheetViews>
    <sheetView zoomScaleNormal="100" workbookViewId="0">
      <pane ySplit="2" topLeftCell="A226" activePane="bottomLeft" state="frozen"/>
      <selection pane="bottomLeft"/>
    </sheetView>
  </sheetViews>
  <sheetFormatPr defaultColWidth="8.88671875" defaultRowHeight="14.4" x14ac:dyDescent="0.3"/>
  <cols>
    <col min="1" max="1" width="8.88671875" style="8"/>
    <col min="2" max="2" width="24.6640625" style="2" customWidth="1"/>
    <col min="3" max="3" width="26" style="2" bestFit="1" customWidth="1"/>
    <col min="4" max="4" width="73" style="2" customWidth="1"/>
    <col min="5" max="5" width="18.109375" style="2" bestFit="1" customWidth="1"/>
    <col min="6" max="6" width="20.109375" style="8" bestFit="1" customWidth="1"/>
    <col min="7" max="7" width="40.33203125" style="8" customWidth="1"/>
    <col min="8" max="8" width="22.44140625" style="126" bestFit="1" customWidth="1"/>
    <col min="9" max="16384" width="8.88671875" style="131"/>
  </cols>
  <sheetData>
    <row r="1" spans="1:34" ht="18.600000000000001" thickBot="1" x14ac:dyDescent="0.35">
      <c r="A1" s="210" t="s">
        <v>1369</v>
      </c>
      <c r="B1" s="216"/>
      <c r="C1" s="216"/>
      <c r="D1" s="210"/>
      <c r="E1" s="210"/>
      <c r="F1" s="210"/>
      <c r="G1" s="210"/>
      <c r="H1" s="210"/>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row>
    <row r="2" spans="1:34" ht="28.8" x14ac:dyDescent="0.3">
      <c r="A2" s="218" t="s">
        <v>792</v>
      </c>
      <c r="B2" s="214" t="s">
        <v>1315</v>
      </c>
      <c r="C2" s="214" t="s">
        <v>15</v>
      </c>
      <c r="D2" s="214" t="s">
        <v>1316</v>
      </c>
      <c r="E2" s="215" t="s">
        <v>1317</v>
      </c>
      <c r="F2" s="215" t="s">
        <v>1322</v>
      </c>
      <c r="G2" s="215" t="s">
        <v>1329</v>
      </c>
      <c r="H2" s="559" t="s">
        <v>6646</v>
      </c>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row>
    <row r="3" spans="1:34" hidden="1" x14ac:dyDescent="0.3">
      <c r="A3" s="7">
        <v>1</v>
      </c>
      <c r="B3" s="2" t="s">
        <v>1049</v>
      </c>
      <c r="D3" s="2" t="s">
        <v>1081</v>
      </c>
      <c r="E3" s="2" t="s">
        <v>1318</v>
      </c>
      <c r="F3" s="8" t="s">
        <v>1319</v>
      </c>
      <c r="G3" s="8" t="s">
        <v>1330</v>
      </c>
      <c r="H3" s="148"/>
    </row>
    <row r="4" spans="1:34" hidden="1" x14ac:dyDescent="0.3">
      <c r="A4" s="7">
        <v>2</v>
      </c>
      <c r="B4" s="2" t="s">
        <v>1031</v>
      </c>
      <c r="D4" s="2" t="s">
        <v>1147</v>
      </c>
      <c r="E4" s="2" t="s">
        <v>1318</v>
      </c>
      <c r="F4" s="8" t="s">
        <v>1319</v>
      </c>
      <c r="G4" s="8" t="s">
        <v>1330</v>
      </c>
      <c r="H4" s="148"/>
    </row>
    <row r="5" spans="1:34" hidden="1" x14ac:dyDescent="0.3">
      <c r="A5" s="7">
        <v>3</v>
      </c>
      <c r="B5" s="2" t="s">
        <v>1032</v>
      </c>
      <c r="D5" s="2" t="s">
        <v>1147</v>
      </c>
      <c r="E5" s="2" t="s">
        <v>1318</v>
      </c>
      <c r="F5" s="8" t="s">
        <v>1319</v>
      </c>
      <c r="G5" s="8" t="s">
        <v>1330</v>
      </c>
      <c r="H5" s="148"/>
    </row>
    <row r="6" spans="1:34" ht="28.8" hidden="1" x14ac:dyDescent="0.3">
      <c r="A6" s="7">
        <v>4</v>
      </c>
      <c r="B6" s="2" t="s">
        <v>1029</v>
      </c>
      <c r="D6" s="2" t="s">
        <v>1146</v>
      </c>
      <c r="E6" s="2" t="s">
        <v>1318</v>
      </c>
      <c r="F6" s="8" t="s">
        <v>1319</v>
      </c>
      <c r="G6" s="8" t="s">
        <v>1330</v>
      </c>
      <c r="H6" s="148"/>
    </row>
    <row r="7" spans="1:34" ht="28.8" hidden="1" x14ac:dyDescent="0.3">
      <c r="A7" s="7">
        <v>5</v>
      </c>
      <c r="B7" s="2" t="s">
        <v>1030</v>
      </c>
      <c r="D7" s="2" t="s">
        <v>1146</v>
      </c>
      <c r="E7" s="2" t="s">
        <v>1318</v>
      </c>
      <c r="F7" s="8" t="s">
        <v>1319</v>
      </c>
      <c r="G7" s="8" t="s">
        <v>1330</v>
      </c>
      <c r="H7" s="148"/>
    </row>
    <row r="8" spans="1:34" ht="28.8" hidden="1" x14ac:dyDescent="0.3">
      <c r="A8" s="7">
        <v>6</v>
      </c>
      <c r="B8" s="2" t="s">
        <v>1033</v>
      </c>
      <c r="D8" s="2" t="s">
        <v>1145</v>
      </c>
      <c r="E8" s="2" t="s">
        <v>1318</v>
      </c>
      <c r="F8" s="8" t="s">
        <v>1319</v>
      </c>
      <c r="G8" s="8" t="s">
        <v>1330</v>
      </c>
      <c r="H8" s="148"/>
    </row>
    <row r="9" spans="1:34" ht="129.6" hidden="1" x14ac:dyDescent="0.3">
      <c r="A9" s="7">
        <v>7</v>
      </c>
      <c r="B9" s="217" t="s">
        <v>1149</v>
      </c>
      <c r="C9" s="217"/>
      <c r="D9" s="2" t="s">
        <v>1125</v>
      </c>
      <c r="E9" s="2" t="s">
        <v>1318</v>
      </c>
      <c r="F9" s="8" t="s">
        <v>1319</v>
      </c>
      <c r="G9" s="8" t="s">
        <v>1330</v>
      </c>
      <c r="H9" s="148"/>
    </row>
    <row r="10" spans="1:34" hidden="1" x14ac:dyDescent="0.3">
      <c r="A10" s="7">
        <v>8</v>
      </c>
      <c r="B10" s="2" t="s">
        <v>1150</v>
      </c>
      <c r="D10" s="2" t="s">
        <v>1136</v>
      </c>
      <c r="E10" s="2" t="s">
        <v>1318</v>
      </c>
      <c r="F10" s="8" t="s">
        <v>1319</v>
      </c>
      <c r="G10" s="8" t="s">
        <v>1330</v>
      </c>
      <c r="H10" s="148"/>
    </row>
    <row r="11" spans="1:34" hidden="1" x14ac:dyDescent="0.3">
      <c r="A11" s="7">
        <v>9</v>
      </c>
      <c r="B11" s="2" t="s">
        <v>1035</v>
      </c>
      <c r="D11" s="2" t="s">
        <v>1147</v>
      </c>
      <c r="E11" s="2" t="s">
        <v>1318</v>
      </c>
      <c r="F11" s="8" t="s">
        <v>1319</v>
      </c>
      <c r="G11" s="8" t="s">
        <v>1330</v>
      </c>
      <c r="H11" s="148"/>
    </row>
    <row r="12" spans="1:34" hidden="1" x14ac:dyDescent="0.3">
      <c r="A12" s="7">
        <v>10</v>
      </c>
      <c r="B12" s="2" t="s">
        <v>1040</v>
      </c>
      <c r="D12" s="2" t="s">
        <v>1133</v>
      </c>
      <c r="E12" s="2" t="s">
        <v>1318</v>
      </c>
      <c r="F12" s="8" t="s">
        <v>1319</v>
      </c>
      <c r="G12" s="8" t="s">
        <v>1330</v>
      </c>
      <c r="H12" s="148"/>
    </row>
    <row r="13" spans="1:34" hidden="1" x14ac:dyDescent="0.3">
      <c r="A13" s="7">
        <v>11</v>
      </c>
      <c r="B13" s="2" t="s">
        <v>1225</v>
      </c>
      <c r="D13" s="2" t="s">
        <v>1262</v>
      </c>
      <c r="E13" s="2" t="s">
        <v>1318</v>
      </c>
      <c r="F13" s="8" t="s">
        <v>1319</v>
      </c>
      <c r="G13" s="8" t="s">
        <v>1330</v>
      </c>
      <c r="H13" s="148"/>
    </row>
    <row r="14" spans="1:34" hidden="1" x14ac:dyDescent="0.3">
      <c r="A14" s="7">
        <v>12</v>
      </c>
      <c r="B14" s="2" t="s">
        <v>1042</v>
      </c>
      <c r="D14" s="2" t="s">
        <v>1148</v>
      </c>
      <c r="E14" s="2" t="s">
        <v>1318</v>
      </c>
      <c r="F14" s="8" t="s">
        <v>1319</v>
      </c>
      <c r="G14" s="8" t="s">
        <v>1330</v>
      </c>
      <c r="H14" s="148"/>
    </row>
    <row r="15" spans="1:34" hidden="1" x14ac:dyDescent="0.3">
      <c r="A15" s="7">
        <v>13</v>
      </c>
      <c r="B15" s="2" t="s">
        <v>1043</v>
      </c>
      <c r="D15" s="2" t="s">
        <v>1147</v>
      </c>
      <c r="E15" s="2" t="s">
        <v>1318</v>
      </c>
      <c r="F15" s="8" t="s">
        <v>1319</v>
      </c>
      <c r="G15" s="8" t="s">
        <v>1330</v>
      </c>
      <c r="H15" s="148"/>
    </row>
    <row r="16" spans="1:34" hidden="1" x14ac:dyDescent="0.3">
      <c r="A16" s="7">
        <v>14</v>
      </c>
      <c r="B16" s="2" t="s">
        <v>1044</v>
      </c>
      <c r="D16" s="2" t="s">
        <v>1136</v>
      </c>
      <c r="E16" s="2" t="s">
        <v>1318</v>
      </c>
      <c r="F16" s="8" t="s">
        <v>1319</v>
      </c>
      <c r="G16" s="8" t="s">
        <v>1330</v>
      </c>
      <c r="H16" s="148"/>
    </row>
    <row r="17" spans="1:8" hidden="1" x14ac:dyDescent="0.3">
      <c r="A17" s="7">
        <v>15</v>
      </c>
      <c r="B17" s="2" t="s">
        <v>1045</v>
      </c>
      <c r="D17" s="2" t="s">
        <v>1139</v>
      </c>
      <c r="E17" s="2" t="s">
        <v>1318</v>
      </c>
      <c r="F17" s="8" t="s">
        <v>1319</v>
      </c>
      <c r="G17" s="8" t="s">
        <v>1330</v>
      </c>
      <c r="H17" s="148"/>
    </row>
    <row r="18" spans="1:8" ht="28.8" hidden="1" x14ac:dyDescent="0.3">
      <c r="A18" s="7">
        <v>16</v>
      </c>
      <c r="B18" s="2" t="s">
        <v>1046</v>
      </c>
      <c r="D18" s="2" t="s">
        <v>1147</v>
      </c>
      <c r="E18" s="2" t="s">
        <v>1318</v>
      </c>
      <c r="F18" s="8" t="s">
        <v>1319</v>
      </c>
      <c r="G18" s="8" t="s">
        <v>1330</v>
      </c>
      <c r="H18" s="148"/>
    </row>
    <row r="19" spans="1:8" hidden="1" x14ac:dyDescent="0.3">
      <c r="A19" s="7">
        <v>17</v>
      </c>
      <c r="B19" s="2" t="s">
        <v>1047</v>
      </c>
      <c r="D19" s="2" t="s">
        <v>1143</v>
      </c>
      <c r="E19" s="2" t="s">
        <v>1318</v>
      </c>
      <c r="F19" s="8" t="s">
        <v>1319</v>
      </c>
      <c r="G19" s="8" t="s">
        <v>1330</v>
      </c>
      <c r="H19" s="148"/>
    </row>
    <row r="20" spans="1:8" hidden="1" x14ac:dyDescent="0.3">
      <c r="A20" s="7">
        <v>18</v>
      </c>
      <c r="B20" s="2" t="s">
        <v>1048</v>
      </c>
      <c r="D20" s="2" t="s">
        <v>1143</v>
      </c>
      <c r="E20" s="2" t="s">
        <v>1318</v>
      </c>
      <c r="F20" s="8" t="s">
        <v>1319</v>
      </c>
      <c r="G20" s="8" t="s">
        <v>1330</v>
      </c>
      <c r="H20" s="148"/>
    </row>
    <row r="21" spans="1:8" hidden="1" x14ac:dyDescent="0.3">
      <c r="A21" s="7">
        <v>19</v>
      </c>
      <c r="B21" s="2" t="s">
        <v>1141</v>
      </c>
      <c r="D21" s="2" t="s">
        <v>1134</v>
      </c>
      <c r="E21" s="2" t="s">
        <v>1318</v>
      </c>
      <c r="F21" s="8" t="s">
        <v>1319</v>
      </c>
      <c r="G21" s="8" t="s">
        <v>1330</v>
      </c>
      <c r="H21" s="148"/>
    </row>
    <row r="22" spans="1:8" hidden="1" x14ac:dyDescent="0.3">
      <c r="A22" s="7">
        <v>20</v>
      </c>
      <c r="B22" s="2" t="s">
        <v>1142</v>
      </c>
      <c r="D22" s="2" t="s">
        <v>1135</v>
      </c>
      <c r="E22" s="2" t="s">
        <v>1318</v>
      </c>
      <c r="F22" s="8" t="s">
        <v>1319</v>
      </c>
      <c r="G22" s="8" t="s">
        <v>1330</v>
      </c>
      <c r="H22" s="148"/>
    </row>
    <row r="23" spans="1:8" hidden="1" x14ac:dyDescent="0.3">
      <c r="A23" s="7">
        <v>21</v>
      </c>
      <c r="B23" s="2" t="s">
        <v>1140</v>
      </c>
      <c r="D23" s="2" t="s">
        <v>1135</v>
      </c>
      <c r="E23" s="2" t="s">
        <v>1318</v>
      </c>
      <c r="F23" s="8" t="s">
        <v>1319</v>
      </c>
      <c r="G23" s="8" t="s">
        <v>1330</v>
      </c>
      <c r="H23" s="148"/>
    </row>
    <row r="24" spans="1:8" ht="28.8" hidden="1" x14ac:dyDescent="0.3">
      <c r="A24" s="7">
        <v>22</v>
      </c>
      <c r="B24" s="2" t="s">
        <v>1138</v>
      </c>
      <c r="D24" s="2" t="s">
        <v>1144</v>
      </c>
      <c r="E24" s="2" t="s">
        <v>1318</v>
      </c>
      <c r="F24" s="8" t="s">
        <v>1319</v>
      </c>
      <c r="G24" s="8" t="s">
        <v>1330</v>
      </c>
      <c r="H24" s="148"/>
    </row>
    <row r="25" spans="1:8" hidden="1" x14ac:dyDescent="0.3">
      <c r="A25" s="7">
        <v>23</v>
      </c>
      <c r="B25" s="2" t="s">
        <v>1312</v>
      </c>
      <c r="D25" s="2" t="s">
        <v>1314</v>
      </c>
      <c r="E25" s="2" t="s">
        <v>1318</v>
      </c>
      <c r="F25" s="8" t="s">
        <v>1319</v>
      </c>
      <c r="G25" s="8" t="s">
        <v>1330</v>
      </c>
      <c r="H25" s="148"/>
    </row>
    <row r="26" spans="1:8" ht="28.8" hidden="1" x14ac:dyDescent="0.3">
      <c r="A26" s="7">
        <v>24</v>
      </c>
      <c r="B26" s="2" t="s">
        <v>1082</v>
      </c>
      <c r="D26" s="2" t="s">
        <v>1088</v>
      </c>
      <c r="E26" s="2" t="s">
        <v>1318</v>
      </c>
      <c r="F26" s="213">
        <v>42986</v>
      </c>
      <c r="G26" s="2" t="s">
        <v>1335</v>
      </c>
      <c r="H26" s="148"/>
    </row>
    <row r="27" spans="1:8" ht="28.8" hidden="1" x14ac:dyDescent="0.3">
      <c r="A27" s="7">
        <v>25</v>
      </c>
      <c r="B27" s="2" t="s">
        <v>1083</v>
      </c>
      <c r="D27" s="2" t="s">
        <v>1087</v>
      </c>
      <c r="E27" s="2" t="s">
        <v>1318</v>
      </c>
      <c r="F27" s="213">
        <v>42992</v>
      </c>
      <c r="G27" s="2" t="s">
        <v>1335</v>
      </c>
      <c r="H27" s="148"/>
    </row>
    <row r="28" spans="1:8" ht="172.8" hidden="1" x14ac:dyDescent="0.3">
      <c r="A28" s="7">
        <v>26</v>
      </c>
      <c r="B28" s="2" t="s">
        <v>1078</v>
      </c>
      <c r="D28" s="2" t="s">
        <v>1332</v>
      </c>
      <c r="E28" s="2" t="s">
        <v>1318</v>
      </c>
      <c r="F28" s="213">
        <v>42992</v>
      </c>
      <c r="G28" s="2" t="s">
        <v>1335</v>
      </c>
      <c r="H28" s="148"/>
    </row>
    <row r="29" spans="1:8" ht="28.8" hidden="1" x14ac:dyDescent="0.3">
      <c r="A29" s="7">
        <v>27</v>
      </c>
      <c r="B29" s="2" t="s">
        <v>1085</v>
      </c>
      <c r="D29" s="2" t="s">
        <v>655</v>
      </c>
      <c r="E29" s="2" t="s">
        <v>1318</v>
      </c>
      <c r="F29" s="213">
        <v>42992</v>
      </c>
      <c r="G29" s="2" t="s">
        <v>1335</v>
      </c>
      <c r="H29" s="148"/>
    </row>
    <row r="30" spans="1:8" ht="28.8" hidden="1" x14ac:dyDescent="0.3">
      <c r="A30" s="7">
        <v>28</v>
      </c>
      <c r="B30" s="2" t="s">
        <v>1100</v>
      </c>
      <c r="D30" s="2" t="s">
        <v>740</v>
      </c>
      <c r="E30" s="2" t="s">
        <v>1318</v>
      </c>
      <c r="F30" s="213">
        <v>42999</v>
      </c>
      <c r="G30" s="2" t="s">
        <v>1335</v>
      </c>
      <c r="H30" s="148"/>
    </row>
    <row r="31" spans="1:8" ht="28.8" hidden="1" x14ac:dyDescent="0.3">
      <c r="A31" s="7">
        <v>29</v>
      </c>
      <c r="B31" s="2" t="s">
        <v>40</v>
      </c>
      <c r="D31" s="2" t="s">
        <v>741</v>
      </c>
      <c r="E31" s="2" t="s">
        <v>1318</v>
      </c>
      <c r="F31" s="213">
        <v>42999</v>
      </c>
      <c r="G31" s="2" t="s">
        <v>1335</v>
      </c>
      <c r="H31" s="148"/>
    </row>
    <row r="32" spans="1:8" ht="28.8" hidden="1" x14ac:dyDescent="0.3">
      <c r="A32" s="7">
        <v>30</v>
      </c>
      <c r="B32" s="2" t="s">
        <v>1089</v>
      </c>
      <c r="D32" s="2" t="s">
        <v>826</v>
      </c>
      <c r="E32" s="2" t="s">
        <v>1318</v>
      </c>
      <c r="F32" s="213">
        <v>42999</v>
      </c>
      <c r="G32" s="2" t="s">
        <v>1335</v>
      </c>
      <c r="H32" s="148"/>
    </row>
    <row r="33" spans="1:8" ht="28.8" hidden="1" x14ac:dyDescent="0.3">
      <c r="A33" s="7">
        <v>31</v>
      </c>
      <c r="B33" s="2" t="s">
        <v>1090</v>
      </c>
      <c r="D33" s="2" t="s">
        <v>827</v>
      </c>
      <c r="E33" s="2" t="s">
        <v>1318</v>
      </c>
      <c r="F33" s="213">
        <v>42999</v>
      </c>
      <c r="G33" s="2" t="s">
        <v>1335</v>
      </c>
      <c r="H33" s="148"/>
    </row>
    <row r="34" spans="1:8" ht="28.8" hidden="1" x14ac:dyDescent="0.3">
      <c r="A34" s="7">
        <v>32</v>
      </c>
      <c r="B34" s="2" t="s">
        <v>1078</v>
      </c>
      <c r="D34" s="2" t="s">
        <v>1123</v>
      </c>
      <c r="E34" s="2" t="s">
        <v>1318</v>
      </c>
      <c r="F34" s="213">
        <v>42999</v>
      </c>
      <c r="G34" s="2" t="s">
        <v>1335</v>
      </c>
      <c r="H34" s="148"/>
    </row>
    <row r="35" spans="1:8" ht="28.8" hidden="1" x14ac:dyDescent="0.3">
      <c r="A35" s="7">
        <v>33</v>
      </c>
      <c r="B35" s="2" t="s">
        <v>1091</v>
      </c>
      <c r="D35" s="2" t="s">
        <v>1092</v>
      </c>
      <c r="E35" s="2" t="s">
        <v>1318</v>
      </c>
      <c r="F35" s="213">
        <v>42999</v>
      </c>
      <c r="G35" s="2" t="s">
        <v>1335</v>
      </c>
      <c r="H35" s="148"/>
    </row>
    <row r="36" spans="1:8" ht="28.8" hidden="1" x14ac:dyDescent="0.3">
      <c r="A36" s="7">
        <v>34</v>
      </c>
      <c r="B36" s="2" t="s">
        <v>1078</v>
      </c>
      <c r="D36" s="2" t="s">
        <v>742</v>
      </c>
      <c r="E36" s="2" t="s">
        <v>1318</v>
      </c>
      <c r="F36" s="213">
        <v>42999</v>
      </c>
      <c r="G36" s="2" t="s">
        <v>1335</v>
      </c>
      <c r="H36" s="148"/>
    </row>
    <row r="37" spans="1:8" ht="28.8" hidden="1" x14ac:dyDescent="0.3">
      <c r="A37" s="7">
        <v>35</v>
      </c>
      <c r="B37" s="2" t="s">
        <v>1093</v>
      </c>
      <c r="D37" s="2" t="s">
        <v>1094</v>
      </c>
      <c r="E37" s="2" t="s">
        <v>1318</v>
      </c>
      <c r="F37" s="213">
        <v>43021</v>
      </c>
      <c r="G37" s="2" t="s">
        <v>1335</v>
      </c>
      <c r="H37" s="148"/>
    </row>
    <row r="38" spans="1:8" ht="28.8" hidden="1" x14ac:dyDescent="0.3">
      <c r="A38" s="7">
        <v>36</v>
      </c>
      <c r="B38" s="2" t="s">
        <v>1046</v>
      </c>
      <c r="D38" s="2" t="s">
        <v>2538</v>
      </c>
      <c r="E38" s="2" t="s">
        <v>1318</v>
      </c>
      <c r="F38" s="213">
        <v>43054</v>
      </c>
      <c r="G38" s="2" t="s">
        <v>1335</v>
      </c>
      <c r="H38" s="148"/>
    </row>
    <row r="39" spans="1:8" ht="28.8" hidden="1" x14ac:dyDescent="0.3">
      <c r="A39" s="7">
        <v>37</v>
      </c>
      <c r="D39" s="2" t="s">
        <v>1096</v>
      </c>
      <c r="E39" s="2" t="s">
        <v>1318</v>
      </c>
      <c r="F39" s="213">
        <v>43174</v>
      </c>
      <c r="G39" s="2" t="s">
        <v>1335</v>
      </c>
      <c r="H39" s="148"/>
    </row>
    <row r="40" spans="1:8" ht="28.8" hidden="1" x14ac:dyDescent="0.3">
      <c r="A40" s="7">
        <v>38</v>
      </c>
      <c r="B40" s="2" t="s">
        <v>1095</v>
      </c>
      <c r="D40" s="2" t="s">
        <v>1097</v>
      </c>
      <c r="E40" s="2" t="s">
        <v>1318</v>
      </c>
      <c r="F40" s="213">
        <v>43174</v>
      </c>
      <c r="G40" s="2" t="s">
        <v>1335</v>
      </c>
      <c r="H40" s="148"/>
    </row>
    <row r="41" spans="1:8" ht="28.8" hidden="1" x14ac:dyDescent="0.3">
      <c r="A41" s="7">
        <v>39</v>
      </c>
      <c r="B41" s="2" t="s">
        <v>1098</v>
      </c>
      <c r="D41" s="2" t="s">
        <v>1099</v>
      </c>
      <c r="E41" s="2" t="s">
        <v>1318</v>
      </c>
      <c r="F41" s="213">
        <v>43177</v>
      </c>
      <c r="G41" s="2" t="s">
        <v>1335</v>
      </c>
      <c r="H41" s="148"/>
    </row>
    <row r="42" spans="1:8" ht="28.8" hidden="1" x14ac:dyDescent="0.3">
      <c r="A42" s="7">
        <v>40</v>
      </c>
      <c r="B42" s="2" t="s">
        <v>1058</v>
      </c>
      <c r="D42" s="2" t="s">
        <v>1117</v>
      </c>
      <c r="E42" s="2" t="s">
        <v>1318</v>
      </c>
      <c r="F42" s="213">
        <v>43230</v>
      </c>
      <c r="G42" s="2" t="s">
        <v>1335</v>
      </c>
      <c r="H42" s="148"/>
    </row>
    <row r="43" spans="1:8" ht="28.8" hidden="1" x14ac:dyDescent="0.3">
      <c r="A43" s="7">
        <v>41</v>
      </c>
      <c r="B43" s="2" t="s">
        <v>1061</v>
      </c>
      <c r="D43" s="2" t="s">
        <v>1116</v>
      </c>
      <c r="E43" s="2" t="s">
        <v>1318</v>
      </c>
      <c r="F43" s="213">
        <v>43230</v>
      </c>
      <c r="G43" s="2" t="s">
        <v>1335</v>
      </c>
      <c r="H43" s="148"/>
    </row>
    <row r="44" spans="1:8" ht="28.8" hidden="1" x14ac:dyDescent="0.3">
      <c r="A44" s="7">
        <v>42</v>
      </c>
      <c r="B44" s="2" t="s">
        <v>1063</v>
      </c>
      <c r="D44" s="2" t="s">
        <v>1115</v>
      </c>
      <c r="E44" s="2" t="s">
        <v>1318</v>
      </c>
      <c r="F44" s="213">
        <v>43230</v>
      </c>
      <c r="G44" s="2" t="s">
        <v>1335</v>
      </c>
      <c r="H44" s="148"/>
    </row>
    <row r="45" spans="1:8" ht="28.8" hidden="1" x14ac:dyDescent="0.3">
      <c r="A45" s="7">
        <v>43</v>
      </c>
      <c r="B45" s="2" t="s">
        <v>1100</v>
      </c>
      <c r="D45" s="2" t="s">
        <v>829</v>
      </c>
      <c r="E45" s="2" t="s">
        <v>1318</v>
      </c>
      <c r="F45" s="213">
        <v>43230</v>
      </c>
      <c r="G45" s="2" t="s">
        <v>1335</v>
      </c>
      <c r="H45" s="148"/>
    </row>
    <row r="46" spans="1:8" ht="28.8" hidden="1" x14ac:dyDescent="0.3">
      <c r="A46" s="7">
        <v>44</v>
      </c>
      <c r="B46" s="2" t="s">
        <v>40</v>
      </c>
      <c r="D46" s="2" t="s">
        <v>1119</v>
      </c>
      <c r="E46" s="2" t="s">
        <v>1318</v>
      </c>
      <c r="F46" s="213">
        <v>43230</v>
      </c>
      <c r="G46" s="2" t="s">
        <v>1335</v>
      </c>
      <c r="H46" s="148"/>
    </row>
    <row r="47" spans="1:8" ht="28.8" hidden="1" x14ac:dyDescent="0.3">
      <c r="A47" s="7">
        <v>45</v>
      </c>
      <c r="B47" s="2" t="s">
        <v>366</v>
      </c>
      <c r="D47" s="2" t="s">
        <v>1118</v>
      </c>
      <c r="E47" s="2" t="s">
        <v>1318</v>
      </c>
      <c r="F47" s="213">
        <v>43238</v>
      </c>
      <c r="G47" s="2" t="s">
        <v>1335</v>
      </c>
      <c r="H47" s="148"/>
    </row>
    <row r="48" spans="1:8" ht="28.8" hidden="1" x14ac:dyDescent="0.3">
      <c r="A48" s="7">
        <v>46</v>
      </c>
      <c r="B48" s="2" t="s">
        <v>1101</v>
      </c>
      <c r="D48" s="2" t="s">
        <v>960</v>
      </c>
      <c r="E48" s="2" t="s">
        <v>1318</v>
      </c>
      <c r="F48" s="213">
        <v>43241</v>
      </c>
      <c r="G48" s="2" t="s">
        <v>1335</v>
      </c>
      <c r="H48" s="148"/>
    </row>
    <row r="49" spans="1:8" ht="28.8" hidden="1" x14ac:dyDescent="0.3">
      <c r="A49" s="7">
        <v>47</v>
      </c>
      <c r="B49" s="2" t="s">
        <v>1101</v>
      </c>
      <c r="D49" s="2" t="s">
        <v>961</v>
      </c>
      <c r="E49" s="2" t="s">
        <v>1318</v>
      </c>
      <c r="F49" s="213">
        <v>43241</v>
      </c>
      <c r="G49" s="2" t="s">
        <v>1335</v>
      </c>
      <c r="H49" s="148"/>
    </row>
    <row r="50" spans="1:8" ht="28.8" hidden="1" x14ac:dyDescent="0.3">
      <c r="A50" s="7">
        <v>48</v>
      </c>
      <c r="B50" s="2" t="s">
        <v>1102</v>
      </c>
      <c r="D50" s="2" t="s">
        <v>962</v>
      </c>
      <c r="E50" s="2" t="s">
        <v>1318</v>
      </c>
      <c r="F50" s="213">
        <v>43241</v>
      </c>
      <c r="G50" s="2" t="s">
        <v>1335</v>
      </c>
      <c r="H50" s="148"/>
    </row>
    <row r="51" spans="1:8" ht="28.8" hidden="1" x14ac:dyDescent="0.3">
      <c r="A51" s="7">
        <v>49</v>
      </c>
      <c r="B51" s="2" t="s">
        <v>1102</v>
      </c>
      <c r="D51" s="2" t="s">
        <v>963</v>
      </c>
      <c r="E51" s="2" t="s">
        <v>1318</v>
      </c>
      <c r="F51" s="213">
        <v>43241</v>
      </c>
      <c r="G51" s="2" t="s">
        <v>1335</v>
      </c>
      <c r="H51" s="148"/>
    </row>
    <row r="52" spans="1:8" ht="28.8" hidden="1" x14ac:dyDescent="0.3">
      <c r="A52" s="7">
        <v>50</v>
      </c>
      <c r="B52" s="2" t="s">
        <v>1062</v>
      </c>
      <c r="D52" s="2" t="s">
        <v>1120</v>
      </c>
      <c r="E52" s="2" t="s">
        <v>1318</v>
      </c>
      <c r="F52" s="213">
        <v>43243</v>
      </c>
      <c r="G52" s="2" t="s">
        <v>1335</v>
      </c>
      <c r="H52" s="148"/>
    </row>
    <row r="53" spans="1:8" ht="28.8" hidden="1" x14ac:dyDescent="0.3">
      <c r="A53" s="7">
        <v>51</v>
      </c>
      <c r="B53" s="2" t="s">
        <v>1062</v>
      </c>
      <c r="D53" s="2" t="s">
        <v>1105</v>
      </c>
      <c r="E53" s="2" t="s">
        <v>1318</v>
      </c>
      <c r="F53" s="213">
        <v>43243</v>
      </c>
      <c r="G53" s="2" t="s">
        <v>1335</v>
      </c>
      <c r="H53" s="148"/>
    </row>
    <row r="54" spans="1:8" ht="28.8" hidden="1" x14ac:dyDescent="0.3">
      <c r="A54" s="7">
        <v>52</v>
      </c>
      <c r="B54" s="2" t="s">
        <v>1103</v>
      </c>
      <c r="D54" s="2" t="s">
        <v>965</v>
      </c>
      <c r="E54" s="2" t="s">
        <v>1318</v>
      </c>
      <c r="F54" s="213">
        <v>43243</v>
      </c>
      <c r="G54" s="2" t="s">
        <v>1335</v>
      </c>
      <c r="H54" s="148"/>
    </row>
    <row r="55" spans="1:8" ht="28.8" hidden="1" x14ac:dyDescent="0.3">
      <c r="A55" s="7">
        <v>53</v>
      </c>
      <c r="B55" s="2" t="s">
        <v>971</v>
      </c>
      <c r="D55" s="2" t="s">
        <v>1104</v>
      </c>
      <c r="E55" s="2" t="s">
        <v>1318</v>
      </c>
      <c r="F55" s="213">
        <v>43243</v>
      </c>
      <c r="G55" s="2" t="s">
        <v>1335</v>
      </c>
      <c r="H55" s="148"/>
    </row>
    <row r="56" spans="1:8" ht="28.8" hidden="1" x14ac:dyDescent="0.3">
      <c r="A56" s="7">
        <v>54</v>
      </c>
      <c r="B56" s="2" t="s">
        <v>1062</v>
      </c>
      <c r="D56" s="2" t="s">
        <v>973</v>
      </c>
      <c r="E56" s="2" t="s">
        <v>1318</v>
      </c>
      <c r="F56" s="213">
        <v>43243</v>
      </c>
      <c r="G56" s="2" t="s">
        <v>1335</v>
      </c>
      <c r="H56" s="148"/>
    </row>
    <row r="57" spans="1:8" ht="28.8" hidden="1" x14ac:dyDescent="0.3">
      <c r="A57" s="7">
        <v>55</v>
      </c>
      <c r="B57" s="2" t="s">
        <v>1034</v>
      </c>
      <c r="D57" s="2" t="s">
        <v>1106</v>
      </c>
      <c r="E57" s="2" t="s">
        <v>1318</v>
      </c>
      <c r="F57" s="213">
        <v>43252</v>
      </c>
      <c r="G57" s="2" t="s">
        <v>1335</v>
      </c>
      <c r="H57" s="148"/>
    </row>
    <row r="58" spans="1:8" ht="28.8" hidden="1" x14ac:dyDescent="0.3">
      <c r="A58" s="7">
        <v>56</v>
      </c>
      <c r="B58" s="2" t="s">
        <v>1034</v>
      </c>
      <c r="D58" s="2" t="s">
        <v>1107</v>
      </c>
      <c r="E58" s="2" t="s">
        <v>1318</v>
      </c>
      <c r="F58" s="213">
        <v>43252</v>
      </c>
      <c r="G58" s="2" t="s">
        <v>1335</v>
      </c>
      <c r="H58" s="148"/>
    </row>
    <row r="59" spans="1:8" ht="28.8" hidden="1" x14ac:dyDescent="0.3">
      <c r="A59" s="7">
        <v>57</v>
      </c>
      <c r="B59" s="2" t="s">
        <v>1034</v>
      </c>
      <c r="D59" s="2" t="s">
        <v>1108</v>
      </c>
      <c r="E59" s="2" t="s">
        <v>1318</v>
      </c>
      <c r="F59" s="213">
        <v>43252</v>
      </c>
      <c r="G59" s="2" t="s">
        <v>1335</v>
      </c>
      <c r="H59" s="148"/>
    </row>
    <row r="60" spans="1:8" ht="28.8" hidden="1" x14ac:dyDescent="0.3">
      <c r="A60" s="7">
        <v>58</v>
      </c>
      <c r="B60" s="2" t="s">
        <v>1034</v>
      </c>
      <c r="D60" s="2" t="s">
        <v>1112</v>
      </c>
      <c r="E60" s="2" t="s">
        <v>1318</v>
      </c>
      <c r="F60" s="213">
        <v>43252</v>
      </c>
      <c r="G60" s="2" t="s">
        <v>1335</v>
      </c>
      <c r="H60" s="148"/>
    </row>
    <row r="61" spans="1:8" ht="28.8" hidden="1" x14ac:dyDescent="0.3">
      <c r="A61" s="7">
        <v>59</v>
      </c>
      <c r="B61" s="2" t="s">
        <v>1061</v>
      </c>
      <c r="D61" s="2" t="s">
        <v>1109</v>
      </c>
      <c r="E61" s="2" t="s">
        <v>1318</v>
      </c>
      <c r="F61" s="213">
        <v>43252</v>
      </c>
      <c r="G61" s="2" t="s">
        <v>1335</v>
      </c>
      <c r="H61" s="148"/>
    </row>
    <row r="62" spans="1:8" ht="28.8" hidden="1" x14ac:dyDescent="0.3">
      <c r="A62" s="7">
        <v>60</v>
      </c>
      <c r="B62" s="2" t="s">
        <v>1113</v>
      </c>
      <c r="D62" s="2" t="s">
        <v>1110</v>
      </c>
      <c r="E62" s="2" t="s">
        <v>1318</v>
      </c>
      <c r="F62" s="213">
        <v>43254</v>
      </c>
      <c r="G62" s="2" t="s">
        <v>1335</v>
      </c>
      <c r="H62" s="148"/>
    </row>
    <row r="63" spans="1:8" ht="28.8" hidden="1" x14ac:dyDescent="0.3">
      <c r="A63" s="7">
        <v>61</v>
      </c>
      <c r="B63" s="2" t="s">
        <v>1114</v>
      </c>
      <c r="D63" s="2" t="s">
        <v>1111</v>
      </c>
      <c r="E63" s="2" t="s">
        <v>1318</v>
      </c>
      <c r="F63" s="213">
        <v>43254</v>
      </c>
      <c r="G63" s="2" t="s">
        <v>1335</v>
      </c>
      <c r="H63" s="148"/>
    </row>
    <row r="64" spans="1:8" ht="28.8" hidden="1" x14ac:dyDescent="0.3">
      <c r="A64" s="7">
        <v>62</v>
      </c>
      <c r="B64" s="2" t="s">
        <v>1121</v>
      </c>
      <c r="D64" s="2" t="s">
        <v>1334</v>
      </c>
      <c r="E64" s="2" t="s">
        <v>1318</v>
      </c>
      <c r="F64" s="213">
        <v>43254</v>
      </c>
      <c r="G64" s="2" t="s">
        <v>1335</v>
      </c>
      <c r="H64" s="148"/>
    </row>
    <row r="65" spans="1:8" ht="28.8" hidden="1" x14ac:dyDescent="0.3">
      <c r="A65" s="7">
        <v>63</v>
      </c>
      <c r="B65" s="2" t="s">
        <v>1061</v>
      </c>
      <c r="D65" s="2" t="s">
        <v>1122</v>
      </c>
      <c r="E65" s="2" t="s">
        <v>1318</v>
      </c>
      <c r="F65" s="213">
        <v>43255</v>
      </c>
      <c r="G65" s="2" t="s">
        <v>1335</v>
      </c>
      <c r="H65" s="148"/>
    </row>
    <row r="66" spans="1:8" ht="28.8" hidden="1" x14ac:dyDescent="0.3">
      <c r="A66" s="7">
        <v>64</v>
      </c>
      <c r="B66" s="2" t="s">
        <v>1078</v>
      </c>
      <c r="D66" s="2" t="s">
        <v>1124</v>
      </c>
      <c r="E66" s="2" t="s">
        <v>1318</v>
      </c>
      <c r="F66" s="213">
        <v>43255</v>
      </c>
      <c r="G66" s="2" t="s">
        <v>1335</v>
      </c>
      <c r="H66" s="148"/>
    </row>
    <row r="67" spans="1:8" ht="28.8" hidden="1" x14ac:dyDescent="0.3">
      <c r="A67" s="7">
        <v>65</v>
      </c>
      <c r="B67" s="2" t="s">
        <v>1225</v>
      </c>
      <c r="D67" s="2" t="s">
        <v>1264</v>
      </c>
      <c r="E67" s="2" t="s">
        <v>1318</v>
      </c>
      <c r="F67" s="213">
        <v>43270</v>
      </c>
      <c r="G67" s="2" t="s">
        <v>1335</v>
      </c>
      <c r="H67" s="148"/>
    </row>
    <row r="68" spans="1:8" ht="28.8" hidden="1" x14ac:dyDescent="0.3">
      <c r="A68" s="7">
        <v>66</v>
      </c>
      <c r="B68" s="2" t="s">
        <v>1225</v>
      </c>
      <c r="D68" s="2" t="s">
        <v>1263</v>
      </c>
      <c r="E68" s="2" t="s">
        <v>1318</v>
      </c>
      <c r="F68" s="213">
        <v>43272</v>
      </c>
      <c r="G68" s="2" t="s">
        <v>1335</v>
      </c>
      <c r="H68" s="148"/>
    </row>
    <row r="69" spans="1:8" ht="28.8" hidden="1" x14ac:dyDescent="0.3">
      <c r="A69" s="7">
        <v>67</v>
      </c>
      <c r="B69" s="2" t="s">
        <v>1312</v>
      </c>
      <c r="D69" s="2" t="s">
        <v>1313</v>
      </c>
      <c r="E69" s="2" t="s">
        <v>1318</v>
      </c>
      <c r="F69" s="213">
        <v>43273</v>
      </c>
      <c r="G69" s="2" t="s">
        <v>1335</v>
      </c>
      <c r="H69" s="148"/>
    </row>
    <row r="70" spans="1:8" ht="43.2" hidden="1" x14ac:dyDescent="0.3">
      <c r="A70" s="7">
        <v>68</v>
      </c>
      <c r="B70" s="2" t="s">
        <v>1084</v>
      </c>
      <c r="D70" s="2" t="s">
        <v>1086</v>
      </c>
      <c r="E70" s="2" t="s">
        <v>1333</v>
      </c>
      <c r="F70" s="213">
        <v>42992</v>
      </c>
      <c r="G70" s="2" t="s">
        <v>1335</v>
      </c>
      <c r="H70" s="148"/>
    </row>
    <row r="71" spans="1:8" ht="28.8" hidden="1" x14ac:dyDescent="0.3">
      <c r="A71" s="7">
        <v>69</v>
      </c>
      <c r="B71" s="2" t="s">
        <v>1343</v>
      </c>
      <c r="C71" s="2" t="s">
        <v>1056</v>
      </c>
      <c r="D71" s="2" t="s">
        <v>1365</v>
      </c>
      <c r="E71" s="2" t="s">
        <v>1318</v>
      </c>
      <c r="F71" s="213">
        <v>43419</v>
      </c>
      <c r="G71" s="8" t="s">
        <v>1366</v>
      </c>
      <c r="H71" s="148" t="s">
        <v>2197</v>
      </c>
    </row>
    <row r="72" spans="1:8" ht="28.8" hidden="1" x14ac:dyDescent="0.3">
      <c r="A72" s="7">
        <v>70</v>
      </c>
      <c r="B72" s="2" t="s">
        <v>1342</v>
      </c>
      <c r="C72" s="2" t="s">
        <v>1039</v>
      </c>
      <c r="D72" s="2" t="s">
        <v>1365</v>
      </c>
      <c r="E72" s="2" t="s">
        <v>1318</v>
      </c>
      <c r="F72" s="213">
        <v>43418</v>
      </c>
      <c r="G72" s="8" t="s">
        <v>1366</v>
      </c>
      <c r="H72" s="148" t="s">
        <v>2197</v>
      </c>
    </row>
    <row r="73" spans="1:8" ht="28.8" hidden="1" x14ac:dyDescent="0.3">
      <c r="A73" s="7">
        <v>71</v>
      </c>
      <c r="B73" s="4" t="s">
        <v>1367</v>
      </c>
      <c r="C73" s="2" t="s">
        <v>880</v>
      </c>
      <c r="D73" s="2" t="s">
        <v>1325</v>
      </c>
      <c r="E73" s="2" t="s">
        <v>1318</v>
      </c>
      <c r="F73" s="213">
        <v>43419</v>
      </c>
      <c r="G73" s="8" t="s">
        <v>1331</v>
      </c>
      <c r="H73" s="148" t="s">
        <v>2197</v>
      </c>
    </row>
    <row r="74" spans="1:8" ht="28.8" hidden="1" x14ac:dyDescent="0.3">
      <c r="A74" s="7">
        <v>72</v>
      </c>
      <c r="B74" s="2" t="s">
        <v>1121</v>
      </c>
      <c r="C74" s="2" t="s">
        <v>1050</v>
      </c>
      <c r="D74" s="2" t="s">
        <v>1365</v>
      </c>
      <c r="E74" s="2" t="s">
        <v>1318</v>
      </c>
      <c r="F74" s="213">
        <v>43412</v>
      </c>
      <c r="G74" s="8" t="s">
        <v>1366</v>
      </c>
      <c r="H74" s="148" t="s">
        <v>2197</v>
      </c>
    </row>
    <row r="75" spans="1:8" ht="28.8" hidden="1" x14ac:dyDescent="0.3">
      <c r="A75" s="7">
        <v>73</v>
      </c>
      <c r="B75" s="1" t="s">
        <v>1339</v>
      </c>
      <c r="C75" s="2" t="s">
        <v>883</v>
      </c>
      <c r="D75" s="2" t="s">
        <v>1324</v>
      </c>
      <c r="E75" s="2" t="s">
        <v>1318</v>
      </c>
      <c r="F75" s="213">
        <v>43470</v>
      </c>
      <c r="G75" s="8" t="s">
        <v>1331</v>
      </c>
      <c r="H75" s="148" t="s">
        <v>2197</v>
      </c>
    </row>
    <row r="76" spans="1:8" ht="28.8" hidden="1" x14ac:dyDescent="0.3">
      <c r="A76" s="7">
        <v>74</v>
      </c>
      <c r="B76" s="2" t="s">
        <v>1341</v>
      </c>
      <c r="C76" s="2" t="s">
        <v>885</v>
      </c>
      <c r="D76" s="2" t="s">
        <v>1365</v>
      </c>
      <c r="E76" s="2" t="s">
        <v>1318</v>
      </c>
      <c r="F76" s="213">
        <v>43390</v>
      </c>
      <c r="G76" s="8" t="s">
        <v>1366</v>
      </c>
      <c r="H76" s="148" t="s">
        <v>2197</v>
      </c>
    </row>
    <row r="77" spans="1:8" ht="28.8" hidden="1" x14ac:dyDescent="0.3">
      <c r="A77" s="7">
        <v>75</v>
      </c>
      <c r="B77" s="2" t="s">
        <v>1340</v>
      </c>
      <c r="C77" s="2" t="s">
        <v>884</v>
      </c>
      <c r="D77" s="2" t="s">
        <v>1365</v>
      </c>
      <c r="E77" s="2" t="s">
        <v>1318</v>
      </c>
      <c r="F77" s="213">
        <v>43415</v>
      </c>
      <c r="G77" s="8" t="s">
        <v>1366</v>
      </c>
      <c r="H77" s="148" t="s">
        <v>2197</v>
      </c>
    </row>
    <row r="78" spans="1:8" ht="28.8" hidden="1" x14ac:dyDescent="0.3">
      <c r="A78" s="7">
        <v>76</v>
      </c>
      <c r="B78" s="4" t="s">
        <v>1346</v>
      </c>
      <c r="C78" s="2" t="s">
        <v>895</v>
      </c>
      <c r="D78" s="2" t="s">
        <v>1365</v>
      </c>
      <c r="E78" s="2" t="s">
        <v>1318</v>
      </c>
      <c r="F78" s="213">
        <v>43487</v>
      </c>
      <c r="G78" s="8" t="s">
        <v>1366</v>
      </c>
      <c r="H78" s="148" t="s">
        <v>2197</v>
      </c>
    </row>
    <row r="79" spans="1:8" ht="28.8" hidden="1" x14ac:dyDescent="0.3">
      <c r="A79" s="7">
        <v>77</v>
      </c>
      <c r="B79" s="2" t="s">
        <v>1344</v>
      </c>
      <c r="C79" s="2" t="s">
        <v>1265</v>
      </c>
      <c r="D79" s="2" t="s">
        <v>1326</v>
      </c>
      <c r="E79" s="2" t="s">
        <v>1318</v>
      </c>
      <c r="F79" s="213">
        <v>43467</v>
      </c>
      <c r="G79" s="8" t="s">
        <v>1331</v>
      </c>
      <c r="H79" s="148" t="s">
        <v>2197</v>
      </c>
    </row>
    <row r="80" spans="1:8" ht="28.8" hidden="1" x14ac:dyDescent="0.3">
      <c r="A80" s="7">
        <v>78</v>
      </c>
      <c r="B80" s="2" t="s">
        <v>1345</v>
      </c>
      <c r="C80" s="2" t="s">
        <v>891</v>
      </c>
      <c r="D80" s="2" t="s">
        <v>1326</v>
      </c>
      <c r="E80" s="2" t="s">
        <v>1318</v>
      </c>
      <c r="F80" s="213">
        <v>43467</v>
      </c>
      <c r="G80" s="8" t="s">
        <v>1331</v>
      </c>
      <c r="H80" s="148" t="s">
        <v>2197</v>
      </c>
    </row>
    <row r="81" spans="1:8" ht="28.8" hidden="1" x14ac:dyDescent="0.3">
      <c r="A81" s="7">
        <v>79</v>
      </c>
      <c r="B81" s="2" t="s">
        <v>1337</v>
      </c>
      <c r="C81" s="2" t="s">
        <v>881</v>
      </c>
      <c r="D81" s="2" t="s">
        <v>1326</v>
      </c>
      <c r="E81" s="2" t="s">
        <v>1318</v>
      </c>
      <c r="F81" s="213">
        <v>43454</v>
      </c>
      <c r="G81" s="8" t="s">
        <v>1331</v>
      </c>
      <c r="H81" s="148" t="s">
        <v>2197</v>
      </c>
    </row>
    <row r="82" spans="1:8" hidden="1" x14ac:dyDescent="0.3">
      <c r="A82" s="7">
        <v>80</v>
      </c>
      <c r="B82" s="4" t="s">
        <v>1338</v>
      </c>
      <c r="C82" s="2" t="s">
        <v>882</v>
      </c>
      <c r="D82" s="2" t="s">
        <v>1365</v>
      </c>
      <c r="E82" s="2" t="s">
        <v>1318</v>
      </c>
      <c r="F82" s="213">
        <v>43469</v>
      </c>
      <c r="G82" s="8" t="s">
        <v>1366</v>
      </c>
      <c r="H82" s="148" t="s">
        <v>2197</v>
      </c>
    </row>
    <row r="83" spans="1:8" ht="72" hidden="1" x14ac:dyDescent="0.3">
      <c r="A83" s="7">
        <v>81</v>
      </c>
      <c r="B83" s="2" t="s">
        <v>1149</v>
      </c>
      <c r="C83" s="2" t="s">
        <v>1364</v>
      </c>
      <c r="D83" s="2" t="s">
        <v>1825</v>
      </c>
      <c r="E83" s="2" t="s">
        <v>1318</v>
      </c>
      <c r="F83" s="213">
        <v>43408</v>
      </c>
      <c r="G83" s="8" t="s">
        <v>1331</v>
      </c>
      <c r="H83" s="148" t="s">
        <v>2197</v>
      </c>
    </row>
    <row r="84" spans="1:8" ht="72" hidden="1" x14ac:dyDescent="0.3">
      <c r="A84" s="7">
        <v>82</v>
      </c>
      <c r="B84" s="2" t="s">
        <v>1149</v>
      </c>
      <c r="C84" s="2" t="s">
        <v>1364</v>
      </c>
      <c r="D84" s="2" t="s">
        <v>1323</v>
      </c>
      <c r="E84" s="2" t="s">
        <v>1318</v>
      </c>
      <c r="F84" s="213">
        <v>43408</v>
      </c>
      <c r="G84" s="8" t="s">
        <v>1331</v>
      </c>
      <c r="H84" s="148" t="s">
        <v>2197</v>
      </c>
    </row>
    <row r="85" spans="1:8" ht="28.8" hidden="1" x14ac:dyDescent="0.3">
      <c r="A85" s="7">
        <v>83</v>
      </c>
      <c r="B85" s="2" t="s">
        <v>366</v>
      </c>
      <c r="C85" s="2" t="s">
        <v>1368</v>
      </c>
      <c r="D85" s="2" t="s">
        <v>1365</v>
      </c>
      <c r="E85" s="2" t="s">
        <v>1318</v>
      </c>
      <c r="F85" s="213">
        <v>43390</v>
      </c>
      <c r="G85" s="8" t="s">
        <v>1366</v>
      </c>
      <c r="H85" s="148" t="s">
        <v>2197</v>
      </c>
    </row>
    <row r="86" spans="1:8" ht="28.8" hidden="1" x14ac:dyDescent="0.3">
      <c r="A86" s="7">
        <v>84</v>
      </c>
      <c r="B86" s="2" t="s">
        <v>1320</v>
      </c>
      <c r="C86" s="2" t="s">
        <v>230</v>
      </c>
      <c r="D86" s="2" t="s">
        <v>1363</v>
      </c>
      <c r="E86" s="2" t="s">
        <v>1318</v>
      </c>
      <c r="F86" s="213">
        <v>43451</v>
      </c>
      <c r="G86" s="8" t="s">
        <v>1331</v>
      </c>
      <c r="H86" s="148" t="s">
        <v>2197</v>
      </c>
    </row>
    <row r="87" spans="1:8" ht="28.8" hidden="1" x14ac:dyDescent="0.3">
      <c r="A87" s="7">
        <v>85</v>
      </c>
      <c r="B87" s="2" t="s">
        <v>1320</v>
      </c>
      <c r="C87" s="2" t="s">
        <v>230</v>
      </c>
      <c r="D87" s="2" t="s">
        <v>2495</v>
      </c>
      <c r="E87" s="2" t="s">
        <v>1318</v>
      </c>
      <c r="F87" s="213">
        <v>43451</v>
      </c>
      <c r="G87" s="8" t="s">
        <v>1331</v>
      </c>
      <c r="H87" s="148" t="s">
        <v>2197</v>
      </c>
    </row>
    <row r="88" spans="1:8" ht="28.8" hidden="1" x14ac:dyDescent="0.3">
      <c r="A88" s="7">
        <v>86</v>
      </c>
      <c r="B88" s="2" t="s">
        <v>1320</v>
      </c>
      <c r="C88" s="2" t="s">
        <v>230</v>
      </c>
      <c r="D88" s="2" t="s">
        <v>1359</v>
      </c>
      <c r="E88" s="2" t="s">
        <v>1318</v>
      </c>
      <c r="F88" s="213">
        <v>43452</v>
      </c>
      <c r="G88" s="8" t="s">
        <v>1331</v>
      </c>
      <c r="H88" s="148" t="s">
        <v>2197</v>
      </c>
    </row>
    <row r="89" spans="1:8" ht="28.8" hidden="1" x14ac:dyDescent="0.3">
      <c r="A89" s="7">
        <v>87</v>
      </c>
      <c r="B89" s="2" t="s">
        <v>1320</v>
      </c>
      <c r="C89" s="2" t="s">
        <v>230</v>
      </c>
      <c r="D89" s="2" t="s">
        <v>2788</v>
      </c>
      <c r="E89" s="2" t="s">
        <v>1321</v>
      </c>
      <c r="F89" s="213">
        <v>43390</v>
      </c>
      <c r="G89" s="2" t="s">
        <v>1360</v>
      </c>
      <c r="H89" s="148" t="s">
        <v>2197</v>
      </c>
    </row>
    <row r="90" spans="1:8" ht="129.6" hidden="1" x14ac:dyDescent="0.3">
      <c r="A90" s="7">
        <v>88</v>
      </c>
      <c r="B90" s="2" t="s">
        <v>1320</v>
      </c>
      <c r="C90" s="2" t="s">
        <v>230</v>
      </c>
      <c r="D90" s="2" t="s">
        <v>2775</v>
      </c>
      <c r="E90" s="2" t="s">
        <v>1318</v>
      </c>
      <c r="F90" s="213">
        <v>43470</v>
      </c>
      <c r="G90" s="8" t="s">
        <v>1331</v>
      </c>
      <c r="H90" s="148" t="s">
        <v>2197</v>
      </c>
    </row>
    <row r="91" spans="1:8" ht="28.8" hidden="1" x14ac:dyDescent="0.3">
      <c r="A91" s="7">
        <v>89</v>
      </c>
      <c r="B91" s="2" t="s">
        <v>1320</v>
      </c>
      <c r="C91" s="2" t="s">
        <v>230</v>
      </c>
      <c r="D91" s="2" t="s">
        <v>2785</v>
      </c>
      <c r="E91" s="2" t="s">
        <v>1318</v>
      </c>
      <c r="F91" s="213">
        <v>43452</v>
      </c>
      <c r="H91" s="148" t="s">
        <v>2197</v>
      </c>
    </row>
    <row r="92" spans="1:8" hidden="1" x14ac:dyDescent="0.3">
      <c r="A92" s="7">
        <v>90</v>
      </c>
      <c r="B92" s="2" t="s">
        <v>1320</v>
      </c>
      <c r="C92" s="2" t="s">
        <v>230</v>
      </c>
      <c r="D92" s="2" t="s">
        <v>2786</v>
      </c>
      <c r="E92" s="2" t="s">
        <v>1318</v>
      </c>
      <c r="F92" s="213">
        <v>43452</v>
      </c>
      <c r="H92" s="148" t="s">
        <v>2197</v>
      </c>
    </row>
    <row r="93" spans="1:8" hidden="1" x14ac:dyDescent="0.3">
      <c r="A93" s="7">
        <v>91</v>
      </c>
      <c r="B93" s="2" t="s">
        <v>1320</v>
      </c>
      <c r="C93" s="2" t="s">
        <v>230</v>
      </c>
      <c r="D93" s="2" t="s">
        <v>2245</v>
      </c>
      <c r="E93" s="2" t="s">
        <v>1318</v>
      </c>
      <c r="F93" s="213">
        <v>43390</v>
      </c>
      <c r="H93" s="148" t="s">
        <v>2197</v>
      </c>
    </row>
    <row r="94" spans="1:8" hidden="1" x14ac:dyDescent="0.3">
      <c r="A94" s="7">
        <v>92</v>
      </c>
      <c r="B94" s="2" t="s">
        <v>1320</v>
      </c>
      <c r="C94" s="2" t="s">
        <v>230</v>
      </c>
      <c r="D94" s="2" t="s">
        <v>1362</v>
      </c>
      <c r="E94" s="2" t="s">
        <v>1318</v>
      </c>
      <c r="F94" s="213">
        <v>43412</v>
      </c>
      <c r="H94" s="148" t="s">
        <v>2197</v>
      </c>
    </row>
    <row r="95" spans="1:8" hidden="1" x14ac:dyDescent="0.3">
      <c r="A95" s="7">
        <v>93</v>
      </c>
      <c r="B95" s="2" t="s">
        <v>1320</v>
      </c>
      <c r="C95" s="2" t="s">
        <v>230</v>
      </c>
      <c r="D95" s="2" t="s">
        <v>2022</v>
      </c>
      <c r="E95" s="2" t="s">
        <v>1318</v>
      </c>
      <c r="F95" s="213">
        <v>43416</v>
      </c>
      <c r="H95" s="148" t="s">
        <v>2197</v>
      </c>
    </row>
    <row r="96" spans="1:8" ht="28.8" hidden="1" x14ac:dyDescent="0.3">
      <c r="A96" s="7">
        <v>94</v>
      </c>
      <c r="B96" s="2" t="s">
        <v>1320</v>
      </c>
      <c r="C96" s="2" t="s">
        <v>230</v>
      </c>
      <c r="D96" s="2" t="s">
        <v>2787</v>
      </c>
      <c r="E96" s="2" t="s">
        <v>1318</v>
      </c>
      <c r="F96" s="213">
        <v>43415</v>
      </c>
      <c r="H96" s="148" t="s">
        <v>2197</v>
      </c>
    </row>
    <row r="97" spans="1:8" hidden="1" x14ac:dyDescent="0.3">
      <c r="A97" s="7">
        <v>95</v>
      </c>
      <c r="B97" s="2" t="s">
        <v>1320</v>
      </c>
      <c r="C97" s="2" t="s">
        <v>230</v>
      </c>
      <c r="D97" s="2" t="s">
        <v>2242</v>
      </c>
      <c r="E97" s="2" t="s">
        <v>1318</v>
      </c>
      <c r="F97" s="213">
        <v>43395</v>
      </c>
      <c r="G97" s="2"/>
      <c r="H97" s="148" t="s">
        <v>2197</v>
      </c>
    </row>
    <row r="98" spans="1:8" hidden="1" x14ac:dyDescent="0.3">
      <c r="A98" s="7">
        <v>96</v>
      </c>
      <c r="B98" s="2" t="s">
        <v>1320</v>
      </c>
      <c r="C98" s="2" t="s">
        <v>230</v>
      </c>
      <c r="D98" s="2" t="s">
        <v>2893</v>
      </c>
      <c r="E98" s="2" t="s">
        <v>1318</v>
      </c>
      <c r="F98" s="213">
        <v>43470</v>
      </c>
      <c r="G98" s="2"/>
      <c r="H98" s="148" t="s">
        <v>2197</v>
      </c>
    </row>
    <row r="99" spans="1:8" hidden="1" x14ac:dyDescent="0.3">
      <c r="A99" s="7">
        <v>97</v>
      </c>
      <c r="B99" s="2" t="s">
        <v>1082</v>
      </c>
      <c r="C99" s="2" t="s">
        <v>865</v>
      </c>
      <c r="D99" s="2" t="s">
        <v>1365</v>
      </c>
      <c r="E99" s="2" t="s">
        <v>1318</v>
      </c>
      <c r="F99" s="213">
        <v>43401</v>
      </c>
      <c r="G99" s="8" t="s">
        <v>1366</v>
      </c>
      <c r="H99" s="148" t="s">
        <v>2197</v>
      </c>
    </row>
    <row r="100" spans="1:8" ht="28.8" hidden="1" x14ac:dyDescent="0.3">
      <c r="A100" s="7">
        <v>98</v>
      </c>
      <c r="B100" s="2" t="s">
        <v>1045</v>
      </c>
      <c r="C100" s="2" t="s">
        <v>908</v>
      </c>
      <c r="D100" s="2" t="s">
        <v>1365</v>
      </c>
      <c r="E100" s="2" t="s">
        <v>1318</v>
      </c>
      <c r="F100" s="213">
        <v>43390</v>
      </c>
      <c r="G100" s="8" t="s">
        <v>1366</v>
      </c>
      <c r="H100" s="148" t="s">
        <v>2197</v>
      </c>
    </row>
    <row r="101" spans="1:8" hidden="1" x14ac:dyDescent="0.3">
      <c r="A101" s="7">
        <v>99</v>
      </c>
      <c r="B101" s="2" t="s">
        <v>1347</v>
      </c>
      <c r="C101" s="2" t="s">
        <v>899</v>
      </c>
      <c r="D101" s="2" t="s">
        <v>1365</v>
      </c>
      <c r="E101" s="2" t="s">
        <v>1318</v>
      </c>
      <c r="F101" s="213">
        <v>43451</v>
      </c>
      <c r="G101" s="8" t="s">
        <v>1366</v>
      </c>
      <c r="H101" s="148" t="s">
        <v>2197</v>
      </c>
    </row>
    <row r="102" spans="1:8" ht="43.2" hidden="1" x14ac:dyDescent="0.3">
      <c r="A102" s="7">
        <v>100</v>
      </c>
      <c r="B102" s="2" t="s">
        <v>1328</v>
      </c>
      <c r="C102" s="2" t="s">
        <v>916</v>
      </c>
      <c r="D102" s="2" t="s">
        <v>1361</v>
      </c>
      <c r="E102" s="2" t="s">
        <v>1318</v>
      </c>
      <c r="F102" s="213">
        <v>43487</v>
      </c>
      <c r="G102" s="8" t="s">
        <v>1331</v>
      </c>
      <c r="H102" s="148" t="s">
        <v>2197</v>
      </c>
    </row>
    <row r="103" spans="1:8" ht="28.8" hidden="1" x14ac:dyDescent="0.3">
      <c r="A103" s="7">
        <v>101</v>
      </c>
      <c r="B103" s="2" t="s">
        <v>1349</v>
      </c>
      <c r="C103" s="2" t="s">
        <v>919</v>
      </c>
      <c r="D103" s="2" t="s">
        <v>1365</v>
      </c>
      <c r="E103" s="2" t="s">
        <v>1318</v>
      </c>
      <c r="F103" s="213">
        <v>43390</v>
      </c>
      <c r="G103" s="8" t="s">
        <v>1366</v>
      </c>
      <c r="H103" s="148" t="s">
        <v>2197</v>
      </c>
    </row>
    <row r="104" spans="1:8" ht="28.8" hidden="1" x14ac:dyDescent="0.3">
      <c r="A104" s="7">
        <v>102</v>
      </c>
      <c r="B104" s="2" t="s">
        <v>1348</v>
      </c>
      <c r="C104" s="2" t="s">
        <v>913</v>
      </c>
      <c r="D104" s="2" t="s">
        <v>1365</v>
      </c>
      <c r="E104" s="2" t="s">
        <v>1318</v>
      </c>
      <c r="F104" s="213">
        <v>43467</v>
      </c>
      <c r="G104" s="8" t="s">
        <v>1366</v>
      </c>
      <c r="H104" s="148" t="s">
        <v>2197</v>
      </c>
    </row>
    <row r="105" spans="1:8" ht="28.8" hidden="1" x14ac:dyDescent="0.3">
      <c r="A105" s="7">
        <v>103</v>
      </c>
      <c r="B105" s="2" t="s">
        <v>1312</v>
      </c>
      <c r="C105" s="2" t="s">
        <v>902</v>
      </c>
      <c r="D105" s="2" t="s">
        <v>1327</v>
      </c>
      <c r="E105" s="2" t="s">
        <v>1318</v>
      </c>
      <c r="F105" s="213">
        <v>43469</v>
      </c>
      <c r="G105" s="8" t="s">
        <v>1331</v>
      </c>
      <c r="H105" s="148" t="s">
        <v>2197</v>
      </c>
    </row>
    <row r="106" spans="1:8" ht="28.8" hidden="1" x14ac:dyDescent="0.3">
      <c r="A106" s="7">
        <v>104</v>
      </c>
      <c r="B106" s="2" t="s">
        <v>1350</v>
      </c>
      <c r="C106" s="2" t="s">
        <v>1997</v>
      </c>
      <c r="D106" s="2" t="s">
        <v>1998</v>
      </c>
      <c r="E106" s="2" t="s">
        <v>1318</v>
      </c>
      <c r="F106" s="213">
        <v>43416</v>
      </c>
      <c r="H106" s="148" t="s">
        <v>2197</v>
      </c>
    </row>
    <row r="107" spans="1:8" ht="28.8" hidden="1" x14ac:dyDescent="0.3">
      <c r="A107" s="7">
        <v>105</v>
      </c>
      <c r="B107" s="2" t="s">
        <v>1320</v>
      </c>
      <c r="C107" s="2" t="s">
        <v>230</v>
      </c>
      <c r="D107" s="2" t="s">
        <v>4117</v>
      </c>
      <c r="E107" s="2" t="s">
        <v>1333</v>
      </c>
      <c r="F107" s="213">
        <v>43437</v>
      </c>
      <c r="H107" s="148" t="s">
        <v>2197</v>
      </c>
    </row>
    <row r="108" spans="1:8" hidden="1" x14ac:dyDescent="0.3">
      <c r="A108" s="7">
        <v>106</v>
      </c>
      <c r="B108" s="2" t="s">
        <v>1320</v>
      </c>
      <c r="C108" s="2" t="s">
        <v>230</v>
      </c>
      <c r="D108" s="2" t="s">
        <v>2248</v>
      </c>
      <c r="E108" s="2" t="s">
        <v>1318</v>
      </c>
      <c r="F108" s="213">
        <v>43470</v>
      </c>
      <c r="H108" s="148" t="s">
        <v>2197</v>
      </c>
    </row>
    <row r="109" spans="1:8" hidden="1" x14ac:dyDescent="0.3">
      <c r="A109" s="58">
        <v>107</v>
      </c>
      <c r="B109" s="2" t="s">
        <v>1320</v>
      </c>
      <c r="C109" s="2" t="s">
        <v>230</v>
      </c>
      <c r="D109" s="2" t="s">
        <v>2249</v>
      </c>
      <c r="E109" s="2" t="s">
        <v>1318</v>
      </c>
      <c r="F109" s="213">
        <v>43470</v>
      </c>
      <c r="H109" s="148" t="s">
        <v>2197</v>
      </c>
    </row>
    <row r="110" spans="1:8" hidden="1" x14ac:dyDescent="0.3">
      <c r="A110" s="58">
        <v>108</v>
      </c>
      <c r="B110" s="2" t="s">
        <v>1320</v>
      </c>
      <c r="C110" s="2" t="s">
        <v>230</v>
      </c>
      <c r="D110" s="2" t="s">
        <v>2243</v>
      </c>
      <c r="E110" s="2" t="s">
        <v>1318</v>
      </c>
      <c r="F110" s="213">
        <v>43451</v>
      </c>
      <c r="H110" s="148" t="s">
        <v>2197</v>
      </c>
    </row>
    <row r="111" spans="1:8" hidden="1" x14ac:dyDescent="0.3">
      <c r="A111" s="7">
        <v>109</v>
      </c>
      <c r="B111" s="2" t="s">
        <v>1320</v>
      </c>
      <c r="C111" s="2" t="s">
        <v>230</v>
      </c>
      <c r="D111" s="2" t="s">
        <v>2244</v>
      </c>
      <c r="E111" s="2" t="s">
        <v>1318</v>
      </c>
      <c r="F111" s="213">
        <v>43470</v>
      </c>
      <c r="H111" s="148" t="s">
        <v>2197</v>
      </c>
    </row>
    <row r="112" spans="1:8" hidden="1" x14ac:dyDescent="0.3">
      <c r="A112" s="7">
        <v>110</v>
      </c>
      <c r="B112" s="2" t="s">
        <v>1320</v>
      </c>
      <c r="C112" s="2" t="s">
        <v>230</v>
      </c>
      <c r="D112" s="2" t="s">
        <v>2246</v>
      </c>
      <c r="E112" s="2" t="s">
        <v>1318</v>
      </c>
      <c r="F112" s="213">
        <v>43648</v>
      </c>
      <c r="H112" s="148" t="s">
        <v>2197</v>
      </c>
    </row>
    <row r="113" spans="1:8" hidden="1" x14ac:dyDescent="0.3">
      <c r="A113" s="7">
        <v>111</v>
      </c>
      <c r="B113" s="2" t="s">
        <v>1320</v>
      </c>
      <c r="C113" s="2" t="s">
        <v>230</v>
      </c>
      <c r="D113" s="2" t="s">
        <v>2247</v>
      </c>
      <c r="E113" s="2" t="s">
        <v>1318</v>
      </c>
      <c r="F113" s="213">
        <v>43470</v>
      </c>
      <c r="H113" s="148" t="s">
        <v>2197</v>
      </c>
    </row>
    <row r="114" spans="1:8" hidden="1" x14ac:dyDescent="0.3">
      <c r="A114" s="7">
        <v>112</v>
      </c>
      <c r="B114" s="2" t="s">
        <v>3318</v>
      </c>
      <c r="C114" s="2" t="s">
        <v>3267</v>
      </c>
      <c r="D114" s="2" t="s">
        <v>1365</v>
      </c>
      <c r="E114" s="2" t="s">
        <v>1318</v>
      </c>
      <c r="F114" s="213">
        <v>43557</v>
      </c>
      <c r="G114" s="8" t="s">
        <v>3322</v>
      </c>
      <c r="H114" s="148" t="s">
        <v>2197</v>
      </c>
    </row>
    <row r="115" spans="1:8" ht="43.2" hidden="1" x14ac:dyDescent="0.3">
      <c r="A115" s="7">
        <v>113</v>
      </c>
      <c r="B115" s="2" t="s">
        <v>3319</v>
      </c>
      <c r="C115" s="2" t="s">
        <v>3246</v>
      </c>
      <c r="D115" s="2" t="s">
        <v>1365</v>
      </c>
      <c r="E115" s="2" t="s">
        <v>1318</v>
      </c>
      <c r="F115" s="213">
        <v>43557</v>
      </c>
      <c r="G115" s="2" t="s">
        <v>3323</v>
      </c>
      <c r="H115" s="148" t="s">
        <v>2197</v>
      </c>
    </row>
    <row r="116" spans="1:8" hidden="1" x14ac:dyDescent="0.3">
      <c r="A116" s="7">
        <v>114</v>
      </c>
      <c r="B116" s="2" t="s">
        <v>3320</v>
      </c>
      <c r="C116" s="2" t="s">
        <v>3035</v>
      </c>
      <c r="D116" s="2" t="s">
        <v>1365</v>
      </c>
      <c r="E116" s="2" t="s">
        <v>1318</v>
      </c>
      <c r="F116" s="213">
        <v>43557</v>
      </c>
      <c r="G116" s="2" t="s">
        <v>3323</v>
      </c>
      <c r="H116" s="148" t="s">
        <v>2197</v>
      </c>
    </row>
    <row r="117" spans="1:8" hidden="1" x14ac:dyDescent="0.3">
      <c r="A117" s="7">
        <v>115</v>
      </c>
      <c r="B117" s="2" t="s">
        <v>3321</v>
      </c>
      <c r="C117" s="2" t="s">
        <v>3053</v>
      </c>
      <c r="D117" s="2" t="s">
        <v>1365</v>
      </c>
      <c r="E117" s="2" t="s">
        <v>1318</v>
      </c>
      <c r="F117" s="213">
        <v>43557</v>
      </c>
      <c r="G117" s="2" t="s">
        <v>3323</v>
      </c>
      <c r="H117" s="148" t="s">
        <v>2197</v>
      </c>
    </row>
    <row r="118" spans="1:8" ht="28.8" hidden="1" x14ac:dyDescent="0.3">
      <c r="A118" s="7">
        <v>116</v>
      </c>
      <c r="B118" s="2" t="s">
        <v>3334</v>
      </c>
      <c r="C118" s="2" t="s">
        <v>3333</v>
      </c>
      <c r="D118" s="2" t="s">
        <v>3332</v>
      </c>
      <c r="E118" s="2" t="s">
        <v>1318</v>
      </c>
      <c r="F118" s="213">
        <v>43571</v>
      </c>
      <c r="G118" s="2"/>
      <c r="H118" s="148" t="s">
        <v>2197</v>
      </c>
    </row>
    <row r="119" spans="1:8" ht="43.2" hidden="1" x14ac:dyDescent="0.3">
      <c r="A119" s="7">
        <v>117</v>
      </c>
      <c r="B119" s="2" t="s">
        <v>1320</v>
      </c>
      <c r="C119" s="2" t="s">
        <v>230</v>
      </c>
      <c r="D119" s="2" t="s">
        <v>3324</v>
      </c>
      <c r="E119" s="2" t="s">
        <v>1333</v>
      </c>
      <c r="F119" s="213">
        <v>43557</v>
      </c>
      <c r="G119" s="2" t="s">
        <v>3335</v>
      </c>
      <c r="H119" s="148" t="s">
        <v>2197</v>
      </c>
    </row>
    <row r="120" spans="1:8" ht="57.6" hidden="1" x14ac:dyDescent="0.3">
      <c r="A120" s="7">
        <v>118</v>
      </c>
      <c r="B120" s="2" t="s">
        <v>1320</v>
      </c>
      <c r="C120" s="2" t="s">
        <v>230</v>
      </c>
      <c r="D120" s="2" t="s">
        <v>3325</v>
      </c>
      <c r="E120" s="2" t="s">
        <v>1333</v>
      </c>
      <c r="F120" s="213">
        <v>43557</v>
      </c>
      <c r="G120" s="2" t="s">
        <v>3326</v>
      </c>
      <c r="H120" s="148" t="s">
        <v>2197</v>
      </c>
    </row>
    <row r="121" spans="1:8" hidden="1" x14ac:dyDescent="0.3">
      <c r="A121" s="7">
        <v>119</v>
      </c>
      <c r="B121" s="2" t="s">
        <v>1082</v>
      </c>
      <c r="C121" s="2" t="s">
        <v>865</v>
      </c>
      <c r="D121" s="313" t="s">
        <v>4341</v>
      </c>
      <c r="E121" s="2" t="s">
        <v>1333</v>
      </c>
      <c r="F121" s="213"/>
      <c r="G121" s="2"/>
      <c r="H121" s="148"/>
    </row>
    <row r="122" spans="1:8" ht="43.2" hidden="1" x14ac:dyDescent="0.3">
      <c r="A122" s="7">
        <v>120</v>
      </c>
      <c r="B122" s="2" t="s">
        <v>3329</v>
      </c>
      <c r="C122" s="2" t="s">
        <v>3330</v>
      </c>
      <c r="D122" s="2" t="s">
        <v>3327</v>
      </c>
      <c r="E122" s="2" t="s">
        <v>1333</v>
      </c>
      <c r="F122" s="213">
        <v>43557</v>
      </c>
      <c r="G122" s="2" t="s">
        <v>3328</v>
      </c>
      <c r="H122" s="148" t="s">
        <v>2197</v>
      </c>
    </row>
    <row r="123" spans="1:8" ht="115.2" hidden="1" x14ac:dyDescent="0.3">
      <c r="A123" s="7">
        <v>121</v>
      </c>
      <c r="B123" s="2" t="s">
        <v>1320</v>
      </c>
      <c r="C123" s="2" t="s">
        <v>230</v>
      </c>
      <c r="D123" s="313" t="s">
        <v>3331</v>
      </c>
      <c r="E123" s="2" t="s">
        <v>1318</v>
      </c>
      <c r="F123" s="213">
        <v>44214</v>
      </c>
      <c r="G123" s="2" t="s">
        <v>4621</v>
      </c>
      <c r="H123" s="148" t="s">
        <v>2197</v>
      </c>
    </row>
    <row r="124" spans="1:8" ht="43.2" hidden="1" x14ac:dyDescent="0.3">
      <c r="A124" s="7">
        <v>122</v>
      </c>
      <c r="B124" s="2" t="s">
        <v>3336</v>
      </c>
      <c r="C124" s="2" t="s">
        <v>3337</v>
      </c>
      <c r="D124" s="2" t="s">
        <v>3339</v>
      </c>
      <c r="E124" s="2" t="s">
        <v>1333</v>
      </c>
      <c r="F124" s="213">
        <v>43559</v>
      </c>
      <c r="G124" s="2" t="s">
        <v>3338</v>
      </c>
      <c r="H124" s="148" t="s">
        <v>2197</v>
      </c>
    </row>
    <row r="125" spans="1:8" ht="43.2" hidden="1" x14ac:dyDescent="0.3">
      <c r="A125" s="7">
        <v>123</v>
      </c>
      <c r="B125" s="2" t="s">
        <v>3445</v>
      </c>
      <c r="C125" s="2" t="s">
        <v>3032</v>
      </c>
      <c r="D125" s="2" t="s">
        <v>3555</v>
      </c>
      <c r="E125" s="2" t="s">
        <v>1318</v>
      </c>
      <c r="F125" s="213">
        <v>43872</v>
      </c>
      <c r="G125" s="2" t="s">
        <v>3695</v>
      </c>
      <c r="H125" s="148" t="s">
        <v>2197</v>
      </c>
    </row>
    <row r="126" spans="1:8" ht="86.4" hidden="1" x14ac:dyDescent="0.3">
      <c r="A126" s="7">
        <v>124</v>
      </c>
      <c r="B126" s="2" t="s">
        <v>3762</v>
      </c>
      <c r="C126" s="2" t="s">
        <v>4116</v>
      </c>
      <c r="D126" s="2" t="s">
        <v>3763</v>
      </c>
      <c r="E126" s="2" t="s">
        <v>1318</v>
      </c>
      <c r="F126" s="213">
        <v>43922</v>
      </c>
      <c r="G126" s="2" t="s">
        <v>4121</v>
      </c>
      <c r="H126" s="148" t="s">
        <v>2197</v>
      </c>
    </row>
    <row r="127" spans="1:8" ht="28.8" hidden="1" x14ac:dyDescent="0.3">
      <c r="A127" s="7">
        <v>125</v>
      </c>
      <c r="B127" s="2" t="s">
        <v>1090</v>
      </c>
      <c r="C127" s="2" t="s">
        <v>1162</v>
      </c>
      <c r="D127" s="2" t="s">
        <v>3547</v>
      </c>
      <c r="E127" s="2" t="s">
        <v>1318</v>
      </c>
      <c r="F127" s="213">
        <v>43826</v>
      </c>
      <c r="G127" s="2" t="s">
        <v>3548</v>
      </c>
      <c r="H127" s="148" t="s">
        <v>2197</v>
      </c>
    </row>
    <row r="128" spans="1:8" ht="28.8" hidden="1" x14ac:dyDescent="0.3">
      <c r="A128" s="7">
        <v>126</v>
      </c>
      <c r="B128" s="2" t="s">
        <v>3443</v>
      </c>
      <c r="C128" s="2" t="s">
        <v>1166</v>
      </c>
      <c r="D128" s="2" t="s">
        <v>3547</v>
      </c>
      <c r="E128" s="2" t="s">
        <v>1318</v>
      </c>
      <c r="F128" s="213">
        <v>43826</v>
      </c>
      <c r="G128" s="2" t="s">
        <v>3548</v>
      </c>
      <c r="H128" s="148" t="s">
        <v>2197</v>
      </c>
    </row>
    <row r="129" spans="1:8" ht="28.8" hidden="1" x14ac:dyDescent="0.3">
      <c r="A129" s="7">
        <v>127</v>
      </c>
      <c r="B129" s="2" t="s">
        <v>1339</v>
      </c>
      <c r="C129" s="2" t="s">
        <v>2879</v>
      </c>
      <c r="D129" s="2" t="s">
        <v>3549</v>
      </c>
      <c r="E129" s="2" t="s">
        <v>1318</v>
      </c>
      <c r="F129" s="213">
        <v>43826</v>
      </c>
      <c r="G129" s="2" t="s">
        <v>3551</v>
      </c>
      <c r="H129" s="148" t="s">
        <v>2197</v>
      </c>
    </row>
    <row r="130" spans="1:8" hidden="1" x14ac:dyDescent="0.3">
      <c r="A130" s="7">
        <v>128</v>
      </c>
      <c r="B130" s="2" t="s">
        <v>1113</v>
      </c>
      <c r="C130" s="2" t="s">
        <v>880</v>
      </c>
      <c r="D130" s="2" t="s">
        <v>3550</v>
      </c>
      <c r="E130" s="2" t="s">
        <v>1318</v>
      </c>
      <c r="F130" s="213">
        <v>43826</v>
      </c>
      <c r="G130" s="8" t="s">
        <v>3552</v>
      </c>
      <c r="H130" s="148" t="s">
        <v>2197</v>
      </c>
    </row>
    <row r="131" spans="1:8" ht="28.8" hidden="1" x14ac:dyDescent="0.3">
      <c r="A131" s="7">
        <v>129</v>
      </c>
      <c r="B131" s="2" t="s">
        <v>3444</v>
      </c>
      <c r="C131" s="2" t="s">
        <v>3453</v>
      </c>
      <c r="D131" s="2" t="s">
        <v>3554</v>
      </c>
      <c r="E131" s="2" t="s">
        <v>1318</v>
      </c>
      <c r="F131" s="213">
        <v>43872</v>
      </c>
      <c r="G131" s="2" t="s">
        <v>3694</v>
      </c>
      <c r="H131" s="148" t="s">
        <v>2197</v>
      </c>
    </row>
    <row r="132" spans="1:8" ht="28.8" hidden="1" x14ac:dyDescent="0.3">
      <c r="A132" s="7">
        <v>130</v>
      </c>
      <c r="B132" s="2" t="s">
        <v>3446</v>
      </c>
      <c r="C132" s="2" t="s">
        <v>903</v>
      </c>
      <c r="D132" s="2" t="s">
        <v>3556</v>
      </c>
      <c r="E132" s="2" t="s">
        <v>1318</v>
      </c>
      <c r="F132" s="213">
        <v>43826</v>
      </c>
      <c r="G132" s="8" t="s">
        <v>3557</v>
      </c>
      <c r="H132" s="148" t="s">
        <v>2197</v>
      </c>
    </row>
    <row r="133" spans="1:8" hidden="1" x14ac:dyDescent="0.3">
      <c r="A133" s="7">
        <v>131</v>
      </c>
      <c r="B133" s="2" t="s">
        <v>3447</v>
      </c>
      <c r="C133" s="2" t="s">
        <v>3450</v>
      </c>
      <c r="D133" s="2" t="s">
        <v>3558</v>
      </c>
      <c r="E133" s="2" t="s">
        <v>1318</v>
      </c>
      <c r="F133" s="213">
        <v>43834</v>
      </c>
      <c r="G133" s="8" t="s">
        <v>3553</v>
      </c>
      <c r="H133" s="148" t="s">
        <v>2197</v>
      </c>
    </row>
    <row r="134" spans="1:8" hidden="1" x14ac:dyDescent="0.3">
      <c r="A134" s="7">
        <v>132</v>
      </c>
      <c r="B134" s="2" t="s">
        <v>3448</v>
      </c>
      <c r="C134" s="2" t="s">
        <v>3451</v>
      </c>
      <c r="D134" s="2" t="s">
        <v>3558</v>
      </c>
      <c r="E134" s="2" t="s">
        <v>1318</v>
      </c>
      <c r="F134" s="213">
        <v>43834</v>
      </c>
      <c r="G134" s="8" t="s">
        <v>3553</v>
      </c>
      <c r="H134" s="148" t="s">
        <v>2197</v>
      </c>
    </row>
    <row r="135" spans="1:8" ht="28.8" hidden="1" x14ac:dyDescent="0.3">
      <c r="A135" s="7">
        <v>133</v>
      </c>
      <c r="B135" s="2" t="s">
        <v>3449</v>
      </c>
      <c r="C135" s="2" t="s">
        <v>3452</v>
      </c>
      <c r="D135" s="2" t="s">
        <v>3558</v>
      </c>
      <c r="E135" s="2" t="s">
        <v>1318</v>
      </c>
      <c r="F135" s="213">
        <v>43834</v>
      </c>
      <c r="G135" s="8" t="s">
        <v>3553</v>
      </c>
      <c r="H135" s="148" t="s">
        <v>2197</v>
      </c>
    </row>
    <row r="136" spans="1:8" hidden="1" x14ac:dyDescent="0.3">
      <c r="A136" s="7">
        <v>134</v>
      </c>
      <c r="B136" s="2" t="s">
        <v>1082</v>
      </c>
      <c r="C136" s="2" t="s">
        <v>865</v>
      </c>
      <c r="D136" s="2" t="s">
        <v>3678</v>
      </c>
      <c r="E136" s="2" t="s">
        <v>1318</v>
      </c>
      <c r="F136" s="213">
        <v>43834</v>
      </c>
      <c r="G136" s="8" t="s">
        <v>3679</v>
      </c>
      <c r="H136" s="148" t="s">
        <v>2197</v>
      </c>
    </row>
    <row r="137" spans="1:8" ht="28.8" hidden="1" x14ac:dyDescent="0.3">
      <c r="A137" s="7">
        <v>135</v>
      </c>
      <c r="B137" s="2" t="s">
        <v>3696</v>
      </c>
      <c r="C137" s="2" t="s">
        <v>2763</v>
      </c>
      <c r="D137" s="2" t="s">
        <v>3697</v>
      </c>
      <c r="E137" s="2" t="s">
        <v>1318</v>
      </c>
      <c r="F137" s="213">
        <v>43872</v>
      </c>
      <c r="G137" s="8" t="s">
        <v>3698</v>
      </c>
      <c r="H137" s="148" t="s">
        <v>2197</v>
      </c>
    </row>
    <row r="138" spans="1:8" hidden="1" x14ac:dyDescent="0.3">
      <c r="A138" s="7">
        <f>A137+1</f>
        <v>136</v>
      </c>
      <c r="B138" s="2" t="s">
        <v>3757</v>
      </c>
      <c r="C138" s="2" t="s">
        <v>230</v>
      </c>
      <c r="D138" s="2" t="s">
        <v>3758</v>
      </c>
      <c r="E138" s="2" t="s">
        <v>1318</v>
      </c>
      <c r="F138" s="213">
        <v>44214</v>
      </c>
      <c r="G138" s="8" t="s">
        <v>4623</v>
      </c>
      <c r="H138" s="148" t="s">
        <v>2197</v>
      </c>
    </row>
    <row r="139" spans="1:8" hidden="1" x14ac:dyDescent="0.3">
      <c r="A139" s="7">
        <v>137</v>
      </c>
      <c r="B139" s="2" t="s">
        <v>1336</v>
      </c>
      <c r="C139" s="2" t="s">
        <v>230</v>
      </c>
      <c r="D139" s="2" t="s">
        <v>4113</v>
      </c>
      <c r="E139" s="2" t="s">
        <v>1318</v>
      </c>
      <c r="F139" s="213">
        <v>44214</v>
      </c>
      <c r="G139" s="8" t="s">
        <v>4623</v>
      </c>
      <c r="H139" s="148" t="s">
        <v>2197</v>
      </c>
    </row>
    <row r="140" spans="1:8" hidden="1" x14ac:dyDescent="0.3">
      <c r="A140" s="7">
        <v>138</v>
      </c>
      <c r="B140" s="2" t="s">
        <v>3755</v>
      </c>
      <c r="C140" s="2" t="s">
        <v>230</v>
      </c>
      <c r="D140" s="2" t="s">
        <v>3756</v>
      </c>
      <c r="E140" s="2" t="s">
        <v>1318</v>
      </c>
      <c r="F140" s="213">
        <v>44214</v>
      </c>
      <c r="G140" s="8" t="s">
        <v>4623</v>
      </c>
      <c r="H140" s="148" t="s">
        <v>2197</v>
      </c>
    </row>
    <row r="141" spans="1:8" hidden="1" x14ac:dyDescent="0.3">
      <c r="A141" s="7">
        <v>139</v>
      </c>
      <c r="B141" s="2" t="s">
        <v>1058</v>
      </c>
      <c r="C141" s="2" t="s">
        <v>230</v>
      </c>
      <c r="D141" s="2" t="s">
        <v>4112</v>
      </c>
      <c r="E141" s="2" t="s">
        <v>1318</v>
      </c>
      <c r="F141" s="213">
        <v>43922</v>
      </c>
      <c r="G141" s="8" t="s">
        <v>4118</v>
      </c>
      <c r="H141" s="148" t="s">
        <v>2197</v>
      </c>
    </row>
    <row r="142" spans="1:8" hidden="1" x14ac:dyDescent="0.3">
      <c r="A142" s="7">
        <v>140</v>
      </c>
      <c r="B142" s="2" t="s">
        <v>1059</v>
      </c>
      <c r="C142" s="2" t="s">
        <v>230</v>
      </c>
      <c r="D142" s="2" t="s">
        <v>4114</v>
      </c>
      <c r="E142" s="2" t="s">
        <v>1318</v>
      </c>
      <c r="F142" s="213">
        <v>44214</v>
      </c>
      <c r="G142" s="8" t="s">
        <v>4623</v>
      </c>
      <c r="H142" s="148" t="s">
        <v>2197</v>
      </c>
    </row>
    <row r="143" spans="1:8" ht="72" hidden="1" x14ac:dyDescent="0.3">
      <c r="A143" s="7">
        <v>141</v>
      </c>
      <c r="B143" s="2" t="s">
        <v>3759</v>
      </c>
      <c r="C143" s="2" t="s">
        <v>230</v>
      </c>
      <c r="D143" s="2" t="s">
        <v>3760</v>
      </c>
      <c r="E143" s="2" t="s">
        <v>1318</v>
      </c>
      <c r="F143" s="213">
        <v>44214</v>
      </c>
      <c r="G143" s="2" t="s">
        <v>4627</v>
      </c>
      <c r="H143" s="148" t="s">
        <v>2197</v>
      </c>
    </row>
    <row r="144" spans="1:8" ht="86.4" hidden="1" x14ac:dyDescent="0.3">
      <c r="A144" s="7">
        <v>142</v>
      </c>
      <c r="B144" s="2" t="s">
        <v>1061</v>
      </c>
      <c r="C144" s="2" t="s">
        <v>230</v>
      </c>
      <c r="D144" s="2" t="s">
        <v>3761</v>
      </c>
      <c r="E144" s="2" t="s">
        <v>1318</v>
      </c>
      <c r="F144" s="213">
        <v>43997</v>
      </c>
      <c r="G144" s="2" t="s">
        <v>4120</v>
      </c>
      <c r="H144" s="148" t="s">
        <v>2197</v>
      </c>
    </row>
    <row r="145" spans="1:8" hidden="1" x14ac:dyDescent="0.3">
      <c r="A145" s="7">
        <v>143</v>
      </c>
      <c r="B145" s="2" t="s">
        <v>2869</v>
      </c>
      <c r="C145" s="2" t="s">
        <v>230</v>
      </c>
      <c r="D145" s="2" t="s">
        <v>4115</v>
      </c>
      <c r="E145" s="2" t="s">
        <v>1318</v>
      </c>
      <c r="F145" s="213">
        <v>44214</v>
      </c>
      <c r="G145" s="8" t="s">
        <v>4118</v>
      </c>
      <c r="H145" s="148" t="s">
        <v>2197</v>
      </c>
    </row>
    <row r="146" spans="1:8" ht="57.6" hidden="1" x14ac:dyDescent="0.3">
      <c r="A146" s="7">
        <v>144</v>
      </c>
      <c r="B146" s="2" t="s">
        <v>3765</v>
      </c>
      <c r="C146" s="2" t="s">
        <v>4119</v>
      </c>
      <c r="D146" s="2" t="s">
        <v>3764</v>
      </c>
      <c r="E146" s="2" t="s">
        <v>1318</v>
      </c>
      <c r="F146" s="213">
        <v>43922</v>
      </c>
      <c r="G146" s="2" t="s">
        <v>4122</v>
      </c>
      <c r="H146" s="148" t="s">
        <v>2197</v>
      </c>
    </row>
    <row r="147" spans="1:8" ht="43.2" hidden="1" x14ac:dyDescent="0.3">
      <c r="A147" s="7">
        <v>145</v>
      </c>
      <c r="B147" s="2" t="s">
        <v>1149</v>
      </c>
      <c r="C147" s="2" t="s">
        <v>1808</v>
      </c>
      <c r="D147" s="2" t="s">
        <v>3766</v>
      </c>
      <c r="E147" s="2" t="s">
        <v>1318</v>
      </c>
      <c r="F147" s="213">
        <v>44214</v>
      </c>
      <c r="G147" s="2" t="s">
        <v>4620</v>
      </c>
      <c r="H147" s="148" t="s">
        <v>2197</v>
      </c>
    </row>
    <row r="148" spans="1:8" ht="43.2" hidden="1" x14ac:dyDescent="0.3">
      <c r="A148" s="7">
        <v>146</v>
      </c>
      <c r="B148" s="2" t="s">
        <v>1121</v>
      </c>
      <c r="C148" s="2" t="s">
        <v>1050</v>
      </c>
      <c r="D148" s="2" t="s">
        <v>3767</v>
      </c>
      <c r="E148" s="2" t="s">
        <v>1318</v>
      </c>
      <c r="F148" s="213">
        <v>44214</v>
      </c>
      <c r="G148" s="2" t="s">
        <v>4620</v>
      </c>
      <c r="H148" s="148" t="s">
        <v>2197</v>
      </c>
    </row>
    <row r="149" spans="1:8" ht="28.8" hidden="1" x14ac:dyDescent="0.3">
      <c r="A149" s="7">
        <v>147</v>
      </c>
      <c r="B149" s="2" t="s">
        <v>1340</v>
      </c>
      <c r="C149" s="2" t="s">
        <v>884</v>
      </c>
      <c r="D149" s="2" t="s">
        <v>3768</v>
      </c>
      <c r="E149" s="2" t="s">
        <v>1318</v>
      </c>
      <c r="F149" s="213">
        <v>43922</v>
      </c>
      <c r="G149" s="8" t="s">
        <v>4123</v>
      </c>
      <c r="H149" s="148" t="s">
        <v>2197</v>
      </c>
    </row>
    <row r="150" spans="1:8" ht="72" hidden="1" x14ac:dyDescent="0.3">
      <c r="A150" s="7">
        <v>148</v>
      </c>
      <c r="B150" s="2" t="s">
        <v>1343</v>
      </c>
      <c r="C150" s="2" t="s">
        <v>1056</v>
      </c>
      <c r="D150" s="2" t="s">
        <v>3769</v>
      </c>
      <c r="E150" s="2" t="s">
        <v>1318</v>
      </c>
      <c r="F150" s="213">
        <v>43922</v>
      </c>
      <c r="G150" s="2" t="s">
        <v>4124</v>
      </c>
      <c r="H150" s="148" t="s">
        <v>2197</v>
      </c>
    </row>
    <row r="151" spans="1:8" ht="28.8" hidden="1" x14ac:dyDescent="0.3">
      <c r="A151" s="7">
        <v>149</v>
      </c>
      <c r="B151" s="2" t="s">
        <v>1095</v>
      </c>
      <c r="C151" s="2" t="s">
        <v>897</v>
      </c>
      <c r="D151" s="2" t="s">
        <v>3770</v>
      </c>
      <c r="E151" s="2" t="s">
        <v>1318</v>
      </c>
      <c r="F151" s="213">
        <v>43922</v>
      </c>
      <c r="G151" s="2" t="s">
        <v>4125</v>
      </c>
      <c r="H151" s="148" t="s">
        <v>2197</v>
      </c>
    </row>
    <row r="152" spans="1:8" ht="28.8" hidden="1" x14ac:dyDescent="0.3">
      <c r="A152" s="7">
        <v>150</v>
      </c>
      <c r="B152" s="2" t="s">
        <v>3318</v>
      </c>
      <c r="C152" s="2" t="s">
        <v>3267</v>
      </c>
      <c r="D152" s="2" t="s">
        <v>3771</v>
      </c>
      <c r="E152" s="2" t="s">
        <v>1318</v>
      </c>
      <c r="F152" s="213">
        <v>43922</v>
      </c>
      <c r="G152" s="2" t="s">
        <v>4125</v>
      </c>
      <c r="H152" s="148" t="s">
        <v>2197</v>
      </c>
    </row>
    <row r="153" spans="1:8" ht="28.8" hidden="1" x14ac:dyDescent="0.3">
      <c r="A153" s="7">
        <v>151</v>
      </c>
      <c r="B153" s="2" t="s">
        <v>1347</v>
      </c>
      <c r="C153" s="2" t="s">
        <v>2253</v>
      </c>
      <c r="D153" s="2" t="s">
        <v>3772</v>
      </c>
      <c r="E153" s="2" t="s">
        <v>1318</v>
      </c>
      <c r="F153" s="213">
        <v>43922</v>
      </c>
      <c r="G153" s="2" t="s">
        <v>4126</v>
      </c>
      <c r="H153" s="148" t="s">
        <v>2197</v>
      </c>
    </row>
    <row r="154" spans="1:8" ht="28.8" hidden="1" x14ac:dyDescent="0.3">
      <c r="A154" s="7">
        <v>152</v>
      </c>
      <c r="B154" s="2" t="s">
        <v>3773</v>
      </c>
      <c r="C154" s="2" t="s">
        <v>907</v>
      </c>
      <c r="D154" s="2" t="s">
        <v>3775</v>
      </c>
      <c r="E154" s="2" t="s">
        <v>1318</v>
      </c>
      <c r="F154" s="213">
        <v>43923</v>
      </c>
      <c r="G154" s="2" t="s">
        <v>4127</v>
      </c>
      <c r="H154" s="148" t="s">
        <v>2197</v>
      </c>
    </row>
    <row r="155" spans="1:8" ht="28.8" hidden="1" x14ac:dyDescent="0.3">
      <c r="A155" s="7">
        <v>153</v>
      </c>
      <c r="B155" s="2" t="s">
        <v>3774</v>
      </c>
      <c r="C155" s="2" t="s">
        <v>906</v>
      </c>
      <c r="D155" s="2" t="s">
        <v>3775</v>
      </c>
      <c r="E155" s="2" t="s">
        <v>1318</v>
      </c>
      <c r="F155" s="213">
        <v>43923</v>
      </c>
      <c r="G155" s="2" t="s">
        <v>4127</v>
      </c>
      <c r="H155" s="148" t="s">
        <v>2197</v>
      </c>
    </row>
    <row r="156" spans="1:8" ht="57.6" hidden="1" x14ac:dyDescent="0.3">
      <c r="A156" s="7">
        <v>154</v>
      </c>
      <c r="B156" s="2" t="s">
        <v>1082</v>
      </c>
      <c r="C156" s="2" t="s">
        <v>865</v>
      </c>
      <c r="D156" s="2" t="s">
        <v>3777</v>
      </c>
      <c r="E156" s="2" t="s">
        <v>1318</v>
      </c>
      <c r="F156" s="213">
        <v>44214</v>
      </c>
      <c r="G156" s="2" t="s">
        <v>4618</v>
      </c>
      <c r="H156" s="148" t="s">
        <v>2197</v>
      </c>
    </row>
    <row r="157" spans="1:8" ht="28.8" hidden="1" x14ac:dyDescent="0.3">
      <c r="A157" s="7">
        <v>155</v>
      </c>
      <c r="B157" s="2" t="s">
        <v>3447</v>
      </c>
      <c r="C157" s="2" t="s">
        <v>3450</v>
      </c>
      <c r="D157" s="2" t="s">
        <v>3776</v>
      </c>
      <c r="E157" s="2" t="s">
        <v>1318</v>
      </c>
      <c r="F157" s="213">
        <v>43922</v>
      </c>
      <c r="G157" s="2" t="s">
        <v>4125</v>
      </c>
      <c r="H157" s="148" t="s">
        <v>2197</v>
      </c>
    </row>
    <row r="158" spans="1:8" ht="57.6" hidden="1" x14ac:dyDescent="0.3">
      <c r="A158" s="7">
        <v>156</v>
      </c>
      <c r="B158" s="2" t="s">
        <v>1045</v>
      </c>
      <c r="C158" s="2" t="s">
        <v>908</v>
      </c>
      <c r="D158" s="2" t="s">
        <v>3777</v>
      </c>
      <c r="E158" s="2" t="s">
        <v>1318</v>
      </c>
      <c r="F158" s="213">
        <v>44214</v>
      </c>
      <c r="G158" s="2" t="s">
        <v>4618</v>
      </c>
      <c r="H158" s="148" t="s">
        <v>2197</v>
      </c>
    </row>
    <row r="159" spans="1:8" ht="43.2" hidden="1" x14ac:dyDescent="0.3">
      <c r="A159" s="7">
        <v>157</v>
      </c>
      <c r="B159" s="2" t="s">
        <v>3448</v>
      </c>
      <c r="C159" s="2" t="s">
        <v>3451</v>
      </c>
      <c r="D159" s="2" t="s">
        <v>3767</v>
      </c>
      <c r="E159" s="2" t="s">
        <v>1318</v>
      </c>
      <c r="F159" s="213">
        <v>44214</v>
      </c>
      <c r="G159" s="2" t="s">
        <v>4619</v>
      </c>
      <c r="H159" s="148" t="s">
        <v>2197</v>
      </c>
    </row>
    <row r="160" spans="1:8" ht="28.8" hidden="1" x14ac:dyDescent="0.3">
      <c r="A160" s="7">
        <v>158</v>
      </c>
      <c r="B160" s="2" t="s">
        <v>1046</v>
      </c>
      <c r="C160" s="2" t="s">
        <v>909</v>
      </c>
      <c r="D160" s="2" t="s">
        <v>3778</v>
      </c>
      <c r="E160" s="2" t="s">
        <v>1318</v>
      </c>
      <c r="F160" s="213">
        <v>43922</v>
      </c>
      <c r="G160" s="2" t="s">
        <v>4125</v>
      </c>
      <c r="H160" s="148" t="s">
        <v>2197</v>
      </c>
    </row>
    <row r="161" spans="1:8" ht="100.8" hidden="1" x14ac:dyDescent="0.3">
      <c r="A161" s="7">
        <v>159</v>
      </c>
      <c r="B161" s="2" t="s">
        <v>1090</v>
      </c>
      <c r="C161" s="2" t="s">
        <v>1162</v>
      </c>
      <c r="D161" s="2" t="s">
        <v>3775</v>
      </c>
      <c r="E161" s="2" t="s">
        <v>1318</v>
      </c>
      <c r="F161" s="213">
        <v>43923</v>
      </c>
      <c r="G161" s="2" t="s">
        <v>4129</v>
      </c>
      <c r="H161" s="148" t="s">
        <v>2197</v>
      </c>
    </row>
    <row r="162" spans="1:8" ht="100.8" hidden="1" x14ac:dyDescent="0.3">
      <c r="A162" s="7">
        <v>160</v>
      </c>
      <c r="B162" s="2" t="s">
        <v>3443</v>
      </c>
      <c r="C162" s="2" t="s">
        <v>1166</v>
      </c>
      <c r="D162" s="2" t="s">
        <v>3775</v>
      </c>
      <c r="E162" s="2" t="s">
        <v>1318</v>
      </c>
      <c r="F162" s="213">
        <v>43923</v>
      </c>
      <c r="G162" s="2" t="s">
        <v>4129</v>
      </c>
      <c r="H162" s="148" t="s">
        <v>2197</v>
      </c>
    </row>
    <row r="163" spans="1:8" ht="57.6" hidden="1" x14ac:dyDescent="0.3">
      <c r="A163" s="7">
        <v>161</v>
      </c>
      <c r="B163" s="2" t="s">
        <v>3779</v>
      </c>
      <c r="C163" s="2" t="s">
        <v>915</v>
      </c>
      <c r="D163" s="2" t="s">
        <v>3775</v>
      </c>
      <c r="E163" s="2" t="s">
        <v>1318</v>
      </c>
      <c r="F163" s="213">
        <v>43923</v>
      </c>
      <c r="G163" s="2" t="s">
        <v>4128</v>
      </c>
      <c r="H163" s="148" t="s">
        <v>2197</v>
      </c>
    </row>
    <row r="164" spans="1:8" ht="28.8" hidden="1" x14ac:dyDescent="0.3">
      <c r="A164" s="7">
        <v>162</v>
      </c>
      <c r="B164" s="2" t="s">
        <v>1328</v>
      </c>
      <c r="C164" s="2" t="s">
        <v>916</v>
      </c>
      <c r="D164" s="2" t="s">
        <v>3780</v>
      </c>
      <c r="E164" s="2" t="s">
        <v>1318</v>
      </c>
      <c r="F164" s="213">
        <v>43922</v>
      </c>
      <c r="G164" s="2" t="s">
        <v>4125</v>
      </c>
      <c r="H164" s="148" t="s">
        <v>2197</v>
      </c>
    </row>
    <row r="165" spans="1:8" ht="28.8" hidden="1" x14ac:dyDescent="0.3">
      <c r="A165" s="7">
        <v>163</v>
      </c>
      <c r="B165" s="2" t="s">
        <v>4614</v>
      </c>
      <c r="C165" s="2" t="s">
        <v>4354</v>
      </c>
      <c r="D165" s="2" t="s">
        <v>4624</v>
      </c>
      <c r="E165" s="2" t="s">
        <v>1318</v>
      </c>
      <c r="F165" s="213">
        <v>44214</v>
      </c>
      <c r="G165" s="8" t="s">
        <v>4617</v>
      </c>
      <c r="H165" s="148" t="s">
        <v>2197</v>
      </c>
    </row>
    <row r="166" spans="1:8" ht="28.8" hidden="1" x14ac:dyDescent="0.3">
      <c r="A166" s="7">
        <v>164</v>
      </c>
      <c r="B166" s="2" t="s">
        <v>4615</v>
      </c>
      <c r="C166" s="2" t="s">
        <v>4417</v>
      </c>
      <c r="D166" s="2" t="s">
        <v>4624</v>
      </c>
      <c r="E166" s="2" t="s">
        <v>1318</v>
      </c>
      <c r="F166" s="213">
        <v>44214</v>
      </c>
      <c r="G166" s="8" t="s">
        <v>4617</v>
      </c>
      <c r="H166" s="148" t="s">
        <v>2197</v>
      </c>
    </row>
    <row r="167" spans="1:8" ht="28.8" hidden="1" x14ac:dyDescent="0.3">
      <c r="A167" s="7">
        <v>165</v>
      </c>
      <c r="B167" s="2" t="s">
        <v>4616</v>
      </c>
      <c r="C167" s="2" t="s">
        <v>4468</v>
      </c>
      <c r="D167" s="2" t="s">
        <v>4624</v>
      </c>
      <c r="E167" s="2" t="s">
        <v>1318</v>
      </c>
      <c r="F167" s="213">
        <v>44214</v>
      </c>
      <c r="G167" s="8" t="s">
        <v>4617</v>
      </c>
      <c r="H167" s="148" t="s">
        <v>2197</v>
      </c>
    </row>
    <row r="168" spans="1:8" ht="43.2" hidden="1" x14ac:dyDescent="0.3">
      <c r="A168" s="7">
        <v>166</v>
      </c>
      <c r="B168" s="2" t="s">
        <v>1367</v>
      </c>
      <c r="C168" s="2" t="s">
        <v>4629</v>
      </c>
      <c r="D168" s="2" t="s">
        <v>4622</v>
      </c>
      <c r="E168" s="2" t="s">
        <v>1318</v>
      </c>
      <c r="F168" s="213">
        <v>44214</v>
      </c>
      <c r="G168" s="8" t="s">
        <v>4623</v>
      </c>
      <c r="H168" s="148" t="s">
        <v>2197</v>
      </c>
    </row>
    <row r="169" spans="1:8" ht="43.2" hidden="1" x14ac:dyDescent="0.3">
      <c r="A169" s="7">
        <v>167</v>
      </c>
      <c r="B169" s="2" t="s">
        <v>3762</v>
      </c>
      <c r="C169" s="2" t="s">
        <v>4630</v>
      </c>
      <c r="D169" s="2" t="s">
        <v>4625</v>
      </c>
      <c r="E169" s="2" t="s">
        <v>1318</v>
      </c>
      <c r="F169" s="213">
        <v>44214</v>
      </c>
      <c r="G169" s="8" t="s">
        <v>4623</v>
      </c>
      <c r="H169" s="148" t="s">
        <v>2197</v>
      </c>
    </row>
    <row r="170" spans="1:8" ht="57.6" hidden="1" x14ac:dyDescent="0.3">
      <c r="A170" s="7">
        <v>168</v>
      </c>
      <c r="B170" s="2" t="s">
        <v>3765</v>
      </c>
      <c r="C170" s="2" t="s">
        <v>4631</v>
      </c>
      <c r="D170" s="2" t="s">
        <v>4625</v>
      </c>
      <c r="E170" s="2" t="s">
        <v>1318</v>
      </c>
      <c r="F170" s="213">
        <v>44214</v>
      </c>
      <c r="G170" s="8" t="s">
        <v>4623</v>
      </c>
      <c r="H170" s="148" t="s">
        <v>2197</v>
      </c>
    </row>
    <row r="171" spans="1:8" ht="43.2" hidden="1" x14ac:dyDescent="0.3">
      <c r="A171" s="7">
        <v>169</v>
      </c>
      <c r="B171" s="2" t="s">
        <v>4626</v>
      </c>
      <c r="C171" s="2" t="s">
        <v>4632</v>
      </c>
      <c r="D171" s="2" t="s">
        <v>4625</v>
      </c>
      <c r="E171" s="2" t="s">
        <v>1318</v>
      </c>
      <c r="F171" s="213">
        <v>44214</v>
      </c>
      <c r="G171" s="8" t="s">
        <v>4623</v>
      </c>
      <c r="H171" s="148" t="s">
        <v>2197</v>
      </c>
    </row>
    <row r="172" spans="1:8" ht="43.2" hidden="1" x14ac:dyDescent="0.3">
      <c r="A172" s="7">
        <v>170</v>
      </c>
      <c r="B172" s="2" t="s">
        <v>3446</v>
      </c>
      <c r="C172" s="2" t="s">
        <v>4633</v>
      </c>
      <c r="D172" s="2" t="s">
        <v>4625</v>
      </c>
      <c r="E172" s="2" t="s">
        <v>1318</v>
      </c>
      <c r="F172" s="213">
        <v>44214</v>
      </c>
      <c r="G172" s="8" t="s">
        <v>4623</v>
      </c>
      <c r="H172" s="148" t="s">
        <v>2197</v>
      </c>
    </row>
    <row r="173" spans="1:8" hidden="1" x14ac:dyDescent="0.3">
      <c r="A173" s="7">
        <v>171</v>
      </c>
      <c r="B173" s="2" t="s">
        <v>1062</v>
      </c>
      <c r="C173" s="2" t="s">
        <v>230</v>
      </c>
      <c r="D173" s="2" t="s">
        <v>4628</v>
      </c>
      <c r="E173" s="2" t="s">
        <v>1318</v>
      </c>
      <c r="F173" s="213">
        <v>44214</v>
      </c>
      <c r="G173" s="8" t="s">
        <v>4623</v>
      </c>
      <c r="H173" s="148" t="s">
        <v>2197</v>
      </c>
    </row>
    <row r="174" spans="1:8" hidden="1" x14ac:dyDescent="0.3">
      <c r="A174" s="7">
        <v>172</v>
      </c>
      <c r="B174" s="2" t="s">
        <v>3757</v>
      </c>
      <c r="C174" s="2" t="s">
        <v>230</v>
      </c>
      <c r="D174" s="2" t="s">
        <v>5017</v>
      </c>
      <c r="E174" s="2" t="s">
        <v>1318</v>
      </c>
      <c r="F174" s="213">
        <v>44286</v>
      </c>
      <c r="G174" s="8" t="s">
        <v>5025</v>
      </c>
      <c r="H174" s="148" t="s">
        <v>2197</v>
      </c>
    </row>
    <row r="175" spans="1:8" hidden="1" x14ac:dyDescent="0.3">
      <c r="A175" s="7">
        <v>173</v>
      </c>
      <c r="B175" s="2" t="s">
        <v>1336</v>
      </c>
      <c r="C175" s="2" t="s">
        <v>230</v>
      </c>
      <c r="D175" s="2" t="s">
        <v>5018</v>
      </c>
      <c r="E175" s="2" t="s">
        <v>1318</v>
      </c>
      <c r="F175" s="213">
        <v>44271</v>
      </c>
      <c r="G175" s="8" t="s">
        <v>5025</v>
      </c>
      <c r="H175" s="148" t="s">
        <v>2197</v>
      </c>
    </row>
    <row r="176" spans="1:8" hidden="1" x14ac:dyDescent="0.3">
      <c r="A176" s="7">
        <v>174</v>
      </c>
      <c r="B176" s="2" t="s">
        <v>5019</v>
      </c>
      <c r="C176" s="2" t="s">
        <v>230</v>
      </c>
      <c r="D176" s="2" t="s">
        <v>5020</v>
      </c>
      <c r="E176" s="2" t="s">
        <v>1318</v>
      </c>
      <c r="F176" s="213">
        <v>44271</v>
      </c>
      <c r="G176" s="8" t="s">
        <v>5025</v>
      </c>
      <c r="H176" s="148" t="s">
        <v>2197</v>
      </c>
    </row>
    <row r="177" spans="1:8" hidden="1" x14ac:dyDescent="0.3">
      <c r="A177" s="7">
        <v>175</v>
      </c>
      <c r="B177" s="2" t="s">
        <v>1058</v>
      </c>
      <c r="C177" s="2" t="s">
        <v>230</v>
      </c>
      <c r="D177" s="2" t="s">
        <v>5021</v>
      </c>
      <c r="E177" s="2" t="s">
        <v>1318</v>
      </c>
      <c r="F177" s="213">
        <v>44271</v>
      </c>
      <c r="G177" s="8" t="s">
        <v>5025</v>
      </c>
      <c r="H177" s="148" t="s">
        <v>2197</v>
      </c>
    </row>
    <row r="178" spans="1:8" hidden="1" x14ac:dyDescent="0.3">
      <c r="A178" s="7">
        <v>176</v>
      </c>
      <c r="B178" s="2" t="s">
        <v>1059</v>
      </c>
      <c r="C178" s="2" t="s">
        <v>230</v>
      </c>
      <c r="D178" s="2" t="s">
        <v>5022</v>
      </c>
      <c r="E178" s="2" t="s">
        <v>1318</v>
      </c>
      <c r="F178" s="213">
        <v>44286</v>
      </c>
      <c r="G178" s="8" t="s">
        <v>5025</v>
      </c>
      <c r="H178" s="148" t="s">
        <v>2197</v>
      </c>
    </row>
    <row r="179" spans="1:8" ht="28.8" hidden="1" x14ac:dyDescent="0.3">
      <c r="A179" s="7">
        <v>177</v>
      </c>
      <c r="B179" s="2" t="s">
        <v>3759</v>
      </c>
      <c r="C179" s="2" t="s">
        <v>230</v>
      </c>
      <c r="D179" s="2" t="s">
        <v>5024</v>
      </c>
      <c r="E179" s="2" t="s">
        <v>1318</v>
      </c>
      <c r="F179" s="213">
        <v>44271</v>
      </c>
      <c r="G179" s="8" t="s">
        <v>5025</v>
      </c>
      <c r="H179" s="148" t="s">
        <v>2197</v>
      </c>
    </row>
    <row r="180" spans="1:8" hidden="1" x14ac:dyDescent="0.3">
      <c r="A180" s="7">
        <v>178</v>
      </c>
      <c r="B180" s="2" t="s">
        <v>1061</v>
      </c>
      <c r="C180" s="2" t="s">
        <v>230</v>
      </c>
      <c r="D180" s="2" t="s">
        <v>5023</v>
      </c>
      <c r="E180" s="2" t="s">
        <v>1318</v>
      </c>
      <c r="F180" s="213">
        <v>44271</v>
      </c>
      <c r="G180" s="8" t="s">
        <v>5025</v>
      </c>
      <c r="H180" s="148" t="s">
        <v>2197</v>
      </c>
    </row>
    <row r="181" spans="1:8" hidden="1" x14ac:dyDescent="0.3">
      <c r="A181" s="7">
        <v>179</v>
      </c>
      <c r="B181" s="2" t="s">
        <v>2869</v>
      </c>
      <c r="C181" s="2" t="s">
        <v>230</v>
      </c>
      <c r="D181" s="2" t="s">
        <v>5026</v>
      </c>
      <c r="E181" s="2" t="s">
        <v>1318</v>
      </c>
      <c r="F181" s="213">
        <v>44271</v>
      </c>
      <c r="G181" s="8" t="s">
        <v>5025</v>
      </c>
      <c r="H181" s="148" t="s">
        <v>2197</v>
      </c>
    </row>
    <row r="182" spans="1:8" ht="172.8" hidden="1" x14ac:dyDescent="0.3">
      <c r="A182" s="7">
        <v>180</v>
      </c>
      <c r="B182" s="2" t="s">
        <v>5029</v>
      </c>
      <c r="C182" s="2" t="s">
        <v>5028</v>
      </c>
      <c r="D182" s="2" t="s">
        <v>5027</v>
      </c>
      <c r="E182" s="2" t="s">
        <v>1318</v>
      </c>
      <c r="F182" s="213">
        <v>44271</v>
      </c>
      <c r="G182" s="8" t="s">
        <v>5025</v>
      </c>
      <c r="H182" s="148" t="s">
        <v>2197</v>
      </c>
    </row>
    <row r="183" spans="1:8" ht="28.8" hidden="1" x14ac:dyDescent="0.3">
      <c r="A183" s="7">
        <v>181</v>
      </c>
      <c r="B183" s="2" t="s">
        <v>366</v>
      </c>
      <c r="C183" s="2" t="s">
        <v>5030</v>
      </c>
      <c r="D183" s="2" t="s">
        <v>5031</v>
      </c>
      <c r="E183" s="2" t="s">
        <v>1318</v>
      </c>
      <c r="F183" s="213">
        <v>44271</v>
      </c>
      <c r="G183" s="8" t="s">
        <v>5025</v>
      </c>
      <c r="H183" s="148" t="s">
        <v>2197</v>
      </c>
    </row>
    <row r="184" spans="1:8" ht="28.8" hidden="1" x14ac:dyDescent="0.3">
      <c r="A184" s="7">
        <v>182</v>
      </c>
      <c r="B184" s="2" t="s">
        <v>1046</v>
      </c>
      <c r="C184" s="2" t="s">
        <v>5032</v>
      </c>
      <c r="D184" s="2" t="s">
        <v>3775</v>
      </c>
      <c r="E184" s="2" t="s">
        <v>1318</v>
      </c>
      <c r="F184" s="213">
        <v>44271</v>
      </c>
      <c r="G184" s="8" t="s">
        <v>5025</v>
      </c>
      <c r="H184" s="148" t="s">
        <v>2197</v>
      </c>
    </row>
    <row r="185" spans="1:8" hidden="1" x14ac:dyDescent="0.3">
      <c r="A185" s="7">
        <v>183</v>
      </c>
      <c r="B185" s="2" t="s">
        <v>5035</v>
      </c>
      <c r="C185" s="2" t="s">
        <v>900</v>
      </c>
      <c r="D185" s="2" t="s">
        <v>3775</v>
      </c>
      <c r="E185" s="2" t="s">
        <v>1318</v>
      </c>
      <c r="F185" s="213">
        <v>44271</v>
      </c>
      <c r="G185" s="8" t="s">
        <v>5025</v>
      </c>
      <c r="H185" s="148" t="s">
        <v>2197</v>
      </c>
    </row>
    <row r="186" spans="1:8" hidden="1" x14ac:dyDescent="0.3">
      <c r="A186" s="7">
        <v>184</v>
      </c>
      <c r="B186" s="2" t="s">
        <v>5034</v>
      </c>
      <c r="C186" s="2" t="s">
        <v>868</v>
      </c>
      <c r="D186" s="2" t="s">
        <v>3775</v>
      </c>
      <c r="E186" s="2" t="s">
        <v>1318</v>
      </c>
      <c r="F186" s="213">
        <v>44271</v>
      </c>
      <c r="G186" s="8" t="s">
        <v>5025</v>
      </c>
      <c r="H186" s="148" t="s">
        <v>2197</v>
      </c>
    </row>
    <row r="187" spans="1:8" hidden="1" x14ac:dyDescent="0.3">
      <c r="A187" s="7">
        <v>185</v>
      </c>
      <c r="B187" s="2" t="s">
        <v>4859</v>
      </c>
      <c r="C187" s="2" t="s">
        <v>4791</v>
      </c>
      <c r="D187" s="2" t="s">
        <v>5033</v>
      </c>
      <c r="E187" s="2" t="s">
        <v>1318</v>
      </c>
      <c r="F187" s="213">
        <v>44271</v>
      </c>
      <c r="G187" s="8" t="s">
        <v>5025</v>
      </c>
      <c r="H187" s="148" t="s">
        <v>2197</v>
      </c>
    </row>
    <row r="188" spans="1:8" hidden="1" x14ac:dyDescent="0.3">
      <c r="A188" s="7">
        <v>186</v>
      </c>
      <c r="B188" s="2" t="s">
        <v>5036</v>
      </c>
      <c r="C188" s="2" t="s">
        <v>4888</v>
      </c>
      <c r="D188" s="2" t="s">
        <v>5033</v>
      </c>
      <c r="E188" s="2" t="s">
        <v>1318</v>
      </c>
      <c r="F188" s="213">
        <v>44271</v>
      </c>
      <c r="G188" s="8" t="s">
        <v>5025</v>
      </c>
      <c r="H188" s="148" t="s">
        <v>2197</v>
      </c>
    </row>
    <row r="189" spans="1:8" hidden="1" x14ac:dyDescent="0.3">
      <c r="A189" s="7">
        <v>187</v>
      </c>
      <c r="B189" s="2" t="s">
        <v>1062</v>
      </c>
      <c r="C189" s="2" t="s">
        <v>230</v>
      </c>
      <c r="D189" s="2" t="s">
        <v>5037</v>
      </c>
      <c r="E189" s="2" t="s">
        <v>1318</v>
      </c>
      <c r="F189" s="213">
        <v>44271</v>
      </c>
      <c r="G189" s="8" t="s">
        <v>5025</v>
      </c>
      <c r="H189" s="148" t="s">
        <v>2197</v>
      </c>
    </row>
    <row r="190" spans="1:8" ht="28.8" hidden="1" x14ac:dyDescent="0.3">
      <c r="A190" s="7">
        <v>188</v>
      </c>
      <c r="B190" s="2" t="s">
        <v>230</v>
      </c>
      <c r="C190" s="2" t="s">
        <v>230</v>
      </c>
      <c r="D190" s="2" t="s">
        <v>5038</v>
      </c>
      <c r="E190" s="2" t="s">
        <v>1318</v>
      </c>
      <c r="F190" s="213">
        <v>44286</v>
      </c>
      <c r="G190" s="2" t="s">
        <v>5039</v>
      </c>
      <c r="H190" s="148" t="s">
        <v>2197</v>
      </c>
    </row>
    <row r="191" spans="1:8" hidden="1" x14ac:dyDescent="0.3">
      <c r="A191" s="7">
        <v>189</v>
      </c>
      <c r="B191" s="2" t="s">
        <v>3757</v>
      </c>
      <c r="C191" s="2" t="s">
        <v>230</v>
      </c>
      <c r="D191" s="2" t="s">
        <v>5047</v>
      </c>
      <c r="E191" s="2" t="s">
        <v>1318</v>
      </c>
      <c r="F191" s="213">
        <v>44714</v>
      </c>
      <c r="G191" s="8" t="s">
        <v>5386</v>
      </c>
      <c r="H191" s="148" t="s">
        <v>2197</v>
      </c>
    </row>
    <row r="192" spans="1:8" hidden="1" x14ac:dyDescent="0.3">
      <c r="A192" s="7">
        <v>190</v>
      </c>
      <c r="B192" s="2" t="s">
        <v>1336</v>
      </c>
      <c r="C192" s="2" t="s">
        <v>230</v>
      </c>
      <c r="D192" s="2" t="s">
        <v>5383</v>
      </c>
      <c r="E192" s="2" t="s">
        <v>1318</v>
      </c>
      <c r="F192" s="213">
        <v>44636</v>
      </c>
      <c r="G192" s="8" t="s">
        <v>5386</v>
      </c>
      <c r="H192" s="148" t="s">
        <v>2197</v>
      </c>
    </row>
    <row r="193" spans="1:8" hidden="1" x14ac:dyDescent="0.3">
      <c r="A193" s="7">
        <v>191</v>
      </c>
      <c r="B193" s="2" t="s">
        <v>5049</v>
      </c>
      <c r="C193" s="2" t="s">
        <v>230</v>
      </c>
      <c r="D193" s="2" t="s">
        <v>5050</v>
      </c>
      <c r="E193" s="2" t="s">
        <v>1318</v>
      </c>
      <c r="F193" s="213">
        <v>44636</v>
      </c>
      <c r="G193" s="8" t="s">
        <v>5386</v>
      </c>
      <c r="H193" s="148" t="s">
        <v>2197</v>
      </c>
    </row>
    <row r="194" spans="1:8" hidden="1" x14ac:dyDescent="0.3">
      <c r="A194" s="7">
        <v>192</v>
      </c>
      <c r="B194" s="2" t="s">
        <v>1058</v>
      </c>
      <c r="C194" s="2" t="s">
        <v>230</v>
      </c>
      <c r="D194" s="2" t="s">
        <v>5048</v>
      </c>
      <c r="E194" s="2" t="s">
        <v>1318</v>
      </c>
      <c r="F194" s="213">
        <v>44618</v>
      </c>
      <c r="G194" s="8" t="s">
        <v>5386</v>
      </c>
      <c r="H194" s="148" t="s">
        <v>2197</v>
      </c>
    </row>
    <row r="195" spans="1:8" hidden="1" x14ac:dyDescent="0.3">
      <c r="A195" s="7">
        <v>193</v>
      </c>
      <c r="B195" s="2" t="s">
        <v>1059</v>
      </c>
      <c r="C195" s="2" t="s">
        <v>230</v>
      </c>
      <c r="D195" s="2" t="s">
        <v>5384</v>
      </c>
      <c r="E195" s="2" t="s">
        <v>1318</v>
      </c>
      <c r="F195" s="213">
        <v>44714</v>
      </c>
      <c r="G195" s="8" t="s">
        <v>5386</v>
      </c>
      <c r="H195" s="148" t="s">
        <v>2197</v>
      </c>
    </row>
    <row r="196" spans="1:8" ht="28.8" hidden="1" x14ac:dyDescent="0.3">
      <c r="A196" s="7">
        <v>194</v>
      </c>
      <c r="B196" s="2" t="s">
        <v>3759</v>
      </c>
      <c r="C196" s="2" t="s">
        <v>230</v>
      </c>
      <c r="D196" s="2" t="s">
        <v>5380</v>
      </c>
      <c r="E196" s="2" t="s">
        <v>1318</v>
      </c>
      <c r="F196" s="213">
        <v>44618</v>
      </c>
      <c r="G196" s="8" t="s">
        <v>5386</v>
      </c>
      <c r="H196" s="148" t="s">
        <v>2197</v>
      </c>
    </row>
    <row r="197" spans="1:8" ht="43.2" hidden="1" x14ac:dyDescent="0.3">
      <c r="A197" s="7">
        <v>195</v>
      </c>
      <c r="B197" s="2" t="s">
        <v>1061</v>
      </c>
      <c r="C197" s="2" t="s">
        <v>230</v>
      </c>
      <c r="D197" s="2" t="s">
        <v>5128</v>
      </c>
      <c r="E197" s="2" t="s">
        <v>1318</v>
      </c>
      <c r="F197" s="213">
        <v>44636</v>
      </c>
      <c r="G197" s="8" t="s">
        <v>5386</v>
      </c>
      <c r="H197" s="148" t="s">
        <v>2197</v>
      </c>
    </row>
    <row r="198" spans="1:8" hidden="1" x14ac:dyDescent="0.3">
      <c r="A198" s="7">
        <v>196</v>
      </c>
      <c r="B198" s="2" t="s">
        <v>1062</v>
      </c>
      <c r="C198" s="2" t="s">
        <v>230</v>
      </c>
      <c r="D198" s="2" t="s">
        <v>5129</v>
      </c>
      <c r="E198" s="2" t="s">
        <v>1333</v>
      </c>
      <c r="F198" s="213"/>
      <c r="G198" s="8" t="s">
        <v>5386</v>
      </c>
      <c r="H198" s="148"/>
    </row>
    <row r="199" spans="1:8" hidden="1" x14ac:dyDescent="0.3">
      <c r="A199" s="7">
        <v>197</v>
      </c>
      <c r="B199" s="2" t="s">
        <v>2869</v>
      </c>
      <c r="C199" s="2" t="s">
        <v>230</v>
      </c>
      <c r="D199" s="2" t="s">
        <v>5385</v>
      </c>
      <c r="E199" s="2" t="s">
        <v>1318</v>
      </c>
      <c r="F199" s="213">
        <v>44714</v>
      </c>
      <c r="G199" s="8" t="s">
        <v>5386</v>
      </c>
      <c r="H199" s="148" t="s">
        <v>2197</v>
      </c>
    </row>
    <row r="200" spans="1:8" ht="57.6" hidden="1" x14ac:dyDescent="0.3">
      <c r="A200" s="7">
        <v>198</v>
      </c>
      <c r="B200" s="2" t="s">
        <v>366</v>
      </c>
      <c r="C200" s="2" t="s">
        <v>366</v>
      </c>
      <c r="D200" s="2" t="s">
        <v>5149</v>
      </c>
      <c r="E200" s="2" t="s">
        <v>1318</v>
      </c>
      <c r="F200" s="213">
        <v>44618</v>
      </c>
      <c r="G200" s="8" t="s">
        <v>5386</v>
      </c>
      <c r="H200" s="148" t="s">
        <v>2197</v>
      </c>
    </row>
    <row r="201" spans="1:8" ht="28.8" hidden="1" x14ac:dyDescent="0.3">
      <c r="A201" s="7">
        <v>199</v>
      </c>
      <c r="B201" s="2" t="s">
        <v>1049</v>
      </c>
      <c r="C201" s="2" t="s">
        <v>5372</v>
      </c>
      <c r="D201" s="2" t="s">
        <v>3775</v>
      </c>
      <c r="E201" s="2" t="s">
        <v>1318</v>
      </c>
      <c r="F201" s="213">
        <v>44618</v>
      </c>
      <c r="G201" s="8" t="s">
        <v>5386</v>
      </c>
      <c r="H201" s="148" t="s">
        <v>2197</v>
      </c>
    </row>
    <row r="202" spans="1:8" ht="28.8" hidden="1" x14ac:dyDescent="0.3">
      <c r="A202" s="7">
        <v>200</v>
      </c>
      <c r="B202" s="2" t="s">
        <v>5375</v>
      </c>
      <c r="C202" s="2" t="s">
        <v>5387</v>
      </c>
      <c r="D202" s="2" t="s">
        <v>3775</v>
      </c>
      <c r="E202" s="2" t="s">
        <v>1318</v>
      </c>
      <c r="F202" s="213">
        <v>44618</v>
      </c>
      <c r="G202" s="8" t="s">
        <v>5386</v>
      </c>
      <c r="H202" s="148" t="s">
        <v>2197</v>
      </c>
    </row>
    <row r="203" spans="1:8" hidden="1" x14ac:dyDescent="0.3">
      <c r="A203" s="7">
        <v>201</v>
      </c>
      <c r="B203" s="2" t="s">
        <v>4276</v>
      </c>
      <c r="C203" s="2" t="s">
        <v>5373</v>
      </c>
      <c r="D203" s="2" t="s">
        <v>3775</v>
      </c>
      <c r="E203" s="2" t="s">
        <v>1318</v>
      </c>
      <c r="F203" s="213">
        <v>44618</v>
      </c>
      <c r="G203" s="8" t="s">
        <v>5386</v>
      </c>
      <c r="H203" s="148" t="s">
        <v>2197</v>
      </c>
    </row>
    <row r="204" spans="1:8" ht="28.8" hidden="1" x14ac:dyDescent="0.3">
      <c r="A204" s="7">
        <v>202</v>
      </c>
      <c r="B204" s="2" t="s">
        <v>4272</v>
      </c>
      <c r="C204" s="2" t="s">
        <v>5374</v>
      </c>
      <c r="D204" s="2" t="s">
        <v>3775</v>
      </c>
      <c r="E204" s="2" t="s">
        <v>1318</v>
      </c>
      <c r="F204" s="213">
        <v>44618</v>
      </c>
      <c r="G204" s="8" t="s">
        <v>5386</v>
      </c>
      <c r="H204" s="148" t="s">
        <v>2197</v>
      </c>
    </row>
    <row r="205" spans="1:8" ht="28.8" hidden="1" x14ac:dyDescent="0.3">
      <c r="A205" s="7">
        <v>203</v>
      </c>
      <c r="B205" s="2" t="s">
        <v>5376</v>
      </c>
      <c r="C205" s="2" t="s">
        <v>5030</v>
      </c>
      <c r="D205" s="2" t="s">
        <v>5033</v>
      </c>
      <c r="E205" s="2" t="s">
        <v>1318</v>
      </c>
      <c r="F205" s="213">
        <v>44636</v>
      </c>
      <c r="G205" s="8" t="s">
        <v>5386</v>
      </c>
      <c r="H205" s="148" t="s">
        <v>2197</v>
      </c>
    </row>
    <row r="206" spans="1:8" ht="28.8" hidden="1" x14ac:dyDescent="0.3">
      <c r="A206" s="7">
        <v>204</v>
      </c>
      <c r="B206" s="2" t="s">
        <v>1367</v>
      </c>
      <c r="C206" s="2" t="s">
        <v>5389</v>
      </c>
      <c r="D206" s="2" t="s">
        <v>5378</v>
      </c>
      <c r="E206" s="2" t="s">
        <v>1318</v>
      </c>
      <c r="F206" s="213">
        <v>44618</v>
      </c>
      <c r="G206" s="8" t="s">
        <v>5386</v>
      </c>
      <c r="H206" s="148" t="s">
        <v>2197</v>
      </c>
    </row>
    <row r="207" spans="1:8" ht="43.2" hidden="1" x14ac:dyDescent="0.3">
      <c r="A207" s="7">
        <v>205</v>
      </c>
      <c r="B207" s="2" t="s">
        <v>3762</v>
      </c>
      <c r="C207" s="2" t="s">
        <v>5388</v>
      </c>
      <c r="D207" s="2" t="s">
        <v>5377</v>
      </c>
      <c r="E207" s="2" t="s">
        <v>1318</v>
      </c>
      <c r="F207" s="213">
        <v>44618</v>
      </c>
      <c r="G207" s="8" t="s">
        <v>5386</v>
      </c>
      <c r="H207" s="148" t="s">
        <v>2197</v>
      </c>
    </row>
    <row r="208" spans="1:8" ht="28.8" hidden="1" x14ac:dyDescent="0.3">
      <c r="A208" s="7">
        <v>206</v>
      </c>
      <c r="B208" s="2" t="s">
        <v>5051</v>
      </c>
      <c r="C208" s="2" t="s">
        <v>5390</v>
      </c>
      <c r="D208" s="2" t="s">
        <v>5033</v>
      </c>
      <c r="E208" s="2" t="s">
        <v>1318</v>
      </c>
      <c r="F208" s="213">
        <v>44636</v>
      </c>
      <c r="G208" s="8" t="s">
        <v>5386</v>
      </c>
      <c r="H208" s="148" t="s">
        <v>2197</v>
      </c>
    </row>
    <row r="209" spans="1:8" ht="28.8" hidden="1" x14ac:dyDescent="0.3">
      <c r="A209" s="7">
        <v>207</v>
      </c>
      <c r="B209" s="2" t="s">
        <v>5056</v>
      </c>
      <c r="C209" s="2" t="s">
        <v>5391</v>
      </c>
      <c r="D209" s="2" t="s">
        <v>5033</v>
      </c>
      <c r="E209" s="2" t="s">
        <v>1318</v>
      </c>
      <c r="F209" s="213">
        <v>44618</v>
      </c>
      <c r="G209" s="8" t="s">
        <v>5386</v>
      </c>
      <c r="H209" s="148" t="s">
        <v>2197</v>
      </c>
    </row>
    <row r="210" spans="1:8" hidden="1" x14ac:dyDescent="0.3">
      <c r="A210" s="7">
        <v>208</v>
      </c>
      <c r="B210" s="2" t="s">
        <v>4168</v>
      </c>
      <c r="C210" s="2" t="s">
        <v>5392</v>
      </c>
      <c r="D210" s="2" t="s">
        <v>5381</v>
      </c>
      <c r="E210" s="2" t="s">
        <v>1318</v>
      </c>
      <c r="F210" s="213">
        <v>44618</v>
      </c>
      <c r="G210" s="8" t="s">
        <v>5386</v>
      </c>
      <c r="H210" s="148" t="s">
        <v>2197</v>
      </c>
    </row>
    <row r="211" spans="1:8" hidden="1" x14ac:dyDescent="0.3">
      <c r="A211" s="7">
        <v>209</v>
      </c>
      <c r="B211" s="2" t="s">
        <v>1098</v>
      </c>
      <c r="C211" s="2" t="s">
        <v>5393</v>
      </c>
      <c r="D211" s="2" t="s">
        <v>3775</v>
      </c>
      <c r="E211" s="2" t="s">
        <v>1318</v>
      </c>
      <c r="F211" s="213">
        <v>44618</v>
      </c>
      <c r="G211" s="8" t="s">
        <v>5386</v>
      </c>
      <c r="H211" s="148" t="s">
        <v>2197</v>
      </c>
    </row>
    <row r="212" spans="1:8" ht="28.8" hidden="1" x14ac:dyDescent="0.3">
      <c r="A212" s="7">
        <v>210</v>
      </c>
      <c r="B212" s="2" t="s">
        <v>3779</v>
      </c>
      <c r="C212" s="2" t="s">
        <v>5394</v>
      </c>
      <c r="D212" s="2" t="s">
        <v>5379</v>
      </c>
      <c r="E212" s="2" t="s">
        <v>1318</v>
      </c>
      <c r="F212" s="213">
        <v>44618</v>
      </c>
      <c r="G212" s="8" t="s">
        <v>5386</v>
      </c>
      <c r="H212" s="148" t="s">
        <v>2197</v>
      </c>
    </row>
    <row r="213" spans="1:8" ht="28.8" hidden="1" x14ac:dyDescent="0.3">
      <c r="A213" s="7">
        <v>211</v>
      </c>
      <c r="B213" s="2" t="s">
        <v>230</v>
      </c>
      <c r="C213" s="2" t="s">
        <v>5142</v>
      </c>
      <c r="D213" s="2" t="s">
        <v>5382</v>
      </c>
      <c r="E213" s="2" t="s">
        <v>1318</v>
      </c>
      <c r="F213" s="213">
        <v>44618</v>
      </c>
      <c r="G213" s="8" t="s">
        <v>5386</v>
      </c>
      <c r="H213" s="148" t="s">
        <v>2197</v>
      </c>
    </row>
    <row r="214" spans="1:8" ht="28.8" hidden="1" x14ac:dyDescent="0.3">
      <c r="A214" s="7">
        <v>212</v>
      </c>
      <c r="B214" s="2" t="s">
        <v>3765</v>
      </c>
      <c r="C214" s="2" t="s">
        <v>5633</v>
      </c>
      <c r="D214" s="2" t="s">
        <v>5377</v>
      </c>
      <c r="E214" s="2" t="s">
        <v>1318</v>
      </c>
      <c r="F214" s="213">
        <v>44670</v>
      </c>
      <c r="G214" s="8" t="s">
        <v>5386</v>
      </c>
      <c r="H214" s="148" t="s">
        <v>2197</v>
      </c>
    </row>
    <row r="215" spans="1:8" hidden="1" x14ac:dyDescent="0.3">
      <c r="A215" s="7">
        <v>213</v>
      </c>
      <c r="B215" s="2" t="s">
        <v>1061</v>
      </c>
      <c r="C215" s="2" t="s">
        <v>230</v>
      </c>
      <c r="D215" s="2" t="s">
        <v>5634</v>
      </c>
      <c r="E215" s="2" t="s">
        <v>1318</v>
      </c>
      <c r="F215" s="213">
        <v>44670</v>
      </c>
      <c r="G215" s="8" t="s">
        <v>5386</v>
      </c>
      <c r="H215" s="148" t="s">
        <v>2197</v>
      </c>
    </row>
    <row r="216" spans="1:8" hidden="1" x14ac:dyDescent="0.3">
      <c r="A216" s="7">
        <v>214</v>
      </c>
      <c r="B216" s="2" t="s">
        <v>1082</v>
      </c>
      <c r="C216" s="2" t="s">
        <v>5635</v>
      </c>
      <c r="D216" s="2" t="s">
        <v>5636</v>
      </c>
      <c r="E216" s="2" t="s">
        <v>1318</v>
      </c>
      <c r="F216" s="213">
        <v>44670</v>
      </c>
      <c r="G216" s="8" t="s">
        <v>5386</v>
      </c>
      <c r="H216" s="148" t="s">
        <v>2197</v>
      </c>
    </row>
    <row r="217" spans="1:8" ht="28.8" hidden="1" x14ac:dyDescent="0.3">
      <c r="A217" s="7">
        <v>215</v>
      </c>
      <c r="B217" s="2" t="s">
        <v>3446</v>
      </c>
      <c r="C217" s="2" t="s">
        <v>5645</v>
      </c>
      <c r="D217" s="2" t="s">
        <v>5657</v>
      </c>
      <c r="E217" s="2" t="s">
        <v>1318</v>
      </c>
      <c r="F217" s="213">
        <v>44977</v>
      </c>
      <c r="G217" s="8" t="s">
        <v>5646</v>
      </c>
      <c r="H217" s="148"/>
    </row>
    <row r="218" spans="1:8" ht="28.8" hidden="1" x14ac:dyDescent="0.3">
      <c r="A218" s="7">
        <v>216</v>
      </c>
      <c r="B218" s="2" t="s">
        <v>4626</v>
      </c>
      <c r="C218" s="2" t="s">
        <v>5647</v>
      </c>
      <c r="D218" s="2" t="s">
        <v>5658</v>
      </c>
      <c r="E218" s="2" t="s">
        <v>1318</v>
      </c>
      <c r="F218" s="213">
        <v>44977</v>
      </c>
      <c r="G218" s="8" t="s">
        <v>5646</v>
      </c>
      <c r="H218" s="148"/>
    </row>
    <row r="219" spans="1:8" hidden="1" x14ac:dyDescent="0.3">
      <c r="A219" s="7">
        <v>217</v>
      </c>
      <c r="B219" s="2" t="s">
        <v>1082</v>
      </c>
      <c r="C219" s="2" t="s">
        <v>5648</v>
      </c>
      <c r="D219" s="2" t="s">
        <v>5649</v>
      </c>
      <c r="E219" s="2" t="s">
        <v>1318</v>
      </c>
      <c r="F219" s="213">
        <v>44977</v>
      </c>
      <c r="G219" s="8" t="s">
        <v>5646</v>
      </c>
      <c r="H219" s="148"/>
    </row>
    <row r="220" spans="1:8" hidden="1" x14ac:dyDescent="0.3">
      <c r="A220" s="7">
        <v>218</v>
      </c>
      <c r="B220" s="2" t="s">
        <v>3759</v>
      </c>
      <c r="C220" s="2" t="s">
        <v>3759</v>
      </c>
      <c r="D220" s="2" t="s">
        <v>5650</v>
      </c>
      <c r="E220" s="2" t="s">
        <v>1318</v>
      </c>
      <c r="F220" s="213">
        <v>44977</v>
      </c>
      <c r="G220" s="8" t="s">
        <v>5646</v>
      </c>
      <c r="H220" s="148"/>
    </row>
    <row r="221" spans="1:8" hidden="1" x14ac:dyDescent="0.3">
      <c r="A221" s="7">
        <v>219</v>
      </c>
      <c r="B221" s="2" t="s">
        <v>1061</v>
      </c>
      <c r="C221" s="2" t="s">
        <v>5651</v>
      </c>
      <c r="D221" s="2" t="s">
        <v>5652</v>
      </c>
      <c r="E221" s="2" t="s">
        <v>1318</v>
      </c>
      <c r="F221" s="213">
        <v>44977</v>
      </c>
      <c r="G221" s="8" t="s">
        <v>5646</v>
      </c>
      <c r="H221" s="148"/>
    </row>
    <row r="222" spans="1:8" ht="28.8" hidden="1" x14ac:dyDescent="0.3">
      <c r="A222" s="7">
        <v>220</v>
      </c>
      <c r="B222" s="2" t="s">
        <v>5051</v>
      </c>
      <c r="C222" s="2" t="s">
        <v>5390</v>
      </c>
      <c r="D222" s="2" t="s">
        <v>5653</v>
      </c>
      <c r="E222" s="2" t="s">
        <v>1318</v>
      </c>
      <c r="F222" s="213">
        <v>44977</v>
      </c>
      <c r="G222" s="8" t="s">
        <v>5646</v>
      </c>
      <c r="H222" s="148"/>
    </row>
    <row r="223" spans="1:8" ht="115.2" hidden="1" x14ac:dyDescent="0.3">
      <c r="A223" s="7">
        <v>221</v>
      </c>
      <c r="B223" s="2" t="s">
        <v>5659</v>
      </c>
      <c r="C223" s="2" t="s">
        <v>5654</v>
      </c>
      <c r="D223" s="2" t="s">
        <v>5655</v>
      </c>
      <c r="E223" s="2" t="s">
        <v>1318</v>
      </c>
      <c r="F223" s="213">
        <v>44977</v>
      </c>
      <c r="G223" s="8" t="s">
        <v>5646</v>
      </c>
      <c r="H223" s="148"/>
    </row>
    <row r="224" spans="1:8" hidden="1" x14ac:dyDescent="0.3">
      <c r="A224" s="7">
        <v>222</v>
      </c>
      <c r="B224" s="2" t="s">
        <v>1343</v>
      </c>
      <c r="C224" s="2" t="s">
        <v>4654</v>
      </c>
      <c r="D224" s="2" t="s">
        <v>5874</v>
      </c>
      <c r="E224" s="2" t="s">
        <v>1318</v>
      </c>
      <c r="F224" s="213">
        <v>44977</v>
      </c>
      <c r="G224" s="8" t="s">
        <v>5646</v>
      </c>
      <c r="H224" s="148"/>
    </row>
    <row r="225" spans="1:8" ht="28.8" hidden="1" x14ac:dyDescent="0.3">
      <c r="A225" s="7">
        <v>223</v>
      </c>
      <c r="B225" s="2" t="s">
        <v>3779</v>
      </c>
      <c r="C225" s="2" t="s">
        <v>5394</v>
      </c>
      <c r="D225" s="2" t="s">
        <v>5656</v>
      </c>
      <c r="E225" s="2" t="s">
        <v>1318</v>
      </c>
      <c r="F225" s="213">
        <v>44977</v>
      </c>
      <c r="G225" s="8" t="s">
        <v>5646</v>
      </c>
      <c r="H225" s="148"/>
    </row>
    <row r="226" spans="1:8" ht="28.8" x14ac:dyDescent="0.3">
      <c r="A226" s="7">
        <v>224</v>
      </c>
      <c r="B226" s="2" t="s">
        <v>5898</v>
      </c>
      <c r="C226" s="2" t="s">
        <v>5875</v>
      </c>
      <c r="D226" s="2" t="s">
        <v>5876</v>
      </c>
      <c r="E226" s="2" t="s">
        <v>1318</v>
      </c>
      <c r="F226" s="213"/>
      <c r="G226" s="8" t="s">
        <v>5895</v>
      </c>
      <c r="H226" s="148" t="s">
        <v>1578</v>
      </c>
    </row>
    <row r="227" spans="1:8" ht="28.8" x14ac:dyDescent="0.3">
      <c r="A227" s="7">
        <v>225</v>
      </c>
      <c r="B227" s="2" t="s">
        <v>5899</v>
      </c>
      <c r="C227" s="2" t="s">
        <v>5877</v>
      </c>
      <c r="D227" s="2" t="s">
        <v>5878</v>
      </c>
      <c r="E227" s="2" t="s">
        <v>1318</v>
      </c>
      <c r="F227" s="213"/>
      <c r="G227" s="8" t="s">
        <v>5895</v>
      </c>
      <c r="H227" s="148" t="s">
        <v>1578</v>
      </c>
    </row>
    <row r="228" spans="1:8" ht="28.8" x14ac:dyDescent="0.3">
      <c r="A228" s="7">
        <v>226</v>
      </c>
      <c r="B228" s="2" t="s">
        <v>5900</v>
      </c>
      <c r="C228" s="2" t="s">
        <v>5879</v>
      </c>
      <c r="D228" s="2" t="s">
        <v>5878</v>
      </c>
      <c r="E228" s="2" t="s">
        <v>1318</v>
      </c>
      <c r="F228" s="213"/>
      <c r="G228" s="8" t="s">
        <v>5895</v>
      </c>
      <c r="H228" s="148" t="s">
        <v>1578</v>
      </c>
    </row>
    <row r="229" spans="1:8" ht="28.8" x14ac:dyDescent="0.3">
      <c r="A229" s="7">
        <v>227</v>
      </c>
      <c r="B229" s="2" t="s">
        <v>4278</v>
      </c>
      <c r="C229" s="2" t="s">
        <v>5880</v>
      </c>
      <c r="D229" s="2" t="s">
        <v>5881</v>
      </c>
      <c r="E229" s="2" t="s">
        <v>1318</v>
      </c>
      <c r="F229" s="213"/>
      <c r="G229" s="8" t="s">
        <v>5895</v>
      </c>
      <c r="H229" s="148" t="s">
        <v>1578</v>
      </c>
    </row>
    <row r="230" spans="1:8" ht="28.8" x14ac:dyDescent="0.3">
      <c r="A230" s="7">
        <v>228</v>
      </c>
      <c r="B230" s="2" t="s">
        <v>5901</v>
      </c>
      <c r="C230" s="2" t="s">
        <v>5882</v>
      </c>
      <c r="D230" s="2" t="s">
        <v>5878</v>
      </c>
      <c r="E230" s="2" t="s">
        <v>1318</v>
      </c>
      <c r="F230" s="213"/>
      <c r="G230" s="8" t="s">
        <v>5895</v>
      </c>
      <c r="H230" s="148" t="s">
        <v>1578</v>
      </c>
    </row>
    <row r="231" spans="1:8" x14ac:dyDescent="0.3">
      <c r="A231" s="7">
        <v>229</v>
      </c>
      <c r="B231" s="2" t="s">
        <v>4276</v>
      </c>
      <c r="C231" s="2" t="s">
        <v>5883</v>
      </c>
      <c r="D231" s="2" t="s">
        <v>5884</v>
      </c>
      <c r="E231" s="2" t="s">
        <v>1318</v>
      </c>
      <c r="F231" s="213"/>
      <c r="G231" s="8" t="s">
        <v>5895</v>
      </c>
      <c r="H231" s="148" t="s">
        <v>1578</v>
      </c>
    </row>
    <row r="232" spans="1:8" ht="28.8" x14ac:dyDescent="0.3">
      <c r="A232" s="7">
        <v>230</v>
      </c>
      <c r="B232" s="2" t="s">
        <v>4272</v>
      </c>
      <c r="C232" s="2" t="s">
        <v>5885</v>
      </c>
      <c r="D232" s="2" t="s">
        <v>5884</v>
      </c>
      <c r="E232" s="2" t="s">
        <v>1318</v>
      </c>
      <c r="F232" s="213"/>
      <c r="G232" s="8" t="s">
        <v>5895</v>
      </c>
      <c r="H232" s="148" t="s">
        <v>1578</v>
      </c>
    </row>
    <row r="233" spans="1:8" ht="28.8" x14ac:dyDescent="0.3">
      <c r="A233" s="7">
        <v>231</v>
      </c>
      <c r="B233" s="2" t="s">
        <v>1095</v>
      </c>
      <c r="C233" s="2" t="s">
        <v>5886</v>
      </c>
      <c r="D233" s="2" t="s">
        <v>5878</v>
      </c>
      <c r="E233" s="2" t="s">
        <v>1318</v>
      </c>
      <c r="F233" s="213"/>
      <c r="G233" s="8" t="s">
        <v>5895</v>
      </c>
      <c r="H233" s="148" t="s">
        <v>1578</v>
      </c>
    </row>
    <row r="234" spans="1:8" ht="43.2" x14ac:dyDescent="0.3">
      <c r="A234" s="7">
        <v>232</v>
      </c>
      <c r="B234" s="2" t="s">
        <v>5896</v>
      </c>
      <c r="C234" s="2" t="s">
        <v>5887</v>
      </c>
      <c r="D234" s="2" t="s">
        <v>5897</v>
      </c>
      <c r="E234" s="2" t="s">
        <v>1318</v>
      </c>
      <c r="F234" s="213"/>
      <c r="G234" s="8" t="s">
        <v>5895</v>
      </c>
      <c r="H234" s="148" t="s">
        <v>1578</v>
      </c>
    </row>
    <row r="235" spans="1:8" ht="28.8" x14ac:dyDescent="0.3">
      <c r="A235" s="7">
        <v>233</v>
      </c>
      <c r="B235" s="2" t="s">
        <v>1061</v>
      </c>
      <c r="C235" s="2" t="s">
        <v>5888</v>
      </c>
      <c r="D235" s="2" t="s">
        <v>5902</v>
      </c>
      <c r="E235" s="2" t="s">
        <v>1318</v>
      </c>
      <c r="F235" s="213"/>
      <c r="G235" s="8" t="s">
        <v>5903</v>
      </c>
      <c r="H235" s="148" t="s">
        <v>1578</v>
      </c>
    </row>
    <row r="236" spans="1:8" x14ac:dyDescent="0.3">
      <c r="A236" s="7">
        <v>234</v>
      </c>
      <c r="B236" s="2" t="s">
        <v>1061</v>
      </c>
      <c r="C236" s="2" t="s">
        <v>5889</v>
      </c>
      <c r="D236" s="2" t="s">
        <v>5890</v>
      </c>
      <c r="E236" s="2" t="s">
        <v>1318</v>
      </c>
      <c r="F236" s="213"/>
      <c r="G236" s="8" t="s">
        <v>5895</v>
      </c>
      <c r="H236" s="148" t="s">
        <v>1578</v>
      </c>
    </row>
    <row r="237" spans="1:8" x14ac:dyDescent="0.3">
      <c r="A237" s="7">
        <v>235</v>
      </c>
      <c r="B237" s="2" t="s">
        <v>3759</v>
      </c>
      <c r="C237" s="2" t="s">
        <v>5891</v>
      </c>
      <c r="D237" s="2" t="s">
        <v>5892</v>
      </c>
      <c r="E237" s="2" t="s">
        <v>1318</v>
      </c>
      <c r="F237" s="213"/>
      <c r="G237" s="8" t="s">
        <v>5895</v>
      </c>
      <c r="H237" s="148" t="s">
        <v>1578</v>
      </c>
    </row>
    <row r="238" spans="1:8" ht="28.8" x14ac:dyDescent="0.3">
      <c r="A238" s="7">
        <v>236</v>
      </c>
      <c r="B238" s="2" t="s">
        <v>5904</v>
      </c>
      <c r="C238" s="2" t="s">
        <v>5893</v>
      </c>
      <c r="D238" s="2" t="s">
        <v>5894</v>
      </c>
      <c r="E238" s="2" t="s">
        <v>1318</v>
      </c>
      <c r="F238" s="213"/>
      <c r="G238" s="8" t="s">
        <v>5895</v>
      </c>
      <c r="H238" s="148" t="s">
        <v>1578</v>
      </c>
    </row>
    <row r="239" spans="1:8" ht="100.8" x14ac:dyDescent="0.3">
      <c r="A239" s="7">
        <v>237</v>
      </c>
      <c r="B239" s="2" t="s">
        <v>6446</v>
      </c>
      <c r="C239" s="2" t="s">
        <v>6445</v>
      </c>
      <c r="D239" s="2" t="s">
        <v>6444</v>
      </c>
      <c r="E239" s="2" t="s">
        <v>1318</v>
      </c>
      <c r="F239" s="213"/>
      <c r="G239" s="8" t="s">
        <v>5895</v>
      </c>
      <c r="H239" s="148" t="s">
        <v>1578</v>
      </c>
    </row>
    <row r="240" spans="1:8" ht="28.8" x14ac:dyDescent="0.3">
      <c r="A240" s="7">
        <v>238</v>
      </c>
      <c r="B240" s="2" t="s">
        <v>1149</v>
      </c>
      <c r="C240" s="2" t="s">
        <v>6641</v>
      </c>
      <c r="D240" s="2" t="s">
        <v>6644</v>
      </c>
      <c r="E240" s="2" t="s">
        <v>1318</v>
      </c>
      <c r="F240" s="213"/>
      <c r="G240" s="8" t="s">
        <v>6645</v>
      </c>
      <c r="H240" s="148" t="s">
        <v>1578</v>
      </c>
    </row>
    <row r="241" spans="1:8" ht="28.8" x14ac:dyDescent="0.3">
      <c r="A241" s="7">
        <v>239</v>
      </c>
      <c r="B241" s="2" t="s">
        <v>6638</v>
      </c>
      <c r="C241" s="2" t="s">
        <v>6642</v>
      </c>
      <c r="D241" s="2" t="s">
        <v>4624</v>
      </c>
      <c r="E241" s="2" t="s">
        <v>1318</v>
      </c>
      <c r="F241" s="213"/>
      <c r="G241" s="8" t="s">
        <v>6645</v>
      </c>
      <c r="H241" s="148" t="s">
        <v>1578</v>
      </c>
    </row>
    <row r="242" spans="1:8" ht="28.8" x14ac:dyDescent="0.3">
      <c r="A242" s="7">
        <v>240</v>
      </c>
      <c r="B242" s="2" t="s">
        <v>6639</v>
      </c>
      <c r="C242" s="2" t="s">
        <v>6541</v>
      </c>
      <c r="D242" s="2" t="s">
        <v>4624</v>
      </c>
      <c r="E242" s="2" t="s">
        <v>1318</v>
      </c>
      <c r="F242" s="213"/>
      <c r="G242" s="8" t="s">
        <v>6645</v>
      </c>
      <c r="H242" s="148" t="s">
        <v>1578</v>
      </c>
    </row>
    <row r="243" spans="1:8" x14ac:dyDescent="0.3">
      <c r="A243" s="7">
        <v>241</v>
      </c>
      <c r="B243" s="2" t="s">
        <v>6640</v>
      </c>
      <c r="C243" s="2" t="s">
        <v>6643</v>
      </c>
      <c r="D243" s="2" t="s">
        <v>4624</v>
      </c>
      <c r="E243" s="2" t="s">
        <v>1318</v>
      </c>
      <c r="F243" s="213"/>
      <c r="G243" s="8" t="s">
        <v>6645</v>
      </c>
      <c r="H243" s="148" t="s">
        <v>1578</v>
      </c>
    </row>
  </sheetData>
  <sheetProtection algorithmName="SHA-512" hashValue="aA2vNUjDJRnOQ2ElJtB6ViHL9IWawN7oK3lDCj75CwxeDvQV9hlwaK1HoQEj918DvmdyoXQuw6unUYygCcn24w==" saltValue="M4NRCS7Jkhm0Oi6cDizVqg==" spinCount="100000" sheet="1" objects="1" scenarios="1"/>
  <conditionalFormatting sqref="E3:E28 E30:E32 E35 E41:E44 E57 E48:E52 E119:E124 E127:E128 E62:E117 E133:E135 E137:E157 E160:E168 E173 E182 E217:E1048576">
    <cfRule type="cellIs" dxfId="197" priority="152" operator="equal">
      <formula>"TBD"</formula>
    </cfRule>
    <cfRule type="cellIs" dxfId="196" priority="153" operator="equal">
      <formula>"Unresolved"</formula>
    </cfRule>
    <cfRule type="cellIs" dxfId="195" priority="154" operator="equal">
      <formula>"Resolved"</formula>
    </cfRule>
  </conditionalFormatting>
  <conditionalFormatting sqref="E29">
    <cfRule type="cellIs" dxfId="194" priority="146" operator="equal">
      <formula>"TBD"</formula>
    </cfRule>
    <cfRule type="cellIs" dxfId="193" priority="147" operator="equal">
      <formula>"Unresolved"</formula>
    </cfRule>
    <cfRule type="cellIs" dxfId="192" priority="148" operator="equal">
      <formula>"Resolved"</formula>
    </cfRule>
  </conditionalFormatting>
  <conditionalFormatting sqref="E36">
    <cfRule type="cellIs" dxfId="191" priority="143" operator="equal">
      <formula>"TBD"</formula>
    </cfRule>
    <cfRule type="cellIs" dxfId="190" priority="144" operator="equal">
      <formula>"Unresolved"</formula>
    </cfRule>
    <cfRule type="cellIs" dxfId="189" priority="145" operator="equal">
      <formula>"Resolved"</formula>
    </cfRule>
  </conditionalFormatting>
  <conditionalFormatting sqref="E34">
    <cfRule type="cellIs" dxfId="188" priority="140" operator="equal">
      <formula>"TBD"</formula>
    </cfRule>
    <cfRule type="cellIs" dxfId="187" priority="141" operator="equal">
      <formula>"Unresolved"</formula>
    </cfRule>
    <cfRule type="cellIs" dxfId="186" priority="142" operator="equal">
      <formula>"Resolved"</formula>
    </cfRule>
  </conditionalFormatting>
  <conditionalFormatting sqref="E37">
    <cfRule type="cellIs" dxfId="185" priority="137" operator="equal">
      <formula>"TBD"</formula>
    </cfRule>
    <cfRule type="cellIs" dxfId="184" priority="138" operator="equal">
      <formula>"Unresolved"</formula>
    </cfRule>
    <cfRule type="cellIs" dxfId="183" priority="139" operator="equal">
      <formula>"Resolved"</formula>
    </cfRule>
  </conditionalFormatting>
  <conditionalFormatting sqref="E38">
    <cfRule type="cellIs" dxfId="182" priority="134" operator="equal">
      <formula>"TBD"</formula>
    </cfRule>
    <cfRule type="cellIs" dxfId="181" priority="135" operator="equal">
      <formula>"Unresolved"</formula>
    </cfRule>
    <cfRule type="cellIs" dxfId="180" priority="136" operator="equal">
      <formula>"Resolved"</formula>
    </cfRule>
  </conditionalFormatting>
  <conditionalFormatting sqref="E39">
    <cfRule type="cellIs" dxfId="179" priority="131" operator="equal">
      <formula>"TBD"</formula>
    </cfRule>
    <cfRule type="cellIs" dxfId="178" priority="132" operator="equal">
      <formula>"Unresolved"</formula>
    </cfRule>
    <cfRule type="cellIs" dxfId="177" priority="133" operator="equal">
      <formula>"Resolved"</formula>
    </cfRule>
  </conditionalFormatting>
  <conditionalFormatting sqref="E45">
    <cfRule type="cellIs" dxfId="176" priority="128" operator="equal">
      <formula>"TBD"</formula>
    </cfRule>
    <cfRule type="cellIs" dxfId="175" priority="129" operator="equal">
      <formula>"Unresolved"</formula>
    </cfRule>
    <cfRule type="cellIs" dxfId="174" priority="130" operator="equal">
      <formula>"Resolved"</formula>
    </cfRule>
  </conditionalFormatting>
  <conditionalFormatting sqref="E46">
    <cfRule type="cellIs" dxfId="173" priority="125" operator="equal">
      <formula>"TBD"</formula>
    </cfRule>
    <cfRule type="cellIs" dxfId="172" priority="126" operator="equal">
      <formula>"Unresolved"</formula>
    </cfRule>
    <cfRule type="cellIs" dxfId="171" priority="127" operator="equal">
      <formula>"Resolved"</formula>
    </cfRule>
  </conditionalFormatting>
  <conditionalFormatting sqref="E47">
    <cfRule type="cellIs" dxfId="170" priority="122" operator="equal">
      <formula>"TBD"</formula>
    </cfRule>
    <cfRule type="cellIs" dxfId="169" priority="123" operator="equal">
      <formula>"Unresolved"</formula>
    </cfRule>
    <cfRule type="cellIs" dxfId="168" priority="124" operator="equal">
      <formula>"Resolved"</formula>
    </cfRule>
  </conditionalFormatting>
  <conditionalFormatting sqref="E55:E56">
    <cfRule type="cellIs" dxfId="167" priority="119" operator="equal">
      <formula>"TBD"</formula>
    </cfRule>
    <cfRule type="cellIs" dxfId="166" priority="120" operator="equal">
      <formula>"Unresolved"</formula>
    </cfRule>
    <cfRule type="cellIs" dxfId="165" priority="121" operator="equal">
      <formula>"Resolved"</formula>
    </cfRule>
  </conditionalFormatting>
  <conditionalFormatting sqref="E53">
    <cfRule type="cellIs" dxfId="164" priority="113" operator="equal">
      <formula>"TBD"</formula>
    </cfRule>
    <cfRule type="cellIs" dxfId="163" priority="114" operator="equal">
      <formula>"Unresolved"</formula>
    </cfRule>
    <cfRule type="cellIs" dxfId="162" priority="115" operator="equal">
      <formula>"Resolved"</formula>
    </cfRule>
  </conditionalFormatting>
  <conditionalFormatting sqref="E59">
    <cfRule type="cellIs" dxfId="161" priority="110" operator="equal">
      <formula>"TBD"</formula>
    </cfRule>
    <cfRule type="cellIs" dxfId="160" priority="111" operator="equal">
      <formula>"Unresolved"</formula>
    </cfRule>
    <cfRule type="cellIs" dxfId="159" priority="112" operator="equal">
      <formula>"Resolved"</formula>
    </cfRule>
  </conditionalFormatting>
  <conditionalFormatting sqref="E58">
    <cfRule type="cellIs" dxfId="158" priority="107" operator="equal">
      <formula>"TBD"</formula>
    </cfRule>
    <cfRule type="cellIs" dxfId="157" priority="108" operator="equal">
      <formula>"Unresolved"</formula>
    </cfRule>
    <cfRule type="cellIs" dxfId="156" priority="109" operator="equal">
      <formula>"Resolved"</formula>
    </cfRule>
  </conditionalFormatting>
  <conditionalFormatting sqref="E60">
    <cfRule type="cellIs" dxfId="155" priority="104" operator="equal">
      <formula>"TBD"</formula>
    </cfRule>
    <cfRule type="cellIs" dxfId="154" priority="105" operator="equal">
      <formula>"Unresolved"</formula>
    </cfRule>
    <cfRule type="cellIs" dxfId="153" priority="106" operator="equal">
      <formula>"Resolved"</formula>
    </cfRule>
  </conditionalFormatting>
  <conditionalFormatting sqref="E61">
    <cfRule type="cellIs" dxfId="152" priority="101" operator="equal">
      <formula>"TBD"</formula>
    </cfRule>
    <cfRule type="cellIs" dxfId="151" priority="102" operator="equal">
      <formula>"Unresolved"</formula>
    </cfRule>
    <cfRule type="cellIs" dxfId="150" priority="103" operator="equal">
      <formula>"Resolved"</formula>
    </cfRule>
  </conditionalFormatting>
  <conditionalFormatting sqref="E54">
    <cfRule type="cellIs" dxfId="149" priority="98" operator="equal">
      <formula>"TBD"</formula>
    </cfRule>
    <cfRule type="cellIs" dxfId="148" priority="99" operator="equal">
      <formula>"Unresolved"</formula>
    </cfRule>
    <cfRule type="cellIs" dxfId="147" priority="100" operator="equal">
      <formula>"Resolved"</formula>
    </cfRule>
  </conditionalFormatting>
  <conditionalFormatting sqref="E33">
    <cfRule type="cellIs" dxfId="146" priority="95" operator="equal">
      <formula>"TBD"</formula>
    </cfRule>
    <cfRule type="cellIs" dxfId="145" priority="96" operator="equal">
      <formula>"Unresolved"</formula>
    </cfRule>
    <cfRule type="cellIs" dxfId="144" priority="97" operator="equal">
      <formula>"Resolved"</formula>
    </cfRule>
  </conditionalFormatting>
  <conditionalFormatting sqref="E40">
    <cfRule type="cellIs" dxfId="143" priority="92" operator="equal">
      <formula>"TBD"</formula>
    </cfRule>
    <cfRule type="cellIs" dxfId="142" priority="93" operator="equal">
      <formula>"Unresolved"</formula>
    </cfRule>
    <cfRule type="cellIs" dxfId="141" priority="94" operator="equal">
      <formula>"Resolved"</formula>
    </cfRule>
  </conditionalFormatting>
  <conditionalFormatting sqref="E118">
    <cfRule type="cellIs" dxfId="140" priority="88" operator="equal">
      <formula>"TBD"</formula>
    </cfRule>
    <cfRule type="cellIs" dxfId="139" priority="89" operator="equal">
      <formula>"Unresolved"</formula>
    </cfRule>
    <cfRule type="cellIs" dxfId="138" priority="90" operator="equal">
      <formula>"Resolved"</formula>
    </cfRule>
  </conditionalFormatting>
  <conditionalFormatting sqref="E125">
    <cfRule type="cellIs" dxfId="137" priority="85" operator="equal">
      <formula>"TBD"</formula>
    </cfRule>
    <cfRule type="cellIs" dxfId="136" priority="86" operator="equal">
      <formula>"Unresolved"</formula>
    </cfRule>
    <cfRule type="cellIs" dxfId="135" priority="87" operator="equal">
      <formula>"Resolved"</formula>
    </cfRule>
  </conditionalFormatting>
  <conditionalFormatting sqref="E126">
    <cfRule type="cellIs" dxfId="134" priority="82" operator="equal">
      <formula>"TBD"</formula>
    </cfRule>
    <cfRule type="cellIs" dxfId="133" priority="83" operator="equal">
      <formula>"Unresolved"</formula>
    </cfRule>
    <cfRule type="cellIs" dxfId="132" priority="84" operator="equal">
      <formula>"Resolved"</formula>
    </cfRule>
  </conditionalFormatting>
  <conditionalFormatting sqref="E129">
    <cfRule type="cellIs" dxfId="131" priority="79" operator="equal">
      <formula>"TBD"</formula>
    </cfRule>
    <cfRule type="cellIs" dxfId="130" priority="80" operator="equal">
      <formula>"Unresolved"</formula>
    </cfRule>
    <cfRule type="cellIs" dxfId="129" priority="81" operator="equal">
      <formula>"Resolved"</formula>
    </cfRule>
  </conditionalFormatting>
  <conditionalFormatting sqref="E130">
    <cfRule type="cellIs" dxfId="128" priority="76" operator="equal">
      <formula>"TBD"</formula>
    </cfRule>
    <cfRule type="cellIs" dxfId="127" priority="77" operator="equal">
      <formula>"Unresolved"</formula>
    </cfRule>
    <cfRule type="cellIs" dxfId="126" priority="78" operator="equal">
      <formula>"Resolved"</formula>
    </cfRule>
  </conditionalFormatting>
  <conditionalFormatting sqref="E131">
    <cfRule type="cellIs" dxfId="125" priority="73" operator="equal">
      <formula>"TBD"</formula>
    </cfRule>
    <cfRule type="cellIs" dxfId="124" priority="74" operator="equal">
      <formula>"Unresolved"</formula>
    </cfRule>
    <cfRule type="cellIs" dxfId="123" priority="75" operator="equal">
      <formula>"Resolved"</formula>
    </cfRule>
  </conditionalFormatting>
  <conditionalFormatting sqref="E132">
    <cfRule type="cellIs" dxfId="122" priority="70" operator="equal">
      <formula>"TBD"</formula>
    </cfRule>
    <cfRule type="cellIs" dxfId="121" priority="71" operator="equal">
      <formula>"Unresolved"</formula>
    </cfRule>
    <cfRule type="cellIs" dxfId="120" priority="72" operator="equal">
      <formula>"Resolved"</formula>
    </cfRule>
  </conditionalFormatting>
  <conditionalFormatting sqref="E136">
    <cfRule type="cellIs" dxfId="119" priority="67" operator="equal">
      <formula>"TBD"</formula>
    </cfRule>
    <cfRule type="cellIs" dxfId="118" priority="68" operator="equal">
      <formula>"Unresolved"</formula>
    </cfRule>
    <cfRule type="cellIs" dxfId="117" priority="69" operator="equal">
      <formula>"Resolved"</formula>
    </cfRule>
  </conditionalFormatting>
  <conditionalFormatting sqref="E158">
    <cfRule type="cellIs" dxfId="116" priority="64" operator="equal">
      <formula>"TBD"</formula>
    </cfRule>
    <cfRule type="cellIs" dxfId="115" priority="65" operator="equal">
      <formula>"Unresolved"</formula>
    </cfRule>
    <cfRule type="cellIs" dxfId="114" priority="66" operator="equal">
      <formula>"Resolved"</formula>
    </cfRule>
  </conditionalFormatting>
  <conditionalFormatting sqref="E159">
    <cfRule type="cellIs" dxfId="113" priority="61" operator="equal">
      <formula>"TBD"</formula>
    </cfRule>
    <cfRule type="cellIs" dxfId="112" priority="62" operator="equal">
      <formula>"Unresolved"</formula>
    </cfRule>
    <cfRule type="cellIs" dxfId="111" priority="63" operator="equal">
      <formula>"Resolved"</formula>
    </cfRule>
  </conditionalFormatting>
  <conditionalFormatting sqref="E169">
    <cfRule type="cellIs" dxfId="110" priority="58" operator="equal">
      <formula>"TBD"</formula>
    </cfRule>
    <cfRule type="cellIs" dxfId="109" priority="59" operator="equal">
      <formula>"Unresolved"</formula>
    </cfRule>
    <cfRule type="cellIs" dxfId="108" priority="60" operator="equal">
      <formula>"Resolved"</formula>
    </cfRule>
  </conditionalFormatting>
  <conditionalFormatting sqref="E170">
    <cfRule type="cellIs" dxfId="107" priority="55" operator="equal">
      <formula>"TBD"</formula>
    </cfRule>
    <cfRule type="cellIs" dxfId="106" priority="56" operator="equal">
      <formula>"Unresolved"</formula>
    </cfRule>
    <cfRule type="cellIs" dxfId="105" priority="57" operator="equal">
      <formula>"Resolved"</formula>
    </cfRule>
  </conditionalFormatting>
  <conditionalFormatting sqref="E171">
    <cfRule type="cellIs" dxfId="104" priority="52" operator="equal">
      <formula>"TBD"</formula>
    </cfRule>
    <cfRule type="cellIs" dxfId="103" priority="53" operator="equal">
      <formula>"Unresolved"</formula>
    </cfRule>
    <cfRule type="cellIs" dxfId="102" priority="54" operator="equal">
      <formula>"Resolved"</formula>
    </cfRule>
  </conditionalFormatting>
  <conditionalFormatting sqref="E172">
    <cfRule type="cellIs" dxfId="101" priority="49" operator="equal">
      <formula>"TBD"</formula>
    </cfRule>
    <cfRule type="cellIs" dxfId="100" priority="50" operator="equal">
      <formula>"Unresolved"</formula>
    </cfRule>
    <cfRule type="cellIs" dxfId="99" priority="51" operator="equal">
      <formula>"Resolved"</formula>
    </cfRule>
  </conditionalFormatting>
  <conditionalFormatting sqref="E174:E181">
    <cfRule type="cellIs" dxfId="98" priority="46" operator="equal">
      <formula>"TBD"</formula>
    </cfRule>
    <cfRule type="cellIs" dxfId="97" priority="47" operator="equal">
      <formula>"Unresolved"</formula>
    </cfRule>
    <cfRule type="cellIs" dxfId="96" priority="48" operator="equal">
      <formula>"Resolved"</formula>
    </cfRule>
  </conditionalFormatting>
  <conditionalFormatting sqref="E183">
    <cfRule type="cellIs" dxfId="95" priority="43" operator="equal">
      <formula>"TBD"</formula>
    </cfRule>
    <cfRule type="cellIs" dxfId="94" priority="44" operator="equal">
      <formula>"Unresolved"</formula>
    </cfRule>
    <cfRule type="cellIs" dxfId="93" priority="45" operator="equal">
      <formula>"Resolved"</formula>
    </cfRule>
  </conditionalFormatting>
  <conditionalFormatting sqref="E184:E186">
    <cfRule type="cellIs" dxfId="92" priority="40" operator="equal">
      <formula>"TBD"</formula>
    </cfRule>
    <cfRule type="cellIs" dxfId="91" priority="41" operator="equal">
      <formula>"Unresolved"</formula>
    </cfRule>
    <cfRule type="cellIs" dxfId="90" priority="42" operator="equal">
      <formula>"Resolved"</formula>
    </cfRule>
  </conditionalFormatting>
  <conditionalFormatting sqref="E187">
    <cfRule type="cellIs" dxfId="89" priority="37" operator="equal">
      <formula>"TBD"</formula>
    </cfRule>
    <cfRule type="cellIs" dxfId="88" priority="38" operator="equal">
      <formula>"Unresolved"</formula>
    </cfRule>
    <cfRule type="cellIs" dxfId="87" priority="39" operator="equal">
      <formula>"Resolved"</formula>
    </cfRule>
  </conditionalFormatting>
  <conditionalFormatting sqref="E188">
    <cfRule type="cellIs" dxfId="86" priority="34" operator="equal">
      <formula>"TBD"</formula>
    </cfRule>
    <cfRule type="cellIs" dxfId="85" priority="35" operator="equal">
      <formula>"Unresolved"</formula>
    </cfRule>
    <cfRule type="cellIs" dxfId="84" priority="36" operator="equal">
      <formula>"Resolved"</formula>
    </cfRule>
  </conditionalFormatting>
  <conditionalFormatting sqref="E189">
    <cfRule type="cellIs" dxfId="83" priority="31" operator="equal">
      <formula>"TBD"</formula>
    </cfRule>
    <cfRule type="cellIs" dxfId="82" priority="32" operator="equal">
      <formula>"Unresolved"</formula>
    </cfRule>
    <cfRule type="cellIs" dxfId="81" priority="33" operator="equal">
      <formula>"Resolved"</formula>
    </cfRule>
  </conditionalFormatting>
  <conditionalFormatting sqref="E190">
    <cfRule type="cellIs" dxfId="80" priority="28" operator="equal">
      <formula>"TBD"</formula>
    </cfRule>
    <cfRule type="cellIs" dxfId="79" priority="29" operator="equal">
      <formula>"Unresolved"</formula>
    </cfRule>
    <cfRule type="cellIs" dxfId="78" priority="30" operator="equal">
      <formula>"Resolved"</formula>
    </cfRule>
  </conditionalFormatting>
  <conditionalFormatting sqref="E191:E192 E194:E196 E198:E199">
    <cfRule type="cellIs" dxfId="77" priority="25" operator="equal">
      <formula>"TBD"</formula>
    </cfRule>
    <cfRule type="cellIs" dxfId="76" priority="26" operator="equal">
      <formula>"Unresolved"</formula>
    </cfRule>
    <cfRule type="cellIs" dxfId="75" priority="27" operator="equal">
      <formula>"Resolved"</formula>
    </cfRule>
  </conditionalFormatting>
  <conditionalFormatting sqref="E200:E204 E206:E207 E209:E213">
    <cfRule type="cellIs" dxfId="74" priority="22" operator="equal">
      <formula>"TBD"</formula>
    </cfRule>
    <cfRule type="cellIs" dxfId="73" priority="23" operator="equal">
      <formula>"Unresolved"</formula>
    </cfRule>
    <cfRule type="cellIs" dxfId="72" priority="24" operator="equal">
      <formula>"Resolved"</formula>
    </cfRule>
  </conditionalFormatting>
  <conditionalFormatting sqref="E193">
    <cfRule type="cellIs" dxfId="71" priority="19" operator="equal">
      <formula>"TBD"</formula>
    </cfRule>
    <cfRule type="cellIs" dxfId="70" priority="20" operator="equal">
      <formula>"Unresolved"</formula>
    </cfRule>
    <cfRule type="cellIs" dxfId="69" priority="21" operator="equal">
      <formula>"Resolved"</formula>
    </cfRule>
  </conditionalFormatting>
  <conditionalFormatting sqref="E197">
    <cfRule type="cellIs" dxfId="68" priority="16" operator="equal">
      <formula>"TBD"</formula>
    </cfRule>
    <cfRule type="cellIs" dxfId="67" priority="17" operator="equal">
      <formula>"Unresolved"</formula>
    </cfRule>
    <cfRule type="cellIs" dxfId="66" priority="18" operator="equal">
      <formula>"Resolved"</formula>
    </cfRule>
  </conditionalFormatting>
  <conditionalFormatting sqref="E205">
    <cfRule type="cellIs" dxfId="65" priority="13" operator="equal">
      <formula>"TBD"</formula>
    </cfRule>
    <cfRule type="cellIs" dxfId="64" priority="14" operator="equal">
      <formula>"Unresolved"</formula>
    </cfRule>
    <cfRule type="cellIs" dxfId="63" priority="15" operator="equal">
      <formula>"Resolved"</formula>
    </cfRule>
  </conditionalFormatting>
  <conditionalFormatting sqref="E208">
    <cfRule type="cellIs" dxfId="62" priority="10" operator="equal">
      <formula>"TBD"</formula>
    </cfRule>
    <cfRule type="cellIs" dxfId="61" priority="11" operator="equal">
      <formula>"Unresolved"</formula>
    </cfRule>
    <cfRule type="cellIs" dxfId="60" priority="12" operator="equal">
      <formula>"Resolved"</formula>
    </cfRule>
  </conditionalFormatting>
  <conditionalFormatting sqref="E214">
    <cfRule type="cellIs" dxfId="59" priority="7" operator="equal">
      <formula>"TBD"</formula>
    </cfRule>
    <cfRule type="cellIs" dxfId="58" priority="8" operator="equal">
      <formula>"Unresolved"</formula>
    </cfRule>
    <cfRule type="cellIs" dxfId="57" priority="9" operator="equal">
      <formula>"Resolved"</formula>
    </cfRule>
  </conditionalFormatting>
  <conditionalFormatting sqref="E215">
    <cfRule type="cellIs" dxfId="56" priority="4" operator="equal">
      <formula>"TBD"</formula>
    </cfRule>
    <cfRule type="cellIs" dxfId="55" priority="5" operator="equal">
      <formula>"Unresolved"</formula>
    </cfRule>
    <cfRule type="cellIs" dxfId="54" priority="6" operator="equal">
      <formula>"Resolved"</formula>
    </cfRule>
  </conditionalFormatting>
  <conditionalFormatting sqref="E216">
    <cfRule type="cellIs" dxfId="53" priority="1" operator="equal">
      <formula>"TBD"</formula>
    </cfRule>
    <cfRule type="cellIs" dxfId="52" priority="2" operator="equal">
      <formula>"Unresolved"</formula>
    </cfRule>
    <cfRule type="cellIs" dxfId="51" priority="3" operator="equal">
      <formula>"Resolved"</formula>
    </cfRule>
  </conditionalFormatting>
  <dataValidations count="1">
    <dataValidation type="list" errorStyle="information" allowBlank="1" showErrorMessage="1" error="Provide one of standard status options, if possible" sqref="E3:E243" xr:uid="{00000000-0002-0000-0000-000000000000}">
      <formula1>"Resolved,Unresolved,TBD"</formula1>
    </dataValidation>
  </dataValidations>
  <pageMargins left="0.7" right="0.7" top="0.75" bottom="0.75" header="0.3" footer="0.3"/>
  <pageSetup orientation="portrait" r:id="rId1"/>
  <headerFooter differentFirst="1" scaleWithDoc="0">
    <oddHeader>&amp;C&amp;"Arial,Regular"&amp;09&amp;I&amp;K000000Leidos Proprietary</oddHeader>
    <oddFooter>&amp;LPY20 TRM V1.0&amp;RPage &amp;P&amp;C&amp;"Calibri,Regular"&amp;10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8">
    <pageSetUpPr autoPageBreaks="0"/>
  </sheetPr>
  <dimension ref="A1:AM177"/>
  <sheetViews>
    <sheetView workbookViewId="0">
      <selection activeCell="A2" sqref="A2"/>
    </sheetView>
  </sheetViews>
  <sheetFormatPr defaultColWidth="2.6640625" defaultRowHeight="14.4" x14ac:dyDescent="0.3"/>
  <cols>
    <col min="24" max="24" width="3" style="31" bestFit="1" customWidth="1"/>
  </cols>
  <sheetData>
    <row r="1" spans="1:32" ht="18" customHeight="1" x14ac:dyDescent="0.3">
      <c r="A1" s="1056" t="s">
        <v>1151</v>
      </c>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0.6" customHeight="1" x14ac:dyDescent="0.3">
      <c r="A5" s="121"/>
      <c r="B5" s="872" t="s">
        <v>6031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4.4" customHeight="1" x14ac:dyDescent="0.3">
      <c r="A7" s="869" t="s">
        <v>2126</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ht="32.25" customHeight="1" x14ac:dyDescent="0.3">
      <c r="A8" s="1058" t="s">
        <v>1906</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8"/>
      <c r="AB8" s="1058"/>
      <c r="AC8" s="1058"/>
      <c r="AD8" s="1058"/>
      <c r="AE8" s="1058"/>
      <c r="AF8" s="1058"/>
    </row>
    <row r="9" spans="1:32" x14ac:dyDescent="0.3">
      <c r="A9" s="1"/>
      <c r="B9" s="1"/>
      <c r="C9" s="1"/>
      <c r="D9" s="1"/>
      <c r="E9" s="1"/>
      <c r="F9" s="1"/>
      <c r="G9" s="1"/>
      <c r="H9" s="1"/>
      <c r="I9" s="1"/>
      <c r="J9" s="1"/>
      <c r="K9" s="1"/>
      <c r="L9" s="1"/>
      <c r="M9" s="1"/>
      <c r="N9" s="1"/>
      <c r="O9" s="1"/>
      <c r="P9" s="1"/>
      <c r="Q9" s="1"/>
      <c r="R9" s="1"/>
      <c r="S9" s="1"/>
      <c r="T9" s="1"/>
      <c r="U9" s="1"/>
      <c r="V9" s="1"/>
      <c r="W9" s="1"/>
      <c r="X9" s="1"/>
    </row>
    <row r="10" spans="1:32" x14ac:dyDescent="0.3">
      <c r="A10" s="1070" t="s">
        <v>820</v>
      </c>
      <c r="B10" s="1071"/>
      <c r="C10" s="1071"/>
      <c r="D10" s="1071"/>
      <c r="E10" s="1071"/>
      <c r="F10" s="1071"/>
      <c r="G10" s="1071"/>
      <c r="H10" s="1071"/>
      <c r="I10" s="1071"/>
      <c r="J10" s="1071"/>
      <c r="K10" s="1071"/>
      <c r="L10" s="1071"/>
      <c r="M10" s="1071"/>
      <c r="N10" s="1071"/>
      <c r="O10" s="1071"/>
      <c r="P10" s="1071"/>
      <c r="Q10" s="1071"/>
      <c r="R10" s="1071"/>
      <c r="S10" s="1071"/>
      <c r="T10" s="1071"/>
      <c r="U10" s="1071"/>
      <c r="V10" s="1071"/>
      <c r="W10" s="1071"/>
      <c r="X10" s="1071"/>
      <c r="Y10" s="1071"/>
      <c r="Z10" s="1071"/>
      <c r="AA10" s="1071"/>
      <c r="AB10" s="1071"/>
      <c r="AC10" s="1071"/>
      <c r="AD10" s="1071"/>
      <c r="AE10" s="1071"/>
      <c r="AF10" s="1072"/>
    </row>
    <row r="11" spans="1:32" ht="45" customHeight="1" x14ac:dyDescent="0.3">
      <c r="A11" s="1059" t="s">
        <v>659</v>
      </c>
      <c r="B11" s="1060"/>
      <c r="C11" s="1061"/>
      <c r="D11" s="1062" t="s">
        <v>676</v>
      </c>
      <c r="E11" s="1063"/>
      <c r="F11" s="1063"/>
      <c r="G11" s="1063"/>
      <c r="H11" s="1063"/>
      <c r="I11" s="1063"/>
      <c r="J11" s="1064"/>
      <c r="K11" s="1062" t="s">
        <v>3</v>
      </c>
      <c r="L11" s="1063"/>
      <c r="M11" s="1063"/>
      <c r="N11" s="1063"/>
      <c r="O11" s="1063"/>
      <c r="P11" s="1063"/>
      <c r="Q11" s="1063"/>
      <c r="R11" s="1063"/>
      <c r="S11" s="1063"/>
      <c r="T11" s="1063"/>
      <c r="U11" s="1063"/>
      <c r="V11" s="1063"/>
      <c r="W11" s="1064"/>
      <c r="X11" s="1059" t="s">
        <v>1903</v>
      </c>
      <c r="Y11" s="1060"/>
      <c r="Z11" s="1061"/>
      <c r="AA11" s="1059" t="s">
        <v>4516</v>
      </c>
      <c r="AB11" s="1060"/>
      <c r="AC11" s="1060"/>
      <c r="AD11" s="1060"/>
      <c r="AE11" s="1060"/>
      <c r="AF11" s="1061"/>
    </row>
    <row r="12" spans="1:32" ht="15" x14ac:dyDescent="0.3">
      <c r="A12" s="818" t="s">
        <v>668</v>
      </c>
      <c r="B12" s="819"/>
      <c r="C12" s="820"/>
      <c r="D12" s="1033" t="s">
        <v>346</v>
      </c>
      <c r="E12" s="1034"/>
      <c r="F12" s="1034"/>
      <c r="G12" s="1034"/>
      <c r="H12" s="1034"/>
      <c r="I12" s="1034"/>
      <c r="J12" s="1035"/>
      <c r="K12" s="1046" t="s">
        <v>677</v>
      </c>
      <c r="L12" s="1047"/>
      <c r="M12" s="1047"/>
      <c r="N12" s="1047"/>
      <c r="O12" s="1047"/>
      <c r="P12" s="1047"/>
      <c r="Q12" s="1047"/>
      <c r="R12" s="1047"/>
      <c r="S12" s="1047"/>
      <c r="T12" s="1047"/>
      <c r="U12" s="1047"/>
      <c r="V12" s="1047"/>
      <c r="W12" s="1048"/>
      <c r="X12" s="1043">
        <v>18</v>
      </c>
      <c r="Y12" s="1044"/>
      <c r="Z12" s="1045"/>
      <c r="AA12" s="1046" t="s">
        <v>2000</v>
      </c>
      <c r="AB12" s="1047"/>
      <c r="AC12" s="1047"/>
      <c r="AD12" s="1047"/>
      <c r="AE12" s="1047"/>
      <c r="AF12" s="1048"/>
    </row>
    <row r="13" spans="1:32" ht="15" x14ac:dyDescent="0.3">
      <c r="A13" s="821"/>
      <c r="B13" s="53"/>
      <c r="C13" s="822"/>
      <c r="D13" s="1039"/>
      <c r="E13" s="1040"/>
      <c r="F13" s="1040"/>
      <c r="G13" s="1040"/>
      <c r="H13" s="1040"/>
      <c r="I13" s="1040"/>
      <c r="J13" s="1041"/>
      <c r="K13" s="1046" t="s">
        <v>678</v>
      </c>
      <c r="L13" s="1047"/>
      <c r="M13" s="1047"/>
      <c r="N13" s="1047"/>
      <c r="O13" s="1047"/>
      <c r="P13" s="1047"/>
      <c r="Q13" s="1047"/>
      <c r="R13" s="1047"/>
      <c r="S13" s="1047"/>
      <c r="T13" s="1047"/>
      <c r="U13" s="1047"/>
      <c r="V13" s="1047"/>
      <c r="W13" s="1048"/>
      <c r="X13" s="1043">
        <v>10</v>
      </c>
      <c r="Y13" s="1044"/>
      <c r="Z13" s="1045"/>
      <c r="AA13" s="1046" t="s">
        <v>2001</v>
      </c>
      <c r="AB13" s="1047"/>
      <c r="AC13" s="1047"/>
      <c r="AD13" s="1047"/>
      <c r="AE13" s="1047"/>
      <c r="AF13" s="1048"/>
    </row>
    <row r="14" spans="1:32" ht="15" x14ac:dyDescent="0.3">
      <c r="A14" s="821"/>
      <c r="B14" s="53"/>
      <c r="C14" s="822"/>
      <c r="D14" s="1033" t="s">
        <v>245</v>
      </c>
      <c r="E14" s="1034"/>
      <c r="F14" s="1034"/>
      <c r="G14" s="1034"/>
      <c r="H14" s="1034"/>
      <c r="I14" s="1034"/>
      <c r="J14" s="1035"/>
      <c r="K14" s="1073" t="s">
        <v>1904</v>
      </c>
      <c r="L14" s="1074"/>
      <c r="M14" s="1074"/>
      <c r="N14" s="1074"/>
      <c r="O14" s="1074"/>
      <c r="P14" s="1074"/>
      <c r="Q14" s="1074"/>
      <c r="R14" s="1074"/>
      <c r="S14" s="1074"/>
      <c r="T14" s="1074"/>
      <c r="U14" s="1074"/>
      <c r="V14" s="1074"/>
      <c r="W14" s="1075"/>
      <c r="X14" s="1043" t="s">
        <v>1905</v>
      </c>
      <c r="Y14" s="1044"/>
      <c r="Z14" s="1045"/>
      <c r="AA14" s="1046" t="s">
        <v>2002</v>
      </c>
      <c r="AB14" s="1047"/>
      <c r="AC14" s="1047"/>
      <c r="AD14" s="1047"/>
      <c r="AE14" s="1047"/>
      <c r="AF14" s="1048"/>
    </row>
    <row r="15" spans="1:32" x14ac:dyDescent="0.3">
      <c r="A15" s="821"/>
      <c r="B15" s="53"/>
      <c r="C15" s="822"/>
      <c r="D15" s="1036"/>
      <c r="E15" s="1037"/>
      <c r="F15" s="1037"/>
      <c r="G15" s="1037"/>
      <c r="H15" s="1037"/>
      <c r="I15" s="1037"/>
      <c r="J15" s="1038"/>
      <c r="K15" s="1046" t="s">
        <v>250</v>
      </c>
      <c r="L15" s="1047"/>
      <c r="M15" s="1047"/>
      <c r="N15" s="1047"/>
      <c r="O15" s="1047"/>
      <c r="P15" s="1047"/>
      <c r="Q15" s="1047"/>
      <c r="R15" s="1047"/>
      <c r="S15" s="1047"/>
      <c r="T15" s="1047"/>
      <c r="U15" s="1047"/>
      <c r="V15" s="1047"/>
      <c r="W15" s="1048"/>
      <c r="X15" s="1043">
        <v>10</v>
      </c>
      <c r="Y15" s="1044"/>
      <c r="Z15" s="1045"/>
      <c r="AA15" s="1046" t="s">
        <v>1901</v>
      </c>
      <c r="AB15" s="1047"/>
      <c r="AC15" s="1047"/>
      <c r="AD15" s="1047"/>
      <c r="AE15" s="1047"/>
      <c r="AF15" s="1048"/>
    </row>
    <row r="16" spans="1:32" x14ac:dyDescent="0.3">
      <c r="A16" s="821"/>
      <c r="B16" s="53"/>
      <c r="C16" s="822"/>
      <c r="D16" s="1036"/>
      <c r="E16" s="1037"/>
      <c r="F16" s="1037"/>
      <c r="G16" s="1037"/>
      <c r="H16" s="1037"/>
      <c r="I16" s="1037"/>
      <c r="J16" s="1038"/>
      <c r="K16" s="1046" t="s">
        <v>3572</v>
      </c>
      <c r="L16" s="1047"/>
      <c r="M16" s="1047"/>
      <c r="N16" s="1047"/>
      <c r="O16" s="1047"/>
      <c r="P16" s="1047"/>
      <c r="Q16" s="1047"/>
      <c r="R16" s="1047"/>
      <c r="S16" s="1047"/>
      <c r="T16" s="1047"/>
      <c r="U16" s="1047"/>
      <c r="V16" s="1047"/>
      <c r="W16" s="1048"/>
      <c r="X16" s="1043">
        <v>25</v>
      </c>
      <c r="Y16" s="1044"/>
      <c r="Z16" s="1045"/>
      <c r="AA16" s="1046" t="s">
        <v>3616</v>
      </c>
      <c r="AB16" s="1047"/>
      <c r="AC16" s="1047"/>
      <c r="AD16" s="1047"/>
      <c r="AE16" s="1047"/>
      <c r="AF16" s="1048"/>
    </row>
    <row r="17" spans="1:32" x14ac:dyDescent="0.3">
      <c r="A17" s="821"/>
      <c r="B17" s="53"/>
      <c r="C17" s="822"/>
      <c r="D17" s="1036"/>
      <c r="E17" s="1037"/>
      <c r="F17" s="1037"/>
      <c r="G17" s="1037"/>
      <c r="H17" s="1037"/>
      <c r="I17" s="1037"/>
      <c r="J17" s="1038"/>
      <c r="K17" s="1046" t="s">
        <v>3617</v>
      </c>
      <c r="L17" s="1047"/>
      <c r="M17" s="1047"/>
      <c r="N17" s="1047"/>
      <c r="O17" s="1047"/>
      <c r="P17" s="1047"/>
      <c r="Q17" s="1047"/>
      <c r="R17" s="1047"/>
      <c r="S17" s="1047"/>
      <c r="T17" s="1047"/>
      <c r="U17" s="1047"/>
      <c r="V17" s="1047"/>
      <c r="W17" s="1048"/>
      <c r="X17" s="1043">
        <v>6</v>
      </c>
      <c r="Y17" s="1044"/>
      <c r="Z17" s="1045"/>
      <c r="AA17" s="1046" t="s">
        <v>3618</v>
      </c>
      <c r="AB17" s="1047"/>
      <c r="AC17" s="1047"/>
      <c r="AD17" s="1047"/>
      <c r="AE17" s="1047"/>
      <c r="AF17" s="1048"/>
    </row>
    <row r="18" spans="1:32" x14ac:dyDescent="0.3">
      <c r="A18" s="821"/>
      <c r="B18" s="53"/>
      <c r="C18" s="822"/>
      <c r="D18" s="1036"/>
      <c r="E18" s="1037"/>
      <c r="F18" s="1037"/>
      <c r="G18" s="1037"/>
      <c r="H18" s="1037"/>
      <c r="I18" s="1037"/>
      <c r="J18" s="1038"/>
      <c r="K18" s="1046" t="s">
        <v>3614</v>
      </c>
      <c r="L18" s="1047"/>
      <c r="M18" s="1047"/>
      <c r="N18" s="1047"/>
      <c r="O18" s="1047"/>
      <c r="P18" s="1047"/>
      <c r="Q18" s="1047"/>
      <c r="R18" s="1047"/>
      <c r="S18" s="1047"/>
      <c r="T18" s="1047"/>
      <c r="U18" s="1047"/>
      <c r="V18" s="1047"/>
      <c r="W18" s="1048"/>
      <c r="X18" s="1043">
        <v>5</v>
      </c>
      <c r="Y18" s="1044"/>
      <c r="Z18" s="1045"/>
      <c r="AA18" s="1050" t="s">
        <v>3615</v>
      </c>
      <c r="AB18" s="1051"/>
      <c r="AC18" s="1051"/>
      <c r="AD18" s="1051"/>
      <c r="AE18" s="1051"/>
      <c r="AF18" s="1052"/>
    </row>
    <row r="19" spans="1:32" ht="15" x14ac:dyDescent="0.3">
      <c r="A19" s="821"/>
      <c r="B19" s="53"/>
      <c r="C19" s="822"/>
      <c r="D19" s="1039"/>
      <c r="E19" s="1040"/>
      <c r="F19" s="1040"/>
      <c r="G19" s="1040"/>
      <c r="H19" s="1040"/>
      <c r="I19" s="1040"/>
      <c r="J19" s="1041"/>
      <c r="K19" s="1046" t="s">
        <v>4658</v>
      </c>
      <c r="L19" s="1047"/>
      <c r="M19" s="1047"/>
      <c r="N19" s="1047"/>
      <c r="O19" s="1047"/>
      <c r="P19" s="1047"/>
      <c r="Q19" s="1047"/>
      <c r="R19" s="1047"/>
      <c r="S19" s="1047"/>
      <c r="T19" s="1047"/>
      <c r="U19" s="1047"/>
      <c r="V19" s="1047"/>
      <c r="W19" s="1048"/>
      <c r="X19" s="1043">
        <v>10</v>
      </c>
      <c r="Y19" s="1044"/>
      <c r="Z19" s="1045"/>
      <c r="AA19" s="1050" t="s">
        <v>4660</v>
      </c>
      <c r="AB19" s="1051"/>
      <c r="AC19" s="1051"/>
      <c r="AD19" s="1051"/>
      <c r="AE19" s="1051"/>
      <c r="AF19" s="1052"/>
    </row>
    <row r="20" spans="1:32" x14ac:dyDescent="0.3">
      <c r="A20" s="821"/>
      <c r="B20" s="53"/>
      <c r="C20" s="822"/>
      <c r="D20" s="1033" t="s">
        <v>201</v>
      </c>
      <c r="E20" s="1034"/>
      <c r="F20" s="1034"/>
      <c r="G20" s="1034"/>
      <c r="H20" s="1034"/>
      <c r="I20" s="1034"/>
      <c r="J20" s="1035"/>
      <c r="K20" s="1046" t="s">
        <v>2771</v>
      </c>
      <c r="L20" s="1047"/>
      <c r="M20" s="1047"/>
      <c r="N20" s="1047"/>
      <c r="O20" s="1047"/>
      <c r="P20" s="1047"/>
      <c r="Q20" s="1047"/>
      <c r="R20" s="1047"/>
      <c r="S20" s="1047"/>
      <c r="T20" s="1047"/>
      <c r="U20" s="1047"/>
      <c r="V20" s="1047"/>
      <c r="W20" s="1048"/>
      <c r="X20" s="1043">
        <v>15</v>
      </c>
      <c r="Y20" s="1044"/>
      <c r="Z20" s="1045"/>
      <c r="AA20" s="1046" t="s">
        <v>1901</v>
      </c>
      <c r="AB20" s="1047"/>
      <c r="AC20" s="1047"/>
      <c r="AD20" s="1047"/>
      <c r="AE20" s="1047"/>
      <c r="AF20" s="1048"/>
    </row>
    <row r="21" spans="1:32" x14ac:dyDescent="0.3">
      <c r="A21" s="821"/>
      <c r="B21" s="53"/>
      <c r="C21" s="822"/>
      <c r="D21" s="1036"/>
      <c r="E21" s="1037"/>
      <c r="F21" s="1037"/>
      <c r="G21" s="1037"/>
      <c r="H21" s="1037"/>
      <c r="I21" s="1037"/>
      <c r="J21" s="1038"/>
      <c r="K21" s="1046" t="s">
        <v>3074</v>
      </c>
      <c r="L21" s="1047"/>
      <c r="M21" s="1047"/>
      <c r="N21" s="1047"/>
      <c r="O21" s="1047"/>
      <c r="P21" s="1047"/>
      <c r="Q21" s="1047"/>
      <c r="R21" s="1047"/>
      <c r="S21" s="1047"/>
      <c r="T21" s="1047"/>
      <c r="U21" s="1047"/>
      <c r="V21" s="1047"/>
      <c r="W21" s="1048"/>
      <c r="X21" s="1043">
        <v>9</v>
      </c>
      <c r="Y21" s="1044"/>
      <c r="Z21" s="1045"/>
      <c r="AA21" s="1046" t="s">
        <v>1899</v>
      </c>
      <c r="AB21" s="1047"/>
      <c r="AC21" s="1047"/>
      <c r="AD21" s="1047"/>
      <c r="AE21" s="1047"/>
      <c r="AF21" s="1048"/>
    </row>
    <row r="22" spans="1:32" ht="15" x14ac:dyDescent="0.3">
      <c r="A22" s="821"/>
      <c r="B22" s="53"/>
      <c r="C22" s="822"/>
      <c r="D22" s="1036"/>
      <c r="E22" s="1037"/>
      <c r="F22" s="1037"/>
      <c r="G22" s="1037"/>
      <c r="H22" s="1037"/>
      <c r="I22" s="1037"/>
      <c r="J22" s="1038"/>
      <c r="K22" s="1046" t="s">
        <v>679</v>
      </c>
      <c r="L22" s="1047"/>
      <c r="M22" s="1047"/>
      <c r="N22" s="1047"/>
      <c r="O22" s="1047"/>
      <c r="P22" s="1047"/>
      <c r="Q22" s="1047"/>
      <c r="R22" s="1047"/>
      <c r="S22" s="1047"/>
      <c r="T22" s="1047"/>
      <c r="U22" s="1047"/>
      <c r="V22" s="1047"/>
      <c r="W22" s="1048"/>
      <c r="X22" s="1043">
        <v>5</v>
      </c>
      <c r="Y22" s="1044"/>
      <c r="Z22" s="1045"/>
      <c r="AA22" s="1046" t="s">
        <v>4661</v>
      </c>
      <c r="AB22" s="1047"/>
      <c r="AC22" s="1047"/>
      <c r="AD22" s="1047"/>
      <c r="AE22" s="1047"/>
      <c r="AF22" s="1048"/>
    </row>
    <row r="23" spans="1:32" x14ac:dyDescent="0.3">
      <c r="A23" s="821"/>
      <c r="B23" s="53"/>
      <c r="C23" s="822"/>
      <c r="D23" s="1036"/>
      <c r="E23" s="1037"/>
      <c r="F23" s="1037"/>
      <c r="G23" s="1037"/>
      <c r="H23" s="1037"/>
      <c r="I23" s="1037"/>
      <c r="J23" s="1038"/>
      <c r="K23" s="1046" t="s">
        <v>680</v>
      </c>
      <c r="L23" s="1047"/>
      <c r="M23" s="1047"/>
      <c r="N23" s="1047"/>
      <c r="O23" s="1047"/>
      <c r="P23" s="1047"/>
      <c r="Q23" s="1047"/>
      <c r="R23" s="1047"/>
      <c r="S23" s="1047"/>
      <c r="T23" s="1047"/>
      <c r="U23" s="1047"/>
      <c r="V23" s="1047"/>
      <c r="W23" s="1048"/>
      <c r="X23" s="1043">
        <v>20</v>
      </c>
      <c r="Y23" s="1044"/>
      <c r="Z23" s="1045"/>
      <c r="AA23" s="1046" t="s">
        <v>1902</v>
      </c>
      <c r="AB23" s="1047"/>
      <c r="AC23" s="1047"/>
      <c r="AD23" s="1047"/>
      <c r="AE23" s="1047"/>
      <c r="AF23" s="1048"/>
    </row>
    <row r="24" spans="1:32" x14ac:dyDescent="0.3">
      <c r="A24" s="821"/>
      <c r="B24" s="53"/>
      <c r="C24" s="822"/>
      <c r="D24" s="1036"/>
      <c r="E24" s="1037"/>
      <c r="F24" s="1037"/>
      <c r="G24" s="1037"/>
      <c r="H24" s="1037"/>
      <c r="I24" s="1037"/>
      <c r="J24" s="1038"/>
      <c r="K24" s="1046" t="s">
        <v>512</v>
      </c>
      <c r="L24" s="1047"/>
      <c r="M24" s="1047"/>
      <c r="N24" s="1047"/>
      <c r="O24" s="1047"/>
      <c r="P24" s="1047"/>
      <c r="Q24" s="1047"/>
      <c r="R24" s="1047"/>
      <c r="S24" s="1047"/>
      <c r="T24" s="1047"/>
      <c r="U24" s="1047"/>
      <c r="V24" s="1047"/>
      <c r="W24" s="1048"/>
      <c r="X24" s="1043">
        <v>20</v>
      </c>
      <c r="Y24" s="1044"/>
      <c r="Z24" s="1045"/>
      <c r="AA24" s="1046" t="s">
        <v>1899</v>
      </c>
      <c r="AB24" s="1047"/>
      <c r="AC24" s="1047"/>
      <c r="AD24" s="1047"/>
      <c r="AE24" s="1047"/>
      <c r="AF24" s="1048"/>
    </row>
    <row r="25" spans="1:32" x14ac:dyDescent="0.3">
      <c r="A25" s="821"/>
      <c r="B25" s="53"/>
      <c r="C25" s="822"/>
      <c r="D25" s="1039"/>
      <c r="E25" s="1040"/>
      <c r="F25" s="1040"/>
      <c r="G25" s="1040"/>
      <c r="H25" s="1040"/>
      <c r="I25" s="1040"/>
      <c r="J25" s="1041"/>
      <c r="K25" s="1046" t="s">
        <v>3033</v>
      </c>
      <c r="L25" s="1047"/>
      <c r="M25" s="1047"/>
      <c r="N25" s="1047"/>
      <c r="O25" s="1047"/>
      <c r="P25" s="1047"/>
      <c r="Q25" s="1047"/>
      <c r="R25" s="1047"/>
      <c r="S25" s="1047"/>
      <c r="T25" s="1047"/>
      <c r="U25" s="1047"/>
      <c r="V25" s="1047"/>
      <c r="W25" s="1048"/>
      <c r="X25" s="1043">
        <v>12</v>
      </c>
      <c r="Y25" s="1044"/>
      <c r="Z25" s="1045"/>
      <c r="AA25" s="1046" t="s">
        <v>1902</v>
      </c>
      <c r="AB25" s="1047"/>
      <c r="AC25" s="1047"/>
      <c r="AD25" s="1047"/>
      <c r="AE25" s="1047"/>
      <c r="AF25" s="1048"/>
    </row>
    <row r="26" spans="1:32" x14ac:dyDescent="0.3">
      <c r="A26" s="821"/>
      <c r="B26" s="53"/>
      <c r="C26" s="822"/>
      <c r="D26" s="1033" t="s">
        <v>29</v>
      </c>
      <c r="E26" s="1034"/>
      <c r="F26" s="1034"/>
      <c r="G26" s="1034"/>
      <c r="H26" s="1034"/>
      <c r="I26" s="1034"/>
      <c r="J26" s="1035"/>
      <c r="K26" s="1046" t="s">
        <v>30</v>
      </c>
      <c r="L26" s="1047"/>
      <c r="M26" s="1047"/>
      <c r="N26" s="1047"/>
      <c r="O26" s="1047"/>
      <c r="P26" s="1047"/>
      <c r="Q26" s="1047"/>
      <c r="R26" s="1047"/>
      <c r="S26" s="1047"/>
      <c r="T26" s="1047"/>
      <c r="U26" s="1047"/>
      <c r="V26" s="1047"/>
      <c r="W26" s="1048"/>
      <c r="X26" s="1043">
        <v>14</v>
      </c>
      <c r="Y26" s="1044"/>
      <c r="Z26" s="1045"/>
      <c r="AA26" s="1046" t="s">
        <v>1901</v>
      </c>
      <c r="AB26" s="1047"/>
      <c r="AC26" s="1047"/>
      <c r="AD26" s="1047"/>
      <c r="AE26" s="1047"/>
      <c r="AF26" s="1048"/>
    </row>
    <row r="27" spans="1:32" x14ac:dyDescent="0.3">
      <c r="A27" s="821"/>
      <c r="B27" s="53"/>
      <c r="C27" s="822"/>
      <c r="D27" s="1036"/>
      <c r="E27" s="1037"/>
      <c r="F27" s="1037"/>
      <c r="G27" s="1037"/>
      <c r="H27" s="1037"/>
      <c r="I27" s="1037"/>
      <c r="J27" s="1038"/>
      <c r="K27" s="1046" t="s">
        <v>1898</v>
      </c>
      <c r="L27" s="1047"/>
      <c r="M27" s="1047"/>
      <c r="N27" s="1047"/>
      <c r="O27" s="1047"/>
      <c r="P27" s="1047"/>
      <c r="Q27" s="1047"/>
      <c r="R27" s="1047"/>
      <c r="S27" s="1047"/>
      <c r="T27" s="1047"/>
      <c r="U27" s="1047"/>
      <c r="V27" s="1047"/>
      <c r="W27" s="1048"/>
      <c r="X27" s="1043">
        <v>17</v>
      </c>
      <c r="Y27" s="1044"/>
      <c r="Z27" s="1045"/>
      <c r="AA27" s="1046" t="s">
        <v>1901</v>
      </c>
      <c r="AB27" s="1047"/>
      <c r="AC27" s="1047"/>
      <c r="AD27" s="1047"/>
      <c r="AE27" s="1047"/>
      <c r="AF27" s="1048"/>
    </row>
    <row r="28" spans="1:32" x14ac:dyDescent="0.3">
      <c r="A28" s="821"/>
      <c r="B28" s="53"/>
      <c r="C28" s="822"/>
      <c r="D28" s="1036"/>
      <c r="E28" s="1037"/>
      <c r="F28" s="1037"/>
      <c r="G28" s="1037"/>
      <c r="H28" s="1037"/>
      <c r="I28" s="1037"/>
      <c r="J28" s="1038"/>
      <c r="K28" s="1046" t="s">
        <v>2533</v>
      </c>
      <c r="L28" s="1047"/>
      <c r="M28" s="1047"/>
      <c r="N28" s="1047"/>
      <c r="O28" s="1047"/>
      <c r="P28" s="1047"/>
      <c r="Q28" s="1047"/>
      <c r="R28" s="1047"/>
      <c r="S28" s="1047"/>
      <c r="T28" s="1047"/>
      <c r="U28" s="1047"/>
      <c r="V28" s="1047"/>
      <c r="W28" s="1048"/>
      <c r="X28" s="1043">
        <v>8</v>
      </c>
      <c r="Y28" s="1044"/>
      <c r="Z28" s="1045"/>
      <c r="AA28" s="1046" t="s">
        <v>1901</v>
      </c>
      <c r="AB28" s="1047"/>
      <c r="AC28" s="1047"/>
      <c r="AD28" s="1047"/>
      <c r="AE28" s="1047"/>
      <c r="AF28" s="1048"/>
    </row>
    <row r="29" spans="1:32" x14ac:dyDescent="0.3">
      <c r="A29" s="821"/>
      <c r="B29" s="53"/>
      <c r="C29" s="822"/>
      <c r="D29" s="1036"/>
      <c r="E29" s="1037"/>
      <c r="F29" s="1037"/>
      <c r="G29" s="1037"/>
      <c r="H29" s="1037"/>
      <c r="I29" s="1037"/>
      <c r="J29" s="1038"/>
      <c r="K29" s="1046" t="s">
        <v>2534</v>
      </c>
      <c r="L29" s="1047"/>
      <c r="M29" s="1047"/>
      <c r="N29" s="1047"/>
      <c r="O29" s="1047"/>
      <c r="P29" s="1047"/>
      <c r="Q29" s="1047"/>
      <c r="R29" s="1047"/>
      <c r="S29" s="1047"/>
      <c r="T29" s="1047"/>
      <c r="U29" s="1047"/>
      <c r="V29" s="1047"/>
      <c r="W29" s="1048"/>
      <c r="X29" s="1043">
        <v>7</v>
      </c>
      <c r="Y29" s="1044"/>
      <c r="Z29" s="1045"/>
      <c r="AA29" s="1046" t="s">
        <v>1901</v>
      </c>
      <c r="AB29" s="1047"/>
      <c r="AC29" s="1047"/>
      <c r="AD29" s="1047"/>
      <c r="AE29" s="1047"/>
      <c r="AF29" s="1048"/>
    </row>
    <row r="30" spans="1:32" x14ac:dyDescent="0.3">
      <c r="A30" s="821"/>
      <c r="B30" s="53"/>
      <c r="C30" s="822"/>
      <c r="D30" s="1036"/>
      <c r="E30" s="1037"/>
      <c r="F30" s="1037"/>
      <c r="G30" s="1037"/>
      <c r="H30" s="1037"/>
      <c r="I30" s="1037"/>
      <c r="J30" s="1038"/>
      <c r="K30" s="1046" t="s">
        <v>681</v>
      </c>
      <c r="L30" s="1047"/>
      <c r="M30" s="1047"/>
      <c r="N30" s="1047"/>
      <c r="O30" s="1047"/>
      <c r="P30" s="1047"/>
      <c r="Q30" s="1047"/>
      <c r="R30" s="1047"/>
      <c r="S30" s="1047"/>
      <c r="T30" s="1047"/>
      <c r="U30" s="1047"/>
      <c r="V30" s="1047"/>
      <c r="W30" s="1048"/>
      <c r="X30" s="1043">
        <v>14</v>
      </c>
      <c r="Y30" s="1044"/>
      <c r="Z30" s="1045"/>
      <c r="AA30" s="1046" t="s">
        <v>1902</v>
      </c>
      <c r="AB30" s="1047"/>
      <c r="AC30" s="1047"/>
      <c r="AD30" s="1047"/>
      <c r="AE30" s="1047"/>
      <c r="AF30" s="1048"/>
    </row>
    <row r="31" spans="1:32" x14ac:dyDescent="0.3">
      <c r="A31" s="821"/>
      <c r="B31" s="53"/>
      <c r="C31" s="822"/>
      <c r="D31" s="1036"/>
      <c r="E31" s="1037"/>
      <c r="F31" s="1037"/>
      <c r="G31" s="1037"/>
      <c r="H31" s="1037"/>
      <c r="I31" s="1037"/>
      <c r="J31" s="1038"/>
      <c r="K31" s="1046" t="s">
        <v>3126</v>
      </c>
      <c r="L31" s="1047"/>
      <c r="M31" s="1047"/>
      <c r="N31" s="1047"/>
      <c r="O31" s="1047"/>
      <c r="P31" s="1047"/>
      <c r="Q31" s="1047"/>
      <c r="R31" s="1047"/>
      <c r="S31" s="1047"/>
      <c r="T31" s="1047"/>
      <c r="U31" s="1047"/>
      <c r="V31" s="1047"/>
      <c r="W31" s="1048"/>
      <c r="X31" s="1043">
        <v>11</v>
      </c>
      <c r="Y31" s="1044"/>
      <c r="Z31" s="1045"/>
      <c r="AA31" s="1046" t="s">
        <v>1899</v>
      </c>
      <c r="AB31" s="1047"/>
      <c r="AC31" s="1047"/>
      <c r="AD31" s="1047"/>
      <c r="AE31" s="1047"/>
      <c r="AF31" s="1048"/>
    </row>
    <row r="32" spans="1:32" ht="15" x14ac:dyDescent="0.3">
      <c r="A32" s="821"/>
      <c r="B32" s="53"/>
      <c r="C32" s="822"/>
      <c r="D32" s="1036"/>
      <c r="E32" s="1037"/>
      <c r="F32" s="1037"/>
      <c r="G32" s="1037"/>
      <c r="H32" s="1037"/>
      <c r="I32" s="1037"/>
      <c r="J32" s="1038"/>
      <c r="K32" s="1046" t="s">
        <v>1198</v>
      </c>
      <c r="L32" s="1047"/>
      <c r="M32" s="1047"/>
      <c r="N32" s="1047"/>
      <c r="O32" s="1047"/>
      <c r="P32" s="1047"/>
      <c r="Q32" s="1047"/>
      <c r="R32" s="1047"/>
      <c r="S32" s="1047"/>
      <c r="T32" s="1047"/>
      <c r="U32" s="1047"/>
      <c r="V32" s="1047"/>
      <c r="W32" s="1048"/>
      <c r="X32" s="1043">
        <v>12</v>
      </c>
      <c r="Y32" s="1044"/>
      <c r="Z32" s="1045"/>
      <c r="AA32" s="1046" t="s">
        <v>6421</v>
      </c>
      <c r="AB32" s="1047"/>
      <c r="AC32" s="1047"/>
      <c r="AD32" s="1047"/>
      <c r="AE32" s="1047"/>
      <c r="AF32" s="1048"/>
    </row>
    <row r="33" spans="1:32" x14ac:dyDescent="0.3">
      <c r="A33" s="821"/>
      <c r="B33" s="53"/>
      <c r="C33" s="822"/>
      <c r="D33" s="1036"/>
      <c r="E33" s="1037"/>
      <c r="F33" s="1037"/>
      <c r="G33" s="1037"/>
      <c r="H33" s="1037"/>
      <c r="I33" s="1037"/>
      <c r="J33" s="1038"/>
      <c r="K33" s="1046" t="s">
        <v>6515</v>
      </c>
      <c r="L33" s="1047"/>
      <c r="M33" s="1047"/>
      <c r="N33" s="1047"/>
      <c r="O33" s="1047"/>
      <c r="P33" s="1047"/>
      <c r="Q33" s="1047"/>
      <c r="R33" s="1047"/>
      <c r="S33" s="1047"/>
      <c r="T33" s="1047"/>
      <c r="U33" s="1047"/>
      <c r="V33" s="1047"/>
      <c r="W33" s="1048"/>
      <c r="X33" s="1043">
        <v>12</v>
      </c>
      <c r="Y33" s="1044"/>
      <c r="Z33" s="1045"/>
      <c r="AA33" s="1046" t="s">
        <v>6518</v>
      </c>
      <c r="AB33" s="1047"/>
      <c r="AC33" s="1047"/>
      <c r="AD33" s="1047"/>
      <c r="AE33" s="1047"/>
      <c r="AF33" s="1048"/>
    </row>
    <row r="34" spans="1:32" x14ac:dyDescent="0.3">
      <c r="A34" s="821"/>
      <c r="B34" s="53"/>
      <c r="C34" s="822"/>
      <c r="D34" s="1036"/>
      <c r="E34" s="1037"/>
      <c r="F34" s="1037"/>
      <c r="G34" s="1037"/>
      <c r="H34" s="1037"/>
      <c r="I34" s="1037"/>
      <c r="J34" s="1038"/>
      <c r="K34" s="1046" t="s">
        <v>397</v>
      </c>
      <c r="L34" s="1047"/>
      <c r="M34" s="1047"/>
      <c r="N34" s="1047"/>
      <c r="O34" s="1047"/>
      <c r="P34" s="1047"/>
      <c r="Q34" s="1047"/>
      <c r="R34" s="1047"/>
      <c r="S34" s="1047"/>
      <c r="T34" s="1047"/>
      <c r="U34" s="1047"/>
      <c r="V34" s="1047"/>
      <c r="W34" s="1048"/>
      <c r="X34" s="1043">
        <v>14</v>
      </c>
      <c r="Y34" s="1044"/>
      <c r="Z34" s="1045"/>
      <c r="AA34" s="1046" t="s">
        <v>1902</v>
      </c>
      <c r="AB34" s="1047"/>
      <c r="AC34" s="1047"/>
      <c r="AD34" s="1047"/>
      <c r="AE34" s="1047"/>
      <c r="AF34" s="1048"/>
    </row>
    <row r="35" spans="1:32" x14ac:dyDescent="0.3">
      <c r="A35" s="821"/>
      <c r="B35" s="53"/>
      <c r="C35" s="822"/>
      <c r="D35" s="1036"/>
      <c r="E35" s="1037"/>
      <c r="F35" s="1037"/>
      <c r="G35" s="1037"/>
      <c r="H35" s="1037"/>
      <c r="I35" s="1037"/>
      <c r="J35" s="1038"/>
      <c r="K35" s="1046" t="s">
        <v>3034</v>
      </c>
      <c r="L35" s="1047"/>
      <c r="M35" s="1047"/>
      <c r="N35" s="1047"/>
      <c r="O35" s="1047"/>
      <c r="P35" s="1047"/>
      <c r="Q35" s="1047"/>
      <c r="R35" s="1047"/>
      <c r="S35" s="1047"/>
      <c r="T35" s="1047"/>
      <c r="U35" s="1047"/>
      <c r="V35" s="1047"/>
      <c r="W35" s="1048"/>
      <c r="X35" s="1043">
        <v>9</v>
      </c>
      <c r="Y35" s="1044"/>
      <c r="Z35" s="1045"/>
      <c r="AA35" s="1046" t="s">
        <v>1902</v>
      </c>
      <c r="AB35" s="1047"/>
      <c r="AC35" s="1047"/>
      <c r="AD35" s="1047"/>
      <c r="AE35" s="1047"/>
      <c r="AF35" s="1048"/>
    </row>
    <row r="36" spans="1:32" x14ac:dyDescent="0.3">
      <c r="A36" s="821"/>
      <c r="B36" s="53"/>
      <c r="C36" s="822"/>
      <c r="D36" s="1039"/>
      <c r="E36" s="1040"/>
      <c r="F36" s="1040"/>
      <c r="G36" s="1040"/>
      <c r="H36" s="1040"/>
      <c r="I36" s="1040"/>
      <c r="J36" s="1041"/>
      <c r="K36" s="1046" t="s">
        <v>6546</v>
      </c>
      <c r="L36" s="1047"/>
      <c r="M36" s="1047"/>
      <c r="N36" s="1047"/>
      <c r="O36" s="1047"/>
      <c r="P36" s="1047"/>
      <c r="Q36" s="1047"/>
      <c r="R36" s="1047"/>
      <c r="S36" s="1047"/>
      <c r="T36" s="1047"/>
      <c r="U36" s="1047"/>
      <c r="V36" s="1047"/>
      <c r="W36" s="1048"/>
      <c r="X36" s="1043">
        <v>16</v>
      </c>
      <c r="Y36" s="1044"/>
      <c r="Z36" s="1045"/>
      <c r="AA36" s="1046" t="s">
        <v>6518</v>
      </c>
      <c r="AB36" s="1047"/>
      <c r="AC36" s="1047"/>
      <c r="AD36" s="1047"/>
      <c r="AE36" s="1047"/>
      <c r="AF36" s="1048"/>
    </row>
    <row r="37" spans="1:32" x14ac:dyDescent="0.3">
      <c r="A37" s="821"/>
      <c r="B37" s="53"/>
      <c r="C37" s="822"/>
      <c r="D37" s="1043" t="s">
        <v>416</v>
      </c>
      <c r="E37" s="1044"/>
      <c r="F37" s="1044"/>
      <c r="G37" s="1044"/>
      <c r="H37" s="1044"/>
      <c r="I37" s="1044"/>
      <c r="J37" s="1045"/>
      <c r="K37" s="1046" t="s">
        <v>966</v>
      </c>
      <c r="L37" s="1047"/>
      <c r="M37" s="1047"/>
      <c r="N37" s="1047"/>
      <c r="O37" s="1047"/>
      <c r="P37" s="1047"/>
      <c r="Q37" s="1047"/>
      <c r="R37" s="1047"/>
      <c r="S37" s="1047"/>
      <c r="T37" s="1047"/>
      <c r="U37" s="1047"/>
      <c r="V37" s="1047"/>
      <c r="W37" s="1048"/>
      <c r="X37" s="1043">
        <v>6</v>
      </c>
      <c r="Y37" s="1044"/>
      <c r="Z37" s="1045"/>
      <c r="AA37" s="1046" t="s">
        <v>4659</v>
      </c>
      <c r="AB37" s="1047"/>
      <c r="AC37" s="1047"/>
      <c r="AD37" s="1047"/>
      <c r="AE37" s="1047"/>
      <c r="AF37" s="1048"/>
    </row>
    <row r="38" spans="1:32" x14ac:dyDescent="0.3">
      <c r="A38" s="821"/>
      <c r="B38" s="53"/>
      <c r="C38" s="822"/>
      <c r="D38" s="1043"/>
      <c r="E38" s="1044"/>
      <c r="F38" s="1044"/>
      <c r="G38" s="1044"/>
      <c r="H38" s="1044"/>
      <c r="I38" s="1044"/>
      <c r="J38" s="1045"/>
      <c r="K38" s="1046" t="s">
        <v>682</v>
      </c>
      <c r="L38" s="1047"/>
      <c r="M38" s="1047"/>
      <c r="N38" s="1047"/>
      <c r="O38" s="1047"/>
      <c r="P38" s="1047"/>
      <c r="Q38" s="1047"/>
      <c r="R38" s="1047"/>
      <c r="S38" s="1047"/>
      <c r="T38" s="1047"/>
      <c r="U38" s="1047"/>
      <c r="V38" s="1047"/>
      <c r="W38" s="1048"/>
      <c r="X38" s="1043">
        <v>5</v>
      </c>
      <c r="Y38" s="1044"/>
      <c r="Z38" s="1045"/>
      <c r="AA38" s="1046" t="s">
        <v>1902</v>
      </c>
      <c r="AB38" s="1047"/>
      <c r="AC38" s="1047"/>
      <c r="AD38" s="1047"/>
      <c r="AE38" s="1047"/>
      <c r="AF38" s="1048"/>
    </row>
    <row r="39" spans="1:32" x14ac:dyDescent="0.3">
      <c r="A39" s="821"/>
      <c r="B39" s="53"/>
      <c r="C39" s="822"/>
      <c r="D39" s="1043"/>
      <c r="E39" s="1044"/>
      <c r="F39" s="1044"/>
      <c r="G39" s="1044"/>
      <c r="H39" s="1044"/>
      <c r="I39" s="1044"/>
      <c r="J39" s="1045"/>
      <c r="K39" s="1046" t="s">
        <v>967</v>
      </c>
      <c r="L39" s="1047"/>
      <c r="M39" s="1047"/>
      <c r="N39" s="1047"/>
      <c r="O39" s="1047"/>
      <c r="P39" s="1047"/>
      <c r="Q39" s="1047"/>
      <c r="R39" s="1047"/>
      <c r="S39" s="1047"/>
      <c r="T39" s="1047"/>
      <c r="U39" s="1047"/>
      <c r="V39" s="1047"/>
      <c r="W39" s="1048"/>
      <c r="X39" s="1043">
        <v>4</v>
      </c>
      <c r="Y39" s="1044"/>
      <c r="Z39" s="1045"/>
      <c r="AA39" s="1046" t="s">
        <v>1899</v>
      </c>
      <c r="AB39" s="1047"/>
      <c r="AC39" s="1047"/>
      <c r="AD39" s="1047"/>
      <c r="AE39" s="1047"/>
      <c r="AF39" s="1048"/>
    </row>
    <row r="40" spans="1:32" x14ac:dyDescent="0.3">
      <c r="A40" s="821"/>
      <c r="B40" s="53"/>
      <c r="C40" s="822"/>
      <c r="D40" s="1043" t="s">
        <v>914</v>
      </c>
      <c r="E40" s="1044"/>
      <c r="F40" s="1044"/>
      <c r="G40" s="1044"/>
      <c r="H40" s="1044"/>
      <c r="I40" s="1044"/>
      <c r="J40" s="1045"/>
      <c r="K40" s="1046" t="s">
        <v>683</v>
      </c>
      <c r="L40" s="1047"/>
      <c r="M40" s="1047"/>
      <c r="N40" s="1047"/>
      <c r="O40" s="1047"/>
      <c r="P40" s="1047"/>
      <c r="Q40" s="1047"/>
      <c r="R40" s="1047"/>
      <c r="S40" s="1047"/>
      <c r="T40" s="1047"/>
      <c r="U40" s="1047"/>
      <c r="V40" s="1047"/>
      <c r="W40" s="1048"/>
      <c r="X40" s="1043">
        <v>10</v>
      </c>
      <c r="Y40" s="1044"/>
      <c r="Z40" s="1045"/>
      <c r="AA40" s="1046" t="s">
        <v>1901</v>
      </c>
      <c r="AB40" s="1047"/>
      <c r="AC40" s="1047"/>
      <c r="AD40" s="1047"/>
      <c r="AE40" s="1047"/>
      <c r="AF40" s="1048"/>
    </row>
    <row r="41" spans="1:32" x14ac:dyDescent="0.3">
      <c r="A41" s="821"/>
      <c r="B41" s="53"/>
      <c r="C41" s="822"/>
      <c r="D41" s="1033" t="s">
        <v>910</v>
      </c>
      <c r="E41" s="1034"/>
      <c r="F41" s="1034"/>
      <c r="G41" s="1034"/>
      <c r="H41" s="1034"/>
      <c r="I41" s="1034"/>
      <c r="J41" s="1035"/>
      <c r="K41" s="1046" t="s">
        <v>3266</v>
      </c>
      <c r="L41" s="1047"/>
      <c r="M41" s="1047"/>
      <c r="N41" s="1047"/>
      <c r="O41" s="1047"/>
      <c r="P41" s="1047"/>
      <c r="Q41" s="1047"/>
      <c r="R41" s="1047"/>
      <c r="S41" s="1047"/>
      <c r="T41" s="1047"/>
      <c r="U41" s="1047"/>
      <c r="V41" s="1047"/>
      <c r="W41" s="1048"/>
      <c r="X41" s="1043">
        <v>5</v>
      </c>
      <c r="Y41" s="1044"/>
      <c r="Z41" s="1045"/>
      <c r="AA41" s="1046" t="s">
        <v>4659</v>
      </c>
      <c r="AB41" s="1047"/>
      <c r="AC41" s="1047"/>
      <c r="AD41" s="1047"/>
      <c r="AE41" s="1047"/>
      <c r="AF41" s="1048"/>
    </row>
    <row r="42" spans="1:32" x14ac:dyDescent="0.3">
      <c r="A42" s="821"/>
      <c r="B42" s="53"/>
      <c r="C42" s="822"/>
      <c r="D42" s="1039"/>
      <c r="E42" s="1040"/>
      <c r="F42" s="1040"/>
      <c r="G42" s="1040"/>
      <c r="H42" s="1040"/>
      <c r="I42" s="1040"/>
      <c r="J42" s="1041"/>
      <c r="K42" s="1046" t="s">
        <v>6547</v>
      </c>
      <c r="L42" s="1047"/>
      <c r="M42" s="1047"/>
      <c r="N42" s="1047"/>
      <c r="O42" s="1047"/>
      <c r="P42" s="1047"/>
      <c r="Q42" s="1047"/>
      <c r="R42" s="1047"/>
      <c r="S42" s="1047"/>
      <c r="T42" s="1047"/>
      <c r="U42" s="1047"/>
      <c r="V42" s="1047"/>
      <c r="W42" s="1048"/>
      <c r="X42" s="1043">
        <v>10</v>
      </c>
      <c r="Y42" s="1044"/>
      <c r="Z42" s="1045"/>
      <c r="AA42" s="1046" t="s">
        <v>6612</v>
      </c>
      <c r="AB42" s="1047"/>
      <c r="AC42" s="1047"/>
      <c r="AD42" s="1047"/>
      <c r="AE42" s="1047"/>
      <c r="AF42" s="1048"/>
    </row>
    <row r="43" spans="1:32" x14ac:dyDescent="0.3">
      <c r="A43" s="821"/>
      <c r="B43" s="53"/>
      <c r="C43" s="822"/>
      <c r="D43" s="1033" t="s">
        <v>684</v>
      </c>
      <c r="E43" s="1034"/>
      <c r="F43" s="1034"/>
      <c r="G43" s="1034"/>
      <c r="H43" s="1034"/>
      <c r="I43" s="1034"/>
      <c r="J43" s="1035"/>
      <c r="K43" s="1046" t="s">
        <v>685</v>
      </c>
      <c r="L43" s="1047"/>
      <c r="M43" s="1047"/>
      <c r="N43" s="1047"/>
      <c r="O43" s="1047"/>
      <c r="P43" s="1047"/>
      <c r="Q43" s="1047"/>
      <c r="R43" s="1047"/>
      <c r="S43" s="1047"/>
      <c r="T43" s="1047"/>
      <c r="U43" s="1047"/>
      <c r="V43" s="1047"/>
      <c r="W43" s="1048"/>
      <c r="X43" s="1043">
        <v>8</v>
      </c>
      <c r="Y43" s="1044"/>
      <c r="Z43" s="1045"/>
      <c r="AA43" s="1046" t="s">
        <v>1902</v>
      </c>
      <c r="AB43" s="1047"/>
      <c r="AC43" s="1047"/>
      <c r="AD43" s="1047"/>
      <c r="AE43" s="1047"/>
      <c r="AF43" s="1048"/>
    </row>
    <row r="44" spans="1:32" x14ac:dyDescent="0.3">
      <c r="A44" s="821"/>
      <c r="B44" s="53"/>
      <c r="C44" s="822"/>
      <c r="D44" s="1036"/>
      <c r="E44" s="1037"/>
      <c r="F44" s="1037"/>
      <c r="G44" s="1037"/>
      <c r="H44" s="1037"/>
      <c r="I44" s="1037"/>
      <c r="J44" s="1038"/>
      <c r="K44" s="1046" t="s">
        <v>532</v>
      </c>
      <c r="L44" s="1047"/>
      <c r="M44" s="1047"/>
      <c r="N44" s="1047"/>
      <c r="O44" s="1047"/>
      <c r="P44" s="1047"/>
      <c r="Q44" s="1047"/>
      <c r="R44" s="1047"/>
      <c r="S44" s="1047"/>
      <c r="T44" s="1047"/>
      <c r="U44" s="1047"/>
      <c r="V44" s="1047"/>
      <c r="W44" s="1048"/>
      <c r="X44" s="1043">
        <v>1</v>
      </c>
      <c r="Y44" s="1044"/>
      <c r="Z44" s="1045"/>
      <c r="AA44" s="1046" t="s">
        <v>1902</v>
      </c>
      <c r="AB44" s="1047"/>
      <c r="AC44" s="1047"/>
      <c r="AD44" s="1047"/>
      <c r="AE44" s="1047"/>
      <c r="AF44" s="1048"/>
    </row>
    <row r="45" spans="1:32" x14ac:dyDescent="0.3">
      <c r="A45" s="821"/>
      <c r="B45" s="53"/>
      <c r="C45" s="822"/>
      <c r="D45" s="1036"/>
      <c r="E45" s="1037"/>
      <c r="F45" s="1037"/>
      <c r="G45" s="1037"/>
      <c r="H45" s="1037"/>
      <c r="I45" s="1037"/>
      <c r="J45" s="1038"/>
      <c r="K45" s="1046" t="s">
        <v>686</v>
      </c>
      <c r="L45" s="1047"/>
      <c r="M45" s="1047"/>
      <c r="N45" s="1047"/>
      <c r="O45" s="1047"/>
      <c r="P45" s="1047"/>
      <c r="Q45" s="1047"/>
      <c r="R45" s="1047"/>
      <c r="S45" s="1047"/>
      <c r="T45" s="1047"/>
      <c r="U45" s="1047"/>
      <c r="V45" s="1047"/>
      <c r="W45" s="1048"/>
      <c r="X45" s="1043">
        <v>4</v>
      </c>
      <c r="Y45" s="1044"/>
      <c r="Z45" s="1045"/>
      <c r="AA45" s="1046" t="s">
        <v>1902</v>
      </c>
      <c r="AB45" s="1047"/>
      <c r="AC45" s="1047"/>
      <c r="AD45" s="1047"/>
      <c r="AE45" s="1047"/>
      <c r="AF45" s="1048"/>
    </row>
    <row r="46" spans="1:32" x14ac:dyDescent="0.3">
      <c r="A46" s="823"/>
      <c r="B46" s="824"/>
      <c r="C46" s="825"/>
      <c r="D46" s="1039"/>
      <c r="E46" s="1040"/>
      <c r="F46" s="1040"/>
      <c r="G46" s="1040"/>
      <c r="H46" s="1040"/>
      <c r="I46" s="1040"/>
      <c r="J46" s="1041"/>
      <c r="K46" s="1046" t="s">
        <v>625</v>
      </c>
      <c r="L46" s="1047"/>
      <c r="M46" s="1047"/>
      <c r="N46" s="1047"/>
      <c r="O46" s="1047"/>
      <c r="P46" s="1047"/>
      <c r="Q46" s="1047"/>
      <c r="R46" s="1047"/>
      <c r="S46" s="1047"/>
      <c r="T46" s="1047"/>
      <c r="U46" s="1047"/>
      <c r="V46" s="1047"/>
      <c r="W46" s="1048"/>
      <c r="X46" s="1043">
        <v>8</v>
      </c>
      <c r="Y46" s="1044"/>
      <c r="Z46" s="1045"/>
      <c r="AA46" s="1046" t="s">
        <v>1902</v>
      </c>
      <c r="AB46" s="1047"/>
      <c r="AC46" s="1047"/>
      <c r="AD46" s="1047"/>
      <c r="AE46" s="1047"/>
      <c r="AF46" s="1048"/>
    </row>
    <row r="47" spans="1:32" x14ac:dyDescent="0.3">
      <c r="A47" s="1033" t="s">
        <v>670</v>
      </c>
      <c r="B47" s="1034"/>
      <c r="C47" s="1035"/>
      <c r="D47" s="1043" t="s">
        <v>366</v>
      </c>
      <c r="E47" s="1044"/>
      <c r="F47" s="1044"/>
      <c r="G47" s="1044"/>
      <c r="H47" s="1044"/>
      <c r="I47" s="1044"/>
      <c r="J47" s="1045"/>
      <c r="K47" s="1046" t="s">
        <v>687</v>
      </c>
      <c r="L47" s="1047"/>
      <c r="M47" s="1047"/>
      <c r="N47" s="1047"/>
      <c r="O47" s="1047"/>
      <c r="P47" s="1047"/>
      <c r="Q47" s="1047"/>
      <c r="R47" s="1047"/>
      <c r="S47" s="1047"/>
      <c r="T47" s="1047"/>
      <c r="U47" s="1047"/>
      <c r="V47" s="1047"/>
      <c r="W47" s="1048"/>
      <c r="X47" s="1043">
        <v>5</v>
      </c>
      <c r="Y47" s="1044"/>
      <c r="Z47" s="1045"/>
      <c r="AA47" s="1046" t="s">
        <v>1902</v>
      </c>
      <c r="AB47" s="1047"/>
      <c r="AC47" s="1047"/>
      <c r="AD47" s="1047"/>
      <c r="AE47" s="1047"/>
      <c r="AF47" s="1048"/>
    </row>
    <row r="48" spans="1:32" x14ac:dyDescent="0.3">
      <c r="A48" s="1039"/>
      <c r="B48" s="1040"/>
      <c r="C48" s="1041"/>
      <c r="D48" s="1043" t="s">
        <v>539</v>
      </c>
      <c r="E48" s="1044"/>
      <c r="F48" s="1044"/>
      <c r="G48" s="1044"/>
      <c r="H48" s="1044"/>
      <c r="I48" s="1044"/>
      <c r="J48" s="1045"/>
      <c r="K48" s="1046" t="s">
        <v>4657</v>
      </c>
      <c r="L48" s="1047"/>
      <c r="M48" s="1047"/>
      <c r="N48" s="1047"/>
      <c r="O48" s="1047"/>
      <c r="P48" s="1047"/>
      <c r="Q48" s="1047"/>
      <c r="R48" s="1047"/>
      <c r="S48" s="1047"/>
      <c r="T48" s="1047"/>
      <c r="U48" s="1047"/>
      <c r="V48" s="1047"/>
      <c r="W48" s="1048"/>
      <c r="X48" s="1043">
        <v>10</v>
      </c>
      <c r="Y48" s="1044"/>
      <c r="Z48" s="1045"/>
      <c r="AA48" s="1046" t="s">
        <v>4659</v>
      </c>
      <c r="AB48" s="1047"/>
      <c r="AC48" s="1047"/>
      <c r="AD48" s="1047"/>
      <c r="AE48" s="1047"/>
      <c r="AF48" s="1048"/>
    </row>
    <row r="49" spans="1:39" x14ac:dyDescent="0.3">
      <c r="A49" s="1033" t="s">
        <v>672</v>
      </c>
      <c r="B49" s="1034"/>
      <c r="C49" s="1035"/>
      <c r="D49" s="1043" t="s">
        <v>688</v>
      </c>
      <c r="E49" s="1044"/>
      <c r="F49" s="1044"/>
      <c r="G49" s="1044"/>
      <c r="H49" s="1044"/>
      <c r="I49" s="1044"/>
      <c r="J49" s="1045"/>
      <c r="K49" s="1046" t="s">
        <v>689</v>
      </c>
      <c r="L49" s="1047"/>
      <c r="M49" s="1047"/>
      <c r="N49" s="1047"/>
      <c r="O49" s="1047"/>
      <c r="P49" s="1047"/>
      <c r="Q49" s="1047"/>
      <c r="R49" s="1047"/>
      <c r="S49" s="1047"/>
      <c r="T49" s="1047"/>
      <c r="U49" s="1047"/>
      <c r="V49" s="1047"/>
      <c r="W49" s="1048"/>
      <c r="X49" s="1043">
        <v>15</v>
      </c>
      <c r="Y49" s="1044"/>
      <c r="Z49" s="1045"/>
      <c r="AA49" s="1046" t="s">
        <v>1902</v>
      </c>
      <c r="AB49" s="1047"/>
      <c r="AC49" s="1047"/>
      <c r="AD49" s="1047"/>
      <c r="AE49" s="1047"/>
      <c r="AF49" s="1048"/>
    </row>
    <row r="50" spans="1:39" ht="15" x14ac:dyDescent="0.3">
      <c r="A50" s="1036"/>
      <c r="B50" s="1037"/>
      <c r="C50" s="1038"/>
      <c r="D50" s="1043" t="s">
        <v>346</v>
      </c>
      <c r="E50" s="1044"/>
      <c r="F50" s="1044"/>
      <c r="G50" s="1044"/>
      <c r="H50" s="1044"/>
      <c r="I50" s="1044"/>
      <c r="J50" s="1045"/>
      <c r="K50" s="1046" t="s">
        <v>529</v>
      </c>
      <c r="L50" s="1047"/>
      <c r="M50" s="1047"/>
      <c r="N50" s="1047"/>
      <c r="O50" s="1047"/>
      <c r="P50" s="1047"/>
      <c r="Q50" s="1047"/>
      <c r="R50" s="1047"/>
      <c r="S50" s="1047"/>
      <c r="T50" s="1047"/>
      <c r="U50" s="1047"/>
      <c r="V50" s="1047"/>
      <c r="W50" s="1048"/>
      <c r="X50" s="1043">
        <v>5</v>
      </c>
      <c r="Y50" s="1044"/>
      <c r="Z50" s="1045"/>
      <c r="AA50" s="1046" t="s">
        <v>6422</v>
      </c>
      <c r="AB50" s="1047"/>
      <c r="AC50" s="1047"/>
      <c r="AD50" s="1047"/>
      <c r="AE50" s="1047"/>
      <c r="AF50" s="1048"/>
    </row>
    <row r="51" spans="1:39" x14ac:dyDescent="0.3">
      <c r="A51" s="1036"/>
      <c r="B51" s="1037"/>
      <c r="C51" s="1038"/>
      <c r="D51" s="1043" t="s">
        <v>201</v>
      </c>
      <c r="E51" s="1044"/>
      <c r="F51" s="1044"/>
      <c r="G51" s="1044"/>
      <c r="H51" s="1044"/>
      <c r="I51" s="1044"/>
      <c r="J51" s="1045"/>
      <c r="K51" s="1046" t="s">
        <v>690</v>
      </c>
      <c r="L51" s="1047"/>
      <c r="M51" s="1047"/>
      <c r="N51" s="1047"/>
      <c r="O51" s="1047"/>
      <c r="P51" s="1047"/>
      <c r="Q51" s="1047"/>
      <c r="R51" s="1047"/>
      <c r="S51" s="1047"/>
      <c r="T51" s="1047"/>
      <c r="U51" s="1047"/>
      <c r="V51" s="1047"/>
      <c r="W51" s="1048"/>
      <c r="X51" s="1043">
        <v>15</v>
      </c>
      <c r="Y51" s="1044"/>
      <c r="Z51" s="1045"/>
      <c r="AA51" s="1046" t="s">
        <v>1899</v>
      </c>
      <c r="AB51" s="1047"/>
      <c r="AC51" s="1047"/>
      <c r="AD51" s="1047"/>
      <c r="AE51" s="1047"/>
      <c r="AF51" s="1048"/>
    </row>
    <row r="52" spans="1:39" x14ac:dyDescent="0.3">
      <c r="A52" s="1039"/>
      <c r="B52" s="1040"/>
      <c r="C52" s="1041"/>
      <c r="D52" s="1043" t="s">
        <v>201</v>
      </c>
      <c r="E52" s="1044"/>
      <c r="F52" s="1044"/>
      <c r="G52" s="1044"/>
      <c r="H52" s="1044"/>
      <c r="I52" s="1044"/>
      <c r="J52" s="1045"/>
      <c r="K52" s="1046" t="s">
        <v>970</v>
      </c>
      <c r="L52" s="1047"/>
      <c r="M52" s="1047"/>
      <c r="N52" s="1047"/>
      <c r="O52" s="1047"/>
      <c r="P52" s="1047"/>
      <c r="Q52" s="1047"/>
      <c r="R52" s="1047"/>
      <c r="S52" s="1047"/>
      <c r="T52" s="1047"/>
      <c r="U52" s="1047"/>
      <c r="V52" s="1047"/>
      <c r="W52" s="1048"/>
      <c r="X52" s="1043">
        <v>3</v>
      </c>
      <c r="Y52" s="1044"/>
      <c r="Z52" s="1045"/>
      <c r="AA52" s="1046" t="s">
        <v>1899</v>
      </c>
      <c r="AB52" s="1047"/>
      <c r="AC52" s="1047"/>
      <c r="AD52" s="1047"/>
      <c r="AE52" s="1047"/>
      <c r="AF52" s="1048"/>
    </row>
    <row r="53" spans="1:39" x14ac:dyDescent="0.3">
      <c r="A53" s="1033" t="s">
        <v>674</v>
      </c>
      <c r="B53" s="1034"/>
      <c r="C53" s="1035"/>
      <c r="D53" s="1033" t="s">
        <v>691</v>
      </c>
      <c r="E53" s="1034"/>
      <c r="F53" s="1034"/>
      <c r="G53" s="1034"/>
      <c r="H53" s="1034"/>
      <c r="I53" s="1034"/>
      <c r="J53" s="1035"/>
      <c r="K53" s="1046" t="s">
        <v>692</v>
      </c>
      <c r="L53" s="1047"/>
      <c r="M53" s="1047"/>
      <c r="N53" s="1047"/>
      <c r="O53" s="1047"/>
      <c r="P53" s="1047"/>
      <c r="Q53" s="1047"/>
      <c r="R53" s="1047"/>
      <c r="S53" s="1047"/>
      <c r="T53" s="1047"/>
      <c r="U53" s="1047"/>
      <c r="V53" s="1047"/>
      <c r="W53" s="1048"/>
      <c r="X53" s="1043">
        <v>6</v>
      </c>
      <c r="Y53" s="1044"/>
      <c r="Z53" s="1045"/>
      <c r="AA53" s="1046" t="s">
        <v>1902</v>
      </c>
      <c r="AB53" s="1047"/>
      <c r="AC53" s="1047"/>
      <c r="AD53" s="1047"/>
      <c r="AE53" s="1047"/>
      <c r="AF53" s="1048"/>
    </row>
    <row r="54" spans="1:39" x14ac:dyDescent="0.3">
      <c r="A54" s="1036"/>
      <c r="B54" s="1037"/>
      <c r="C54" s="1038"/>
      <c r="D54" s="1036"/>
      <c r="E54" s="1037"/>
      <c r="F54" s="1037"/>
      <c r="G54" s="1037"/>
      <c r="H54" s="1037"/>
      <c r="I54" s="1037"/>
      <c r="J54" s="1038"/>
      <c r="K54" s="1046" t="s">
        <v>2533</v>
      </c>
      <c r="L54" s="1047"/>
      <c r="M54" s="1047"/>
      <c r="N54" s="1047"/>
      <c r="O54" s="1047"/>
      <c r="P54" s="1047"/>
      <c r="Q54" s="1047"/>
      <c r="R54" s="1047"/>
      <c r="S54" s="1047"/>
      <c r="T54" s="1047"/>
      <c r="U54" s="1047"/>
      <c r="V54" s="1047"/>
      <c r="W54" s="1048"/>
      <c r="X54" s="1043">
        <v>8</v>
      </c>
      <c r="Y54" s="1044"/>
      <c r="Z54" s="1045"/>
      <c r="AA54" s="1046" t="s">
        <v>1901</v>
      </c>
      <c r="AB54" s="1047"/>
      <c r="AC54" s="1047"/>
      <c r="AD54" s="1047"/>
      <c r="AE54" s="1047"/>
      <c r="AF54" s="1048"/>
    </row>
    <row r="55" spans="1:39" x14ac:dyDescent="0.3">
      <c r="A55" s="1036"/>
      <c r="B55" s="1037"/>
      <c r="C55" s="1038"/>
      <c r="D55" s="1039"/>
      <c r="E55" s="1040"/>
      <c r="F55" s="1040"/>
      <c r="G55" s="1040"/>
      <c r="H55" s="1040"/>
      <c r="I55" s="1040"/>
      <c r="J55" s="1041"/>
      <c r="K55" s="1046" t="s">
        <v>2534</v>
      </c>
      <c r="L55" s="1047"/>
      <c r="M55" s="1047"/>
      <c r="N55" s="1047"/>
      <c r="O55" s="1047"/>
      <c r="P55" s="1047"/>
      <c r="Q55" s="1047"/>
      <c r="R55" s="1047"/>
      <c r="S55" s="1047"/>
      <c r="T55" s="1047"/>
      <c r="U55" s="1047"/>
      <c r="V55" s="1047"/>
      <c r="W55" s="1048"/>
      <c r="X55" s="1043">
        <v>7</v>
      </c>
      <c r="Y55" s="1044"/>
      <c r="Z55" s="1045"/>
      <c r="AA55" s="1046" t="s">
        <v>1901</v>
      </c>
      <c r="AB55" s="1047"/>
      <c r="AC55" s="1047"/>
      <c r="AD55" s="1047"/>
      <c r="AE55" s="1047"/>
      <c r="AF55" s="1048"/>
    </row>
    <row r="56" spans="1:39" x14ac:dyDescent="0.3">
      <c r="A56" s="1036"/>
      <c r="B56" s="1037"/>
      <c r="C56" s="1038"/>
      <c r="D56" s="1043" t="s">
        <v>346</v>
      </c>
      <c r="E56" s="1044"/>
      <c r="F56" s="1044"/>
      <c r="G56" s="1044"/>
      <c r="H56" s="1044"/>
      <c r="I56" s="1044"/>
      <c r="J56" s="1045"/>
      <c r="K56" s="1046" t="s">
        <v>677</v>
      </c>
      <c r="L56" s="1047"/>
      <c r="M56" s="1047"/>
      <c r="N56" s="1047"/>
      <c r="O56" s="1047"/>
      <c r="P56" s="1047"/>
      <c r="Q56" s="1047"/>
      <c r="R56" s="1047"/>
      <c r="S56" s="1047"/>
      <c r="T56" s="1047"/>
      <c r="U56" s="1047"/>
      <c r="V56" s="1047"/>
      <c r="W56" s="1048"/>
      <c r="X56" s="1043">
        <f>X12</f>
        <v>18</v>
      </c>
      <c r="Y56" s="1044"/>
      <c r="Z56" s="1045"/>
      <c r="AA56" s="1046" t="s">
        <v>1901</v>
      </c>
      <c r="AB56" s="1047"/>
      <c r="AC56" s="1047"/>
      <c r="AD56" s="1047"/>
      <c r="AE56" s="1047"/>
      <c r="AF56" s="1048"/>
    </row>
    <row r="57" spans="1:39" x14ac:dyDescent="0.3">
      <c r="A57" s="1036"/>
      <c r="B57" s="1037"/>
      <c r="C57" s="1038"/>
      <c r="D57" s="1033" t="s">
        <v>693</v>
      </c>
      <c r="E57" s="1034"/>
      <c r="F57" s="1034"/>
      <c r="G57" s="1034"/>
      <c r="H57" s="1034"/>
      <c r="I57" s="1034"/>
      <c r="J57" s="1035"/>
      <c r="K57" s="1046" t="s">
        <v>694</v>
      </c>
      <c r="L57" s="1047"/>
      <c r="M57" s="1047"/>
      <c r="N57" s="1047"/>
      <c r="O57" s="1047"/>
      <c r="P57" s="1047"/>
      <c r="Q57" s="1047"/>
      <c r="R57" s="1047"/>
      <c r="S57" s="1047"/>
      <c r="T57" s="1047"/>
      <c r="U57" s="1047"/>
      <c r="V57" s="1047"/>
      <c r="W57" s="1048"/>
      <c r="X57" s="1043">
        <v>6</v>
      </c>
      <c r="Y57" s="1044"/>
      <c r="Z57" s="1045"/>
      <c r="AA57" s="1046" t="s">
        <v>1902</v>
      </c>
      <c r="AB57" s="1047"/>
      <c r="AC57" s="1047"/>
      <c r="AD57" s="1047"/>
      <c r="AE57" s="1047"/>
      <c r="AF57" s="1048"/>
    </row>
    <row r="58" spans="1:39" x14ac:dyDescent="0.3">
      <c r="A58" s="1036"/>
      <c r="B58" s="1037"/>
      <c r="C58" s="1038"/>
      <c r="D58" s="1036"/>
      <c r="E58" s="1037"/>
      <c r="F58" s="1037"/>
      <c r="G58" s="1037"/>
      <c r="H58" s="1037"/>
      <c r="I58" s="1037"/>
      <c r="J58" s="1038"/>
      <c r="K58" s="1046" t="s">
        <v>968</v>
      </c>
      <c r="L58" s="1047"/>
      <c r="M58" s="1047"/>
      <c r="N58" s="1047"/>
      <c r="O58" s="1047"/>
      <c r="P58" s="1047"/>
      <c r="Q58" s="1047"/>
      <c r="R58" s="1047"/>
      <c r="S58" s="1047"/>
      <c r="T58" s="1047"/>
      <c r="U58" s="1047"/>
      <c r="V58" s="1047"/>
      <c r="W58" s="1048"/>
      <c r="X58" s="1043">
        <v>10</v>
      </c>
      <c r="Y58" s="1044"/>
      <c r="Z58" s="1045"/>
      <c r="AA58" s="1046" t="s">
        <v>1901</v>
      </c>
      <c r="AB58" s="1047"/>
      <c r="AC58" s="1047"/>
      <c r="AD58" s="1047"/>
      <c r="AE58" s="1047"/>
      <c r="AF58" s="1048"/>
    </row>
    <row r="59" spans="1:39" x14ac:dyDescent="0.3">
      <c r="A59" s="1036"/>
      <c r="B59" s="1037"/>
      <c r="C59" s="1038"/>
      <c r="D59" s="1036"/>
      <c r="E59" s="1037"/>
      <c r="F59" s="1037"/>
      <c r="G59" s="1037"/>
      <c r="H59" s="1037"/>
      <c r="I59" s="1037"/>
      <c r="J59" s="1038"/>
      <c r="K59" s="1046" t="s">
        <v>969</v>
      </c>
      <c r="L59" s="1047"/>
      <c r="M59" s="1047"/>
      <c r="N59" s="1047"/>
      <c r="O59" s="1047"/>
      <c r="P59" s="1047"/>
      <c r="Q59" s="1047"/>
      <c r="R59" s="1047"/>
      <c r="S59" s="1047"/>
      <c r="T59" s="1047"/>
      <c r="U59" s="1047"/>
      <c r="V59" s="1047"/>
      <c r="W59" s="1048"/>
      <c r="X59" s="1043">
        <v>10</v>
      </c>
      <c r="Y59" s="1044"/>
      <c r="Z59" s="1045"/>
      <c r="AA59" s="1046" t="s">
        <v>1899</v>
      </c>
      <c r="AB59" s="1047"/>
      <c r="AC59" s="1047"/>
      <c r="AD59" s="1047"/>
      <c r="AE59" s="1047"/>
      <c r="AF59" s="1048"/>
    </row>
    <row r="60" spans="1:39" ht="15" x14ac:dyDescent="0.3">
      <c r="A60" s="1039"/>
      <c r="B60" s="1040"/>
      <c r="C60" s="1041"/>
      <c r="D60" s="1039"/>
      <c r="E60" s="1040"/>
      <c r="F60" s="1040"/>
      <c r="G60" s="1040"/>
      <c r="H60" s="1040"/>
      <c r="I60" s="1040"/>
      <c r="J60" s="1041"/>
      <c r="K60" s="1046" t="s">
        <v>972</v>
      </c>
      <c r="L60" s="1047"/>
      <c r="M60" s="1047"/>
      <c r="N60" s="1047"/>
      <c r="O60" s="1047"/>
      <c r="P60" s="1047"/>
      <c r="Q60" s="1047"/>
      <c r="R60" s="1047"/>
      <c r="S60" s="1047"/>
      <c r="T60" s="1047"/>
      <c r="U60" s="1047"/>
      <c r="V60" s="1047"/>
      <c r="W60" s="1048"/>
      <c r="X60" s="1043">
        <v>7</v>
      </c>
      <c r="Y60" s="1044"/>
      <c r="Z60" s="1045"/>
      <c r="AA60" s="1049" t="s">
        <v>6423</v>
      </c>
      <c r="AB60" s="1049"/>
      <c r="AC60" s="1049"/>
      <c r="AD60" s="1049"/>
      <c r="AE60" s="1049"/>
      <c r="AF60" s="1049"/>
    </row>
    <row r="61" spans="1:39" x14ac:dyDescent="0.3">
      <c r="A61" s="1068" t="s">
        <v>821</v>
      </c>
      <c r="B61" s="1068"/>
      <c r="C61" s="1068"/>
      <c r="D61" s="1068"/>
      <c r="E61" s="1068"/>
      <c r="F61" s="1068"/>
      <c r="G61" s="1068"/>
      <c r="H61" s="1068"/>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c r="AF61" s="1068"/>
    </row>
    <row r="62" spans="1:39" ht="45.75" customHeight="1" x14ac:dyDescent="0.3">
      <c r="A62" s="1066" t="s">
        <v>659</v>
      </c>
      <c r="B62" s="1066"/>
      <c r="C62" s="1066"/>
      <c r="D62" s="1069" t="s">
        <v>676</v>
      </c>
      <c r="E62" s="1069"/>
      <c r="F62" s="1069"/>
      <c r="G62" s="1069"/>
      <c r="H62" s="1069"/>
      <c r="I62" s="1069"/>
      <c r="J62" s="1069"/>
      <c r="K62" s="1069" t="s">
        <v>3</v>
      </c>
      <c r="L62" s="1069"/>
      <c r="M62" s="1069"/>
      <c r="N62" s="1069"/>
      <c r="O62" s="1069"/>
      <c r="P62" s="1069"/>
      <c r="Q62" s="1069"/>
      <c r="R62" s="1069"/>
      <c r="S62" s="1069"/>
      <c r="T62" s="1069"/>
      <c r="U62" s="1069"/>
      <c r="V62" s="1069"/>
      <c r="W62" s="1069"/>
      <c r="X62" s="1066" t="s">
        <v>1903</v>
      </c>
      <c r="Y62" s="1066"/>
      <c r="Z62" s="1066"/>
      <c r="AA62" s="1066" t="s">
        <v>4516</v>
      </c>
      <c r="AB62" s="1066"/>
      <c r="AC62" s="1066"/>
      <c r="AD62" s="1066"/>
      <c r="AE62" s="1066"/>
      <c r="AF62" s="1066"/>
    </row>
    <row r="63" spans="1:39" x14ac:dyDescent="0.3">
      <c r="A63" s="1033" t="s">
        <v>660</v>
      </c>
      <c r="B63" s="1034"/>
      <c r="C63" s="1035"/>
      <c r="D63" s="1033" t="s">
        <v>346</v>
      </c>
      <c r="E63" s="1034"/>
      <c r="F63" s="1034"/>
      <c r="G63" s="1034"/>
      <c r="H63" s="1034"/>
      <c r="I63" s="1034"/>
      <c r="J63" s="1035"/>
      <c r="K63" s="1049" t="s">
        <v>695</v>
      </c>
      <c r="L63" s="1049"/>
      <c r="M63" s="1049"/>
      <c r="N63" s="1049"/>
      <c r="O63" s="1049"/>
      <c r="P63" s="1049"/>
      <c r="Q63" s="1049"/>
      <c r="R63" s="1049"/>
      <c r="S63" s="1049"/>
      <c r="T63" s="1049"/>
      <c r="U63" s="1049"/>
      <c r="V63" s="1049"/>
      <c r="W63" s="1049"/>
      <c r="X63" s="1043">
        <f>X12</f>
        <v>18</v>
      </c>
      <c r="Y63" s="1044"/>
      <c r="Z63" s="1045"/>
      <c r="AA63" s="1046" t="s">
        <v>1901</v>
      </c>
      <c r="AB63" s="1047"/>
      <c r="AC63" s="1047"/>
      <c r="AD63" s="1047"/>
      <c r="AE63" s="1047"/>
      <c r="AF63" s="1048"/>
      <c r="AM63" s="171"/>
    </row>
    <row r="64" spans="1:39" x14ac:dyDescent="0.3">
      <c r="A64" s="1036"/>
      <c r="B64" s="1037"/>
      <c r="C64" s="1038"/>
      <c r="D64" s="1036"/>
      <c r="E64" s="1037"/>
      <c r="F64" s="1037"/>
      <c r="G64" s="1037"/>
      <c r="H64" s="1037"/>
      <c r="I64" s="1037"/>
      <c r="J64" s="1038"/>
      <c r="K64" s="1049" t="s">
        <v>696</v>
      </c>
      <c r="L64" s="1049"/>
      <c r="M64" s="1049"/>
      <c r="N64" s="1049"/>
      <c r="O64" s="1049"/>
      <c r="P64" s="1049"/>
      <c r="Q64" s="1049"/>
      <c r="R64" s="1049"/>
      <c r="S64" s="1049"/>
      <c r="T64" s="1049"/>
      <c r="U64" s="1049"/>
      <c r="V64" s="1049"/>
      <c r="W64" s="1049"/>
      <c r="X64" s="1043">
        <f>X12</f>
        <v>18</v>
      </c>
      <c r="Y64" s="1044"/>
      <c r="Z64" s="1045"/>
      <c r="AA64" s="1046" t="s">
        <v>1901</v>
      </c>
      <c r="AB64" s="1047"/>
      <c r="AC64" s="1047"/>
      <c r="AD64" s="1047"/>
      <c r="AE64" s="1047"/>
      <c r="AF64" s="1048"/>
      <c r="AM64" s="172"/>
    </row>
    <row r="65" spans="1:39" x14ac:dyDescent="0.3">
      <c r="A65" s="1036"/>
      <c r="B65" s="1037"/>
      <c r="C65" s="1038"/>
      <c r="D65" s="1036"/>
      <c r="E65" s="1037"/>
      <c r="F65" s="1037"/>
      <c r="G65" s="1037"/>
      <c r="H65" s="1037"/>
      <c r="I65" s="1037"/>
      <c r="J65" s="1038"/>
      <c r="K65" s="1049" t="s">
        <v>697</v>
      </c>
      <c r="L65" s="1049"/>
      <c r="M65" s="1049"/>
      <c r="N65" s="1049"/>
      <c r="O65" s="1049"/>
      <c r="P65" s="1049"/>
      <c r="Q65" s="1049"/>
      <c r="R65" s="1049"/>
      <c r="S65" s="1049"/>
      <c r="T65" s="1049"/>
      <c r="U65" s="1049"/>
      <c r="V65" s="1049"/>
      <c r="W65" s="1049"/>
      <c r="X65" s="1031">
        <v>10</v>
      </c>
      <c r="Y65" s="1031"/>
      <c r="Z65" s="1031"/>
      <c r="AA65" s="1049" t="s">
        <v>1899</v>
      </c>
      <c r="AB65" s="1049"/>
      <c r="AC65" s="1049"/>
      <c r="AD65" s="1049"/>
      <c r="AE65" s="1049"/>
      <c r="AF65" s="1049"/>
      <c r="AM65" s="171"/>
    </row>
    <row r="66" spans="1:39" x14ac:dyDescent="0.3">
      <c r="A66" s="1036"/>
      <c r="B66" s="1037"/>
      <c r="C66" s="1038"/>
      <c r="D66" s="1036"/>
      <c r="E66" s="1037"/>
      <c r="F66" s="1037"/>
      <c r="G66" s="1037"/>
      <c r="H66" s="1037"/>
      <c r="I66" s="1037"/>
      <c r="J66" s="1038"/>
      <c r="K66" s="1049" t="s">
        <v>698</v>
      </c>
      <c r="L66" s="1049"/>
      <c r="M66" s="1049"/>
      <c r="N66" s="1049"/>
      <c r="O66" s="1049"/>
      <c r="P66" s="1049"/>
      <c r="Q66" s="1049"/>
      <c r="R66" s="1049"/>
      <c r="S66" s="1049"/>
      <c r="T66" s="1049"/>
      <c r="U66" s="1049"/>
      <c r="V66" s="1049"/>
      <c r="W66" s="1049"/>
      <c r="X66" s="1031">
        <v>10</v>
      </c>
      <c r="Y66" s="1031"/>
      <c r="Z66" s="1031"/>
      <c r="AA66" s="1049" t="s">
        <v>1899</v>
      </c>
      <c r="AB66" s="1049"/>
      <c r="AC66" s="1049"/>
      <c r="AD66" s="1049"/>
      <c r="AE66" s="1049"/>
      <c r="AF66" s="1049"/>
      <c r="AM66" s="172"/>
    </row>
    <row r="67" spans="1:39" x14ac:dyDescent="0.3">
      <c r="A67" s="1036"/>
      <c r="B67" s="1037"/>
      <c r="C67" s="1038"/>
      <c r="D67" s="1039"/>
      <c r="E67" s="1040"/>
      <c r="F67" s="1040"/>
      <c r="G67" s="1040"/>
      <c r="H67" s="1040"/>
      <c r="I67" s="1040"/>
      <c r="J67" s="1041"/>
      <c r="K67" s="1049" t="s">
        <v>699</v>
      </c>
      <c r="L67" s="1049"/>
      <c r="M67" s="1049"/>
      <c r="N67" s="1049"/>
      <c r="O67" s="1049"/>
      <c r="P67" s="1049"/>
      <c r="Q67" s="1049"/>
      <c r="R67" s="1049"/>
      <c r="S67" s="1049"/>
      <c r="T67" s="1049"/>
      <c r="U67" s="1049"/>
      <c r="V67" s="1049"/>
      <c r="W67" s="1049"/>
      <c r="X67" s="1043">
        <f>X12</f>
        <v>18</v>
      </c>
      <c r="Y67" s="1044"/>
      <c r="Z67" s="1045"/>
      <c r="AA67" s="1046" t="s">
        <v>1901</v>
      </c>
      <c r="AB67" s="1047"/>
      <c r="AC67" s="1047"/>
      <c r="AD67" s="1047"/>
      <c r="AE67" s="1047"/>
      <c r="AF67" s="1048"/>
      <c r="AM67" s="172"/>
    </row>
    <row r="68" spans="1:39" ht="33" customHeight="1" x14ac:dyDescent="0.3">
      <c r="A68" s="1036"/>
      <c r="B68" s="1037"/>
      <c r="C68" s="1038"/>
      <c r="D68" s="1033" t="s">
        <v>245</v>
      </c>
      <c r="E68" s="1034"/>
      <c r="F68" s="1034"/>
      <c r="G68" s="1034"/>
      <c r="H68" s="1034"/>
      <c r="I68" s="1034"/>
      <c r="J68" s="1035"/>
      <c r="K68" s="1042" t="s">
        <v>1940</v>
      </c>
      <c r="L68" s="1042"/>
      <c r="M68" s="1042"/>
      <c r="N68" s="1042"/>
      <c r="O68" s="1042"/>
      <c r="P68" s="1042"/>
      <c r="Q68" s="1042"/>
      <c r="R68" s="1042"/>
      <c r="S68" s="1042"/>
      <c r="T68" s="1042"/>
      <c r="U68" s="1042"/>
      <c r="V68" s="1042"/>
      <c r="W68" s="1042"/>
      <c r="X68" s="1031" t="s">
        <v>1905</v>
      </c>
      <c r="Y68" s="1031"/>
      <c r="Z68" s="1031"/>
      <c r="AA68" s="1049" t="s">
        <v>1900</v>
      </c>
      <c r="AB68" s="1049"/>
      <c r="AC68" s="1049"/>
      <c r="AD68" s="1049"/>
      <c r="AE68" s="1049"/>
      <c r="AF68" s="1049"/>
      <c r="AM68" s="171"/>
    </row>
    <row r="69" spans="1:39" ht="30.75" customHeight="1" x14ac:dyDescent="0.3">
      <c r="A69" s="1036"/>
      <c r="B69" s="1037"/>
      <c r="C69" s="1038"/>
      <c r="D69" s="1036"/>
      <c r="E69" s="1037"/>
      <c r="F69" s="1037"/>
      <c r="G69" s="1037"/>
      <c r="H69" s="1037"/>
      <c r="I69" s="1037"/>
      <c r="J69" s="1038"/>
      <c r="K69" s="1042" t="s">
        <v>1941</v>
      </c>
      <c r="L69" s="1065"/>
      <c r="M69" s="1065"/>
      <c r="N69" s="1065"/>
      <c r="O69" s="1065"/>
      <c r="P69" s="1065"/>
      <c r="Q69" s="1065"/>
      <c r="R69" s="1065"/>
      <c r="S69" s="1065"/>
      <c r="T69" s="1065"/>
      <c r="U69" s="1065"/>
      <c r="V69" s="1065"/>
      <c r="W69" s="1065"/>
      <c r="X69" s="1031" t="s">
        <v>1905</v>
      </c>
      <c r="Y69" s="1031"/>
      <c r="Z69" s="1031"/>
      <c r="AA69" s="1049" t="s">
        <v>1900</v>
      </c>
      <c r="AB69" s="1049"/>
      <c r="AC69" s="1049"/>
      <c r="AD69" s="1049"/>
      <c r="AE69" s="1049"/>
      <c r="AF69" s="1049"/>
      <c r="AM69" s="172"/>
    </row>
    <row r="70" spans="1:39" x14ac:dyDescent="0.3">
      <c r="A70" s="1036"/>
      <c r="B70" s="1037"/>
      <c r="C70" s="1038"/>
      <c r="D70" s="1036"/>
      <c r="E70" s="1037"/>
      <c r="F70" s="1037"/>
      <c r="G70" s="1037"/>
      <c r="H70" s="1037"/>
      <c r="I70" s="1037"/>
      <c r="J70" s="1038"/>
      <c r="K70" s="1049" t="s">
        <v>700</v>
      </c>
      <c r="L70" s="1049"/>
      <c r="M70" s="1049"/>
      <c r="N70" s="1049"/>
      <c r="O70" s="1049"/>
      <c r="P70" s="1049"/>
      <c r="Q70" s="1049"/>
      <c r="R70" s="1049"/>
      <c r="S70" s="1049"/>
      <c r="T70" s="1049"/>
      <c r="U70" s="1049"/>
      <c r="V70" s="1049"/>
      <c r="W70" s="1049"/>
      <c r="X70" s="1031">
        <f>C_Light_General!E199</f>
        <v>18</v>
      </c>
      <c r="Y70" s="1031"/>
      <c r="Z70" s="1031"/>
      <c r="AA70" s="1049" t="s">
        <v>1908</v>
      </c>
      <c r="AB70" s="1049"/>
      <c r="AC70" s="1049"/>
      <c r="AD70" s="1049"/>
      <c r="AE70" s="1049"/>
      <c r="AF70" s="1049"/>
      <c r="AM70" s="172"/>
    </row>
    <row r="71" spans="1:39" x14ac:dyDescent="0.3">
      <c r="A71" s="1036"/>
      <c r="B71" s="1037"/>
      <c r="C71" s="1038"/>
      <c r="D71" s="1036"/>
      <c r="E71" s="1037"/>
      <c r="F71" s="1037"/>
      <c r="G71" s="1037"/>
      <c r="H71" s="1037"/>
      <c r="I71" s="1037"/>
      <c r="J71" s="1038"/>
      <c r="K71" s="1049" t="s">
        <v>701</v>
      </c>
      <c r="L71" s="1049"/>
      <c r="M71" s="1049"/>
      <c r="N71" s="1049"/>
      <c r="O71" s="1049"/>
      <c r="P71" s="1049"/>
      <c r="Q71" s="1049"/>
      <c r="R71" s="1049"/>
      <c r="S71" s="1049"/>
      <c r="T71" s="1049"/>
      <c r="U71" s="1049"/>
      <c r="V71" s="1049"/>
      <c r="W71" s="1049"/>
      <c r="X71" s="1067">
        <f>'C_Lighting_Refrigerated Case'!Q87</f>
        <v>8</v>
      </c>
      <c r="Y71" s="1031"/>
      <c r="Z71" s="1031"/>
      <c r="AA71" s="1049" t="s">
        <v>2019</v>
      </c>
      <c r="AB71" s="1049"/>
      <c r="AC71" s="1049"/>
      <c r="AD71" s="1049"/>
      <c r="AE71" s="1049"/>
      <c r="AF71" s="1049"/>
      <c r="AM71" s="172"/>
    </row>
    <row r="72" spans="1:39" x14ac:dyDescent="0.3">
      <c r="A72" s="1036"/>
      <c r="B72" s="1037"/>
      <c r="C72" s="1038"/>
      <c r="D72" s="1036"/>
      <c r="E72" s="1037"/>
      <c r="F72" s="1037"/>
      <c r="G72" s="1037"/>
      <c r="H72" s="1037"/>
      <c r="I72" s="1037"/>
      <c r="J72" s="1038"/>
      <c r="K72" s="1049" t="s">
        <v>1907</v>
      </c>
      <c r="L72" s="1049"/>
      <c r="M72" s="1049"/>
      <c r="N72" s="1049"/>
      <c r="O72" s="1049"/>
      <c r="P72" s="1049"/>
      <c r="Q72" s="1049"/>
      <c r="R72" s="1049"/>
      <c r="S72" s="1049"/>
      <c r="T72" s="1049"/>
      <c r="U72" s="1049"/>
      <c r="V72" s="1049"/>
      <c r="W72" s="1049"/>
      <c r="X72" s="1031">
        <f>C_Light_Exterior!Q46</f>
        <v>12</v>
      </c>
      <c r="Y72" s="1031"/>
      <c r="Z72" s="1031"/>
      <c r="AA72" s="1049" t="s">
        <v>1909</v>
      </c>
      <c r="AB72" s="1049"/>
      <c r="AC72" s="1049"/>
      <c r="AD72" s="1049"/>
      <c r="AE72" s="1049"/>
      <c r="AF72" s="1049"/>
      <c r="AM72" s="172"/>
    </row>
    <row r="73" spans="1:39" x14ac:dyDescent="0.3">
      <c r="A73" s="1036"/>
      <c r="B73" s="1037"/>
      <c r="C73" s="1038"/>
      <c r="D73" s="1036"/>
      <c r="E73" s="1037"/>
      <c r="F73" s="1037"/>
      <c r="G73" s="1037"/>
      <c r="H73" s="1037"/>
      <c r="I73" s="1037"/>
      <c r="J73" s="1038"/>
      <c r="K73" s="1049" t="s">
        <v>250</v>
      </c>
      <c r="L73" s="1049"/>
      <c r="M73" s="1049"/>
      <c r="N73" s="1049"/>
      <c r="O73" s="1049"/>
      <c r="P73" s="1049"/>
      <c r="Q73" s="1049"/>
      <c r="R73" s="1049"/>
      <c r="S73" s="1049"/>
      <c r="T73" s="1049"/>
      <c r="U73" s="1049"/>
      <c r="V73" s="1049"/>
      <c r="W73" s="1049"/>
      <c r="X73" s="1031">
        <v>8</v>
      </c>
      <c r="Y73" s="1031"/>
      <c r="Z73" s="1031"/>
      <c r="AA73" s="1049" t="s">
        <v>1901</v>
      </c>
      <c r="AB73" s="1049"/>
      <c r="AC73" s="1049"/>
      <c r="AD73" s="1049"/>
      <c r="AE73" s="1049"/>
      <c r="AF73" s="1049"/>
      <c r="AM73" s="172"/>
    </row>
    <row r="74" spans="1:39" x14ac:dyDescent="0.3">
      <c r="A74" s="1036"/>
      <c r="B74" s="1037"/>
      <c r="C74" s="1038"/>
      <c r="D74" s="1039"/>
      <c r="E74" s="1040"/>
      <c r="F74" s="1040"/>
      <c r="G74" s="1040"/>
      <c r="H74" s="1040"/>
      <c r="I74" s="1040"/>
      <c r="J74" s="1041"/>
      <c r="K74" s="1049" t="s">
        <v>702</v>
      </c>
      <c r="L74" s="1049"/>
      <c r="M74" s="1049"/>
      <c r="N74" s="1049"/>
      <c r="O74" s="1049"/>
      <c r="P74" s="1049"/>
      <c r="Q74" s="1049"/>
      <c r="R74" s="1049"/>
      <c r="S74" s="1049"/>
      <c r="T74" s="1049"/>
      <c r="U74" s="1049"/>
      <c r="V74" s="1049"/>
      <c r="W74" s="1049"/>
      <c r="X74" s="1031">
        <v>8</v>
      </c>
      <c r="Y74" s="1031"/>
      <c r="Z74" s="1031"/>
      <c r="AA74" s="1049" t="s">
        <v>1901</v>
      </c>
      <c r="AB74" s="1049"/>
      <c r="AC74" s="1049"/>
      <c r="AD74" s="1049"/>
      <c r="AE74" s="1049"/>
      <c r="AF74" s="1049"/>
      <c r="AM74" s="172"/>
    </row>
    <row r="75" spans="1:39" x14ac:dyDescent="0.3">
      <c r="A75" s="1036"/>
      <c r="B75" s="1037"/>
      <c r="C75" s="1038"/>
      <c r="D75" s="1033" t="s">
        <v>201</v>
      </c>
      <c r="E75" s="1034"/>
      <c r="F75" s="1034"/>
      <c r="G75" s="1034"/>
      <c r="H75" s="1034"/>
      <c r="I75" s="1034"/>
      <c r="J75" s="1035"/>
      <c r="K75" s="1049" t="s">
        <v>703</v>
      </c>
      <c r="L75" s="1049"/>
      <c r="M75" s="1049"/>
      <c r="N75" s="1049"/>
      <c r="O75" s="1049"/>
      <c r="P75" s="1049"/>
      <c r="Q75" s="1049"/>
      <c r="R75" s="1049"/>
      <c r="S75" s="1049"/>
      <c r="T75" s="1049"/>
      <c r="U75" s="1049"/>
      <c r="V75" s="1049"/>
      <c r="W75" s="1049"/>
      <c r="X75" s="1031">
        <v>22</v>
      </c>
      <c r="Y75" s="1031"/>
      <c r="Z75" s="1031"/>
      <c r="AA75" s="1049" t="s">
        <v>1901</v>
      </c>
      <c r="AB75" s="1049"/>
      <c r="AC75" s="1049"/>
      <c r="AD75" s="1049"/>
      <c r="AE75" s="1049"/>
      <c r="AF75" s="1049"/>
      <c r="AM75" s="172"/>
    </row>
    <row r="76" spans="1:39" x14ac:dyDescent="0.3">
      <c r="A76" s="1036"/>
      <c r="B76" s="1037"/>
      <c r="C76" s="1038"/>
      <c r="D76" s="1036"/>
      <c r="E76" s="1037"/>
      <c r="F76" s="1037"/>
      <c r="G76" s="1037"/>
      <c r="H76" s="1037"/>
      <c r="I76" s="1037"/>
      <c r="J76" s="1038"/>
      <c r="K76" s="1049" t="s">
        <v>704</v>
      </c>
      <c r="L76" s="1049"/>
      <c r="M76" s="1049"/>
      <c r="N76" s="1049"/>
      <c r="O76" s="1049"/>
      <c r="P76" s="1049"/>
      <c r="Q76" s="1049"/>
      <c r="R76" s="1049"/>
      <c r="S76" s="1049"/>
      <c r="T76" s="1049"/>
      <c r="U76" s="1049"/>
      <c r="V76" s="1049"/>
      <c r="W76" s="1049"/>
      <c r="X76" s="1031">
        <v>20</v>
      </c>
      <c r="Y76" s="1031"/>
      <c r="Z76" s="1031"/>
      <c r="AA76" s="1049" t="s">
        <v>1902</v>
      </c>
      <c r="AB76" s="1049"/>
      <c r="AC76" s="1049"/>
      <c r="AD76" s="1049"/>
      <c r="AE76" s="1049"/>
      <c r="AF76" s="1049"/>
      <c r="AM76" s="172"/>
    </row>
    <row r="77" spans="1:39" x14ac:dyDescent="0.3">
      <c r="A77" s="1036"/>
      <c r="B77" s="1037"/>
      <c r="C77" s="1038"/>
      <c r="D77" s="1036"/>
      <c r="E77" s="1037"/>
      <c r="F77" s="1037"/>
      <c r="G77" s="1037"/>
      <c r="H77" s="1037"/>
      <c r="I77" s="1037"/>
      <c r="J77" s="1038"/>
      <c r="K77" s="1049" t="s">
        <v>705</v>
      </c>
      <c r="L77" s="1049"/>
      <c r="M77" s="1049"/>
      <c r="N77" s="1049"/>
      <c r="O77" s="1049"/>
      <c r="P77" s="1049"/>
      <c r="Q77" s="1049"/>
      <c r="R77" s="1049"/>
      <c r="S77" s="1049"/>
      <c r="T77" s="1049"/>
      <c r="U77" s="1049"/>
      <c r="V77" s="1049"/>
      <c r="W77" s="1049"/>
      <c r="X77" s="1031">
        <v>8</v>
      </c>
      <c r="Y77" s="1031"/>
      <c r="Z77" s="1031"/>
      <c r="AA77" s="1049" t="s">
        <v>1902</v>
      </c>
      <c r="AB77" s="1049"/>
      <c r="AC77" s="1049"/>
      <c r="AD77" s="1049"/>
      <c r="AE77" s="1049"/>
      <c r="AF77" s="1049"/>
      <c r="AM77" s="172"/>
    </row>
    <row r="78" spans="1:39" x14ac:dyDescent="0.3">
      <c r="A78" s="1036"/>
      <c r="B78" s="1037"/>
      <c r="C78" s="1038"/>
      <c r="D78" s="1036"/>
      <c r="E78" s="1037"/>
      <c r="F78" s="1037"/>
      <c r="G78" s="1037"/>
      <c r="H78" s="1037"/>
      <c r="I78" s="1037"/>
      <c r="J78" s="1038"/>
      <c r="K78" s="1049" t="s">
        <v>706</v>
      </c>
      <c r="L78" s="1049"/>
      <c r="M78" s="1049"/>
      <c r="N78" s="1049"/>
      <c r="O78" s="1049"/>
      <c r="P78" s="1049"/>
      <c r="Q78" s="1049"/>
      <c r="R78" s="1049"/>
      <c r="S78" s="1049"/>
      <c r="T78" s="1049"/>
      <c r="U78" s="1049"/>
      <c r="V78" s="1049"/>
      <c r="W78" s="1049"/>
      <c r="X78" s="1031">
        <v>15</v>
      </c>
      <c r="Y78" s="1031"/>
      <c r="Z78" s="1031"/>
      <c r="AA78" s="1049" t="s">
        <v>1899</v>
      </c>
      <c r="AB78" s="1049"/>
      <c r="AC78" s="1049"/>
      <c r="AD78" s="1049"/>
      <c r="AE78" s="1049"/>
      <c r="AF78" s="1049"/>
      <c r="AM78" s="172"/>
    </row>
    <row r="79" spans="1:39" x14ac:dyDescent="0.3">
      <c r="A79" s="1036"/>
      <c r="B79" s="1037"/>
      <c r="C79" s="1038"/>
      <c r="D79" s="1036"/>
      <c r="E79" s="1037"/>
      <c r="F79" s="1037"/>
      <c r="G79" s="1037"/>
      <c r="H79" s="1037"/>
      <c r="I79" s="1037"/>
      <c r="J79" s="1038"/>
      <c r="K79" s="1049" t="s">
        <v>3532</v>
      </c>
      <c r="L79" s="1049"/>
      <c r="M79" s="1049"/>
      <c r="N79" s="1049"/>
      <c r="O79" s="1049"/>
      <c r="P79" s="1049"/>
      <c r="Q79" s="1049"/>
      <c r="R79" s="1049"/>
      <c r="S79" s="1049"/>
      <c r="T79" s="1049"/>
      <c r="U79" s="1049"/>
      <c r="V79" s="1049"/>
      <c r="W79" s="1049"/>
      <c r="X79" s="1043">
        <v>9</v>
      </c>
      <c r="Y79" s="1044"/>
      <c r="Z79" s="1045"/>
      <c r="AA79" s="1046" t="s">
        <v>1899</v>
      </c>
      <c r="AB79" s="1047"/>
      <c r="AC79" s="1047"/>
      <c r="AD79" s="1047"/>
      <c r="AE79" s="1047"/>
      <c r="AF79" s="1048"/>
      <c r="AM79" s="172"/>
    </row>
    <row r="80" spans="1:39" x14ac:dyDescent="0.3">
      <c r="A80" s="1036"/>
      <c r="B80" s="1037"/>
      <c r="C80" s="1038"/>
      <c r="D80" s="1036"/>
      <c r="E80" s="1037"/>
      <c r="F80" s="1037"/>
      <c r="G80" s="1037"/>
      <c r="H80" s="1037"/>
      <c r="I80" s="1037"/>
      <c r="J80" s="1038"/>
      <c r="K80" s="1049" t="s">
        <v>707</v>
      </c>
      <c r="L80" s="1049"/>
      <c r="M80" s="1049"/>
      <c r="N80" s="1049"/>
      <c r="O80" s="1049"/>
      <c r="P80" s="1049"/>
      <c r="Q80" s="1049"/>
      <c r="R80" s="1049"/>
      <c r="S80" s="1049"/>
      <c r="T80" s="1049"/>
      <c r="U80" s="1049"/>
      <c r="V80" s="1049"/>
      <c r="W80" s="1049"/>
      <c r="X80" s="1031">
        <v>20</v>
      </c>
      <c r="Y80" s="1031"/>
      <c r="Z80" s="1031"/>
      <c r="AA80" s="1049" t="s">
        <v>1901</v>
      </c>
      <c r="AB80" s="1049"/>
      <c r="AC80" s="1049"/>
      <c r="AD80" s="1049"/>
      <c r="AE80" s="1049"/>
      <c r="AF80" s="1049"/>
      <c r="AM80" s="172"/>
    </row>
    <row r="81" spans="1:39" x14ac:dyDescent="0.3">
      <c r="A81" s="1036"/>
      <c r="B81" s="1037"/>
      <c r="C81" s="1038"/>
      <c r="D81" s="1036"/>
      <c r="E81" s="1037"/>
      <c r="F81" s="1037"/>
      <c r="G81" s="1037"/>
      <c r="H81" s="1037"/>
      <c r="I81" s="1037"/>
      <c r="J81" s="1038"/>
      <c r="K81" s="1049" t="s">
        <v>708</v>
      </c>
      <c r="L81" s="1049"/>
      <c r="M81" s="1049"/>
      <c r="N81" s="1049"/>
      <c r="O81" s="1049"/>
      <c r="P81" s="1049"/>
      <c r="Q81" s="1049"/>
      <c r="R81" s="1049"/>
      <c r="S81" s="1049"/>
      <c r="T81" s="1049"/>
      <c r="U81" s="1049"/>
      <c r="V81" s="1049"/>
      <c r="W81" s="1049"/>
      <c r="X81" s="1031">
        <v>20</v>
      </c>
      <c r="Y81" s="1031"/>
      <c r="Z81" s="1031"/>
      <c r="AA81" s="1049" t="s">
        <v>1901</v>
      </c>
      <c r="AB81" s="1049"/>
      <c r="AC81" s="1049"/>
      <c r="AD81" s="1049"/>
      <c r="AE81" s="1049"/>
      <c r="AF81" s="1049"/>
      <c r="AM81" s="172"/>
    </row>
    <row r="82" spans="1:39" x14ac:dyDescent="0.3">
      <c r="A82" s="1036"/>
      <c r="B82" s="1037"/>
      <c r="C82" s="1038"/>
      <c r="D82" s="1036"/>
      <c r="E82" s="1037"/>
      <c r="F82" s="1037"/>
      <c r="G82" s="1037"/>
      <c r="H82" s="1037"/>
      <c r="I82" s="1037"/>
      <c r="J82" s="1038"/>
      <c r="K82" s="1049" t="s">
        <v>709</v>
      </c>
      <c r="L82" s="1049"/>
      <c r="M82" s="1049"/>
      <c r="N82" s="1049"/>
      <c r="O82" s="1049"/>
      <c r="P82" s="1049"/>
      <c r="Q82" s="1049"/>
      <c r="R82" s="1049"/>
      <c r="S82" s="1049"/>
      <c r="T82" s="1049"/>
      <c r="U82" s="1049"/>
      <c r="V82" s="1049"/>
      <c r="W82" s="1049"/>
      <c r="X82" s="1031">
        <v>15</v>
      </c>
      <c r="Y82" s="1031"/>
      <c r="Z82" s="1031"/>
      <c r="AA82" s="1049" t="s">
        <v>1899</v>
      </c>
      <c r="AB82" s="1049"/>
      <c r="AC82" s="1049"/>
      <c r="AD82" s="1049"/>
      <c r="AE82" s="1049"/>
      <c r="AF82" s="1049"/>
      <c r="AM82" s="171"/>
    </row>
    <row r="83" spans="1:39" x14ac:dyDescent="0.3">
      <c r="A83" s="1036"/>
      <c r="B83" s="1037"/>
      <c r="C83" s="1038"/>
      <c r="D83" s="1039"/>
      <c r="E83" s="1040"/>
      <c r="F83" s="1040"/>
      <c r="G83" s="1040"/>
      <c r="H83" s="1040"/>
      <c r="I83" s="1040"/>
      <c r="J83" s="1041"/>
      <c r="K83" s="1049" t="s">
        <v>710</v>
      </c>
      <c r="L83" s="1049"/>
      <c r="M83" s="1049"/>
      <c r="N83" s="1049"/>
      <c r="O83" s="1049"/>
      <c r="P83" s="1049"/>
      <c r="Q83" s="1049"/>
      <c r="R83" s="1049"/>
      <c r="S83" s="1049"/>
      <c r="T83" s="1049"/>
      <c r="U83" s="1049"/>
      <c r="V83" s="1049"/>
      <c r="W83" s="1049"/>
      <c r="X83" s="1031">
        <v>15</v>
      </c>
      <c r="Y83" s="1031"/>
      <c r="Z83" s="1031"/>
      <c r="AA83" s="1049" t="s">
        <v>1901</v>
      </c>
      <c r="AB83" s="1049"/>
      <c r="AC83" s="1049"/>
      <c r="AD83" s="1049"/>
      <c r="AE83" s="1049"/>
      <c r="AF83" s="1049"/>
      <c r="AM83" s="172"/>
    </row>
    <row r="84" spans="1:39" x14ac:dyDescent="0.3">
      <c r="A84" s="1036"/>
      <c r="B84" s="1037"/>
      <c r="C84" s="1038"/>
      <c r="D84" s="1033" t="s">
        <v>711</v>
      </c>
      <c r="E84" s="1034"/>
      <c r="F84" s="1034"/>
      <c r="G84" s="1034"/>
      <c r="H84" s="1034"/>
      <c r="I84" s="1034"/>
      <c r="J84" s="1035"/>
      <c r="K84" s="1049" t="s">
        <v>712</v>
      </c>
      <c r="L84" s="1049"/>
      <c r="M84" s="1049"/>
      <c r="N84" s="1049"/>
      <c r="O84" s="1049"/>
      <c r="P84" s="1049"/>
      <c r="Q84" s="1049"/>
      <c r="R84" s="1049"/>
      <c r="S84" s="1049"/>
      <c r="T84" s="1049"/>
      <c r="U84" s="1049"/>
      <c r="V84" s="1049"/>
      <c r="W84" s="1049"/>
      <c r="X84" s="1031">
        <v>15</v>
      </c>
      <c r="Y84" s="1031"/>
      <c r="Z84" s="1031"/>
      <c r="AA84" s="1049" t="s">
        <v>1901</v>
      </c>
      <c r="AB84" s="1049"/>
      <c r="AC84" s="1049"/>
      <c r="AD84" s="1049"/>
      <c r="AE84" s="1049"/>
      <c r="AF84" s="1049"/>
      <c r="AM84" s="172"/>
    </row>
    <row r="85" spans="1:39" x14ac:dyDescent="0.3">
      <c r="A85" s="1036"/>
      <c r="B85" s="1037"/>
      <c r="C85" s="1038"/>
      <c r="D85" s="1039"/>
      <c r="E85" s="1040"/>
      <c r="F85" s="1040"/>
      <c r="G85" s="1040"/>
      <c r="H85" s="1040"/>
      <c r="I85" s="1040"/>
      <c r="J85" s="1041"/>
      <c r="K85" s="1049" t="s">
        <v>713</v>
      </c>
      <c r="L85" s="1049"/>
      <c r="M85" s="1049"/>
      <c r="N85" s="1049"/>
      <c r="O85" s="1049"/>
      <c r="P85" s="1049"/>
      <c r="Q85" s="1049"/>
      <c r="R85" s="1049"/>
      <c r="S85" s="1049"/>
      <c r="T85" s="1049"/>
      <c r="U85" s="1049"/>
      <c r="V85" s="1049"/>
      <c r="W85" s="1049"/>
      <c r="X85" s="1031">
        <v>10</v>
      </c>
      <c r="Y85" s="1031"/>
      <c r="Z85" s="1031"/>
      <c r="AA85" s="1046" t="s">
        <v>1901</v>
      </c>
      <c r="AB85" s="1047"/>
      <c r="AC85" s="1047"/>
      <c r="AD85" s="1047"/>
      <c r="AE85" s="1047"/>
      <c r="AF85" s="1048"/>
      <c r="AM85" s="171"/>
    </row>
    <row r="86" spans="1:39" x14ac:dyDescent="0.3">
      <c r="A86" s="1036"/>
      <c r="B86" s="1037"/>
      <c r="C86" s="1038"/>
      <c r="D86" s="1033" t="s">
        <v>714</v>
      </c>
      <c r="E86" s="1034"/>
      <c r="F86" s="1034"/>
      <c r="G86" s="1034"/>
      <c r="H86" s="1034"/>
      <c r="I86" s="1034"/>
      <c r="J86" s="1035"/>
      <c r="K86" s="1049" t="s">
        <v>1223</v>
      </c>
      <c r="L86" s="1049"/>
      <c r="M86" s="1049"/>
      <c r="N86" s="1049"/>
      <c r="O86" s="1049"/>
      <c r="P86" s="1049"/>
      <c r="Q86" s="1049"/>
      <c r="R86" s="1049"/>
      <c r="S86" s="1049"/>
      <c r="T86" s="1049"/>
      <c r="U86" s="1049"/>
      <c r="V86" s="1049"/>
      <c r="W86" s="1049"/>
      <c r="X86" s="1031">
        <v>15</v>
      </c>
      <c r="Y86" s="1031"/>
      <c r="Z86" s="1031"/>
      <c r="AA86" s="1049" t="s">
        <v>1899</v>
      </c>
      <c r="AB86" s="1049"/>
      <c r="AC86" s="1049"/>
      <c r="AD86" s="1049"/>
      <c r="AE86" s="1049"/>
      <c r="AF86" s="1049"/>
      <c r="AM86" s="172"/>
    </row>
    <row r="87" spans="1:39" x14ac:dyDescent="0.3">
      <c r="A87" s="1036"/>
      <c r="B87" s="1037"/>
      <c r="C87" s="1038"/>
      <c r="D87" s="1036"/>
      <c r="E87" s="1037"/>
      <c r="F87" s="1037"/>
      <c r="G87" s="1037"/>
      <c r="H87" s="1037"/>
      <c r="I87" s="1037"/>
      <c r="J87" s="1038"/>
      <c r="K87" s="1049" t="s">
        <v>715</v>
      </c>
      <c r="L87" s="1049"/>
      <c r="M87" s="1049"/>
      <c r="N87" s="1049"/>
      <c r="O87" s="1049"/>
      <c r="P87" s="1049"/>
      <c r="Q87" s="1049"/>
      <c r="R87" s="1049"/>
      <c r="S87" s="1049"/>
      <c r="T87" s="1049"/>
      <c r="U87" s="1049"/>
      <c r="V87" s="1049"/>
      <c r="W87" s="1049"/>
      <c r="X87" s="1031">
        <v>15</v>
      </c>
      <c r="Y87" s="1031"/>
      <c r="Z87" s="1031"/>
      <c r="AA87" s="1049" t="s">
        <v>1902</v>
      </c>
      <c r="AB87" s="1049"/>
      <c r="AC87" s="1049"/>
      <c r="AD87" s="1049"/>
      <c r="AE87" s="1049"/>
      <c r="AF87" s="1049"/>
      <c r="AM87" s="172"/>
    </row>
    <row r="88" spans="1:39" x14ac:dyDescent="0.3">
      <c r="A88" s="1036"/>
      <c r="B88" s="1037"/>
      <c r="C88" s="1038"/>
      <c r="D88" s="1039"/>
      <c r="E88" s="1040"/>
      <c r="F88" s="1040"/>
      <c r="G88" s="1040"/>
      <c r="H88" s="1040"/>
      <c r="I88" s="1040"/>
      <c r="J88" s="1041"/>
      <c r="K88" s="1049" t="s">
        <v>716</v>
      </c>
      <c r="L88" s="1049"/>
      <c r="M88" s="1049"/>
      <c r="N88" s="1049"/>
      <c r="O88" s="1049"/>
      <c r="P88" s="1049"/>
      <c r="Q88" s="1049"/>
      <c r="R88" s="1049"/>
      <c r="S88" s="1049"/>
      <c r="T88" s="1049"/>
      <c r="U88" s="1049"/>
      <c r="V88" s="1049"/>
      <c r="W88" s="1049"/>
      <c r="X88" s="1031">
        <v>15</v>
      </c>
      <c r="Y88" s="1031"/>
      <c r="Z88" s="1031"/>
      <c r="AA88" s="1049" t="s">
        <v>1902</v>
      </c>
      <c r="AB88" s="1049"/>
      <c r="AC88" s="1049"/>
      <c r="AD88" s="1049"/>
      <c r="AE88" s="1049"/>
      <c r="AF88" s="1049"/>
      <c r="AM88" s="172"/>
    </row>
    <row r="89" spans="1:39" x14ac:dyDescent="0.3">
      <c r="A89" s="1036"/>
      <c r="B89" s="1037"/>
      <c r="C89" s="1038"/>
      <c r="D89" s="1033" t="s">
        <v>717</v>
      </c>
      <c r="E89" s="1034"/>
      <c r="F89" s="1034"/>
      <c r="G89" s="1034"/>
      <c r="H89" s="1034"/>
      <c r="I89" s="1034"/>
      <c r="J89" s="1035"/>
      <c r="K89" s="1049" t="s">
        <v>718</v>
      </c>
      <c r="L89" s="1049"/>
      <c r="M89" s="1049"/>
      <c r="N89" s="1049"/>
      <c r="O89" s="1049"/>
      <c r="P89" s="1049"/>
      <c r="Q89" s="1049"/>
      <c r="R89" s="1049"/>
      <c r="S89" s="1049"/>
      <c r="T89" s="1049"/>
      <c r="U89" s="1049"/>
      <c r="V89" s="1049"/>
      <c r="W89" s="1049"/>
      <c r="X89" s="1031">
        <v>15</v>
      </c>
      <c r="Y89" s="1031"/>
      <c r="Z89" s="1031"/>
      <c r="AA89" s="1049" t="s">
        <v>5130</v>
      </c>
      <c r="AB89" s="1049"/>
      <c r="AC89" s="1049"/>
      <c r="AD89" s="1049"/>
      <c r="AE89" s="1049"/>
      <c r="AF89" s="1049"/>
      <c r="AM89" s="172"/>
    </row>
    <row r="90" spans="1:39" x14ac:dyDescent="0.3">
      <c r="A90" s="1036"/>
      <c r="B90" s="1037"/>
      <c r="C90" s="1038"/>
      <c r="D90" s="1039"/>
      <c r="E90" s="1040"/>
      <c r="F90" s="1040"/>
      <c r="G90" s="1040"/>
      <c r="H90" s="1040"/>
      <c r="I90" s="1040"/>
      <c r="J90" s="1041"/>
      <c r="K90" s="1049" t="s">
        <v>719</v>
      </c>
      <c r="L90" s="1049"/>
      <c r="M90" s="1049"/>
      <c r="N90" s="1049"/>
      <c r="O90" s="1049"/>
      <c r="P90" s="1049"/>
      <c r="Q90" s="1049"/>
      <c r="R90" s="1049"/>
      <c r="S90" s="1049"/>
      <c r="T90" s="1049"/>
      <c r="U90" s="1049"/>
      <c r="V90" s="1049"/>
      <c r="W90" s="1049"/>
      <c r="X90" s="1031">
        <v>5</v>
      </c>
      <c r="Y90" s="1031"/>
      <c r="Z90" s="1031"/>
      <c r="AA90" s="1049" t="s">
        <v>1899</v>
      </c>
      <c r="AB90" s="1049"/>
      <c r="AC90" s="1049"/>
      <c r="AD90" s="1049"/>
      <c r="AE90" s="1049"/>
      <c r="AF90" s="1049"/>
      <c r="AM90" s="172"/>
    </row>
    <row r="91" spans="1:39" ht="15" x14ac:dyDescent="0.3">
      <c r="A91" s="1036"/>
      <c r="B91" s="1037"/>
      <c r="C91" s="1038"/>
      <c r="D91" s="1033" t="s">
        <v>4351</v>
      </c>
      <c r="E91" s="1034"/>
      <c r="F91" s="1034"/>
      <c r="G91" s="1034"/>
      <c r="H91" s="1034"/>
      <c r="I91" s="1034"/>
      <c r="J91" s="1035"/>
      <c r="K91" s="1050" t="s">
        <v>4511</v>
      </c>
      <c r="L91" s="1051"/>
      <c r="M91" s="1051"/>
      <c r="N91" s="1051"/>
      <c r="O91" s="1051"/>
      <c r="P91" s="1051"/>
      <c r="Q91" s="1051"/>
      <c r="R91" s="1051"/>
      <c r="S91" s="1051"/>
      <c r="T91" s="1051"/>
      <c r="U91" s="1051"/>
      <c r="V91" s="1051"/>
      <c r="W91" s="1052"/>
      <c r="X91" s="1031">
        <v>15</v>
      </c>
      <c r="Y91" s="1031"/>
      <c r="Z91" s="1031"/>
      <c r="AA91" s="1049" t="s">
        <v>6424</v>
      </c>
      <c r="AB91" s="1049"/>
      <c r="AC91" s="1049"/>
      <c r="AD91" s="1049"/>
      <c r="AE91" s="1049"/>
      <c r="AF91" s="1049"/>
      <c r="AM91" s="172"/>
    </row>
    <row r="92" spans="1:39" x14ac:dyDescent="0.3">
      <c r="A92" s="1036"/>
      <c r="B92" s="1037"/>
      <c r="C92" s="1038"/>
      <c r="D92" s="1036"/>
      <c r="E92" s="1037"/>
      <c r="F92" s="1037"/>
      <c r="G92" s="1037"/>
      <c r="H92" s="1037"/>
      <c r="I92" s="1037"/>
      <c r="J92" s="1038"/>
      <c r="K92" s="1050" t="s">
        <v>4510</v>
      </c>
      <c r="L92" s="1051"/>
      <c r="M92" s="1051"/>
      <c r="N92" s="1051"/>
      <c r="O92" s="1051"/>
      <c r="P92" s="1051"/>
      <c r="Q92" s="1051"/>
      <c r="R92" s="1051"/>
      <c r="S92" s="1051"/>
      <c r="T92" s="1051"/>
      <c r="U92" s="1051"/>
      <c r="V92" s="1051"/>
      <c r="W92" s="1052"/>
      <c r="X92" s="1031">
        <f>X91/3</f>
        <v>5</v>
      </c>
      <c r="Y92" s="1031"/>
      <c r="Z92" s="1031"/>
      <c r="AA92" s="1049" t="s">
        <v>4512</v>
      </c>
      <c r="AB92" s="1049"/>
      <c r="AC92" s="1049"/>
      <c r="AD92" s="1049"/>
      <c r="AE92" s="1049"/>
      <c r="AF92" s="1049"/>
      <c r="AM92" s="172"/>
    </row>
    <row r="93" spans="1:39" x14ac:dyDescent="0.3">
      <c r="A93" s="1036"/>
      <c r="B93" s="1037"/>
      <c r="C93" s="1038"/>
      <c r="D93" s="1036"/>
      <c r="E93" s="1037"/>
      <c r="F93" s="1037"/>
      <c r="G93" s="1037"/>
      <c r="H93" s="1037"/>
      <c r="I93" s="1037"/>
      <c r="J93" s="1038"/>
      <c r="K93" s="1050" t="s">
        <v>4352</v>
      </c>
      <c r="L93" s="1051"/>
      <c r="M93" s="1051"/>
      <c r="N93" s="1051"/>
      <c r="O93" s="1051"/>
      <c r="P93" s="1051"/>
      <c r="Q93" s="1051"/>
      <c r="R93" s="1051"/>
      <c r="S93" s="1051"/>
      <c r="T93" s="1051"/>
      <c r="U93" s="1051"/>
      <c r="V93" s="1051"/>
      <c r="W93" s="1052"/>
      <c r="X93" s="1031">
        <v>8</v>
      </c>
      <c r="Y93" s="1031"/>
      <c r="Z93" s="1031"/>
      <c r="AA93" s="1049" t="s">
        <v>4513</v>
      </c>
      <c r="AB93" s="1049"/>
      <c r="AC93" s="1049"/>
      <c r="AD93" s="1049"/>
      <c r="AE93" s="1049"/>
      <c r="AF93" s="1049"/>
      <c r="AM93" s="172"/>
    </row>
    <row r="94" spans="1:39" x14ac:dyDescent="0.3">
      <c r="A94" s="1036"/>
      <c r="B94" s="1037"/>
      <c r="C94" s="1038"/>
      <c r="D94" s="1039"/>
      <c r="E94" s="1040"/>
      <c r="F94" s="1040"/>
      <c r="G94" s="1040"/>
      <c r="H94" s="1040"/>
      <c r="I94" s="1040"/>
      <c r="J94" s="1041"/>
      <c r="K94" s="1050" t="s">
        <v>4353</v>
      </c>
      <c r="L94" s="1051"/>
      <c r="M94" s="1051"/>
      <c r="N94" s="1051"/>
      <c r="O94" s="1051"/>
      <c r="P94" s="1051"/>
      <c r="Q94" s="1051"/>
      <c r="R94" s="1051"/>
      <c r="S94" s="1051"/>
      <c r="T94" s="1051"/>
      <c r="U94" s="1051"/>
      <c r="V94" s="1051"/>
      <c r="W94" s="1052"/>
      <c r="X94" s="1031">
        <v>15</v>
      </c>
      <c r="Y94" s="1031"/>
      <c r="Z94" s="1031"/>
      <c r="AA94" s="1049" t="s">
        <v>1899</v>
      </c>
      <c r="AB94" s="1049"/>
      <c r="AC94" s="1049"/>
      <c r="AD94" s="1049"/>
      <c r="AE94" s="1049"/>
      <c r="AF94" s="1049"/>
      <c r="AM94" s="172"/>
    </row>
    <row r="95" spans="1:39" x14ac:dyDescent="0.3">
      <c r="A95" s="1036"/>
      <c r="B95" s="1037"/>
      <c r="C95" s="1038"/>
      <c r="D95" s="1033" t="s">
        <v>539</v>
      </c>
      <c r="E95" s="1034"/>
      <c r="F95" s="1034"/>
      <c r="G95" s="1034"/>
      <c r="H95" s="1034"/>
      <c r="I95" s="1034"/>
      <c r="J95" s="1035"/>
      <c r="K95" s="1049" t="s">
        <v>540</v>
      </c>
      <c r="L95" s="1049"/>
      <c r="M95" s="1049"/>
      <c r="N95" s="1049"/>
      <c r="O95" s="1049"/>
      <c r="P95" s="1049"/>
      <c r="Q95" s="1049"/>
      <c r="R95" s="1049"/>
      <c r="S95" s="1049"/>
      <c r="T95" s="1049"/>
      <c r="U95" s="1049"/>
      <c r="V95" s="1049"/>
      <c r="W95" s="1049"/>
      <c r="X95" s="1031">
        <v>10</v>
      </c>
      <c r="Y95" s="1031"/>
      <c r="Z95" s="1031"/>
      <c r="AA95" s="1049" t="s">
        <v>4659</v>
      </c>
      <c r="AB95" s="1049"/>
      <c r="AC95" s="1049"/>
      <c r="AD95" s="1049"/>
      <c r="AE95" s="1049"/>
      <c r="AF95" s="1049"/>
      <c r="AM95" s="172"/>
    </row>
    <row r="96" spans="1:39" x14ac:dyDescent="0.3">
      <c r="A96" s="1036"/>
      <c r="B96" s="1037"/>
      <c r="C96" s="1038"/>
      <c r="D96" s="1039"/>
      <c r="E96" s="1040"/>
      <c r="F96" s="1040"/>
      <c r="G96" s="1040"/>
      <c r="H96" s="1040"/>
      <c r="I96" s="1040"/>
      <c r="J96" s="1041"/>
      <c r="K96" s="1049" t="s">
        <v>45</v>
      </c>
      <c r="L96" s="1049"/>
      <c r="M96" s="1049"/>
      <c r="N96" s="1049"/>
      <c r="O96" s="1049"/>
      <c r="P96" s="1049"/>
      <c r="Q96" s="1049"/>
      <c r="R96" s="1049"/>
      <c r="S96" s="1049"/>
      <c r="T96" s="1049"/>
      <c r="U96" s="1049"/>
      <c r="V96" s="1049"/>
      <c r="W96" s="1049"/>
      <c r="X96" s="1031">
        <v>15</v>
      </c>
      <c r="Y96" s="1031"/>
      <c r="Z96" s="1031"/>
      <c r="AA96" s="1049" t="s">
        <v>1899</v>
      </c>
      <c r="AB96" s="1049"/>
      <c r="AC96" s="1049"/>
      <c r="AD96" s="1049"/>
      <c r="AE96" s="1049"/>
      <c r="AF96" s="1049"/>
      <c r="AM96" s="172"/>
    </row>
    <row r="97" spans="1:39" x14ac:dyDescent="0.3">
      <c r="A97" s="1036"/>
      <c r="B97" s="1037"/>
      <c r="C97" s="1038"/>
      <c r="D97" s="1033" t="s">
        <v>720</v>
      </c>
      <c r="E97" s="1034"/>
      <c r="F97" s="1034"/>
      <c r="G97" s="1034"/>
      <c r="H97" s="1034"/>
      <c r="I97" s="1034"/>
      <c r="J97" s="1035"/>
      <c r="K97" s="1049" t="s">
        <v>721</v>
      </c>
      <c r="L97" s="1049"/>
      <c r="M97" s="1049"/>
      <c r="N97" s="1049"/>
      <c r="O97" s="1049"/>
      <c r="P97" s="1049"/>
      <c r="Q97" s="1049"/>
      <c r="R97" s="1049"/>
      <c r="S97" s="1049"/>
      <c r="T97" s="1049"/>
      <c r="U97" s="1049"/>
      <c r="V97" s="1049"/>
      <c r="W97" s="1049"/>
      <c r="X97" s="1031">
        <v>14</v>
      </c>
      <c r="Y97" s="1031"/>
      <c r="Z97" s="1031"/>
      <c r="AA97" s="1049" t="s">
        <v>1901</v>
      </c>
      <c r="AB97" s="1049"/>
      <c r="AC97" s="1049"/>
      <c r="AD97" s="1049"/>
      <c r="AE97" s="1049"/>
      <c r="AF97" s="1049"/>
      <c r="AM97" s="171"/>
    </row>
    <row r="98" spans="1:39" x14ac:dyDescent="0.3">
      <c r="A98" s="1036"/>
      <c r="B98" s="1037"/>
      <c r="C98" s="1038"/>
      <c r="D98" s="1036"/>
      <c r="E98" s="1037"/>
      <c r="F98" s="1037"/>
      <c r="G98" s="1037"/>
      <c r="H98" s="1037"/>
      <c r="I98" s="1037"/>
      <c r="J98" s="1038"/>
      <c r="K98" s="1049" t="s">
        <v>367</v>
      </c>
      <c r="L98" s="1049"/>
      <c r="M98" s="1049"/>
      <c r="N98" s="1049"/>
      <c r="O98" s="1049"/>
      <c r="P98" s="1049"/>
      <c r="Q98" s="1049"/>
      <c r="R98" s="1049"/>
      <c r="S98" s="1049"/>
      <c r="T98" s="1049"/>
      <c r="U98" s="1049"/>
      <c r="V98" s="1049"/>
      <c r="W98" s="1049"/>
      <c r="X98" s="1031">
        <v>11</v>
      </c>
      <c r="Y98" s="1031"/>
      <c r="Z98" s="1031"/>
      <c r="AA98" s="1049" t="s">
        <v>1899</v>
      </c>
      <c r="AB98" s="1049"/>
      <c r="AC98" s="1049"/>
      <c r="AD98" s="1049"/>
      <c r="AE98" s="1049"/>
      <c r="AF98" s="1049"/>
      <c r="AM98" s="172"/>
    </row>
    <row r="99" spans="1:39" x14ac:dyDescent="0.3">
      <c r="A99" s="1036"/>
      <c r="B99" s="1037"/>
      <c r="C99" s="1038"/>
      <c r="D99" s="1039"/>
      <c r="E99" s="1040"/>
      <c r="F99" s="1040"/>
      <c r="G99" s="1040"/>
      <c r="H99" s="1040"/>
      <c r="I99" s="1040"/>
      <c r="J99" s="1041"/>
      <c r="K99" s="1049" t="s">
        <v>722</v>
      </c>
      <c r="L99" s="1049"/>
      <c r="M99" s="1049"/>
      <c r="N99" s="1049"/>
      <c r="O99" s="1049"/>
      <c r="P99" s="1049"/>
      <c r="Q99" s="1049"/>
      <c r="R99" s="1049"/>
      <c r="S99" s="1049"/>
      <c r="T99" s="1049"/>
      <c r="U99" s="1049"/>
      <c r="V99" s="1049"/>
      <c r="W99" s="1049"/>
      <c r="X99" s="1031">
        <v>6</v>
      </c>
      <c r="Y99" s="1031"/>
      <c r="Z99" s="1031"/>
      <c r="AA99" s="1049" t="s">
        <v>1902</v>
      </c>
      <c r="AB99" s="1049"/>
      <c r="AC99" s="1049"/>
      <c r="AD99" s="1049"/>
      <c r="AE99" s="1049"/>
      <c r="AF99" s="1049"/>
      <c r="AM99" s="172"/>
    </row>
    <row r="100" spans="1:39" x14ac:dyDescent="0.3">
      <c r="A100" s="1036"/>
      <c r="B100" s="1037"/>
      <c r="C100" s="1038"/>
      <c r="D100" s="1033" t="s">
        <v>684</v>
      </c>
      <c r="E100" s="1034"/>
      <c r="F100" s="1034"/>
      <c r="G100" s="1034"/>
      <c r="H100" s="1034"/>
      <c r="I100" s="1034"/>
      <c r="J100" s="1035"/>
      <c r="K100" s="1049" t="s">
        <v>1206</v>
      </c>
      <c r="L100" s="1049"/>
      <c r="M100" s="1049"/>
      <c r="N100" s="1049"/>
      <c r="O100" s="1049"/>
      <c r="P100" s="1049"/>
      <c r="Q100" s="1049"/>
      <c r="R100" s="1049"/>
      <c r="S100" s="1049"/>
      <c r="T100" s="1049"/>
      <c r="U100" s="1049"/>
      <c r="V100" s="1049"/>
      <c r="W100" s="1049"/>
      <c r="X100" s="1031">
        <v>15</v>
      </c>
      <c r="Y100" s="1031"/>
      <c r="Z100" s="1031"/>
      <c r="AA100" s="1049" t="s">
        <v>1901</v>
      </c>
      <c r="AB100" s="1049"/>
      <c r="AC100" s="1049"/>
      <c r="AD100" s="1049"/>
      <c r="AE100" s="1049"/>
      <c r="AF100" s="1049"/>
      <c r="AM100" s="172"/>
    </row>
    <row r="101" spans="1:39" x14ac:dyDescent="0.3">
      <c r="A101" s="1036"/>
      <c r="B101" s="1037"/>
      <c r="C101" s="1038"/>
      <c r="D101" s="1036"/>
      <c r="E101" s="1037"/>
      <c r="F101" s="1037"/>
      <c r="G101" s="1037"/>
      <c r="H101" s="1037"/>
      <c r="I101" s="1037"/>
      <c r="J101" s="1038"/>
      <c r="K101" s="1049" t="s">
        <v>723</v>
      </c>
      <c r="L101" s="1049"/>
      <c r="M101" s="1049"/>
      <c r="N101" s="1049"/>
      <c r="O101" s="1049"/>
      <c r="P101" s="1049"/>
      <c r="Q101" s="1049"/>
      <c r="R101" s="1049"/>
      <c r="S101" s="1049"/>
      <c r="T101" s="1049"/>
      <c r="U101" s="1049"/>
      <c r="V101" s="1049"/>
      <c r="W101" s="1049"/>
      <c r="X101" s="1031">
        <v>8</v>
      </c>
      <c r="Y101" s="1031"/>
      <c r="Z101" s="1031"/>
      <c r="AA101" s="1049" t="s">
        <v>1902</v>
      </c>
      <c r="AB101" s="1049"/>
      <c r="AC101" s="1049"/>
      <c r="AD101" s="1049"/>
      <c r="AE101" s="1049"/>
      <c r="AF101" s="1049"/>
      <c r="AM101" s="172"/>
    </row>
    <row r="102" spans="1:39" x14ac:dyDescent="0.3">
      <c r="A102" s="1039"/>
      <c r="B102" s="1040"/>
      <c r="C102" s="1041"/>
      <c r="D102" s="1039"/>
      <c r="E102" s="1040"/>
      <c r="F102" s="1040"/>
      <c r="G102" s="1040"/>
      <c r="H102" s="1040"/>
      <c r="I102" s="1040"/>
      <c r="J102" s="1041"/>
      <c r="K102" s="1049" t="s">
        <v>724</v>
      </c>
      <c r="L102" s="1049"/>
      <c r="M102" s="1049"/>
      <c r="N102" s="1049"/>
      <c r="O102" s="1049"/>
      <c r="P102" s="1049"/>
      <c r="Q102" s="1049"/>
      <c r="R102" s="1049"/>
      <c r="S102" s="1049"/>
      <c r="T102" s="1049"/>
      <c r="U102" s="1049"/>
      <c r="V102" s="1049"/>
      <c r="W102" s="1049"/>
      <c r="X102" s="1031">
        <v>8</v>
      </c>
      <c r="Y102" s="1031"/>
      <c r="Z102" s="1031"/>
      <c r="AA102" s="1049" t="s">
        <v>1902</v>
      </c>
      <c r="AB102" s="1049"/>
      <c r="AC102" s="1049"/>
      <c r="AD102" s="1049"/>
      <c r="AE102" s="1049"/>
      <c r="AF102" s="1049"/>
      <c r="AM102" s="172"/>
    </row>
    <row r="103" spans="1:39" x14ac:dyDescent="0.3">
      <c r="A103" s="1033" t="s">
        <v>662</v>
      </c>
      <c r="B103" s="1034"/>
      <c r="C103" s="1035"/>
      <c r="D103" s="1033" t="s">
        <v>366</v>
      </c>
      <c r="E103" s="1034"/>
      <c r="F103" s="1034"/>
      <c r="G103" s="1034"/>
      <c r="H103" s="1034"/>
      <c r="I103" s="1034"/>
      <c r="J103" s="1035"/>
      <c r="K103" s="1049" t="s">
        <v>725</v>
      </c>
      <c r="L103" s="1049"/>
      <c r="M103" s="1049"/>
      <c r="N103" s="1049"/>
      <c r="O103" s="1049"/>
      <c r="P103" s="1049"/>
      <c r="Q103" s="1049"/>
      <c r="R103" s="1049"/>
      <c r="S103" s="1049"/>
      <c r="T103" s="1049"/>
      <c r="U103" s="1049"/>
      <c r="V103" s="1049"/>
      <c r="W103" s="1049"/>
      <c r="X103" s="1031">
        <v>5</v>
      </c>
      <c r="Y103" s="1031"/>
      <c r="Z103" s="1031"/>
      <c r="AA103" s="1049" t="s">
        <v>1902</v>
      </c>
      <c r="AB103" s="1049"/>
      <c r="AC103" s="1049"/>
      <c r="AD103" s="1049"/>
      <c r="AE103" s="1049"/>
      <c r="AF103" s="1049"/>
      <c r="AM103" s="172"/>
    </row>
    <row r="104" spans="1:39" x14ac:dyDescent="0.3">
      <c r="A104" s="1036"/>
      <c r="B104" s="1037"/>
      <c r="C104" s="1038"/>
      <c r="D104" s="1036"/>
      <c r="E104" s="1037"/>
      <c r="F104" s="1037"/>
      <c r="G104" s="1037"/>
      <c r="H104" s="1037"/>
      <c r="I104" s="1037"/>
      <c r="J104" s="1038"/>
      <c r="K104" s="1049" t="s">
        <v>726</v>
      </c>
      <c r="L104" s="1049"/>
      <c r="M104" s="1049"/>
      <c r="N104" s="1049"/>
      <c r="O104" s="1049"/>
      <c r="P104" s="1049"/>
      <c r="Q104" s="1049"/>
      <c r="R104" s="1049"/>
      <c r="S104" s="1049"/>
      <c r="T104" s="1049"/>
      <c r="U104" s="1049"/>
      <c r="V104" s="1049"/>
      <c r="W104" s="1049"/>
      <c r="X104" s="1031">
        <v>13</v>
      </c>
      <c r="Y104" s="1031"/>
      <c r="Z104" s="1031"/>
      <c r="AA104" s="1049" t="s">
        <v>1902</v>
      </c>
      <c r="AB104" s="1049"/>
      <c r="AC104" s="1049"/>
      <c r="AD104" s="1049"/>
      <c r="AE104" s="1049"/>
      <c r="AF104" s="1049"/>
      <c r="AM104" s="172"/>
    </row>
    <row r="105" spans="1:39" x14ac:dyDescent="0.3">
      <c r="A105" s="1036"/>
      <c r="B105" s="1037"/>
      <c r="C105" s="1038"/>
      <c r="D105" s="1036"/>
      <c r="E105" s="1037"/>
      <c r="F105" s="1037"/>
      <c r="G105" s="1037"/>
      <c r="H105" s="1037"/>
      <c r="I105" s="1037"/>
      <c r="J105" s="1038"/>
      <c r="K105" s="1049" t="s">
        <v>687</v>
      </c>
      <c r="L105" s="1049"/>
      <c r="M105" s="1049"/>
      <c r="N105" s="1049"/>
      <c r="O105" s="1049"/>
      <c r="P105" s="1049"/>
      <c r="Q105" s="1049"/>
      <c r="R105" s="1049"/>
      <c r="S105" s="1049"/>
      <c r="T105" s="1049"/>
      <c r="U105" s="1049"/>
      <c r="V105" s="1049"/>
      <c r="W105" s="1049"/>
      <c r="X105" s="1031">
        <v>10</v>
      </c>
      <c r="Y105" s="1031"/>
      <c r="Z105" s="1031"/>
      <c r="AA105" s="1049" t="s">
        <v>1902</v>
      </c>
      <c r="AB105" s="1049"/>
      <c r="AC105" s="1049"/>
      <c r="AD105" s="1049"/>
      <c r="AE105" s="1049"/>
      <c r="AF105" s="1049"/>
      <c r="AM105" s="171"/>
    </row>
    <row r="106" spans="1:39" x14ac:dyDescent="0.3">
      <c r="A106" s="1039"/>
      <c r="B106" s="1040"/>
      <c r="C106" s="1041"/>
      <c r="D106" s="1039"/>
      <c r="E106" s="1040"/>
      <c r="F106" s="1040"/>
      <c r="G106" s="1040"/>
      <c r="H106" s="1040"/>
      <c r="I106" s="1040"/>
      <c r="J106" s="1041"/>
      <c r="K106" s="1049" t="s">
        <v>964</v>
      </c>
      <c r="L106" s="1049"/>
      <c r="M106" s="1049"/>
      <c r="N106" s="1049"/>
      <c r="O106" s="1049"/>
      <c r="P106" s="1049"/>
      <c r="Q106" s="1049"/>
      <c r="R106" s="1049"/>
      <c r="S106" s="1049"/>
      <c r="T106" s="1049"/>
      <c r="U106" s="1049"/>
      <c r="V106" s="1049"/>
      <c r="W106" s="1049"/>
      <c r="X106" s="1031">
        <v>3</v>
      </c>
      <c r="Y106" s="1031"/>
      <c r="Z106" s="1031"/>
      <c r="AA106" s="1049" t="s">
        <v>1899</v>
      </c>
      <c r="AB106" s="1049"/>
      <c r="AC106" s="1049"/>
      <c r="AD106" s="1049"/>
      <c r="AE106" s="1049"/>
      <c r="AF106" s="1049"/>
      <c r="AM106" s="172"/>
    </row>
    <row r="107" spans="1:39" x14ac:dyDescent="0.3">
      <c r="A107" s="1033" t="s">
        <v>664</v>
      </c>
      <c r="B107" s="1034"/>
      <c r="C107" s="1035"/>
      <c r="D107" s="1033" t="s">
        <v>688</v>
      </c>
      <c r="E107" s="1034"/>
      <c r="F107" s="1034"/>
      <c r="G107" s="1034"/>
      <c r="H107" s="1034"/>
      <c r="I107" s="1034"/>
      <c r="J107" s="1035"/>
      <c r="K107" s="1049" t="s">
        <v>727</v>
      </c>
      <c r="L107" s="1049"/>
      <c r="M107" s="1049"/>
      <c r="N107" s="1049"/>
      <c r="O107" s="1049"/>
      <c r="P107" s="1049"/>
      <c r="Q107" s="1049"/>
      <c r="R107" s="1049"/>
      <c r="S107" s="1049"/>
      <c r="T107" s="1049"/>
      <c r="U107" s="1049"/>
      <c r="V107" s="1049"/>
      <c r="W107" s="1049"/>
      <c r="X107" s="1031">
        <v>1</v>
      </c>
      <c r="Y107" s="1031"/>
      <c r="Z107" s="1031"/>
      <c r="AA107" s="1049" t="s">
        <v>1902</v>
      </c>
      <c r="AB107" s="1049"/>
      <c r="AC107" s="1049"/>
      <c r="AD107" s="1049"/>
      <c r="AE107" s="1049"/>
      <c r="AF107" s="1049"/>
      <c r="AM107" s="172"/>
    </row>
    <row r="108" spans="1:39" x14ac:dyDescent="0.3">
      <c r="A108" s="1036"/>
      <c r="B108" s="1037"/>
      <c r="C108" s="1038"/>
      <c r="D108" s="1036"/>
      <c r="E108" s="1037"/>
      <c r="F108" s="1037"/>
      <c r="G108" s="1037"/>
      <c r="H108" s="1037"/>
      <c r="I108" s="1037"/>
      <c r="J108" s="1038"/>
      <c r="K108" s="1049" t="s">
        <v>728</v>
      </c>
      <c r="L108" s="1049"/>
      <c r="M108" s="1049"/>
      <c r="N108" s="1049"/>
      <c r="O108" s="1049"/>
      <c r="P108" s="1049"/>
      <c r="Q108" s="1049"/>
      <c r="R108" s="1049"/>
      <c r="S108" s="1049"/>
      <c r="T108" s="1049"/>
      <c r="U108" s="1049"/>
      <c r="V108" s="1049"/>
      <c r="W108" s="1049"/>
      <c r="X108" s="1031">
        <v>1</v>
      </c>
      <c r="Y108" s="1031"/>
      <c r="Z108" s="1031"/>
      <c r="AA108" s="1049" t="s">
        <v>1902</v>
      </c>
      <c r="AB108" s="1049"/>
      <c r="AC108" s="1049"/>
      <c r="AD108" s="1049"/>
      <c r="AE108" s="1049"/>
      <c r="AF108" s="1049"/>
      <c r="AM108" s="172"/>
    </row>
    <row r="109" spans="1:39" x14ac:dyDescent="0.3">
      <c r="A109" s="1036"/>
      <c r="B109" s="1037"/>
      <c r="C109" s="1038"/>
      <c r="D109" s="1036"/>
      <c r="E109" s="1037"/>
      <c r="F109" s="1037"/>
      <c r="G109" s="1037"/>
      <c r="H109" s="1037"/>
      <c r="I109" s="1037"/>
      <c r="J109" s="1038"/>
      <c r="K109" s="1049" t="s">
        <v>729</v>
      </c>
      <c r="L109" s="1049"/>
      <c r="M109" s="1049"/>
      <c r="N109" s="1049"/>
      <c r="O109" s="1049"/>
      <c r="P109" s="1049"/>
      <c r="Q109" s="1049"/>
      <c r="R109" s="1049"/>
      <c r="S109" s="1049"/>
      <c r="T109" s="1049"/>
      <c r="U109" s="1049"/>
      <c r="V109" s="1049"/>
      <c r="W109" s="1049"/>
      <c r="X109" s="1031" t="s">
        <v>230</v>
      </c>
      <c r="Y109" s="1031"/>
      <c r="Z109" s="1031"/>
      <c r="AA109" s="1049" t="s">
        <v>1902</v>
      </c>
      <c r="AB109" s="1049"/>
      <c r="AC109" s="1049"/>
      <c r="AD109" s="1049"/>
      <c r="AE109" s="1049"/>
      <c r="AF109" s="1049"/>
      <c r="AM109" s="172"/>
    </row>
    <row r="110" spans="1:39" x14ac:dyDescent="0.3">
      <c r="A110" s="1036"/>
      <c r="B110" s="1037"/>
      <c r="C110" s="1038"/>
      <c r="D110" s="1036"/>
      <c r="E110" s="1037"/>
      <c r="F110" s="1037"/>
      <c r="G110" s="1037"/>
      <c r="H110" s="1037"/>
      <c r="I110" s="1037"/>
      <c r="J110" s="1038"/>
      <c r="K110" s="1049" t="s">
        <v>730</v>
      </c>
      <c r="L110" s="1049"/>
      <c r="M110" s="1049"/>
      <c r="N110" s="1049"/>
      <c r="O110" s="1049"/>
      <c r="P110" s="1049"/>
      <c r="Q110" s="1049"/>
      <c r="R110" s="1049"/>
      <c r="S110" s="1049"/>
      <c r="T110" s="1049"/>
      <c r="U110" s="1049"/>
      <c r="V110" s="1049"/>
      <c r="W110" s="1049"/>
      <c r="X110" s="1031" t="s">
        <v>230</v>
      </c>
      <c r="Y110" s="1031"/>
      <c r="Z110" s="1031"/>
      <c r="AA110" s="1049" t="s">
        <v>1902</v>
      </c>
      <c r="AB110" s="1049"/>
      <c r="AC110" s="1049"/>
      <c r="AD110" s="1049"/>
      <c r="AE110" s="1049"/>
      <c r="AF110" s="1049"/>
      <c r="AM110" s="171"/>
    </row>
    <row r="111" spans="1:39" x14ac:dyDescent="0.3">
      <c r="A111" s="1036"/>
      <c r="B111" s="1037"/>
      <c r="C111" s="1038"/>
      <c r="D111" s="1036"/>
      <c r="E111" s="1037"/>
      <c r="F111" s="1037"/>
      <c r="G111" s="1037"/>
      <c r="H111" s="1037"/>
      <c r="I111" s="1037"/>
      <c r="J111" s="1038"/>
      <c r="K111" s="1049" t="s">
        <v>731</v>
      </c>
      <c r="L111" s="1049"/>
      <c r="M111" s="1049"/>
      <c r="N111" s="1049"/>
      <c r="O111" s="1049"/>
      <c r="P111" s="1049"/>
      <c r="Q111" s="1049"/>
      <c r="R111" s="1049"/>
      <c r="S111" s="1049"/>
      <c r="T111" s="1049"/>
      <c r="U111" s="1049"/>
      <c r="V111" s="1049"/>
      <c r="W111" s="1049"/>
      <c r="X111" s="1031" t="s">
        <v>230</v>
      </c>
      <c r="Y111" s="1031"/>
      <c r="Z111" s="1031"/>
      <c r="AA111" s="1049" t="s">
        <v>1902</v>
      </c>
      <c r="AB111" s="1049"/>
      <c r="AC111" s="1049"/>
      <c r="AD111" s="1049"/>
      <c r="AE111" s="1049"/>
      <c r="AF111" s="1049"/>
      <c r="AM111" s="172"/>
    </row>
    <row r="112" spans="1:39" x14ac:dyDescent="0.3">
      <c r="A112" s="1036"/>
      <c r="B112" s="1037"/>
      <c r="C112" s="1038"/>
      <c r="D112" s="1036"/>
      <c r="E112" s="1037"/>
      <c r="F112" s="1037"/>
      <c r="G112" s="1037"/>
      <c r="H112" s="1037"/>
      <c r="I112" s="1037"/>
      <c r="J112" s="1038"/>
      <c r="K112" s="1049" t="s">
        <v>732</v>
      </c>
      <c r="L112" s="1049"/>
      <c r="M112" s="1049"/>
      <c r="N112" s="1049"/>
      <c r="O112" s="1049"/>
      <c r="P112" s="1049"/>
      <c r="Q112" s="1049"/>
      <c r="R112" s="1049"/>
      <c r="S112" s="1049"/>
      <c r="T112" s="1049"/>
      <c r="U112" s="1049"/>
      <c r="V112" s="1049"/>
      <c r="W112" s="1049"/>
      <c r="X112" s="1031" t="s">
        <v>230</v>
      </c>
      <c r="Y112" s="1031"/>
      <c r="Z112" s="1031"/>
      <c r="AA112" s="1049" t="s">
        <v>1902</v>
      </c>
      <c r="AB112" s="1049"/>
      <c r="AC112" s="1049"/>
      <c r="AD112" s="1049"/>
      <c r="AE112" s="1049"/>
      <c r="AF112" s="1049"/>
      <c r="AM112" s="172"/>
    </row>
    <row r="113" spans="1:39" x14ac:dyDescent="0.3">
      <c r="A113" s="1039"/>
      <c r="B113" s="1040"/>
      <c r="C113" s="1041"/>
      <c r="D113" s="1039"/>
      <c r="E113" s="1040"/>
      <c r="F113" s="1040"/>
      <c r="G113" s="1040"/>
      <c r="H113" s="1040"/>
      <c r="I113" s="1040"/>
      <c r="J113" s="1041"/>
      <c r="K113" s="1049" t="s">
        <v>733</v>
      </c>
      <c r="L113" s="1049"/>
      <c r="M113" s="1049"/>
      <c r="N113" s="1049"/>
      <c r="O113" s="1049"/>
      <c r="P113" s="1049"/>
      <c r="Q113" s="1049"/>
      <c r="R113" s="1049"/>
      <c r="S113" s="1049"/>
      <c r="T113" s="1049"/>
      <c r="U113" s="1049"/>
      <c r="V113" s="1049"/>
      <c r="W113" s="1049"/>
      <c r="X113" s="1031">
        <v>15</v>
      </c>
      <c r="Y113" s="1031"/>
      <c r="Z113" s="1031"/>
      <c r="AA113" s="1049" t="s">
        <v>1902</v>
      </c>
      <c r="AB113" s="1049"/>
      <c r="AC113" s="1049"/>
      <c r="AD113" s="1049"/>
      <c r="AE113" s="1049"/>
      <c r="AF113" s="1049"/>
      <c r="AM113" s="172"/>
    </row>
    <row r="114" spans="1:39" ht="31.5" customHeight="1" x14ac:dyDescent="0.3">
      <c r="A114" s="1033" t="s">
        <v>666</v>
      </c>
      <c r="B114" s="1034"/>
      <c r="C114" s="1035"/>
      <c r="D114" s="1033" t="s">
        <v>693</v>
      </c>
      <c r="E114" s="1034"/>
      <c r="F114" s="1034"/>
      <c r="G114" s="1034"/>
      <c r="H114" s="1034"/>
      <c r="I114" s="1034"/>
      <c r="J114" s="1035"/>
      <c r="K114" s="1042" t="s">
        <v>1942</v>
      </c>
      <c r="L114" s="1042"/>
      <c r="M114" s="1042"/>
      <c r="N114" s="1042"/>
      <c r="O114" s="1042"/>
      <c r="P114" s="1042"/>
      <c r="Q114" s="1042"/>
      <c r="R114" s="1042"/>
      <c r="S114" s="1042"/>
      <c r="T114" s="1042"/>
      <c r="U114" s="1042"/>
      <c r="V114" s="1042"/>
      <c r="W114" s="1042"/>
      <c r="X114" s="1031" t="s">
        <v>1905</v>
      </c>
      <c r="Y114" s="1031"/>
      <c r="Z114" s="1031"/>
      <c r="AA114" s="1032" t="s">
        <v>1900</v>
      </c>
      <c r="AB114" s="1032"/>
      <c r="AC114" s="1032"/>
      <c r="AD114" s="1032"/>
      <c r="AE114" s="1032"/>
      <c r="AF114" s="1032"/>
      <c r="AM114" s="172"/>
    </row>
    <row r="115" spans="1:39" ht="31.5" customHeight="1" x14ac:dyDescent="0.3">
      <c r="A115" s="1036"/>
      <c r="B115" s="1037"/>
      <c r="C115" s="1038"/>
      <c r="D115" s="1036"/>
      <c r="E115" s="1037"/>
      <c r="F115" s="1037"/>
      <c r="G115" s="1037"/>
      <c r="H115" s="1037"/>
      <c r="I115" s="1037"/>
      <c r="J115" s="1038"/>
      <c r="K115" s="1042" t="s">
        <v>1938</v>
      </c>
      <c r="L115" s="1042"/>
      <c r="M115" s="1042"/>
      <c r="N115" s="1042"/>
      <c r="O115" s="1042"/>
      <c r="P115" s="1042"/>
      <c r="Q115" s="1042"/>
      <c r="R115" s="1042"/>
      <c r="S115" s="1042"/>
      <c r="T115" s="1042"/>
      <c r="U115" s="1042"/>
      <c r="V115" s="1042"/>
      <c r="W115" s="1042"/>
      <c r="X115" s="1031" t="s">
        <v>1905</v>
      </c>
      <c r="Y115" s="1031"/>
      <c r="Z115" s="1031"/>
      <c r="AA115" s="1032" t="s">
        <v>1939</v>
      </c>
      <c r="AB115" s="1032"/>
      <c r="AC115" s="1032"/>
      <c r="AD115" s="1032"/>
      <c r="AE115" s="1032"/>
      <c r="AF115" s="1032"/>
      <c r="AM115" s="172"/>
    </row>
    <row r="116" spans="1:39" ht="27.75" customHeight="1" x14ac:dyDescent="0.3">
      <c r="A116" s="1036"/>
      <c r="B116" s="1037"/>
      <c r="C116" s="1038"/>
      <c r="D116" s="1039"/>
      <c r="E116" s="1040"/>
      <c r="F116" s="1040"/>
      <c r="G116" s="1040"/>
      <c r="H116" s="1040"/>
      <c r="I116" s="1040"/>
      <c r="J116" s="1041"/>
      <c r="K116" s="1030" t="s">
        <v>5606</v>
      </c>
      <c r="L116" s="1030"/>
      <c r="M116" s="1030"/>
      <c r="N116" s="1030"/>
      <c r="O116" s="1030"/>
      <c r="P116" s="1030"/>
      <c r="Q116" s="1030"/>
      <c r="R116" s="1030"/>
      <c r="S116" s="1030"/>
      <c r="T116" s="1030"/>
      <c r="U116" s="1030"/>
      <c r="V116" s="1030"/>
      <c r="W116" s="1030"/>
      <c r="X116" s="1031" t="s">
        <v>1905</v>
      </c>
      <c r="Y116" s="1031"/>
      <c r="Z116" s="1031"/>
      <c r="AA116" s="1032" t="s">
        <v>5131</v>
      </c>
      <c r="AB116" s="1032"/>
      <c r="AC116" s="1032"/>
      <c r="AD116" s="1032"/>
      <c r="AE116" s="1032"/>
      <c r="AF116" s="1032"/>
      <c r="AM116" s="481"/>
    </row>
    <row r="117" spans="1:39" x14ac:dyDescent="0.3">
      <c r="A117" s="1036"/>
      <c r="B117" s="1037"/>
      <c r="C117" s="1038"/>
      <c r="D117" s="1031" t="s">
        <v>734</v>
      </c>
      <c r="E117" s="1031"/>
      <c r="F117" s="1031"/>
      <c r="G117" s="1031"/>
      <c r="H117" s="1031"/>
      <c r="I117" s="1031"/>
      <c r="J117" s="1031"/>
      <c r="K117" s="1049" t="s">
        <v>735</v>
      </c>
      <c r="L117" s="1049"/>
      <c r="M117" s="1049"/>
      <c r="N117" s="1049"/>
      <c r="O117" s="1049"/>
      <c r="P117" s="1049"/>
      <c r="Q117" s="1049"/>
      <c r="R117" s="1049"/>
      <c r="S117" s="1049"/>
      <c r="T117" s="1049"/>
      <c r="U117" s="1049"/>
      <c r="V117" s="1049"/>
      <c r="W117" s="1049"/>
      <c r="X117" s="1031">
        <v>5</v>
      </c>
      <c r="Y117" s="1031"/>
      <c r="Z117" s="1031"/>
      <c r="AA117" s="1049" t="s">
        <v>1902</v>
      </c>
      <c r="AB117" s="1049"/>
      <c r="AC117" s="1049"/>
      <c r="AD117" s="1049"/>
      <c r="AE117" s="1049"/>
      <c r="AF117" s="1049"/>
      <c r="AM117" s="171"/>
    </row>
    <row r="118" spans="1:39" ht="31.5" customHeight="1" x14ac:dyDescent="0.3">
      <c r="A118" s="1036"/>
      <c r="B118" s="1037"/>
      <c r="C118" s="1038"/>
      <c r="D118" s="1033" t="s">
        <v>217</v>
      </c>
      <c r="E118" s="1034"/>
      <c r="F118" s="1034"/>
      <c r="G118" s="1034"/>
      <c r="H118" s="1034"/>
      <c r="I118" s="1034"/>
      <c r="J118" s="1035"/>
      <c r="K118" s="1032" t="s">
        <v>736</v>
      </c>
      <c r="L118" s="1032"/>
      <c r="M118" s="1032"/>
      <c r="N118" s="1032"/>
      <c r="O118" s="1032"/>
      <c r="P118" s="1032"/>
      <c r="Q118" s="1032"/>
      <c r="R118" s="1032"/>
      <c r="S118" s="1032"/>
      <c r="T118" s="1032"/>
      <c r="U118" s="1032"/>
      <c r="V118" s="1032"/>
      <c r="W118" s="1032"/>
      <c r="X118" s="1031">
        <v>15</v>
      </c>
      <c r="Y118" s="1031"/>
      <c r="Z118" s="1031"/>
      <c r="AA118" s="1049" t="s">
        <v>5130</v>
      </c>
      <c r="AB118" s="1049"/>
      <c r="AC118" s="1049"/>
      <c r="AD118" s="1049"/>
      <c r="AE118" s="1049"/>
      <c r="AF118" s="1049"/>
      <c r="AM118" s="172"/>
    </row>
    <row r="119" spans="1:39" x14ac:dyDescent="0.3">
      <c r="A119" s="1036"/>
      <c r="B119" s="1037"/>
      <c r="C119" s="1038"/>
      <c r="D119" s="1036"/>
      <c r="E119" s="1037"/>
      <c r="F119" s="1037"/>
      <c r="G119" s="1037"/>
      <c r="H119" s="1037"/>
      <c r="I119" s="1037"/>
      <c r="J119" s="1038"/>
      <c r="K119" s="1049" t="s">
        <v>737</v>
      </c>
      <c r="L119" s="1049"/>
      <c r="M119" s="1049"/>
      <c r="N119" s="1049"/>
      <c r="O119" s="1049"/>
      <c r="P119" s="1049"/>
      <c r="Q119" s="1049"/>
      <c r="R119" s="1049"/>
      <c r="S119" s="1049"/>
      <c r="T119" s="1049"/>
      <c r="U119" s="1049"/>
      <c r="V119" s="1049"/>
      <c r="W119" s="1049"/>
      <c r="X119" s="1031">
        <v>5</v>
      </c>
      <c r="Y119" s="1031"/>
      <c r="Z119" s="1031"/>
      <c r="AA119" s="1049" t="s">
        <v>1899</v>
      </c>
      <c r="AB119" s="1049"/>
      <c r="AC119" s="1049"/>
      <c r="AD119" s="1049"/>
      <c r="AE119" s="1049"/>
      <c r="AF119" s="1049"/>
      <c r="AM119" s="172"/>
    </row>
    <row r="120" spans="1:39" x14ac:dyDescent="0.3">
      <c r="A120" s="1036"/>
      <c r="B120" s="1037"/>
      <c r="C120" s="1038"/>
      <c r="D120" s="1036"/>
      <c r="E120" s="1037"/>
      <c r="F120" s="1037"/>
      <c r="G120" s="1037"/>
      <c r="H120" s="1037"/>
      <c r="I120" s="1037"/>
      <c r="J120" s="1038"/>
      <c r="K120" s="1049" t="s">
        <v>738</v>
      </c>
      <c r="L120" s="1049"/>
      <c r="M120" s="1049"/>
      <c r="N120" s="1049"/>
      <c r="O120" s="1049"/>
      <c r="P120" s="1049"/>
      <c r="Q120" s="1049"/>
      <c r="R120" s="1049"/>
      <c r="S120" s="1049"/>
      <c r="T120" s="1049"/>
      <c r="U120" s="1049"/>
      <c r="V120" s="1049"/>
      <c r="W120" s="1049"/>
      <c r="X120" s="1031">
        <v>12</v>
      </c>
      <c r="Y120" s="1031"/>
      <c r="Z120" s="1031"/>
      <c r="AA120" s="1049" t="s">
        <v>6028</v>
      </c>
      <c r="AB120" s="1049"/>
      <c r="AC120" s="1049"/>
      <c r="AD120" s="1049"/>
      <c r="AE120" s="1049"/>
      <c r="AF120" s="1049"/>
      <c r="AM120" s="171"/>
    </row>
    <row r="121" spans="1:39" ht="30.75" customHeight="1" x14ac:dyDescent="0.3">
      <c r="A121" s="1036"/>
      <c r="B121" s="1037"/>
      <c r="C121" s="1038"/>
      <c r="D121" s="1036"/>
      <c r="E121" s="1037"/>
      <c r="F121" s="1037"/>
      <c r="G121" s="1037"/>
      <c r="H121" s="1037"/>
      <c r="I121" s="1037"/>
      <c r="J121" s="1038"/>
      <c r="K121" s="1030" t="s">
        <v>5555</v>
      </c>
      <c r="L121" s="1030"/>
      <c r="M121" s="1030"/>
      <c r="N121" s="1030"/>
      <c r="O121" s="1030"/>
      <c r="P121" s="1030"/>
      <c r="Q121" s="1030"/>
      <c r="R121" s="1030"/>
      <c r="S121" s="1030"/>
      <c r="T121" s="1030"/>
      <c r="U121" s="1030"/>
      <c r="V121" s="1030"/>
      <c r="W121" s="1030"/>
      <c r="X121" s="1031" t="s">
        <v>1905</v>
      </c>
      <c r="Y121" s="1031"/>
      <c r="Z121" s="1031"/>
      <c r="AA121" s="1032" t="s">
        <v>5132</v>
      </c>
      <c r="AB121" s="1032"/>
      <c r="AC121" s="1032"/>
      <c r="AD121" s="1032"/>
      <c r="AE121" s="1032"/>
      <c r="AF121" s="1032"/>
      <c r="AM121" s="726"/>
    </row>
    <row r="122" spans="1:39" x14ac:dyDescent="0.3">
      <c r="A122" s="1036"/>
      <c r="B122" s="1037"/>
      <c r="C122" s="1038"/>
      <c r="D122" s="1039"/>
      <c r="E122" s="1040"/>
      <c r="F122" s="1040"/>
      <c r="G122" s="1040"/>
      <c r="H122" s="1040"/>
      <c r="I122" s="1040"/>
      <c r="J122" s="1041"/>
      <c r="K122" s="1049" t="s">
        <v>6226</v>
      </c>
      <c r="L122" s="1049"/>
      <c r="M122" s="1049"/>
      <c r="N122" s="1049"/>
      <c r="O122" s="1049"/>
      <c r="P122" s="1049"/>
      <c r="Q122" s="1049"/>
      <c r="R122" s="1049"/>
      <c r="S122" s="1049"/>
      <c r="T122" s="1049"/>
      <c r="U122" s="1049"/>
      <c r="V122" s="1049"/>
      <c r="W122" s="1049"/>
      <c r="X122" s="1031">
        <v>10</v>
      </c>
      <c r="Y122" s="1031"/>
      <c r="Z122" s="1031"/>
      <c r="AA122" s="1049" t="s">
        <v>6028</v>
      </c>
      <c r="AB122" s="1049"/>
      <c r="AC122" s="1049"/>
      <c r="AD122" s="1049"/>
      <c r="AE122" s="1049"/>
      <c r="AF122" s="1049"/>
      <c r="AM122" s="726"/>
    </row>
    <row r="123" spans="1:39" x14ac:dyDescent="0.3">
      <c r="A123" s="1036"/>
      <c r="B123" s="1037"/>
      <c r="C123" s="1038"/>
      <c r="D123" s="1033" t="s">
        <v>366</v>
      </c>
      <c r="E123" s="1034"/>
      <c r="F123" s="1034"/>
      <c r="G123" s="1034"/>
      <c r="H123" s="1034"/>
      <c r="I123" s="1034"/>
      <c r="J123" s="1035"/>
      <c r="K123" s="1049" t="s">
        <v>739</v>
      </c>
      <c r="L123" s="1049"/>
      <c r="M123" s="1049"/>
      <c r="N123" s="1049"/>
      <c r="O123" s="1049"/>
      <c r="P123" s="1049"/>
      <c r="Q123" s="1049"/>
      <c r="R123" s="1049"/>
      <c r="S123" s="1049"/>
      <c r="T123" s="1049"/>
      <c r="U123" s="1049"/>
      <c r="V123" s="1049"/>
      <c r="W123" s="1049"/>
      <c r="X123" s="1031" t="s">
        <v>366</v>
      </c>
      <c r="Y123" s="1031"/>
      <c r="Z123" s="1031"/>
      <c r="AA123" s="1049" t="s">
        <v>1902</v>
      </c>
      <c r="AB123" s="1049"/>
      <c r="AC123" s="1049"/>
      <c r="AD123" s="1049"/>
      <c r="AE123" s="1049"/>
      <c r="AF123" s="1049"/>
      <c r="AM123" s="171"/>
    </row>
    <row r="124" spans="1:39" x14ac:dyDescent="0.3">
      <c r="A124" s="1036"/>
      <c r="B124" s="1037"/>
      <c r="C124" s="1038"/>
      <c r="D124" s="1036"/>
      <c r="E124" s="1037"/>
      <c r="F124" s="1037"/>
      <c r="G124" s="1037"/>
      <c r="H124" s="1037"/>
      <c r="I124" s="1037"/>
      <c r="J124" s="1038"/>
      <c r="K124" s="1049" t="s">
        <v>273</v>
      </c>
      <c r="L124" s="1049"/>
      <c r="M124" s="1049"/>
      <c r="N124" s="1049"/>
      <c r="O124" s="1049"/>
      <c r="P124" s="1049"/>
      <c r="Q124" s="1049"/>
      <c r="R124" s="1049"/>
      <c r="S124" s="1049"/>
      <c r="T124" s="1049"/>
      <c r="U124" s="1049"/>
      <c r="V124" s="1049"/>
      <c r="W124" s="1049"/>
      <c r="X124" s="1031">
        <v>12</v>
      </c>
      <c r="Y124" s="1031"/>
      <c r="Z124" s="1031"/>
      <c r="AA124" s="1049" t="s">
        <v>1902</v>
      </c>
      <c r="AB124" s="1049"/>
      <c r="AC124" s="1049"/>
      <c r="AD124" s="1049"/>
      <c r="AE124" s="1049"/>
      <c r="AF124" s="1049"/>
      <c r="AM124" s="172"/>
    </row>
    <row r="125" spans="1:39" ht="15" x14ac:dyDescent="0.3">
      <c r="A125" s="1039"/>
      <c r="B125" s="1040"/>
      <c r="C125" s="1041"/>
      <c r="D125" s="1039"/>
      <c r="E125" s="1040"/>
      <c r="F125" s="1040"/>
      <c r="G125" s="1040"/>
      <c r="H125" s="1040"/>
      <c r="I125" s="1040"/>
      <c r="J125" s="1041"/>
      <c r="K125" s="1049" t="s">
        <v>628</v>
      </c>
      <c r="L125" s="1049"/>
      <c r="M125" s="1049"/>
      <c r="N125" s="1049"/>
      <c r="O125" s="1049"/>
      <c r="P125" s="1049"/>
      <c r="Q125" s="1049"/>
      <c r="R125" s="1049"/>
      <c r="S125" s="1049"/>
      <c r="T125" s="1049"/>
      <c r="U125" s="1049"/>
      <c r="V125" s="1049"/>
      <c r="W125" s="1049"/>
      <c r="X125" s="1031" t="s">
        <v>6029</v>
      </c>
      <c r="Y125" s="1031"/>
      <c r="Z125" s="1031"/>
      <c r="AA125" s="1049" t="s">
        <v>1901</v>
      </c>
      <c r="AB125" s="1049"/>
      <c r="AC125" s="1049"/>
      <c r="AD125" s="1049"/>
      <c r="AE125" s="1049"/>
      <c r="AF125" s="1049"/>
    </row>
    <row r="126" spans="1:39" x14ac:dyDescent="0.3">
      <c r="A126" s="948" t="s">
        <v>2003</v>
      </c>
      <c r="B126" s="948"/>
      <c r="C126" s="948"/>
      <c r="D126" s="948"/>
      <c r="E126" s="948"/>
      <c r="F126" s="948"/>
      <c r="G126" s="948"/>
      <c r="H126" s="948"/>
      <c r="I126" s="948"/>
      <c r="J126" s="948"/>
      <c r="K126" s="948"/>
      <c r="L126" s="948"/>
      <c r="M126" s="948"/>
      <c r="N126" s="948"/>
      <c r="O126" s="948"/>
      <c r="P126" s="948"/>
      <c r="Q126" s="948"/>
      <c r="R126" s="948"/>
      <c r="S126" s="948"/>
      <c r="T126" s="948"/>
      <c r="U126" s="948"/>
      <c r="V126" s="948"/>
      <c r="W126" s="948"/>
      <c r="X126" s="948"/>
      <c r="Y126" s="948"/>
      <c r="Z126" s="948"/>
      <c r="AA126" s="948"/>
      <c r="AB126" s="948"/>
      <c r="AC126" s="948"/>
      <c r="AD126" s="948"/>
      <c r="AE126" s="948"/>
      <c r="AF126" s="948"/>
    </row>
    <row r="127" spans="1:39" x14ac:dyDescent="0.3">
      <c r="A127" s="155"/>
      <c r="B127" s="948" t="s">
        <v>2792</v>
      </c>
      <c r="C127" s="948"/>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8"/>
      <c r="AA127" s="948"/>
      <c r="AB127" s="948"/>
      <c r="AC127" s="948"/>
      <c r="AD127" s="948"/>
      <c r="AE127" s="948"/>
      <c r="AF127" s="948"/>
    </row>
    <row r="128" spans="1:39" ht="39.75" customHeight="1" x14ac:dyDescent="0.3">
      <c r="A128" s="155"/>
      <c r="B128" s="948" t="s">
        <v>2793</v>
      </c>
      <c r="C128" s="948"/>
      <c r="D128" s="948"/>
      <c r="E128" s="948"/>
      <c r="F128" s="948"/>
      <c r="G128" s="948"/>
      <c r="H128" s="948"/>
      <c r="I128" s="948"/>
      <c r="J128" s="948"/>
      <c r="K128" s="948"/>
      <c r="L128" s="948"/>
      <c r="M128" s="948"/>
      <c r="N128" s="948"/>
      <c r="O128" s="948"/>
      <c r="P128" s="948"/>
      <c r="Q128" s="948"/>
      <c r="R128" s="948"/>
      <c r="S128" s="948"/>
      <c r="T128" s="948"/>
      <c r="U128" s="948"/>
      <c r="V128" s="948"/>
      <c r="W128" s="948"/>
      <c r="X128" s="948"/>
      <c r="Y128" s="948"/>
      <c r="Z128" s="948"/>
      <c r="AA128" s="948"/>
      <c r="AB128" s="948"/>
      <c r="AC128" s="948"/>
      <c r="AD128" s="948"/>
      <c r="AE128" s="948"/>
      <c r="AF128" s="948"/>
    </row>
    <row r="129" spans="1:32" ht="53.25" customHeight="1" x14ac:dyDescent="0.3">
      <c r="A129" s="155"/>
      <c r="B129" s="948" t="s">
        <v>1910</v>
      </c>
      <c r="C129" s="948"/>
      <c r="D129" s="948"/>
      <c r="E129" s="948"/>
      <c r="F129" s="948"/>
      <c r="G129" s="948"/>
      <c r="H129" s="948"/>
      <c r="I129" s="948"/>
      <c r="J129" s="948"/>
      <c r="K129" s="948"/>
      <c r="L129" s="948"/>
      <c r="M129" s="948"/>
      <c r="N129" s="948"/>
      <c r="O129" s="948"/>
      <c r="P129" s="948"/>
      <c r="Q129" s="948"/>
      <c r="R129" s="948"/>
      <c r="S129" s="948"/>
      <c r="T129" s="948"/>
      <c r="U129" s="948"/>
      <c r="V129" s="948"/>
      <c r="W129" s="948"/>
      <c r="X129" s="948"/>
      <c r="Y129" s="948"/>
      <c r="Z129" s="948"/>
      <c r="AA129" s="948"/>
      <c r="AB129" s="948"/>
      <c r="AC129" s="948"/>
      <c r="AD129" s="948"/>
      <c r="AE129" s="948"/>
      <c r="AF129" s="948"/>
    </row>
    <row r="130" spans="1:32" ht="40.5" customHeight="1" x14ac:dyDescent="0.3">
      <c r="A130" s="155"/>
      <c r="B130" s="948" t="s">
        <v>1911</v>
      </c>
      <c r="C130" s="948"/>
      <c r="D130" s="948"/>
      <c r="E130" s="948"/>
      <c r="F130" s="948"/>
      <c r="G130" s="948"/>
      <c r="H130" s="948"/>
      <c r="I130" s="948"/>
      <c r="J130" s="948"/>
      <c r="K130" s="948"/>
      <c r="L130" s="948"/>
      <c r="M130" s="948"/>
      <c r="N130" s="948"/>
      <c r="O130" s="948"/>
      <c r="P130" s="948"/>
      <c r="Q130" s="948"/>
      <c r="R130" s="948"/>
      <c r="S130" s="948"/>
      <c r="T130" s="948"/>
      <c r="U130" s="948"/>
      <c r="V130" s="948"/>
      <c r="W130" s="948"/>
      <c r="X130" s="948"/>
      <c r="Y130" s="948"/>
      <c r="Z130" s="948"/>
      <c r="AA130" s="948"/>
      <c r="AB130" s="948"/>
      <c r="AC130" s="948"/>
      <c r="AD130" s="948"/>
      <c r="AE130" s="948"/>
      <c r="AF130" s="948"/>
    </row>
    <row r="131" spans="1:32" ht="28.5" customHeight="1" x14ac:dyDescent="0.3">
      <c r="A131" s="155"/>
      <c r="B131" s="948" t="s">
        <v>1912</v>
      </c>
      <c r="C131" s="948"/>
      <c r="D131" s="948"/>
      <c r="E131" s="948"/>
      <c r="F131" s="948"/>
      <c r="G131" s="948"/>
      <c r="H131" s="948"/>
      <c r="I131" s="948"/>
      <c r="J131" s="948"/>
      <c r="K131" s="948"/>
      <c r="L131" s="948"/>
      <c r="M131" s="948"/>
      <c r="N131" s="948"/>
      <c r="O131" s="948"/>
      <c r="P131" s="948"/>
      <c r="Q131" s="948"/>
      <c r="R131" s="948"/>
      <c r="S131" s="948"/>
      <c r="T131" s="948"/>
      <c r="U131" s="948"/>
      <c r="V131" s="948"/>
      <c r="W131" s="948"/>
      <c r="X131" s="948"/>
      <c r="Y131" s="948"/>
      <c r="Z131" s="948"/>
      <c r="AA131" s="948"/>
      <c r="AB131" s="948"/>
      <c r="AC131" s="948"/>
      <c r="AD131" s="948"/>
      <c r="AE131" s="948"/>
      <c r="AF131" s="948"/>
    </row>
    <row r="132" spans="1:32" x14ac:dyDescent="0.3">
      <c r="A132" s="948" t="s">
        <v>2004</v>
      </c>
      <c r="B132" s="948"/>
      <c r="C132" s="948"/>
      <c r="D132" s="948"/>
      <c r="E132" s="948"/>
      <c r="F132" s="948"/>
      <c r="G132" s="948"/>
      <c r="H132" s="948"/>
      <c r="I132" s="948"/>
      <c r="J132" s="948"/>
      <c r="K132" s="948"/>
      <c r="L132" s="948"/>
      <c r="M132" s="948"/>
      <c r="N132" s="948"/>
      <c r="O132" s="948"/>
      <c r="P132" s="948"/>
      <c r="Q132" s="948"/>
      <c r="R132" s="948"/>
      <c r="S132" s="948"/>
      <c r="T132" s="948"/>
      <c r="U132" s="948"/>
      <c r="V132" s="948"/>
      <c r="W132" s="948"/>
      <c r="X132" s="948"/>
      <c r="Y132" s="948"/>
      <c r="Z132" s="948"/>
      <c r="AA132" s="948"/>
      <c r="AB132" s="948"/>
      <c r="AC132" s="948"/>
      <c r="AD132" s="948"/>
      <c r="AE132" s="948"/>
      <c r="AF132" s="948"/>
    </row>
    <row r="133" spans="1:32" x14ac:dyDescent="0.3">
      <c r="A133" s="948" t="s">
        <v>2005</v>
      </c>
      <c r="B133" s="948"/>
      <c r="C133" s="948"/>
      <c r="D133" s="948"/>
      <c r="E133" s="948"/>
      <c r="F133" s="948"/>
      <c r="G133" s="948"/>
      <c r="H133" s="948"/>
      <c r="I133" s="948"/>
      <c r="J133" s="948"/>
      <c r="K133" s="948"/>
      <c r="L133" s="948"/>
      <c r="M133" s="948"/>
      <c r="N133" s="948"/>
      <c r="O133" s="948"/>
      <c r="P133" s="948"/>
      <c r="Q133" s="948"/>
      <c r="R133" s="948"/>
      <c r="S133" s="948"/>
      <c r="T133" s="948"/>
      <c r="U133" s="948"/>
      <c r="V133" s="948"/>
      <c r="W133" s="948"/>
      <c r="X133" s="948"/>
      <c r="Y133" s="948"/>
      <c r="Z133" s="948"/>
      <c r="AA133" s="948"/>
      <c r="AB133" s="948"/>
      <c r="AC133" s="948"/>
      <c r="AD133" s="948"/>
      <c r="AE133" s="948"/>
      <c r="AF133" s="948"/>
    </row>
    <row r="134" spans="1:32" x14ac:dyDescent="0.3">
      <c r="A134" s="948" t="s">
        <v>4663</v>
      </c>
      <c r="B134" s="948"/>
      <c r="C134" s="948"/>
      <c r="D134" s="948"/>
      <c r="E134" s="948"/>
      <c r="F134" s="948"/>
      <c r="G134" s="948"/>
      <c r="H134" s="948"/>
      <c r="I134" s="948"/>
      <c r="J134" s="948"/>
      <c r="K134" s="948"/>
      <c r="L134" s="948"/>
      <c r="M134" s="948"/>
      <c r="N134" s="948"/>
      <c r="O134" s="948"/>
      <c r="P134" s="948"/>
      <c r="Q134" s="948"/>
      <c r="R134" s="948"/>
      <c r="S134" s="948"/>
      <c r="T134" s="948"/>
      <c r="U134" s="948"/>
      <c r="V134" s="948"/>
      <c r="W134" s="948"/>
      <c r="X134" s="948"/>
      <c r="Y134" s="948"/>
      <c r="Z134" s="948"/>
      <c r="AA134" s="948"/>
      <c r="AB134" s="948"/>
      <c r="AC134" s="948"/>
      <c r="AD134" s="948"/>
      <c r="AE134" s="948"/>
      <c r="AF134" s="948"/>
    </row>
    <row r="135" spans="1:32" ht="30" customHeight="1" x14ac:dyDescent="0.3">
      <c r="A135" s="948" t="s">
        <v>4662</v>
      </c>
      <c r="B135" s="948"/>
      <c r="C135" s="948"/>
      <c r="D135" s="948"/>
      <c r="E135" s="948"/>
      <c r="F135" s="948"/>
      <c r="G135" s="948"/>
      <c r="H135" s="948"/>
      <c r="I135" s="948"/>
      <c r="J135" s="948"/>
      <c r="K135" s="948"/>
      <c r="L135" s="948"/>
      <c r="M135" s="948"/>
      <c r="N135" s="948"/>
      <c r="O135" s="948"/>
      <c r="P135" s="948"/>
      <c r="Q135" s="948"/>
      <c r="R135" s="948"/>
      <c r="S135" s="948"/>
      <c r="T135" s="948"/>
      <c r="U135" s="948"/>
      <c r="V135" s="948"/>
      <c r="W135" s="948"/>
      <c r="X135" s="948"/>
      <c r="Y135" s="948"/>
      <c r="Z135" s="948"/>
      <c r="AA135" s="948"/>
      <c r="AB135" s="948"/>
      <c r="AC135" s="948"/>
      <c r="AD135" s="948"/>
      <c r="AE135" s="948"/>
      <c r="AF135" s="948"/>
    </row>
    <row r="136" spans="1:32" x14ac:dyDescent="0.3">
      <c r="A136" s="948" t="s">
        <v>6425</v>
      </c>
      <c r="B136" s="948"/>
      <c r="C136" s="948"/>
      <c r="D136" s="948"/>
      <c r="E136" s="948"/>
      <c r="F136" s="948"/>
      <c r="G136" s="948"/>
      <c r="H136" s="948"/>
      <c r="I136" s="948"/>
      <c r="J136" s="948"/>
      <c r="K136" s="948"/>
      <c r="L136" s="948"/>
      <c r="M136" s="948"/>
      <c r="N136" s="948"/>
      <c r="O136" s="948"/>
      <c r="P136" s="948"/>
      <c r="Q136" s="948"/>
      <c r="R136" s="948"/>
      <c r="S136" s="948"/>
      <c r="T136" s="948"/>
      <c r="U136" s="948"/>
      <c r="V136" s="948"/>
      <c r="W136" s="948"/>
      <c r="X136" s="948"/>
      <c r="Y136" s="948"/>
      <c r="Z136" s="948"/>
      <c r="AA136" s="948"/>
      <c r="AB136" s="948"/>
      <c r="AC136" s="948"/>
      <c r="AD136" s="948"/>
      <c r="AE136" s="948"/>
      <c r="AF136" s="948"/>
    </row>
    <row r="137" spans="1:32" x14ac:dyDescent="0.3">
      <c r="A137" s="948" t="s">
        <v>6426</v>
      </c>
      <c r="B137" s="948"/>
      <c r="C137" s="948"/>
      <c r="D137" s="948"/>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row>
    <row r="138" spans="1:32" x14ac:dyDescent="0.3">
      <c r="A138" s="948" t="s">
        <v>6427</v>
      </c>
      <c r="B138" s="948"/>
      <c r="C138" s="948"/>
      <c r="D138" s="948"/>
      <c r="E138" s="948"/>
      <c r="F138" s="948"/>
      <c r="G138" s="948"/>
      <c r="H138" s="948"/>
      <c r="I138" s="948"/>
      <c r="J138" s="948"/>
      <c r="K138" s="948"/>
      <c r="L138" s="948"/>
      <c r="M138" s="948"/>
      <c r="N138" s="948"/>
      <c r="O138" s="948"/>
      <c r="P138" s="948"/>
      <c r="Q138" s="948"/>
      <c r="R138" s="948"/>
      <c r="S138" s="948"/>
      <c r="T138" s="948"/>
      <c r="U138" s="948"/>
      <c r="V138" s="948"/>
      <c r="W138" s="948"/>
      <c r="X138" s="948"/>
      <c r="Y138" s="948"/>
      <c r="Z138" s="948"/>
      <c r="AA138" s="948"/>
      <c r="AB138" s="948"/>
      <c r="AC138" s="948"/>
      <c r="AD138" s="948"/>
      <c r="AE138" s="948"/>
      <c r="AF138" s="948"/>
    </row>
    <row r="139" spans="1:32" x14ac:dyDescent="0.3">
      <c r="A139" s="948" t="s">
        <v>6428</v>
      </c>
      <c r="B139" s="948"/>
      <c r="C139" s="948"/>
      <c r="D139" s="948"/>
      <c r="E139" s="948"/>
      <c r="F139" s="948"/>
      <c r="G139" s="948"/>
      <c r="H139" s="948"/>
      <c r="I139" s="948"/>
      <c r="J139" s="948"/>
      <c r="K139" s="948"/>
      <c r="L139" s="948"/>
      <c r="M139" s="948"/>
      <c r="N139" s="948"/>
      <c r="O139" s="948"/>
      <c r="P139" s="948"/>
      <c r="Q139" s="948"/>
      <c r="R139" s="948"/>
      <c r="S139" s="948"/>
      <c r="T139" s="948"/>
      <c r="U139" s="948"/>
      <c r="V139" s="948"/>
      <c r="W139" s="948"/>
      <c r="X139" s="948"/>
      <c r="Y139" s="948"/>
      <c r="Z139" s="948"/>
      <c r="AA139" s="948"/>
      <c r="AB139" s="948"/>
      <c r="AC139" s="948"/>
      <c r="AD139" s="948"/>
      <c r="AE139" s="948"/>
      <c r="AF139" s="948"/>
    </row>
    <row r="140" spans="1:32" ht="30" customHeight="1" x14ac:dyDescent="0.3">
      <c r="A140" s="948" t="s">
        <v>6030</v>
      </c>
      <c r="B140" s="948"/>
      <c r="C140" s="948"/>
      <c r="D140" s="948"/>
      <c r="E140" s="948"/>
      <c r="F140" s="948"/>
      <c r="G140" s="948"/>
      <c r="H140" s="948"/>
      <c r="I140" s="948"/>
      <c r="J140" s="948"/>
      <c r="K140" s="948"/>
      <c r="L140" s="948"/>
      <c r="M140" s="948"/>
      <c r="N140" s="948"/>
      <c r="O140" s="948"/>
      <c r="P140" s="948"/>
      <c r="Q140" s="948"/>
      <c r="R140" s="948"/>
      <c r="S140" s="948"/>
      <c r="T140" s="948"/>
      <c r="U140" s="948"/>
      <c r="V140" s="948"/>
      <c r="W140" s="948"/>
      <c r="X140" s="948"/>
      <c r="Y140" s="948"/>
      <c r="Z140" s="948"/>
      <c r="AA140" s="948"/>
      <c r="AB140" s="948"/>
      <c r="AC140" s="948"/>
      <c r="AD140" s="948"/>
      <c r="AE140" s="948"/>
      <c r="AF140" s="948"/>
    </row>
    <row r="141" spans="1:32" x14ac:dyDescent="0.3">
      <c r="A141" s="260"/>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row>
    <row r="142" spans="1:32" x14ac:dyDescent="0.3">
      <c r="A142" s="1053" t="s">
        <v>1514</v>
      </c>
      <c r="B142" s="1054"/>
      <c r="C142" s="1054"/>
      <c r="D142" s="1054"/>
      <c r="E142" s="1054"/>
      <c r="F142" s="1054"/>
      <c r="G142" s="1054"/>
      <c r="H142" s="1054"/>
      <c r="I142" s="1054"/>
      <c r="J142" s="1054"/>
      <c r="K142" s="1054"/>
      <c r="L142" s="1054"/>
      <c r="M142" s="1054"/>
      <c r="N142" s="1054"/>
      <c r="O142" s="1054"/>
      <c r="P142" s="1054"/>
      <c r="Q142" s="1054"/>
      <c r="R142" s="1054"/>
      <c r="S142" s="1054"/>
      <c r="T142" s="1054"/>
      <c r="U142" s="1054"/>
      <c r="V142" s="1054"/>
      <c r="W142" s="1054"/>
      <c r="X142" s="1054"/>
      <c r="Y142" s="1054"/>
      <c r="Z142" s="1054"/>
      <c r="AA142" s="1054"/>
      <c r="AB142" s="1054"/>
      <c r="AC142" s="1054"/>
      <c r="AD142" s="1054"/>
      <c r="AE142" s="1054"/>
      <c r="AF142" s="1055"/>
    </row>
    <row r="143" spans="1:32" x14ac:dyDescent="0.3">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row>
    <row r="144" spans="1:32" x14ac:dyDescent="0.3">
      <c r="A144" s="368" t="s">
        <v>803</v>
      </c>
      <c r="B144" s="953" t="s">
        <v>2504</v>
      </c>
      <c r="C144" s="953"/>
      <c r="D144" s="953"/>
      <c r="E144" s="953"/>
      <c r="F144" s="953"/>
      <c r="G144" s="953"/>
      <c r="H144" s="953"/>
      <c r="I144" s="953"/>
      <c r="J144" s="953"/>
      <c r="K144" s="953"/>
      <c r="L144" s="953"/>
      <c r="M144" s="953"/>
      <c r="N144" s="953"/>
      <c r="O144" s="953"/>
      <c r="P144" s="953"/>
      <c r="Q144" s="953"/>
      <c r="R144" s="953"/>
      <c r="S144" s="953"/>
      <c r="T144" s="953"/>
      <c r="U144" s="953"/>
      <c r="V144" s="953"/>
      <c r="W144" s="953"/>
      <c r="X144" s="953"/>
      <c r="Y144" s="953"/>
      <c r="Z144" s="953"/>
      <c r="AA144" s="953"/>
      <c r="AB144" s="953"/>
      <c r="AC144" s="953"/>
      <c r="AD144" s="953"/>
      <c r="AE144" s="953"/>
      <c r="AF144" s="953"/>
    </row>
    <row r="145" spans="1:32" x14ac:dyDescent="0.3">
      <c r="A145" s="368" t="s">
        <v>803</v>
      </c>
      <c r="B145" s="953" t="s">
        <v>4514</v>
      </c>
      <c r="C145" s="953"/>
      <c r="D145" s="953"/>
      <c r="E145" s="953"/>
      <c r="F145" s="953"/>
      <c r="G145" s="953"/>
      <c r="H145" s="953"/>
      <c r="I145" s="953"/>
      <c r="J145" s="953"/>
      <c r="K145" s="953"/>
      <c r="L145" s="953"/>
      <c r="M145" s="953"/>
      <c r="N145" s="953"/>
      <c r="O145" s="953"/>
      <c r="P145" s="953"/>
      <c r="Q145" s="953"/>
      <c r="R145" s="953"/>
      <c r="S145" s="953"/>
      <c r="T145" s="953"/>
      <c r="U145" s="953"/>
      <c r="V145" s="953"/>
      <c r="W145" s="953"/>
      <c r="X145" s="953"/>
      <c r="Y145" s="953"/>
      <c r="Z145" s="953"/>
      <c r="AA145" s="953"/>
      <c r="AB145" s="953"/>
      <c r="AC145" s="953"/>
      <c r="AD145" s="953"/>
      <c r="AE145" s="953"/>
      <c r="AF145" s="953"/>
    </row>
    <row r="146" spans="1:32" ht="50.25" customHeight="1" x14ac:dyDescent="0.3">
      <c r="A146" s="368" t="s">
        <v>803</v>
      </c>
      <c r="B146" s="889" t="s">
        <v>1913</v>
      </c>
      <c r="C146" s="889"/>
      <c r="D146" s="889"/>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c r="AE146" s="889"/>
      <c r="AF146" s="889"/>
    </row>
    <row r="147" spans="1:32" ht="50.25" customHeight="1" x14ac:dyDescent="0.3">
      <c r="A147" s="368" t="s">
        <v>803</v>
      </c>
      <c r="B147" s="889" t="s">
        <v>1914</v>
      </c>
      <c r="C147" s="889"/>
      <c r="D147" s="889"/>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c r="AE147" s="889"/>
      <c r="AF147" s="889"/>
    </row>
    <row r="148" spans="1:32" ht="35.1" customHeight="1" x14ac:dyDescent="0.3">
      <c r="A148" s="368" t="s">
        <v>803</v>
      </c>
      <c r="B148" s="889" t="s">
        <v>1509</v>
      </c>
      <c r="C148" s="889"/>
      <c r="D148" s="889"/>
      <c r="E148" s="889"/>
      <c r="F148" s="889"/>
      <c r="G148" s="889"/>
      <c r="H148" s="889"/>
      <c r="I148" s="889"/>
      <c r="J148" s="889"/>
      <c r="K148" s="889"/>
      <c r="L148" s="889"/>
      <c r="M148" s="889"/>
      <c r="N148" s="889"/>
      <c r="O148" s="889"/>
      <c r="P148" s="889"/>
      <c r="Q148" s="889"/>
      <c r="R148" s="889"/>
      <c r="S148" s="889"/>
      <c r="T148" s="889"/>
      <c r="U148" s="889"/>
      <c r="V148" s="889"/>
      <c r="W148" s="889"/>
      <c r="X148" s="889"/>
      <c r="Y148" s="889"/>
      <c r="Z148" s="889"/>
      <c r="AA148" s="889"/>
      <c r="AB148" s="889"/>
      <c r="AC148" s="889"/>
      <c r="AD148" s="889"/>
      <c r="AE148" s="889"/>
      <c r="AF148" s="889"/>
    </row>
    <row r="149" spans="1:32" ht="35.1" customHeight="1" x14ac:dyDescent="0.3">
      <c r="A149" s="368" t="s">
        <v>803</v>
      </c>
      <c r="B149" s="889" t="s">
        <v>1915</v>
      </c>
      <c r="C149" s="889"/>
      <c r="D149" s="889"/>
      <c r="E149" s="889"/>
      <c r="F149" s="889"/>
      <c r="G149" s="889"/>
      <c r="H149" s="889"/>
      <c r="I149" s="889"/>
      <c r="J149" s="889"/>
      <c r="K149" s="889"/>
      <c r="L149" s="889"/>
      <c r="M149" s="889"/>
      <c r="N149" s="889"/>
      <c r="O149" s="889"/>
      <c r="P149" s="889"/>
      <c r="Q149" s="889"/>
      <c r="R149" s="889"/>
      <c r="S149" s="889"/>
      <c r="T149" s="889"/>
      <c r="U149" s="889"/>
      <c r="V149" s="889"/>
      <c r="W149" s="889"/>
      <c r="X149" s="889"/>
      <c r="Y149" s="889"/>
      <c r="Z149" s="889"/>
      <c r="AA149" s="889"/>
      <c r="AB149" s="889"/>
      <c r="AC149" s="889"/>
      <c r="AD149" s="889"/>
      <c r="AE149" s="889"/>
      <c r="AF149" s="889"/>
    </row>
    <row r="150" spans="1:32" ht="50.25" customHeight="1" x14ac:dyDescent="0.3">
      <c r="A150" s="368" t="s">
        <v>803</v>
      </c>
      <c r="B150" s="889" t="s">
        <v>1916</v>
      </c>
      <c r="C150" s="889"/>
      <c r="D150" s="88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row>
    <row r="151" spans="1:32" ht="35.1" customHeight="1" x14ac:dyDescent="0.3">
      <c r="A151" s="368" t="s">
        <v>803</v>
      </c>
      <c r="B151" s="889" t="s">
        <v>1917</v>
      </c>
      <c r="C151" s="889"/>
      <c r="D151" s="889"/>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row>
    <row r="152" spans="1:32" ht="35.1" customHeight="1" x14ac:dyDescent="0.3">
      <c r="A152" s="368" t="s">
        <v>803</v>
      </c>
      <c r="B152" s="889" t="s">
        <v>1569</v>
      </c>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889"/>
    </row>
    <row r="153" spans="1:32" ht="35.1" customHeight="1" x14ac:dyDescent="0.3">
      <c r="A153" s="368" t="s">
        <v>803</v>
      </c>
      <c r="B153" s="889" t="s">
        <v>1918</v>
      </c>
      <c r="C153" s="889"/>
      <c r="D153" s="889"/>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889"/>
    </row>
    <row r="154" spans="1:32" x14ac:dyDescent="0.3">
      <c r="A154" s="368" t="s">
        <v>803</v>
      </c>
      <c r="B154" s="889" t="s">
        <v>1570</v>
      </c>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row>
    <row r="155" spans="1:32" ht="50.25" customHeight="1" x14ac:dyDescent="0.3">
      <c r="A155" s="368" t="s">
        <v>803</v>
      </c>
      <c r="B155" s="889" t="s">
        <v>1919</v>
      </c>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row>
    <row r="156" spans="1:32" ht="51" customHeight="1" x14ac:dyDescent="0.3">
      <c r="A156" s="368" t="s">
        <v>803</v>
      </c>
      <c r="B156" s="889" t="s">
        <v>1920</v>
      </c>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row>
    <row r="157" spans="1:32" ht="35.1" customHeight="1" x14ac:dyDescent="0.3">
      <c r="A157" s="368" t="s">
        <v>803</v>
      </c>
      <c r="B157" s="889" t="s">
        <v>1921</v>
      </c>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row>
    <row r="158" spans="1:32" ht="35.1" customHeight="1" x14ac:dyDescent="0.3">
      <c r="A158" s="368" t="s">
        <v>803</v>
      </c>
      <c r="B158" s="889" t="s">
        <v>1936</v>
      </c>
      <c r="C158" s="889"/>
      <c r="D158" s="88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row>
    <row r="159" spans="1:32" ht="35.1" customHeight="1" x14ac:dyDescent="0.3">
      <c r="A159" s="368" t="s">
        <v>803</v>
      </c>
      <c r="B159" s="889" t="s">
        <v>1937</v>
      </c>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row>
    <row r="160" spans="1:32" ht="35.1" customHeight="1" x14ac:dyDescent="0.3">
      <c r="A160" s="368" t="s">
        <v>803</v>
      </c>
      <c r="B160" s="889" t="s">
        <v>1922</v>
      </c>
      <c r="C160" s="889"/>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row>
    <row r="161" spans="1:32" ht="35.1" customHeight="1" x14ac:dyDescent="0.3">
      <c r="A161" s="368" t="s">
        <v>803</v>
      </c>
      <c r="B161" s="889" t="s">
        <v>1923</v>
      </c>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c r="AE161" s="889"/>
      <c r="AF161" s="889"/>
    </row>
    <row r="162" spans="1:32" ht="35.1" customHeight="1" x14ac:dyDescent="0.3">
      <c r="A162" s="368" t="s">
        <v>803</v>
      </c>
      <c r="B162" s="889" t="s">
        <v>1924</v>
      </c>
      <c r="C162" s="889"/>
      <c r="D162" s="889"/>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c r="AE162" s="889"/>
      <c r="AF162" s="889"/>
    </row>
    <row r="163" spans="1:32" ht="35.1" customHeight="1" x14ac:dyDescent="0.3">
      <c r="A163" s="368" t="s">
        <v>803</v>
      </c>
      <c r="B163" s="889" t="s">
        <v>1925</v>
      </c>
      <c r="C163" s="889"/>
      <c r="D163" s="88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row>
    <row r="164" spans="1:32" ht="35.1" customHeight="1" x14ac:dyDescent="0.3">
      <c r="A164" s="368" t="s">
        <v>803</v>
      </c>
      <c r="B164" s="889" t="s">
        <v>1926</v>
      </c>
      <c r="C164" s="889"/>
      <c r="D164" s="889"/>
      <c r="E164" s="889"/>
      <c r="F164" s="889"/>
      <c r="G164" s="889"/>
      <c r="H164" s="889"/>
      <c r="I164" s="889"/>
      <c r="J164" s="889"/>
      <c r="K164" s="889"/>
      <c r="L164" s="889"/>
      <c r="M164" s="889"/>
      <c r="N164" s="889"/>
      <c r="O164" s="889"/>
      <c r="P164" s="889"/>
      <c r="Q164" s="889"/>
      <c r="R164" s="889"/>
      <c r="S164" s="889"/>
      <c r="T164" s="889"/>
      <c r="U164" s="889"/>
      <c r="V164" s="889"/>
      <c r="W164" s="889"/>
      <c r="X164" s="889"/>
      <c r="Y164" s="889"/>
      <c r="Z164" s="889"/>
      <c r="AA164" s="889"/>
      <c r="AB164" s="889"/>
      <c r="AC164" s="889"/>
      <c r="AD164" s="889"/>
      <c r="AE164" s="889"/>
      <c r="AF164" s="889"/>
    </row>
    <row r="165" spans="1:32" ht="35.1" customHeight="1" x14ac:dyDescent="0.3">
      <c r="A165" s="368" t="s">
        <v>803</v>
      </c>
      <c r="B165" s="889" t="s">
        <v>1927</v>
      </c>
      <c r="C165" s="889"/>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c r="AE165" s="889"/>
      <c r="AF165" s="889"/>
    </row>
    <row r="166" spans="1:32" ht="35.1" customHeight="1" x14ac:dyDescent="0.3">
      <c r="A166" s="368" t="s">
        <v>803</v>
      </c>
      <c r="B166" s="889" t="s">
        <v>2650</v>
      </c>
      <c r="C166" s="889"/>
      <c r="D166" s="889"/>
      <c r="E166" s="889"/>
      <c r="F166" s="889"/>
      <c r="G166" s="889"/>
      <c r="H166" s="889"/>
      <c r="I166" s="889"/>
      <c r="J166" s="889"/>
      <c r="K166" s="889"/>
      <c r="L166" s="889"/>
      <c r="M166" s="889"/>
      <c r="N166" s="889"/>
      <c r="O166" s="889"/>
      <c r="P166" s="889"/>
      <c r="Q166" s="889"/>
      <c r="R166" s="889"/>
      <c r="S166" s="889"/>
      <c r="T166" s="889"/>
      <c r="U166" s="889"/>
      <c r="V166" s="889"/>
      <c r="W166" s="889"/>
      <c r="X166" s="889"/>
      <c r="Y166" s="889"/>
      <c r="Z166" s="889"/>
      <c r="AA166" s="889"/>
      <c r="AB166" s="889"/>
      <c r="AC166" s="889"/>
      <c r="AD166" s="889"/>
      <c r="AE166" s="889"/>
      <c r="AF166" s="889"/>
    </row>
    <row r="167" spans="1:32" ht="35.1" customHeight="1" x14ac:dyDescent="0.3">
      <c r="A167" s="368" t="s">
        <v>803</v>
      </c>
      <c r="B167" s="889" t="s">
        <v>1928</v>
      </c>
      <c r="C167" s="889"/>
      <c r="D167" s="889"/>
      <c r="E167" s="889"/>
      <c r="F167" s="889"/>
      <c r="G167" s="889"/>
      <c r="H167" s="889"/>
      <c r="I167" s="889"/>
      <c r="J167" s="889"/>
      <c r="K167" s="889"/>
      <c r="L167" s="889"/>
      <c r="M167" s="889"/>
      <c r="N167" s="889"/>
      <c r="O167" s="889"/>
      <c r="P167" s="889"/>
      <c r="Q167" s="889"/>
      <c r="R167" s="889"/>
      <c r="S167" s="889"/>
      <c r="T167" s="889"/>
      <c r="U167" s="889"/>
      <c r="V167" s="889"/>
      <c r="W167" s="889"/>
      <c r="X167" s="889"/>
      <c r="Y167" s="889"/>
      <c r="Z167" s="889"/>
      <c r="AA167" s="889"/>
      <c r="AB167" s="889"/>
      <c r="AC167" s="889"/>
      <c r="AD167" s="889"/>
      <c r="AE167" s="889"/>
      <c r="AF167" s="889"/>
    </row>
    <row r="168" spans="1:32" ht="64.5" customHeight="1" x14ac:dyDescent="0.3">
      <c r="A168" s="368" t="s">
        <v>803</v>
      </c>
      <c r="B168" s="889" t="s">
        <v>1929</v>
      </c>
      <c r="C168" s="889"/>
      <c r="D168" s="889"/>
      <c r="E168" s="889"/>
      <c r="F168" s="889"/>
      <c r="G168" s="889"/>
      <c r="H168" s="889"/>
      <c r="I168" s="889"/>
      <c r="J168" s="889"/>
      <c r="K168" s="889"/>
      <c r="L168" s="889"/>
      <c r="M168" s="889"/>
      <c r="N168" s="889"/>
      <c r="O168" s="889"/>
      <c r="P168" s="889"/>
      <c r="Q168" s="889"/>
      <c r="R168" s="889"/>
      <c r="S168" s="889"/>
      <c r="T168" s="889"/>
      <c r="U168" s="889"/>
      <c r="V168" s="889"/>
      <c r="W168" s="889"/>
      <c r="X168" s="889"/>
      <c r="Y168" s="889"/>
      <c r="Z168" s="889"/>
      <c r="AA168" s="889"/>
      <c r="AB168" s="889"/>
      <c r="AC168" s="889"/>
      <c r="AD168" s="889"/>
      <c r="AE168" s="889"/>
      <c r="AF168" s="889"/>
    </row>
    <row r="169" spans="1:32" ht="50.25" customHeight="1" x14ac:dyDescent="0.3">
      <c r="A169" s="368" t="s">
        <v>803</v>
      </c>
      <c r="B169" s="889" t="s">
        <v>1930</v>
      </c>
      <c r="C169" s="889"/>
      <c r="D169" s="889"/>
      <c r="E169" s="889"/>
      <c r="F169" s="889"/>
      <c r="G169" s="889"/>
      <c r="H169" s="889"/>
      <c r="I169" s="889"/>
      <c r="J169" s="889"/>
      <c r="K169" s="889"/>
      <c r="L169" s="889"/>
      <c r="M169" s="889"/>
      <c r="N169" s="889"/>
      <c r="O169" s="889"/>
      <c r="P169" s="889"/>
      <c r="Q169" s="889"/>
      <c r="R169" s="889"/>
      <c r="S169" s="889"/>
      <c r="T169" s="889"/>
      <c r="U169" s="889"/>
      <c r="V169" s="889"/>
      <c r="W169" s="889"/>
      <c r="X169" s="889"/>
      <c r="Y169" s="889"/>
      <c r="Z169" s="889"/>
      <c r="AA169" s="889"/>
      <c r="AB169" s="889"/>
      <c r="AC169" s="889"/>
      <c r="AD169" s="889"/>
      <c r="AE169" s="889"/>
      <c r="AF169" s="889"/>
    </row>
    <row r="170" spans="1:32" ht="50.25" customHeight="1" x14ac:dyDescent="0.3">
      <c r="A170" s="368" t="s">
        <v>803</v>
      </c>
      <c r="B170" s="889" t="s">
        <v>1931</v>
      </c>
      <c r="C170" s="889"/>
      <c r="D170" s="889"/>
      <c r="E170" s="889"/>
      <c r="F170" s="889"/>
      <c r="G170" s="889"/>
      <c r="H170" s="889"/>
      <c r="I170" s="889"/>
      <c r="J170" s="889"/>
      <c r="K170" s="889"/>
      <c r="L170" s="889"/>
      <c r="M170" s="889"/>
      <c r="N170" s="889"/>
      <c r="O170" s="889"/>
      <c r="P170" s="889"/>
      <c r="Q170" s="889"/>
      <c r="R170" s="889"/>
      <c r="S170" s="889"/>
      <c r="T170" s="889"/>
      <c r="U170" s="889"/>
      <c r="V170" s="889"/>
      <c r="W170" s="889"/>
      <c r="X170" s="889"/>
      <c r="Y170" s="889"/>
      <c r="Z170" s="889"/>
      <c r="AA170" s="889"/>
      <c r="AB170" s="889"/>
      <c r="AC170" s="889"/>
      <c r="AD170" s="889"/>
      <c r="AE170" s="889"/>
      <c r="AF170" s="889"/>
    </row>
    <row r="171" spans="1:32" ht="49.5" customHeight="1" x14ac:dyDescent="0.3">
      <c r="A171" s="368" t="s">
        <v>803</v>
      </c>
      <c r="B171" s="889" t="s">
        <v>1932</v>
      </c>
      <c r="C171" s="889"/>
      <c r="D171" s="889"/>
      <c r="E171" s="889"/>
      <c r="F171" s="889"/>
      <c r="G171" s="889"/>
      <c r="H171" s="889"/>
      <c r="I171" s="889"/>
      <c r="J171" s="889"/>
      <c r="K171" s="889"/>
      <c r="L171" s="889"/>
      <c r="M171" s="889"/>
      <c r="N171" s="889"/>
      <c r="O171" s="889"/>
      <c r="P171" s="889"/>
      <c r="Q171" s="889"/>
      <c r="R171" s="889"/>
      <c r="S171" s="889"/>
      <c r="T171" s="889"/>
      <c r="U171" s="889"/>
      <c r="V171" s="889"/>
      <c r="W171" s="889"/>
      <c r="X171" s="889"/>
      <c r="Y171" s="889"/>
      <c r="Z171" s="889"/>
      <c r="AA171" s="889"/>
      <c r="AB171" s="889"/>
      <c r="AC171" s="889"/>
      <c r="AD171" s="889"/>
      <c r="AE171" s="889"/>
      <c r="AF171" s="889"/>
    </row>
    <row r="172" spans="1:32" ht="51.75" customHeight="1" x14ac:dyDescent="0.3">
      <c r="A172" s="368" t="s">
        <v>803</v>
      </c>
      <c r="B172" s="889" t="s">
        <v>1933</v>
      </c>
      <c r="C172" s="889"/>
      <c r="D172" s="889"/>
      <c r="E172" s="889"/>
      <c r="F172" s="889"/>
      <c r="G172" s="889"/>
      <c r="H172" s="889"/>
      <c r="I172" s="889"/>
      <c r="J172" s="889"/>
      <c r="K172" s="889"/>
      <c r="L172" s="889"/>
      <c r="M172" s="889"/>
      <c r="N172" s="889"/>
      <c r="O172" s="889"/>
      <c r="P172" s="889"/>
      <c r="Q172" s="889"/>
      <c r="R172" s="889"/>
      <c r="S172" s="889"/>
      <c r="T172" s="889"/>
      <c r="U172" s="889"/>
      <c r="V172" s="889"/>
      <c r="W172" s="889"/>
      <c r="X172" s="889"/>
      <c r="Y172" s="889"/>
      <c r="Z172" s="889"/>
      <c r="AA172" s="889"/>
      <c r="AB172" s="889"/>
      <c r="AC172" s="889"/>
      <c r="AD172" s="889"/>
      <c r="AE172" s="889"/>
      <c r="AF172" s="889"/>
    </row>
    <row r="173" spans="1:32" ht="35.1" customHeight="1" x14ac:dyDescent="0.3">
      <c r="A173" s="368" t="s">
        <v>803</v>
      </c>
      <c r="B173" s="889" t="s">
        <v>1352</v>
      </c>
      <c r="C173" s="889"/>
      <c r="D173" s="889"/>
      <c r="E173" s="889"/>
      <c r="F173" s="889"/>
      <c r="G173" s="889"/>
      <c r="H173" s="889"/>
      <c r="I173" s="889"/>
      <c r="J173" s="889"/>
      <c r="K173" s="889"/>
      <c r="L173" s="889"/>
      <c r="M173" s="889"/>
      <c r="N173" s="889"/>
      <c r="O173" s="889"/>
      <c r="P173" s="889"/>
      <c r="Q173" s="889"/>
      <c r="R173" s="889"/>
      <c r="S173" s="889"/>
      <c r="T173" s="889"/>
      <c r="U173" s="889"/>
      <c r="V173" s="889"/>
      <c r="W173" s="889"/>
      <c r="X173" s="889"/>
      <c r="Y173" s="889"/>
      <c r="Z173" s="889"/>
      <c r="AA173" s="889"/>
      <c r="AB173" s="889"/>
      <c r="AC173" s="889"/>
      <c r="AD173" s="889"/>
      <c r="AE173" s="889"/>
      <c r="AF173" s="889"/>
    </row>
    <row r="174" spans="1:32" x14ac:dyDescent="0.3">
      <c r="A174" s="368" t="s">
        <v>803</v>
      </c>
      <c r="B174" s="889" t="s">
        <v>1510</v>
      </c>
      <c r="C174" s="889"/>
      <c r="D174" s="889"/>
      <c r="E174" s="889"/>
      <c r="F174" s="889"/>
      <c r="G174" s="889"/>
      <c r="H174" s="889"/>
      <c r="I174" s="889"/>
      <c r="J174" s="889"/>
      <c r="K174" s="889"/>
      <c r="L174" s="889"/>
      <c r="M174" s="889"/>
      <c r="N174" s="889"/>
      <c r="O174" s="889"/>
      <c r="P174" s="889"/>
      <c r="Q174" s="889"/>
      <c r="R174" s="889"/>
      <c r="S174" s="889"/>
      <c r="T174" s="889"/>
      <c r="U174" s="889"/>
      <c r="V174" s="889"/>
      <c r="W174" s="889"/>
      <c r="X174" s="889"/>
      <c r="Y174" s="889"/>
      <c r="Z174" s="889"/>
      <c r="AA174" s="889"/>
      <c r="AB174" s="889"/>
      <c r="AC174" s="889"/>
      <c r="AD174" s="889"/>
      <c r="AE174" s="889"/>
      <c r="AF174" s="889"/>
    </row>
    <row r="175" spans="1:32" ht="51.6" customHeight="1" x14ac:dyDescent="0.3">
      <c r="A175" s="368" t="s">
        <v>803</v>
      </c>
      <c r="B175" s="889" t="s">
        <v>1934</v>
      </c>
      <c r="C175" s="889"/>
      <c r="D175" s="889"/>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c r="AE175" s="889"/>
      <c r="AF175" s="889"/>
    </row>
    <row r="176" spans="1:32" ht="51.9" customHeight="1" x14ac:dyDescent="0.3">
      <c r="A176" s="368" t="s">
        <v>803</v>
      </c>
      <c r="B176" s="889" t="s">
        <v>4515</v>
      </c>
      <c r="C176" s="889"/>
      <c r="D176" s="889"/>
      <c r="E176" s="889"/>
      <c r="F176" s="889"/>
      <c r="G176" s="889"/>
      <c r="H176" s="889"/>
      <c r="I176" s="889"/>
      <c r="J176" s="889"/>
      <c r="K176" s="889"/>
      <c r="L176" s="889"/>
      <c r="M176" s="889"/>
      <c r="N176" s="889"/>
      <c r="O176" s="889"/>
      <c r="P176" s="889"/>
      <c r="Q176" s="889"/>
      <c r="R176" s="889"/>
      <c r="S176" s="889"/>
      <c r="T176" s="889"/>
      <c r="U176" s="889"/>
      <c r="V176" s="889"/>
      <c r="W176" s="889"/>
      <c r="X176" s="889"/>
      <c r="Y176" s="889"/>
      <c r="Z176" s="889"/>
      <c r="AA176" s="889"/>
      <c r="AB176" s="889"/>
      <c r="AC176" s="889"/>
      <c r="AD176" s="889"/>
      <c r="AE176" s="889"/>
      <c r="AF176" s="889"/>
    </row>
    <row r="177" spans="1:32" ht="52.5" customHeight="1" x14ac:dyDescent="0.3">
      <c r="A177" s="368" t="s">
        <v>803</v>
      </c>
      <c r="B177" s="889" t="s">
        <v>1935</v>
      </c>
      <c r="C177" s="889"/>
      <c r="D177" s="889"/>
      <c r="E177" s="889"/>
      <c r="F177" s="889"/>
      <c r="G177" s="889"/>
      <c r="H177" s="889"/>
      <c r="I177" s="889"/>
      <c r="J177" s="889"/>
      <c r="K177" s="889"/>
      <c r="L177" s="889"/>
      <c r="M177" s="889"/>
      <c r="N177" s="889"/>
      <c r="O177" s="889"/>
      <c r="P177" s="889"/>
      <c r="Q177" s="889"/>
      <c r="R177" s="889"/>
      <c r="S177" s="889"/>
      <c r="T177" s="889"/>
      <c r="U177" s="889"/>
      <c r="V177" s="889"/>
      <c r="W177" s="889"/>
      <c r="X177" s="889"/>
      <c r="Y177" s="889"/>
      <c r="Z177" s="889"/>
      <c r="AA177" s="889"/>
      <c r="AB177" s="889"/>
      <c r="AC177" s="889"/>
      <c r="AD177" s="889"/>
      <c r="AE177" s="889"/>
      <c r="AF177" s="889"/>
    </row>
  </sheetData>
  <sheetProtection algorithmName="SHA-512" hashValue="D1axYnpGglalIk7QbgNOnQXebE/YLacd/Z5Oda3xESwSvcGW48hxbtOD14nFYJp8fRsT2M/P8ddUqMGXv8s9PA==" saltValue="TQvuZy0NNXDVnakeukTlSA==" spinCount="100000" sheet="1" objects="1" scenarios="1"/>
  <mergeCells count="443">
    <mergeCell ref="D26:J36"/>
    <mergeCell ref="D37:J39"/>
    <mergeCell ref="D40:J40"/>
    <mergeCell ref="K42:W42"/>
    <mergeCell ref="X42:Z42"/>
    <mergeCell ref="AA42:AF42"/>
    <mergeCell ref="D41:J42"/>
    <mergeCell ref="K40:W40"/>
    <mergeCell ref="X40:Z40"/>
    <mergeCell ref="AA40:AF40"/>
    <mergeCell ref="AA31:AF31"/>
    <mergeCell ref="X34:Z34"/>
    <mergeCell ref="AA34:AF34"/>
    <mergeCell ref="X37:Z37"/>
    <mergeCell ref="AA39:AF39"/>
    <mergeCell ref="AA28:AF28"/>
    <mergeCell ref="X29:Z29"/>
    <mergeCell ref="K28:W28"/>
    <mergeCell ref="K29:W29"/>
    <mergeCell ref="K39:W39"/>
    <mergeCell ref="K38:W38"/>
    <mergeCell ref="K32:W32"/>
    <mergeCell ref="K34:W34"/>
    <mergeCell ref="K31:W31"/>
    <mergeCell ref="AA38:AF38"/>
    <mergeCell ref="AA32:AF32"/>
    <mergeCell ref="K33:W33"/>
    <mergeCell ref="X33:Z33"/>
    <mergeCell ref="AA33:AF33"/>
    <mergeCell ref="K35:W35"/>
    <mergeCell ref="X39:Z39"/>
    <mergeCell ref="X38:Z38"/>
    <mergeCell ref="X32:Z32"/>
    <mergeCell ref="K36:W36"/>
    <mergeCell ref="X36:Z36"/>
    <mergeCell ref="AA36:AF36"/>
    <mergeCell ref="K17:W17"/>
    <mergeCell ref="K18:W18"/>
    <mergeCell ref="K25:W25"/>
    <mergeCell ref="K37:W37"/>
    <mergeCell ref="AA19:AF19"/>
    <mergeCell ref="K19:W19"/>
    <mergeCell ref="X19:Z19"/>
    <mergeCell ref="X31:Z31"/>
    <mergeCell ref="AA37:AF37"/>
    <mergeCell ref="AA29:AF29"/>
    <mergeCell ref="X30:Z30"/>
    <mergeCell ref="AA30:AF30"/>
    <mergeCell ref="X25:Z25"/>
    <mergeCell ref="AA25:AF25"/>
    <mergeCell ref="B5:AF5"/>
    <mergeCell ref="AA22:AF22"/>
    <mergeCell ref="K23:W23"/>
    <mergeCell ref="K24:W24"/>
    <mergeCell ref="D20:J25"/>
    <mergeCell ref="AA11:AF11"/>
    <mergeCell ref="K20:W20"/>
    <mergeCell ref="K14:W14"/>
    <mergeCell ref="X14:Z14"/>
    <mergeCell ref="AA14:AF14"/>
    <mergeCell ref="K15:W15"/>
    <mergeCell ref="X15:Z15"/>
    <mergeCell ref="AA15:AF15"/>
    <mergeCell ref="K30:W30"/>
    <mergeCell ref="AA27:AF27"/>
    <mergeCell ref="X28:Z28"/>
    <mergeCell ref="AA18:AF18"/>
    <mergeCell ref="X17:Z17"/>
    <mergeCell ref="K16:W16"/>
    <mergeCell ref="D63:J67"/>
    <mergeCell ref="K64:W64"/>
    <mergeCell ref="X64:Z64"/>
    <mergeCell ref="AA64:AF64"/>
    <mergeCell ref="K65:W65"/>
    <mergeCell ref="X65:Z65"/>
    <mergeCell ref="AA65:AF65"/>
    <mergeCell ref="K63:W63"/>
    <mergeCell ref="X63:Z63"/>
    <mergeCell ref="AA63:AF63"/>
    <mergeCell ref="AA57:AF57"/>
    <mergeCell ref="AA60:AF60"/>
    <mergeCell ref="X74:Z74"/>
    <mergeCell ref="X82:Z82"/>
    <mergeCell ref="X83:Z83"/>
    <mergeCell ref="AA70:AF70"/>
    <mergeCell ref="AA62:AF62"/>
    <mergeCell ref="X75:Z75"/>
    <mergeCell ref="K67:W67"/>
    <mergeCell ref="K62:W62"/>
    <mergeCell ref="K66:W66"/>
    <mergeCell ref="K57:W57"/>
    <mergeCell ref="X67:Z67"/>
    <mergeCell ref="K70:W70"/>
    <mergeCell ref="X70:Z70"/>
    <mergeCell ref="X69:Z69"/>
    <mergeCell ref="AA69:AF69"/>
    <mergeCell ref="K73:W73"/>
    <mergeCell ref="X73:Z73"/>
    <mergeCell ref="AA72:AF72"/>
    <mergeCell ref="X79:Z79"/>
    <mergeCell ref="X68:Z68"/>
    <mergeCell ref="AA73:AF73"/>
    <mergeCell ref="AA83:AF83"/>
    <mergeCell ref="D52:J52"/>
    <mergeCell ref="K60:W60"/>
    <mergeCell ref="D75:J83"/>
    <mergeCell ref="K72:W72"/>
    <mergeCell ref="AA108:AF108"/>
    <mergeCell ref="D100:J102"/>
    <mergeCell ref="AA67:AF67"/>
    <mergeCell ref="X62:Z62"/>
    <mergeCell ref="K80:W80"/>
    <mergeCell ref="K81:W81"/>
    <mergeCell ref="K71:W71"/>
    <mergeCell ref="X71:Z71"/>
    <mergeCell ref="AA71:AF71"/>
    <mergeCell ref="K77:W77"/>
    <mergeCell ref="K78:W78"/>
    <mergeCell ref="A61:AF61"/>
    <mergeCell ref="A62:C62"/>
    <mergeCell ref="D62:J62"/>
    <mergeCell ref="X66:Z66"/>
    <mergeCell ref="AA66:AF66"/>
    <mergeCell ref="D86:J88"/>
    <mergeCell ref="D56:J56"/>
    <mergeCell ref="A63:C102"/>
    <mergeCell ref="X86:Z86"/>
    <mergeCell ref="D47:J47"/>
    <mergeCell ref="X85:Z85"/>
    <mergeCell ref="AA85:AF85"/>
    <mergeCell ref="X90:Z90"/>
    <mergeCell ref="AA90:AF90"/>
    <mergeCell ref="X95:Z95"/>
    <mergeCell ref="AA95:AF95"/>
    <mergeCell ref="AA105:AF105"/>
    <mergeCell ref="D103:J106"/>
    <mergeCell ref="X103:Z103"/>
    <mergeCell ref="X106:Z106"/>
    <mergeCell ref="AA106:AF106"/>
    <mergeCell ref="K103:W103"/>
    <mergeCell ref="K106:W106"/>
    <mergeCell ref="K105:W105"/>
    <mergeCell ref="X105:Z105"/>
    <mergeCell ref="X102:Z102"/>
    <mergeCell ref="AA102:AF102"/>
    <mergeCell ref="X96:Z96"/>
    <mergeCell ref="AA96:AF96"/>
    <mergeCell ref="X97:Z97"/>
    <mergeCell ref="K96:W96"/>
    <mergeCell ref="D95:J96"/>
    <mergeCell ref="K100:W100"/>
    <mergeCell ref="K84:W84"/>
    <mergeCell ref="X84:Z84"/>
    <mergeCell ref="K68:W68"/>
    <mergeCell ref="X72:Z72"/>
    <mergeCell ref="D84:J85"/>
    <mergeCell ref="X98:Z98"/>
    <mergeCell ref="D97:J99"/>
    <mergeCell ref="K99:W99"/>
    <mergeCell ref="AA68:AF68"/>
    <mergeCell ref="K69:W69"/>
    <mergeCell ref="D68:J74"/>
    <mergeCell ref="D89:J90"/>
    <mergeCell ref="K86:W86"/>
    <mergeCell ref="K89:W89"/>
    <mergeCell ref="AA84:AF84"/>
    <mergeCell ref="K85:W85"/>
    <mergeCell ref="K75:W75"/>
    <mergeCell ref="AA75:AF75"/>
    <mergeCell ref="X76:Z76"/>
    <mergeCell ref="AA76:AF76"/>
    <mergeCell ref="X77:Z77"/>
    <mergeCell ref="AA77:AF77"/>
    <mergeCell ref="X78:Z78"/>
    <mergeCell ref="AA78:AF78"/>
    <mergeCell ref="A1:AF1"/>
    <mergeCell ref="A8:AF8"/>
    <mergeCell ref="X11:Z11"/>
    <mergeCell ref="A11:C11"/>
    <mergeCell ref="D11:J11"/>
    <mergeCell ref="K11:W11"/>
    <mergeCell ref="K12:W12"/>
    <mergeCell ref="X12:Z12"/>
    <mergeCell ref="AA12:AF12"/>
    <mergeCell ref="D12:J13"/>
    <mergeCell ref="A3:AF3"/>
    <mergeCell ref="A7:AF7"/>
    <mergeCell ref="A10:AF10"/>
    <mergeCell ref="D43:J46"/>
    <mergeCell ref="K13:W13"/>
    <mergeCell ref="X13:Z13"/>
    <mergeCell ref="AA13:AF13"/>
    <mergeCell ref="X20:Z20"/>
    <mergeCell ref="AA20:AF20"/>
    <mergeCell ref="X23:Z23"/>
    <mergeCell ref="AA23:AF23"/>
    <mergeCell ref="X24:Z24"/>
    <mergeCell ref="AA24:AF24"/>
    <mergeCell ref="X26:Z26"/>
    <mergeCell ref="AA26:AF26"/>
    <mergeCell ref="X27:Z27"/>
    <mergeCell ref="X35:Z35"/>
    <mergeCell ref="AA35:AF35"/>
    <mergeCell ref="X16:Z16"/>
    <mergeCell ref="X18:Z18"/>
    <mergeCell ref="K26:W26"/>
    <mergeCell ref="K27:W27"/>
    <mergeCell ref="K21:W21"/>
    <mergeCell ref="X21:Z21"/>
    <mergeCell ref="AA21:AF21"/>
    <mergeCell ref="K22:W22"/>
    <mergeCell ref="X22:Z22"/>
    <mergeCell ref="K46:W46"/>
    <mergeCell ref="K51:W51"/>
    <mergeCell ref="AA44:AF44"/>
    <mergeCell ref="K41:W41"/>
    <mergeCell ref="X41:Z41"/>
    <mergeCell ref="AA41:AF41"/>
    <mergeCell ref="K43:W43"/>
    <mergeCell ref="X43:Z43"/>
    <mergeCell ref="AA43:AF43"/>
    <mergeCell ref="AA45:AF45"/>
    <mergeCell ref="X44:Z44"/>
    <mergeCell ref="X45:Z45"/>
    <mergeCell ref="K44:W44"/>
    <mergeCell ref="K45:W45"/>
    <mergeCell ref="AA51:AF51"/>
    <mergeCell ref="X60:Z60"/>
    <mergeCell ref="D49:J49"/>
    <mergeCell ref="D50:J50"/>
    <mergeCell ref="K56:W56"/>
    <mergeCell ref="X57:Z57"/>
    <mergeCell ref="AA46:AF46"/>
    <mergeCell ref="X52:Z52"/>
    <mergeCell ref="AA52:AF52"/>
    <mergeCell ref="K53:W53"/>
    <mergeCell ref="X53:Z53"/>
    <mergeCell ref="AA53:AF53"/>
    <mergeCell ref="X54:Z54"/>
    <mergeCell ref="AA54:AF54"/>
    <mergeCell ref="K54:W54"/>
    <mergeCell ref="X51:Z51"/>
    <mergeCell ref="X46:Z46"/>
    <mergeCell ref="K49:W49"/>
    <mergeCell ref="X49:Z49"/>
    <mergeCell ref="AA49:AF49"/>
    <mergeCell ref="K50:W50"/>
    <mergeCell ref="K47:W47"/>
    <mergeCell ref="X47:Z47"/>
    <mergeCell ref="AA47:AF47"/>
    <mergeCell ref="K52:W52"/>
    <mergeCell ref="K87:W87"/>
    <mergeCell ref="X87:Z87"/>
    <mergeCell ref="AA87:AF87"/>
    <mergeCell ref="K79:W79"/>
    <mergeCell ref="X88:Z88"/>
    <mergeCell ref="AA88:AF88"/>
    <mergeCell ref="A49:C52"/>
    <mergeCell ref="A53:C60"/>
    <mergeCell ref="X56:Z56"/>
    <mergeCell ref="AA56:AF56"/>
    <mergeCell ref="X50:Z50"/>
    <mergeCell ref="AA50:AF50"/>
    <mergeCell ref="D53:J55"/>
    <mergeCell ref="D57:J60"/>
    <mergeCell ref="K58:W58"/>
    <mergeCell ref="D51:J51"/>
    <mergeCell ref="X55:Z55"/>
    <mergeCell ref="AA55:AF55"/>
    <mergeCell ref="K55:W55"/>
    <mergeCell ref="X58:Z58"/>
    <mergeCell ref="AA58:AF58"/>
    <mergeCell ref="K59:W59"/>
    <mergeCell ref="X59:Z59"/>
    <mergeCell ref="AA59:AF59"/>
    <mergeCell ref="X100:Z100"/>
    <mergeCell ref="AA100:AF100"/>
    <mergeCell ref="K74:W74"/>
    <mergeCell ref="K97:W97"/>
    <mergeCell ref="K98:W98"/>
    <mergeCell ref="K95:W95"/>
    <mergeCell ref="K82:W82"/>
    <mergeCell ref="K83:W83"/>
    <mergeCell ref="AA79:AF79"/>
    <mergeCell ref="X81:Z81"/>
    <mergeCell ref="AA81:AF81"/>
    <mergeCell ref="AA74:AF74"/>
    <mergeCell ref="AA98:AF98"/>
    <mergeCell ref="X99:Z99"/>
    <mergeCell ref="AA99:AF99"/>
    <mergeCell ref="K90:W90"/>
    <mergeCell ref="K88:W88"/>
    <mergeCell ref="X80:Z80"/>
    <mergeCell ref="AA80:AF80"/>
    <mergeCell ref="X89:Z89"/>
    <mergeCell ref="AA89:AF89"/>
    <mergeCell ref="AA82:AF82"/>
    <mergeCell ref="K76:W76"/>
    <mergeCell ref="AA86:AF86"/>
    <mergeCell ref="B149:AF149"/>
    <mergeCell ref="X113:Z113"/>
    <mergeCell ref="AA97:AF97"/>
    <mergeCell ref="X111:Z111"/>
    <mergeCell ref="K102:W102"/>
    <mergeCell ref="X101:Z101"/>
    <mergeCell ref="AA101:AF101"/>
    <mergeCell ref="K104:W104"/>
    <mergeCell ref="AA103:AF103"/>
    <mergeCell ref="X104:Z104"/>
    <mergeCell ref="AA104:AF104"/>
    <mergeCell ref="K101:W101"/>
    <mergeCell ref="AA107:AF107"/>
    <mergeCell ref="X108:Z108"/>
    <mergeCell ref="A107:C113"/>
    <mergeCell ref="A103:C106"/>
    <mergeCell ref="D107:J113"/>
    <mergeCell ref="K107:W107"/>
    <mergeCell ref="K108:W108"/>
    <mergeCell ref="X107:Z107"/>
    <mergeCell ref="X109:Z109"/>
    <mergeCell ref="AA109:AF109"/>
    <mergeCell ref="X110:Z110"/>
    <mergeCell ref="AA110:AF110"/>
    <mergeCell ref="K117:W117"/>
    <mergeCell ref="B174:AF174"/>
    <mergeCell ref="B175:AF175"/>
    <mergeCell ref="B177:AF177"/>
    <mergeCell ref="A142:AF142"/>
    <mergeCell ref="B164:AF164"/>
    <mergeCell ref="B165:AF165"/>
    <mergeCell ref="B167:AF167"/>
    <mergeCell ref="B168:AF168"/>
    <mergeCell ref="B169:AF169"/>
    <mergeCell ref="B170:AF170"/>
    <mergeCell ref="B171:AF171"/>
    <mergeCell ref="B172:AF172"/>
    <mergeCell ref="B173:AF173"/>
    <mergeCell ref="B155:AF155"/>
    <mergeCell ref="B156:AF156"/>
    <mergeCell ref="B157:AF157"/>
    <mergeCell ref="B158:AF158"/>
    <mergeCell ref="B159:AF159"/>
    <mergeCell ref="B160:AF160"/>
    <mergeCell ref="B161:AF161"/>
    <mergeCell ref="B162:AF162"/>
    <mergeCell ref="B163:AF163"/>
    <mergeCell ref="B148:AF148"/>
    <mergeCell ref="AA121:AF121"/>
    <mergeCell ref="B154:AF154"/>
    <mergeCell ref="X124:Z124"/>
    <mergeCell ref="AA124:AF124"/>
    <mergeCell ref="K125:W125"/>
    <mergeCell ref="X125:Z125"/>
    <mergeCell ref="AA125:AF125"/>
    <mergeCell ref="D123:J125"/>
    <mergeCell ref="A114:C125"/>
    <mergeCell ref="K123:W123"/>
    <mergeCell ref="X123:Z123"/>
    <mergeCell ref="AA123:AF123"/>
    <mergeCell ref="X118:Z118"/>
    <mergeCell ref="B144:AF144"/>
    <mergeCell ref="A139:AF139"/>
    <mergeCell ref="B145:AF145"/>
    <mergeCell ref="AA118:AF118"/>
    <mergeCell ref="K119:W119"/>
    <mergeCell ref="X119:Z119"/>
    <mergeCell ref="A140:AF140"/>
    <mergeCell ref="B131:AF131"/>
    <mergeCell ref="K124:W124"/>
    <mergeCell ref="A132:AF132"/>
    <mergeCell ref="K118:W118"/>
    <mergeCell ref="K120:W120"/>
    <mergeCell ref="AA112:AF112"/>
    <mergeCell ref="B150:AF150"/>
    <mergeCell ref="B151:AF151"/>
    <mergeCell ref="B152:AF152"/>
    <mergeCell ref="B153:AF153"/>
    <mergeCell ref="A133:AF133"/>
    <mergeCell ref="A126:AF126"/>
    <mergeCell ref="B127:AF127"/>
    <mergeCell ref="D117:J117"/>
    <mergeCell ref="A135:AF135"/>
    <mergeCell ref="A137:AF137"/>
    <mergeCell ref="B128:AF128"/>
    <mergeCell ref="B129:AF129"/>
    <mergeCell ref="B130:AF130"/>
    <mergeCell ref="X120:Z120"/>
    <mergeCell ref="AA120:AF120"/>
    <mergeCell ref="A138:AF138"/>
    <mergeCell ref="X117:Z117"/>
    <mergeCell ref="AA117:AF117"/>
    <mergeCell ref="A136:AF136"/>
    <mergeCell ref="AA122:AF122"/>
    <mergeCell ref="K121:W121"/>
    <mergeCell ref="X121:Z121"/>
    <mergeCell ref="AA111:AF111"/>
    <mergeCell ref="D118:J122"/>
    <mergeCell ref="K122:W122"/>
    <mergeCell ref="X122:Z122"/>
    <mergeCell ref="B176:AF176"/>
    <mergeCell ref="AA16:AF16"/>
    <mergeCell ref="AA17:AF17"/>
    <mergeCell ref="D91:J94"/>
    <mergeCell ref="K91:W91"/>
    <mergeCell ref="X91:Z91"/>
    <mergeCell ref="AA91:AF91"/>
    <mergeCell ref="K93:W93"/>
    <mergeCell ref="X93:Z93"/>
    <mergeCell ref="AA93:AF93"/>
    <mergeCell ref="K94:W94"/>
    <mergeCell ref="X94:Z94"/>
    <mergeCell ref="AA94:AF94"/>
    <mergeCell ref="K92:W92"/>
    <mergeCell ref="X92:Z92"/>
    <mergeCell ref="AA92:AF92"/>
    <mergeCell ref="B166:AF166"/>
    <mergeCell ref="B146:AF146"/>
    <mergeCell ref="B147:AF147"/>
    <mergeCell ref="AA119:AF119"/>
    <mergeCell ref="K116:W116"/>
    <mergeCell ref="X116:Z116"/>
    <mergeCell ref="AA116:AF116"/>
    <mergeCell ref="D114:J116"/>
    <mergeCell ref="K115:W115"/>
    <mergeCell ref="X115:Z115"/>
    <mergeCell ref="AA115:AF115"/>
    <mergeCell ref="D14:J19"/>
    <mergeCell ref="A134:AF134"/>
    <mergeCell ref="D48:J48"/>
    <mergeCell ref="K48:W48"/>
    <mergeCell ref="X48:Z48"/>
    <mergeCell ref="AA48:AF48"/>
    <mergeCell ref="A47:C48"/>
    <mergeCell ref="AA113:AF113"/>
    <mergeCell ref="K114:W114"/>
    <mergeCell ref="X114:Z114"/>
    <mergeCell ref="AA114:AF114"/>
    <mergeCell ref="X112:Z112"/>
    <mergeCell ref="K109:W109"/>
    <mergeCell ref="K110:W110"/>
    <mergeCell ref="K111:W111"/>
    <mergeCell ref="K112:W112"/>
    <mergeCell ref="K113:W113"/>
  </mergeCells>
  <hyperlinks>
    <hyperlink ref="A2" location="TOC!A1" display="Return to TOC" xr:uid="{00000000-0004-0000-0900-000000000000}"/>
    <hyperlink ref="K14:W14" location="R_Light_LED!A1" display="LED (See Table 2, R_Light_LED)" xr:uid="{00000000-0004-0000-0900-000001000000}"/>
    <hyperlink ref="K68:W68" location="C_Light_General!A1" display="Baseline (See C_Light_General, Table 6)" xr:uid="{00000000-0004-0000-0900-000002000000}"/>
    <hyperlink ref="K69:W69" location="C_Light_General!A1" display="Efficient (See C_Light_General, Table 7)" xr:uid="{00000000-0004-0000-0900-000003000000}"/>
    <hyperlink ref="K115:W115" location="C_Light_General!A1" display="Baseline (See C_Light_General, Table 6)" xr:uid="{00000000-0004-0000-0900-000004000000}"/>
    <hyperlink ref="K114:W114" location="C_Light_General!A1" display="Baseline (See C_Light_General, Table 6)" xr:uid="{00000000-0004-0000-0900-000005000000}"/>
    <hyperlink ref="K121:W121" location="C_Kitchen_Dishwasher!A1" display="ENERGY STAR Dishwasher (See C_Kitchen_Dishwasher, Table 5)" xr:uid="{00000000-0004-0000-0900-000006000000}"/>
    <hyperlink ref="K116:W116" location="'C_Light_Downlight Retrofit'!A1" display="Downlight Retrofit (see C_Light_Downlight Retrofit)" xr:uid="{00000000-0004-0000-0900-000007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52">
    <tabColor theme="5" tint="0.59999389629810485"/>
    <pageSetUpPr autoPageBreaks="0"/>
  </sheetPr>
  <dimension ref="A1:AF144"/>
  <sheetViews>
    <sheetView workbookViewId="0">
      <selection activeCell="A2" sqref="A2"/>
    </sheetView>
  </sheetViews>
  <sheetFormatPr defaultColWidth="2.6640625" defaultRowHeight="14.4" x14ac:dyDescent="0.3"/>
  <cols>
    <col min="33" max="16384" width="2.6640625" style="1"/>
  </cols>
  <sheetData>
    <row r="1" spans="1:32" ht="18.600000000000001" thickBot="1" x14ac:dyDescent="0.35">
      <c r="A1" s="979" t="s">
        <v>915</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x14ac:dyDescent="0.3">
      <c r="A2" s="228" t="s">
        <v>1456</v>
      </c>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 customHeight="1" x14ac:dyDescent="0.3">
      <c r="A5" s="121"/>
      <c r="B5" s="1258" t="s">
        <v>5757</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3">
      <c r="B9" s="5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33.75" customHeight="1" x14ac:dyDescent="0.3">
      <c r="B10" s="889" t="s">
        <v>5336</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B12" s="51" t="s">
        <v>4</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ht="49.5" customHeight="1" x14ac:dyDescent="0.3">
      <c r="B13" s="889" t="s">
        <v>528</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B15" s="51" t="s">
        <v>5</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3">
      <c r="B16" s="1" t="s">
        <v>5235</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3">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B18" s="51" t="s">
        <v>6</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ht="30.75" customHeight="1" x14ac:dyDescent="0.3">
      <c r="B19" s="889" t="s">
        <v>5337</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B21" s="51" t="s">
        <v>13</v>
      </c>
      <c r="C21" s="544"/>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ht="48.75" customHeight="1" x14ac:dyDescent="0.3">
      <c r="B22" s="889" t="s">
        <v>5338</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row>
    <row r="27" spans="1:32" ht="33.75" customHeight="1" x14ac:dyDescent="0.3">
      <c r="B27" s="51" t="s">
        <v>5339</v>
      </c>
      <c r="C27" s="708"/>
      <c r="D27" s="708"/>
      <c r="E27" s="708"/>
      <c r="F27" s="708"/>
      <c r="G27" s="708"/>
      <c r="H27" s="708"/>
      <c r="I27" s="708"/>
      <c r="J27" s="708"/>
      <c r="K27" s="708"/>
      <c r="L27" s="708"/>
      <c r="M27" s="708"/>
      <c r="N27" s="708"/>
      <c r="O27" s="708"/>
      <c r="P27" s="708"/>
      <c r="Q27" s="708"/>
      <c r="R27" s="708"/>
      <c r="S27" s="708"/>
      <c r="T27" s="708"/>
      <c r="U27" s="708"/>
      <c r="V27" s="708"/>
      <c r="W27" s="708"/>
      <c r="X27" s="708"/>
      <c r="Y27" s="708"/>
      <c r="Z27" s="708"/>
      <c r="AA27" s="708"/>
      <c r="AB27" s="708"/>
      <c r="AC27" s="708"/>
      <c r="AD27" s="708"/>
      <c r="AE27" s="708"/>
      <c r="AF27" s="708"/>
    </row>
    <row r="28" spans="1:32" x14ac:dyDescent="0.3">
      <c r="A28" s="3"/>
      <c r="B28" s="3"/>
      <c r="C28" s="496"/>
      <c r="D28" s="715"/>
      <c r="E28" s="3"/>
      <c r="F28" s="3"/>
      <c r="G28" s="3"/>
      <c r="H28" s="3"/>
      <c r="I28" s="3"/>
      <c r="J28" s="3"/>
      <c r="K28" s="3"/>
      <c r="L28" s="3"/>
      <c r="M28" s="3"/>
      <c r="N28" s="1"/>
      <c r="O28" s="1"/>
      <c r="P28" s="1"/>
      <c r="Q28" s="1"/>
      <c r="R28" s="1"/>
      <c r="S28" s="1"/>
      <c r="T28" s="1"/>
      <c r="U28" s="1"/>
      <c r="V28" s="1"/>
      <c r="W28" s="1"/>
      <c r="X28" s="1"/>
      <c r="Y28" s="1"/>
      <c r="Z28" s="1"/>
      <c r="AA28" s="1"/>
      <c r="AB28" s="1"/>
      <c r="AC28" s="1"/>
      <c r="AD28" s="1"/>
      <c r="AE28" s="1"/>
      <c r="AF28" s="1"/>
    </row>
    <row r="29" spans="1:32" x14ac:dyDescent="0.3">
      <c r="A29" s="3"/>
      <c r="B29" s="3"/>
      <c r="C29" s="3"/>
      <c r="D29" s="715"/>
      <c r="E29" s="3"/>
      <c r="F29" s="3"/>
      <c r="G29" s="3"/>
      <c r="H29" s="3"/>
      <c r="I29" s="3"/>
      <c r="J29" s="3"/>
      <c r="K29" s="3"/>
      <c r="L29" s="3"/>
      <c r="M29" s="3"/>
      <c r="N29" s="1"/>
      <c r="O29" s="1"/>
      <c r="P29" s="1"/>
      <c r="Q29" s="1"/>
      <c r="R29" s="1"/>
      <c r="S29" s="1"/>
      <c r="T29" s="1"/>
      <c r="U29" s="1"/>
      <c r="V29" s="1"/>
      <c r="W29" s="1"/>
      <c r="X29" s="1"/>
      <c r="Y29" s="1"/>
      <c r="Z29" s="1"/>
      <c r="AA29" s="1"/>
      <c r="AB29" s="1"/>
      <c r="AC29" s="1"/>
      <c r="AD29" s="1"/>
      <c r="AE29" s="1"/>
      <c r="AF29" s="71" t="s">
        <v>1463</v>
      </c>
    </row>
    <row r="30" spans="1:32" x14ac:dyDescent="0.3">
      <c r="A30" s="3"/>
      <c r="B30" s="3"/>
      <c r="C30" s="545"/>
      <c r="E30" s="3"/>
      <c r="F30" s="716" t="s">
        <v>5340</v>
      </c>
      <c r="G30" s="3"/>
      <c r="H30" s="3"/>
      <c r="I30" s="3"/>
      <c r="J30" s="3"/>
      <c r="K30" s="3"/>
      <c r="L30" s="3"/>
      <c r="M30" s="3"/>
      <c r="N30" s="1"/>
      <c r="O30" s="1"/>
      <c r="P30" s="1"/>
      <c r="Q30" s="1"/>
      <c r="R30" s="1"/>
      <c r="S30" s="1"/>
      <c r="T30" s="1"/>
      <c r="U30" s="1"/>
      <c r="V30" s="1"/>
      <c r="W30" s="1"/>
      <c r="X30" s="1"/>
      <c r="Y30" s="1"/>
      <c r="Z30" s="1"/>
      <c r="AA30" s="1"/>
      <c r="AB30" s="1"/>
      <c r="AC30" s="1"/>
      <c r="AD30" s="1"/>
      <c r="AE30" s="1"/>
      <c r="AF30" s="1"/>
    </row>
    <row r="31" spans="1:32" x14ac:dyDescent="0.3">
      <c r="A31" s="3"/>
      <c r="B31" s="3"/>
      <c r="C31" s="3"/>
      <c r="D31" s="3"/>
      <c r="E31" s="3"/>
      <c r="F31" s="3"/>
      <c r="G31" s="3"/>
      <c r="H31" s="3"/>
      <c r="I31" s="3"/>
      <c r="J31" s="3"/>
      <c r="K31" s="3"/>
      <c r="L31" s="3"/>
      <c r="M31" s="3"/>
      <c r="N31" s="1"/>
      <c r="O31" s="1"/>
      <c r="P31" s="1"/>
      <c r="Q31" s="1"/>
      <c r="R31" s="1"/>
      <c r="S31" s="1"/>
      <c r="T31" s="1"/>
      <c r="U31" s="1"/>
      <c r="V31" s="1"/>
      <c r="W31" s="1"/>
      <c r="X31" s="1"/>
      <c r="Y31" s="1"/>
      <c r="Z31" s="1"/>
      <c r="AA31" s="1"/>
      <c r="AB31" s="1"/>
      <c r="AC31" s="1"/>
      <c r="AD31" s="1"/>
      <c r="AE31" s="1"/>
      <c r="AF31" s="1"/>
    </row>
    <row r="32" spans="1:32" x14ac:dyDescent="0.3">
      <c r="B32" s="51" t="s">
        <v>5341</v>
      </c>
      <c r="C32" s="708"/>
      <c r="D32" s="708"/>
      <c r="E32" s="708"/>
      <c r="F32" s="708"/>
      <c r="G32" s="708"/>
      <c r="H32" s="708"/>
      <c r="I32" s="708"/>
      <c r="J32" s="708"/>
      <c r="K32" s="708"/>
      <c r="L32" s="708"/>
      <c r="M32" s="708"/>
      <c r="N32" s="708"/>
      <c r="O32" s="708"/>
      <c r="P32" s="708"/>
      <c r="Q32" s="708"/>
      <c r="R32" s="708"/>
      <c r="S32" s="708"/>
      <c r="T32" s="708"/>
      <c r="U32" s="708"/>
      <c r="V32" s="708"/>
      <c r="W32" s="708"/>
      <c r="X32" s="708"/>
      <c r="Y32" s="708"/>
      <c r="Z32" s="708"/>
      <c r="AA32" s="708"/>
      <c r="AB32" s="708"/>
      <c r="AC32" s="708"/>
      <c r="AD32" s="708"/>
      <c r="AE32" s="708"/>
      <c r="AF32" s="708"/>
    </row>
    <row r="33" spans="1:32" x14ac:dyDescent="0.3">
      <c r="A33" s="3"/>
      <c r="B33" s="3"/>
      <c r="C33" s="545"/>
      <c r="D33" s="715"/>
      <c r="E33" s="3"/>
      <c r="F33" s="3"/>
      <c r="G33" s="3"/>
      <c r="H33" s="3"/>
      <c r="I33" s="3"/>
      <c r="J33" s="3"/>
      <c r="K33" s="3"/>
      <c r="L33" s="3"/>
      <c r="M33" s="3"/>
      <c r="N33" s="1"/>
      <c r="O33" s="1"/>
      <c r="P33" s="1"/>
      <c r="Q33" s="1"/>
      <c r="R33" s="1"/>
      <c r="S33" s="1"/>
      <c r="T33" s="1"/>
      <c r="U33" s="1"/>
      <c r="V33" s="1"/>
      <c r="W33" s="1"/>
      <c r="X33" s="1"/>
      <c r="Y33" s="1"/>
      <c r="Z33" s="1"/>
      <c r="AA33" s="1"/>
      <c r="AB33" s="1"/>
      <c r="AC33" s="1"/>
      <c r="AD33" s="1"/>
      <c r="AE33" s="1"/>
      <c r="AF33" s="1"/>
    </row>
    <row r="34" spans="1:32" x14ac:dyDescent="0.3">
      <c r="A34" s="3"/>
      <c r="B34" s="3"/>
      <c r="C34" s="496"/>
      <c r="D34" s="10"/>
      <c r="E34" s="3"/>
      <c r="F34" s="3"/>
      <c r="G34" s="3"/>
      <c r="H34" s="3"/>
      <c r="I34" s="3"/>
      <c r="J34" s="3"/>
      <c r="K34" s="3"/>
      <c r="L34" s="3"/>
      <c r="M34" s="3"/>
      <c r="N34" s="1"/>
      <c r="O34" s="1"/>
      <c r="P34" s="1"/>
      <c r="Q34" s="1"/>
      <c r="R34" s="1"/>
      <c r="S34" s="1"/>
      <c r="T34" s="1"/>
      <c r="U34" s="1"/>
      <c r="V34" s="1"/>
      <c r="W34" s="1"/>
      <c r="X34" s="1"/>
      <c r="Y34" s="1"/>
      <c r="Z34" s="1"/>
      <c r="AA34" s="1"/>
      <c r="AB34" s="1"/>
      <c r="AC34" s="1"/>
      <c r="AD34" s="1"/>
      <c r="AE34" s="1"/>
      <c r="AF34" s="71" t="s">
        <v>1464</v>
      </c>
    </row>
    <row r="35" spans="1:32" x14ac:dyDescent="0.3">
      <c r="A35" s="3"/>
      <c r="B35" s="3"/>
      <c r="C35" s="496"/>
      <c r="D35" s="10"/>
      <c r="E35" s="3"/>
      <c r="F35" s="716" t="s">
        <v>5340</v>
      </c>
      <c r="G35" s="3"/>
      <c r="H35" s="3"/>
      <c r="I35" s="3"/>
      <c r="J35" s="3"/>
      <c r="K35" s="3"/>
      <c r="L35" s="3"/>
      <c r="M35" s="3"/>
      <c r="N35" s="1"/>
      <c r="O35" s="1"/>
      <c r="P35" s="1"/>
      <c r="Q35" s="1"/>
      <c r="R35" s="1"/>
      <c r="S35" s="1"/>
      <c r="T35" s="1"/>
      <c r="U35" s="1"/>
      <c r="V35" s="1"/>
      <c r="W35" s="1"/>
      <c r="X35" s="1"/>
      <c r="Y35" s="1"/>
      <c r="Z35" s="1"/>
      <c r="AA35" s="1"/>
      <c r="AB35" s="1"/>
      <c r="AC35" s="1"/>
      <c r="AD35" s="1"/>
      <c r="AE35" s="1"/>
      <c r="AF35" s="71"/>
    </row>
    <row r="36" spans="1:32" x14ac:dyDescent="0.3">
      <c r="A36" s="3"/>
      <c r="B36" s="3"/>
      <c r="C36" s="3"/>
      <c r="D36" s="10"/>
      <c r="E36" s="3"/>
      <c r="F36" s="3"/>
      <c r="G36" s="3"/>
      <c r="H36" s="3"/>
      <c r="I36" s="3"/>
      <c r="J36" s="3"/>
      <c r="K36" s="3"/>
      <c r="L36" s="3"/>
      <c r="M36" s="3"/>
      <c r="N36" s="1"/>
      <c r="O36" s="1"/>
      <c r="P36" s="1"/>
      <c r="Q36" s="1"/>
      <c r="R36" s="1"/>
      <c r="S36" s="1"/>
      <c r="T36" s="1"/>
      <c r="U36" s="1"/>
      <c r="V36" s="1"/>
      <c r="W36" s="1"/>
      <c r="X36" s="1"/>
      <c r="Y36" s="1"/>
      <c r="Z36" s="1"/>
      <c r="AA36" s="1"/>
      <c r="AB36" s="1"/>
      <c r="AC36" s="1"/>
      <c r="AD36" s="1"/>
      <c r="AE36" s="1"/>
      <c r="AF36" s="1"/>
    </row>
    <row r="37" spans="1:32" x14ac:dyDescent="0.3">
      <c r="B37" s="231" t="s">
        <v>5342</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3">
      <c r="B38" s="3"/>
      <c r="C38" s="1"/>
      <c r="D38" s="715"/>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3">
      <c r="B39" s="3"/>
      <c r="C39" s="1"/>
      <c r="D39" s="10"/>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2" x14ac:dyDescent="0.3">
      <c r="B40" s="3"/>
      <c r="D40" s="1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71" t="s">
        <v>1465</v>
      </c>
    </row>
    <row r="41" spans="1:32" x14ac:dyDescent="0.3">
      <c r="B41" s="3"/>
      <c r="D41" s="1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71"/>
    </row>
    <row r="42" spans="1:32" x14ac:dyDescent="0.3">
      <c r="B42" s="3"/>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3">
      <c r="B43" s="231" t="s">
        <v>5343</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x14ac:dyDescent="0.3">
      <c r="B44" s="1"/>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x14ac:dyDescent="0.3">
      <c r="B45" s="1"/>
      <c r="C45" s="40"/>
      <c r="D45" s="715"/>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x14ac:dyDescent="0.3">
      <c r="B46" s="1"/>
      <c r="C46" s="40"/>
      <c r="D46" s="1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71" t="s">
        <v>1517</v>
      </c>
    </row>
    <row r="47" spans="1:32" x14ac:dyDescent="0.3">
      <c r="B47" s="1"/>
      <c r="C47" s="40"/>
      <c r="D47" s="1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row>
    <row r="48" spans="1:32" x14ac:dyDescent="0.3">
      <c r="B48" s="1"/>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x14ac:dyDescent="0.3">
      <c r="B49" s="231" t="s">
        <v>2027</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row>
    <row r="50" spans="1:32" x14ac:dyDescent="0.3">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row>
    <row r="51" spans="1:32" x14ac:dyDescent="0.3">
      <c r="B51" s="40"/>
      <c r="C51" s="40"/>
      <c r="D51" s="717"/>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71" t="s">
        <v>1556</v>
      </c>
    </row>
    <row r="52" spans="1:32" x14ac:dyDescent="0.3">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x14ac:dyDescent="0.3">
      <c r="B53" s="231" t="s">
        <v>2137</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row>
    <row r="54" spans="1:32" x14ac:dyDescent="0.3">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row>
    <row r="55" spans="1:32" x14ac:dyDescent="0.3">
      <c r="B55" s="40"/>
      <c r="C55" s="40"/>
      <c r="D55" s="715"/>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2760" t="s">
        <v>1558</v>
      </c>
    </row>
    <row r="56" spans="1:32" x14ac:dyDescent="0.3">
      <c r="B56" s="40"/>
      <c r="C56" s="40"/>
      <c r="D56" s="1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2760"/>
    </row>
    <row r="57" spans="1:32" x14ac:dyDescent="0.3">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row>
    <row r="58" spans="1:32" x14ac:dyDescent="0.3">
      <c r="B58" s="231" t="s">
        <v>1811</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row>
    <row r="59" spans="1:32"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row>
    <row r="60" spans="1:32" x14ac:dyDescent="0.3">
      <c r="A60" s="40"/>
      <c r="B60" s="162"/>
      <c r="C60" s="40"/>
      <c r="D60" s="71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71" t="s">
        <v>1607</v>
      </c>
    </row>
    <row r="61" spans="1:32"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row>
    <row r="62" spans="1:32"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row>
    <row r="63" spans="1:32" x14ac:dyDescent="0.3">
      <c r="A63" s="1141" t="s">
        <v>8</v>
      </c>
      <c r="B63" s="1141"/>
      <c r="C63" s="1141"/>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row>
    <row r="64" spans="1:32" x14ac:dyDescent="0.3">
      <c r="A64" s="1143" t="s">
        <v>9</v>
      </c>
      <c r="B64" s="1143"/>
      <c r="C64" s="1143"/>
      <c r="D64" s="1143"/>
      <c r="E64" s="1143" t="s">
        <v>3</v>
      </c>
      <c r="F64" s="1143"/>
      <c r="G64" s="1143"/>
      <c r="H64" s="1143"/>
      <c r="I64" s="1143"/>
      <c r="J64" s="1143"/>
      <c r="K64" s="1143"/>
      <c r="L64" s="1143"/>
      <c r="M64" s="1143"/>
      <c r="N64" s="1143"/>
      <c r="O64" s="1143"/>
      <c r="P64" s="1143" t="s">
        <v>10</v>
      </c>
      <c r="Q64" s="1143"/>
      <c r="R64" s="1143"/>
      <c r="S64" s="1143"/>
      <c r="T64" s="1143" t="s">
        <v>11</v>
      </c>
      <c r="U64" s="1143"/>
      <c r="V64" s="1143"/>
      <c r="W64" s="1143"/>
      <c r="X64" s="1143" t="s">
        <v>1466</v>
      </c>
      <c r="Y64" s="1143"/>
      <c r="Z64" s="1143"/>
      <c r="AA64" s="1143"/>
      <c r="AB64" s="1143"/>
      <c r="AC64" s="1143"/>
      <c r="AD64" s="1143"/>
      <c r="AE64" s="1143"/>
      <c r="AF64" s="1143"/>
    </row>
    <row r="65" spans="1:32" ht="96" customHeight="1" x14ac:dyDescent="0.3">
      <c r="A65" s="856" t="s">
        <v>3911</v>
      </c>
      <c r="B65" s="856"/>
      <c r="C65" s="856"/>
      <c r="D65" s="856"/>
      <c r="E65" s="856" t="s">
        <v>5344</v>
      </c>
      <c r="F65" s="856"/>
      <c r="G65" s="856"/>
      <c r="H65" s="856"/>
      <c r="I65" s="856"/>
      <c r="J65" s="856"/>
      <c r="K65" s="856"/>
      <c r="L65" s="856"/>
      <c r="M65" s="856"/>
      <c r="N65" s="856"/>
      <c r="O65" s="856"/>
      <c r="P65" s="2557" t="s">
        <v>5345</v>
      </c>
      <c r="Q65" s="2557"/>
      <c r="R65" s="2557"/>
      <c r="S65" s="2557"/>
      <c r="T65" s="2146" t="s">
        <v>20</v>
      </c>
      <c r="U65" s="1275"/>
      <c r="V65" s="1275"/>
      <c r="W65" s="1275"/>
      <c r="X65" s="1385" t="s">
        <v>5346</v>
      </c>
      <c r="Y65" s="1385"/>
      <c r="Z65" s="1385"/>
      <c r="AA65" s="1385"/>
      <c r="AB65" s="1385"/>
      <c r="AC65" s="1385"/>
      <c r="AD65" s="1385"/>
      <c r="AE65" s="1385"/>
      <c r="AF65" s="1385"/>
    </row>
    <row r="66" spans="1:32" ht="79.5" customHeight="1" x14ac:dyDescent="0.3">
      <c r="A66" s="856" t="s">
        <v>5347</v>
      </c>
      <c r="B66" s="856"/>
      <c r="C66" s="856"/>
      <c r="D66" s="856"/>
      <c r="E66" s="856" t="s">
        <v>3912</v>
      </c>
      <c r="F66" s="856"/>
      <c r="G66" s="856"/>
      <c r="H66" s="856"/>
      <c r="I66" s="856"/>
      <c r="J66" s="856"/>
      <c r="K66" s="856"/>
      <c r="L66" s="856"/>
      <c r="M66" s="856"/>
      <c r="N66" s="856"/>
      <c r="O66" s="856"/>
      <c r="P66" s="1586">
        <v>3.45</v>
      </c>
      <c r="Q66" s="1586"/>
      <c r="R66" s="1586"/>
      <c r="S66" s="1586"/>
      <c r="T66" s="2146" t="s">
        <v>20</v>
      </c>
      <c r="U66" s="1275"/>
      <c r="V66" s="1275"/>
      <c r="W66" s="1275"/>
      <c r="X66" s="1385" t="s">
        <v>5248</v>
      </c>
      <c r="Y66" s="1385"/>
      <c r="Z66" s="1385"/>
      <c r="AA66" s="1385"/>
      <c r="AB66" s="1385"/>
      <c r="AC66" s="1385"/>
      <c r="AD66" s="1385"/>
      <c r="AE66" s="1385"/>
      <c r="AF66" s="1385"/>
    </row>
    <row r="67" spans="1:32" ht="77.25" customHeight="1" x14ac:dyDescent="0.3">
      <c r="A67" s="856" t="s">
        <v>5348</v>
      </c>
      <c r="B67" s="856"/>
      <c r="C67" s="856"/>
      <c r="D67" s="856"/>
      <c r="E67" s="856" t="s">
        <v>5250</v>
      </c>
      <c r="F67" s="856"/>
      <c r="G67" s="856"/>
      <c r="H67" s="856"/>
      <c r="I67" s="856"/>
      <c r="J67" s="856"/>
      <c r="K67" s="856"/>
      <c r="L67" s="856"/>
      <c r="M67" s="856"/>
      <c r="N67" s="856"/>
      <c r="O67" s="856"/>
      <c r="P67" s="1151">
        <v>3.45</v>
      </c>
      <c r="Q67" s="1152"/>
      <c r="R67" s="1152"/>
      <c r="S67" s="1153"/>
      <c r="T67" s="1261" t="s">
        <v>20</v>
      </c>
      <c r="U67" s="1244"/>
      <c r="V67" s="1244"/>
      <c r="W67" s="1245"/>
      <c r="X67" s="1385" t="s">
        <v>5248</v>
      </c>
      <c r="Y67" s="1385"/>
      <c r="Z67" s="1385"/>
      <c r="AA67" s="1385"/>
      <c r="AB67" s="1385"/>
      <c r="AC67" s="1385"/>
      <c r="AD67" s="1385"/>
      <c r="AE67" s="1385"/>
      <c r="AF67" s="1385"/>
    </row>
    <row r="68" spans="1:32" ht="34.5" customHeight="1" x14ac:dyDescent="0.3">
      <c r="A68" s="855" t="s">
        <v>1467</v>
      </c>
      <c r="B68" s="855"/>
      <c r="C68" s="855"/>
      <c r="D68" s="855"/>
      <c r="E68" s="856" t="s">
        <v>1468</v>
      </c>
      <c r="F68" s="856"/>
      <c r="G68" s="856"/>
      <c r="H68" s="856"/>
      <c r="I68" s="856"/>
      <c r="J68" s="856"/>
      <c r="K68" s="856"/>
      <c r="L68" s="856"/>
      <c r="M68" s="856"/>
      <c r="N68" s="856"/>
      <c r="O68" s="856"/>
      <c r="P68" s="1586">
        <v>15</v>
      </c>
      <c r="Q68" s="1586"/>
      <c r="R68" s="1586"/>
      <c r="S68" s="1586"/>
      <c r="T68" s="1586" t="s">
        <v>2710</v>
      </c>
      <c r="U68" s="1586"/>
      <c r="V68" s="1586"/>
      <c r="W68" s="1586"/>
      <c r="X68" s="1186" t="s">
        <v>5349</v>
      </c>
      <c r="Y68" s="1186"/>
      <c r="Z68" s="1186"/>
      <c r="AA68" s="1186"/>
      <c r="AB68" s="1186"/>
      <c r="AC68" s="1186"/>
      <c r="AD68" s="1186"/>
      <c r="AE68" s="1186"/>
      <c r="AF68" s="1186"/>
    </row>
    <row r="69" spans="1:32" ht="67.5" customHeight="1" x14ac:dyDescent="0.3">
      <c r="A69" s="855" t="s">
        <v>1469</v>
      </c>
      <c r="B69" s="855"/>
      <c r="C69" s="855"/>
      <c r="D69" s="855"/>
      <c r="E69" s="854" t="s">
        <v>3913</v>
      </c>
      <c r="F69" s="854"/>
      <c r="G69" s="854"/>
      <c r="H69" s="854"/>
      <c r="I69" s="854"/>
      <c r="J69" s="854"/>
      <c r="K69" s="854"/>
      <c r="L69" s="854"/>
      <c r="M69" s="854"/>
      <c r="N69" s="854"/>
      <c r="O69" s="854"/>
      <c r="P69" s="2667" t="s">
        <v>5350</v>
      </c>
      <c r="Q69" s="2667"/>
      <c r="R69" s="2667"/>
      <c r="S69" s="2667"/>
      <c r="T69" s="2146" t="s">
        <v>2711</v>
      </c>
      <c r="U69" s="1275"/>
      <c r="V69" s="1275"/>
      <c r="W69" s="1275"/>
      <c r="X69" s="1385" t="s">
        <v>5351</v>
      </c>
      <c r="Y69" s="1385"/>
      <c r="Z69" s="1385"/>
      <c r="AA69" s="1385"/>
      <c r="AB69" s="1385"/>
      <c r="AC69" s="1385"/>
      <c r="AD69" s="1385"/>
      <c r="AE69" s="1385"/>
      <c r="AF69" s="1385"/>
    </row>
    <row r="70" spans="1:32" ht="30" customHeight="1" x14ac:dyDescent="0.3">
      <c r="A70" s="2559" t="s">
        <v>1472</v>
      </c>
      <c r="B70" s="2560"/>
      <c r="C70" s="2560"/>
      <c r="D70" s="2560"/>
      <c r="E70" s="856" t="s">
        <v>1473</v>
      </c>
      <c r="F70" s="856"/>
      <c r="G70" s="856"/>
      <c r="H70" s="856"/>
      <c r="I70" s="856"/>
      <c r="J70" s="856"/>
      <c r="K70" s="856"/>
      <c r="L70" s="856"/>
      <c r="M70" s="856"/>
      <c r="N70" s="856"/>
      <c r="O70" s="856"/>
      <c r="P70" s="1586">
        <v>8.3000000000000007</v>
      </c>
      <c r="Q70" s="1586"/>
      <c r="R70" s="1586"/>
      <c r="S70" s="1586"/>
      <c r="T70" s="1275" t="s">
        <v>1474</v>
      </c>
      <c r="U70" s="1275"/>
      <c r="V70" s="1275"/>
      <c r="W70" s="1275"/>
      <c r="X70" s="1538" t="s">
        <v>20</v>
      </c>
      <c r="Y70" s="1343"/>
      <c r="Z70" s="1343"/>
      <c r="AA70" s="1343"/>
      <c r="AB70" s="1343"/>
      <c r="AC70" s="1343"/>
      <c r="AD70" s="1343"/>
      <c r="AE70" s="1343"/>
      <c r="AF70" s="1343"/>
    </row>
    <row r="71" spans="1:32" ht="30" customHeight="1" x14ac:dyDescent="0.3">
      <c r="A71" s="2560" t="s">
        <v>1476</v>
      </c>
      <c r="B71" s="2560"/>
      <c r="C71" s="2560"/>
      <c r="D71" s="2560"/>
      <c r="E71" s="856" t="s">
        <v>1477</v>
      </c>
      <c r="F71" s="856"/>
      <c r="G71" s="856"/>
      <c r="H71" s="856"/>
      <c r="I71" s="856"/>
      <c r="J71" s="856"/>
      <c r="K71" s="856"/>
      <c r="L71" s="856"/>
      <c r="M71" s="856"/>
      <c r="N71" s="856"/>
      <c r="O71" s="856"/>
      <c r="P71" s="1586">
        <v>1</v>
      </c>
      <c r="Q71" s="1586"/>
      <c r="R71" s="1586"/>
      <c r="S71" s="1586"/>
      <c r="T71" s="1275" t="s">
        <v>1475</v>
      </c>
      <c r="U71" s="1275"/>
      <c r="V71" s="1275"/>
      <c r="W71" s="1275"/>
      <c r="X71" s="1538" t="s">
        <v>20</v>
      </c>
      <c r="Y71" s="1343"/>
      <c r="Z71" s="1343"/>
      <c r="AA71" s="1343"/>
      <c r="AB71" s="1343"/>
      <c r="AC71" s="1343"/>
      <c r="AD71" s="1343"/>
      <c r="AE71" s="1343"/>
      <c r="AF71" s="1343"/>
    </row>
    <row r="72" spans="1:32" ht="115.5" customHeight="1" x14ac:dyDescent="0.3">
      <c r="A72" s="855" t="s">
        <v>1478</v>
      </c>
      <c r="B72" s="855"/>
      <c r="C72" s="855"/>
      <c r="D72" s="855"/>
      <c r="E72" s="856" t="s">
        <v>1480</v>
      </c>
      <c r="F72" s="856"/>
      <c r="G72" s="856"/>
      <c r="H72" s="856"/>
      <c r="I72" s="856"/>
      <c r="J72" s="856"/>
      <c r="K72" s="856"/>
      <c r="L72" s="856"/>
      <c r="M72" s="856"/>
      <c r="N72" s="856"/>
      <c r="O72" s="856"/>
      <c r="P72" s="1586">
        <v>125</v>
      </c>
      <c r="Q72" s="1586"/>
      <c r="R72" s="1586"/>
      <c r="S72" s="1586"/>
      <c r="T72" s="1275" t="s">
        <v>158</v>
      </c>
      <c r="U72" s="1275"/>
      <c r="V72" s="1275"/>
      <c r="W72" s="1275"/>
      <c r="X72" s="1385" t="s">
        <v>5352</v>
      </c>
      <c r="Y72" s="1385"/>
      <c r="Z72" s="1385"/>
      <c r="AA72" s="1385"/>
      <c r="AB72" s="1385"/>
      <c r="AC72" s="1385"/>
      <c r="AD72" s="1385"/>
      <c r="AE72" s="1385"/>
      <c r="AF72" s="1385"/>
    </row>
    <row r="73" spans="1:32" ht="49.5" customHeight="1" x14ac:dyDescent="0.3">
      <c r="A73" s="855" t="s">
        <v>1479</v>
      </c>
      <c r="B73" s="855"/>
      <c r="C73" s="855"/>
      <c r="D73" s="855"/>
      <c r="E73" s="856" t="s">
        <v>1481</v>
      </c>
      <c r="F73" s="856"/>
      <c r="G73" s="856"/>
      <c r="H73" s="856"/>
      <c r="I73" s="856"/>
      <c r="J73" s="856"/>
      <c r="K73" s="856"/>
      <c r="L73" s="856"/>
      <c r="M73" s="856"/>
      <c r="N73" s="856"/>
      <c r="O73" s="856"/>
      <c r="P73" s="2312" t="s">
        <v>5353</v>
      </c>
      <c r="Q73" s="2312">
        <v>8760</v>
      </c>
      <c r="R73" s="2312">
        <v>8760</v>
      </c>
      <c r="S73" s="2312">
        <v>8760</v>
      </c>
      <c r="T73" s="1275" t="s">
        <v>1482</v>
      </c>
      <c r="U73" s="1275"/>
      <c r="V73" s="1275"/>
      <c r="W73" s="1275"/>
      <c r="X73" s="1385" t="s">
        <v>5354</v>
      </c>
      <c r="Y73" s="1385"/>
      <c r="Z73" s="1385"/>
      <c r="AA73" s="1385"/>
      <c r="AB73" s="1385"/>
      <c r="AC73" s="1385"/>
      <c r="AD73" s="1385"/>
      <c r="AE73" s="1385"/>
      <c r="AF73" s="1385"/>
    </row>
    <row r="74" spans="1:32" ht="67.5" customHeight="1" x14ac:dyDescent="0.3">
      <c r="A74" s="855" t="s">
        <v>235</v>
      </c>
      <c r="B74" s="855" t="s">
        <v>206</v>
      </c>
      <c r="C74" s="855" t="s">
        <v>206</v>
      </c>
      <c r="D74" s="855" t="s">
        <v>206</v>
      </c>
      <c r="E74" s="856" t="s">
        <v>1535</v>
      </c>
      <c r="F74" s="856" t="s">
        <v>523</v>
      </c>
      <c r="G74" s="856" t="s">
        <v>523</v>
      </c>
      <c r="H74" s="856" t="s">
        <v>523</v>
      </c>
      <c r="I74" s="856" t="s">
        <v>523</v>
      </c>
      <c r="J74" s="856" t="s">
        <v>523</v>
      </c>
      <c r="K74" s="856" t="s">
        <v>523</v>
      </c>
      <c r="L74" s="856" t="s">
        <v>523</v>
      </c>
      <c r="M74" s="856" t="s">
        <v>523</v>
      </c>
      <c r="N74" s="856" t="s">
        <v>523</v>
      </c>
      <c r="O74" s="856" t="s">
        <v>523</v>
      </c>
      <c r="P74" s="2591" t="s">
        <v>5355</v>
      </c>
      <c r="Q74" s="2591"/>
      <c r="R74" s="2591"/>
      <c r="S74" s="2591"/>
      <c r="T74" s="1275" t="s">
        <v>37</v>
      </c>
      <c r="U74" s="1275"/>
      <c r="V74" s="1275"/>
      <c r="W74" s="1275"/>
      <c r="X74" s="1186" t="s">
        <v>5356</v>
      </c>
      <c r="Y74" s="1186"/>
      <c r="Z74" s="1186"/>
      <c r="AA74" s="1186"/>
      <c r="AB74" s="1186"/>
      <c r="AC74" s="1186"/>
      <c r="AD74" s="1186"/>
      <c r="AE74" s="1186"/>
      <c r="AF74" s="1186"/>
    </row>
    <row r="75" spans="1:32" ht="93" customHeight="1" x14ac:dyDescent="0.3">
      <c r="A75" s="855" t="s">
        <v>443</v>
      </c>
      <c r="B75" s="855" t="s">
        <v>443</v>
      </c>
      <c r="C75" s="855" t="s">
        <v>443</v>
      </c>
      <c r="D75" s="855" t="s">
        <v>443</v>
      </c>
      <c r="E75" s="856" t="s">
        <v>1460</v>
      </c>
      <c r="F75" s="856" t="s">
        <v>444</v>
      </c>
      <c r="G75" s="856" t="s">
        <v>444</v>
      </c>
      <c r="H75" s="856" t="s">
        <v>444</v>
      </c>
      <c r="I75" s="856" t="s">
        <v>444</v>
      </c>
      <c r="J75" s="856" t="s">
        <v>444</v>
      </c>
      <c r="K75" s="856" t="s">
        <v>444</v>
      </c>
      <c r="L75" s="856" t="s">
        <v>444</v>
      </c>
      <c r="M75" s="856" t="s">
        <v>444</v>
      </c>
      <c r="N75" s="856" t="s">
        <v>444</v>
      </c>
      <c r="O75" s="856" t="s">
        <v>444</v>
      </c>
      <c r="P75" s="2591" t="s">
        <v>5357</v>
      </c>
      <c r="Q75" s="2591"/>
      <c r="R75" s="2591"/>
      <c r="S75" s="2591"/>
      <c r="T75" s="1275" t="s">
        <v>20</v>
      </c>
      <c r="U75" s="1275"/>
      <c r="V75" s="1275"/>
      <c r="W75" s="1275"/>
      <c r="X75" s="1186" t="s">
        <v>5358</v>
      </c>
      <c r="Y75" s="1186"/>
      <c r="Z75" s="1186"/>
      <c r="AA75" s="1186"/>
      <c r="AB75" s="1186"/>
      <c r="AC75" s="1186"/>
      <c r="AD75" s="1186"/>
      <c r="AE75" s="1186"/>
      <c r="AF75" s="1186"/>
    </row>
    <row r="76" spans="1:32" ht="30" customHeight="1" x14ac:dyDescent="0.3">
      <c r="A76" s="1154" t="s">
        <v>1869</v>
      </c>
      <c r="B76" s="1155" t="s">
        <v>26</v>
      </c>
      <c r="C76" s="1155" t="s">
        <v>26</v>
      </c>
      <c r="D76" s="1156" t="s">
        <v>26</v>
      </c>
      <c r="E76" s="856" t="s">
        <v>2050</v>
      </c>
      <c r="F76" s="856" t="s">
        <v>208</v>
      </c>
      <c r="G76" s="856" t="s">
        <v>208</v>
      </c>
      <c r="H76" s="856" t="s">
        <v>208</v>
      </c>
      <c r="I76" s="856" t="s">
        <v>208</v>
      </c>
      <c r="J76" s="856" t="s">
        <v>208</v>
      </c>
      <c r="K76" s="856" t="s">
        <v>208</v>
      </c>
      <c r="L76" s="856" t="s">
        <v>208</v>
      </c>
      <c r="M76" s="856" t="s">
        <v>208</v>
      </c>
      <c r="N76" s="856" t="s">
        <v>208</v>
      </c>
      <c r="O76" s="856" t="s">
        <v>208</v>
      </c>
      <c r="P76" s="1586">
        <f>'Master EUL'!X13</f>
        <v>10</v>
      </c>
      <c r="Q76" s="1586"/>
      <c r="R76" s="1586"/>
      <c r="S76" s="1586"/>
      <c r="T76" s="1275" t="s">
        <v>38</v>
      </c>
      <c r="U76" s="1275"/>
      <c r="V76" s="1275"/>
      <c r="W76" s="1275"/>
      <c r="X76" s="1385" t="s">
        <v>3364</v>
      </c>
      <c r="Y76" s="1385"/>
      <c r="Z76" s="1385"/>
      <c r="AA76" s="1385"/>
      <c r="AB76" s="1385"/>
      <c r="AC76" s="1385"/>
      <c r="AD76" s="1385"/>
      <c r="AE76" s="1385"/>
      <c r="AF76" s="1385"/>
    </row>
    <row r="77" spans="1:32" ht="30" customHeight="1" x14ac:dyDescent="0.3">
      <c r="A77" s="1270" t="s">
        <v>5359</v>
      </c>
      <c r="B77" s="1270"/>
      <c r="C77" s="1270"/>
      <c r="D77" s="1270"/>
      <c r="E77" s="1270"/>
      <c r="F77" s="1270"/>
      <c r="G77" s="1270"/>
      <c r="H77" s="1270"/>
      <c r="I77" s="1270"/>
      <c r="J77" s="1270"/>
      <c r="K77" s="1270"/>
      <c r="L77" s="1270"/>
      <c r="M77" s="1270"/>
      <c r="N77" s="1270"/>
      <c r="O77" s="1270"/>
      <c r="P77" s="1270"/>
      <c r="Q77" s="1270"/>
      <c r="R77" s="1270"/>
      <c r="S77" s="1270"/>
      <c r="T77" s="1270"/>
      <c r="U77" s="1270"/>
      <c r="V77" s="1270"/>
      <c r="W77" s="1270"/>
      <c r="X77" s="1270"/>
      <c r="Y77" s="1270"/>
      <c r="Z77" s="1270"/>
      <c r="AA77" s="1270"/>
      <c r="AB77" s="1270"/>
      <c r="AC77" s="1270"/>
      <c r="AD77" s="1270"/>
      <c r="AE77" s="1270"/>
      <c r="AF77" s="1270"/>
    </row>
    <row r="78" spans="1:32" ht="39.75" customHeight="1" x14ac:dyDescent="0.3">
      <c r="A78" s="1082" t="s">
        <v>5360</v>
      </c>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2"/>
      <c r="AE78" s="1082"/>
      <c r="AF78" s="1082"/>
    </row>
    <row r="79" spans="1:32" ht="30" customHeight="1" x14ac:dyDescent="0.3">
      <c r="A79" s="1082" t="s">
        <v>5361</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x14ac:dyDescent="0.3">
      <c r="A80" s="1082" t="s">
        <v>5362</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30" customHeight="1" x14ac:dyDescent="0.3">
      <c r="A81" s="8"/>
      <c r="B81" s="8"/>
      <c r="C81" s="8"/>
      <c r="D81" s="8"/>
      <c r="E81" s="2"/>
      <c r="F81" s="2"/>
      <c r="G81" s="2"/>
      <c r="H81" s="2"/>
      <c r="I81" s="2"/>
      <c r="J81" s="2"/>
      <c r="K81" s="2"/>
      <c r="L81" s="2"/>
      <c r="M81" s="2"/>
      <c r="N81" s="2"/>
      <c r="O81" s="2"/>
      <c r="P81" s="148"/>
      <c r="Q81" s="148"/>
      <c r="R81" s="148"/>
      <c r="S81" s="148"/>
      <c r="T81" s="7"/>
      <c r="U81" s="7"/>
      <c r="V81" s="7"/>
      <c r="W81" s="7"/>
      <c r="X81" s="7"/>
      <c r="Y81" s="7"/>
      <c r="Z81" s="7"/>
      <c r="AA81" s="7"/>
      <c r="AB81" s="7"/>
      <c r="AC81" s="7"/>
      <c r="AD81" s="7"/>
      <c r="AE81" s="7"/>
      <c r="AF81" s="7"/>
    </row>
    <row r="82" spans="1:32" x14ac:dyDescent="0.3">
      <c r="A82" s="548" t="s">
        <v>5265</v>
      </c>
      <c r="B82" s="8"/>
      <c r="C82" s="8"/>
      <c r="D82" s="548"/>
      <c r="E82" s="548"/>
      <c r="F82" s="548"/>
      <c r="G82" s="548"/>
      <c r="H82" s="548"/>
      <c r="I82" s="548"/>
      <c r="J82" s="548"/>
      <c r="K82" s="548"/>
      <c r="L82" s="548"/>
      <c r="M82" s="548"/>
      <c r="N82" s="548"/>
      <c r="O82" s="548"/>
      <c r="P82" s="548"/>
      <c r="Q82" s="548"/>
      <c r="R82" s="548"/>
      <c r="S82" s="148"/>
      <c r="T82" s="7"/>
      <c r="U82" s="7"/>
      <c r="V82" s="7"/>
      <c r="W82" s="7"/>
      <c r="X82" s="7"/>
      <c r="Y82" s="7"/>
      <c r="Z82" s="7"/>
      <c r="AA82" s="7"/>
      <c r="AB82" s="7"/>
      <c r="AC82" s="7"/>
      <c r="AD82" s="7"/>
      <c r="AE82" s="7"/>
      <c r="AF82" s="7"/>
    </row>
    <row r="83" spans="1:32" ht="30.75" customHeight="1" x14ac:dyDescent="0.3">
      <c r="A83" s="2594" t="s">
        <v>3914</v>
      </c>
      <c r="B83" s="2594"/>
      <c r="C83" s="2594"/>
      <c r="D83" s="2594"/>
      <c r="E83" s="2594"/>
      <c r="F83" s="2594"/>
      <c r="G83" s="2594"/>
      <c r="H83" s="2594"/>
      <c r="I83" s="2594"/>
      <c r="J83" s="2594"/>
      <c r="K83" s="2594"/>
      <c r="L83" s="2594"/>
      <c r="M83" s="2594"/>
      <c r="N83" s="2594"/>
      <c r="O83" s="2594"/>
      <c r="P83" s="2594"/>
      <c r="Q83" s="2594"/>
      <c r="R83" s="2594"/>
      <c r="S83" s="2594" t="s">
        <v>5266</v>
      </c>
      <c r="T83" s="2594"/>
      <c r="U83" s="2594"/>
      <c r="V83" s="2594"/>
      <c r="W83" s="2594"/>
      <c r="X83" s="2594"/>
      <c r="Y83" s="2594"/>
      <c r="Z83" s="2594"/>
      <c r="AA83" s="2594"/>
      <c r="AB83" s="2594"/>
      <c r="AC83" s="2594"/>
      <c r="AD83" s="2594"/>
      <c r="AE83" s="2594"/>
      <c r="AF83" s="7"/>
    </row>
    <row r="84" spans="1:32" x14ac:dyDescent="0.3">
      <c r="A84" s="2595" t="s">
        <v>3915</v>
      </c>
      <c r="B84" s="2596"/>
      <c r="C84" s="2596"/>
      <c r="D84" s="2596"/>
      <c r="E84" s="2596"/>
      <c r="F84" s="2596"/>
      <c r="G84" s="2596"/>
      <c r="H84" s="2597"/>
      <c r="I84" s="2604" t="s">
        <v>5267</v>
      </c>
      <c r="J84" s="2605"/>
      <c r="K84" s="2605"/>
      <c r="L84" s="2605"/>
      <c r="M84" s="2605"/>
      <c r="N84" s="2605"/>
      <c r="O84" s="2605"/>
      <c r="P84" s="2605"/>
      <c r="Q84" s="2605"/>
      <c r="R84" s="2606"/>
      <c r="S84" s="2593" t="s">
        <v>5268</v>
      </c>
      <c r="T84" s="2593"/>
      <c r="U84" s="2593"/>
      <c r="V84" s="2593"/>
      <c r="W84" s="2593"/>
      <c r="X84" s="2593"/>
      <c r="Y84" s="2593"/>
      <c r="Z84" s="2593"/>
      <c r="AA84" s="2593"/>
      <c r="AB84" s="2593"/>
      <c r="AC84" s="2593"/>
      <c r="AD84" s="2593"/>
      <c r="AE84" s="2593"/>
      <c r="AF84" s="7"/>
    </row>
    <row r="85" spans="1:32" ht="31.5" customHeight="1" x14ac:dyDescent="0.3">
      <c r="A85" s="2598"/>
      <c r="B85" s="2599"/>
      <c r="C85" s="2599"/>
      <c r="D85" s="2599"/>
      <c r="E85" s="2599"/>
      <c r="F85" s="2599"/>
      <c r="G85" s="2599"/>
      <c r="H85" s="2600"/>
      <c r="I85" s="2604" t="s">
        <v>5269</v>
      </c>
      <c r="J85" s="2605"/>
      <c r="K85" s="2605"/>
      <c r="L85" s="2605"/>
      <c r="M85" s="2605"/>
      <c r="N85" s="2605"/>
      <c r="O85" s="2605"/>
      <c r="P85" s="2605"/>
      <c r="Q85" s="2605"/>
      <c r="R85" s="2606"/>
      <c r="S85" s="2592" t="s">
        <v>5270</v>
      </c>
      <c r="T85" s="2592"/>
      <c r="U85" s="2592"/>
      <c r="V85" s="2592"/>
      <c r="W85" s="2592"/>
      <c r="X85" s="2592"/>
      <c r="Y85" s="2592"/>
      <c r="Z85" s="2592"/>
      <c r="AA85" s="2592"/>
      <c r="AB85" s="2592"/>
      <c r="AC85" s="2592"/>
      <c r="AD85" s="2592"/>
      <c r="AE85" s="2592"/>
      <c r="AF85" s="7"/>
    </row>
    <row r="86" spans="1:32" x14ac:dyDescent="0.3">
      <c r="A86" s="2601"/>
      <c r="B86" s="2602"/>
      <c r="C86" s="2602"/>
      <c r="D86" s="2602"/>
      <c r="E86" s="2602"/>
      <c r="F86" s="2602"/>
      <c r="G86" s="2602"/>
      <c r="H86" s="2603"/>
      <c r="I86" s="2604" t="s">
        <v>5271</v>
      </c>
      <c r="J86" s="2605"/>
      <c r="K86" s="2605"/>
      <c r="L86" s="2605"/>
      <c r="M86" s="2605"/>
      <c r="N86" s="2605"/>
      <c r="O86" s="2605"/>
      <c r="P86" s="2605"/>
      <c r="Q86" s="2605"/>
      <c r="R86" s="2606"/>
      <c r="S86" s="2593" t="s">
        <v>5270</v>
      </c>
      <c r="T86" s="2593"/>
      <c r="U86" s="2593"/>
      <c r="V86" s="2593"/>
      <c r="W86" s="2593"/>
      <c r="X86" s="2593"/>
      <c r="Y86" s="2593"/>
      <c r="Z86" s="2593"/>
      <c r="AA86" s="2593"/>
      <c r="AB86" s="2593"/>
      <c r="AC86" s="2593"/>
      <c r="AD86" s="2593"/>
      <c r="AE86" s="2593"/>
      <c r="AF86" s="7"/>
    </row>
    <row r="87" spans="1:32" x14ac:dyDescent="0.3">
      <c r="A87" s="2592" t="s">
        <v>3916</v>
      </c>
      <c r="B87" s="2592"/>
      <c r="C87" s="2592"/>
      <c r="D87" s="2592"/>
      <c r="E87" s="2592"/>
      <c r="F87" s="2592"/>
      <c r="G87" s="2592"/>
      <c r="H87" s="2592"/>
      <c r="I87" s="2592"/>
      <c r="J87" s="2592"/>
      <c r="K87" s="2592"/>
      <c r="L87" s="2592"/>
      <c r="M87" s="2592"/>
      <c r="N87" s="2592"/>
      <c r="O87" s="2592"/>
      <c r="P87" s="2592"/>
      <c r="Q87" s="2592"/>
      <c r="R87" s="2592"/>
      <c r="S87" s="2593" t="s">
        <v>3917</v>
      </c>
      <c r="T87" s="2593"/>
      <c r="U87" s="2593"/>
      <c r="V87" s="2593"/>
      <c r="W87" s="2593"/>
      <c r="X87" s="2593"/>
      <c r="Y87" s="2593"/>
      <c r="Z87" s="2593"/>
      <c r="AA87" s="2593"/>
      <c r="AB87" s="2593"/>
      <c r="AC87" s="2593"/>
      <c r="AD87" s="2593"/>
      <c r="AE87" s="2593"/>
      <c r="AF87" s="7"/>
    </row>
    <row r="88" spans="1:32" x14ac:dyDescent="0.3">
      <c r="A88" s="2592" t="s">
        <v>3918</v>
      </c>
      <c r="B88" s="2592"/>
      <c r="C88" s="2592"/>
      <c r="D88" s="2592"/>
      <c r="E88" s="2592"/>
      <c r="F88" s="2592"/>
      <c r="G88" s="2592"/>
      <c r="H88" s="2592"/>
      <c r="I88" s="2592"/>
      <c r="J88" s="2592"/>
      <c r="K88" s="2592"/>
      <c r="L88" s="2592"/>
      <c r="M88" s="2592"/>
      <c r="N88" s="2592"/>
      <c r="O88" s="2592"/>
      <c r="P88" s="2592"/>
      <c r="Q88" s="2592"/>
      <c r="R88" s="2592"/>
      <c r="S88" s="2593" t="s">
        <v>3919</v>
      </c>
      <c r="T88" s="2593"/>
      <c r="U88" s="2593"/>
      <c r="V88" s="2593"/>
      <c r="W88" s="2593"/>
      <c r="X88" s="2593"/>
      <c r="Y88" s="2593"/>
      <c r="Z88" s="2593"/>
      <c r="AA88" s="2593"/>
      <c r="AB88" s="2593"/>
      <c r="AC88" s="2593"/>
      <c r="AD88" s="2593"/>
      <c r="AE88" s="2593"/>
      <c r="AF88" s="7"/>
    </row>
    <row r="89" spans="1:32" x14ac:dyDescent="0.3">
      <c r="A89" s="2592" t="s">
        <v>3920</v>
      </c>
      <c r="B89" s="2592"/>
      <c r="C89" s="2592"/>
      <c r="D89" s="2592"/>
      <c r="E89" s="2592"/>
      <c r="F89" s="2592"/>
      <c r="G89" s="2592"/>
      <c r="H89" s="2592"/>
      <c r="I89" s="2592"/>
      <c r="J89" s="2592"/>
      <c r="K89" s="2592"/>
      <c r="L89" s="2592"/>
      <c r="M89" s="2592"/>
      <c r="N89" s="2592"/>
      <c r="O89" s="2592"/>
      <c r="P89" s="2592"/>
      <c r="Q89" s="2592"/>
      <c r="R89" s="2592"/>
      <c r="S89" s="2593" t="s">
        <v>3921</v>
      </c>
      <c r="T89" s="2593"/>
      <c r="U89" s="2593"/>
      <c r="V89" s="2593"/>
      <c r="W89" s="2593"/>
      <c r="X89" s="2593"/>
      <c r="Y89" s="2593"/>
      <c r="Z89" s="2593"/>
      <c r="AA89" s="2593"/>
      <c r="AB89" s="2593"/>
      <c r="AC89" s="2593"/>
      <c r="AD89" s="2593"/>
      <c r="AE89" s="2593"/>
      <c r="AF89" s="7"/>
    </row>
    <row r="90" spans="1:32" ht="59.25" customHeight="1" x14ac:dyDescent="0.3">
      <c r="A90" s="2592" t="s">
        <v>3922</v>
      </c>
      <c r="B90" s="2592"/>
      <c r="C90" s="2592"/>
      <c r="D90" s="2592"/>
      <c r="E90" s="2592"/>
      <c r="F90" s="2592"/>
      <c r="G90" s="2592"/>
      <c r="H90" s="2592"/>
      <c r="I90" s="2592"/>
      <c r="J90" s="2592"/>
      <c r="K90" s="2592"/>
      <c r="L90" s="2592"/>
      <c r="M90" s="2592"/>
      <c r="N90" s="2592"/>
      <c r="O90" s="2592"/>
      <c r="P90" s="2592"/>
      <c r="Q90" s="2592"/>
      <c r="R90" s="2592"/>
      <c r="S90" s="2593" t="s">
        <v>3923</v>
      </c>
      <c r="T90" s="2593"/>
      <c r="U90" s="2593"/>
      <c r="V90" s="2593"/>
      <c r="W90" s="2593"/>
      <c r="X90" s="2593"/>
      <c r="Y90" s="2593"/>
      <c r="Z90" s="2593"/>
      <c r="AA90" s="2593"/>
      <c r="AB90" s="2593"/>
      <c r="AC90" s="2593"/>
      <c r="AD90" s="2593"/>
      <c r="AE90" s="2593"/>
      <c r="AF90" s="7"/>
    </row>
    <row r="91" spans="1:32" ht="42" customHeight="1" x14ac:dyDescent="0.3">
      <c r="A91" s="998" t="s">
        <v>5272</v>
      </c>
      <c r="B91" s="998"/>
      <c r="C91" s="998"/>
      <c r="D91" s="998"/>
      <c r="E91" s="998"/>
      <c r="F91" s="998"/>
      <c r="G91" s="998"/>
      <c r="H91" s="998"/>
      <c r="I91" s="998"/>
      <c r="J91" s="998"/>
      <c r="K91" s="998"/>
      <c r="L91" s="998"/>
      <c r="M91" s="998"/>
      <c r="N91" s="998"/>
      <c r="O91" s="998"/>
      <c r="P91" s="998"/>
      <c r="Q91" s="998"/>
      <c r="R91" s="998"/>
      <c r="S91" s="998"/>
      <c r="T91" s="998"/>
      <c r="U91" s="998"/>
      <c r="V91" s="998"/>
      <c r="W91" s="998"/>
      <c r="X91" s="998"/>
      <c r="Y91" s="998"/>
      <c r="Z91" s="998"/>
      <c r="AA91" s="998"/>
      <c r="AB91" s="998"/>
      <c r="AC91" s="998"/>
      <c r="AD91" s="998"/>
      <c r="AE91" s="998"/>
      <c r="AF91" s="7"/>
    </row>
    <row r="92" spans="1:32" x14ac:dyDescent="0.3">
      <c r="A92" s="8"/>
      <c r="B92" s="8"/>
      <c r="C92" s="8"/>
      <c r="D92" s="8"/>
      <c r="E92" s="2"/>
      <c r="F92" s="2"/>
      <c r="G92" s="2"/>
      <c r="H92" s="2"/>
      <c r="I92" s="2"/>
      <c r="J92" s="2"/>
      <c r="K92" s="2"/>
      <c r="L92" s="2"/>
      <c r="M92" s="2"/>
      <c r="N92" s="2"/>
      <c r="O92" s="2"/>
      <c r="P92" s="148"/>
      <c r="Q92" s="148"/>
      <c r="R92" s="148"/>
      <c r="S92" s="148"/>
      <c r="T92" s="7"/>
      <c r="U92" s="7"/>
      <c r="V92" s="7"/>
      <c r="W92" s="7"/>
      <c r="X92" s="7"/>
      <c r="Y92" s="7"/>
      <c r="Z92" s="7"/>
      <c r="AA92" s="7"/>
      <c r="AB92" s="7"/>
      <c r="AC92" s="7"/>
      <c r="AD92" s="7"/>
      <c r="AE92" s="7"/>
      <c r="AF92" s="7"/>
    </row>
    <row r="93" spans="1:32" ht="15.6" x14ac:dyDescent="0.3">
      <c r="A93" s="3" t="s">
        <v>5363</v>
      </c>
      <c r="B93" s="3"/>
      <c r="C93" s="8"/>
      <c r="D93" s="8"/>
      <c r="E93" s="2"/>
      <c r="F93" s="2"/>
      <c r="G93" s="2"/>
      <c r="H93" s="2"/>
      <c r="I93" s="2"/>
      <c r="J93" s="2"/>
      <c r="K93" s="2"/>
      <c r="L93" s="2"/>
      <c r="M93" s="2"/>
      <c r="N93" s="2"/>
      <c r="O93" s="3" t="s">
        <v>5364</v>
      </c>
      <c r="P93" s="148"/>
      <c r="Q93" s="148"/>
      <c r="R93" s="148"/>
      <c r="S93" s="148"/>
      <c r="T93" s="7"/>
      <c r="U93" s="7"/>
      <c r="V93" s="7"/>
      <c r="W93" s="7"/>
      <c r="X93" s="7"/>
      <c r="Y93" s="7"/>
      <c r="Z93" s="7"/>
      <c r="AA93" s="7"/>
      <c r="AB93" s="7"/>
      <c r="AC93" s="7"/>
      <c r="AD93" s="7"/>
      <c r="AE93" s="7"/>
      <c r="AF93" s="7"/>
    </row>
    <row r="94" spans="1:32" ht="33.75" customHeight="1" x14ac:dyDescent="0.3">
      <c r="A94" s="1259" t="s">
        <v>1487</v>
      </c>
      <c r="B94" s="1260"/>
      <c r="C94" s="1260"/>
      <c r="D94" s="1260"/>
      <c r="E94" s="1260"/>
      <c r="F94" s="1260"/>
      <c r="G94" s="1421"/>
      <c r="H94" s="3267" t="s">
        <v>1485</v>
      </c>
      <c r="I94" s="3267"/>
      <c r="J94" s="3267"/>
      <c r="K94" s="3267"/>
      <c r="L94" s="225"/>
      <c r="M94" s="224"/>
      <c r="N94" s="224"/>
      <c r="O94" s="1143" t="s">
        <v>1494</v>
      </c>
      <c r="P94" s="1143"/>
      <c r="Q94" s="1143"/>
      <c r="R94" s="1143" t="s">
        <v>1495</v>
      </c>
      <c r="S94" s="1143"/>
      <c r="T94" s="1143"/>
      <c r="U94" s="1143"/>
      <c r="V94" s="1143"/>
      <c r="W94" s="1143"/>
      <c r="X94" s="1143"/>
      <c r="Y94" s="1143"/>
      <c r="Z94" s="1143"/>
      <c r="AA94" s="1143"/>
      <c r="AB94" s="1143"/>
      <c r="AC94" s="1143"/>
      <c r="AD94" s="1143"/>
      <c r="AE94" s="224"/>
      <c r="AF94" s="224"/>
    </row>
    <row r="95" spans="1:32" ht="21" customHeight="1" x14ac:dyDescent="0.3">
      <c r="A95" s="3261" t="s">
        <v>1486</v>
      </c>
      <c r="B95" s="3262"/>
      <c r="C95" s="3262"/>
      <c r="D95" s="3262"/>
      <c r="E95" s="3262"/>
      <c r="F95" s="3262"/>
      <c r="G95" s="3263"/>
      <c r="H95" s="3264">
        <v>3.16</v>
      </c>
      <c r="I95" s="3264"/>
      <c r="J95" s="3264"/>
      <c r="K95" s="3264"/>
      <c r="L95" s="225"/>
      <c r="M95" s="224"/>
      <c r="N95" s="224"/>
      <c r="O95" s="1143"/>
      <c r="P95" s="1143"/>
      <c r="Q95" s="1143"/>
      <c r="R95" s="1143" t="s">
        <v>3424</v>
      </c>
      <c r="S95" s="1143"/>
      <c r="T95" s="1143"/>
      <c r="U95" s="1143" t="s">
        <v>2990</v>
      </c>
      <c r="V95" s="1143"/>
      <c r="W95" s="1143"/>
      <c r="X95" s="1143" t="s">
        <v>658</v>
      </c>
      <c r="Y95" s="1143"/>
      <c r="Z95" s="1143"/>
      <c r="AA95" s="1143" t="s">
        <v>1486</v>
      </c>
      <c r="AB95" s="1143"/>
      <c r="AC95" s="1143"/>
      <c r="AD95" s="1143"/>
      <c r="AE95" s="224"/>
      <c r="AF95" s="224"/>
    </row>
    <row r="96" spans="1:32" ht="30" customHeight="1" x14ac:dyDescent="0.3">
      <c r="A96" s="3261" t="s">
        <v>2847</v>
      </c>
      <c r="B96" s="3262"/>
      <c r="C96" s="3262"/>
      <c r="D96" s="3262"/>
      <c r="E96" s="3262"/>
      <c r="F96" s="3262"/>
      <c r="G96" s="3263"/>
      <c r="H96" s="3264">
        <v>2.56</v>
      </c>
      <c r="I96" s="3264"/>
      <c r="J96" s="3264"/>
      <c r="K96" s="3264"/>
      <c r="L96" s="225"/>
      <c r="M96" s="224"/>
      <c r="N96" s="224"/>
      <c r="O96" s="1275" t="s">
        <v>235</v>
      </c>
      <c r="P96" s="1275"/>
      <c r="Q96" s="1275"/>
      <c r="R96" s="1269">
        <v>3569</v>
      </c>
      <c r="S96" s="1269"/>
      <c r="T96" s="1269"/>
      <c r="U96" s="1269">
        <v>3564</v>
      </c>
      <c r="V96" s="1269"/>
      <c r="W96" s="1269"/>
      <c r="X96" s="1269">
        <v>3567</v>
      </c>
      <c r="Y96" s="1269"/>
      <c r="Z96" s="1269"/>
      <c r="AA96" s="1269">
        <v>3564</v>
      </c>
      <c r="AB96" s="1269"/>
      <c r="AC96" s="1269"/>
      <c r="AD96" s="1269"/>
      <c r="AE96" s="224"/>
      <c r="AF96" s="224"/>
    </row>
    <row r="97" spans="1:32" ht="31.5" customHeight="1" x14ac:dyDescent="0.3">
      <c r="A97" s="3261" t="s">
        <v>2995</v>
      </c>
      <c r="B97" s="3262"/>
      <c r="C97" s="3262"/>
      <c r="D97" s="3262"/>
      <c r="E97" s="3262"/>
      <c r="F97" s="3262"/>
      <c r="G97" s="3263"/>
      <c r="H97" s="3264">
        <v>2.96</v>
      </c>
      <c r="I97" s="3264"/>
      <c r="J97" s="3264"/>
      <c r="K97" s="3264"/>
      <c r="L97" s="225"/>
      <c r="M97" s="224"/>
      <c r="N97" s="224"/>
      <c r="O97" s="1275" t="s">
        <v>21</v>
      </c>
      <c r="P97" s="1275"/>
      <c r="Q97" s="1275"/>
      <c r="R97" s="1275">
        <v>0.53</v>
      </c>
      <c r="S97" s="1275"/>
      <c r="T97" s="1275"/>
      <c r="U97" s="1243">
        <v>0.53</v>
      </c>
      <c r="V97" s="1244"/>
      <c r="W97" s="1245"/>
      <c r="X97" s="1243">
        <v>0.53</v>
      </c>
      <c r="Y97" s="1244"/>
      <c r="Z97" s="1245"/>
      <c r="AA97" s="1275">
        <v>0.53</v>
      </c>
      <c r="AB97" s="1275"/>
      <c r="AC97" s="1275"/>
      <c r="AD97" s="1275"/>
      <c r="AE97" s="224"/>
      <c r="AF97" s="224"/>
    </row>
    <row r="98" spans="1:32" ht="30" customHeight="1" x14ac:dyDescent="0.3">
      <c r="A98" s="3261" t="s">
        <v>1488</v>
      </c>
      <c r="B98" s="3262"/>
      <c r="C98" s="3262"/>
      <c r="D98" s="3262"/>
      <c r="E98" s="3262"/>
      <c r="F98" s="3262"/>
      <c r="G98" s="3263"/>
      <c r="H98" s="3264">
        <v>3.04</v>
      </c>
      <c r="I98" s="3264"/>
      <c r="J98" s="3264"/>
      <c r="K98" s="3264"/>
      <c r="L98" s="225"/>
      <c r="M98" s="224"/>
      <c r="N98" s="224"/>
      <c r="O98" s="1275" t="s">
        <v>5365</v>
      </c>
      <c r="P98" s="1275"/>
      <c r="Q98" s="1275"/>
      <c r="R98" s="1275">
        <v>75</v>
      </c>
      <c r="S98" s="1275"/>
      <c r="T98" s="1275"/>
      <c r="U98" s="1243">
        <v>75</v>
      </c>
      <c r="V98" s="1244"/>
      <c r="W98" s="1245"/>
      <c r="X98" s="1243">
        <v>71</v>
      </c>
      <c r="Y98" s="1244"/>
      <c r="Z98" s="1245"/>
      <c r="AA98" s="1275">
        <v>75</v>
      </c>
      <c r="AB98" s="1275"/>
      <c r="AC98" s="1275"/>
      <c r="AD98" s="1275"/>
      <c r="AE98" s="224"/>
      <c r="AF98" s="224"/>
    </row>
    <row r="99" spans="1:32" ht="31.5" customHeight="1" x14ac:dyDescent="0.3">
      <c r="A99" s="3261" t="s">
        <v>1490</v>
      </c>
      <c r="B99" s="3262"/>
      <c r="C99" s="3262"/>
      <c r="D99" s="3262"/>
      <c r="E99" s="3262"/>
      <c r="F99" s="3262"/>
      <c r="G99" s="3263"/>
      <c r="H99" s="3264">
        <v>3.16</v>
      </c>
      <c r="I99" s="3264"/>
      <c r="J99" s="3264"/>
      <c r="K99" s="3264"/>
      <c r="L99" s="225"/>
      <c r="M99" s="224"/>
      <c r="N99" s="224"/>
      <c r="O99" s="2"/>
      <c r="P99" s="148"/>
      <c r="Q99" s="148"/>
      <c r="R99" s="148"/>
      <c r="S99" s="148"/>
      <c r="T99" s="7"/>
      <c r="U99" s="7"/>
      <c r="V99" s="7"/>
      <c r="W99" s="7"/>
      <c r="X99" s="7"/>
      <c r="Y99" s="7"/>
      <c r="Z99" s="7"/>
      <c r="AA99" s="7"/>
      <c r="AB99" s="7"/>
      <c r="AC99" s="7"/>
      <c r="AD99" s="7"/>
      <c r="AE99" s="224"/>
      <c r="AF99" s="224"/>
    </row>
    <row r="100" spans="1:32" ht="31.5" customHeight="1" x14ac:dyDescent="0.3">
      <c r="A100" s="3261" t="s">
        <v>1491</v>
      </c>
      <c r="B100" s="3262"/>
      <c r="C100" s="3262"/>
      <c r="D100" s="3262"/>
      <c r="E100" s="3262"/>
      <c r="F100" s="3262"/>
      <c r="G100" s="3263"/>
      <c r="H100" s="3264">
        <v>2.34</v>
      </c>
      <c r="I100" s="3264"/>
      <c r="J100" s="3264"/>
      <c r="K100" s="3264"/>
      <c r="L100" s="225"/>
      <c r="M100" s="224"/>
      <c r="N100" s="224"/>
      <c r="O100" s="2"/>
      <c r="P100" s="148"/>
      <c r="Q100" s="148"/>
      <c r="R100" s="148"/>
      <c r="S100" s="148"/>
      <c r="T100" s="7"/>
      <c r="U100" s="7"/>
      <c r="V100" s="7"/>
      <c r="W100" s="7"/>
      <c r="X100" s="7"/>
      <c r="Y100" s="7"/>
      <c r="Z100" s="7"/>
      <c r="AA100" s="7"/>
      <c r="AB100" s="7"/>
      <c r="AC100" s="7"/>
      <c r="AD100" s="7"/>
      <c r="AE100" s="224"/>
      <c r="AF100" s="224"/>
    </row>
    <row r="101" spans="1:32" ht="30.75" customHeight="1" x14ac:dyDescent="0.3">
      <c r="A101" s="1151" t="s">
        <v>1489</v>
      </c>
      <c r="B101" s="1152"/>
      <c r="C101" s="1152"/>
      <c r="D101" s="1152"/>
      <c r="E101" s="1152"/>
      <c r="F101" s="1152"/>
      <c r="G101" s="1153"/>
      <c r="H101" s="3264">
        <v>3.82</v>
      </c>
      <c r="I101" s="3264"/>
      <c r="J101" s="3264"/>
      <c r="K101" s="3264"/>
      <c r="L101" s="225"/>
      <c r="M101" s="230"/>
      <c r="N101" s="230"/>
      <c r="O101" s="229"/>
      <c r="P101" s="229"/>
      <c r="Q101" s="229"/>
      <c r="R101" s="229"/>
      <c r="S101" s="229"/>
      <c r="T101" s="229"/>
      <c r="U101" s="229"/>
      <c r="V101" s="229"/>
      <c r="W101" s="229"/>
      <c r="X101" s="229"/>
      <c r="Y101" s="229"/>
      <c r="Z101" s="229"/>
      <c r="AA101" s="229"/>
      <c r="AB101" s="229"/>
      <c r="AC101" s="229"/>
      <c r="AD101" s="229"/>
      <c r="AE101" s="229"/>
      <c r="AF101" s="224"/>
    </row>
    <row r="102" spans="1:32" x14ac:dyDescent="0.3">
      <c r="A102" s="1166" t="s">
        <v>366</v>
      </c>
      <c r="B102" s="1167"/>
      <c r="C102" s="1167"/>
      <c r="D102" s="1167"/>
      <c r="E102" s="1167"/>
      <c r="F102" s="1167"/>
      <c r="G102" s="1168"/>
      <c r="H102" s="3264" t="s">
        <v>5758</v>
      </c>
      <c r="I102" s="3264"/>
      <c r="J102" s="3264"/>
      <c r="K102" s="3264"/>
      <c r="L102" s="225"/>
      <c r="M102" s="230"/>
      <c r="N102" s="230"/>
      <c r="O102" s="229"/>
      <c r="P102" s="229"/>
      <c r="Q102" s="229"/>
      <c r="R102" s="229"/>
      <c r="S102" s="229"/>
      <c r="T102" s="229"/>
      <c r="U102" s="229"/>
      <c r="V102" s="229"/>
      <c r="W102" s="229"/>
      <c r="X102" s="229"/>
      <c r="Y102" s="229"/>
      <c r="Z102" s="229"/>
      <c r="AA102" s="229"/>
      <c r="AB102" s="229"/>
      <c r="AC102" s="229"/>
      <c r="AD102" s="229"/>
      <c r="AE102" s="229"/>
      <c r="AF102" s="224"/>
    </row>
    <row r="103" spans="1:32" x14ac:dyDescent="0.3">
      <c r="A103" s="3265" t="s">
        <v>1492</v>
      </c>
      <c r="B103" s="3265"/>
      <c r="C103" s="3265"/>
      <c r="D103" s="3265"/>
      <c r="E103" s="3265"/>
      <c r="F103" s="3265"/>
      <c r="G103" s="3265"/>
      <c r="H103" s="3265"/>
      <c r="I103" s="3265"/>
      <c r="J103" s="3265"/>
      <c r="K103" s="3265"/>
      <c r="L103" s="2"/>
      <c r="M103" s="2"/>
      <c r="N103" s="2"/>
      <c r="O103" s="2"/>
      <c r="P103" s="148"/>
      <c r="Q103" s="148"/>
      <c r="R103" s="148"/>
      <c r="S103" s="148"/>
      <c r="T103" s="7"/>
      <c r="U103" s="7"/>
      <c r="V103" s="7"/>
      <c r="W103" s="7"/>
      <c r="X103" s="7"/>
      <c r="Y103" s="7"/>
      <c r="Z103" s="7"/>
      <c r="AA103" s="7"/>
      <c r="AB103" s="7"/>
      <c r="AC103" s="7"/>
      <c r="AD103" s="7"/>
      <c r="AE103" s="7"/>
      <c r="AF103" s="7"/>
    </row>
    <row r="104" spans="1:32" x14ac:dyDescent="0.3">
      <c r="A104" s="3266" t="s">
        <v>1493</v>
      </c>
      <c r="B104" s="3266"/>
      <c r="C104" s="3266"/>
      <c r="D104" s="3266"/>
      <c r="E104" s="3266"/>
      <c r="F104" s="3266"/>
      <c r="G104" s="3266"/>
      <c r="H104" s="3266"/>
      <c r="I104" s="3266"/>
      <c r="J104" s="3266"/>
      <c r="K104" s="3266"/>
      <c r="L104" s="2"/>
      <c r="M104" s="2"/>
      <c r="N104" s="2"/>
      <c r="O104" s="2"/>
      <c r="P104" s="148"/>
      <c r="Q104" s="148"/>
      <c r="R104" s="148"/>
      <c r="S104" s="148"/>
      <c r="T104" s="7"/>
      <c r="U104" s="7"/>
      <c r="V104" s="7"/>
      <c r="W104" s="7"/>
      <c r="X104" s="7"/>
      <c r="Y104" s="7"/>
      <c r="Z104" s="7"/>
      <c r="AA104" s="7"/>
      <c r="AB104" s="7"/>
      <c r="AC104" s="7"/>
      <c r="AD104" s="7"/>
      <c r="AE104" s="7"/>
      <c r="AF104" s="7"/>
    </row>
    <row r="105" spans="1:32" x14ac:dyDescent="0.3">
      <c r="A105" s="113"/>
      <c r="B105" s="8"/>
      <c r="C105" s="8"/>
      <c r="D105" s="8"/>
      <c r="E105" s="2"/>
      <c r="F105" s="2"/>
      <c r="G105" s="2"/>
      <c r="H105" s="2"/>
      <c r="I105" s="2"/>
      <c r="J105" s="2"/>
      <c r="K105" s="2"/>
      <c r="L105" s="2"/>
      <c r="M105" s="2"/>
      <c r="N105" s="2"/>
      <c r="O105" s="2"/>
      <c r="P105" s="148"/>
      <c r="Q105" s="547"/>
      <c r="R105" s="148"/>
      <c r="S105" s="148"/>
      <c r="T105" s="7"/>
      <c r="U105" s="7"/>
      <c r="V105" s="7"/>
      <c r="W105" s="7"/>
      <c r="X105" s="7"/>
      <c r="Y105" s="7"/>
      <c r="Z105" s="7"/>
      <c r="AA105" s="7"/>
      <c r="AB105" s="7"/>
      <c r="AC105" s="7"/>
      <c r="AD105" s="7"/>
      <c r="AE105" s="7"/>
      <c r="AF105" s="7"/>
    </row>
    <row r="106" spans="1:32" x14ac:dyDescent="0.3">
      <c r="M106" s="319"/>
      <c r="N106" s="319"/>
      <c r="O106" s="319"/>
      <c r="P106" s="319"/>
      <c r="Q106" s="319"/>
      <c r="R106" s="319"/>
      <c r="S106" s="319"/>
      <c r="T106" s="319"/>
      <c r="U106" s="319"/>
      <c r="V106" s="319"/>
      <c r="W106" s="319"/>
      <c r="X106" s="319"/>
    </row>
    <row r="107" spans="1:32" x14ac:dyDescent="0.3">
      <c r="A107" s="1141" t="s">
        <v>14</v>
      </c>
      <c r="B107" s="1141"/>
      <c r="C107" s="1141"/>
      <c r="D107" s="1141"/>
      <c r="E107" s="1141"/>
      <c r="F107" s="1141"/>
      <c r="G107" s="1141"/>
      <c r="H107" s="1141"/>
      <c r="I107" s="1141"/>
      <c r="J107" s="1141"/>
      <c r="K107" s="1141"/>
      <c r="L107" s="1141"/>
      <c r="M107" s="1141"/>
      <c r="N107" s="1141"/>
      <c r="O107" s="1141"/>
      <c r="P107" s="1141"/>
      <c r="Q107" s="1141"/>
      <c r="R107" s="1141"/>
      <c r="S107" s="1141"/>
      <c r="T107" s="1141"/>
      <c r="U107" s="1141"/>
      <c r="V107" s="1141"/>
      <c r="W107" s="1141"/>
      <c r="X107" s="1141"/>
      <c r="Y107" s="1141"/>
      <c r="Z107" s="1141"/>
      <c r="AA107" s="1141"/>
      <c r="AB107" s="1141"/>
      <c r="AC107" s="1141"/>
      <c r="AD107" s="1141"/>
      <c r="AE107" s="1141"/>
      <c r="AF107" s="1141"/>
    </row>
    <row r="109" spans="1:32" x14ac:dyDescent="0.3">
      <c r="B109" s="232" t="s">
        <v>1496</v>
      </c>
      <c r="S109" s="1"/>
    </row>
    <row r="110" spans="1:32" ht="16.2" thickBot="1" x14ac:dyDescent="0.35">
      <c r="A110" s="21"/>
      <c r="B110" s="21"/>
      <c r="C110" s="21"/>
      <c r="D110" s="21"/>
      <c r="E110" s="21"/>
      <c r="F110" s="21"/>
      <c r="G110" s="21"/>
      <c r="H110" s="21"/>
      <c r="I110" s="21"/>
    </row>
    <row r="111" spans="1:32" ht="32.25" customHeight="1" x14ac:dyDescent="0.3">
      <c r="A111" s="1252" t="s">
        <v>15</v>
      </c>
      <c r="B111" s="1253"/>
      <c r="C111" s="1253"/>
      <c r="D111" s="1253"/>
      <c r="E111" s="1253"/>
      <c r="F111" s="1253"/>
      <c r="G111" s="1253"/>
      <c r="H111" s="1253"/>
      <c r="I111" s="1278" t="s">
        <v>2780</v>
      </c>
      <c r="J111" s="1253"/>
      <c r="K111" s="1253"/>
      <c r="L111" s="1253"/>
      <c r="M111" s="1253"/>
      <c r="N111" s="1253"/>
      <c r="O111" s="1253"/>
      <c r="P111" s="1253"/>
      <c r="Q111" s="1278" t="s">
        <v>2776</v>
      </c>
      <c r="R111" s="1253"/>
      <c r="S111" s="1253"/>
      <c r="T111" s="1253"/>
      <c r="U111" s="1253"/>
      <c r="V111" s="1253"/>
      <c r="W111" s="1253"/>
      <c r="X111" s="1253"/>
      <c r="Y111" s="1278" t="s">
        <v>1554</v>
      </c>
      <c r="Z111" s="1253"/>
      <c r="AA111" s="1253"/>
      <c r="AB111" s="1253"/>
      <c r="AC111" s="1253"/>
      <c r="AD111" s="1253"/>
      <c r="AE111" s="1253"/>
      <c r="AF111" s="1254"/>
    </row>
    <row r="112" spans="1:32" ht="30.75" customHeight="1" x14ac:dyDescent="0.3">
      <c r="A112" s="1635" t="s">
        <v>5366</v>
      </c>
      <c r="B112" s="1593"/>
      <c r="C112" s="1593"/>
      <c r="D112" s="1593"/>
      <c r="E112" s="1593"/>
      <c r="F112" s="1593"/>
      <c r="G112" s="1593"/>
      <c r="H112" s="1593"/>
      <c r="I112" s="2685">
        <f>ROUND(Q112*$AA$97/$AA$96,3)</f>
        <v>0.253</v>
      </c>
      <c r="J112" s="2685"/>
      <c r="K112" s="2685"/>
      <c r="L112" s="2685"/>
      <c r="M112" s="2685"/>
      <c r="N112" s="2685"/>
      <c r="O112" s="2685"/>
      <c r="P112" s="2685"/>
      <c r="Q112" s="2615">
        <f>ROUND(((1/(0.9254-0.0003*50))-(1/P66))*$P$68*$H$95*365.25*$P$70*$P$71*($P$72-$AA$98)/3412,2)</f>
        <v>1702.64</v>
      </c>
      <c r="R112" s="2616"/>
      <c r="S112" s="2616"/>
      <c r="T112" s="2616"/>
      <c r="U112" s="2616"/>
      <c r="V112" s="2616"/>
      <c r="W112" s="2616"/>
      <c r="X112" s="2617"/>
      <c r="Y112" s="2618">
        <f>ROUND(Q112*$P$76,2)</f>
        <v>17026.400000000001</v>
      </c>
      <c r="Z112" s="2618"/>
      <c r="AA112" s="2618"/>
      <c r="AB112" s="2618"/>
      <c r="AC112" s="2618"/>
      <c r="AD112" s="2618"/>
      <c r="AE112" s="2618"/>
      <c r="AF112" s="2619"/>
    </row>
    <row r="113" spans="1:32" ht="31.5" customHeight="1" thickBot="1" x14ac:dyDescent="0.35">
      <c r="A113" s="2918" t="s">
        <v>5367</v>
      </c>
      <c r="B113" s="2919"/>
      <c r="C113" s="2919"/>
      <c r="D113" s="2919"/>
      <c r="E113" s="2919"/>
      <c r="F113" s="2919"/>
      <c r="G113" s="2919"/>
      <c r="H113" s="2919"/>
      <c r="I113" s="2761">
        <f>ROUND(Q113*$AA$97/$AA$96,3)</f>
        <v>6.8000000000000005E-2</v>
      </c>
      <c r="J113" s="2761"/>
      <c r="K113" s="2761"/>
      <c r="L113" s="2761"/>
      <c r="M113" s="2761"/>
      <c r="N113" s="2761"/>
      <c r="O113" s="2761"/>
      <c r="P113" s="2761"/>
      <c r="Q113" s="2623">
        <f>ROUND(((1/(2.044-0.0011*60))-(1/P67))*$P$68*$H$95*365.25*$P$70*$P$71*($P$72-$AA$98)/3412,2)</f>
        <v>454.22</v>
      </c>
      <c r="R113" s="2624"/>
      <c r="S113" s="2624"/>
      <c r="T113" s="2624"/>
      <c r="U113" s="2624"/>
      <c r="V113" s="2624"/>
      <c r="W113" s="2624"/>
      <c r="X113" s="2625"/>
      <c r="Y113" s="2626">
        <f>ROUND(Q113*$P$76,2)</f>
        <v>4542.2</v>
      </c>
      <c r="Z113" s="2626"/>
      <c r="AA113" s="2626"/>
      <c r="AB113" s="2626"/>
      <c r="AC113" s="2626"/>
      <c r="AD113" s="2626"/>
      <c r="AE113" s="2626"/>
      <c r="AF113" s="2627"/>
    </row>
    <row r="115" spans="1:32" x14ac:dyDescent="0.3">
      <c r="B115" s="232" t="s">
        <v>1497</v>
      </c>
    </row>
    <row r="116" spans="1:32" x14ac:dyDescent="0.3">
      <c r="B116" s="232"/>
    </row>
    <row r="117" spans="1:32" x14ac:dyDescent="0.3">
      <c r="B117" s="232"/>
      <c r="C117" s="94" t="s">
        <v>5759</v>
      </c>
    </row>
    <row r="118" spans="1:32" x14ac:dyDescent="0.3">
      <c r="B118" s="232"/>
      <c r="F118" s="3255" t="s">
        <v>366</v>
      </c>
      <c r="G118" s="3256"/>
      <c r="H118" s="3256"/>
      <c r="I118" s="3256"/>
      <c r="J118" s="3256"/>
      <c r="K118" s="3256"/>
      <c r="L118" s="3256"/>
      <c r="M118" s="3257"/>
      <c r="N118" s="238"/>
      <c r="P118" s="94"/>
      <c r="Q118" s="94"/>
      <c r="R118" s="94"/>
      <c r="S118" s="94"/>
      <c r="T118" s="94"/>
      <c r="U118" s="94"/>
      <c r="V118" s="623" t="s">
        <v>5760</v>
      </c>
      <c r="W118" s="2634" t="str">
        <f>IF(F118="Custom","NA",INDEX($H$95:$H$101,MATCH($F$118,$A$95:$A$101,0)))</f>
        <v>NA</v>
      </c>
      <c r="X118" s="2635"/>
      <c r="Y118" s="2636"/>
    </row>
    <row r="119" spans="1:32" x14ac:dyDescent="0.3">
      <c r="B119" s="232"/>
      <c r="F119" s="3258"/>
      <c r="G119" s="3259"/>
      <c r="H119" s="3259"/>
      <c r="I119" s="3259"/>
      <c r="J119" s="3259"/>
      <c r="K119" s="3259"/>
      <c r="L119" s="3259"/>
      <c r="M119" s="3260"/>
      <c r="P119" s="94"/>
      <c r="Q119" s="94"/>
      <c r="R119" s="94"/>
      <c r="S119" s="94"/>
      <c r="T119" s="94"/>
      <c r="U119" s="94"/>
      <c r="V119" s="623" t="s">
        <v>5761</v>
      </c>
      <c r="W119" s="2581">
        <v>8</v>
      </c>
      <c r="X119" s="2582"/>
      <c r="Y119" s="2583"/>
    </row>
    <row r="121" spans="1:32" x14ac:dyDescent="0.3">
      <c r="C121" t="s">
        <v>1499</v>
      </c>
    </row>
    <row r="122" spans="1:32" x14ac:dyDescent="0.3">
      <c r="F122" s="2495">
        <v>50</v>
      </c>
      <c r="G122" s="2496"/>
      <c r="H122" s="2497"/>
      <c r="L122" t="s">
        <v>3925</v>
      </c>
      <c r="N122" s="2570">
        <f>IF(F122&lt;=55,0.9254-0.0003*F122,2.044-0.0011*F122)</f>
        <v>0.91039999999999999</v>
      </c>
      <c r="O122" s="1001"/>
      <c r="P122" s="2571"/>
    </row>
    <row r="124" spans="1:32" x14ac:dyDescent="0.3">
      <c r="F124" s="31"/>
      <c r="G124" s="31"/>
      <c r="H124" s="31"/>
    </row>
    <row r="125" spans="1:32" x14ac:dyDescent="0.3">
      <c r="C125" t="s">
        <v>2997</v>
      </c>
      <c r="F125" s="31"/>
      <c r="G125" s="31"/>
      <c r="H125" s="31"/>
    </row>
    <row r="126" spans="1:32" ht="15.6" x14ac:dyDescent="0.35">
      <c r="F126" s="1276" t="s">
        <v>1486</v>
      </c>
      <c r="G126" s="1276"/>
      <c r="H126" s="1276"/>
      <c r="I126" s="1276"/>
      <c r="J126" s="1276"/>
      <c r="L126" t="s">
        <v>1501</v>
      </c>
      <c r="O126" s="2575">
        <f>HLOOKUP(F126,R95:AD98,2,FALSE)</f>
        <v>3564</v>
      </c>
      <c r="P126" s="2576"/>
      <c r="Q126" s="2577"/>
      <c r="T126" t="s">
        <v>1502</v>
      </c>
      <c r="V126" s="2578">
        <f>HLOOKUP(F126,R95:AD98,3,FALSE)</f>
        <v>0.53</v>
      </c>
      <c r="W126" s="2579"/>
      <c r="X126" s="2580"/>
      <c r="AB126" t="s">
        <v>2998</v>
      </c>
      <c r="AD126" s="951">
        <f>HLOOKUP(F126,R95:AD98,4,FALSE)</f>
        <v>75</v>
      </c>
      <c r="AE126" s="951"/>
      <c r="AF126" s="951"/>
    </row>
    <row r="127" spans="1:32" x14ac:dyDescent="0.3">
      <c r="F127" s="394"/>
      <c r="G127" s="394"/>
      <c r="H127" s="394"/>
      <c r="I127" s="394"/>
      <c r="J127" s="394"/>
      <c r="O127" s="394"/>
      <c r="P127" s="394"/>
      <c r="Q127" s="394"/>
      <c r="V127" s="36"/>
      <c r="W127" s="36"/>
      <c r="X127" s="36"/>
    </row>
    <row r="128" spans="1:32" ht="15" thickBot="1" x14ac:dyDescent="0.35"/>
    <row r="129" spans="1:32" ht="32.25" customHeight="1" x14ac:dyDescent="0.3">
      <c r="A129" s="1252" t="s">
        <v>15</v>
      </c>
      <c r="B129" s="1253"/>
      <c r="C129" s="1253"/>
      <c r="D129" s="1253"/>
      <c r="E129" s="1253"/>
      <c r="F129" s="1253"/>
      <c r="G129" s="1253"/>
      <c r="H129" s="1253"/>
      <c r="I129" s="1278" t="s">
        <v>2780</v>
      </c>
      <c r="J129" s="1253"/>
      <c r="K129" s="1253"/>
      <c r="L129" s="1253"/>
      <c r="M129" s="1253"/>
      <c r="N129" s="1253"/>
      <c r="O129" s="1253"/>
      <c r="P129" s="1253"/>
      <c r="Q129" s="1311" t="s">
        <v>2776</v>
      </c>
      <c r="R129" s="1312"/>
      <c r="S129" s="1312"/>
      <c r="T129" s="1312"/>
      <c r="U129" s="1312"/>
      <c r="V129" s="1312"/>
      <c r="W129" s="1312"/>
      <c r="X129" s="1312"/>
      <c r="Y129" s="1278" t="s">
        <v>1554</v>
      </c>
      <c r="Z129" s="1253"/>
      <c r="AA129" s="1253"/>
      <c r="AB129" s="1253"/>
      <c r="AC129" s="1253"/>
      <c r="AD129" s="1253"/>
      <c r="AE129" s="1253"/>
      <c r="AF129" s="1254"/>
    </row>
    <row r="130" spans="1:32" ht="48" customHeight="1" thickBot="1" x14ac:dyDescent="0.35">
      <c r="A130" s="1408" t="s">
        <v>3924</v>
      </c>
      <c r="B130" s="1409"/>
      <c r="C130" s="1409"/>
      <c r="D130" s="1409"/>
      <c r="E130" s="1409"/>
      <c r="F130" s="1409"/>
      <c r="G130" s="1409"/>
      <c r="H130" s="1409"/>
      <c r="I130" s="2491">
        <f>ROUND(Q130*V126/O126,3)</f>
        <v>0.64100000000000001</v>
      </c>
      <c r="J130" s="2491"/>
      <c r="K130" s="2491"/>
      <c r="L130" s="2491"/>
      <c r="M130" s="2491"/>
      <c r="N130" s="2491"/>
      <c r="O130" s="2491"/>
      <c r="P130" s="2491"/>
      <c r="Q130" s="2631">
        <f>ROUND(((1/N122)-(1/IF(F122&gt;55,P67,P66)))*P68*(IF(F118="Custom",W119,W118))*365.25*P70*P71*(P72-AD126)/3412,2)</f>
        <v>4310.47</v>
      </c>
      <c r="R130" s="2632"/>
      <c r="S130" s="2632"/>
      <c r="T130" s="2632"/>
      <c r="U130" s="2632"/>
      <c r="V130" s="2632"/>
      <c r="W130" s="2632"/>
      <c r="X130" s="2633"/>
      <c r="Y130" s="2493">
        <f>ROUND(Q130*P76,2)</f>
        <v>43104.7</v>
      </c>
      <c r="Z130" s="2493"/>
      <c r="AA130" s="2493"/>
      <c r="AB130" s="2493"/>
      <c r="AC130" s="2493"/>
      <c r="AD130" s="2493"/>
      <c r="AE130" s="2493"/>
      <c r="AF130" s="2494"/>
    </row>
    <row r="131" spans="1:32" x14ac:dyDescent="0.3">
      <c r="B131" s="269" t="s">
        <v>2221</v>
      </c>
    </row>
    <row r="132" spans="1:32" x14ac:dyDescent="0.3">
      <c r="B132" s="269"/>
    </row>
    <row r="133" spans="1:32" x14ac:dyDescent="0.3">
      <c r="A133" s="1141" t="s">
        <v>1514</v>
      </c>
      <c r="B133" s="1141"/>
      <c r="C133" s="1141"/>
      <c r="D133" s="1141"/>
      <c r="E133" s="1141"/>
      <c r="F133" s="1141"/>
      <c r="G133" s="1141"/>
      <c r="H133" s="1141"/>
      <c r="I133" s="1141"/>
      <c r="J133" s="1141"/>
      <c r="K133" s="1141"/>
      <c r="L133" s="1141"/>
      <c r="M133" s="1141"/>
      <c r="N133" s="1141"/>
      <c r="O133" s="1141"/>
      <c r="P133" s="1141"/>
      <c r="Q133" s="1141"/>
      <c r="R133" s="1141"/>
      <c r="S133" s="1141"/>
      <c r="T133" s="1141"/>
      <c r="U133" s="1141"/>
      <c r="V133" s="1141"/>
      <c r="W133" s="1141"/>
      <c r="X133" s="1141"/>
      <c r="Y133" s="1141"/>
      <c r="Z133" s="1141"/>
      <c r="AA133" s="1141"/>
      <c r="AB133" s="1141"/>
      <c r="AC133" s="1141"/>
      <c r="AD133" s="1141"/>
      <c r="AE133" s="1141"/>
      <c r="AF133" s="1141"/>
    </row>
    <row r="135" spans="1:32" ht="30.75" customHeight="1" x14ac:dyDescent="0.3">
      <c r="A135" s="368" t="s">
        <v>803</v>
      </c>
      <c r="B135" s="889" t="s">
        <v>5762</v>
      </c>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row>
    <row r="136" spans="1:32" x14ac:dyDescent="0.3">
      <c r="A136" s="368" t="s">
        <v>803</v>
      </c>
      <c r="B136" s="953" t="s">
        <v>5368</v>
      </c>
      <c r="C136" s="953"/>
      <c r="D136" s="953"/>
      <c r="E136" s="953"/>
      <c r="F136" s="953"/>
      <c r="G136" s="953"/>
      <c r="H136" s="953"/>
      <c r="I136" s="953"/>
      <c r="J136" s="953"/>
      <c r="K136" s="953"/>
      <c r="L136" s="953"/>
      <c r="M136" s="953"/>
      <c r="N136" s="953"/>
      <c r="O136" s="953"/>
      <c r="P136" s="953"/>
      <c r="Q136" s="953"/>
      <c r="R136" s="953"/>
      <c r="S136" s="953"/>
      <c r="T136" s="953"/>
      <c r="U136" s="953"/>
      <c r="V136" s="953"/>
      <c r="W136" s="953"/>
      <c r="X136" s="953"/>
      <c r="Y136" s="953"/>
      <c r="Z136" s="953"/>
      <c r="AA136" s="953"/>
      <c r="AB136" s="953"/>
      <c r="AC136" s="953"/>
      <c r="AD136" s="953"/>
      <c r="AE136" s="953"/>
      <c r="AF136" s="953"/>
    </row>
    <row r="137" spans="1:32" ht="81" customHeight="1" x14ac:dyDescent="0.3">
      <c r="A137" s="368" t="s">
        <v>803</v>
      </c>
      <c r="B137" s="953" t="s">
        <v>5369</v>
      </c>
      <c r="C137" s="953"/>
      <c r="D137" s="953"/>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row>
    <row r="138" spans="1:32" ht="45.75" customHeight="1" x14ac:dyDescent="0.3">
      <c r="A138" s="368" t="s">
        <v>803</v>
      </c>
      <c r="B138" s="953" t="s">
        <v>5370</v>
      </c>
      <c r="C138" s="953"/>
      <c r="D138" s="953"/>
      <c r="E138" s="953"/>
      <c r="F138" s="953"/>
      <c r="G138" s="953"/>
      <c r="H138" s="953"/>
      <c r="I138" s="953"/>
      <c r="J138" s="953"/>
      <c r="K138" s="953"/>
      <c r="L138" s="953"/>
      <c r="M138" s="953"/>
      <c r="N138" s="953"/>
      <c r="O138" s="953"/>
      <c r="P138" s="953"/>
      <c r="Q138" s="953"/>
      <c r="R138" s="953"/>
      <c r="S138" s="953"/>
      <c r="T138" s="953"/>
      <c r="U138" s="953"/>
      <c r="V138" s="953"/>
      <c r="W138" s="953"/>
      <c r="X138" s="953"/>
      <c r="Y138" s="953"/>
      <c r="Z138" s="953"/>
      <c r="AA138" s="953"/>
      <c r="AB138" s="953"/>
      <c r="AC138" s="953"/>
      <c r="AD138" s="953"/>
      <c r="AE138" s="953"/>
      <c r="AF138" s="953"/>
    </row>
    <row r="139" spans="1:32" x14ac:dyDescent="0.3">
      <c r="A139" s="368" t="s">
        <v>803</v>
      </c>
      <c r="B139" s="953" t="s">
        <v>5290</v>
      </c>
      <c r="C139" s="953"/>
      <c r="D139" s="953"/>
      <c r="E139" s="953"/>
      <c r="F139" s="953"/>
      <c r="G139" s="953"/>
      <c r="H139" s="953"/>
      <c r="I139" s="953"/>
      <c r="J139" s="953"/>
      <c r="K139" s="953"/>
      <c r="L139" s="953"/>
      <c r="M139" s="953"/>
      <c r="N139" s="953"/>
      <c r="O139" s="953"/>
      <c r="P139" s="953"/>
      <c r="Q139" s="953"/>
      <c r="R139" s="953"/>
      <c r="S139" s="953"/>
      <c r="T139" s="953"/>
      <c r="U139" s="953"/>
      <c r="V139" s="953"/>
      <c r="W139" s="953"/>
      <c r="X139" s="953"/>
      <c r="Y139" s="953"/>
      <c r="Z139" s="953"/>
      <c r="AA139" s="953"/>
      <c r="AB139" s="953"/>
      <c r="AC139" s="953"/>
      <c r="AD139" s="953"/>
      <c r="AE139" s="953"/>
      <c r="AF139" s="953"/>
    </row>
    <row r="140" spans="1:32" ht="60.75" customHeight="1" x14ac:dyDescent="0.3">
      <c r="A140" s="368" t="s">
        <v>803</v>
      </c>
      <c r="B140" s="953" t="s">
        <v>5371</v>
      </c>
      <c r="C140" s="953"/>
      <c r="D140" s="953"/>
      <c r="E140" s="953"/>
      <c r="F140" s="953"/>
      <c r="G140" s="953"/>
      <c r="H140" s="953"/>
      <c r="I140" s="953"/>
      <c r="J140" s="953"/>
      <c r="K140" s="953"/>
      <c r="L140" s="953"/>
      <c r="M140" s="953"/>
      <c r="N140" s="953"/>
      <c r="O140" s="953"/>
      <c r="P140" s="953"/>
      <c r="Q140" s="953"/>
      <c r="R140" s="953"/>
      <c r="S140" s="953"/>
      <c r="T140" s="953"/>
      <c r="U140" s="953"/>
      <c r="V140" s="953"/>
      <c r="W140" s="953"/>
      <c r="X140" s="953"/>
      <c r="Y140" s="953"/>
      <c r="Z140" s="953"/>
      <c r="AA140" s="953"/>
      <c r="AB140" s="953"/>
      <c r="AC140" s="953"/>
      <c r="AD140" s="953"/>
      <c r="AE140" s="953"/>
      <c r="AF140" s="953"/>
    </row>
    <row r="141" spans="1:32" ht="32.25" customHeight="1" x14ac:dyDescent="0.3">
      <c r="A141" s="368" t="s">
        <v>803</v>
      </c>
      <c r="B141" s="953" t="s">
        <v>5292</v>
      </c>
      <c r="C141" s="953"/>
      <c r="D141" s="953"/>
      <c r="E141" s="953"/>
      <c r="F141" s="953"/>
      <c r="G141" s="953"/>
      <c r="H141" s="953"/>
      <c r="I141" s="953"/>
      <c r="J141" s="953"/>
      <c r="K141" s="953"/>
      <c r="L141" s="953"/>
      <c r="M141" s="953"/>
      <c r="N141" s="953"/>
      <c r="O141" s="953"/>
      <c r="P141" s="953"/>
      <c r="Q141" s="953"/>
      <c r="R141" s="953"/>
      <c r="S141" s="953"/>
      <c r="T141" s="953"/>
      <c r="U141" s="953"/>
      <c r="V141" s="953"/>
      <c r="W141" s="953"/>
      <c r="X141" s="953"/>
      <c r="Y141" s="953"/>
      <c r="Z141" s="953"/>
      <c r="AA141" s="953"/>
      <c r="AB141" s="953"/>
      <c r="AC141" s="953"/>
      <c r="AD141" s="953"/>
      <c r="AE141" s="953"/>
      <c r="AF141" s="953"/>
    </row>
    <row r="142" spans="1:32" ht="34.5" customHeight="1" x14ac:dyDescent="0.3">
      <c r="A142" s="368" t="s">
        <v>803</v>
      </c>
      <c r="B142" s="953" t="s">
        <v>5293</v>
      </c>
      <c r="C142" s="953"/>
      <c r="D142" s="953"/>
      <c r="E142" s="953"/>
      <c r="F142" s="953"/>
      <c r="G142" s="953"/>
      <c r="H142" s="953"/>
      <c r="I142" s="953"/>
      <c r="J142" s="953"/>
      <c r="K142" s="953"/>
      <c r="L142" s="953"/>
      <c r="M142" s="953"/>
      <c r="N142" s="953"/>
      <c r="O142" s="953"/>
      <c r="P142" s="953"/>
      <c r="Q142" s="953"/>
      <c r="R142" s="953"/>
      <c r="S142" s="953"/>
      <c r="T142" s="953"/>
      <c r="U142" s="953"/>
      <c r="V142" s="953"/>
      <c r="W142" s="953"/>
      <c r="X142" s="953"/>
      <c r="Y142" s="953"/>
      <c r="Z142" s="953"/>
      <c r="AA142" s="953"/>
      <c r="AB142" s="953"/>
      <c r="AC142" s="953"/>
      <c r="AD142" s="953"/>
      <c r="AE142" s="953"/>
      <c r="AF142" s="953"/>
    </row>
    <row r="143" spans="1:32" ht="64.5" customHeight="1" x14ac:dyDescent="0.3">
      <c r="A143" s="368" t="s">
        <v>803</v>
      </c>
      <c r="B143" s="953" t="s">
        <v>5294</v>
      </c>
      <c r="C143" s="953"/>
      <c r="D143" s="953"/>
      <c r="E143" s="953"/>
      <c r="F143" s="953"/>
      <c r="G143" s="953"/>
      <c r="H143" s="953"/>
      <c r="I143" s="953"/>
      <c r="J143" s="953"/>
      <c r="K143" s="953"/>
      <c r="L143" s="953"/>
      <c r="M143" s="953"/>
      <c r="N143" s="953"/>
      <c r="O143" s="953"/>
      <c r="P143" s="953"/>
      <c r="Q143" s="953"/>
      <c r="R143" s="953"/>
      <c r="S143" s="953"/>
      <c r="T143" s="953"/>
      <c r="U143" s="953"/>
      <c r="V143" s="953"/>
      <c r="W143" s="953"/>
      <c r="X143" s="953"/>
      <c r="Y143" s="953"/>
      <c r="Z143" s="953"/>
      <c r="AA143" s="953"/>
      <c r="AB143" s="953"/>
      <c r="AC143" s="953"/>
      <c r="AD143" s="953"/>
      <c r="AE143" s="953"/>
      <c r="AF143" s="953"/>
    </row>
    <row r="144" spans="1:32" ht="64.5" customHeight="1" x14ac:dyDescent="0.3">
      <c r="A144" s="368" t="s">
        <v>803</v>
      </c>
      <c r="B144" s="889" t="s">
        <v>1512</v>
      </c>
      <c r="C144" s="889"/>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row>
  </sheetData>
  <sheetProtection algorithmName="SHA-512" hashValue="b9f4sNKEN3RkX31mtPmK64NuAhgADEzVbjHzp6D51GD33vZxRnSWlxv/5sy4VkQHGzbC/fYMQfDycubrsHJoPw==" saltValue="bPZDEk54vUDxv3vL1VFbCA==" spinCount="100000" sheet="1" objects="1" scenarios="1"/>
  <mergeCells count="180">
    <mergeCell ref="A3:AF3"/>
    <mergeCell ref="B5:AF5"/>
    <mergeCell ref="A7:AF7"/>
    <mergeCell ref="A1:AF1"/>
    <mergeCell ref="B10:AF10"/>
    <mergeCell ref="B13:AF13"/>
    <mergeCell ref="B19:AF19"/>
    <mergeCell ref="B22:AF22"/>
    <mergeCell ref="A63:AF63"/>
    <mergeCell ref="A25:AF25"/>
    <mergeCell ref="AF55:AF56"/>
    <mergeCell ref="A70:D70"/>
    <mergeCell ref="E70:O70"/>
    <mergeCell ref="P70:S70"/>
    <mergeCell ref="T70:W70"/>
    <mergeCell ref="X70:AF70"/>
    <mergeCell ref="A71:D71"/>
    <mergeCell ref="E71:O71"/>
    <mergeCell ref="A64:D64"/>
    <mergeCell ref="E64:O64"/>
    <mergeCell ref="P64:S64"/>
    <mergeCell ref="T64:W64"/>
    <mergeCell ref="X64:AF64"/>
    <mergeCell ref="A65:D65"/>
    <mergeCell ref="E65:O65"/>
    <mergeCell ref="P65:S65"/>
    <mergeCell ref="T65:W65"/>
    <mergeCell ref="X65:AF65"/>
    <mergeCell ref="A66:D66"/>
    <mergeCell ref="E66:O66"/>
    <mergeCell ref="P66:S66"/>
    <mergeCell ref="T66:W66"/>
    <mergeCell ref="X66:AF66"/>
    <mergeCell ref="A67:D67"/>
    <mergeCell ref="E67:O67"/>
    <mergeCell ref="P67:S67"/>
    <mergeCell ref="T67:W67"/>
    <mergeCell ref="X67:AF67"/>
    <mergeCell ref="A68:D68"/>
    <mergeCell ref="E68:O68"/>
    <mergeCell ref="P68:S68"/>
    <mergeCell ref="T68:W68"/>
    <mergeCell ref="X68:AF68"/>
    <mergeCell ref="A69:D69"/>
    <mergeCell ref="E69:O69"/>
    <mergeCell ref="P69:S69"/>
    <mergeCell ref="T69:W69"/>
    <mergeCell ref="X69:AF69"/>
    <mergeCell ref="B143:AF143"/>
    <mergeCell ref="B144:AF144"/>
    <mergeCell ref="F126:J126"/>
    <mergeCell ref="A94:G94"/>
    <mergeCell ref="H94:K94"/>
    <mergeCell ref="O94:Q95"/>
    <mergeCell ref="R94:AD94"/>
    <mergeCell ref="A95:G95"/>
    <mergeCell ref="H95:K95"/>
    <mergeCell ref="R95:T95"/>
    <mergeCell ref="U95:W95"/>
    <mergeCell ref="X95:Z95"/>
    <mergeCell ref="AA95:AD95"/>
    <mergeCell ref="A96:G96"/>
    <mergeCell ref="H96:K96"/>
    <mergeCell ref="O96:Q96"/>
    <mergeCell ref="R96:T96"/>
    <mergeCell ref="U96:W96"/>
    <mergeCell ref="X96:Z96"/>
    <mergeCell ref="AA96:AD96"/>
    <mergeCell ref="A97:G97"/>
    <mergeCell ref="H97:K97"/>
    <mergeCell ref="O97:Q97"/>
    <mergeCell ref="R97:T97"/>
    <mergeCell ref="P71:S71"/>
    <mergeCell ref="T71:W71"/>
    <mergeCell ref="X71:AF71"/>
    <mergeCell ref="A72:D72"/>
    <mergeCell ref="E72:O72"/>
    <mergeCell ref="P72:S72"/>
    <mergeCell ref="T72:W72"/>
    <mergeCell ref="X72:AF72"/>
    <mergeCell ref="A73:D73"/>
    <mergeCell ref="E73:O73"/>
    <mergeCell ref="P73:S73"/>
    <mergeCell ref="T73:W73"/>
    <mergeCell ref="X73:AF73"/>
    <mergeCell ref="A74:D74"/>
    <mergeCell ref="E74:O74"/>
    <mergeCell ref="P74:S74"/>
    <mergeCell ref="T74:W74"/>
    <mergeCell ref="X74:AF74"/>
    <mergeCell ref="A75:D75"/>
    <mergeCell ref="E75:O75"/>
    <mergeCell ref="P75:S75"/>
    <mergeCell ref="T75:W75"/>
    <mergeCell ref="X75:AF75"/>
    <mergeCell ref="A76:D76"/>
    <mergeCell ref="E76:O76"/>
    <mergeCell ref="P76:S76"/>
    <mergeCell ref="T76:W76"/>
    <mergeCell ref="X76:AF76"/>
    <mergeCell ref="A77:AF77"/>
    <mergeCell ref="A78:AF78"/>
    <mergeCell ref="A79:AF79"/>
    <mergeCell ref="A80:AF80"/>
    <mergeCell ref="S83:AE83"/>
    <mergeCell ref="A84:H86"/>
    <mergeCell ref="I84:R84"/>
    <mergeCell ref="S84:AE84"/>
    <mergeCell ref="I85:R85"/>
    <mergeCell ref="S85:AE85"/>
    <mergeCell ref="I86:R86"/>
    <mergeCell ref="A87:R87"/>
    <mergeCell ref="A91:AE91"/>
    <mergeCell ref="S86:AE86"/>
    <mergeCell ref="S87:AE87"/>
    <mergeCell ref="A88:R88"/>
    <mergeCell ref="S88:AE88"/>
    <mergeCell ref="A89:R89"/>
    <mergeCell ref="S89:AE89"/>
    <mergeCell ref="A90:R90"/>
    <mergeCell ref="S90:AE90"/>
    <mergeCell ref="A83:R83"/>
    <mergeCell ref="U97:W97"/>
    <mergeCell ref="X97:Z97"/>
    <mergeCell ref="AA97:AD97"/>
    <mergeCell ref="A98:G98"/>
    <mergeCell ref="H98:K98"/>
    <mergeCell ref="O98:Q98"/>
    <mergeCell ref="R98:T98"/>
    <mergeCell ref="U98:W98"/>
    <mergeCell ref="X98:Z98"/>
    <mergeCell ref="AA98:AD98"/>
    <mergeCell ref="A99:G99"/>
    <mergeCell ref="H99:K99"/>
    <mergeCell ref="A100:G100"/>
    <mergeCell ref="H100:K100"/>
    <mergeCell ref="A101:G101"/>
    <mergeCell ref="H101:K101"/>
    <mergeCell ref="A103:K103"/>
    <mergeCell ref="A104:K104"/>
    <mergeCell ref="A107:AF107"/>
    <mergeCell ref="A102:G102"/>
    <mergeCell ref="H102:K102"/>
    <mergeCell ref="A111:H111"/>
    <mergeCell ref="I111:P111"/>
    <mergeCell ref="Q111:X111"/>
    <mergeCell ref="Y111:AF111"/>
    <mergeCell ref="A112:H112"/>
    <mergeCell ref="I112:P112"/>
    <mergeCell ref="Q112:X112"/>
    <mergeCell ref="Y112:AF112"/>
    <mergeCell ref="A113:H113"/>
    <mergeCell ref="I113:P113"/>
    <mergeCell ref="Q113:X113"/>
    <mergeCell ref="Y113:AF113"/>
    <mergeCell ref="W118:Y118"/>
    <mergeCell ref="F122:H122"/>
    <mergeCell ref="N122:P122"/>
    <mergeCell ref="O126:Q126"/>
    <mergeCell ref="V126:X126"/>
    <mergeCell ref="AD126:AF126"/>
    <mergeCell ref="A129:H129"/>
    <mergeCell ref="I129:P129"/>
    <mergeCell ref="Q129:X129"/>
    <mergeCell ref="Y129:AF129"/>
    <mergeCell ref="F118:M119"/>
    <mergeCell ref="W119:Y119"/>
    <mergeCell ref="B139:AF139"/>
    <mergeCell ref="B140:AF140"/>
    <mergeCell ref="B141:AF141"/>
    <mergeCell ref="B142:AF142"/>
    <mergeCell ref="A130:H130"/>
    <mergeCell ref="I130:P130"/>
    <mergeCell ref="Q130:X130"/>
    <mergeCell ref="Y130:AF130"/>
    <mergeCell ref="A133:AF133"/>
    <mergeCell ref="B135:AF135"/>
    <mergeCell ref="B136:AF136"/>
    <mergeCell ref="B137:AF137"/>
    <mergeCell ref="B138:AF138"/>
  </mergeCells>
  <dataValidations count="2">
    <dataValidation type="list" allowBlank="1" showInputMessage="1" showErrorMessage="1" sqref="F126:J126" xr:uid="{00000000-0002-0000-6000-000001000000}">
      <formula1>"Hawaii,Honolulu,Maui,Unspecified"</formula1>
    </dataValidation>
    <dataValidation type="list" allowBlank="1" showInputMessage="1" showErrorMessage="1" sqref="F118" xr:uid="{B37EC823-3FF1-4B4B-BCB5-57E5AF8963DF}">
      <formula1>$A$95:$A$102</formula1>
    </dataValidation>
  </dataValidations>
  <hyperlinks>
    <hyperlink ref="A2" location="TOC!A1" display="Return to TOC" xr:uid="{00000000-0004-0000-6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0" numberStoredAsText="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2">
    <tabColor theme="5" tint="0.59999389629810485"/>
    <pageSetUpPr autoPageBreaks="0"/>
  </sheetPr>
  <dimension ref="A1:BW144"/>
  <sheetViews>
    <sheetView workbookViewId="0">
      <selection activeCell="A2" sqref="A2"/>
    </sheetView>
  </sheetViews>
  <sheetFormatPr defaultColWidth="2.6640625" defaultRowHeight="15" customHeight="1" x14ac:dyDescent="0.3"/>
  <cols>
    <col min="11" max="11" width="2.6640625" customWidth="1"/>
    <col min="14" max="15" width="2.6640625" customWidth="1"/>
    <col min="20" max="20" width="2.6640625" customWidth="1"/>
    <col min="40" max="40" width="2.6640625" customWidth="1"/>
  </cols>
  <sheetData>
    <row r="1" spans="1:32" s="1" customFormat="1" ht="18.600000000000001" thickBot="1" x14ac:dyDescent="0.35">
      <c r="A1" s="979" t="s">
        <v>916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s="121" customFormat="1" ht="14.4" customHeight="1" x14ac:dyDescent="0.3">
      <c r="A2" s="228"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0"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29"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27" customFormat="1" ht="29.25" customHeight="1" x14ac:dyDescent="0.3">
      <c r="A5" s="121"/>
      <c r="B5" s="872" t="s">
        <v>4637</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s="129" customFormat="1" ht="14.4"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ht="14.4" x14ac:dyDescent="0.3">
      <c r="A7" s="869" t="s">
        <v>2</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s="1" customFormat="1" ht="14.4"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 customHeight="1" x14ac:dyDescent="0.3">
      <c r="B9" s="1144" t="s">
        <v>3</v>
      </c>
      <c r="C9" s="1144"/>
      <c r="D9" s="1144"/>
      <c r="E9" s="1144"/>
      <c r="F9" s="1144"/>
      <c r="G9" s="1144"/>
      <c r="H9" s="1144"/>
      <c r="I9" s="1144"/>
    </row>
    <row r="10" spans="1:32" s="4" customFormat="1" ht="49.5" customHeight="1" x14ac:dyDescent="0.3">
      <c r="B10" s="953" t="s">
        <v>1458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s="1" customFormat="1" ht="14.4" x14ac:dyDescent="0.3"/>
    <row r="12" spans="1:32" s="1" customFormat="1" ht="14.4" x14ac:dyDescent="0.3">
      <c r="B12" s="1144" t="s">
        <v>4</v>
      </c>
      <c r="C12" s="1144"/>
      <c r="D12" s="1144"/>
      <c r="E12" s="1144"/>
      <c r="F12" s="1144"/>
      <c r="G12" s="1144"/>
      <c r="H12" s="1144"/>
      <c r="I12" s="1144"/>
    </row>
    <row r="13" spans="1:32" s="1" customFormat="1" ht="50.4" customHeight="1" x14ac:dyDescent="0.3">
      <c r="B13" s="953" t="s">
        <v>1457</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s="1" customFormat="1" ht="14.4" x14ac:dyDescent="0.3"/>
    <row r="15" spans="1:32" s="1" customFormat="1" ht="141.75" customHeight="1" x14ac:dyDescent="0.3">
      <c r="B15" s="889" t="s">
        <v>2905</v>
      </c>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row>
    <row r="16" spans="1:32" s="1" customFormat="1" ht="14.4" x14ac:dyDescent="0.3"/>
    <row r="17" spans="1:32" s="1" customFormat="1" ht="34.5" customHeight="1" x14ac:dyDescent="0.3">
      <c r="B17" s="953" t="s">
        <v>1459</v>
      </c>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row>
    <row r="18" spans="1:32" s="1" customFormat="1" ht="14.4" x14ac:dyDescent="0.3"/>
    <row r="19" spans="1:32" s="1" customFormat="1" ht="14.4" x14ac:dyDescent="0.3">
      <c r="B19" s="1144" t="s">
        <v>5</v>
      </c>
      <c r="C19" s="1144"/>
      <c r="D19" s="1144"/>
      <c r="E19" s="1144"/>
      <c r="F19" s="1144"/>
      <c r="G19" s="1144"/>
      <c r="H19" s="1144"/>
      <c r="I19" s="1144"/>
    </row>
    <row r="20" spans="1:32" s="1" customFormat="1" ht="14.4" x14ac:dyDescent="0.3">
      <c r="B20" s="1142" t="s">
        <v>3305</v>
      </c>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row>
    <row r="21" spans="1:32" s="1" customFormat="1" ht="14.4" x14ac:dyDescent="0.3"/>
    <row r="22" spans="1:32" s="1" customFormat="1" ht="14.4" x14ac:dyDescent="0.3">
      <c r="B22" s="1144" t="s">
        <v>6</v>
      </c>
      <c r="C22" s="1144"/>
      <c r="D22" s="1144"/>
      <c r="E22" s="1144"/>
      <c r="F22" s="1144"/>
      <c r="G22" s="1144"/>
      <c r="H22" s="1144"/>
      <c r="I22" s="1144"/>
    </row>
    <row r="23" spans="1:32" s="4" customFormat="1" ht="36.6" customHeight="1" x14ac:dyDescent="0.3">
      <c r="B23" s="953" t="s">
        <v>3022</v>
      </c>
      <c r="C23" s="95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row>
    <row r="24" spans="1:32" s="1" customFormat="1" ht="14.4" x14ac:dyDescent="0.3"/>
    <row r="25" spans="1:32" s="1" customFormat="1" ht="14.4" x14ac:dyDescent="0.3">
      <c r="B25" s="1144" t="s">
        <v>13</v>
      </c>
      <c r="C25" s="1144"/>
      <c r="D25" s="1144"/>
      <c r="E25" s="1144"/>
      <c r="F25" s="1144"/>
      <c r="G25" s="1144"/>
      <c r="H25" s="1144"/>
      <c r="I25" s="1144"/>
      <c r="J25" s="1144"/>
    </row>
    <row r="26" spans="1:32" s="1" customFormat="1" ht="94.5" customHeight="1" x14ac:dyDescent="0.3">
      <c r="B26" s="953" t="s">
        <v>2968</v>
      </c>
      <c r="C26" s="1145"/>
      <c r="D26" s="1145"/>
      <c r="E26" s="1145"/>
      <c r="F26" s="1145"/>
      <c r="G26" s="1145"/>
      <c r="H26" s="1145"/>
      <c r="I26" s="1145"/>
      <c r="J26" s="1145"/>
      <c r="K26" s="1145"/>
      <c r="L26" s="1145"/>
      <c r="M26" s="1145"/>
      <c r="N26" s="1145"/>
      <c r="O26" s="1145"/>
      <c r="P26" s="1145"/>
      <c r="Q26" s="1145"/>
      <c r="R26" s="1145"/>
      <c r="S26" s="1145"/>
      <c r="T26" s="1145"/>
      <c r="U26" s="1145"/>
      <c r="V26" s="1145"/>
      <c r="W26" s="1145"/>
      <c r="X26" s="1145"/>
      <c r="Y26" s="1145"/>
      <c r="Z26" s="1145"/>
      <c r="AA26" s="1145"/>
      <c r="AB26" s="1145"/>
      <c r="AC26" s="1145"/>
      <c r="AD26" s="1145"/>
      <c r="AE26" s="1145"/>
      <c r="AF26" s="1145"/>
    </row>
    <row r="27" spans="1:32" s="1" customFormat="1" ht="14.4" x14ac:dyDescent="0.3"/>
    <row r="28" spans="1:32" ht="15" customHeight="1" x14ac:dyDescent="0.3">
      <c r="A28" s="1141" t="s">
        <v>7</v>
      </c>
      <c r="B28" s="1141"/>
      <c r="C28" s="1141"/>
      <c r="D28" s="1141"/>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row>
    <row r="29" spans="1:32" ht="15" customHeight="1"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ht="15" customHeight="1" x14ac:dyDescent="0.3">
      <c r="A30" s="3"/>
      <c r="B30" s="231" t="s">
        <v>1498</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ht="15" customHeight="1"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15" customHeight="1" x14ac:dyDescent="0.3">
      <c r="A32" s="3"/>
      <c r="B32" s="3"/>
      <c r="C32" s="3"/>
      <c r="D32" s="3"/>
      <c r="E32" s="3"/>
      <c r="F32" s="3"/>
      <c r="G32" s="3"/>
      <c r="H32" s="3"/>
      <c r="I32" s="3"/>
      <c r="J32" s="3"/>
      <c r="K32" s="3"/>
      <c r="L32" s="3"/>
      <c r="M32" s="3"/>
      <c r="N32" s="3"/>
      <c r="O32" s="3"/>
      <c r="P32" s="3"/>
      <c r="Q32" s="3"/>
      <c r="R32" s="3"/>
      <c r="S32" s="3"/>
      <c r="T32" s="3"/>
      <c r="U32" s="3"/>
      <c r="V32" s="3"/>
      <c r="W32" s="3"/>
      <c r="X32" s="3"/>
      <c r="Y32" s="3"/>
      <c r="Z32" s="3"/>
      <c r="AB32" s="3"/>
      <c r="AC32" s="3"/>
      <c r="AD32" s="3"/>
      <c r="AE32" s="3"/>
      <c r="AF32" s="162" t="s">
        <v>1463</v>
      </c>
    </row>
    <row r="33" spans="1:32" ht="15" customHeight="1"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ht="15" customHeight="1" x14ac:dyDescent="0.3">
      <c r="A34" s="3"/>
      <c r="B34" s="231" t="s">
        <v>2969</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ht="1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162"/>
    </row>
    <row r="36" spans="1:32" ht="15"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162" t="s">
        <v>1464</v>
      </c>
    </row>
    <row r="37" spans="1:32" ht="1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ht="15" customHeight="1"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ht="15" customHeight="1" x14ac:dyDescent="0.3">
      <c r="A39" s="3"/>
      <c r="B39" s="231" t="s">
        <v>2970</v>
      </c>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ht="15" customHeight="1"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ht="15" customHeight="1" x14ac:dyDescent="0.3">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ht="15" customHeight="1"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162" t="s">
        <v>1465</v>
      </c>
    </row>
    <row r="43" spans="1:32" ht="15" customHeight="1" x14ac:dyDescent="0.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ht="15" customHeight="1" x14ac:dyDescent="0.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ht="15" customHeight="1" x14ac:dyDescent="0.3">
      <c r="A45" s="3"/>
      <c r="B45" s="231" t="s">
        <v>2027</v>
      </c>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ht="15" customHeight="1" x14ac:dyDescent="0.3">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ht="15" customHeight="1"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2" ht="15" customHeight="1"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162" t="s">
        <v>1517</v>
      </c>
    </row>
    <row r="49" spans="1:32" ht="15" customHeight="1" x14ac:dyDescent="0.3">
      <c r="A49" s="3"/>
      <c r="B49" s="231" t="s">
        <v>2137</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ht="15" customHeight="1" x14ac:dyDescent="0.3">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ht="15" customHeight="1"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162" t="s">
        <v>1556</v>
      </c>
    </row>
    <row r="52" spans="1:32" ht="15" customHeight="1"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ht="15" customHeigh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ht="15" customHeight="1" x14ac:dyDescent="0.3">
      <c r="A54" s="3"/>
      <c r="B54" s="231" t="s">
        <v>1811</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ht="15" customHeight="1" x14ac:dyDescent="0.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ht="15" customHeight="1"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162" t="s">
        <v>1558</v>
      </c>
    </row>
    <row r="57" spans="1:32" ht="15" customHeight="1"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 customHeight="1" x14ac:dyDescent="0.3">
      <c r="A58" s="18"/>
      <c r="B58" s="18"/>
      <c r="C58" s="18"/>
      <c r="D58" s="18"/>
      <c r="E58" s="18"/>
      <c r="F58" s="18"/>
      <c r="G58" s="18"/>
      <c r="H58" s="18"/>
      <c r="I58" s="18"/>
      <c r="Q58" s="20"/>
    </row>
    <row r="59" spans="1:32" s="1" customFormat="1" ht="14.4" x14ac:dyDescent="0.3">
      <c r="A59" s="1141" t="s">
        <v>8</v>
      </c>
      <c r="B59" s="1141"/>
      <c r="C59" s="1141"/>
      <c r="D59" s="1141"/>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row>
    <row r="60" spans="1:32" s="1" customFormat="1" ht="14.4" x14ac:dyDescent="0.3">
      <c r="A60" s="1143" t="s">
        <v>9</v>
      </c>
      <c r="B60" s="1143"/>
      <c r="C60" s="1143"/>
      <c r="D60" s="1143"/>
      <c r="E60" s="1143" t="s">
        <v>3</v>
      </c>
      <c r="F60" s="1143"/>
      <c r="G60" s="1143"/>
      <c r="H60" s="1143"/>
      <c r="I60" s="1143"/>
      <c r="J60" s="1143"/>
      <c r="K60" s="1143"/>
      <c r="L60" s="1143"/>
      <c r="M60" s="1143"/>
      <c r="N60" s="1143"/>
      <c r="O60" s="1143"/>
      <c r="P60" s="1143" t="s">
        <v>10</v>
      </c>
      <c r="Q60" s="1143"/>
      <c r="R60" s="1143"/>
      <c r="S60" s="1143"/>
      <c r="T60" s="1143" t="s">
        <v>11</v>
      </c>
      <c r="U60" s="1143"/>
      <c r="V60" s="1143"/>
      <c r="W60" s="1143"/>
      <c r="X60" s="1143" t="s">
        <v>1466</v>
      </c>
      <c r="Y60" s="1143"/>
      <c r="Z60" s="1143"/>
      <c r="AA60" s="1143"/>
      <c r="AB60" s="1143"/>
      <c r="AC60" s="1143"/>
      <c r="AD60" s="1143"/>
      <c r="AE60" s="1143"/>
      <c r="AF60" s="1143"/>
    </row>
    <row r="61" spans="1:32" s="1" customFormat="1" ht="46.5" customHeight="1" x14ac:dyDescent="0.3">
      <c r="A61" s="855" t="s">
        <v>1461</v>
      </c>
      <c r="B61" s="855"/>
      <c r="C61" s="855"/>
      <c r="D61" s="855"/>
      <c r="E61" s="856" t="s">
        <v>2982</v>
      </c>
      <c r="F61" s="856"/>
      <c r="G61" s="856"/>
      <c r="H61" s="856"/>
      <c r="I61" s="856"/>
      <c r="J61" s="856"/>
      <c r="K61" s="856"/>
      <c r="L61" s="856"/>
      <c r="M61" s="856"/>
      <c r="N61" s="856"/>
      <c r="O61" s="856"/>
      <c r="P61" s="2557" t="s">
        <v>1462</v>
      </c>
      <c r="Q61" s="2557"/>
      <c r="R61" s="2557"/>
      <c r="S61" s="2557"/>
      <c r="T61" s="2146" t="s">
        <v>20</v>
      </c>
      <c r="U61" s="1275"/>
      <c r="V61" s="1275"/>
      <c r="W61" s="1275"/>
      <c r="X61" s="1385" t="s">
        <v>2707</v>
      </c>
      <c r="Y61" s="1385"/>
      <c r="Z61" s="1385"/>
      <c r="AA61" s="1385"/>
      <c r="AB61" s="1385"/>
      <c r="AC61" s="1385"/>
      <c r="AD61" s="1385"/>
      <c r="AE61" s="1385"/>
      <c r="AF61" s="1385"/>
    </row>
    <row r="62" spans="1:32" s="1" customFormat="1" ht="31.5" customHeight="1" x14ac:dyDescent="0.3">
      <c r="A62" s="855" t="s">
        <v>1467</v>
      </c>
      <c r="B62" s="855"/>
      <c r="C62" s="855"/>
      <c r="D62" s="855"/>
      <c r="E62" s="856" t="s">
        <v>1468</v>
      </c>
      <c r="F62" s="856"/>
      <c r="G62" s="856"/>
      <c r="H62" s="856"/>
      <c r="I62" s="856"/>
      <c r="J62" s="856"/>
      <c r="K62" s="856"/>
      <c r="L62" s="856"/>
      <c r="M62" s="856"/>
      <c r="N62" s="856"/>
      <c r="O62" s="856"/>
      <c r="P62" s="1586">
        <v>15</v>
      </c>
      <c r="Q62" s="1586"/>
      <c r="R62" s="1586"/>
      <c r="S62" s="1586"/>
      <c r="T62" s="1586" t="s">
        <v>2710</v>
      </c>
      <c r="U62" s="1586"/>
      <c r="V62" s="1586"/>
      <c r="W62" s="1586"/>
      <c r="X62" s="1186" t="s">
        <v>1518</v>
      </c>
      <c r="Y62" s="1186"/>
      <c r="Z62" s="1186"/>
      <c r="AA62" s="1186"/>
      <c r="AB62" s="1186"/>
      <c r="AC62" s="1186"/>
      <c r="AD62" s="1186"/>
      <c r="AE62" s="1186"/>
      <c r="AF62" s="1186"/>
    </row>
    <row r="63" spans="1:32" s="1" customFormat="1" ht="198" customHeight="1" x14ac:dyDescent="0.3">
      <c r="A63" s="855" t="s">
        <v>1469</v>
      </c>
      <c r="B63" s="855"/>
      <c r="C63" s="855"/>
      <c r="D63" s="855"/>
      <c r="E63" s="856" t="s">
        <v>1471</v>
      </c>
      <c r="F63" s="856"/>
      <c r="G63" s="856"/>
      <c r="H63" s="856"/>
      <c r="I63" s="856"/>
      <c r="J63" s="856"/>
      <c r="K63" s="856"/>
      <c r="L63" s="856"/>
      <c r="M63" s="856"/>
      <c r="N63" s="856"/>
      <c r="O63" s="856"/>
      <c r="P63" s="2557" t="s">
        <v>3906</v>
      </c>
      <c r="Q63" s="2557"/>
      <c r="R63" s="2557"/>
      <c r="S63" s="2557"/>
      <c r="T63" s="2146" t="s">
        <v>2711</v>
      </c>
      <c r="U63" s="1275"/>
      <c r="V63" s="1275"/>
      <c r="W63" s="1275"/>
      <c r="X63" s="1385" t="s">
        <v>3905</v>
      </c>
      <c r="Y63" s="1385"/>
      <c r="Z63" s="1385"/>
      <c r="AA63" s="1385"/>
      <c r="AB63" s="1385"/>
      <c r="AC63" s="1385"/>
      <c r="AD63" s="1385"/>
      <c r="AE63" s="1385"/>
      <c r="AF63" s="1385"/>
    </row>
    <row r="64" spans="1:32" s="1" customFormat="1" ht="14.4" customHeight="1" x14ac:dyDescent="0.3">
      <c r="A64" s="2559" t="s">
        <v>1472</v>
      </c>
      <c r="B64" s="2560"/>
      <c r="C64" s="2560"/>
      <c r="D64" s="2560"/>
      <c r="E64" s="856" t="s">
        <v>1473</v>
      </c>
      <c r="F64" s="856"/>
      <c r="G64" s="856"/>
      <c r="H64" s="856"/>
      <c r="I64" s="856"/>
      <c r="J64" s="856"/>
      <c r="K64" s="856"/>
      <c r="L64" s="856"/>
      <c r="M64" s="856"/>
      <c r="N64" s="856"/>
      <c r="O64" s="856"/>
      <c r="P64" s="1586">
        <v>8.3000000000000007</v>
      </c>
      <c r="Q64" s="1586"/>
      <c r="R64" s="1586"/>
      <c r="S64" s="1586"/>
      <c r="T64" s="1275" t="s">
        <v>1474</v>
      </c>
      <c r="U64" s="1275"/>
      <c r="V64" s="1275"/>
      <c r="W64" s="1275"/>
      <c r="X64" s="1538" t="s">
        <v>20</v>
      </c>
      <c r="Y64" s="1343"/>
      <c r="Z64" s="1343"/>
      <c r="AA64" s="1343"/>
      <c r="AB64" s="1343"/>
      <c r="AC64" s="1343"/>
      <c r="AD64" s="1343"/>
      <c r="AE64" s="1343"/>
      <c r="AF64" s="1343"/>
    </row>
    <row r="65" spans="1:75" s="1" customFormat="1" ht="14.4" customHeight="1" x14ac:dyDescent="0.3">
      <c r="A65" s="2560" t="s">
        <v>1476</v>
      </c>
      <c r="B65" s="2560"/>
      <c r="C65" s="2560"/>
      <c r="D65" s="2560"/>
      <c r="E65" s="856" t="s">
        <v>1477</v>
      </c>
      <c r="F65" s="856"/>
      <c r="G65" s="856"/>
      <c r="H65" s="856"/>
      <c r="I65" s="856"/>
      <c r="J65" s="856"/>
      <c r="K65" s="856"/>
      <c r="L65" s="856"/>
      <c r="M65" s="856"/>
      <c r="N65" s="856"/>
      <c r="O65" s="856"/>
      <c r="P65" s="1586">
        <v>1</v>
      </c>
      <c r="Q65" s="1586"/>
      <c r="R65" s="1586"/>
      <c r="S65" s="1586"/>
      <c r="T65" s="1275" t="s">
        <v>1475</v>
      </c>
      <c r="U65" s="1275"/>
      <c r="V65" s="1275"/>
      <c r="W65" s="1275"/>
      <c r="X65" s="1538" t="s">
        <v>20</v>
      </c>
      <c r="Y65" s="1343"/>
      <c r="Z65" s="1343"/>
      <c r="AA65" s="1343"/>
      <c r="AB65" s="1343"/>
      <c r="AC65" s="1343"/>
      <c r="AD65" s="1343"/>
      <c r="AE65" s="1343"/>
      <c r="AF65" s="1343"/>
    </row>
    <row r="66" spans="1:75" s="1" customFormat="1" ht="29.4" customHeight="1" x14ac:dyDescent="0.3">
      <c r="A66" s="855" t="s">
        <v>1478</v>
      </c>
      <c r="B66" s="855"/>
      <c r="C66" s="855"/>
      <c r="D66" s="855"/>
      <c r="E66" s="856" t="s">
        <v>1480</v>
      </c>
      <c r="F66" s="856"/>
      <c r="G66" s="856"/>
      <c r="H66" s="856"/>
      <c r="I66" s="856"/>
      <c r="J66" s="856"/>
      <c r="K66" s="856"/>
      <c r="L66" s="856"/>
      <c r="M66" s="856"/>
      <c r="N66" s="856"/>
      <c r="O66" s="856"/>
      <c r="P66" s="1586">
        <v>130</v>
      </c>
      <c r="Q66" s="1586"/>
      <c r="R66" s="1586"/>
      <c r="S66" s="1586"/>
      <c r="T66" s="1275" t="s">
        <v>158</v>
      </c>
      <c r="U66" s="1275"/>
      <c r="V66" s="1275"/>
      <c r="W66" s="1275"/>
      <c r="X66" s="1385" t="s">
        <v>1483</v>
      </c>
      <c r="Y66" s="1385"/>
      <c r="Z66" s="1385"/>
      <c r="AA66" s="1385"/>
      <c r="AB66" s="1385"/>
      <c r="AC66" s="1385"/>
      <c r="AD66" s="1385"/>
      <c r="AE66" s="1385"/>
      <c r="AF66" s="1385"/>
    </row>
    <row r="67" spans="1:75" s="1" customFormat="1" ht="45.75" customHeight="1" x14ac:dyDescent="0.3">
      <c r="A67" s="855" t="s">
        <v>1479</v>
      </c>
      <c r="B67" s="855"/>
      <c r="C67" s="855"/>
      <c r="D67" s="855"/>
      <c r="E67" s="856" t="s">
        <v>1481</v>
      </c>
      <c r="F67" s="856"/>
      <c r="G67" s="856"/>
      <c r="H67" s="856"/>
      <c r="I67" s="856"/>
      <c r="J67" s="856"/>
      <c r="K67" s="856"/>
      <c r="L67" s="856"/>
      <c r="M67" s="856"/>
      <c r="N67" s="856"/>
      <c r="O67" s="856"/>
      <c r="P67" s="2312" t="s">
        <v>2971</v>
      </c>
      <c r="Q67" s="2312">
        <v>8760</v>
      </c>
      <c r="R67" s="2312">
        <v>8760</v>
      </c>
      <c r="S67" s="2312">
        <v>8760</v>
      </c>
      <c r="T67" s="1275" t="s">
        <v>1482</v>
      </c>
      <c r="U67" s="1275"/>
      <c r="V67" s="1275"/>
      <c r="W67" s="1275"/>
      <c r="X67" s="1385" t="s">
        <v>2972</v>
      </c>
      <c r="Y67" s="1385"/>
      <c r="Z67" s="1385"/>
      <c r="AA67" s="1385"/>
      <c r="AB67" s="1385"/>
      <c r="AC67" s="1385"/>
      <c r="AD67" s="1385"/>
      <c r="AE67" s="1385"/>
      <c r="AF67" s="1385"/>
    </row>
    <row r="68" spans="1:75" s="1" customFormat="1" ht="48" customHeight="1" x14ac:dyDescent="0.3">
      <c r="A68" s="855" t="s">
        <v>2973</v>
      </c>
      <c r="B68" s="855"/>
      <c r="C68" s="855"/>
      <c r="D68" s="855"/>
      <c r="E68" s="856" t="s">
        <v>2974</v>
      </c>
      <c r="F68" s="856"/>
      <c r="G68" s="856"/>
      <c r="H68" s="856"/>
      <c r="I68" s="856"/>
      <c r="J68" s="856"/>
      <c r="K68" s="856"/>
      <c r="L68" s="856"/>
      <c r="M68" s="856"/>
      <c r="N68" s="856"/>
      <c r="O68" s="856"/>
      <c r="P68" s="1586" t="s">
        <v>2984</v>
      </c>
      <c r="Q68" s="1586"/>
      <c r="R68" s="1586"/>
      <c r="S68" s="1586"/>
      <c r="T68" s="2564" t="s">
        <v>20</v>
      </c>
      <c r="U68" s="2564"/>
      <c r="V68" s="2564"/>
      <c r="W68" s="2564"/>
      <c r="X68" s="1385" t="s">
        <v>2985</v>
      </c>
      <c r="Y68" s="1385"/>
      <c r="Z68" s="1385"/>
      <c r="AA68" s="1385"/>
      <c r="AB68" s="1385"/>
      <c r="AC68" s="1385"/>
      <c r="AD68" s="1385"/>
      <c r="AE68" s="1385"/>
      <c r="AF68" s="1385"/>
    </row>
    <row r="69" spans="1:75" s="1" customFormat="1" ht="78" customHeight="1" x14ac:dyDescent="0.3">
      <c r="A69" s="2208" t="s">
        <v>2975</v>
      </c>
      <c r="B69" s="855"/>
      <c r="C69" s="855"/>
      <c r="D69" s="855"/>
      <c r="E69" s="856" t="s">
        <v>2983</v>
      </c>
      <c r="F69" s="856"/>
      <c r="G69" s="856"/>
      <c r="H69" s="856"/>
      <c r="I69" s="856"/>
      <c r="J69" s="856"/>
      <c r="K69" s="856"/>
      <c r="L69" s="856"/>
      <c r="M69" s="856"/>
      <c r="N69" s="856"/>
      <c r="O69" s="856"/>
      <c r="P69" s="1586">
        <v>0.9</v>
      </c>
      <c r="Q69" s="1586"/>
      <c r="R69" s="1586"/>
      <c r="S69" s="1586"/>
      <c r="T69" s="2564" t="s">
        <v>20</v>
      </c>
      <c r="U69" s="2564"/>
      <c r="V69" s="2564"/>
      <c r="W69" s="2564"/>
      <c r="X69" s="1385" t="s">
        <v>2976</v>
      </c>
      <c r="Y69" s="1385"/>
      <c r="Z69" s="1385"/>
      <c r="AA69" s="1385"/>
      <c r="AB69" s="1385"/>
      <c r="AC69" s="1385"/>
      <c r="AD69" s="1385"/>
      <c r="AE69" s="1385"/>
      <c r="AF69" s="1385"/>
    </row>
    <row r="70" spans="1:75" s="1" customFormat="1" ht="36.75" customHeight="1" x14ac:dyDescent="0.3">
      <c r="A70" s="2208" t="s">
        <v>2977</v>
      </c>
      <c r="B70" s="855"/>
      <c r="C70" s="855"/>
      <c r="D70" s="855"/>
      <c r="E70" s="856" t="s">
        <v>2978</v>
      </c>
      <c r="F70" s="856"/>
      <c r="G70" s="856"/>
      <c r="H70" s="856"/>
      <c r="I70" s="856"/>
      <c r="J70" s="856"/>
      <c r="K70" s="856"/>
      <c r="L70" s="856"/>
      <c r="M70" s="856"/>
      <c r="N70" s="856"/>
      <c r="O70" s="856"/>
      <c r="P70" s="1586">
        <v>8.2000000000000003E-2</v>
      </c>
      <c r="Q70" s="1586"/>
      <c r="R70" s="1586"/>
      <c r="S70" s="1586"/>
      <c r="T70" s="1275" t="s">
        <v>18</v>
      </c>
      <c r="U70" s="1275"/>
      <c r="V70" s="1275"/>
      <c r="W70" s="1275"/>
      <c r="X70" s="1385" t="s">
        <v>2979</v>
      </c>
      <c r="Y70" s="1385"/>
      <c r="Z70" s="1385"/>
      <c r="AA70" s="1385"/>
      <c r="AB70" s="1385"/>
      <c r="AC70" s="1385"/>
      <c r="AD70" s="1385"/>
      <c r="AE70" s="1385"/>
      <c r="AF70" s="1385"/>
    </row>
    <row r="71" spans="1:75" s="1" customFormat="1" ht="37.5" customHeight="1" x14ac:dyDescent="0.3">
      <c r="A71" s="2208" t="s">
        <v>2980</v>
      </c>
      <c r="B71" s="855"/>
      <c r="C71" s="855"/>
      <c r="D71" s="855"/>
      <c r="E71" s="856" t="s">
        <v>2981</v>
      </c>
      <c r="F71" s="856"/>
      <c r="G71" s="856"/>
      <c r="H71" s="856"/>
      <c r="I71" s="856"/>
      <c r="J71" s="856"/>
      <c r="K71" s="856"/>
      <c r="L71" s="856"/>
      <c r="M71" s="856"/>
      <c r="N71" s="856"/>
      <c r="O71" s="856"/>
      <c r="P71" s="2312">
        <v>1292</v>
      </c>
      <c r="Q71" s="2312"/>
      <c r="R71" s="2312"/>
      <c r="S71" s="2312"/>
      <c r="T71" s="1275" t="s">
        <v>1597</v>
      </c>
      <c r="U71" s="1275"/>
      <c r="V71" s="1275"/>
      <c r="W71" s="1275"/>
      <c r="X71" s="1385" t="s">
        <v>2979</v>
      </c>
      <c r="Y71" s="1385"/>
      <c r="Z71" s="1385"/>
      <c r="AA71" s="1385"/>
      <c r="AB71" s="1385"/>
      <c r="AC71" s="1385"/>
      <c r="AD71" s="1385"/>
      <c r="AE71" s="1385"/>
      <c r="AF71" s="1385"/>
    </row>
    <row r="72" spans="1:75" s="1" customFormat="1" ht="60.75" customHeight="1" x14ac:dyDescent="0.3">
      <c r="A72" s="855" t="s">
        <v>34</v>
      </c>
      <c r="B72" s="855" t="s">
        <v>34</v>
      </c>
      <c r="C72" s="855" t="s">
        <v>34</v>
      </c>
      <c r="D72" s="855" t="s">
        <v>34</v>
      </c>
      <c r="E72" s="856" t="s">
        <v>644</v>
      </c>
      <c r="F72" s="856" t="s">
        <v>446</v>
      </c>
      <c r="G72" s="856" t="s">
        <v>446</v>
      </c>
      <c r="H72" s="856" t="s">
        <v>446</v>
      </c>
      <c r="I72" s="856" t="s">
        <v>446</v>
      </c>
      <c r="J72" s="856" t="s">
        <v>446</v>
      </c>
      <c r="K72" s="856" t="s">
        <v>446</v>
      </c>
      <c r="L72" s="856" t="s">
        <v>446</v>
      </c>
      <c r="M72" s="856" t="s">
        <v>446</v>
      </c>
      <c r="N72" s="856" t="s">
        <v>446</v>
      </c>
      <c r="O72" s="856" t="s">
        <v>446</v>
      </c>
      <c r="P72" s="1586">
        <v>0.93</v>
      </c>
      <c r="Q72" s="1586">
        <v>0.93</v>
      </c>
      <c r="R72" s="1586">
        <v>0.93</v>
      </c>
      <c r="S72" s="1586">
        <v>0.93</v>
      </c>
      <c r="T72" s="1275" t="s">
        <v>20</v>
      </c>
      <c r="U72" s="1275"/>
      <c r="V72" s="1275"/>
      <c r="W72" s="1275"/>
      <c r="X72" s="1186" t="s">
        <v>2986</v>
      </c>
      <c r="Y72" s="1186"/>
      <c r="Z72" s="1186"/>
      <c r="AA72" s="1186"/>
      <c r="AB72" s="1186"/>
      <c r="AC72" s="1186"/>
      <c r="AD72" s="1186"/>
      <c r="AE72" s="1186"/>
      <c r="AF72" s="1186"/>
    </row>
    <row r="73" spans="1:75" s="1" customFormat="1" ht="61.5" customHeight="1" x14ac:dyDescent="0.3">
      <c r="A73" s="855" t="s">
        <v>235</v>
      </c>
      <c r="B73" s="855" t="s">
        <v>206</v>
      </c>
      <c r="C73" s="855" t="s">
        <v>206</v>
      </c>
      <c r="D73" s="855" t="s">
        <v>206</v>
      </c>
      <c r="E73" s="856" t="s">
        <v>1535</v>
      </c>
      <c r="F73" s="856" t="s">
        <v>523</v>
      </c>
      <c r="G73" s="856" t="s">
        <v>523</v>
      </c>
      <c r="H73" s="856" t="s">
        <v>523</v>
      </c>
      <c r="I73" s="856" t="s">
        <v>523</v>
      </c>
      <c r="J73" s="856" t="s">
        <v>523</v>
      </c>
      <c r="K73" s="856" t="s">
        <v>523</v>
      </c>
      <c r="L73" s="856" t="s">
        <v>523</v>
      </c>
      <c r="M73" s="856" t="s">
        <v>523</v>
      </c>
      <c r="N73" s="856" t="s">
        <v>523</v>
      </c>
      <c r="O73" s="856" t="s">
        <v>523</v>
      </c>
      <c r="P73" s="2312" t="s">
        <v>1470</v>
      </c>
      <c r="Q73" s="2312">
        <v>8760</v>
      </c>
      <c r="R73" s="2312">
        <v>8760</v>
      </c>
      <c r="S73" s="2312">
        <v>8760</v>
      </c>
      <c r="T73" s="1275" t="s">
        <v>37</v>
      </c>
      <c r="U73" s="1275"/>
      <c r="V73" s="1275"/>
      <c r="W73" s="1275"/>
      <c r="X73" s="1186" t="s">
        <v>2845</v>
      </c>
      <c r="Y73" s="1186"/>
      <c r="Z73" s="1186"/>
      <c r="AA73" s="1186"/>
      <c r="AB73" s="1186"/>
      <c r="AC73" s="1186"/>
      <c r="AD73" s="1186"/>
      <c r="AE73" s="1186"/>
      <c r="AF73" s="1186"/>
    </row>
    <row r="74" spans="1:75" s="1" customFormat="1" ht="93.75" customHeight="1" x14ac:dyDescent="0.3">
      <c r="A74" s="855" t="s">
        <v>443</v>
      </c>
      <c r="B74" s="855" t="s">
        <v>443</v>
      </c>
      <c r="C74" s="855" t="s">
        <v>443</v>
      </c>
      <c r="D74" s="855" t="s">
        <v>443</v>
      </c>
      <c r="E74" s="856" t="s">
        <v>1460</v>
      </c>
      <c r="F74" s="856" t="s">
        <v>444</v>
      </c>
      <c r="G74" s="856" t="s">
        <v>444</v>
      </c>
      <c r="H74" s="856" t="s">
        <v>444</v>
      </c>
      <c r="I74" s="856" t="s">
        <v>444</v>
      </c>
      <c r="J74" s="856" t="s">
        <v>444</v>
      </c>
      <c r="K74" s="856" t="s">
        <v>444</v>
      </c>
      <c r="L74" s="856" t="s">
        <v>444</v>
      </c>
      <c r="M74" s="856" t="s">
        <v>444</v>
      </c>
      <c r="N74" s="856" t="s">
        <v>444</v>
      </c>
      <c r="O74" s="856" t="s">
        <v>444</v>
      </c>
      <c r="P74" s="2591" t="s">
        <v>2202</v>
      </c>
      <c r="Q74" s="2591"/>
      <c r="R74" s="2591"/>
      <c r="S74" s="2591"/>
      <c r="T74" s="1275" t="s">
        <v>20</v>
      </c>
      <c r="U74" s="1275"/>
      <c r="V74" s="1275"/>
      <c r="W74" s="1275"/>
      <c r="X74" s="1186" t="s">
        <v>2846</v>
      </c>
      <c r="Y74" s="1186"/>
      <c r="Z74" s="1186"/>
      <c r="AA74" s="1186"/>
      <c r="AB74" s="1186"/>
      <c r="AC74" s="1186"/>
      <c r="AD74" s="1186"/>
      <c r="AE74" s="1186"/>
      <c r="AF74" s="1186"/>
    </row>
    <row r="75" spans="1:75" s="1" customFormat="1" ht="30" customHeight="1" x14ac:dyDescent="0.3">
      <c r="A75" s="1154" t="s">
        <v>1869</v>
      </c>
      <c r="B75" s="1155" t="s">
        <v>26</v>
      </c>
      <c r="C75" s="1155" t="s">
        <v>26</v>
      </c>
      <c r="D75" s="1156" t="s">
        <v>26</v>
      </c>
      <c r="E75" s="856" t="s">
        <v>2050</v>
      </c>
      <c r="F75" s="856" t="s">
        <v>208</v>
      </c>
      <c r="G75" s="856" t="s">
        <v>208</v>
      </c>
      <c r="H75" s="856" t="s">
        <v>208</v>
      </c>
      <c r="I75" s="856" t="s">
        <v>208</v>
      </c>
      <c r="J75" s="856" t="s">
        <v>208</v>
      </c>
      <c r="K75" s="856" t="s">
        <v>208</v>
      </c>
      <c r="L75" s="856" t="s">
        <v>208</v>
      </c>
      <c r="M75" s="856" t="s">
        <v>208</v>
      </c>
      <c r="N75" s="856" t="s">
        <v>208</v>
      </c>
      <c r="O75" s="856" t="s">
        <v>208</v>
      </c>
      <c r="P75" s="1586">
        <f>'Master EUL'!X12</f>
        <v>18</v>
      </c>
      <c r="Q75" s="1586" t="s">
        <v>347</v>
      </c>
      <c r="R75" s="1586" t="s">
        <v>347</v>
      </c>
      <c r="S75" s="1586" t="s">
        <v>347</v>
      </c>
      <c r="T75" s="1275" t="s">
        <v>38</v>
      </c>
      <c r="U75" s="1275"/>
      <c r="V75" s="1275"/>
      <c r="W75" s="1275"/>
      <c r="X75" s="1186" t="s">
        <v>1518</v>
      </c>
      <c r="Y75" s="1186"/>
      <c r="Z75" s="1186"/>
      <c r="AA75" s="1186"/>
      <c r="AB75" s="1186"/>
      <c r="AC75" s="1186"/>
      <c r="AD75" s="1186"/>
      <c r="AE75" s="1186"/>
      <c r="AF75" s="1186"/>
    </row>
    <row r="76" spans="1:75" s="1" customFormat="1" ht="54" customHeight="1" x14ac:dyDescent="0.3">
      <c r="A76" s="1270" t="s">
        <v>2708</v>
      </c>
      <c r="B76" s="1270"/>
      <c r="C76" s="1270"/>
      <c r="D76" s="1270"/>
      <c r="E76" s="1270"/>
      <c r="F76" s="1270"/>
      <c r="G76" s="1270"/>
      <c r="H76" s="1270"/>
      <c r="I76" s="1270"/>
      <c r="J76" s="1270"/>
      <c r="K76" s="1270"/>
      <c r="L76" s="1270"/>
      <c r="M76" s="1270"/>
      <c r="N76" s="1270"/>
      <c r="O76" s="1270"/>
      <c r="P76" s="1270"/>
      <c r="Q76" s="1270"/>
      <c r="R76" s="1270"/>
      <c r="S76" s="1270"/>
      <c r="T76" s="1270"/>
      <c r="U76" s="1270"/>
      <c r="V76" s="1270"/>
      <c r="W76" s="1270"/>
      <c r="X76" s="1270"/>
      <c r="Y76" s="1270"/>
      <c r="Z76" s="1270"/>
      <c r="AA76" s="1270"/>
      <c r="AB76" s="1270"/>
      <c r="AC76" s="1270"/>
      <c r="AD76" s="1270"/>
      <c r="AE76" s="1270"/>
      <c r="AF76" s="1270"/>
    </row>
    <row r="77" spans="1:75" s="1" customFormat="1" ht="33" customHeight="1" x14ac:dyDescent="0.3">
      <c r="A77" s="1082" t="s">
        <v>2987</v>
      </c>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c r="AA77" s="1082"/>
      <c r="AB77" s="1082"/>
      <c r="AC77" s="1082"/>
      <c r="AD77" s="1082"/>
      <c r="AE77" s="1082"/>
      <c r="AF77" s="1082"/>
      <c r="AR77" s="316"/>
      <c r="AS77" s="316"/>
      <c r="AT77" s="316"/>
      <c r="AU77" s="316"/>
      <c r="AV77" s="316"/>
      <c r="AW77" s="316"/>
      <c r="AX77" s="316"/>
      <c r="AY77" s="316"/>
      <c r="AZ77" s="316"/>
      <c r="BA77" s="316"/>
      <c r="BB77" s="316"/>
      <c r="BC77" s="316"/>
      <c r="BD77" s="316"/>
      <c r="BE77" s="316"/>
      <c r="BF77" s="316"/>
      <c r="BG77" s="316"/>
      <c r="BH77" s="316"/>
      <c r="BI77" s="316"/>
      <c r="BJ77" s="316"/>
      <c r="BK77" s="316"/>
      <c r="BL77" s="316"/>
      <c r="BM77" s="316"/>
      <c r="BN77" s="316"/>
      <c r="BO77" s="316"/>
      <c r="BP77" s="316"/>
      <c r="BQ77" s="316"/>
      <c r="BR77" s="316"/>
      <c r="BS77" s="316"/>
      <c r="BT77" s="316"/>
      <c r="BU77" s="316"/>
      <c r="BV77" s="316"/>
      <c r="BW77" s="316"/>
    </row>
    <row r="78" spans="1:75" s="1" customFormat="1" ht="95.25" customHeight="1" x14ac:dyDescent="0.3">
      <c r="A78" s="1082" t="s">
        <v>2988</v>
      </c>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c r="AA78" s="1082"/>
      <c r="AB78" s="1082"/>
      <c r="AC78" s="1082"/>
      <c r="AD78" s="1082"/>
      <c r="AE78" s="1082"/>
      <c r="AF78" s="1082"/>
      <c r="AR78" s="316"/>
      <c r="AS78" s="316"/>
      <c r="AT78" s="316"/>
      <c r="AU78" s="316"/>
      <c r="AV78" s="316"/>
      <c r="AW78" s="316"/>
      <c r="AX78" s="316"/>
      <c r="AY78" s="316"/>
      <c r="AZ78" s="316"/>
      <c r="BA78" s="316"/>
      <c r="BB78" s="316"/>
      <c r="BC78" s="316"/>
      <c r="BD78" s="316"/>
      <c r="BE78" s="316"/>
      <c r="BF78" s="316"/>
      <c r="BG78" s="316"/>
      <c r="BH78" s="316"/>
      <c r="BI78" s="316"/>
      <c r="BJ78" s="316"/>
      <c r="BK78" s="316"/>
      <c r="BL78" s="316"/>
      <c r="BM78" s="316"/>
      <c r="BN78" s="316"/>
      <c r="BO78" s="316"/>
      <c r="BP78" s="316"/>
      <c r="BQ78" s="316"/>
      <c r="BR78" s="316"/>
      <c r="BS78" s="316"/>
      <c r="BT78" s="316"/>
      <c r="BU78" s="316"/>
      <c r="BV78" s="316"/>
      <c r="BW78" s="316"/>
    </row>
    <row r="79" spans="1:75" s="1" customFormat="1" ht="60" customHeight="1" x14ac:dyDescent="0.3">
      <c r="A79" s="1082" t="s">
        <v>2989</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75" s="1" customFormat="1" ht="139.5" customHeight="1" x14ac:dyDescent="0.3">
      <c r="A80" s="1082" t="s">
        <v>2131</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4" s="1" customFormat="1" ht="14.4" customHeight="1" x14ac:dyDescent="0.3">
      <c r="A81" s="8"/>
      <c r="B81" s="8"/>
      <c r="C81" s="8"/>
      <c r="D81" s="8"/>
      <c r="E81" s="2"/>
      <c r="F81" s="2"/>
      <c r="G81" s="2"/>
      <c r="H81" s="2"/>
      <c r="I81" s="2"/>
      <c r="J81" s="2"/>
      <c r="K81" s="2"/>
      <c r="L81" s="2"/>
      <c r="M81" s="2"/>
      <c r="N81" s="2"/>
      <c r="O81" s="2"/>
      <c r="P81" s="148"/>
      <c r="Q81" s="148"/>
      <c r="R81" s="148"/>
      <c r="S81" s="148"/>
      <c r="T81" s="7"/>
      <c r="U81" s="7"/>
      <c r="V81" s="7"/>
      <c r="W81" s="7"/>
      <c r="X81" s="7"/>
      <c r="Y81" s="7"/>
      <c r="Z81" s="7"/>
      <c r="AA81" s="7"/>
      <c r="AB81" s="7"/>
      <c r="AC81" s="7"/>
      <c r="AD81" s="7"/>
      <c r="AE81" s="7"/>
      <c r="AF81" s="7"/>
    </row>
    <row r="82" spans="1:34" s="1" customFormat="1" ht="18" customHeight="1" x14ac:dyDescent="0.3">
      <c r="A82" s="3" t="s">
        <v>1484</v>
      </c>
      <c r="B82" s="3"/>
      <c r="C82" s="8"/>
      <c r="D82" s="8"/>
      <c r="E82" s="2"/>
      <c r="F82" s="2"/>
      <c r="G82" s="2"/>
      <c r="H82" s="2"/>
      <c r="I82" s="2"/>
      <c r="J82" s="2"/>
      <c r="K82" s="2"/>
      <c r="L82" s="2"/>
      <c r="M82" s="2"/>
      <c r="N82" s="2"/>
      <c r="O82" s="3" t="s">
        <v>3031</v>
      </c>
      <c r="P82" s="148"/>
      <c r="Q82" s="148"/>
      <c r="R82" s="148"/>
      <c r="S82" s="148"/>
      <c r="T82" s="7"/>
      <c r="U82" s="7"/>
      <c r="V82" s="7"/>
      <c r="W82" s="7"/>
      <c r="X82" s="7"/>
      <c r="Y82" s="7"/>
      <c r="Z82" s="7"/>
      <c r="AA82" s="7"/>
      <c r="AB82" s="7"/>
      <c r="AC82" s="7"/>
      <c r="AD82" s="7"/>
      <c r="AE82" s="7"/>
      <c r="AF82" s="7"/>
    </row>
    <row r="83" spans="1:34" s="1" customFormat="1" ht="29.4" customHeight="1" x14ac:dyDescent="0.3">
      <c r="A83" s="1259" t="s">
        <v>1487</v>
      </c>
      <c r="B83" s="1260"/>
      <c r="C83" s="1260"/>
      <c r="D83" s="1260"/>
      <c r="E83" s="1260"/>
      <c r="F83" s="1260"/>
      <c r="G83" s="1421"/>
      <c r="H83" s="3268" t="s">
        <v>1485</v>
      </c>
      <c r="I83" s="3268"/>
      <c r="J83" s="3268"/>
      <c r="K83" s="3268"/>
      <c r="L83" s="225"/>
      <c r="M83" s="224"/>
      <c r="N83" s="224"/>
      <c r="O83" s="1143" t="s">
        <v>1494</v>
      </c>
      <c r="P83" s="1143"/>
      <c r="Q83" s="1143"/>
      <c r="R83" s="1143" t="s">
        <v>1495</v>
      </c>
      <c r="S83" s="1143"/>
      <c r="T83" s="1143"/>
      <c r="U83" s="1143"/>
      <c r="V83" s="1143"/>
      <c r="W83" s="1143"/>
      <c r="X83" s="1143"/>
      <c r="Y83" s="1143"/>
      <c r="Z83" s="1143"/>
      <c r="AA83" s="1143"/>
      <c r="AB83" s="1143"/>
      <c r="AC83" s="1143"/>
      <c r="AD83" s="1143"/>
      <c r="AE83" s="224"/>
      <c r="AF83" s="224"/>
      <c r="AG83" s="224"/>
      <c r="AH83" s="224"/>
    </row>
    <row r="84" spans="1:34" s="1" customFormat="1" ht="14.4" x14ac:dyDescent="0.3">
      <c r="A84" s="2940" t="s">
        <v>1486</v>
      </c>
      <c r="B84" s="2941"/>
      <c r="C84" s="2941"/>
      <c r="D84" s="2941"/>
      <c r="E84" s="2941"/>
      <c r="F84" s="2941"/>
      <c r="G84" s="2942"/>
      <c r="H84" s="2146">
        <v>3.16</v>
      </c>
      <c r="I84" s="2146"/>
      <c r="J84" s="2146"/>
      <c r="K84" s="2146"/>
      <c r="L84" s="225"/>
      <c r="M84" s="224"/>
      <c r="N84" s="224"/>
      <c r="O84" s="1143"/>
      <c r="P84" s="1143"/>
      <c r="Q84" s="1143"/>
      <c r="R84" s="1143" t="s">
        <v>2789</v>
      </c>
      <c r="S84" s="1143"/>
      <c r="T84" s="1143"/>
      <c r="U84" s="1143" t="s">
        <v>2990</v>
      </c>
      <c r="V84" s="1143"/>
      <c r="W84" s="1143"/>
      <c r="X84" s="1143" t="s">
        <v>658</v>
      </c>
      <c r="Y84" s="1143"/>
      <c r="Z84" s="1143"/>
      <c r="AA84" s="1143" t="s">
        <v>1486</v>
      </c>
      <c r="AB84" s="1143"/>
      <c r="AC84" s="1143"/>
      <c r="AD84" s="1143"/>
      <c r="AE84" s="224"/>
      <c r="AF84" s="224"/>
      <c r="AG84" s="224"/>
      <c r="AH84" s="224"/>
    </row>
    <row r="85" spans="1:34" s="1" customFormat="1" ht="29.4" customHeight="1" x14ac:dyDescent="0.3">
      <c r="A85" s="1794" t="s">
        <v>2847</v>
      </c>
      <c r="B85" s="1795"/>
      <c r="C85" s="1795"/>
      <c r="D85" s="1795"/>
      <c r="E85" s="1795"/>
      <c r="F85" s="1795"/>
      <c r="G85" s="1796"/>
      <c r="H85" s="2146">
        <v>2.56</v>
      </c>
      <c r="I85" s="2146"/>
      <c r="J85" s="2146"/>
      <c r="K85" s="2146"/>
      <c r="L85" s="225"/>
      <c r="M85" s="224"/>
      <c r="N85" s="224"/>
      <c r="O85" s="1275" t="s">
        <v>2991</v>
      </c>
      <c r="P85" s="1275"/>
      <c r="Q85" s="1275"/>
      <c r="R85" s="1269">
        <v>3569</v>
      </c>
      <c r="S85" s="1269"/>
      <c r="T85" s="1269"/>
      <c r="U85" s="1269">
        <v>3564</v>
      </c>
      <c r="V85" s="1269"/>
      <c r="W85" s="1269"/>
      <c r="X85" s="1269">
        <v>3567</v>
      </c>
      <c r="Y85" s="1269"/>
      <c r="Z85" s="1269"/>
      <c r="AA85" s="1269">
        <v>3564</v>
      </c>
      <c r="AB85" s="1269"/>
      <c r="AC85" s="1269"/>
      <c r="AD85" s="1269"/>
      <c r="AE85" s="224"/>
      <c r="AF85" s="224"/>
      <c r="AG85" s="224"/>
      <c r="AH85" s="224"/>
    </row>
    <row r="86" spans="1:34" s="1" customFormat="1" ht="30.6" customHeight="1" x14ac:dyDescent="0.3">
      <c r="A86" s="1794" t="s">
        <v>2995</v>
      </c>
      <c r="B86" s="1795"/>
      <c r="C86" s="1795"/>
      <c r="D86" s="1795"/>
      <c r="E86" s="1795"/>
      <c r="F86" s="1795"/>
      <c r="G86" s="1796"/>
      <c r="H86" s="2146">
        <v>2.96</v>
      </c>
      <c r="I86" s="2146"/>
      <c r="J86" s="2146"/>
      <c r="K86" s="2146"/>
      <c r="L86" s="225"/>
      <c r="M86" s="224"/>
      <c r="N86" s="224"/>
      <c r="O86" s="1275" t="s">
        <v>1397</v>
      </c>
      <c r="P86" s="1275"/>
      <c r="Q86" s="1275"/>
      <c r="R86" s="1275">
        <v>0.53</v>
      </c>
      <c r="S86" s="1275"/>
      <c r="T86" s="1275"/>
      <c r="U86" s="1243">
        <v>0.53</v>
      </c>
      <c r="V86" s="1244"/>
      <c r="W86" s="1245"/>
      <c r="X86" s="1243">
        <v>0.53</v>
      </c>
      <c r="Y86" s="1244"/>
      <c r="Z86" s="1245"/>
      <c r="AA86" s="1275">
        <v>0.53</v>
      </c>
      <c r="AB86" s="1275"/>
      <c r="AC86" s="1275"/>
      <c r="AD86" s="1275"/>
      <c r="AE86" s="224"/>
      <c r="AF86" s="224"/>
      <c r="AG86" s="224"/>
      <c r="AH86" s="224"/>
    </row>
    <row r="87" spans="1:34" s="1" customFormat="1" ht="29.1" customHeight="1" x14ac:dyDescent="0.3">
      <c r="A87" s="1794" t="s">
        <v>1488</v>
      </c>
      <c r="B87" s="1795"/>
      <c r="C87" s="1795"/>
      <c r="D87" s="1795"/>
      <c r="E87" s="1795"/>
      <c r="F87" s="1795"/>
      <c r="G87" s="1796"/>
      <c r="H87" s="2146">
        <v>3.04</v>
      </c>
      <c r="I87" s="2146"/>
      <c r="J87" s="2146"/>
      <c r="K87" s="2146"/>
      <c r="L87" s="225"/>
      <c r="M87" s="224"/>
      <c r="N87" s="224"/>
      <c r="O87" s="1275" t="s">
        <v>2992</v>
      </c>
      <c r="P87" s="1275"/>
      <c r="Q87" s="1275"/>
      <c r="R87" s="1275">
        <v>75</v>
      </c>
      <c r="S87" s="1275"/>
      <c r="T87" s="1275"/>
      <c r="U87" s="1243">
        <v>75</v>
      </c>
      <c r="V87" s="1244"/>
      <c r="W87" s="1245"/>
      <c r="X87" s="1243">
        <v>71</v>
      </c>
      <c r="Y87" s="1244"/>
      <c r="Z87" s="1245"/>
      <c r="AA87" s="1275">
        <v>75</v>
      </c>
      <c r="AB87" s="1275"/>
      <c r="AC87" s="1275"/>
      <c r="AD87" s="1275"/>
      <c r="AE87" s="224"/>
      <c r="AF87" s="224"/>
      <c r="AG87" s="224"/>
      <c r="AH87" s="224"/>
    </row>
    <row r="88" spans="1:34" s="1" customFormat="1" ht="38.25" customHeight="1" x14ac:dyDescent="0.3">
      <c r="A88" s="1794" t="s">
        <v>1490</v>
      </c>
      <c r="B88" s="1795"/>
      <c r="C88" s="1795"/>
      <c r="D88" s="1795"/>
      <c r="E88" s="1795"/>
      <c r="F88" s="1795"/>
      <c r="G88" s="1796"/>
      <c r="H88" s="2146">
        <v>3.16</v>
      </c>
      <c r="I88" s="2146"/>
      <c r="J88" s="2146"/>
      <c r="K88" s="2146"/>
      <c r="L88" s="225"/>
      <c r="M88" s="224"/>
      <c r="N88" s="224"/>
      <c r="O88" s="2925" t="s">
        <v>2993</v>
      </c>
      <c r="P88" s="2925"/>
      <c r="Q88" s="2925"/>
      <c r="R88" s="2925"/>
      <c r="S88" s="2925"/>
      <c r="T88" s="2925"/>
      <c r="U88" s="2925"/>
      <c r="V88" s="2925"/>
      <c r="W88" s="2925"/>
      <c r="X88" s="2925"/>
      <c r="Y88" s="2925"/>
      <c r="Z88" s="2925"/>
      <c r="AA88" s="2925"/>
      <c r="AB88" s="2925"/>
      <c r="AC88" s="2925"/>
      <c r="AD88" s="2925"/>
      <c r="AE88" s="224"/>
      <c r="AF88" s="224"/>
      <c r="AG88" s="224"/>
      <c r="AH88" s="224"/>
    </row>
    <row r="89" spans="1:34" s="1" customFormat="1" ht="44.25" customHeight="1" x14ac:dyDescent="0.3">
      <c r="A89" s="1794" t="s">
        <v>1491</v>
      </c>
      <c r="B89" s="1795"/>
      <c r="C89" s="1795"/>
      <c r="D89" s="1795"/>
      <c r="E89" s="1795"/>
      <c r="F89" s="1795"/>
      <c r="G89" s="1796"/>
      <c r="H89" s="2342">
        <v>2.34</v>
      </c>
      <c r="I89" s="2342"/>
      <c r="J89" s="2342"/>
      <c r="K89" s="2342"/>
      <c r="L89" s="225"/>
      <c r="M89" s="224"/>
      <c r="N89" s="224"/>
      <c r="O89" s="948" t="s">
        <v>2994</v>
      </c>
      <c r="P89" s="948"/>
      <c r="Q89" s="948"/>
      <c r="R89" s="948"/>
      <c r="S89" s="948"/>
      <c r="T89" s="948"/>
      <c r="U89" s="948"/>
      <c r="V89" s="948"/>
      <c r="W89" s="948"/>
      <c r="X89" s="948"/>
      <c r="Y89" s="948"/>
      <c r="Z89" s="948"/>
      <c r="AA89" s="948"/>
      <c r="AB89" s="948"/>
      <c r="AC89" s="948"/>
      <c r="AD89" s="948"/>
      <c r="AE89" s="224"/>
      <c r="AF89" s="224"/>
      <c r="AG89" s="224"/>
      <c r="AH89" s="224"/>
    </row>
    <row r="90" spans="1:34" s="1" customFormat="1" ht="30.9" customHeight="1" x14ac:dyDescent="0.3">
      <c r="A90" s="1794" t="s">
        <v>1489</v>
      </c>
      <c r="B90" s="1795"/>
      <c r="C90" s="1795"/>
      <c r="D90" s="1795"/>
      <c r="E90" s="1795"/>
      <c r="F90" s="1795"/>
      <c r="G90" s="1796"/>
      <c r="H90" s="2146">
        <v>3.82</v>
      </c>
      <c r="I90" s="2146"/>
      <c r="J90" s="2146"/>
      <c r="K90" s="2146"/>
      <c r="L90" s="225"/>
      <c r="M90" s="230"/>
      <c r="N90" s="230"/>
      <c r="O90" s="229"/>
      <c r="P90" s="229"/>
      <c r="Q90" s="229"/>
      <c r="R90" s="229"/>
      <c r="S90" s="229"/>
      <c r="T90" s="229"/>
      <c r="U90" s="229"/>
      <c r="V90" s="229"/>
      <c r="W90" s="229"/>
      <c r="X90" s="229"/>
      <c r="Y90" s="229"/>
      <c r="Z90" s="229"/>
      <c r="AA90" s="229"/>
      <c r="AB90" s="229"/>
      <c r="AC90" s="229"/>
      <c r="AD90" s="229"/>
      <c r="AE90" s="229"/>
      <c r="AF90" s="224"/>
      <c r="AG90" s="224"/>
      <c r="AH90" s="224"/>
    </row>
    <row r="91" spans="1:34" s="1" customFormat="1" ht="14.4" customHeight="1" x14ac:dyDescent="0.3">
      <c r="A91" s="113" t="s">
        <v>1492</v>
      </c>
      <c r="B91" s="8"/>
      <c r="C91" s="8"/>
      <c r="D91" s="8"/>
      <c r="E91" s="2"/>
      <c r="F91" s="2"/>
      <c r="G91" s="2"/>
      <c r="H91" s="2"/>
      <c r="I91" s="2"/>
      <c r="J91" s="2"/>
      <c r="K91" s="2"/>
      <c r="L91" s="2"/>
      <c r="M91" s="2"/>
      <c r="N91" s="2"/>
      <c r="O91" s="2"/>
      <c r="P91" s="148"/>
      <c r="Q91" s="148"/>
      <c r="R91" s="148"/>
      <c r="S91" s="148"/>
      <c r="T91" s="7"/>
      <c r="U91" s="7"/>
      <c r="V91" s="7"/>
      <c r="W91" s="7"/>
      <c r="X91" s="7"/>
      <c r="Y91" s="7"/>
      <c r="Z91" s="7"/>
      <c r="AA91" s="7"/>
      <c r="AB91" s="7"/>
      <c r="AC91" s="7"/>
      <c r="AD91" s="7"/>
      <c r="AE91" s="7"/>
      <c r="AF91" s="7"/>
    </row>
    <row r="92" spans="1:34" s="1" customFormat="1" ht="14.4" customHeight="1" x14ac:dyDescent="0.3">
      <c r="A92" s="113" t="s">
        <v>1493</v>
      </c>
      <c r="B92" s="8"/>
      <c r="C92" s="8"/>
      <c r="D92" s="8"/>
      <c r="E92" s="2"/>
      <c r="F92" s="2"/>
      <c r="G92" s="2"/>
      <c r="H92" s="2"/>
      <c r="I92" s="2"/>
      <c r="J92" s="2"/>
      <c r="K92" s="2"/>
      <c r="L92" s="2"/>
      <c r="M92" s="2"/>
      <c r="N92" s="2"/>
      <c r="O92" s="2"/>
      <c r="P92" s="148"/>
      <c r="Q92" s="148"/>
      <c r="R92" s="148"/>
      <c r="S92" s="148"/>
      <c r="T92" s="7"/>
      <c r="U92" s="7"/>
      <c r="V92" s="7"/>
      <c r="W92" s="7"/>
      <c r="X92" s="7"/>
      <c r="Y92" s="7"/>
      <c r="Z92" s="7"/>
      <c r="AA92" s="7"/>
      <c r="AB92" s="7"/>
      <c r="AC92" s="7"/>
      <c r="AD92" s="7"/>
      <c r="AE92" s="7"/>
      <c r="AF92" s="7"/>
    </row>
    <row r="93" spans="1:34" s="1" customFormat="1" ht="41.25" customHeight="1" x14ac:dyDescent="0.3">
      <c r="A93" s="1994" t="s">
        <v>3904</v>
      </c>
      <c r="B93" s="1994"/>
      <c r="C93" s="1994"/>
      <c r="D93" s="1994"/>
      <c r="E93" s="1994"/>
      <c r="F93" s="1994"/>
      <c r="G93" s="1994"/>
      <c r="H93" s="1994"/>
      <c r="I93" s="1994"/>
      <c r="J93" s="1994"/>
      <c r="K93" s="1994"/>
      <c r="L93" s="1994"/>
      <c r="M93" s="1994"/>
      <c r="N93" s="1994"/>
      <c r="O93" s="1994"/>
      <c r="P93" s="1994"/>
      <c r="Q93" s="1994"/>
      <c r="R93" s="1994"/>
      <c r="S93" s="1994"/>
      <c r="T93" s="1994"/>
      <c r="U93" s="1994"/>
      <c r="V93" s="1994"/>
      <c r="W93" s="1994"/>
      <c r="X93" s="1994"/>
      <c r="Y93" s="1994"/>
      <c r="Z93" s="1994"/>
      <c r="AA93" s="1994"/>
      <c r="AB93" s="1994"/>
      <c r="AC93" s="1994"/>
      <c r="AD93" s="1994"/>
      <c r="AE93" s="1994"/>
      <c r="AF93" s="1994"/>
    </row>
    <row r="94" spans="1:34" ht="14.4" x14ac:dyDescent="0.3">
      <c r="M94" s="319">
        <v>1</v>
      </c>
      <c r="N94" s="319">
        <v>2</v>
      </c>
      <c r="O94" s="319">
        <v>3</v>
      </c>
      <c r="P94" s="319">
        <v>4</v>
      </c>
      <c r="Q94" s="319">
        <v>5</v>
      </c>
      <c r="R94" s="319">
        <v>6</v>
      </c>
      <c r="S94" s="319">
        <v>7</v>
      </c>
      <c r="T94" s="319">
        <v>8</v>
      </c>
      <c r="U94" s="319">
        <v>9</v>
      </c>
      <c r="V94" s="319">
        <v>10</v>
      </c>
      <c r="W94" s="319">
        <v>11</v>
      </c>
      <c r="X94" s="319">
        <v>12</v>
      </c>
    </row>
    <row r="95" spans="1:34" s="1" customFormat="1" ht="14.4" x14ac:dyDescent="0.3">
      <c r="A95" s="1141" t="s">
        <v>14</v>
      </c>
      <c r="B95" s="1141"/>
      <c r="C95" s="1141"/>
      <c r="D95" s="1141"/>
      <c r="E95" s="1141"/>
      <c r="F95" s="1141"/>
      <c r="G95" s="1141"/>
      <c r="H95" s="1141"/>
      <c r="I95" s="1141"/>
      <c r="J95" s="1141"/>
      <c r="K95" s="1141"/>
      <c r="L95" s="1141"/>
      <c r="M95" s="1141"/>
      <c r="N95" s="1141"/>
      <c r="O95" s="1141"/>
      <c r="P95" s="1141"/>
      <c r="Q95" s="1141"/>
      <c r="R95" s="1141"/>
      <c r="S95" s="1141"/>
      <c r="T95" s="1141"/>
      <c r="U95" s="1141"/>
      <c r="V95" s="1141"/>
      <c r="W95" s="1141"/>
      <c r="X95" s="1141"/>
      <c r="Y95" s="1141"/>
      <c r="Z95" s="1141"/>
      <c r="AA95" s="1141"/>
      <c r="AB95" s="1141"/>
      <c r="AC95" s="1141"/>
      <c r="AD95" s="1141"/>
      <c r="AE95" s="1141"/>
      <c r="AF95" s="1141"/>
    </row>
    <row r="96" spans="1:34" s="1" customFormat="1" ht="14.4" x14ac:dyDescent="0.3">
      <c r="A96"/>
      <c r="B96"/>
      <c r="C96"/>
      <c r="D96"/>
      <c r="E96"/>
      <c r="F96"/>
      <c r="G96"/>
      <c r="H96"/>
      <c r="I96"/>
      <c r="J96"/>
      <c r="K96"/>
      <c r="L96"/>
      <c r="M96"/>
      <c r="N96"/>
      <c r="O96"/>
      <c r="P96"/>
      <c r="Q96"/>
      <c r="R96"/>
      <c r="S96"/>
      <c r="T96"/>
      <c r="U96"/>
      <c r="V96"/>
      <c r="W96"/>
      <c r="X96"/>
      <c r="Y96"/>
      <c r="Z96"/>
      <c r="AA96"/>
      <c r="AB96"/>
      <c r="AC96"/>
      <c r="AD96"/>
      <c r="AE96"/>
      <c r="AF96"/>
    </row>
    <row r="97" spans="1:33" s="1" customFormat="1" ht="14.4" x14ac:dyDescent="0.3">
      <c r="A97"/>
      <c r="B97" s="232" t="s">
        <v>1496</v>
      </c>
      <c r="C97"/>
      <c r="D97"/>
      <c r="E97"/>
      <c r="F97"/>
      <c r="G97"/>
      <c r="H97"/>
      <c r="I97"/>
      <c r="J97"/>
      <c r="K97"/>
      <c r="L97"/>
      <c r="M97"/>
      <c r="N97"/>
      <c r="O97"/>
      <c r="P97"/>
      <c r="Q97"/>
      <c r="R97"/>
      <c r="S97"/>
      <c r="T97"/>
      <c r="U97"/>
      <c r="V97"/>
      <c r="W97"/>
      <c r="X97"/>
      <c r="Y97"/>
      <c r="Z97"/>
      <c r="AA97"/>
      <c r="AB97"/>
      <c r="AC97"/>
      <c r="AD97"/>
      <c r="AE97"/>
      <c r="AF97"/>
      <c r="AG97"/>
    </row>
    <row r="98" spans="1:33" ht="15" customHeight="1" thickBot="1" x14ac:dyDescent="0.35">
      <c r="A98" s="21"/>
      <c r="B98" s="21"/>
      <c r="C98" s="21"/>
      <c r="D98" s="21"/>
      <c r="E98" s="21"/>
      <c r="F98" s="21"/>
      <c r="G98" s="21"/>
      <c r="H98" s="21"/>
      <c r="I98" s="21"/>
    </row>
    <row r="99" spans="1:33" ht="31.5" customHeight="1" x14ac:dyDescent="0.3">
      <c r="A99" s="1252" t="s">
        <v>15</v>
      </c>
      <c r="B99" s="1253"/>
      <c r="C99" s="1253"/>
      <c r="D99" s="1253"/>
      <c r="E99" s="1253"/>
      <c r="F99" s="1253"/>
      <c r="G99" s="1253"/>
      <c r="H99" s="1253"/>
      <c r="I99" s="1278" t="s">
        <v>2780</v>
      </c>
      <c r="J99" s="1253"/>
      <c r="K99" s="1253"/>
      <c r="L99" s="1253"/>
      <c r="M99" s="1253"/>
      <c r="N99" s="1253"/>
      <c r="O99" s="1253"/>
      <c r="P99" s="1253"/>
      <c r="Q99" s="1278" t="s">
        <v>2776</v>
      </c>
      <c r="R99" s="1253"/>
      <c r="S99" s="1253"/>
      <c r="T99" s="1253"/>
      <c r="U99" s="1253"/>
      <c r="V99" s="1253"/>
      <c r="W99" s="1253"/>
      <c r="X99" s="1253"/>
      <c r="Y99" s="1278" t="s">
        <v>1554</v>
      </c>
      <c r="Z99" s="1253"/>
      <c r="AA99" s="1253"/>
      <c r="AB99" s="1253"/>
      <c r="AC99" s="1253"/>
      <c r="AD99" s="1253"/>
      <c r="AE99" s="1253"/>
      <c r="AF99" s="1254"/>
    </row>
    <row r="100" spans="1:33" ht="33.75" customHeight="1" thickBot="1" x14ac:dyDescent="0.35">
      <c r="A100" s="1408" t="s">
        <v>2222</v>
      </c>
      <c r="B100" s="1409"/>
      <c r="C100" s="1409"/>
      <c r="D100" s="1409"/>
      <c r="E100" s="1409"/>
      <c r="F100" s="1409"/>
      <c r="G100" s="1409"/>
      <c r="H100" s="1409"/>
      <c r="I100" s="2687">
        <f>ROUND($Q$100*$AA$86/$AA$85,3)</f>
        <v>0.28899999999999998</v>
      </c>
      <c r="J100" s="2687"/>
      <c r="K100" s="2687"/>
      <c r="L100" s="2687"/>
      <c r="M100" s="2687"/>
      <c r="N100" s="2687"/>
      <c r="O100" s="2687"/>
      <c r="P100" s="2687"/>
      <c r="Q100" s="3269">
        <f>ROUND((((1/0.945)-(1-0.9)/$P$69)*($P$62*$H$84*365*$P$64*$P$65*($P$66-$AA$87)/3412)-($P$70*$P$71))*$P$72,2)</f>
        <v>1940.28</v>
      </c>
      <c r="R100" s="3269"/>
      <c r="S100" s="3269"/>
      <c r="T100" s="3269"/>
      <c r="U100" s="3269"/>
      <c r="V100" s="3269"/>
      <c r="W100" s="3269"/>
      <c r="X100" s="3269"/>
      <c r="Y100" s="2626">
        <f>ROUND($Q$100*$P$75,2)</f>
        <v>34925.040000000001</v>
      </c>
      <c r="Z100" s="2626"/>
      <c r="AA100" s="2626"/>
      <c r="AB100" s="2626"/>
      <c r="AC100" s="2626"/>
      <c r="AD100" s="2626"/>
      <c r="AE100" s="2626"/>
      <c r="AF100" s="2627"/>
    </row>
    <row r="102" spans="1:33" ht="15" customHeight="1" x14ac:dyDescent="0.3">
      <c r="B102" s="232" t="s">
        <v>1497</v>
      </c>
    </row>
    <row r="104" spans="1:33" ht="15" customHeight="1" x14ac:dyDescent="0.3">
      <c r="C104" t="s">
        <v>1499</v>
      </c>
    </row>
    <row r="105" spans="1:33" ht="15" customHeight="1" x14ac:dyDescent="0.3">
      <c r="F105" s="2495">
        <v>50</v>
      </c>
      <c r="G105" s="2496"/>
      <c r="H105" s="2497"/>
      <c r="L105" t="s">
        <v>1500</v>
      </c>
      <c r="N105" s="2570">
        <f>0.96-0.0003*$F$105</f>
        <v>0.94499999999999995</v>
      </c>
      <c r="O105" s="1001"/>
      <c r="P105" s="2571"/>
    </row>
    <row r="107" spans="1:33" ht="15" customHeight="1" x14ac:dyDescent="0.3">
      <c r="C107" t="s">
        <v>2996</v>
      </c>
    </row>
    <row r="108" spans="1:33" ht="15" customHeight="1" x14ac:dyDescent="0.3">
      <c r="F108" s="2495">
        <v>0.9</v>
      </c>
      <c r="G108" s="2496"/>
      <c r="H108" s="2497"/>
    </row>
    <row r="110" spans="1:33" ht="15" customHeight="1" x14ac:dyDescent="0.3">
      <c r="C110" t="s">
        <v>3903</v>
      </c>
    </row>
    <row r="111" spans="1:33" ht="15" customHeight="1" x14ac:dyDescent="0.3">
      <c r="F111" s="2495">
        <v>3.16</v>
      </c>
      <c r="G111" s="2496"/>
      <c r="H111" s="2497"/>
    </row>
    <row r="112" spans="1:33" ht="15" customHeight="1" x14ac:dyDescent="0.3">
      <c r="F112" s="31"/>
      <c r="G112" s="31"/>
      <c r="H112" s="31"/>
    </row>
    <row r="113" spans="1:40" ht="15" customHeight="1" x14ac:dyDescent="0.3">
      <c r="C113" t="s">
        <v>2997</v>
      </c>
      <c r="F113" s="31"/>
      <c r="G113" s="31"/>
      <c r="H113" s="31"/>
      <c r="AN113" s="393"/>
    </row>
    <row r="114" spans="1:40" ht="15" customHeight="1" x14ac:dyDescent="0.35">
      <c r="F114" s="1276" t="s">
        <v>2990</v>
      </c>
      <c r="G114" s="1276"/>
      <c r="H114" s="1276"/>
      <c r="I114" s="1276"/>
      <c r="J114" s="1276"/>
      <c r="L114" t="s">
        <v>1501</v>
      </c>
      <c r="O114" s="2575">
        <f>HLOOKUP($F$114,$R$84:$AD$87,2,FALSE)</f>
        <v>3564</v>
      </c>
      <c r="P114" s="2576"/>
      <c r="Q114" s="2577"/>
      <c r="T114" t="s">
        <v>1502</v>
      </c>
      <c r="V114" s="2578">
        <f>HLOOKUP($F$114,$R$84:$AD$87,3,FALSE)</f>
        <v>0.53</v>
      </c>
      <c r="W114" s="2579"/>
      <c r="X114" s="2580"/>
      <c r="AB114" t="s">
        <v>2998</v>
      </c>
      <c r="AD114" s="951">
        <f>HLOOKUP($F$114,$R$84:$AD$87,4,FALSE)</f>
        <v>75</v>
      </c>
      <c r="AE114" s="951"/>
      <c r="AF114" s="951"/>
      <c r="AN114" s="393"/>
    </row>
    <row r="115" spans="1:40" ht="15" customHeight="1" x14ac:dyDescent="0.3">
      <c r="F115" s="394"/>
      <c r="G115" s="394"/>
      <c r="H115" s="394"/>
      <c r="I115" s="394"/>
      <c r="J115" s="394"/>
      <c r="O115" s="394"/>
      <c r="P115" s="394"/>
      <c r="Q115" s="394"/>
      <c r="V115" s="36"/>
      <c r="W115" s="36"/>
      <c r="X115" s="36"/>
      <c r="AN115" s="393"/>
    </row>
    <row r="116" spans="1:40" ht="15" customHeight="1" thickBot="1" x14ac:dyDescent="0.35"/>
    <row r="117" spans="1:40" ht="32.25" customHeight="1" x14ac:dyDescent="0.3">
      <c r="A117" s="1252" t="s">
        <v>15</v>
      </c>
      <c r="B117" s="1253"/>
      <c r="C117" s="1253"/>
      <c r="D117" s="1253"/>
      <c r="E117" s="1253"/>
      <c r="F117" s="1253"/>
      <c r="G117" s="1253"/>
      <c r="H117" s="1253"/>
      <c r="I117" s="1278" t="s">
        <v>2780</v>
      </c>
      <c r="J117" s="1253"/>
      <c r="K117" s="1253"/>
      <c r="L117" s="1253"/>
      <c r="M117" s="1253"/>
      <c r="N117" s="1253"/>
      <c r="O117" s="1253"/>
      <c r="P117" s="1253"/>
      <c r="Q117" s="1278" t="s">
        <v>2776</v>
      </c>
      <c r="R117" s="1253"/>
      <c r="S117" s="1253"/>
      <c r="T117" s="1253"/>
      <c r="U117" s="1253"/>
      <c r="V117" s="1253"/>
      <c r="W117" s="1253"/>
      <c r="X117" s="1253"/>
      <c r="Y117" s="1278" t="s">
        <v>1554</v>
      </c>
      <c r="Z117" s="1253"/>
      <c r="AA117" s="1253"/>
      <c r="AB117" s="1253"/>
      <c r="AC117" s="1253"/>
      <c r="AD117" s="1253"/>
      <c r="AE117" s="1253"/>
      <c r="AF117" s="1254"/>
    </row>
    <row r="118" spans="1:40" ht="33.75" customHeight="1" thickBot="1" x14ac:dyDescent="0.35">
      <c r="A118" s="1408" t="s">
        <v>2222</v>
      </c>
      <c r="B118" s="1409"/>
      <c r="C118" s="1409"/>
      <c r="D118" s="1409"/>
      <c r="E118" s="1409"/>
      <c r="F118" s="1409"/>
      <c r="G118" s="1409"/>
      <c r="H118" s="1409"/>
      <c r="I118" s="2491">
        <f>ROUND($Q$118*$V$114/$O$114,3)</f>
        <v>0.28899999999999998</v>
      </c>
      <c r="J118" s="2491"/>
      <c r="K118" s="2491"/>
      <c r="L118" s="2491"/>
      <c r="M118" s="2491"/>
      <c r="N118" s="2491"/>
      <c r="O118" s="2491"/>
      <c r="P118" s="2491"/>
      <c r="Q118" s="2492">
        <f>ROUND((((1/$N$105)-(1-$F$108)/$P$69)*($P$62*$F$111*365*$P$64*$P$65*($P$66-$AD$114)/3412)-($P$70*$P$71))*$P$72,2)</f>
        <v>1940.28</v>
      </c>
      <c r="R118" s="2492"/>
      <c r="S118" s="2492"/>
      <c r="T118" s="2492"/>
      <c r="U118" s="2492"/>
      <c r="V118" s="2492"/>
      <c r="W118" s="2492"/>
      <c r="X118" s="2492"/>
      <c r="Y118" s="2493">
        <f>ROUND($Q$118*$P$75,2)</f>
        <v>34925.040000000001</v>
      </c>
      <c r="Z118" s="2493"/>
      <c r="AA118" s="2493"/>
      <c r="AB118" s="2493"/>
      <c r="AC118" s="2493"/>
      <c r="AD118" s="2493"/>
      <c r="AE118" s="2493"/>
      <c r="AF118" s="2494"/>
    </row>
    <row r="121" spans="1:40" ht="15" customHeight="1" x14ac:dyDescent="0.3">
      <c r="A121" s="1141" t="s">
        <v>1514</v>
      </c>
      <c r="B121" s="1141"/>
      <c r="C121" s="1141"/>
      <c r="D121" s="1141"/>
      <c r="E121" s="1141"/>
      <c r="F121" s="1141"/>
      <c r="G121" s="1141"/>
      <c r="H121" s="1141"/>
      <c r="I121" s="1141"/>
      <c r="J121" s="1141"/>
      <c r="K121" s="1141"/>
      <c r="L121" s="1141"/>
      <c r="M121" s="1141"/>
      <c r="N121" s="1141"/>
      <c r="O121" s="1141"/>
      <c r="P121" s="1141"/>
      <c r="Q121" s="1141"/>
      <c r="R121" s="1141"/>
      <c r="S121" s="1141"/>
      <c r="T121" s="1141"/>
      <c r="U121" s="1141"/>
      <c r="V121" s="1141"/>
      <c r="W121" s="1141"/>
      <c r="X121" s="1141"/>
      <c r="Y121" s="1141"/>
      <c r="Z121" s="1141"/>
      <c r="AA121" s="1141"/>
      <c r="AB121" s="1141"/>
      <c r="AC121" s="1141"/>
      <c r="AD121" s="1141"/>
      <c r="AE121" s="1141"/>
      <c r="AF121" s="1141"/>
    </row>
    <row r="123" spans="1:40" s="1" customFormat="1" ht="51.75" customHeight="1" x14ac:dyDescent="0.3">
      <c r="A123" s="368" t="s">
        <v>803</v>
      </c>
      <c r="B123" s="953" t="s">
        <v>3907</v>
      </c>
      <c r="C123" s="953"/>
      <c r="D123" s="953"/>
      <c r="E123" s="953"/>
      <c r="F123" s="953"/>
      <c r="G123" s="953"/>
      <c r="H123" s="953"/>
      <c r="I123" s="953"/>
      <c r="J123" s="953"/>
      <c r="K123" s="953"/>
      <c r="L123" s="953"/>
      <c r="M123" s="953"/>
      <c r="N123" s="953"/>
      <c r="O123" s="953"/>
      <c r="P123" s="953"/>
      <c r="Q123" s="953"/>
      <c r="R123" s="953"/>
      <c r="S123" s="953"/>
      <c r="T123" s="953"/>
      <c r="U123" s="953"/>
      <c r="V123" s="953"/>
      <c r="W123" s="953"/>
      <c r="X123" s="953"/>
      <c r="Y123" s="953"/>
      <c r="Z123" s="953"/>
      <c r="AA123" s="953"/>
      <c r="AB123" s="953"/>
      <c r="AC123" s="953"/>
      <c r="AD123" s="953"/>
      <c r="AE123" s="953"/>
      <c r="AF123" s="953"/>
    </row>
    <row r="124" spans="1:40" s="1" customFormat="1" ht="34.5" customHeight="1" x14ac:dyDescent="0.3">
      <c r="A124" s="368" t="s">
        <v>803</v>
      </c>
      <c r="B124" s="953" t="s">
        <v>3908</v>
      </c>
      <c r="C124" s="953"/>
      <c r="D124" s="953"/>
      <c r="E124" s="953"/>
      <c r="F124" s="953"/>
      <c r="G124" s="953"/>
      <c r="H124" s="953"/>
      <c r="I124" s="953"/>
      <c r="J124" s="953"/>
      <c r="K124" s="953"/>
      <c r="L124" s="953"/>
      <c r="M124" s="953"/>
      <c r="N124" s="953"/>
      <c r="O124" s="953"/>
      <c r="P124" s="953"/>
      <c r="Q124" s="953"/>
      <c r="R124" s="953"/>
      <c r="S124" s="953"/>
      <c r="T124" s="953"/>
      <c r="U124" s="953"/>
      <c r="V124" s="953"/>
      <c r="W124" s="953"/>
      <c r="X124" s="953"/>
      <c r="Y124" s="953"/>
      <c r="Z124" s="953"/>
      <c r="AA124" s="953"/>
      <c r="AB124" s="953"/>
      <c r="AC124" s="953"/>
      <c r="AD124" s="953"/>
      <c r="AE124" s="953"/>
      <c r="AF124" s="953"/>
    </row>
    <row r="125" spans="1:40" s="26" customFormat="1" ht="80.099999999999994" customHeight="1" x14ac:dyDescent="0.3">
      <c r="A125" s="368" t="s">
        <v>803</v>
      </c>
      <c r="B125" s="889" t="s">
        <v>2848</v>
      </c>
      <c r="C125" s="889"/>
      <c r="D125" s="889"/>
      <c r="E125" s="889"/>
      <c r="F125" s="889"/>
      <c r="G125" s="889"/>
      <c r="H125" s="889"/>
      <c r="I125" s="889"/>
      <c r="J125" s="889"/>
      <c r="K125" s="889"/>
      <c r="L125" s="889"/>
      <c r="M125" s="889"/>
      <c r="N125" s="889"/>
      <c r="O125" s="889"/>
      <c r="P125" s="889"/>
      <c r="Q125" s="889"/>
      <c r="R125" s="889"/>
      <c r="S125" s="889"/>
      <c r="T125" s="889"/>
      <c r="U125" s="889"/>
      <c r="V125" s="889"/>
      <c r="W125" s="889"/>
      <c r="X125" s="889"/>
      <c r="Y125" s="889"/>
      <c r="Z125" s="889"/>
      <c r="AA125" s="889"/>
      <c r="AB125" s="889"/>
      <c r="AC125" s="889"/>
      <c r="AD125" s="889"/>
      <c r="AE125" s="889"/>
      <c r="AF125" s="889"/>
    </row>
    <row r="126" spans="1:40" s="26" customFormat="1" ht="51.9" customHeight="1" x14ac:dyDescent="0.3">
      <c r="A126" s="368" t="s">
        <v>803</v>
      </c>
      <c r="B126" s="889" t="s">
        <v>3340</v>
      </c>
      <c r="C126" s="889"/>
      <c r="D126" s="889"/>
      <c r="E126" s="889"/>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c r="AE126" s="889"/>
      <c r="AF126" s="889"/>
    </row>
    <row r="127" spans="1:40" s="26" customFormat="1" ht="42.9" customHeight="1" x14ac:dyDescent="0.3">
      <c r="A127" s="368" t="s">
        <v>803</v>
      </c>
      <c r="B127" s="889" t="s">
        <v>1509</v>
      </c>
      <c r="C127" s="889"/>
      <c r="D127" s="889"/>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c r="AE127" s="889"/>
      <c r="AF127" s="889"/>
    </row>
    <row r="128" spans="1:40" s="26" customFormat="1" ht="38.4" customHeight="1" x14ac:dyDescent="0.3">
      <c r="A128" s="368" t="s">
        <v>803</v>
      </c>
      <c r="B128" s="889" t="s">
        <v>1508</v>
      </c>
      <c r="C128" s="889"/>
      <c r="D128" s="889"/>
      <c r="E128" s="889"/>
      <c r="F128" s="889"/>
      <c r="G128" s="889"/>
      <c r="H128" s="889"/>
      <c r="I128" s="889"/>
      <c r="J128" s="889"/>
      <c r="K128" s="889"/>
      <c r="L128" s="889"/>
      <c r="M128" s="889"/>
      <c r="N128" s="889"/>
      <c r="O128" s="889"/>
      <c r="P128" s="889"/>
      <c r="Q128" s="889"/>
      <c r="R128" s="889"/>
      <c r="S128" s="889"/>
      <c r="T128" s="889"/>
      <c r="U128" s="889"/>
      <c r="V128" s="889"/>
      <c r="W128" s="889"/>
      <c r="X128" s="889"/>
      <c r="Y128" s="889"/>
      <c r="Z128" s="889"/>
      <c r="AA128" s="889"/>
      <c r="AB128" s="889"/>
      <c r="AC128" s="889"/>
      <c r="AD128" s="889"/>
      <c r="AE128" s="889"/>
      <c r="AF128" s="889"/>
    </row>
    <row r="129" spans="1:32" s="26" customFormat="1" ht="47.4" customHeight="1" x14ac:dyDescent="0.3">
      <c r="A129" s="368" t="s">
        <v>803</v>
      </c>
      <c r="B129" s="889" t="s">
        <v>1507</v>
      </c>
      <c r="C129" s="889"/>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row>
    <row r="130" spans="1:32" s="26" customFormat="1" ht="80.099999999999994" customHeight="1" x14ac:dyDescent="0.3">
      <c r="A130" s="368" t="s">
        <v>803</v>
      </c>
      <c r="B130" s="889" t="s">
        <v>1503</v>
      </c>
      <c r="C130" s="889"/>
      <c r="D130" s="889"/>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row>
    <row r="131" spans="1:32" s="26" customFormat="1" ht="47.25" customHeight="1" x14ac:dyDescent="0.3">
      <c r="A131" s="368" t="s">
        <v>803</v>
      </c>
      <c r="B131" s="889" t="s">
        <v>2849</v>
      </c>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row>
    <row r="132" spans="1:32" ht="63" customHeight="1" x14ac:dyDescent="0.3">
      <c r="A132" s="368" t="s">
        <v>803</v>
      </c>
      <c r="B132" s="889" t="s">
        <v>2709</v>
      </c>
      <c r="C132" s="889"/>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row>
    <row r="133" spans="1:32" ht="50.25" customHeight="1" x14ac:dyDescent="0.3">
      <c r="A133" s="368" t="s">
        <v>803</v>
      </c>
      <c r="B133" s="889" t="s">
        <v>3419</v>
      </c>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row>
    <row r="134" spans="1:32" s="26" customFormat="1" ht="50.4" customHeight="1" x14ac:dyDescent="0.3">
      <c r="A134" s="368" t="s">
        <v>803</v>
      </c>
      <c r="B134" s="889" t="s">
        <v>1506</v>
      </c>
      <c r="C134" s="889"/>
      <c r="D134" s="889"/>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c r="AE134" s="889"/>
      <c r="AF134" s="889"/>
    </row>
    <row r="135" spans="1:32" s="26" customFormat="1" ht="41.1" customHeight="1" x14ac:dyDescent="0.3">
      <c r="A135" s="368" t="s">
        <v>803</v>
      </c>
      <c r="B135" s="889" t="s">
        <v>1885</v>
      </c>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row>
    <row r="136" spans="1:32" s="26" customFormat="1" ht="62.1" customHeight="1" x14ac:dyDescent="0.3">
      <c r="A136" s="368" t="s">
        <v>803</v>
      </c>
      <c r="B136" s="889" t="s">
        <v>1512</v>
      </c>
      <c r="C136" s="889"/>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row>
    <row r="137" spans="1:32" s="26" customFormat="1" ht="61.5" customHeight="1" x14ac:dyDescent="0.3">
      <c r="A137" s="368" t="s">
        <v>803</v>
      </c>
      <c r="B137" s="889" t="s">
        <v>3341</v>
      </c>
      <c r="C137" s="889"/>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row>
    <row r="138" spans="1:32" s="26" customFormat="1" ht="55.5" customHeight="1" x14ac:dyDescent="0.3">
      <c r="A138" s="368" t="s">
        <v>803</v>
      </c>
      <c r="B138" s="889" t="s">
        <v>2850</v>
      </c>
      <c r="C138" s="889"/>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row>
    <row r="139" spans="1:32" s="26" customFormat="1" ht="39.9" customHeight="1" x14ac:dyDescent="0.3">
      <c r="A139" s="368" t="s">
        <v>803</v>
      </c>
      <c r="B139" s="889" t="s">
        <v>1513</v>
      </c>
      <c r="C139" s="889"/>
      <c r="D139" s="889"/>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c r="AE139" s="889"/>
      <c r="AF139" s="889"/>
    </row>
    <row r="140" spans="1:32" s="26" customFormat="1" ht="41.1" customHeight="1" x14ac:dyDescent="0.3">
      <c r="A140" s="368" t="s">
        <v>803</v>
      </c>
      <c r="B140" s="889" t="s">
        <v>1504</v>
      </c>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row>
    <row r="141" spans="1:32" s="26" customFormat="1" ht="28.5" customHeight="1" x14ac:dyDescent="0.3">
      <c r="A141" s="368" t="s">
        <v>803</v>
      </c>
      <c r="B141" s="889" t="s">
        <v>1510</v>
      </c>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row>
    <row r="142" spans="1:32" s="26" customFormat="1" ht="63" customHeight="1" x14ac:dyDescent="0.3">
      <c r="A142" s="368" t="s">
        <v>803</v>
      </c>
      <c r="B142" s="889" t="s">
        <v>1511</v>
      </c>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row>
    <row r="143" spans="1:32" s="26" customFormat="1" ht="57.6" customHeight="1" x14ac:dyDescent="0.3">
      <c r="A143" s="368" t="s">
        <v>803</v>
      </c>
      <c r="B143" s="889" t="s">
        <v>1505</v>
      </c>
      <c r="C143" s="889"/>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row>
    <row r="144" spans="1:32" ht="69.75" customHeight="1" x14ac:dyDescent="0.3">
      <c r="A144" s="368" t="s">
        <v>803</v>
      </c>
      <c r="B144" s="889" t="s">
        <v>2539</v>
      </c>
      <c r="C144" s="889"/>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row>
  </sheetData>
  <sheetProtection algorithmName="SHA-512" hashValue="pXncF/gOOZsbF/0Y6pUBw/HwqHUg4maLj3G0AIw7godzU9EEGZrl3t9DwieELrK8/VC8jX3xrbvgHzWYDUNY4A==" saltValue="Ikg0F7x7z8ZOBPlIfaqe0A==" spinCount="100000" sheet="1" objects="1" scenarios="1"/>
  <mergeCells count="191">
    <mergeCell ref="B124:AF124"/>
    <mergeCell ref="O89:AD89"/>
    <mergeCell ref="AD114:AF114"/>
    <mergeCell ref="A99:H99"/>
    <mergeCell ref="I99:P99"/>
    <mergeCell ref="Y99:AF99"/>
    <mergeCell ref="O85:Q85"/>
    <mergeCell ref="O86:Q86"/>
    <mergeCell ref="R85:T85"/>
    <mergeCell ref="R86:T86"/>
    <mergeCell ref="H85:K85"/>
    <mergeCell ref="H86:K86"/>
    <mergeCell ref="H89:K89"/>
    <mergeCell ref="H90:K90"/>
    <mergeCell ref="H88:K88"/>
    <mergeCell ref="A90:G90"/>
    <mergeCell ref="H87:K87"/>
    <mergeCell ref="Q99:X99"/>
    <mergeCell ref="A88:G88"/>
    <mergeCell ref="A89:G89"/>
    <mergeCell ref="A95:AF95"/>
    <mergeCell ref="AA85:AD85"/>
    <mergeCell ref="AA86:AD86"/>
    <mergeCell ref="O88:AD88"/>
    <mergeCell ref="A93:AF93"/>
    <mergeCell ref="A71:D71"/>
    <mergeCell ref="E71:O71"/>
    <mergeCell ref="P71:S71"/>
    <mergeCell ref="T71:W71"/>
    <mergeCell ref="X71:AF71"/>
    <mergeCell ref="A78:AF78"/>
    <mergeCell ref="O87:Q87"/>
    <mergeCell ref="R87:T87"/>
    <mergeCell ref="U87:W87"/>
    <mergeCell ref="X87:Z87"/>
    <mergeCell ref="AA87:AD87"/>
    <mergeCell ref="R83:AD83"/>
    <mergeCell ref="A76:AF76"/>
    <mergeCell ref="A72:D72"/>
    <mergeCell ref="E72:O72"/>
    <mergeCell ref="P72:S72"/>
    <mergeCell ref="T72:W72"/>
    <mergeCell ref="A75:D75"/>
    <mergeCell ref="E75:O75"/>
    <mergeCell ref="P75:S75"/>
    <mergeCell ref="T75:W75"/>
    <mergeCell ref="X75:AF75"/>
    <mergeCell ref="A74:D74"/>
    <mergeCell ref="E74:O74"/>
    <mergeCell ref="P68:S68"/>
    <mergeCell ref="T68:W68"/>
    <mergeCell ref="X68:AF68"/>
    <mergeCell ref="A69:D69"/>
    <mergeCell ref="E69:O69"/>
    <mergeCell ref="P69:S69"/>
    <mergeCell ref="T69:W69"/>
    <mergeCell ref="X69:AF69"/>
    <mergeCell ref="A70:D70"/>
    <mergeCell ref="E70:O70"/>
    <mergeCell ref="P70:S70"/>
    <mergeCell ref="T70:W70"/>
    <mergeCell ref="X70:AF70"/>
    <mergeCell ref="X74:AF74"/>
    <mergeCell ref="A73:D73"/>
    <mergeCell ref="E73:O73"/>
    <mergeCell ref="P73:S73"/>
    <mergeCell ref="T73:W73"/>
    <mergeCell ref="X72:AF72"/>
    <mergeCell ref="T74:W74"/>
    <mergeCell ref="P74:S74"/>
    <mergeCell ref="B144:AF144"/>
    <mergeCell ref="Y100:AF100"/>
    <mergeCell ref="Y117:AF117"/>
    <mergeCell ref="B138:AF138"/>
    <mergeCell ref="B139:AF139"/>
    <mergeCell ref="B140:AF140"/>
    <mergeCell ref="B141:AF141"/>
    <mergeCell ref="A100:H100"/>
    <mergeCell ref="I100:P100"/>
    <mergeCell ref="Q100:X100"/>
    <mergeCell ref="A121:AF121"/>
    <mergeCell ref="F105:H105"/>
    <mergeCell ref="F111:H111"/>
    <mergeCell ref="A117:H117"/>
    <mergeCell ref="I117:P117"/>
    <mergeCell ref="Q117:X117"/>
    <mergeCell ref="A118:H118"/>
    <mergeCell ref="I118:P118"/>
    <mergeCell ref="B123:AF123"/>
    <mergeCell ref="B126:AF126"/>
    <mergeCell ref="B125:AF125"/>
    <mergeCell ref="F108:H108"/>
    <mergeCell ref="Y118:AF118"/>
    <mergeCell ref="F114:J114"/>
    <mergeCell ref="B143:AF143"/>
    <mergeCell ref="B127:AF127"/>
    <mergeCell ref="B128:AF128"/>
    <mergeCell ref="B129:AF129"/>
    <mergeCell ref="B130:AF130"/>
    <mergeCell ref="B131:AF131"/>
    <mergeCell ref="B134:AF134"/>
    <mergeCell ref="B135:AF135"/>
    <mergeCell ref="B136:AF136"/>
    <mergeCell ref="B137:AF137"/>
    <mergeCell ref="B142:AF142"/>
    <mergeCell ref="B132:AF132"/>
    <mergeCell ref="B133:AF133"/>
    <mergeCell ref="T61:W61"/>
    <mergeCell ref="X61:AF61"/>
    <mergeCell ref="A59:AF59"/>
    <mergeCell ref="A60:D60"/>
    <mergeCell ref="Q118:X118"/>
    <mergeCell ref="N105:P105"/>
    <mergeCell ref="V114:X114"/>
    <mergeCell ref="O114:Q114"/>
    <mergeCell ref="A65:D65"/>
    <mergeCell ref="E65:O65"/>
    <mergeCell ref="P65:S65"/>
    <mergeCell ref="T65:W65"/>
    <mergeCell ref="X65:AF65"/>
    <mergeCell ref="X73:AF73"/>
    <mergeCell ref="P63:S63"/>
    <mergeCell ref="T63:W63"/>
    <mergeCell ref="X63:AF63"/>
    <mergeCell ref="A64:D64"/>
    <mergeCell ref="E64:O64"/>
    <mergeCell ref="P64:S64"/>
    <mergeCell ref="T64:W64"/>
    <mergeCell ref="X64:AF64"/>
    <mergeCell ref="A68:D68"/>
    <mergeCell ref="E68:O68"/>
    <mergeCell ref="A1:AF1"/>
    <mergeCell ref="A61:D61"/>
    <mergeCell ref="E61:O61"/>
    <mergeCell ref="P61:S61"/>
    <mergeCell ref="A28:AF28"/>
    <mergeCell ref="A7:AF7"/>
    <mergeCell ref="B9:I9"/>
    <mergeCell ref="B10:AF10"/>
    <mergeCell ref="B12:I12"/>
    <mergeCell ref="B13:AF13"/>
    <mergeCell ref="B19:I19"/>
    <mergeCell ref="B20:AF20"/>
    <mergeCell ref="B22:I22"/>
    <mergeCell ref="B23:AF23"/>
    <mergeCell ref="B26:AF26"/>
    <mergeCell ref="A3:AF3"/>
    <mergeCell ref="B17:AF17"/>
    <mergeCell ref="B15:AF15"/>
    <mergeCell ref="E60:O60"/>
    <mergeCell ref="P60:S60"/>
    <mergeCell ref="T60:W60"/>
    <mergeCell ref="X60:AF60"/>
    <mergeCell ref="B25:J25"/>
    <mergeCell ref="B5:AF5"/>
    <mergeCell ref="A63:D63"/>
    <mergeCell ref="E63:O63"/>
    <mergeCell ref="A62:D62"/>
    <mergeCell ref="E62:O62"/>
    <mergeCell ref="P62:S62"/>
    <mergeCell ref="T62:W62"/>
    <mergeCell ref="X62:AF62"/>
    <mergeCell ref="U84:W84"/>
    <mergeCell ref="A66:D66"/>
    <mergeCell ref="E66:O66"/>
    <mergeCell ref="P66:S66"/>
    <mergeCell ref="T66:W66"/>
    <mergeCell ref="X66:AF66"/>
    <mergeCell ref="X84:Z84"/>
    <mergeCell ref="AA84:AD84"/>
    <mergeCell ref="A67:D67"/>
    <mergeCell ref="E67:O67"/>
    <mergeCell ref="P67:S67"/>
    <mergeCell ref="T67:W67"/>
    <mergeCell ref="X67:AF67"/>
    <mergeCell ref="A83:G83"/>
    <mergeCell ref="A79:AF79"/>
    <mergeCell ref="A80:AF80"/>
    <mergeCell ref="H83:K83"/>
    <mergeCell ref="A77:AF77"/>
    <mergeCell ref="O83:Q84"/>
    <mergeCell ref="H84:K84"/>
    <mergeCell ref="A87:G87"/>
    <mergeCell ref="A84:G84"/>
    <mergeCell ref="A85:G85"/>
    <mergeCell ref="A86:G86"/>
    <mergeCell ref="U85:W85"/>
    <mergeCell ref="U86:W86"/>
    <mergeCell ref="X85:Z85"/>
    <mergeCell ref="X86:Z86"/>
    <mergeCell ref="R84:T84"/>
  </mergeCells>
  <hyperlinks>
    <hyperlink ref="A2" location="TOC!A1" display="Return to TOC" xr:uid="{00000000-0004-0000-6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3 AF36 AF52 AF49:AF50 AF45:AF46 AF42:AF44 AF47:AF48 AF51 AF53:AF56"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6100-000000000000}">
          <x14:formula1>
            <xm:f>Dropdown!$A$18:$A$21</xm:f>
          </x14:formula1>
          <xm:sqref>F114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53">
    <tabColor theme="5" tint="0.59999389629810485"/>
    <pageSetUpPr autoPageBreaks="0"/>
  </sheetPr>
  <dimension ref="A1:AX60"/>
  <sheetViews>
    <sheetView workbookViewId="0">
      <selection sqref="A1:AF1"/>
    </sheetView>
  </sheetViews>
  <sheetFormatPr defaultColWidth="2.6640625" defaultRowHeight="14.4" x14ac:dyDescent="0.3"/>
  <cols>
    <col min="1" max="36" width="2.6640625" style="1"/>
    <col min="37" max="37" width="2.6640625" style="1" customWidth="1"/>
    <col min="38" max="48" width="2.6640625" style="1"/>
    <col min="49" max="49" width="5" style="1" bestFit="1" customWidth="1"/>
    <col min="50" max="16384" width="2.6640625" style="1"/>
  </cols>
  <sheetData>
    <row r="1" spans="1:32" ht="18.600000000000001" thickBot="1" x14ac:dyDescent="0.35">
      <c r="A1" s="979" t="s">
        <v>919</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s="121" customFormat="1" ht="14.4" customHeight="1" x14ac:dyDescent="0.3">
      <c r="A2" s="228"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0"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29"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27" customFormat="1"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s="129" customFormat="1" ht="14.4" customHeigh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B9" s="1144" t="s">
        <v>3</v>
      </c>
      <c r="C9" s="1144"/>
      <c r="D9" s="1144"/>
      <c r="E9" s="1144"/>
      <c r="F9" s="1144"/>
      <c r="G9" s="1144"/>
      <c r="H9" s="1144"/>
      <c r="I9" s="1144"/>
    </row>
    <row r="10" spans="1:32" s="4" customFormat="1" ht="14.4" customHeight="1" x14ac:dyDescent="0.3">
      <c r="B10" s="872" t="s">
        <v>2166</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2" spans="1:32" x14ac:dyDescent="0.3">
      <c r="B12" s="1144" t="s">
        <v>4</v>
      </c>
      <c r="C12" s="1144"/>
      <c r="D12" s="1144"/>
      <c r="E12" s="1144"/>
      <c r="F12" s="1144"/>
      <c r="G12" s="1144"/>
      <c r="H12" s="1144"/>
      <c r="I12" s="1144"/>
    </row>
    <row r="13" spans="1:32" ht="30.75" customHeight="1" x14ac:dyDescent="0.3">
      <c r="B13" s="872" t="s">
        <v>530</v>
      </c>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row>
    <row r="15" spans="1:32" x14ac:dyDescent="0.3">
      <c r="B15" s="1144" t="s">
        <v>5</v>
      </c>
      <c r="C15" s="1144"/>
      <c r="D15" s="1144"/>
      <c r="E15" s="1144"/>
      <c r="F15" s="1144"/>
      <c r="G15" s="1144"/>
      <c r="H15" s="1144"/>
      <c r="I15" s="1144"/>
    </row>
    <row r="16" spans="1:32" x14ac:dyDescent="0.3">
      <c r="B16" s="1142" t="s">
        <v>3305</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s="4" customFormat="1" ht="81.75" customHeight="1" x14ac:dyDescent="0.3">
      <c r="B19" s="953" t="s">
        <v>2167</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51" customHeight="1" x14ac:dyDescent="0.3">
      <c r="B22" s="953" t="s">
        <v>2168</v>
      </c>
      <c r="C22" s="1145"/>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5"/>
      <c r="AA22" s="1145"/>
      <c r="AB22" s="1145"/>
      <c r="AC22" s="1145"/>
      <c r="AD22" s="1145"/>
      <c r="AE22" s="1145"/>
      <c r="AF22" s="1145"/>
    </row>
    <row r="24" spans="1:32"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6" spans="1:32" x14ac:dyDescent="0.3">
      <c r="B26" s="231" t="s">
        <v>2137</v>
      </c>
    </row>
    <row r="28" spans="1:32" x14ac:dyDescent="0.3">
      <c r="AF28" s="162" t="s">
        <v>1463</v>
      </c>
    </row>
    <row r="30" spans="1:32" x14ac:dyDescent="0.3">
      <c r="B30" s="231" t="s">
        <v>2027</v>
      </c>
    </row>
    <row r="31" spans="1:32" ht="14.4" customHeight="1" x14ac:dyDescent="0.3">
      <c r="A31" s="110"/>
      <c r="H31" s="118"/>
      <c r="I31" s="4"/>
      <c r="J31" s="4"/>
      <c r="K31" s="4"/>
      <c r="L31" s="4"/>
      <c r="M31" s="4"/>
      <c r="N31" s="4"/>
      <c r="O31" s="4"/>
      <c r="P31" s="4"/>
      <c r="Q31" s="4"/>
      <c r="R31" s="4"/>
      <c r="S31" s="4"/>
      <c r="T31" s="4"/>
      <c r="U31" s="4"/>
      <c r="V31" s="4"/>
      <c r="W31" s="4"/>
      <c r="X31" s="4"/>
      <c r="Y31" s="4"/>
      <c r="Z31" s="4"/>
      <c r="AA31" s="4"/>
      <c r="AB31" s="4"/>
      <c r="AC31" s="4"/>
      <c r="AD31" s="4"/>
      <c r="AE31" s="4"/>
      <c r="AF31" s="4"/>
    </row>
    <row r="32" spans="1:32" x14ac:dyDescent="0.3">
      <c r="A32" s="110"/>
      <c r="H32" s="118"/>
      <c r="I32" s="4"/>
      <c r="J32" s="4"/>
      <c r="K32" s="4"/>
      <c r="L32" s="4"/>
      <c r="M32" s="4"/>
      <c r="N32" s="4"/>
      <c r="O32" s="4"/>
      <c r="P32" s="4"/>
      <c r="Q32" s="4"/>
      <c r="R32" s="4"/>
      <c r="S32" s="4"/>
      <c r="T32" s="4"/>
      <c r="U32" s="4"/>
      <c r="V32" s="4"/>
      <c r="W32" s="4"/>
      <c r="X32" s="4"/>
      <c r="Y32" s="4"/>
      <c r="Z32" s="4"/>
      <c r="AA32" s="4"/>
      <c r="AB32" s="4"/>
      <c r="AC32" s="4"/>
      <c r="AD32" s="4"/>
      <c r="AE32" s="4"/>
      <c r="AF32" s="162" t="s">
        <v>1464</v>
      </c>
    </row>
    <row r="33" spans="1:50" x14ac:dyDescent="0.3">
      <c r="A33" s="110"/>
      <c r="H33" s="118"/>
      <c r="I33" s="4"/>
      <c r="J33" s="4"/>
      <c r="K33" s="4"/>
      <c r="L33" s="4"/>
      <c r="M33" s="4"/>
      <c r="N33" s="4"/>
      <c r="O33" s="4"/>
      <c r="P33" s="4"/>
      <c r="Q33" s="4"/>
      <c r="R33" s="4"/>
      <c r="S33" s="4"/>
      <c r="T33" s="4"/>
      <c r="U33" s="4"/>
      <c r="V33" s="4"/>
      <c r="W33" s="4"/>
      <c r="X33" s="4"/>
      <c r="Y33" s="4"/>
      <c r="Z33" s="4"/>
      <c r="AA33" s="4"/>
      <c r="AB33" s="4"/>
      <c r="AC33" s="4"/>
      <c r="AD33" s="4"/>
      <c r="AE33" s="4"/>
      <c r="AF33" s="4"/>
    </row>
    <row r="34" spans="1:50" customFormat="1" ht="15" customHeight="1" x14ac:dyDescent="0.3">
      <c r="A34" s="3"/>
      <c r="B34" s="231" t="s">
        <v>1811</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50" customFormat="1" ht="15" customHeigh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50" customFormat="1" ht="15" customHeight="1"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162" t="s">
        <v>1465</v>
      </c>
    </row>
    <row r="37" spans="1:50" customFormat="1" ht="15" customHeight="1"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50" x14ac:dyDescent="0.3">
      <c r="A38" s="1141" t="s">
        <v>8</v>
      </c>
      <c r="B38" s="1141"/>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row>
    <row r="39" spans="1:50" x14ac:dyDescent="0.3">
      <c r="A39" s="1143" t="s">
        <v>9</v>
      </c>
      <c r="B39" s="1143"/>
      <c r="C39" s="1143"/>
      <c r="D39" s="1143"/>
      <c r="E39" s="1143" t="s">
        <v>3</v>
      </c>
      <c r="F39" s="1143"/>
      <c r="G39" s="1143"/>
      <c r="H39" s="1143"/>
      <c r="I39" s="1143"/>
      <c r="J39" s="1143"/>
      <c r="K39" s="1143"/>
      <c r="L39" s="1143"/>
      <c r="M39" s="1143"/>
      <c r="N39" s="1143"/>
      <c r="O39" s="1143"/>
      <c r="P39" s="1143"/>
      <c r="Q39" s="1143" t="s">
        <v>10</v>
      </c>
      <c r="R39" s="1143"/>
      <c r="S39" s="1143"/>
      <c r="T39" s="1143"/>
      <c r="U39" s="1259" t="s">
        <v>11</v>
      </c>
      <c r="V39" s="1260"/>
      <c r="W39" s="1421"/>
      <c r="X39" s="1259" t="s">
        <v>1466</v>
      </c>
      <c r="Y39" s="1260"/>
      <c r="Z39" s="1260"/>
      <c r="AA39" s="1260"/>
      <c r="AB39" s="1260"/>
      <c r="AC39" s="1260"/>
      <c r="AD39" s="1260"/>
      <c r="AE39" s="1260"/>
      <c r="AF39" s="1421"/>
    </row>
    <row r="40" spans="1:50" ht="14.4" customHeight="1" x14ac:dyDescent="0.3">
      <c r="A40" s="1154" t="s">
        <v>2171</v>
      </c>
      <c r="B40" s="1155"/>
      <c r="C40" s="1155"/>
      <c r="D40" s="1156"/>
      <c r="E40" s="1148" t="s">
        <v>1171</v>
      </c>
      <c r="F40" s="1149"/>
      <c r="G40" s="1149"/>
      <c r="H40" s="1149"/>
      <c r="I40" s="1149"/>
      <c r="J40" s="1149"/>
      <c r="K40" s="1149"/>
      <c r="L40" s="1149"/>
      <c r="M40" s="1149"/>
      <c r="N40" s="1149"/>
      <c r="O40" s="1149"/>
      <c r="P40" s="1150"/>
      <c r="Q40" s="2873">
        <v>7.9000000000000001E-2</v>
      </c>
      <c r="R40" s="2874"/>
      <c r="S40" s="2874"/>
      <c r="T40" s="2875"/>
      <c r="U40" s="1243" t="s">
        <v>18</v>
      </c>
      <c r="V40" s="1244"/>
      <c r="W40" s="1245"/>
      <c r="X40" s="1154" t="s">
        <v>2164</v>
      </c>
      <c r="Y40" s="1155"/>
      <c r="Z40" s="1155"/>
      <c r="AA40" s="1155"/>
      <c r="AB40" s="1155"/>
      <c r="AC40" s="1155"/>
      <c r="AD40" s="1155"/>
      <c r="AE40" s="1155"/>
      <c r="AF40" s="1156"/>
      <c r="AI40" s="121"/>
      <c r="AJ40" s="121"/>
      <c r="AK40" s="121"/>
      <c r="AL40" s="121"/>
      <c r="AM40" s="121"/>
      <c r="AN40" s="121"/>
      <c r="AO40" s="121"/>
      <c r="AP40" s="121"/>
      <c r="AQ40" s="121"/>
      <c r="AR40" s="121"/>
      <c r="AS40" s="121"/>
      <c r="AT40" s="121"/>
      <c r="AU40" s="121"/>
      <c r="AV40" s="121"/>
      <c r="AW40" s="121"/>
      <c r="AX40" s="121"/>
    </row>
    <row r="41" spans="1:50" ht="14.4" customHeight="1" x14ac:dyDescent="0.3">
      <c r="A41" s="1154" t="s">
        <v>2172</v>
      </c>
      <c r="B41" s="1155"/>
      <c r="C41" s="1155"/>
      <c r="D41" s="1156"/>
      <c r="E41" s="1148" t="s">
        <v>2165</v>
      </c>
      <c r="F41" s="1149"/>
      <c r="G41" s="1149"/>
      <c r="H41" s="1149"/>
      <c r="I41" s="1149"/>
      <c r="J41" s="1149"/>
      <c r="K41" s="1149"/>
      <c r="L41" s="1149"/>
      <c r="M41" s="1149"/>
      <c r="N41" s="1149"/>
      <c r="O41" s="1149"/>
      <c r="P41" s="1150"/>
      <c r="Q41" s="2873">
        <v>0.05</v>
      </c>
      <c r="R41" s="2874"/>
      <c r="S41" s="2874"/>
      <c r="T41" s="2875"/>
      <c r="U41" s="1243" t="s">
        <v>18</v>
      </c>
      <c r="V41" s="1244"/>
      <c r="W41" s="1245"/>
      <c r="X41" s="1154" t="s">
        <v>2163</v>
      </c>
      <c r="Y41" s="1155"/>
      <c r="Z41" s="1155"/>
      <c r="AA41" s="1155"/>
      <c r="AB41" s="1155"/>
      <c r="AC41" s="1155"/>
      <c r="AD41" s="1155"/>
      <c r="AE41" s="1155"/>
      <c r="AF41" s="1156"/>
      <c r="AI41" s="121"/>
      <c r="AJ41" s="121"/>
      <c r="AK41" s="121"/>
      <c r="AL41" s="121"/>
      <c r="AM41" s="121"/>
      <c r="AN41" s="121"/>
      <c r="AO41" s="121"/>
      <c r="AP41" s="121"/>
      <c r="AQ41" s="121"/>
      <c r="AR41" s="121"/>
      <c r="AS41" s="121"/>
      <c r="AT41" s="121"/>
      <c r="AU41" s="121"/>
      <c r="AV41" s="121"/>
    </row>
    <row r="42" spans="1:50" ht="14.4" customHeight="1" x14ac:dyDescent="0.3">
      <c r="A42" s="1154" t="s">
        <v>2173</v>
      </c>
      <c r="B42" s="1155"/>
      <c r="C42" s="1155"/>
      <c r="D42" s="1156"/>
      <c r="E42" s="1148" t="s">
        <v>1169</v>
      </c>
      <c r="F42" s="1149"/>
      <c r="G42" s="1149"/>
      <c r="H42" s="1149"/>
      <c r="I42" s="1149"/>
      <c r="J42" s="1149"/>
      <c r="K42" s="1149"/>
      <c r="L42" s="1149"/>
      <c r="M42" s="1149"/>
      <c r="N42" s="1149"/>
      <c r="O42" s="1149"/>
      <c r="P42" s="1150"/>
      <c r="Q42" s="2873">
        <v>577</v>
      </c>
      <c r="R42" s="2874"/>
      <c r="S42" s="2874"/>
      <c r="T42" s="2875"/>
      <c r="U42" s="1243" t="s">
        <v>36</v>
      </c>
      <c r="V42" s="1244"/>
      <c r="W42" s="1245"/>
      <c r="X42" s="1154" t="s">
        <v>2169</v>
      </c>
      <c r="Y42" s="1155"/>
      <c r="Z42" s="1155"/>
      <c r="AA42" s="1155"/>
      <c r="AB42" s="1155"/>
      <c r="AC42" s="1155"/>
      <c r="AD42" s="1155"/>
      <c r="AE42" s="1155"/>
      <c r="AF42" s="1156"/>
      <c r="AJ42" s="121"/>
      <c r="AK42" s="121"/>
      <c r="AL42" s="121"/>
      <c r="AM42" s="121"/>
      <c r="AN42" s="121"/>
      <c r="AO42" s="121"/>
      <c r="AP42" s="121"/>
      <c r="AQ42" s="121"/>
      <c r="AR42" s="121"/>
      <c r="AS42" s="121"/>
      <c r="AT42" s="121"/>
      <c r="AU42" s="121"/>
      <c r="AV42" s="121"/>
      <c r="AW42" s="121"/>
      <c r="AX42" s="121"/>
    </row>
    <row r="43" spans="1:50" ht="14.4" customHeight="1" x14ac:dyDescent="0.3">
      <c r="A43" s="1154" t="s">
        <v>2174</v>
      </c>
      <c r="B43" s="1155"/>
      <c r="C43" s="1155"/>
      <c r="D43" s="1156"/>
      <c r="E43" s="1148" t="s">
        <v>1170</v>
      </c>
      <c r="F43" s="1149"/>
      <c r="G43" s="1149"/>
      <c r="H43" s="1149"/>
      <c r="I43" s="1149"/>
      <c r="J43" s="1149"/>
      <c r="K43" s="1149"/>
      <c r="L43" s="1149"/>
      <c r="M43" s="1149"/>
      <c r="N43" s="1149"/>
      <c r="O43" s="1149"/>
      <c r="P43" s="1150"/>
      <c r="Q43" s="2873">
        <v>328</v>
      </c>
      <c r="R43" s="2874"/>
      <c r="S43" s="2874"/>
      <c r="T43" s="2875"/>
      <c r="U43" s="1243" t="s">
        <v>36</v>
      </c>
      <c r="V43" s="1244"/>
      <c r="W43" s="1245"/>
      <c r="X43" s="1154" t="s">
        <v>2163</v>
      </c>
      <c r="Y43" s="1155"/>
      <c r="Z43" s="1155"/>
      <c r="AA43" s="1155"/>
      <c r="AB43" s="1155"/>
      <c r="AC43" s="1155"/>
      <c r="AD43" s="1155"/>
      <c r="AE43" s="1155"/>
      <c r="AF43" s="1156"/>
      <c r="AJ43" s="121"/>
      <c r="AK43" s="121"/>
      <c r="AL43" s="121"/>
      <c r="AM43" s="121"/>
      <c r="AN43" s="121"/>
      <c r="AO43" s="121"/>
      <c r="AP43" s="121"/>
      <c r="AQ43" s="121"/>
      <c r="AR43" s="121"/>
      <c r="AS43" s="121"/>
      <c r="AT43" s="121"/>
      <c r="AU43" s="121"/>
      <c r="AV43" s="121"/>
      <c r="AW43" s="121"/>
      <c r="AX43" s="121"/>
    </row>
    <row r="44" spans="1:50" ht="78" customHeight="1" x14ac:dyDescent="0.3">
      <c r="A44" s="1154" t="s">
        <v>34</v>
      </c>
      <c r="B44" s="1155"/>
      <c r="C44" s="1155"/>
      <c r="D44" s="1156"/>
      <c r="E44" s="1148" t="s">
        <v>644</v>
      </c>
      <c r="F44" s="1149"/>
      <c r="G44" s="1149"/>
      <c r="H44" s="1149"/>
      <c r="I44" s="1149"/>
      <c r="J44" s="1149"/>
      <c r="K44" s="1149"/>
      <c r="L44" s="1149"/>
      <c r="M44" s="1149"/>
      <c r="N44" s="1149"/>
      <c r="O44" s="1149"/>
      <c r="P44" s="1150"/>
      <c r="Q44" s="2873">
        <v>0.5</v>
      </c>
      <c r="R44" s="2874"/>
      <c r="S44" s="2874"/>
      <c r="T44" s="2875"/>
      <c r="U44" s="1261" t="s">
        <v>20</v>
      </c>
      <c r="V44" s="1244"/>
      <c r="W44" s="1245"/>
      <c r="X44" s="1148" t="s">
        <v>2170</v>
      </c>
      <c r="Y44" s="1149"/>
      <c r="Z44" s="1149"/>
      <c r="AA44" s="1149"/>
      <c r="AB44" s="1149"/>
      <c r="AC44" s="1149"/>
      <c r="AD44" s="1149"/>
      <c r="AE44" s="1149"/>
      <c r="AF44" s="1150"/>
      <c r="AJ44" s="121"/>
      <c r="AK44" s="121"/>
      <c r="AL44" s="121"/>
      <c r="AM44" s="121"/>
      <c r="AN44" s="121"/>
      <c r="AO44" s="121"/>
      <c r="AP44" s="121"/>
      <c r="AQ44" s="121"/>
      <c r="AR44" s="121"/>
      <c r="AS44" s="121"/>
      <c r="AT44" s="121"/>
      <c r="AU44" s="121"/>
      <c r="AV44" s="121"/>
      <c r="AW44" s="121"/>
      <c r="AX44" s="121"/>
    </row>
    <row r="45" spans="1:50" ht="14.4" customHeight="1" x14ac:dyDescent="0.3">
      <c r="A45" s="1154" t="s">
        <v>1869</v>
      </c>
      <c r="B45" s="1155" t="s">
        <v>26</v>
      </c>
      <c r="C45" s="1155" t="s">
        <v>26</v>
      </c>
      <c r="D45" s="1156" t="s">
        <v>26</v>
      </c>
      <c r="E45" s="1148" t="s">
        <v>2050</v>
      </c>
      <c r="F45" s="1149"/>
      <c r="G45" s="1149"/>
      <c r="H45" s="1149"/>
      <c r="I45" s="1149"/>
      <c r="J45" s="1149"/>
      <c r="K45" s="1149"/>
      <c r="L45" s="1149"/>
      <c r="M45" s="1149"/>
      <c r="N45" s="1149"/>
      <c r="O45" s="1149"/>
      <c r="P45" s="1150"/>
      <c r="Q45" s="1151">
        <f>'Master EUL'!X50</f>
        <v>5</v>
      </c>
      <c r="R45" s="1152"/>
      <c r="S45" s="1152"/>
      <c r="T45" s="1153"/>
      <c r="U45" s="1243" t="s">
        <v>38</v>
      </c>
      <c r="V45" s="1244"/>
      <c r="W45" s="1245"/>
      <c r="X45" s="1243"/>
      <c r="Y45" s="1244"/>
      <c r="Z45" s="1244"/>
      <c r="AA45" s="1244"/>
      <c r="AB45" s="1244"/>
      <c r="AC45" s="1244"/>
      <c r="AD45" s="1244"/>
      <c r="AE45" s="1244"/>
      <c r="AF45" s="1245"/>
      <c r="AI45" s="121"/>
      <c r="AJ45" s="121"/>
      <c r="AK45" s="121"/>
      <c r="AL45" s="121"/>
      <c r="AM45" s="121"/>
      <c r="AN45" s="121"/>
      <c r="AO45" s="121"/>
      <c r="AP45" s="121"/>
      <c r="AQ45" s="121"/>
      <c r="AR45" s="121"/>
      <c r="AS45" s="121"/>
      <c r="AT45" s="121"/>
      <c r="AU45" s="121"/>
      <c r="AV45" s="121"/>
    </row>
    <row r="46" spans="1:50" ht="105" customHeight="1" x14ac:dyDescent="0.3">
      <c r="A46" s="1270" t="s">
        <v>2904</v>
      </c>
      <c r="B46" s="1270"/>
      <c r="C46" s="1270"/>
      <c r="D46" s="1270"/>
      <c r="E46" s="1270"/>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row>
    <row r="47" spans="1:50" ht="139.5" customHeight="1" x14ac:dyDescent="0.3">
      <c r="A47" s="1082" t="s">
        <v>2175</v>
      </c>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row>
    <row r="49" spans="1:32" x14ac:dyDescent="0.3">
      <c r="A49" s="1141" t="s">
        <v>14</v>
      </c>
      <c r="B49" s="1141"/>
      <c r="C49" s="1141"/>
      <c r="D49" s="1141"/>
      <c r="E49" s="1141"/>
      <c r="F49" s="1141"/>
      <c r="G49" s="1141"/>
      <c r="H49" s="1141"/>
      <c r="I49" s="1141"/>
      <c r="J49" s="1141"/>
      <c r="K49" s="1141"/>
      <c r="L49" s="1141"/>
      <c r="M49" s="1141"/>
      <c r="N49" s="1141"/>
      <c r="O49" s="1141"/>
      <c r="P49" s="1141"/>
      <c r="Q49" s="1141"/>
      <c r="R49" s="1141"/>
      <c r="S49" s="1141"/>
      <c r="T49" s="1141"/>
      <c r="U49" s="1141"/>
      <c r="V49" s="1141"/>
      <c r="W49" s="1141"/>
      <c r="X49" s="1141"/>
      <c r="Y49" s="1141"/>
      <c r="Z49" s="1141"/>
      <c r="AA49" s="1141"/>
      <c r="AB49" s="1141"/>
      <c r="AC49" s="1141"/>
      <c r="AD49" s="1141"/>
      <c r="AE49" s="1141"/>
      <c r="AF49" s="1141"/>
    </row>
    <row r="50" spans="1:32" ht="15" thickBot="1" x14ac:dyDescent="0.35"/>
    <row r="51" spans="1:32" ht="30.75" customHeight="1" x14ac:dyDescent="0.3">
      <c r="A51" s="1252" t="s">
        <v>15</v>
      </c>
      <c r="B51" s="1253"/>
      <c r="C51" s="1253"/>
      <c r="D51" s="1253"/>
      <c r="E51" s="1253"/>
      <c r="F51" s="1253"/>
      <c r="G51" s="1253"/>
      <c r="H51" s="1253"/>
      <c r="I51" s="1278" t="s">
        <v>2780</v>
      </c>
      <c r="J51" s="1253"/>
      <c r="K51" s="1253"/>
      <c r="L51" s="1253"/>
      <c r="M51" s="1253"/>
      <c r="N51" s="1253"/>
      <c r="O51" s="1253"/>
      <c r="P51" s="1253"/>
      <c r="Q51" s="1278" t="s">
        <v>2776</v>
      </c>
      <c r="R51" s="1253"/>
      <c r="S51" s="1253"/>
      <c r="T51" s="1253"/>
      <c r="U51" s="1253"/>
      <c r="V51" s="1253"/>
      <c r="W51" s="1253"/>
      <c r="X51" s="1253"/>
      <c r="Y51" s="2383" t="s">
        <v>1554</v>
      </c>
      <c r="Z51" s="1253"/>
      <c r="AA51" s="1253"/>
      <c r="AB51" s="1253"/>
      <c r="AC51" s="1253"/>
      <c r="AD51" s="1253"/>
      <c r="AE51" s="1253"/>
      <c r="AF51" s="1254"/>
    </row>
    <row r="52" spans="1:32" ht="15" thickBot="1" x14ac:dyDescent="0.35">
      <c r="A52" s="2879" t="s">
        <v>531</v>
      </c>
      <c r="B52" s="2880"/>
      <c r="C52" s="2880"/>
      <c r="D52" s="2880"/>
      <c r="E52" s="2880"/>
      <c r="F52" s="2880"/>
      <c r="G52" s="2880"/>
      <c r="H52" s="2880"/>
      <c r="I52" s="1414">
        <f>ROUND((Q40-Q41)*$Q$44,3)</f>
        <v>1.4999999999999999E-2</v>
      </c>
      <c r="J52" s="1414"/>
      <c r="K52" s="1414"/>
      <c r="L52" s="1414"/>
      <c r="M52" s="1414"/>
      <c r="N52" s="1414"/>
      <c r="O52" s="1414"/>
      <c r="P52" s="1414"/>
      <c r="Q52" s="1415">
        <f>ROUND((Q42-Q43)*$Q$44,2)</f>
        <v>124.5</v>
      </c>
      <c r="R52" s="1415"/>
      <c r="S52" s="1415"/>
      <c r="T52" s="1415"/>
      <c r="U52" s="1415"/>
      <c r="V52" s="1415"/>
      <c r="W52" s="1415"/>
      <c r="X52" s="1415"/>
      <c r="Y52" s="3270">
        <f>ROUND($Q$52*$Q$45,2)</f>
        <v>622.5</v>
      </c>
      <c r="Z52" s="2159"/>
      <c r="AA52" s="2159"/>
      <c r="AB52" s="2159"/>
      <c r="AC52" s="2159"/>
      <c r="AD52" s="2159"/>
      <c r="AE52" s="2159"/>
      <c r="AF52" s="2160"/>
    </row>
    <row r="55" spans="1:32" x14ac:dyDescent="0.3">
      <c r="A55" s="1141" t="s">
        <v>1514</v>
      </c>
      <c r="B55" s="1141"/>
      <c r="C55" s="1141"/>
      <c r="D55" s="1141"/>
      <c r="E55" s="1141"/>
      <c r="F55" s="1141"/>
      <c r="G55" s="1141"/>
      <c r="H55" s="1141"/>
      <c r="I55" s="1141"/>
      <c r="J55" s="1141"/>
      <c r="K55" s="1141"/>
      <c r="L55" s="1141"/>
      <c r="M55" s="1141"/>
      <c r="N55" s="1141"/>
      <c r="O55" s="1141"/>
      <c r="P55" s="1141"/>
      <c r="Q55" s="1141"/>
      <c r="R55" s="1141"/>
      <c r="S55" s="1141"/>
      <c r="T55" s="1141"/>
      <c r="U55" s="1141"/>
      <c r="V55" s="1141"/>
      <c r="W55" s="1141"/>
      <c r="X55" s="1141"/>
      <c r="Y55" s="1141"/>
      <c r="Z55" s="1141"/>
      <c r="AA55" s="1141"/>
      <c r="AB55" s="1141"/>
      <c r="AC55" s="1141"/>
      <c r="AD55" s="1141"/>
      <c r="AE55" s="1141"/>
      <c r="AF55" s="1141"/>
    </row>
    <row r="57" spans="1:32" x14ac:dyDescent="0.3">
      <c r="A57" s="368" t="s">
        <v>803</v>
      </c>
      <c r="B57" s="953" t="s">
        <v>2503</v>
      </c>
      <c r="C57" s="953"/>
      <c r="D57" s="953"/>
      <c r="E57" s="953"/>
      <c r="F57" s="953"/>
      <c r="G57" s="953"/>
      <c r="H57" s="953"/>
      <c r="I57" s="953"/>
      <c r="J57" s="953"/>
      <c r="K57" s="953"/>
      <c r="L57" s="953"/>
      <c r="M57" s="953"/>
      <c r="N57" s="953"/>
      <c r="O57" s="953"/>
      <c r="P57" s="953"/>
      <c r="Q57" s="953"/>
      <c r="R57" s="953"/>
      <c r="S57" s="953"/>
      <c r="T57" s="953"/>
      <c r="U57" s="953"/>
      <c r="V57" s="953"/>
      <c r="W57" s="953"/>
      <c r="X57" s="953"/>
      <c r="Y57" s="953"/>
      <c r="Z57" s="953"/>
      <c r="AA57" s="953"/>
      <c r="AB57" s="953"/>
      <c r="AC57" s="953"/>
      <c r="AD57" s="953"/>
      <c r="AE57" s="953"/>
      <c r="AF57" s="953"/>
    </row>
    <row r="58" spans="1:32" ht="33.75" customHeight="1" x14ac:dyDescent="0.3">
      <c r="A58" s="368" t="s">
        <v>803</v>
      </c>
      <c r="B58" s="953" t="s">
        <v>2851</v>
      </c>
      <c r="C58" s="953"/>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row>
    <row r="59" spans="1:32" ht="50.25" customHeight="1" x14ac:dyDescent="0.3">
      <c r="A59" s="368" t="s">
        <v>803</v>
      </c>
      <c r="B59" s="953" t="s">
        <v>2176</v>
      </c>
      <c r="C59" s="953"/>
      <c r="D59" s="953"/>
      <c r="E59" s="953"/>
      <c r="F59" s="953"/>
      <c r="G59" s="953"/>
      <c r="H59" s="953"/>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row>
    <row r="60" spans="1:32" ht="48.75" customHeight="1" x14ac:dyDescent="0.3">
      <c r="A60" s="368" t="s">
        <v>803</v>
      </c>
      <c r="B60" s="953" t="s">
        <v>2177</v>
      </c>
      <c r="C60" s="953"/>
      <c r="D60" s="953"/>
      <c r="E60" s="953"/>
      <c r="F60" s="953"/>
      <c r="G60" s="953"/>
      <c r="H60" s="953"/>
      <c r="I60" s="953"/>
      <c r="J60" s="953"/>
      <c r="K60" s="953"/>
      <c r="L60" s="953"/>
      <c r="M60" s="953"/>
      <c r="N60" s="953"/>
      <c r="O60" s="953"/>
      <c r="P60" s="953"/>
      <c r="Q60" s="953"/>
      <c r="R60" s="953"/>
      <c r="S60" s="953"/>
      <c r="T60" s="953"/>
      <c r="U60" s="953"/>
      <c r="V60" s="953"/>
      <c r="W60" s="953"/>
      <c r="X60" s="953"/>
      <c r="Y60" s="953"/>
      <c r="Z60" s="953"/>
      <c r="AA60" s="953"/>
      <c r="AB60" s="953"/>
      <c r="AC60" s="953"/>
      <c r="AD60" s="953"/>
      <c r="AE60" s="953"/>
      <c r="AF60" s="953"/>
    </row>
  </sheetData>
  <sheetProtection algorithmName="SHA-512" hashValue="+7O/wJv/rSelqyytqqgM2cNzjEwzPBkdMnyrx5lDfF0erbD803qKJ37VKJcPBGsU4RayxE0P0wd+vBQgTmsprA==" saltValue="P5KwNelV50OGLheZrkn9ZA==" spinCount="100000" sheet="1" objects="1" scenarios="1"/>
  <mergeCells count="66">
    <mergeCell ref="A55:AF55"/>
    <mergeCell ref="B58:AF58"/>
    <mergeCell ref="B59:AF59"/>
    <mergeCell ref="B60:AF60"/>
    <mergeCell ref="A46:AF46"/>
    <mergeCell ref="A47:AF47"/>
    <mergeCell ref="A49:AF49"/>
    <mergeCell ref="A51:H51"/>
    <mergeCell ref="I51:P51"/>
    <mergeCell ref="Q51:X51"/>
    <mergeCell ref="A52:H52"/>
    <mergeCell ref="I52:P52"/>
    <mergeCell ref="Q52:X52"/>
    <mergeCell ref="Y51:AF51"/>
    <mergeCell ref="Y52:AF52"/>
    <mergeCell ref="B57:AF57"/>
    <mergeCell ref="A40:D40"/>
    <mergeCell ref="E40:P40"/>
    <mergeCell ref="Q40:T40"/>
    <mergeCell ref="U40:W40"/>
    <mergeCell ref="X40:AF40"/>
    <mergeCell ref="A44:D44"/>
    <mergeCell ref="E44:P44"/>
    <mergeCell ref="Q44:T44"/>
    <mergeCell ref="U44:W44"/>
    <mergeCell ref="X44:AF44"/>
    <mergeCell ref="A45:D45"/>
    <mergeCell ref="E45:P45"/>
    <mergeCell ref="Q45:T45"/>
    <mergeCell ref="U45:W45"/>
    <mergeCell ref="X45:AF45"/>
    <mergeCell ref="X41:AF41"/>
    <mergeCell ref="A42:D42"/>
    <mergeCell ref="E42:P42"/>
    <mergeCell ref="Q42:T42"/>
    <mergeCell ref="U42:W42"/>
    <mergeCell ref="X42:AF42"/>
    <mergeCell ref="A41:D41"/>
    <mergeCell ref="E41:P41"/>
    <mergeCell ref="Q41:T41"/>
    <mergeCell ref="U41:W41"/>
    <mergeCell ref="A43:D43"/>
    <mergeCell ref="E43:P43"/>
    <mergeCell ref="Q43:T43"/>
    <mergeCell ref="U43:W43"/>
    <mergeCell ref="X43:AF43"/>
    <mergeCell ref="A38:AF38"/>
    <mergeCell ref="A39:D39"/>
    <mergeCell ref="E39:P39"/>
    <mergeCell ref="Q39:T39"/>
    <mergeCell ref="U39:W39"/>
    <mergeCell ref="X39:AF39"/>
    <mergeCell ref="A1:AF1"/>
    <mergeCell ref="A7:AF7"/>
    <mergeCell ref="B9:I9"/>
    <mergeCell ref="B10:AF10"/>
    <mergeCell ref="B12:I12"/>
    <mergeCell ref="A3:AF3"/>
    <mergeCell ref="B5:AF5"/>
    <mergeCell ref="B22:AF22"/>
    <mergeCell ref="A24:AF24"/>
    <mergeCell ref="B13:AF13"/>
    <mergeCell ref="B15:I15"/>
    <mergeCell ref="B16:AF16"/>
    <mergeCell ref="B18:I18"/>
    <mergeCell ref="B19:AF19"/>
  </mergeCells>
  <hyperlinks>
    <hyperlink ref="A2" location="TOC!A1" display="Return to TOC" xr:uid="{00000000-0004-0000-6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7">
    <tabColor theme="5" tint="0.59999389629810485"/>
    <pageSetUpPr autoPageBreaks="0"/>
  </sheetPr>
  <dimension ref="A1:AF168"/>
  <sheetViews>
    <sheetView zoomScaleNormal="100" workbookViewId="0">
      <selection sqref="A1:AF1"/>
    </sheetView>
  </sheetViews>
  <sheetFormatPr defaultColWidth="2.6640625" defaultRowHeight="14.4" x14ac:dyDescent="0.3"/>
  <sheetData>
    <row r="1" spans="1:32" ht="18" x14ac:dyDescent="0.3">
      <c r="A1" s="1131" t="s">
        <v>1162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4636</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3">
      <c r="A10" s="121"/>
      <c r="B10" s="1372" t="s">
        <v>1163</v>
      </c>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3.75" customHeight="1" x14ac:dyDescent="0.3">
      <c r="A13" s="121"/>
      <c r="B13" s="889" t="s">
        <v>3662</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3505</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91.5" customHeight="1" x14ac:dyDescent="0.3">
      <c r="A19" s="121"/>
      <c r="B19" s="889" t="s">
        <v>4006</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A20" s="12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81" customHeight="1" x14ac:dyDescent="0.3">
      <c r="A21" s="121"/>
      <c r="B21" s="889" t="s">
        <v>4007</v>
      </c>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row>
    <row r="22" spans="1:32" x14ac:dyDescent="0.3">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3">
      <c r="A23" s="121"/>
      <c r="B23" s="267" t="s">
        <v>13</v>
      </c>
      <c r="C23" s="267"/>
      <c r="D23" s="267"/>
      <c r="E23" s="267"/>
      <c r="F23" s="267"/>
      <c r="G23" s="267"/>
      <c r="H23" s="267"/>
      <c r="I23" s="267"/>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3">
      <c r="A24" s="121"/>
      <c r="B24" s="1372" t="s">
        <v>4008</v>
      </c>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c r="Y24" s="1372"/>
      <c r="Z24" s="1372"/>
      <c r="AA24" s="1372"/>
      <c r="AB24" s="1372"/>
      <c r="AC24" s="1372"/>
      <c r="AD24" s="1372"/>
      <c r="AE24" s="1372"/>
      <c r="AF24" s="1372"/>
    </row>
    <row r="25" spans="1:32" x14ac:dyDescent="0.3">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3">
      <c r="A27" s="1290" t="s">
        <v>7</v>
      </c>
      <c r="B27" s="1290"/>
      <c r="C27" s="1290"/>
      <c r="D27" s="1290"/>
      <c r="E27" s="1290"/>
      <c r="F27" s="1290"/>
      <c r="G27" s="1290"/>
      <c r="H27" s="1290"/>
      <c r="I27" s="1290"/>
      <c r="J27" s="1290"/>
      <c r="K27" s="1290"/>
      <c r="L27" s="1290"/>
      <c r="M27" s="1290"/>
      <c r="N27" s="1290"/>
      <c r="O27" s="1290"/>
      <c r="P27" s="1290"/>
      <c r="Q27" s="1290"/>
      <c r="R27" s="1290"/>
      <c r="S27" s="1290"/>
      <c r="T27" s="1290"/>
      <c r="U27" s="1290"/>
      <c r="V27" s="1290"/>
      <c r="W27" s="1290"/>
      <c r="X27" s="1290"/>
      <c r="Y27" s="1290"/>
      <c r="Z27" s="1290"/>
      <c r="AA27" s="1290"/>
      <c r="AB27" s="1290"/>
      <c r="AC27" s="1290"/>
      <c r="AD27" s="1290"/>
      <c r="AE27" s="1290"/>
      <c r="AF27" s="1290"/>
    </row>
    <row r="28" spans="1:32" x14ac:dyDescent="0.3">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3">
      <c r="A29" s="121"/>
      <c r="B29" s="372" t="s">
        <v>2135</v>
      </c>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x14ac:dyDescent="0.3">
      <c r="A30" s="121"/>
      <c r="B30" s="37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3">
      <c r="A31" s="121"/>
      <c r="B31" s="37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272" t="s">
        <v>1463</v>
      </c>
    </row>
    <row r="32" spans="1:32" x14ac:dyDescent="0.3">
      <c r="A32" s="121"/>
      <c r="B32" s="37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row>
    <row r="33" spans="1:32" x14ac:dyDescent="0.3">
      <c r="A33" s="121"/>
      <c r="B33" s="372" t="s">
        <v>2136</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3">
      <c r="A34" s="121"/>
      <c r="B34" s="37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x14ac:dyDescent="0.3">
      <c r="A35" s="121"/>
      <c r="B35" s="37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1464</v>
      </c>
    </row>
    <row r="36" spans="1:32" x14ac:dyDescent="0.3">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3">
      <c r="A37" s="121"/>
      <c r="B37" s="372" t="s">
        <v>2025</v>
      </c>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3">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3">
      <c r="A39" s="121"/>
      <c r="B39" s="372"/>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3">
      <c r="A40" s="121"/>
      <c r="B40" s="372"/>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t="s">
        <v>1465</v>
      </c>
    </row>
    <row r="41" spans="1:32" x14ac:dyDescent="0.3">
      <c r="A41" s="121"/>
      <c r="B41" s="372"/>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3">
      <c r="A42" s="121"/>
      <c r="B42" s="372"/>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x14ac:dyDescent="0.3">
      <c r="A43" s="121"/>
      <c r="B43" s="372" t="s">
        <v>2026</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3">
      <c r="A44" s="121"/>
      <c r="B44" s="372"/>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3">
      <c r="A45" s="121"/>
      <c r="B45" s="372"/>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2" x14ac:dyDescent="0.3">
      <c r="A46" s="121"/>
      <c r="B46" s="372"/>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1517</v>
      </c>
    </row>
    <row r="47" spans="1:32" x14ac:dyDescent="0.3">
      <c r="A47" s="121"/>
      <c r="B47" s="372"/>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3">
      <c r="A48" s="121"/>
      <c r="B48" s="372"/>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3">
      <c r="A49" s="121"/>
      <c r="B49" s="267" t="s">
        <v>1811</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row>
    <row r="50" spans="1:32"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row>
    <row r="51" spans="1:32" x14ac:dyDescent="0.3">
      <c r="A51" s="121"/>
      <c r="B51" s="121"/>
      <c r="C51" s="507" t="s">
        <v>4009</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272"/>
    </row>
    <row r="52" spans="1:32" x14ac:dyDescent="0.3">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row>
    <row r="53" spans="1:32"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1556</v>
      </c>
    </row>
    <row r="54" spans="1:32" x14ac:dyDescent="0.3">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272"/>
    </row>
    <row r="55" spans="1:32" x14ac:dyDescent="0.3">
      <c r="A55" s="121"/>
      <c r="B55" s="121"/>
      <c r="C55" s="507" t="s">
        <v>4010</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3">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t="s">
        <v>1558</v>
      </c>
    </row>
    <row r="58" spans="1:32" x14ac:dyDescent="0.3">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3">
      <c r="A59" s="121"/>
      <c r="B59" s="121"/>
      <c r="C59" s="507" t="s">
        <v>4011</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row>
    <row r="60" spans="1:32" x14ac:dyDescent="0.3">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3">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t="s">
        <v>1607</v>
      </c>
    </row>
    <row r="62" spans="1:32" x14ac:dyDescent="0.3">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row>
    <row r="63" spans="1:32" x14ac:dyDescent="0.3">
      <c r="A63" s="1290" t="s">
        <v>8</v>
      </c>
      <c r="B63" s="1290"/>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c r="AC63" s="1290"/>
      <c r="AD63" s="1290"/>
      <c r="AE63" s="1290"/>
      <c r="AF63" s="1290"/>
    </row>
    <row r="64" spans="1:32" x14ac:dyDescent="0.3">
      <c r="A64" s="2354" t="s">
        <v>9</v>
      </c>
      <c r="B64" s="2354"/>
      <c r="C64" s="2354"/>
      <c r="D64" s="2354"/>
      <c r="E64" s="3379" t="s">
        <v>3</v>
      </c>
      <c r="F64" s="3379"/>
      <c r="G64" s="3379"/>
      <c r="H64" s="3379"/>
      <c r="I64" s="3379"/>
      <c r="J64" s="3379"/>
      <c r="K64" s="3379"/>
      <c r="L64" s="3379"/>
      <c r="M64" s="2354" t="s">
        <v>1164</v>
      </c>
      <c r="N64" s="2354"/>
      <c r="O64" s="2354"/>
      <c r="P64" s="2354" t="s">
        <v>1066</v>
      </c>
      <c r="Q64" s="2354"/>
      <c r="R64" s="2354"/>
      <c r="S64" s="2354" t="s">
        <v>11</v>
      </c>
      <c r="T64" s="2354"/>
      <c r="U64" s="2354"/>
      <c r="V64" s="2354" t="s">
        <v>2612</v>
      </c>
      <c r="W64" s="2354"/>
      <c r="X64" s="2354"/>
      <c r="Y64" s="2354"/>
      <c r="Z64" s="2354"/>
      <c r="AA64" s="2354"/>
      <c r="AB64" s="2354"/>
      <c r="AC64" s="2354"/>
      <c r="AD64" s="2354"/>
      <c r="AE64" s="2354"/>
      <c r="AF64" s="2354"/>
    </row>
    <row r="65" spans="1:32" ht="151.5" customHeight="1" x14ac:dyDescent="0.3">
      <c r="A65" s="1507" t="s">
        <v>4012</v>
      </c>
      <c r="B65" s="1507"/>
      <c r="C65" s="1507"/>
      <c r="D65" s="1507"/>
      <c r="E65" s="3369" t="s">
        <v>4013</v>
      </c>
      <c r="F65" s="3369"/>
      <c r="G65" s="3369"/>
      <c r="H65" s="3369"/>
      <c r="I65" s="3369"/>
      <c r="J65" s="3369"/>
      <c r="K65" s="3369"/>
      <c r="L65" s="3369"/>
      <c r="M65" s="1506">
        <v>2.0000000000000001E-4</v>
      </c>
      <c r="N65" s="1506"/>
      <c r="O65" s="1506"/>
      <c r="P65" s="1506"/>
      <c r="Q65" s="1506"/>
      <c r="R65" s="1506"/>
      <c r="S65" s="3378" t="s">
        <v>4014</v>
      </c>
      <c r="T65" s="1507"/>
      <c r="U65" s="1507"/>
      <c r="V65" s="3369" t="s">
        <v>4069</v>
      </c>
      <c r="W65" s="3369"/>
      <c r="X65" s="3369"/>
      <c r="Y65" s="3369"/>
      <c r="Z65" s="3369"/>
      <c r="AA65" s="3369"/>
      <c r="AB65" s="3369"/>
      <c r="AC65" s="3369"/>
      <c r="AD65" s="3369"/>
      <c r="AE65" s="3369"/>
      <c r="AF65" s="3369"/>
    </row>
    <row r="66" spans="1:32" ht="15" x14ac:dyDescent="0.3">
      <c r="A66" s="1506" t="s">
        <v>4070</v>
      </c>
      <c r="B66" s="1506" t="s">
        <v>923</v>
      </c>
      <c r="C66" s="1506" t="s">
        <v>923</v>
      </c>
      <c r="D66" s="1506" t="s">
        <v>923</v>
      </c>
      <c r="E66" s="3369" t="s">
        <v>4015</v>
      </c>
      <c r="F66" s="3369"/>
      <c r="G66" s="3369"/>
      <c r="H66" s="3369"/>
      <c r="I66" s="3369"/>
      <c r="J66" s="3369"/>
      <c r="K66" s="3369"/>
      <c r="L66" s="3369"/>
      <c r="M66" s="1506">
        <v>2.2000000000000002</v>
      </c>
      <c r="N66" s="1506"/>
      <c r="O66" s="1506"/>
      <c r="P66" s="1506"/>
      <c r="Q66" s="1506"/>
      <c r="R66" s="1506"/>
      <c r="S66" s="1507" t="s">
        <v>3506</v>
      </c>
      <c r="T66" s="1507"/>
      <c r="U66" s="1507"/>
      <c r="V66" s="3369" t="s">
        <v>4016</v>
      </c>
      <c r="W66" s="3369"/>
      <c r="X66" s="3369"/>
      <c r="Y66" s="3369"/>
      <c r="Z66" s="3369"/>
      <c r="AA66" s="3369"/>
      <c r="AB66" s="3369"/>
      <c r="AC66" s="3369"/>
      <c r="AD66" s="3369"/>
      <c r="AE66" s="3369"/>
      <c r="AF66" s="3369"/>
    </row>
    <row r="67" spans="1:32" ht="31.5" customHeight="1" x14ac:dyDescent="0.3">
      <c r="A67" s="1506" t="s">
        <v>4071</v>
      </c>
      <c r="B67" s="1506" t="s">
        <v>923</v>
      </c>
      <c r="C67" s="1506" t="s">
        <v>923</v>
      </c>
      <c r="D67" s="1506" t="s">
        <v>923</v>
      </c>
      <c r="E67" s="3369" t="s">
        <v>4017</v>
      </c>
      <c r="F67" s="3369"/>
      <c r="G67" s="3369"/>
      <c r="H67" s="3369"/>
      <c r="I67" s="3369"/>
      <c r="J67" s="3369"/>
      <c r="K67" s="3369"/>
      <c r="L67" s="3369"/>
      <c r="M67" s="3371">
        <v>1.2</v>
      </c>
      <c r="N67" s="3372"/>
      <c r="O67" s="3373"/>
      <c r="P67" s="3371">
        <v>1.8</v>
      </c>
      <c r="Q67" s="3372"/>
      <c r="R67" s="3373"/>
      <c r="S67" s="1507" t="s">
        <v>3506</v>
      </c>
      <c r="T67" s="1507"/>
      <c r="U67" s="1507"/>
      <c r="V67" s="3369" t="s">
        <v>4018</v>
      </c>
      <c r="W67" s="3369"/>
      <c r="X67" s="3369"/>
      <c r="Y67" s="3369"/>
      <c r="Z67" s="3369"/>
      <c r="AA67" s="3369"/>
      <c r="AB67" s="3369"/>
      <c r="AC67" s="3369"/>
      <c r="AD67" s="3369"/>
      <c r="AE67" s="3369"/>
      <c r="AF67" s="3369"/>
    </row>
    <row r="68" spans="1:32" ht="33.75" customHeight="1" x14ac:dyDescent="0.3">
      <c r="A68" s="1506" t="s">
        <v>4072</v>
      </c>
      <c r="B68" s="1506" t="s">
        <v>924</v>
      </c>
      <c r="C68" s="1506" t="s">
        <v>924</v>
      </c>
      <c r="D68" s="1506" t="s">
        <v>924</v>
      </c>
      <c r="E68" s="3369" t="s">
        <v>3507</v>
      </c>
      <c r="F68" s="3369" t="s">
        <v>930</v>
      </c>
      <c r="G68" s="3369" t="s">
        <v>930</v>
      </c>
      <c r="H68" s="3369" t="s">
        <v>930</v>
      </c>
      <c r="I68" s="3369" t="s">
        <v>930</v>
      </c>
      <c r="J68" s="3369" t="s">
        <v>930</v>
      </c>
      <c r="K68" s="3369" t="s">
        <v>930</v>
      </c>
      <c r="L68" s="3369" t="s">
        <v>930</v>
      </c>
      <c r="M68" s="3375">
        <v>1</v>
      </c>
      <c r="N68" s="3376"/>
      <c r="O68" s="3377"/>
      <c r="P68" s="3375">
        <v>1.5</v>
      </c>
      <c r="Q68" s="3376"/>
      <c r="R68" s="3377"/>
      <c r="S68" s="1507" t="s">
        <v>3506</v>
      </c>
      <c r="T68" s="1507"/>
      <c r="U68" s="1507"/>
      <c r="V68" s="3369" t="s">
        <v>4019</v>
      </c>
      <c r="W68" s="3369"/>
      <c r="X68" s="3369"/>
      <c r="Y68" s="3369"/>
      <c r="Z68" s="3369"/>
      <c r="AA68" s="3369"/>
      <c r="AB68" s="3369"/>
      <c r="AC68" s="3369"/>
      <c r="AD68" s="3369"/>
      <c r="AE68" s="3369"/>
      <c r="AF68" s="3369"/>
    </row>
    <row r="69" spans="1:32" ht="70.5" customHeight="1" x14ac:dyDescent="0.3">
      <c r="A69" s="1506" t="s">
        <v>948</v>
      </c>
      <c r="B69" s="1506" t="s">
        <v>948</v>
      </c>
      <c r="C69" s="1506" t="s">
        <v>948</v>
      </c>
      <c r="D69" s="1506" t="s">
        <v>948</v>
      </c>
      <c r="E69" s="3369" t="s">
        <v>3508</v>
      </c>
      <c r="F69" s="3369" t="s">
        <v>949</v>
      </c>
      <c r="G69" s="3369" t="s">
        <v>949</v>
      </c>
      <c r="H69" s="3369" t="s">
        <v>949</v>
      </c>
      <c r="I69" s="3369" t="s">
        <v>949</v>
      </c>
      <c r="J69" s="3369" t="s">
        <v>949</v>
      </c>
      <c r="K69" s="3369" t="s">
        <v>949</v>
      </c>
      <c r="L69" s="3369" t="s">
        <v>949</v>
      </c>
      <c r="M69" s="1506">
        <v>1.6</v>
      </c>
      <c r="N69" s="1506"/>
      <c r="O69" s="1506"/>
      <c r="P69" s="1506">
        <v>4.5</v>
      </c>
      <c r="Q69" s="1506"/>
      <c r="R69" s="1506"/>
      <c r="S69" s="1507" t="s">
        <v>4020</v>
      </c>
      <c r="T69" s="1507"/>
      <c r="U69" s="1507"/>
      <c r="V69" s="3369" t="s">
        <v>1999</v>
      </c>
      <c r="W69" s="3369"/>
      <c r="X69" s="3369"/>
      <c r="Y69" s="3369"/>
      <c r="Z69" s="3369"/>
      <c r="AA69" s="3369"/>
      <c r="AB69" s="3369"/>
      <c r="AC69" s="3369"/>
      <c r="AD69" s="3369"/>
      <c r="AE69" s="3369"/>
      <c r="AF69" s="3369"/>
    </row>
    <row r="70" spans="1:32" ht="35.25" customHeight="1" x14ac:dyDescent="0.3">
      <c r="A70" s="1506" t="s">
        <v>931</v>
      </c>
      <c r="B70" s="1506"/>
      <c r="C70" s="1506"/>
      <c r="D70" s="1506"/>
      <c r="E70" s="3369" t="s">
        <v>3515</v>
      </c>
      <c r="F70" s="3369" t="s">
        <v>958</v>
      </c>
      <c r="G70" s="3369" t="s">
        <v>958</v>
      </c>
      <c r="H70" s="3369" t="s">
        <v>958</v>
      </c>
      <c r="I70" s="3369" t="s">
        <v>958</v>
      </c>
      <c r="J70" s="3369" t="s">
        <v>958</v>
      </c>
      <c r="K70" s="3369" t="s">
        <v>958</v>
      </c>
      <c r="L70" s="3369" t="s">
        <v>958</v>
      </c>
      <c r="M70" s="1506">
        <v>2.34</v>
      </c>
      <c r="N70" s="1506"/>
      <c r="O70" s="1506"/>
      <c r="P70" s="1506"/>
      <c r="Q70" s="1506"/>
      <c r="R70" s="1506"/>
      <c r="S70" s="1507" t="s">
        <v>3659</v>
      </c>
      <c r="T70" s="1507"/>
      <c r="U70" s="1507"/>
      <c r="V70" s="3369" t="s">
        <v>4073</v>
      </c>
      <c r="W70" s="3369"/>
      <c r="X70" s="3369"/>
      <c r="Y70" s="3369"/>
      <c r="Z70" s="3369"/>
      <c r="AA70" s="3369"/>
      <c r="AB70" s="3369"/>
      <c r="AC70" s="3369"/>
      <c r="AD70" s="3369"/>
      <c r="AE70" s="3369"/>
      <c r="AF70" s="3369"/>
    </row>
    <row r="71" spans="1:32" ht="36.75" customHeight="1" x14ac:dyDescent="0.3">
      <c r="A71" s="1506"/>
      <c r="B71" s="1506"/>
      <c r="C71" s="1506"/>
      <c r="D71" s="1506"/>
      <c r="E71" s="3369" t="s">
        <v>3516</v>
      </c>
      <c r="F71" s="3369" t="s">
        <v>959</v>
      </c>
      <c r="G71" s="3369" t="s">
        <v>959</v>
      </c>
      <c r="H71" s="3369" t="s">
        <v>959</v>
      </c>
      <c r="I71" s="3369" t="s">
        <v>959</v>
      </c>
      <c r="J71" s="3369" t="s">
        <v>959</v>
      </c>
      <c r="K71" s="3369" t="s">
        <v>959</v>
      </c>
      <c r="L71" s="3369" t="s">
        <v>959</v>
      </c>
      <c r="M71" s="1506">
        <v>3.16</v>
      </c>
      <c r="N71" s="1506"/>
      <c r="O71" s="1506"/>
      <c r="P71" s="1506"/>
      <c r="Q71" s="1506"/>
      <c r="R71" s="1506"/>
      <c r="S71" s="1507"/>
      <c r="T71" s="1507"/>
      <c r="U71" s="1507"/>
      <c r="V71" s="3369"/>
      <c r="W71" s="3369"/>
      <c r="X71" s="3369"/>
      <c r="Y71" s="3369"/>
      <c r="Z71" s="3369"/>
      <c r="AA71" s="3369"/>
      <c r="AB71" s="3369"/>
      <c r="AC71" s="3369"/>
      <c r="AD71" s="3369"/>
      <c r="AE71" s="3369"/>
      <c r="AF71" s="3369"/>
    </row>
    <row r="72" spans="1:32" ht="36" customHeight="1" x14ac:dyDescent="0.3">
      <c r="A72" s="1506" t="s">
        <v>950</v>
      </c>
      <c r="B72" s="1506"/>
      <c r="C72" s="1506"/>
      <c r="D72" s="1506"/>
      <c r="E72" s="3369" t="s">
        <v>3517</v>
      </c>
      <c r="F72" s="3369" t="s">
        <v>957</v>
      </c>
      <c r="G72" s="3369" t="s">
        <v>957</v>
      </c>
      <c r="H72" s="3369" t="s">
        <v>957</v>
      </c>
      <c r="I72" s="3369" t="s">
        <v>957</v>
      </c>
      <c r="J72" s="3369" t="s">
        <v>957</v>
      </c>
      <c r="K72" s="3369" t="s">
        <v>957</v>
      </c>
      <c r="L72" s="3369" t="s">
        <v>957</v>
      </c>
      <c r="M72" s="1506">
        <v>2.42</v>
      </c>
      <c r="N72" s="1506"/>
      <c r="O72" s="1506"/>
      <c r="P72" s="1506">
        <v>1.05</v>
      </c>
      <c r="Q72" s="1506"/>
      <c r="R72" s="1506"/>
      <c r="S72" s="1507" t="s">
        <v>3660</v>
      </c>
      <c r="T72" s="1507"/>
      <c r="U72" s="1507"/>
      <c r="V72" s="3369" t="s">
        <v>4074</v>
      </c>
      <c r="W72" s="3369"/>
      <c r="X72" s="3369"/>
      <c r="Y72" s="3369"/>
      <c r="Z72" s="3369"/>
      <c r="AA72" s="3369"/>
      <c r="AB72" s="3369"/>
      <c r="AC72" s="3369"/>
      <c r="AD72" s="3369"/>
      <c r="AE72" s="3369"/>
      <c r="AF72" s="3369"/>
    </row>
    <row r="73" spans="1:32" ht="31.5" customHeight="1" x14ac:dyDescent="0.3">
      <c r="A73" s="1506"/>
      <c r="B73" s="1506"/>
      <c r="C73" s="1506"/>
      <c r="D73" s="1506"/>
      <c r="E73" s="3369" t="s">
        <v>3518</v>
      </c>
      <c r="F73" s="3369" t="s">
        <v>956</v>
      </c>
      <c r="G73" s="3369" t="s">
        <v>956</v>
      </c>
      <c r="H73" s="3369" t="s">
        <v>956</v>
      </c>
      <c r="I73" s="3369" t="s">
        <v>956</v>
      </c>
      <c r="J73" s="3369" t="s">
        <v>956</v>
      </c>
      <c r="K73" s="3369" t="s">
        <v>956</v>
      </c>
      <c r="L73" s="3369" t="s">
        <v>956</v>
      </c>
      <c r="M73" s="1506">
        <v>3.56</v>
      </c>
      <c r="N73" s="1506"/>
      <c r="O73" s="1506"/>
      <c r="P73" s="1506">
        <v>1.24</v>
      </c>
      <c r="Q73" s="1506"/>
      <c r="R73" s="1506"/>
      <c r="S73" s="1507"/>
      <c r="T73" s="1507"/>
      <c r="U73" s="1507"/>
      <c r="V73" s="3369"/>
      <c r="W73" s="3369"/>
      <c r="X73" s="3369"/>
      <c r="Y73" s="3369"/>
      <c r="Z73" s="3369"/>
      <c r="AA73" s="3369"/>
      <c r="AB73" s="3369"/>
      <c r="AC73" s="3369"/>
      <c r="AD73" s="3369"/>
      <c r="AE73" s="3369"/>
      <c r="AF73" s="3369"/>
    </row>
    <row r="74" spans="1:32" ht="30" customHeight="1" x14ac:dyDescent="0.3">
      <c r="A74" s="1506" t="s">
        <v>934</v>
      </c>
      <c r="B74" s="1506" t="s">
        <v>934</v>
      </c>
      <c r="C74" s="1506" t="s">
        <v>934</v>
      </c>
      <c r="D74" s="1506" t="s">
        <v>934</v>
      </c>
      <c r="E74" s="3369" t="s">
        <v>3509</v>
      </c>
      <c r="F74" s="3369" t="s">
        <v>935</v>
      </c>
      <c r="G74" s="3369" t="s">
        <v>935</v>
      </c>
      <c r="H74" s="3369" t="s">
        <v>935</v>
      </c>
      <c r="I74" s="3369" t="s">
        <v>935</v>
      </c>
      <c r="J74" s="3369" t="s">
        <v>935</v>
      </c>
      <c r="K74" s="3369" t="s">
        <v>935</v>
      </c>
      <c r="L74" s="3369" t="s">
        <v>935</v>
      </c>
      <c r="M74" s="1506">
        <v>8.3000000000000007</v>
      </c>
      <c r="N74" s="1506"/>
      <c r="O74" s="1506"/>
      <c r="P74" s="1506"/>
      <c r="Q74" s="1506"/>
      <c r="R74" s="1506"/>
      <c r="S74" s="1507" t="s">
        <v>3514</v>
      </c>
      <c r="T74" s="1507"/>
      <c r="U74" s="1507"/>
      <c r="V74" s="3369" t="s">
        <v>3528</v>
      </c>
      <c r="W74" s="3369"/>
      <c r="X74" s="3369"/>
      <c r="Y74" s="3369"/>
      <c r="Z74" s="3369"/>
      <c r="AA74" s="3369"/>
      <c r="AB74" s="3369"/>
      <c r="AC74" s="3369"/>
      <c r="AD74" s="3369"/>
      <c r="AE74" s="3369"/>
      <c r="AF74" s="3369"/>
    </row>
    <row r="75" spans="1:32" ht="74.25" customHeight="1" x14ac:dyDescent="0.3">
      <c r="A75" s="1506" t="s">
        <v>4075</v>
      </c>
      <c r="B75" s="1506" t="s">
        <v>936</v>
      </c>
      <c r="C75" s="1506" t="s">
        <v>936</v>
      </c>
      <c r="D75" s="1506" t="s">
        <v>936</v>
      </c>
      <c r="E75" s="3369" t="s">
        <v>3510</v>
      </c>
      <c r="F75" s="3369" t="s">
        <v>951</v>
      </c>
      <c r="G75" s="3369" t="s">
        <v>951</v>
      </c>
      <c r="H75" s="3369" t="s">
        <v>951</v>
      </c>
      <c r="I75" s="3369" t="s">
        <v>951</v>
      </c>
      <c r="J75" s="3369" t="s">
        <v>951</v>
      </c>
      <c r="K75" s="3369" t="s">
        <v>951</v>
      </c>
      <c r="L75" s="3369" t="s">
        <v>951</v>
      </c>
      <c r="M75" s="1506">
        <v>86</v>
      </c>
      <c r="N75" s="1506"/>
      <c r="O75" s="1506"/>
      <c r="P75" s="1506">
        <v>93</v>
      </c>
      <c r="Q75" s="1506"/>
      <c r="R75" s="1506"/>
      <c r="S75" s="1507" t="s">
        <v>1168</v>
      </c>
      <c r="T75" s="1507"/>
      <c r="U75" s="1507"/>
      <c r="V75" s="3369" t="s">
        <v>1999</v>
      </c>
      <c r="W75" s="3369"/>
      <c r="X75" s="3369"/>
      <c r="Y75" s="3369"/>
      <c r="Z75" s="3369"/>
      <c r="AA75" s="3369"/>
      <c r="AB75" s="3369"/>
      <c r="AC75" s="3369"/>
      <c r="AD75" s="3369"/>
      <c r="AE75" s="3369"/>
      <c r="AF75" s="3369"/>
    </row>
    <row r="76" spans="1:32" ht="71.25" customHeight="1" x14ac:dyDescent="0.3">
      <c r="A76" s="1506" t="s">
        <v>4076</v>
      </c>
      <c r="B76" s="1506" t="s">
        <v>937</v>
      </c>
      <c r="C76" s="1506" t="s">
        <v>937</v>
      </c>
      <c r="D76" s="1506" t="s">
        <v>937</v>
      </c>
      <c r="E76" s="3369" t="s">
        <v>3511</v>
      </c>
      <c r="F76" s="3369" t="s">
        <v>952</v>
      </c>
      <c r="G76" s="3369" t="s">
        <v>952</v>
      </c>
      <c r="H76" s="3369" t="s">
        <v>952</v>
      </c>
      <c r="I76" s="3369" t="s">
        <v>952</v>
      </c>
      <c r="J76" s="3369" t="s">
        <v>952</v>
      </c>
      <c r="K76" s="3369" t="s">
        <v>952</v>
      </c>
      <c r="L76" s="3369" t="s">
        <v>952</v>
      </c>
      <c r="M76" s="1506">
        <v>75</v>
      </c>
      <c r="N76" s="1506"/>
      <c r="O76" s="1506"/>
      <c r="P76" s="1506"/>
      <c r="Q76" s="1506"/>
      <c r="R76" s="1506"/>
      <c r="S76" s="1507" t="s">
        <v>1168</v>
      </c>
      <c r="T76" s="1507"/>
      <c r="U76" s="1507"/>
      <c r="V76" s="3369" t="s">
        <v>4077</v>
      </c>
      <c r="W76" s="3369"/>
      <c r="X76" s="3369"/>
      <c r="Y76" s="3369"/>
      <c r="Z76" s="3369"/>
      <c r="AA76" s="3369"/>
      <c r="AB76" s="3369"/>
      <c r="AC76" s="3369"/>
      <c r="AD76" s="3369"/>
      <c r="AE76" s="3369"/>
      <c r="AF76" s="3369"/>
    </row>
    <row r="77" spans="1:32" ht="50.25" customHeight="1" x14ac:dyDescent="0.3">
      <c r="A77" s="1506" t="s">
        <v>4021</v>
      </c>
      <c r="B77" s="1506"/>
      <c r="C77" s="1506"/>
      <c r="D77" s="1506"/>
      <c r="E77" s="3369" t="s">
        <v>4022</v>
      </c>
      <c r="F77" s="3369" t="s">
        <v>953</v>
      </c>
      <c r="G77" s="3369" t="s">
        <v>953</v>
      </c>
      <c r="H77" s="3369" t="s">
        <v>953</v>
      </c>
      <c r="I77" s="3369" t="s">
        <v>953</v>
      </c>
      <c r="J77" s="3369" t="s">
        <v>953</v>
      </c>
      <c r="K77" s="3369" t="s">
        <v>953</v>
      </c>
      <c r="L77" s="3369" t="s">
        <v>953</v>
      </c>
      <c r="M77" s="1506">
        <v>0.94499999999999995</v>
      </c>
      <c r="N77" s="1506"/>
      <c r="O77" s="1506"/>
      <c r="P77" s="1506"/>
      <c r="Q77" s="1506"/>
      <c r="R77" s="1506"/>
      <c r="S77" s="1507" t="s">
        <v>20</v>
      </c>
      <c r="T77" s="1507"/>
      <c r="U77" s="1507"/>
      <c r="V77" s="3369" t="s">
        <v>4023</v>
      </c>
      <c r="W77" s="3369"/>
      <c r="X77" s="3369"/>
      <c r="Y77" s="3369"/>
      <c r="Z77" s="3369"/>
      <c r="AA77" s="3369"/>
      <c r="AB77" s="3369"/>
      <c r="AC77" s="3369"/>
      <c r="AD77" s="3369"/>
      <c r="AE77" s="3369"/>
      <c r="AF77" s="3369"/>
    </row>
    <row r="78" spans="1:32" ht="49.5" customHeight="1" x14ac:dyDescent="0.3">
      <c r="A78" s="1506"/>
      <c r="B78" s="1506"/>
      <c r="C78" s="1506"/>
      <c r="D78" s="1506"/>
      <c r="E78" s="3369" t="s">
        <v>4024</v>
      </c>
      <c r="F78" s="3369" t="s">
        <v>953</v>
      </c>
      <c r="G78" s="3369" t="s">
        <v>953</v>
      </c>
      <c r="H78" s="3369" t="s">
        <v>953</v>
      </c>
      <c r="I78" s="3369" t="s">
        <v>953</v>
      </c>
      <c r="J78" s="3369" t="s">
        <v>953</v>
      </c>
      <c r="K78" s="3369" t="s">
        <v>953</v>
      </c>
      <c r="L78" s="3369" t="s">
        <v>953</v>
      </c>
      <c r="M78" s="1506">
        <v>0.97499999999999998</v>
      </c>
      <c r="N78" s="1506"/>
      <c r="O78" s="1506"/>
      <c r="P78" s="1506"/>
      <c r="Q78" s="1506"/>
      <c r="R78" s="1506"/>
      <c r="S78" s="1507" t="s">
        <v>20</v>
      </c>
      <c r="T78" s="1507"/>
      <c r="U78" s="1507"/>
      <c r="V78" s="3369" t="s">
        <v>4025</v>
      </c>
      <c r="W78" s="3369"/>
      <c r="X78" s="3369"/>
      <c r="Y78" s="3369"/>
      <c r="Z78" s="3369"/>
      <c r="AA78" s="3369"/>
      <c r="AB78" s="3369"/>
      <c r="AC78" s="3369"/>
      <c r="AD78" s="3369"/>
      <c r="AE78" s="3369"/>
      <c r="AF78" s="3369"/>
    </row>
    <row r="79" spans="1:32" ht="69" customHeight="1" x14ac:dyDescent="0.3">
      <c r="A79" s="1506"/>
      <c r="B79" s="1506"/>
      <c r="C79" s="1506"/>
      <c r="D79" s="1506"/>
      <c r="E79" s="3369" t="s">
        <v>4026</v>
      </c>
      <c r="F79" s="3369" t="s">
        <v>954</v>
      </c>
      <c r="G79" s="3369" t="s">
        <v>954</v>
      </c>
      <c r="H79" s="3369" t="s">
        <v>954</v>
      </c>
      <c r="I79" s="3369" t="s">
        <v>954</v>
      </c>
      <c r="J79" s="3369" t="s">
        <v>954</v>
      </c>
      <c r="K79" s="3369" t="s">
        <v>954</v>
      </c>
      <c r="L79" s="3369" t="s">
        <v>954</v>
      </c>
      <c r="M79" s="3371">
        <f>ROUND(AVERAGE(3.25,1.98),1)</f>
        <v>2.6</v>
      </c>
      <c r="N79" s="3372"/>
      <c r="O79" s="3372"/>
      <c r="P79" s="3372"/>
      <c r="Q79" s="3372"/>
      <c r="R79" s="3373"/>
      <c r="S79" s="1507" t="s">
        <v>20</v>
      </c>
      <c r="T79" s="1507"/>
      <c r="U79" s="1507"/>
      <c r="V79" s="3369" t="s">
        <v>4027</v>
      </c>
      <c r="W79" s="3369"/>
      <c r="X79" s="3369"/>
      <c r="Y79" s="3369"/>
      <c r="Z79" s="3369"/>
      <c r="AA79" s="3369"/>
      <c r="AB79" s="3369"/>
      <c r="AC79" s="3369"/>
      <c r="AD79" s="3369"/>
      <c r="AE79" s="3369"/>
      <c r="AF79" s="3369"/>
    </row>
    <row r="80" spans="1:32" ht="49.5" customHeight="1" x14ac:dyDescent="0.3">
      <c r="A80" s="1506"/>
      <c r="B80" s="1506"/>
      <c r="C80" s="1506"/>
      <c r="D80" s="1506"/>
      <c r="E80" s="3369" t="s">
        <v>4028</v>
      </c>
      <c r="F80" s="3369" t="s">
        <v>955</v>
      </c>
      <c r="G80" s="3369" t="s">
        <v>955</v>
      </c>
      <c r="H80" s="3369" t="s">
        <v>955</v>
      </c>
      <c r="I80" s="3369" t="s">
        <v>955</v>
      </c>
      <c r="J80" s="3369" t="s">
        <v>955</v>
      </c>
      <c r="K80" s="3369" t="s">
        <v>955</v>
      </c>
      <c r="L80" s="3369" t="s">
        <v>955</v>
      </c>
      <c r="M80" s="1506">
        <v>6.5</v>
      </c>
      <c r="N80" s="1506"/>
      <c r="O80" s="1506"/>
      <c r="P80" s="1506"/>
      <c r="Q80" s="1506"/>
      <c r="R80" s="1506"/>
      <c r="S80" s="1507" t="s">
        <v>20</v>
      </c>
      <c r="T80" s="1507"/>
      <c r="U80" s="1507"/>
      <c r="V80" s="3369" t="s">
        <v>4029</v>
      </c>
      <c r="W80" s="3369"/>
      <c r="X80" s="3369"/>
      <c r="Y80" s="3369"/>
      <c r="Z80" s="3369"/>
      <c r="AA80" s="3369"/>
      <c r="AB80" s="3369"/>
      <c r="AC80" s="3369"/>
      <c r="AD80" s="3369"/>
      <c r="AE80" s="3369"/>
      <c r="AF80" s="3369"/>
    </row>
    <row r="81" spans="1:32" x14ac:dyDescent="0.3">
      <c r="A81" s="1506" t="s">
        <v>159</v>
      </c>
      <c r="B81" s="1506" t="s">
        <v>939</v>
      </c>
      <c r="C81" s="1506" t="s">
        <v>939</v>
      </c>
      <c r="D81" s="1506" t="s">
        <v>939</v>
      </c>
      <c r="E81" s="3369" t="s">
        <v>3509</v>
      </c>
      <c r="F81" s="3369" t="s">
        <v>947</v>
      </c>
      <c r="G81" s="3369" t="s">
        <v>947</v>
      </c>
      <c r="H81" s="3369" t="s">
        <v>947</v>
      </c>
      <c r="I81" s="3369" t="s">
        <v>947</v>
      </c>
      <c r="J81" s="3369" t="s">
        <v>947</v>
      </c>
      <c r="K81" s="3369" t="s">
        <v>947</v>
      </c>
      <c r="L81" s="3369" t="s">
        <v>947</v>
      </c>
      <c r="M81" s="1506">
        <v>365</v>
      </c>
      <c r="N81" s="1506"/>
      <c r="O81" s="1506"/>
      <c r="P81" s="1506"/>
      <c r="Q81" s="1506"/>
      <c r="R81" s="1506"/>
      <c r="S81" s="1507" t="s">
        <v>2628</v>
      </c>
      <c r="T81" s="1507"/>
      <c r="U81" s="1507"/>
      <c r="V81" s="3369"/>
      <c r="W81" s="3369"/>
      <c r="X81" s="3369"/>
      <c r="Y81" s="3369"/>
      <c r="Z81" s="3369"/>
      <c r="AA81" s="3369"/>
      <c r="AB81" s="3369"/>
      <c r="AC81" s="3369"/>
      <c r="AD81" s="3369"/>
      <c r="AE81" s="3369"/>
      <c r="AF81" s="3369"/>
    </row>
    <row r="82" spans="1:32" x14ac:dyDescent="0.3">
      <c r="A82" s="1506" t="s">
        <v>159</v>
      </c>
      <c r="B82" s="1506" t="s">
        <v>939</v>
      </c>
      <c r="C82" s="1506" t="s">
        <v>939</v>
      </c>
      <c r="D82" s="1506" t="s">
        <v>939</v>
      </c>
      <c r="E82" s="3369" t="s">
        <v>3509</v>
      </c>
      <c r="F82" s="3369" t="s">
        <v>947</v>
      </c>
      <c r="G82" s="3369" t="s">
        <v>947</v>
      </c>
      <c r="H82" s="3369" t="s">
        <v>947</v>
      </c>
      <c r="I82" s="3369" t="s">
        <v>947</v>
      </c>
      <c r="J82" s="3369" t="s">
        <v>947</v>
      </c>
      <c r="K82" s="3369" t="s">
        <v>947</v>
      </c>
      <c r="L82" s="3369" t="s">
        <v>947</v>
      </c>
      <c r="M82" s="1506">
        <v>3412</v>
      </c>
      <c r="N82" s="1506"/>
      <c r="O82" s="1506"/>
      <c r="P82" s="1506"/>
      <c r="Q82" s="1506"/>
      <c r="R82" s="1506"/>
      <c r="S82" s="1507" t="s">
        <v>943</v>
      </c>
      <c r="T82" s="1507"/>
      <c r="U82" s="1507"/>
      <c r="V82" s="3369" t="s">
        <v>3528</v>
      </c>
      <c r="W82" s="3369"/>
      <c r="X82" s="3369"/>
      <c r="Y82" s="3369"/>
      <c r="Z82" s="3369"/>
      <c r="AA82" s="3369"/>
      <c r="AB82" s="3369"/>
      <c r="AC82" s="3369"/>
      <c r="AD82" s="3369"/>
      <c r="AE82" s="3369"/>
      <c r="AF82" s="3369"/>
    </row>
    <row r="83" spans="1:32" ht="30.75" customHeight="1" x14ac:dyDescent="0.3">
      <c r="A83" s="1506" t="s">
        <v>1522</v>
      </c>
      <c r="B83" s="1506"/>
      <c r="C83" s="1506"/>
      <c r="D83" s="1506"/>
      <c r="E83" s="3369" t="s">
        <v>4030</v>
      </c>
      <c r="F83" s="3369"/>
      <c r="G83" s="3369"/>
      <c r="H83" s="3369"/>
      <c r="I83" s="3369"/>
      <c r="J83" s="3369"/>
      <c r="K83" s="3369"/>
      <c r="L83" s="3369"/>
      <c r="M83" s="3371">
        <v>0.93</v>
      </c>
      <c r="N83" s="3372"/>
      <c r="O83" s="3373"/>
      <c r="P83" s="3371">
        <v>0.94</v>
      </c>
      <c r="Q83" s="3372"/>
      <c r="R83" s="3373"/>
      <c r="S83" s="1507" t="s">
        <v>20</v>
      </c>
      <c r="T83" s="1507"/>
      <c r="U83" s="1507"/>
      <c r="V83" s="3369" t="s">
        <v>4078</v>
      </c>
      <c r="W83" s="3369"/>
      <c r="X83" s="3369"/>
      <c r="Y83" s="3369"/>
      <c r="Z83" s="3369"/>
      <c r="AA83" s="3369"/>
      <c r="AB83" s="3369"/>
      <c r="AC83" s="3369"/>
      <c r="AD83" s="3369"/>
      <c r="AE83" s="3369"/>
      <c r="AF83" s="3369"/>
    </row>
    <row r="84" spans="1:32" ht="62.25" customHeight="1" x14ac:dyDescent="0.3">
      <c r="A84" s="1506"/>
      <c r="B84" s="1506"/>
      <c r="C84" s="1506"/>
      <c r="D84" s="1506"/>
      <c r="E84" s="3369" t="s">
        <v>4031</v>
      </c>
      <c r="F84" s="3369"/>
      <c r="G84" s="3369"/>
      <c r="H84" s="3369"/>
      <c r="I84" s="3369"/>
      <c r="J84" s="3369"/>
      <c r="K84" s="3369"/>
      <c r="L84" s="3369"/>
      <c r="M84" s="3374">
        <v>1</v>
      </c>
      <c r="N84" s="3374"/>
      <c r="O84" s="3374"/>
      <c r="P84" s="3374"/>
      <c r="Q84" s="3374"/>
      <c r="R84" s="3374"/>
      <c r="S84" s="1507" t="s">
        <v>20</v>
      </c>
      <c r="T84" s="1507"/>
      <c r="U84" s="1507"/>
      <c r="V84" s="3369" t="s">
        <v>4032</v>
      </c>
      <c r="W84" s="3369"/>
      <c r="X84" s="3369"/>
      <c r="Y84" s="3369"/>
      <c r="Z84" s="3369"/>
      <c r="AA84" s="3369"/>
      <c r="AB84" s="3369"/>
      <c r="AC84" s="3369"/>
      <c r="AD84" s="3369"/>
      <c r="AE84" s="3369"/>
      <c r="AF84" s="3369"/>
    </row>
    <row r="85" spans="1:32" ht="37.5" customHeight="1" x14ac:dyDescent="0.3">
      <c r="A85" s="1506" t="s">
        <v>1611</v>
      </c>
      <c r="B85" s="1506" t="s">
        <v>26</v>
      </c>
      <c r="C85" s="1506" t="s">
        <v>26</v>
      </c>
      <c r="D85" s="1506" t="s">
        <v>26</v>
      </c>
      <c r="E85" s="3369" t="s">
        <v>3366</v>
      </c>
      <c r="F85" s="3369"/>
      <c r="G85" s="3369"/>
      <c r="H85" s="3369"/>
      <c r="I85" s="3369"/>
      <c r="J85" s="3369"/>
      <c r="K85" s="3369"/>
      <c r="L85" s="3369"/>
      <c r="M85" s="1506">
        <f>ROUND(M86/3,0)</f>
        <v>3</v>
      </c>
      <c r="N85" s="1506"/>
      <c r="O85" s="1506"/>
      <c r="P85" s="1506"/>
      <c r="Q85" s="1506"/>
      <c r="R85" s="1506"/>
      <c r="S85" s="1507" t="s">
        <v>38</v>
      </c>
      <c r="T85" s="1507"/>
      <c r="U85" s="1507"/>
      <c r="V85" s="3370" t="s">
        <v>4033</v>
      </c>
      <c r="W85" s="3369"/>
      <c r="X85" s="3369"/>
      <c r="Y85" s="3369"/>
      <c r="Z85" s="3369"/>
      <c r="AA85" s="3369"/>
      <c r="AB85" s="3369"/>
      <c r="AC85" s="3369"/>
      <c r="AD85" s="3369"/>
      <c r="AE85" s="3369"/>
      <c r="AF85" s="3369"/>
    </row>
    <row r="86" spans="1:32" ht="33" customHeight="1" x14ac:dyDescent="0.3">
      <c r="A86" s="1506" t="s">
        <v>2562</v>
      </c>
      <c r="B86" s="1506" t="s">
        <v>26</v>
      </c>
      <c r="C86" s="1506" t="s">
        <v>26</v>
      </c>
      <c r="D86" s="1506" t="s">
        <v>26</v>
      </c>
      <c r="E86" s="3369" t="s">
        <v>2050</v>
      </c>
      <c r="F86" s="3369"/>
      <c r="G86" s="3369"/>
      <c r="H86" s="3369"/>
      <c r="I86" s="3369"/>
      <c r="J86" s="3369"/>
      <c r="K86" s="3369"/>
      <c r="L86" s="3369"/>
      <c r="M86" s="1506">
        <f>'Master EUL'!X58</f>
        <v>10</v>
      </c>
      <c r="N86" s="1506"/>
      <c r="O86" s="1506"/>
      <c r="P86" s="1506"/>
      <c r="Q86" s="1506"/>
      <c r="R86" s="1506"/>
      <c r="S86" s="1507" t="s">
        <v>38</v>
      </c>
      <c r="T86" s="1507"/>
      <c r="U86" s="1507"/>
      <c r="V86" s="3369" t="s">
        <v>4079</v>
      </c>
      <c r="W86" s="3369"/>
      <c r="X86" s="3369"/>
      <c r="Y86" s="3369"/>
      <c r="Z86" s="3369"/>
      <c r="AA86" s="3369"/>
      <c r="AB86" s="3369"/>
      <c r="AC86" s="3369"/>
      <c r="AD86" s="3369"/>
      <c r="AE86" s="3369"/>
      <c r="AF86" s="3369"/>
    </row>
    <row r="87" spans="1:32" ht="30" customHeight="1" x14ac:dyDescent="0.3">
      <c r="A87" s="1406" t="s">
        <v>4080</v>
      </c>
      <c r="B87" s="1406"/>
      <c r="C87" s="1406"/>
      <c r="D87" s="1406"/>
      <c r="E87" s="1406"/>
      <c r="F87" s="1406"/>
      <c r="G87" s="1406"/>
      <c r="H87" s="1406"/>
      <c r="I87" s="1406"/>
      <c r="J87" s="1406"/>
      <c r="K87" s="1406"/>
      <c r="L87" s="1406"/>
      <c r="M87" s="1406"/>
      <c r="N87" s="1406"/>
      <c r="O87" s="1406"/>
      <c r="P87" s="1406"/>
      <c r="Q87" s="1406"/>
      <c r="R87" s="1406"/>
      <c r="S87" s="1406"/>
      <c r="T87" s="1406"/>
      <c r="U87" s="1406"/>
      <c r="V87" s="1406"/>
      <c r="W87" s="1406"/>
      <c r="X87" s="1406"/>
      <c r="Y87" s="1406"/>
      <c r="Z87" s="1406"/>
      <c r="AA87" s="1406"/>
      <c r="AB87" s="1406"/>
      <c r="AC87" s="1406"/>
      <c r="AD87" s="1406"/>
      <c r="AE87" s="1406"/>
      <c r="AF87" s="1406"/>
    </row>
    <row r="88" spans="1:32" ht="44.25" customHeight="1" x14ac:dyDescent="0.3">
      <c r="A88" s="998" t="s">
        <v>4090</v>
      </c>
      <c r="B88" s="998"/>
      <c r="C88" s="998"/>
      <c r="D88" s="998"/>
      <c r="E88" s="998"/>
      <c r="F88" s="998"/>
      <c r="G88" s="998"/>
      <c r="H88" s="998"/>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row>
    <row r="89" spans="1:32" ht="36" customHeight="1" x14ac:dyDescent="0.3">
      <c r="A89" s="998" t="s">
        <v>4081</v>
      </c>
      <c r="B89" s="998"/>
      <c r="C89" s="998"/>
      <c r="D89" s="998"/>
      <c r="E89" s="998"/>
      <c r="F89" s="998"/>
      <c r="G89" s="998"/>
      <c r="H89" s="998"/>
      <c r="I89" s="998"/>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row>
    <row r="90" spans="1:32" x14ac:dyDescent="0.3">
      <c r="A90" s="998" t="s">
        <v>4082</v>
      </c>
      <c r="B90" s="998"/>
      <c r="C90" s="998"/>
      <c r="D90" s="998"/>
      <c r="E90" s="998"/>
      <c r="F90" s="998"/>
      <c r="G90" s="998"/>
      <c r="H90" s="998"/>
      <c r="I90" s="998"/>
      <c r="J90" s="998"/>
      <c r="K90" s="998"/>
      <c r="L90" s="998"/>
      <c r="M90" s="998"/>
      <c r="N90" s="998"/>
      <c r="O90" s="998"/>
      <c r="P90" s="998"/>
      <c r="Q90" s="998"/>
      <c r="R90" s="998"/>
      <c r="S90" s="998"/>
      <c r="T90" s="998"/>
      <c r="U90" s="998"/>
      <c r="V90" s="998"/>
      <c r="W90" s="998"/>
      <c r="X90" s="998"/>
      <c r="Y90" s="998"/>
      <c r="Z90" s="998"/>
      <c r="AA90" s="998"/>
      <c r="AB90" s="998"/>
      <c r="AC90" s="998"/>
      <c r="AD90" s="998"/>
      <c r="AE90" s="998"/>
      <c r="AF90" s="998"/>
    </row>
    <row r="91" spans="1:32" x14ac:dyDescent="0.3">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x14ac:dyDescent="0.3">
      <c r="A92" s="187" t="s">
        <v>4034</v>
      </c>
      <c r="B92" s="64"/>
      <c r="C92" s="64"/>
      <c r="D92" s="64"/>
      <c r="E92" s="64"/>
      <c r="F92" s="64"/>
      <c r="G92" s="64"/>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33.75" customHeight="1" x14ac:dyDescent="0.3">
      <c r="A93" s="1378" t="s">
        <v>4035</v>
      </c>
      <c r="B93" s="1378"/>
      <c r="C93" s="1378"/>
      <c r="D93" s="1378"/>
      <c r="E93" s="1378"/>
      <c r="F93" s="1378"/>
      <c r="G93" s="1378"/>
      <c r="H93" s="1378"/>
      <c r="I93" s="1378"/>
      <c r="J93" s="1378"/>
      <c r="K93" s="3366" t="s">
        <v>4036</v>
      </c>
      <c r="L93" s="3367"/>
      <c r="M93" s="3367"/>
      <c r="N93" s="3368"/>
      <c r="O93" s="3366" t="s">
        <v>4037</v>
      </c>
      <c r="P93" s="3367"/>
      <c r="Q93" s="3367"/>
      <c r="R93" s="3368"/>
      <c r="S93" s="3366" t="s">
        <v>4038</v>
      </c>
      <c r="T93" s="3367"/>
      <c r="U93" s="3367"/>
      <c r="V93" s="3368"/>
      <c r="W93" s="121"/>
      <c r="X93" s="121"/>
      <c r="Y93" s="121"/>
      <c r="Z93" s="121"/>
      <c r="AA93" s="121"/>
      <c r="AB93" s="121"/>
      <c r="AC93" s="121"/>
      <c r="AD93" s="121"/>
      <c r="AE93" s="121"/>
      <c r="AF93" s="121"/>
    </row>
    <row r="94" spans="1:32" x14ac:dyDescent="0.3">
      <c r="A94" s="993" t="s">
        <v>4039</v>
      </c>
      <c r="B94" s="993"/>
      <c r="C94" s="993"/>
      <c r="D94" s="993"/>
      <c r="E94" s="993"/>
      <c r="F94" s="993"/>
      <c r="G94" s="993"/>
      <c r="H94" s="993"/>
      <c r="I94" s="993"/>
      <c r="J94" s="993"/>
      <c r="K94" s="3353">
        <v>0.43697284075573561</v>
      </c>
      <c r="L94" s="3354"/>
      <c r="M94" s="3354"/>
      <c r="N94" s="3355"/>
      <c r="O94" s="3353">
        <v>0.32106782106782106</v>
      </c>
      <c r="P94" s="3354"/>
      <c r="Q94" s="3354"/>
      <c r="R94" s="3355"/>
      <c r="S94" s="3353">
        <v>0.63745354525794196</v>
      </c>
      <c r="T94" s="3354"/>
      <c r="U94" s="3354"/>
      <c r="V94" s="3355"/>
      <c r="W94" s="121"/>
      <c r="X94" s="121"/>
      <c r="Y94" s="121"/>
      <c r="Z94" s="121"/>
      <c r="AA94" s="121"/>
      <c r="AB94" s="121"/>
      <c r="AC94" s="121"/>
      <c r="AD94" s="121"/>
      <c r="AE94" s="121"/>
      <c r="AF94" s="121"/>
    </row>
    <row r="95" spans="1:32" x14ac:dyDescent="0.3">
      <c r="A95" s="993" t="s">
        <v>4040</v>
      </c>
      <c r="B95" s="993"/>
      <c r="C95" s="993"/>
      <c r="D95" s="993"/>
      <c r="E95" s="993"/>
      <c r="F95" s="993"/>
      <c r="G95" s="993"/>
      <c r="H95" s="993"/>
      <c r="I95" s="993"/>
      <c r="J95" s="993"/>
      <c r="K95" s="3353">
        <v>4.2193825910931175E-2</v>
      </c>
      <c r="L95" s="3354"/>
      <c r="M95" s="3354"/>
      <c r="N95" s="3355"/>
      <c r="O95" s="3353">
        <v>3.6075036075036072E-2</v>
      </c>
      <c r="P95" s="3354"/>
      <c r="Q95" s="3354"/>
      <c r="R95" s="3355"/>
      <c r="S95" s="3353">
        <v>4.2958825876078695E-2</v>
      </c>
      <c r="T95" s="3354"/>
      <c r="U95" s="3354"/>
      <c r="V95" s="3355"/>
      <c r="W95" s="121"/>
      <c r="X95" s="121"/>
      <c r="Y95" s="121"/>
      <c r="Z95" s="121"/>
      <c r="AA95" s="121"/>
      <c r="AB95" s="121"/>
      <c r="AC95" s="121"/>
      <c r="AD95" s="121"/>
      <c r="AE95" s="121"/>
      <c r="AF95" s="121"/>
    </row>
    <row r="96" spans="1:32" x14ac:dyDescent="0.3">
      <c r="A96" s="993" t="s">
        <v>527</v>
      </c>
      <c r="B96" s="993"/>
      <c r="C96" s="993"/>
      <c r="D96" s="993"/>
      <c r="E96" s="993"/>
      <c r="F96" s="993"/>
      <c r="G96" s="993"/>
      <c r="H96" s="993"/>
      <c r="I96" s="993"/>
      <c r="J96" s="993"/>
      <c r="K96" s="3353">
        <v>6.25E-2</v>
      </c>
      <c r="L96" s="3354"/>
      <c r="M96" s="3354"/>
      <c r="N96" s="3355"/>
      <c r="O96" s="3353">
        <v>7.1428571428571438E-2</v>
      </c>
      <c r="P96" s="3354"/>
      <c r="Q96" s="3354"/>
      <c r="R96" s="3355"/>
      <c r="S96" s="3353">
        <v>5.1546391752577317E-2</v>
      </c>
      <c r="T96" s="3354"/>
      <c r="U96" s="3354"/>
      <c r="V96" s="3355"/>
      <c r="W96" s="121"/>
      <c r="X96" s="121"/>
      <c r="Y96" s="121"/>
      <c r="Z96" s="121"/>
      <c r="AA96" s="121"/>
      <c r="AB96" s="121"/>
      <c r="AC96" s="121"/>
      <c r="AD96" s="121"/>
      <c r="AE96" s="121"/>
      <c r="AF96" s="121"/>
    </row>
    <row r="97" spans="1:32" x14ac:dyDescent="0.3">
      <c r="A97" s="993" t="s">
        <v>3512</v>
      </c>
      <c r="B97" s="993"/>
      <c r="C97" s="993"/>
      <c r="D97" s="993"/>
      <c r="E97" s="993"/>
      <c r="F97" s="993"/>
      <c r="G97" s="993"/>
      <c r="H97" s="993"/>
      <c r="I97" s="993"/>
      <c r="J97" s="993"/>
      <c r="K97" s="3353">
        <v>0.27083333333333337</v>
      </c>
      <c r="L97" s="3354"/>
      <c r="M97" s="3354"/>
      <c r="N97" s="3355"/>
      <c r="O97" s="3353">
        <v>0.36734693877551022</v>
      </c>
      <c r="P97" s="3354"/>
      <c r="Q97" s="3354"/>
      <c r="R97" s="3355"/>
      <c r="S97" s="3353">
        <v>9.2783505154639165E-2</v>
      </c>
      <c r="T97" s="3354"/>
      <c r="U97" s="3354"/>
      <c r="V97" s="3355"/>
      <c r="W97" s="121"/>
      <c r="X97" s="121"/>
      <c r="Y97" s="121"/>
      <c r="Z97" s="121"/>
      <c r="AA97" s="121"/>
      <c r="AB97" s="121"/>
      <c r="AC97" s="121"/>
      <c r="AD97" s="121"/>
      <c r="AE97" s="121"/>
      <c r="AF97" s="121"/>
    </row>
    <row r="98" spans="1:32" x14ac:dyDescent="0.3">
      <c r="A98" s="993" t="s">
        <v>4041</v>
      </c>
      <c r="B98" s="993"/>
      <c r="C98" s="993"/>
      <c r="D98" s="993"/>
      <c r="E98" s="993"/>
      <c r="F98" s="993"/>
      <c r="G98" s="993"/>
      <c r="H98" s="993"/>
      <c r="I98" s="993"/>
      <c r="J98" s="993"/>
      <c r="K98" s="3353">
        <v>0.10416666666666667</v>
      </c>
      <c r="L98" s="3354"/>
      <c r="M98" s="3354"/>
      <c r="N98" s="3355"/>
      <c r="O98" s="3353">
        <v>0.14285714285714288</v>
      </c>
      <c r="P98" s="3354"/>
      <c r="Q98" s="3354"/>
      <c r="R98" s="3355"/>
      <c r="S98" s="3353">
        <v>3.0927835051546389E-2</v>
      </c>
      <c r="T98" s="3354"/>
      <c r="U98" s="3354"/>
      <c r="V98" s="3355"/>
      <c r="W98" s="121"/>
      <c r="X98" s="121"/>
      <c r="Y98" s="121"/>
      <c r="Z98" s="121"/>
      <c r="AA98" s="121"/>
      <c r="AB98" s="121"/>
      <c r="AC98" s="121"/>
      <c r="AD98" s="121"/>
      <c r="AE98" s="121"/>
      <c r="AF98" s="121"/>
    </row>
    <row r="99" spans="1:32" x14ac:dyDescent="0.3">
      <c r="A99" s="993" t="s">
        <v>48</v>
      </c>
      <c r="B99" s="993"/>
      <c r="C99" s="993"/>
      <c r="D99" s="993"/>
      <c r="E99" s="993"/>
      <c r="F99" s="993"/>
      <c r="G99" s="993"/>
      <c r="H99" s="993"/>
      <c r="I99" s="993"/>
      <c r="J99" s="993"/>
      <c r="K99" s="3353">
        <v>8.3333333333333343E-2</v>
      </c>
      <c r="L99" s="3354"/>
      <c r="M99" s="3354"/>
      <c r="N99" s="3355"/>
      <c r="O99" s="3353">
        <v>6.1224489795918366E-2</v>
      </c>
      <c r="P99" s="3354"/>
      <c r="Q99" s="3354"/>
      <c r="R99" s="3355"/>
      <c r="S99" s="3353">
        <v>0.14432989690721651</v>
      </c>
      <c r="T99" s="3354"/>
      <c r="U99" s="3354"/>
      <c r="V99" s="3355"/>
      <c r="W99" s="533"/>
      <c r="X99" s="533"/>
      <c r="Y99" s="533"/>
      <c r="Z99" s="533"/>
      <c r="AA99" s="533"/>
      <c r="AB99" s="533"/>
      <c r="AC99" s="533"/>
      <c r="AD99" s="533"/>
      <c r="AE99" s="533"/>
      <c r="AF99" s="533"/>
    </row>
    <row r="100" spans="1:32" ht="47.25" customHeight="1" x14ac:dyDescent="0.3">
      <c r="A100" s="998" t="s">
        <v>4091</v>
      </c>
      <c r="B100" s="998"/>
      <c r="C100" s="998"/>
      <c r="D100" s="998"/>
      <c r="E100" s="998"/>
      <c r="F100" s="998"/>
      <c r="G100" s="998"/>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row>
    <row r="101" spans="1:32" x14ac:dyDescent="0.3">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row>
    <row r="102" spans="1:32" x14ac:dyDescent="0.3">
      <c r="A102" s="187" t="s">
        <v>4042</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row>
    <row r="103" spans="1:32" x14ac:dyDescent="0.3">
      <c r="A103" s="993" t="s">
        <v>4043</v>
      </c>
      <c r="B103" s="993"/>
      <c r="C103" s="993"/>
      <c r="D103" s="993"/>
      <c r="E103" s="993"/>
      <c r="F103" s="993"/>
      <c r="G103" s="993"/>
      <c r="H103" s="993"/>
      <c r="I103" s="993"/>
      <c r="J103" s="993"/>
      <c r="K103" s="3353">
        <v>0.38</v>
      </c>
      <c r="L103" s="3354"/>
      <c r="M103" s="3354"/>
      <c r="N103" s="3355"/>
      <c r="O103" s="121"/>
      <c r="P103" s="121"/>
      <c r="Q103" s="121"/>
      <c r="R103" s="121"/>
      <c r="S103" s="121"/>
      <c r="T103" s="121"/>
      <c r="U103" s="121"/>
      <c r="V103" s="121"/>
      <c r="W103" s="121"/>
      <c r="X103" s="121"/>
      <c r="Y103" s="121"/>
      <c r="Z103" s="121"/>
      <c r="AA103" s="121"/>
      <c r="AB103" s="121"/>
      <c r="AC103" s="121"/>
      <c r="AD103" s="121"/>
      <c r="AE103" s="121"/>
      <c r="AF103" s="121"/>
    </row>
    <row r="104" spans="1:32" x14ac:dyDescent="0.3">
      <c r="A104" s="993" t="s">
        <v>4037</v>
      </c>
      <c r="B104" s="993"/>
      <c r="C104" s="993"/>
      <c r="D104" s="993"/>
      <c r="E104" s="993"/>
      <c r="F104" s="993"/>
      <c r="G104" s="993"/>
      <c r="H104" s="993"/>
      <c r="I104" s="993"/>
      <c r="J104" s="993"/>
      <c r="K104" s="3353">
        <v>0.62</v>
      </c>
      <c r="L104" s="3354"/>
      <c r="M104" s="3354"/>
      <c r="N104" s="3355"/>
      <c r="O104" s="121"/>
      <c r="P104" s="121"/>
      <c r="Q104" s="121"/>
      <c r="R104" s="121"/>
      <c r="S104" s="121"/>
      <c r="T104" s="121"/>
      <c r="U104" s="121"/>
      <c r="V104" s="121"/>
      <c r="W104" s="121"/>
      <c r="X104" s="121"/>
      <c r="Y104" s="121"/>
      <c r="Z104" s="121"/>
      <c r="AA104" s="121"/>
      <c r="AB104" s="121"/>
      <c r="AC104" s="121"/>
      <c r="AD104" s="121"/>
      <c r="AE104" s="121"/>
      <c r="AF104" s="121"/>
    </row>
    <row r="105" spans="1:32" ht="41.25" customHeight="1" x14ac:dyDescent="0.3">
      <c r="A105" s="998" t="s">
        <v>4044</v>
      </c>
      <c r="B105" s="998"/>
      <c r="C105" s="998"/>
      <c r="D105" s="998"/>
      <c r="E105" s="998"/>
      <c r="F105" s="998"/>
      <c r="G105" s="998"/>
      <c r="H105" s="998"/>
      <c r="I105" s="998"/>
      <c r="J105" s="998"/>
      <c r="K105" s="998"/>
      <c r="L105" s="998"/>
      <c r="M105" s="998"/>
      <c r="N105" s="998"/>
      <c r="O105" s="998"/>
      <c r="P105" s="998"/>
      <c r="Q105" s="998"/>
      <c r="R105" s="998"/>
      <c r="S105" s="998"/>
      <c r="T105" s="998"/>
      <c r="U105" s="998"/>
      <c r="V105" s="998"/>
      <c r="W105" s="998"/>
      <c r="X105" s="998"/>
      <c r="Y105" s="998"/>
      <c r="Z105" s="998"/>
      <c r="AA105" s="998"/>
      <c r="AB105" s="998"/>
      <c r="AC105" s="998"/>
      <c r="AD105" s="998"/>
      <c r="AE105" s="998"/>
      <c r="AF105" s="998"/>
    </row>
    <row r="106" spans="1:32" x14ac:dyDescent="0.3">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row>
    <row r="107" spans="1:32" x14ac:dyDescent="0.3">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row>
    <row r="108" spans="1:32" x14ac:dyDescent="0.3">
      <c r="A108" s="1053" t="s">
        <v>14</v>
      </c>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5"/>
    </row>
    <row r="109" spans="1:32" x14ac:dyDescent="0.3">
      <c r="A109" s="276"/>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row>
    <row r="110" spans="1:32" x14ac:dyDescent="0.3">
      <c r="A110" s="276"/>
      <c r="B110" s="267" t="s">
        <v>4045</v>
      </c>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row>
    <row r="111" spans="1:32" x14ac:dyDescent="0.3">
      <c r="A111" s="276"/>
      <c r="B111" s="267"/>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row>
    <row r="112" spans="1:32" ht="15" thickBot="1" x14ac:dyDescent="0.35">
      <c r="A112" s="3356" t="s">
        <v>4046</v>
      </c>
      <c r="B112" s="3356"/>
      <c r="C112" s="3356"/>
      <c r="D112" s="3356"/>
      <c r="E112" s="3356"/>
      <c r="F112" s="3356"/>
      <c r="G112" s="3356"/>
      <c r="H112" s="3356"/>
      <c r="I112" s="3356"/>
      <c r="J112" s="3356"/>
      <c r="K112" s="3356"/>
      <c r="L112" s="3356"/>
      <c r="M112" s="3356"/>
      <c r="N112" s="3356"/>
      <c r="O112" s="3356"/>
      <c r="P112" s="121"/>
      <c r="Q112" s="121"/>
      <c r="R112" s="121"/>
      <c r="S112" s="121"/>
      <c r="T112" s="121"/>
      <c r="U112" s="121"/>
      <c r="V112" s="121"/>
      <c r="W112" s="121"/>
      <c r="X112" s="121"/>
      <c r="Y112" s="121"/>
      <c r="Z112" s="121"/>
      <c r="AA112" s="121"/>
      <c r="AB112" s="121"/>
      <c r="AC112" s="121"/>
      <c r="AD112" s="121"/>
      <c r="AE112" s="121"/>
      <c r="AF112" s="121"/>
    </row>
    <row r="113" spans="1:32" x14ac:dyDescent="0.3">
      <c r="A113" s="3022" t="s">
        <v>224</v>
      </c>
      <c r="B113" s="3023"/>
      <c r="C113" s="3023"/>
      <c r="D113" s="3023"/>
      <c r="E113" s="3023"/>
      <c r="F113" s="3023"/>
      <c r="G113" s="3023"/>
      <c r="H113" s="3023"/>
      <c r="I113" s="3023"/>
      <c r="J113" s="3023"/>
      <c r="K113" s="3023"/>
      <c r="L113" s="3023"/>
      <c r="M113" s="2790" t="s">
        <v>4047</v>
      </c>
      <c r="N113" s="2791"/>
      <c r="O113" s="2791"/>
      <c r="P113" s="2791"/>
      <c r="Q113" s="2791"/>
      <c r="R113" s="2791"/>
      <c r="S113" s="2791"/>
      <c r="T113" s="2802"/>
      <c r="U113" s="1552" t="s">
        <v>4048</v>
      </c>
      <c r="V113" s="2791"/>
      <c r="W113" s="2791"/>
      <c r="X113" s="2791"/>
      <c r="Y113" s="2791"/>
      <c r="Z113" s="2791"/>
      <c r="AA113" s="2791"/>
      <c r="AB113" s="2802"/>
      <c r="AC113" s="2790" t="s">
        <v>2418</v>
      </c>
      <c r="AD113" s="2791"/>
      <c r="AE113" s="2791"/>
      <c r="AF113" s="2802"/>
    </row>
    <row r="114" spans="1:32" ht="16.2" thickBot="1" x14ac:dyDescent="0.4">
      <c r="A114" s="3357"/>
      <c r="B114" s="3358"/>
      <c r="C114" s="3358"/>
      <c r="D114" s="3358"/>
      <c r="E114" s="3358"/>
      <c r="F114" s="3358"/>
      <c r="G114" s="3358"/>
      <c r="H114" s="3358"/>
      <c r="I114" s="3358"/>
      <c r="J114" s="3358"/>
      <c r="K114" s="3358"/>
      <c r="L114" s="3358"/>
      <c r="M114" s="3359" t="s">
        <v>4083</v>
      </c>
      <c r="N114" s="3196"/>
      <c r="O114" s="3196"/>
      <c r="P114" s="3360"/>
      <c r="Q114" s="3361" t="s">
        <v>4084</v>
      </c>
      <c r="R114" s="3196"/>
      <c r="S114" s="3196"/>
      <c r="T114" s="3362"/>
      <c r="U114" s="3361" t="s">
        <v>4085</v>
      </c>
      <c r="V114" s="3196"/>
      <c r="W114" s="3196"/>
      <c r="X114" s="3360"/>
      <c r="Y114" s="3361" t="s">
        <v>4086</v>
      </c>
      <c r="Z114" s="3196"/>
      <c r="AA114" s="3196"/>
      <c r="AB114" s="3362"/>
      <c r="AC114" s="3363" t="s">
        <v>4087</v>
      </c>
      <c r="AD114" s="3364"/>
      <c r="AE114" s="3364"/>
      <c r="AF114" s="3365"/>
    </row>
    <row r="115" spans="1:32" x14ac:dyDescent="0.3">
      <c r="A115" s="3323" t="s">
        <v>944</v>
      </c>
      <c r="B115" s="3324"/>
      <c r="C115" s="3325"/>
      <c r="D115" s="3331" t="s">
        <v>1267</v>
      </c>
      <c r="E115" s="3324"/>
      <c r="F115" s="3324"/>
      <c r="G115" s="3324"/>
      <c r="H115" s="3325"/>
      <c r="I115" s="3335" t="s">
        <v>1164</v>
      </c>
      <c r="J115" s="3336"/>
      <c r="K115" s="3336"/>
      <c r="L115" s="3336"/>
      <c r="M115" s="3337">
        <f>ROUND(Q115*$M$65,3)</f>
        <v>4.0000000000000001E-3</v>
      </c>
      <c r="N115" s="3305"/>
      <c r="O115" s="3305"/>
      <c r="P115" s="3306"/>
      <c r="Q115" s="3307">
        <f>ROUND(($M$66-$M$68)*$M$69*($M$70/$M$72)*$M$74*($M$75-$M$76)*$M$81*$M$83/$M$77/$M$82,2)</f>
        <v>17.84</v>
      </c>
      <c r="R115" s="3308"/>
      <c r="S115" s="3308"/>
      <c r="T115" s="3309"/>
      <c r="U115" s="3304">
        <f>ROUND(Y115*$M$65,3)</f>
        <v>1E-3</v>
      </c>
      <c r="V115" s="3305"/>
      <c r="W115" s="3305"/>
      <c r="X115" s="3306"/>
      <c r="Y115" s="3307">
        <f>ROUND(($M$67-$M$68)*$M$69*($M$70/$M$72)*$M$74*($M$75-$M$76)*$M$81*$M$83/$M$77/$M$82,2)</f>
        <v>2.97</v>
      </c>
      <c r="Z115" s="3308"/>
      <c r="AA115" s="3308"/>
      <c r="AB115" s="3309"/>
      <c r="AC115" s="3310">
        <f t="shared" ref="AC115:AC130" si="0">ROUND(Q115*$M$85+Y115*($M$86-$M$85),2)</f>
        <v>74.31</v>
      </c>
      <c r="AD115" s="3311"/>
      <c r="AE115" s="3311"/>
      <c r="AF115" s="3312"/>
    </row>
    <row r="116" spans="1:32" x14ac:dyDescent="0.3">
      <c r="A116" s="3326"/>
      <c r="B116" s="2589"/>
      <c r="C116" s="3327"/>
      <c r="D116" s="3332"/>
      <c r="E116" s="3333"/>
      <c r="F116" s="3333"/>
      <c r="G116" s="3333"/>
      <c r="H116" s="3334"/>
      <c r="I116" s="2639" t="s">
        <v>1066</v>
      </c>
      <c r="J116" s="1116"/>
      <c r="K116" s="1116"/>
      <c r="L116" s="1116"/>
      <c r="M116" s="3313">
        <f t="shared" ref="M116:M130" si="1">ROUND(Q116*$M$65,3)</f>
        <v>2.1999999999999999E-2</v>
      </c>
      <c r="N116" s="3314"/>
      <c r="O116" s="3314"/>
      <c r="P116" s="3315"/>
      <c r="Q116" s="3316">
        <f>ROUND(($M$66-$P$68)*$P$69*($M$70/$P$72)*$M$74*($P$75-$M$76)*$M$81*$P$83/$M$77/$M$82,2)</f>
        <v>111.6</v>
      </c>
      <c r="R116" s="3317"/>
      <c r="S116" s="3317"/>
      <c r="T116" s="3318"/>
      <c r="U116" s="3319">
        <f t="shared" ref="U116:U130" si="2">ROUND(Y116*$M$65,3)</f>
        <v>0.01</v>
      </c>
      <c r="V116" s="3314"/>
      <c r="W116" s="3314"/>
      <c r="X116" s="3315"/>
      <c r="Y116" s="3316">
        <f>ROUND(($P$67-$P$68)*$P$69*($M$70/$P$72)*$M$74*($P$75-$M$76)*$M$81*$P$83/$M$77/$M$82,2)</f>
        <v>47.83</v>
      </c>
      <c r="Z116" s="3317"/>
      <c r="AA116" s="3317"/>
      <c r="AB116" s="3318"/>
      <c r="AC116" s="3320">
        <f t="shared" si="0"/>
        <v>669.61</v>
      </c>
      <c r="AD116" s="3321"/>
      <c r="AE116" s="3321"/>
      <c r="AF116" s="3322"/>
    </row>
    <row r="117" spans="1:32" x14ac:dyDescent="0.3">
      <c r="A117" s="3326"/>
      <c r="B117" s="2589"/>
      <c r="C117" s="3327"/>
      <c r="D117" s="3338" t="s">
        <v>3513</v>
      </c>
      <c r="E117" s="3339"/>
      <c r="F117" s="3339"/>
      <c r="G117" s="3339"/>
      <c r="H117" s="3340"/>
      <c r="I117" s="2639" t="s">
        <v>1164</v>
      </c>
      <c r="J117" s="1116"/>
      <c r="K117" s="1116"/>
      <c r="L117" s="1116"/>
      <c r="M117" s="3313">
        <f t="shared" si="1"/>
        <v>3.0000000000000001E-3</v>
      </c>
      <c r="N117" s="3314"/>
      <c r="O117" s="3314"/>
      <c r="P117" s="3315"/>
      <c r="Q117" s="3316">
        <f>ROUND(($M$66-$M$68)*$M$69*($M$71/$M$73)*$M$74*($M$75-$M$76)*$M$81*$M$83/$M$77/$M$82,2)</f>
        <v>16.38</v>
      </c>
      <c r="R117" s="3317"/>
      <c r="S117" s="3317"/>
      <c r="T117" s="3318"/>
      <c r="U117" s="3319">
        <f t="shared" si="2"/>
        <v>1E-3</v>
      </c>
      <c r="V117" s="3314"/>
      <c r="W117" s="3314"/>
      <c r="X117" s="3315"/>
      <c r="Y117" s="3316">
        <f>ROUND(($M$67-$M$68)*$M$69*($M$71/$M$73)*$M$74*($M$75-$M$76)*$M$81*$M$83/$M$77/$M$82,2)</f>
        <v>2.73</v>
      </c>
      <c r="Z117" s="3317"/>
      <c r="AA117" s="3317"/>
      <c r="AB117" s="3318"/>
      <c r="AC117" s="3320">
        <f t="shared" si="0"/>
        <v>68.25</v>
      </c>
      <c r="AD117" s="3321"/>
      <c r="AE117" s="3321"/>
      <c r="AF117" s="3322"/>
    </row>
    <row r="118" spans="1:32" ht="15" thickBot="1" x14ac:dyDescent="0.35">
      <c r="A118" s="3328"/>
      <c r="B118" s="3329"/>
      <c r="C118" s="3330"/>
      <c r="D118" s="3341"/>
      <c r="E118" s="3329"/>
      <c r="F118" s="3329"/>
      <c r="G118" s="3329"/>
      <c r="H118" s="3330"/>
      <c r="I118" s="3285" t="s">
        <v>1066</v>
      </c>
      <c r="J118" s="3342"/>
      <c r="K118" s="3342"/>
      <c r="L118" s="3342"/>
      <c r="M118" s="3343">
        <f t="shared" si="1"/>
        <v>2.5999999999999999E-2</v>
      </c>
      <c r="N118" s="3344"/>
      <c r="O118" s="3344"/>
      <c r="P118" s="3345"/>
      <c r="Q118" s="3346">
        <f>ROUND(($M$66-$P$68)*$P$69*($M$71/$P$73)*$M$74*($P$75-$M$76)*$M$81*$P$83/$M$77/$M$82,2)</f>
        <v>127.62</v>
      </c>
      <c r="R118" s="3347"/>
      <c r="S118" s="3347"/>
      <c r="T118" s="3348"/>
      <c r="U118" s="3349">
        <f t="shared" si="2"/>
        <v>1.0999999999999999E-2</v>
      </c>
      <c r="V118" s="3344"/>
      <c r="W118" s="3344"/>
      <c r="X118" s="3345"/>
      <c r="Y118" s="3346">
        <f>ROUND(($P$67-$P$68)*$P$69*($M$71/$P$73)*$M$74*($P$75-$M$76)*$M$81*$P$83/$M$77/$M$82,2)</f>
        <v>54.69</v>
      </c>
      <c r="Z118" s="3347"/>
      <c r="AA118" s="3347"/>
      <c r="AB118" s="3348"/>
      <c r="AC118" s="3350">
        <f>ROUND(Q118*$M$85+Y118*($M$86-$M$85),2)</f>
        <v>765.69</v>
      </c>
      <c r="AD118" s="3351"/>
      <c r="AE118" s="3351"/>
      <c r="AF118" s="3352"/>
    </row>
    <row r="119" spans="1:32" x14ac:dyDescent="0.3">
      <c r="A119" s="3323" t="s">
        <v>4049</v>
      </c>
      <c r="B119" s="3324"/>
      <c r="C119" s="3325"/>
      <c r="D119" s="3331" t="s">
        <v>1267</v>
      </c>
      <c r="E119" s="3324"/>
      <c r="F119" s="3324"/>
      <c r="G119" s="3324"/>
      <c r="H119" s="3325"/>
      <c r="I119" s="3335" t="s">
        <v>1164</v>
      </c>
      <c r="J119" s="3336"/>
      <c r="K119" s="3336"/>
      <c r="L119" s="3336"/>
      <c r="M119" s="3337">
        <f t="shared" si="1"/>
        <v>3.0000000000000001E-3</v>
      </c>
      <c r="N119" s="3305"/>
      <c r="O119" s="3305"/>
      <c r="P119" s="3306"/>
      <c r="Q119" s="3307">
        <f>ROUND(($M$66-$M$68)*$M$69*($M$70/$M$72)*$M$74*($M$75-$M$76)*$M$81*$M$83/$M$78/$M$82,2)</f>
        <v>17.3</v>
      </c>
      <c r="R119" s="3308"/>
      <c r="S119" s="3308"/>
      <c r="T119" s="3309"/>
      <c r="U119" s="3304">
        <f t="shared" si="2"/>
        <v>1E-3</v>
      </c>
      <c r="V119" s="3305"/>
      <c r="W119" s="3305"/>
      <c r="X119" s="3306"/>
      <c r="Y119" s="3307">
        <f>ROUND(($M$67-$M$68)*$M$69*($M$70/$M$72)*$M$74*($M$75-$M$76)*$M$81*$M$83/$M$78/$M$82,2)</f>
        <v>2.88</v>
      </c>
      <c r="Z119" s="3308"/>
      <c r="AA119" s="3308"/>
      <c r="AB119" s="3309"/>
      <c r="AC119" s="3310">
        <f t="shared" si="0"/>
        <v>72.06</v>
      </c>
      <c r="AD119" s="3311"/>
      <c r="AE119" s="3311"/>
      <c r="AF119" s="3312"/>
    </row>
    <row r="120" spans="1:32" x14ac:dyDescent="0.3">
      <c r="A120" s="3326"/>
      <c r="B120" s="2589"/>
      <c r="C120" s="3327"/>
      <c r="D120" s="3332"/>
      <c r="E120" s="3333"/>
      <c r="F120" s="3333"/>
      <c r="G120" s="3333"/>
      <c r="H120" s="3334"/>
      <c r="I120" s="2639" t="s">
        <v>1066</v>
      </c>
      <c r="J120" s="1116"/>
      <c r="K120" s="1116"/>
      <c r="L120" s="1116"/>
      <c r="M120" s="3313">
        <f t="shared" si="1"/>
        <v>2.1999999999999999E-2</v>
      </c>
      <c r="N120" s="3314"/>
      <c r="O120" s="3314"/>
      <c r="P120" s="3315"/>
      <c r="Q120" s="3316">
        <f>ROUND(($M$66-$P$68)*$P$69*($M$70/$P$72)*$M$74*($P$75-$M$76)*$M$81*$P$83/$M$78/$M$82,2)</f>
        <v>108.17</v>
      </c>
      <c r="R120" s="3317"/>
      <c r="S120" s="3317"/>
      <c r="T120" s="3318"/>
      <c r="U120" s="3319">
        <f t="shared" si="2"/>
        <v>8.9999999999999993E-3</v>
      </c>
      <c r="V120" s="3314"/>
      <c r="W120" s="3314"/>
      <c r="X120" s="3315"/>
      <c r="Y120" s="3316">
        <f>ROUND(($P$67-$P$68)*$P$69*($M$70/$P$72)*$M$74*($P$75-$M$76)*$M$81*$P$83/$M$78/$M$82,2)</f>
        <v>46.36</v>
      </c>
      <c r="Z120" s="3317"/>
      <c r="AA120" s="3317"/>
      <c r="AB120" s="3318"/>
      <c r="AC120" s="3320">
        <f t="shared" si="0"/>
        <v>649.03</v>
      </c>
      <c r="AD120" s="3321"/>
      <c r="AE120" s="3321"/>
      <c r="AF120" s="3322"/>
    </row>
    <row r="121" spans="1:32" x14ac:dyDescent="0.3">
      <c r="A121" s="3326"/>
      <c r="B121" s="2589"/>
      <c r="C121" s="3327"/>
      <c r="D121" s="3338" t="s">
        <v>3513</v>
      </c>
      <c r="E121" s="3339"/>
      <c r="F121" s="3339"/>
      <c r="G121" s="3339"/>
      <c r="H121" s="3340"/>
      <c r="I121" s="2639" t="s">
        <v>1164</v>
      </c>
      <c r="J121" s="1116"/>
      <c r="K121" s="1116"/>
      <c r="L121" s="1116"/>
      <c r="M121" s="3313">
        <f t="shared" si="1"/>
        <v>3.0000000000000001E-3</v>
      </c>
      <c r="N121" s="3314"/>
      <c r="O121" s="3314"/>
      <c r="P121" s="3315"/>
      <c r="Q121" s="3316">
        <f>ROUND(($M$66-$M$68)*$M$69*($M$71/$M$73)*$M$74*($M$75-$M$76)*$M$81*$M$83/$M$78/$M$82,2)</f>
        <v>15.88</v>
      </c>
      <c r="R121" s="3317"/>
      <c r="S121" s="3317"/>
      <c r="T121" s="3318"/>
      <c r="U121" s="3319">
        <f t="shared" si="2"/>
        <v>1E-3</v>
      </c>
      <c r="V121" s="3314"/>
      <c r="W121" s="3314"/>
      <c r="X121" s="3315"/>
      <c r="Y121" s="3316">
        <f>ROUND(($M$67-$M$68)*$M$69*($M$71/$M$73)*$M$74*($M$75-$M$76)*$M$81*$M$83/$M$78/$M$82,2)</f>
        <v>2.65</v>
      </c>
      <c r="Z121" s="3317"/>
      <c r="AA121" s="3317"/>
      <c r="AB121" s="3318"/>
      <c r="AC121" s="3320">
        <f t="shared" si="0"/>
        <v>66.19</v>
      </c>
      <c r="AD121" s="3321"/>
      <c r="AE121" s="3321"/>
      <c r="AF121" s="3322"/>
    </row>
    <row r="122" spans="1:32" ht="15" thickBot="1" x14ac:dyDescent="0.35">
      <c r="A122" s="3328"/>
      <c r="B122" s="3329"/>
      <c r="C122" s="3330"/>
      <c r="D122" s="3341"/>
      <c r="E122" s="3329"/>
      <c r="F122" s="3329"/>
      <c r="G122" s="3329"/>
      <c r="H122" s="3330"/>
      <c r="I122" s="3285" t="s">
        <v>1066</v>
      </c>
      <c r="J122" s="3342"/>
      <c r="K122" s="3342"/>
      <c r="L122" s="3342"/>
      <c r="M122" s="3343">
        <f t="shared" si="1"/>
        <v>2.5000000000000001E-2</v>
      </c>
      <c r="N122" s="3344"/>
      <c r="O122" s="3344"/>
      <c r="P122" s="3345"/>
      <c r="Q122" s="3346">
        <f>ROUND(($M$66-$P$68)*$P$69*($M$71/$P$73)*$M$74*($P$75-$M$76)*$M$81*$P$83/$M$78/$M$82,2)</f>
        <v>123.69</v>
      </c>
      <c r="R122" s="3347"/>
      <c r="S122" s="3347"/>
      <c r="T122" s="3348"/>
      <c r="U122" s="3349">
        <f t="shared" si="2"/>
        <v>1.0999999999999999E-2</v>
      </c>
      <c r="V122" s="3344"/>
      <c r="W122" s="3344"/>
      <c r="X122" s="3345"/>
      <c r="Y122" s="3346">
        <f>ROUND(($P$67-$P$68)*$P$69*($M$71/$P$73)*$M$74*($P$75-$M$76)*$M$81*$P$83/$M$78/$M$82,2)</f>
        <v>53.01</v>
      </c>
      <c r="Z122" s="3347"/>
      <c r="AA122" s="3347"/>
      <c r="AB122" s="3348"/>
      <c r="AC122" s="3350">
        <f t="shared" si="0"/>
        <v>742.14</v>
      </c>
      <c r="AD122" s="3351"/>
      <c r="AE122" s="3351"/>
      <c r="AF122" s="3352"/>
    </row>
    <row r="123" spans="1:32" x14ac:dyDescent="0.3">
      <c r="A123" s="3323" t="s">
        <v>945</v>
      </c>
      <c r="B123" s="3324"/>
      <c r="C123" s="3325"/>
      <c r="D123" s="3331" t="s">
        <v>1267</v>
      </c>
      <c r="E123" s="3324"/>
      <c r="F123" s="3324"/>
      <c r="G123" s="3324"/>
      <c r="H123" s="3325"/>
      <c r="I123" s="3335" t="s">
        <v>1164</v>
      </c>
      <c r="J123" s="3336"/>
      <c r="K123" s="3336"/>
      <c r="L123" s="3336"/>
      <c r="M123" s="3337">
        <f t="shared" si="1"/>
        <v>1E-3</v>
      </c>
      <c r="N123" s="3305"/>
      <c r="O123" s="3305"/>
      <c r="P123" s="3306"/>
      <c r="Q123" s="3307">
        <f>ROUND(($M$66-$M$68)*$M$69*($M$70/$M$72)*$M$74*($M$75-$M$76)*$M$81*$M$83/$M$79/$M$82,2)</f>
        <v>6.49</v>
      </c>
      <c r="R123" s="3308"/>
      <c r="S123" s="3308"/>
      <c r="T123" s="3309"/>
      <c r="U123" s="3304">
        <f t="shared" si="2"/>
        <v>0</v>
      </c>
      <c r="V123" s="3305"/>
      <c r="W123" s="3305"/>
      <c r="X123" s="3306"/>
      <c r="Y123" s="3307">
        <f>ROUND(($M$67-$M$68)*$M$69*($M$70/$M$72)*$M$74*($M$75-$M$76)*$M$81*$M$83/$M$79/$M$82,2)</f>
        <v>1.08</v>
      </c>
      <c r="Z123" s="3308"/>
      <c r="AA123" s="3308"/>
      <c r="AB123" s="3309"/>
      <c r="AC123" s="3310">
        <f t="shared" si="0"/>
        <v>27.03</v>
      </c>
      <c r="AD123" s="3311"/>
      <c r="AE123" s="3311"/>
      <c r="AF123" s="3312"/>
    </row>
    <row r="124" spans="1:32" x14ac:dyDescent="0.3">
      <c r="A124" s="3326"/>
      <c r="B124" s="2589"/>
      <c r="C124" s="3327"/>
      <c r="D124" s="3332"/>
      <c r="E124" s="3333"/>
      <c r="F124" s="3333"/>
      <c r="G124" s="3333"/>
      <c r="H124" s="3334"/>
      <c r="I124" s="2639" t="s">
        <v>1066</v>
      </c>
      <c r="J124" s="1116"/>
      <c r="K124" s="1116"/>
      <c r="L124" s="1116"/>
      <c r="M124" s="3313">
        <f t="shared" si="1"/>
        <v>8.0000000000000002E-3</v>
      </c>
      <c r="N124" s="3314"/>
      <c r="O124" s="3314"/>
      <c r="P124" s="3315"/>
      <c r="Q124" s="3316">
        <f>ROUND(($M$66-$P$68)*$P$69*($M$70/$P$72)*$M$74*($P$75-$M$76)*$M$81*$P$83/$M$79/$M$82,2)</f>
        <v>40.56</v>
      </c>
      <c r="R124" s="3317"/>
      <c r="S124" s="3317"/>
      <c r="T124" s="3318"/>
      <c r="U124" s="3319">
        <f t="shared" si="2"/>
        <v>3.0000000000000001E-3</v>
      </c>
      <c r="V124" s="3314"/>
      <c r="W124" s="3314"/>
      <c r="X124" s="3315"/>
      <c r="Y124" s="3316">
        <f>ROUND(($P$67-$P$68)*$P$69*($M$70/$P$72)*$M$74*($P$75-$M$76)*$M$81*$P$83/$M$79/$M$82,2)</f>
        <v>17.38</v>
      </c>
      <c r="Z124" s="3317"/>
      <c r="AA124" s="3317"/>
      <c r="AB124" s="3318"/>
      <c r="AC124" s="3320">
        <f t="shared" si="0"/>
        <v>243.34</v>
      </c>
      <c r="AD124" s="3321"/>
      <c r="AE124" s="3321"/>
      <c r="AF124" s="3322"/>
    </row>
    <row r="125" spans="1:32" x14ac:dyDescent="0.3">
      <c r="A125" s="3326"/>
      <c r="B125" s="2589"/>
      <c r="C125" s="3327"/>
      <c r="D125" s="3338" t="s">
        <v>3513</v>
      </c>
      <c r="E125" s="3339"/>
      <c r="F125" s="3339"/>
      <c r="G125" s="3339"/>
      <c r="H125" s="3340"/>
      <c r="I125" s="2639" t="s">
        <v>1164</v>
      </c>
      <c r="J125" s="1116"/>
      <c r="K125" s="1116"/>
      <c r="L125" s="1116"/>
      <c r="M125" s="3313">
        <f t="shared" si="1"/>
        <v>1E-3</v>
      </c>
      <c r="N125" s="3314"/>
      <c r="O125" s="3314"/>
      <c r="P125" s="3315"/>
      <c r="Q125" s="3316">
        <f>ROUND(($M$66-$M$68)*$M$69*($M$71/$M$73)*$M$74*($M$75-$M$76)*$M$81*$M$83/$M$79/$M$82,2)</f>
        <v>5.95</v>
      </c>
      <c r="R125" s="3317"/>
      <c r="S125" s="3317"/>
      <c r="T125" s="3318"/>
      <c r="U125" s="3319">
        <f t="shared" si="2"/>
        <v>0</v>
      </c>
      <c r="V125" s="3314"/>
      <c r="W125" s="3314"/>
      <c r="X125" s="3315"/>
      <c r="Y125" s="3316">
        <f>ROUND(($M$67-$M$68)*$M$69*($M$71/$M$73)*$M$74*($M$75-$M$76)*$M$81*$M$83/$M$79/$M$82,2)</f>
        <v>0.99</v>
      </c>
      <c r="Z125" s="3317"/>
      <c r="AA125" s="3317"/>
      <c r="AB125" s="3318"/>
      <c r="AC125" s="3320">
        <f t="shared" si="0"/>
        <v>24.78</v>
      </c>
      <c r="AD125" s="3321"/>
      <c r="AE125" s="3321"/>
      <c r="AF125" s="3322"/>
    </row>
    <row r="126" spans="1:32" ht="15" thickBot="1" x14ac:dyDescent="0.35">
      <c r="A126" s="3328"/>
      <c r="B126" s="3329"/>
      <c r="C126" s="3330"/>
      <c r="D126" s="3341"/>
      <c r="E126" s="3329"/>
      <c r="F126" s="3329"/>
      <c r="G126" s="3329"/>
      <c r="H126" s="3330"/>
      <c r="I126" s="3285" t="s">
        <v>1066</v>
      </c>
      <c r="J126" s="3342"/>
      <c r="K126" s="3342"/>
      <c r="L126" s="3342"/>
      <c r="M126" s="3343">
        <f t="shared" si="1"/>
        <v>8.9999999999999993E-3</v>
      </c>
      <c r="N126" s="3344"/>
      <c r="O126" s="3344"/>
      <c r="P126" s="3345"/>
      <c r="Q126" s="3346">
        <f>ROUND(($M$66-$P$68)*$P$69*($M$71/$P$73)*$M$74*($P$75-$M$76)*$M$81*$P$83/$M$79/$M$82,2)</f>
        <v>46.38</v>
      </c>
      <c r="R126" s="3347"/>
      <c r="S126" s="3347"/>
      <c r="T126" s="3348"/>
      <c r="U126" s="3349">
        <f t="shared" si="2"/>
        <v>4.0000000000000001E-3</v>
      </c>
      <c r="V126" s="3344"/>
      <c r="W126" s="3344"/>
      <c r="X126" s="3345"/>
      <c r="Y126" s="3346">
        <f>ROUND(($P$67-$P$68)*$P$69*($M$71/$P$73)*$M$74*($P$75-$M$76)*$M$81*$P$83/$M$79/$M$82,2)</f>
        <v>19.88</v>
      </c>
      <c r="Z126" s="3347"/>
      <c r="AA126" s="3347"/>
      <c r="AB126" s="3348"/>
      <c r="AC126" s="3350">
        <f t="shared" si="0"/>
        <v>278.3</v>
      </c>
      <c r="AD126" s="3351"/>
      <c r="AE126" s="3351"/>
      <c r="AF126" s="3352"/>
    </row>
    <row r="127" spans="1:32" x14ac:dyDescent="0.3">
      <c r="A127" s="3323" t="s">
        <v>946</v>
      </c>
      <c r="B127" s="3324"/>
      <c r="C127" s="3325"/>
      <c r="D127" s="3331" t="s">
        <v>1267</v>
      </c>
      <c r="E127" s="3324"/>
      <c r="F127" s="3324"/>
      <c r="G127" s="3324"/>
      <c r="H127" s="3325"/>
      <c r="I127" s="3335" t="s">
        <v>1164</v>
      </c>
      <c r="J127" s="3336"/>
      <c r="K127" s="3336"/>
      <c r="L127" s="3336"/>
      <c r="M127" s="3337">
        <f t="shared" si="1"/>
        <v>1E-3</v>
      </c>
      <c r="N127" s="3305"/>
      <c r="O127" s="3305"/>
      <c r="P127" s="3306"/>
      <c r="Q127" s="3307">
        <f>ROUND(($M$66-$M$68)*$M$69*($M$70/$M$72)*$M$74*($M$75-$M$76)*$M$81*$M$83/$M$80/$M$82,2)</f>
        <v>2.59</v>
      </c>
      <c r="R127" s="3308"/>
      <c r="S127" s="3308"/>
      <c r="T127" s="3309"/>
      <c r="U127" s="3304">
        <f t="shared" si="2"/>
        <v>0</v>
      </c>
      <c r="V127" s="3305"/>
      <c r="W127" s="3305"/>
      <c r="X127" s="3306"/>
      <c r="Y127" s="3307">
        <f>ROUND(($M$67-$M$68)*$M$69*($M$70/$M$72)*$M$74*($M$75-$M$76)*$M$81*$M$83/$M$80/$M$82,2)</f>
        <v>0.43</v>
      </c>
      <c r="Z127" s="3308"/>
      <c r="AA127" s="3308"/>
      <c r="AB127" s="3309"/>
      <c r="AC127" s="3310">
        <f t="shared" si="0"/>
        <v>10.78</v>
      </c>
      <c r="AD127" s="3311"/>
      <c r="AE127" s="3311"/>
      <c r="AF127" s="3312"/>
    </row>
    <row r="128" spans="1:32" x14ac:dyDescent="0.3">
      <c r="A128" s="3326"/>
      <c r="B128" s="2589"/>
      <c r="C128" s="3327"/>
      <c r="D128" s="3332"/>
      <c r="E128" s="3333"/>
      <c r="F128" s="3333"/>
      <c r="G128" s="3333"/>
      <c r="H128" s="3334"/>
      <c r="I128" s="2639" t="s">
        <v>1066</v>
      </c>
      <c r="J128" s="1116"/>
      <c r="K128" s="1116"/>
      <c r="L128" s="1116"/>
      <c r="M128" s="3313">
        <f t="shared" si="1"/>
        <v>3.0000000000000001E-3</v>
      </c>
      <c r="N128" s="3314"/>
      <c r="O128" s="3314"/>
      <c r="P128" s="3315"/>
      <c r="Q128" s="3316">
        <f>ROUND(($M$66-$P$68)*$P$69*($M$70/$P$72)*$M$74*($P$75-$M$76)*$M$81*$P$83/$M$80/$M$82,2)</f>
        <v>16.23</v>
      </c>
      <c r="R128" s="3317"/>
      <c r="S128" s="3317"/>
      <c r="T128" s="3318"/>
      <c r="U128" s="3319">
        <f t="shared" si="2"/>
        <v>1E-3</v>
      </c>
      <c r="V128" s="3314"/>
      <c r="W128" s="3314"/>
      <c r="X128" s="3315"/>
      <c r="Y128" s="3316">
        <f>ROUND(($P$67-$P$68)*$P$69*($M$70/$P$72)*$M$74*($P$75-$M$76)*$M$81*$P$83/$M$80/$M$82,2)</f>
        <v>6.95</v>
      </c>
      <c r="Z128" s="3317"/>
      <c r="AA128" s="3317"/>
      <c r="AB128" s="3318"/>
      <c r="AC128" s="3320">
        <f t="shared" si="0"/>
        <v>97.34</v>
      </c>
      <c r="AD128" s="3321"/>
      <c r="AE128" s="3321"/>
      <c r="AF128" s="3322"/>
    </row>
    <row r="129" spans="1:32" x14ac:dyDescent="0.3">
      <c r="A129" s="3326"/>
      <c r="B129" s="2589"/>
      <c r="C129" s="3327"/>
      <c r="D129" s="3338" t="s">
        <v>3513</v>
      </c>
      <c r="E129" s="3339"/>
      <c r="F129" s="3339"/>
      <c r="G129" s="3339"/>
      <c r="H129" s="3340"/>
      <c r="I129" s="2639" t="s">
        <v>1164</v>
      </c>
      <c r="J129" s="1116"/>
      <c r="K129" s="1116"/>
      <c r="L129" s="1116"/>
      <c r="M129" s="3313">
        <f t="shared" si="1"/>
        <v>0</v>
      </c>
      <c r="N129" s="3314"/>
      <c r="O129" s="3314"/>
      <c r="P129" s="3315"/>
      <c r="Q129" s="3316">
        <f>ROUND(($M$66-$M$68)*$M$69*($M$71/$M$73)*$M$74*($M$75-$M$76)*$M$81*$M$83/$M$80/$M$82,2)</f>
        <v>2.38</v>
      </c>
      <c r="R129" s="3317"/>
      <c r="S129" s="3317"/>
      <c r="T129" s="3318"/>
      <c r="U129" s="3319">
        <f t="shared" si="2"/>
        <v>0</v>
      </c>
      <c r="V129" s="3314"/>
      <c r="W129" s="3314"/>
      <c r="X129" s="3315"/>
      <c r="Y129" s="3316">
        <f>ROUND(($M$67-$M$68)*$M$69*($M$71/$M$73)*$M$74*($M$75-$M$76)*$M$81*$M$83/$M$80/$M$82,2)</f>
        <v>0.4</v>
      </c>
      <c r="Z129" s="3317"/>
      <c r="AA129" s="3317"/>
      <c r="AB129" s="3318"/>
      <c r="AC129" s="3320">
        <f t="shared" si="0"/>
        <v>9.94</v>
      </c>
      <c r="AD129" s="3321"/>
      <c r="AE129" s="3321"/>
      <c r="AF129" s="3322"/>
    </row>
    <row r="130" spans="1:32" ht="15" thickBot="1" x14ac:dyDescent="0.35">
      <c r="A130" s="3328"/>
      <c r="B130" s="3329"/>
      <c r="C130" s="3330"/>
      <c r="D130" s="3341"/>
      <c r="E130" s="3329"/>
      <c r="F130" s="3329"/>
      <c r="G130" s="3329"/>
      <c r="H130" s="3330"/>
      <c r="I130" s="3285" t="s">
        <v>1066</v>
      </c>
      <c r="J130" s="3342"/>
      <c r="K130" s="3342"/>
      <c r="L130" s="3342"/>
      <c r="M130" s="3343">
        <f t="shared" si="1"/>
        <v>4.0000000000000001E-3</v>
      </c>
      <c r="N130" s="3344"/>
      <c r="O130" s="3344"/>
      <c r="P130" s="3345"/>
      <c r="Q130" s="3346">
        <f>ROUND(($M$66-$P$68)*$P$69*($M$71/$P$73)*$M$74*($P$75-$M$76)*$M$81*$P$83/$M$80/$M$82,2)</f>
        <v>18.55</v>
      </c>
      <c r="R130" s="3347"/>
      <c r="S130" s="3347"/>
      <c r="T130" s="3348"/>
      <c r="U130" s="3349">
        <f t="shared" si="2"/>
        <v>2E-3</v>
      </c>
      <c r="V130" s="3344"/>
      <c r="W130" s="3344"/>
      <c r="X130" s="3345"/>
      <c r="Y130" s="3346">
        <f>ROUND(($P$67-$P$68)*$P$69*($M$71/$P$73)*$M$74*($P$75-$M$76)*$M$81*$P$83/$M$80/$M$82,2)</f>
        <v>7.95</v>
      </c>
      <c r="Z130" s="3347"/>
      <c r="AA130" s="3347"/>
      <c r="AB130" s="3348"/>
      <c r="AC130" s="3350">
        <f t="shared" si="0"/>
        <v>111.3</v>
      </c>
      <c r="AD130" s="3351"/>
      <c r="AE130" s="3351"/>
      <c r="AF130" s="3352"/>
    </row>
    <row r="131" spans="1:32"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3">
      <c r="A132" s="94"/>
      <c r="B132" s="498" t="s">
        <v>4050</v>
      </c>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ht="15" thickBot="1" x14ac:dyDescent="0.35">
      <c r="A134" s="276" t="s">
        <v>4051</v>
      </c>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row>
    <row r="135" spans="1:32" x14ac:dyDescent="0.3">
      <c r="A135" s="3299" t="s">
        <v>224</v>
      </c>
      <c r="B135" s="3299"/>
      <c r="C135" s="3299"/>
      <c r="D135" s="3299"/>
      <c r="E135" s="3299"/>
      <c r="F135" s="3301" t="s">
        <v>1768</v>
      </c>
      <c r="G135" s="3301"/>
      <c r="H135" s="3301"/>
      <c r="I135" s="3301"/>
      <c r="J135" s="3301"/>
      <c r="K135" s="3301"/>
      <c r="L135" s="3301"/>
      <c r="M135" s="3301"/>
      <c r="N135" s="3301" t="s">
        <v>1769</v>
      </c>
      <c r="O135" s="3301"/>
      <c r="P135" s="3301"/>
      <c r="Q135" s="3301"/>
      <c r="R135" s="3301"/>
      <c r="S135" s="3301"/>
      <c r="T135" s="94"/>
      <c r="U135" s="94"/>
      <c r="V135" s="94"/>
      <c r="W135" s="94"/>
      <c r="X135" s="94"/>
      <c r="Y135" s="94"/>
      <c r="Z135" s="94"/>
      <c r="AA135" s="94"/>
      <c r="AB135" s="94"/>
      <c r="AC135" s="94"/>
      <c r="AD135" s="94"/>
      <c r="AE135" s="94"/>
      <c r="AF135" s="94"/>
    </row>
    <row r="136" spans="1:32" ht="16.2" thickBot="1" x14ac:dyDescent="0.4">
      <c r="A136" s="3300"/>
      <c r="B136" s="3300"/>
      <c r="C136" s="3300"/>
      <c r="D136" s="3300"/>
      <c r="E136" s="3300"/>
      <c r="F136" s="3302" t="s">
        <v>4083</v>
      </c>
      <c r="G136" s="3302"/>
      <c r="H136" s="3302"/>
      <c r="I136" s="3302"/>
      <c r="J136" s="3302" t="s">
        <v>4084</v>
      </c>
      <c r="K136" s="3302"/>
      <c r="L136" s="3302"/>
      <c r="M136" s="3302"/>
      <c r="N136" s="3303" t="s">
        <v>4088</v>
      </c>
      <c r="O136" s="3303"/>
      <c r="P136" s="3303"/>
      <c r="Q136" s="3303"/>
      <c r="R136" s="3303"/>
      <c r="S136" s="3303"/>
      <c r="T136" s="94"/>
      <c r="U136" s="94"/>
      <c r="V136" s="94"/>
      <c r="W136" s="94"/>
      <c r="X136" s="94"/>
      <c r="Y136" s="94"/>
      <c r="Z136" s="94"/>
      <c r="AA136" s="94"/>
      <c r="AB136" s="94"/>
      <c r="AC136" s="94"/>
      <c r="AD136" s="94"/>
      <c r="AE136" s="94"/>
      <c r="AF136" s="94"/>
    </row>
    <row r="137" spans="1:32" x14ac:dyDescent="0.3">
      <c r="A137" s="3293" t="s">
        <v>1164</v>
      </c>
      <c r="B137" s="3293"/>
      <c r="C137" s="3293"/>
      <c r="D137" s="3293"/>
      <c r="E137" s="3293"/>
      <c r="F137" s="3294">
        <f>ROUND(J137*$M$65,3)</f>
        <v>2E-3</v>
      </c>
      <c r="G137" s="3294"/>
      <c r="H137" s="3294"/>
      <c r="I137" s="3294"/>
      <c r="J137" s="3295">
        <f>ROUND((Q115*$K$94+Q119*$K$95+Q123*$K$96+Q127*$K$97)*$K$103+(Q117*$K$94+Q121*$K$95+Q125*$K$96+Q129*$K$97)*$K$104,2)</f>
        <v>9.14</v>
      </c>
      <c r="K137" s="3295"/>
      <c r="L137" s="3295"/>
      <c r="M137" s="3295"/>
      <c r="N137" s="3280">
        <f>ROUND(J137*$M$86,2)</f>
        <v>91.4</v>
      </c>
      <c r="O137" s="3281"/>
      <c r="P137" s="3281"/>
      <c r="Q137" s="3281"/>
      <c r="R137" s="3281"/>
      <c r="S137" s="3282"/>
      <c r="T137" s="94"/>
      <c r="U137" s="94"/>
      <c r="V137" s="94"/>
      <c r="W137" s="94"/>
      <c r="X137" s="94"/>
      <c r="Y137" s="94"/>
      <c r="Z137" s="94"/>
      <c r="AA137" s="94"/>
      <c r="AB137" s="94"/>
      <c r="AC137" s="94"/>
      <c r="AD137" s="94"/>
      <c r="AE137" s="94"/>
      <c r="AF137" s="94"/>
    </row>
    <row r="138" spans="1:32" ht="15" thickBot="1" x14ac:dyDescent="0.35">
      <c r="A138" s="3296" t="s">
        <v>1066</v>
      </c>
      <c r="B138" s="3296"/>
      <c r="C138" s="3296"/>
      <c r="D138" s="3296"/>
      <c r="E138" s="3296"/>
      <c r="F138" s="3297">
        <f>ROUND(J138*$M$65,3)</f>
        <v>1.2999999999999999E-2</v>
      </c>
      <c r="G138" s="3297"/>
      <c r="H138" s="3297"/>
      <c r="I138" s="3297"/>
      <c r="J138" s="3298">
        <f>ROUND((Q116*$K$94+Q120*$K$95+Q124*$K$96+Q128*$K$97)*$K$103+(Q118*$K$94+Q122*$K$95+Q126*$K$96+Q130*$K$97)*$K$104,2)</f>
        <v>65.62</v>
      </c>
      <c r="K138" s="3298"/>
      <c r="L138" s="3298"/>
      <c r="M138" s="3298"/>
      <c r="N138" s="3292">
        <f>ROUND(J138*$M$86,2)</f>
        <v>656.2</v>
      </c>
      <c r="O138" s="3292"/>
      <c r="P138" s="3292"/>
      <c r="Q138" s="3292"/>
      <c r="R138" s="3292"/>
      <c r="S138" s="3292"/>
      <c r="T138" s="94"/>
      <c r="U138" s="94"/>
      <c r="V138" s="94"/>
      <c r="W138" s="94"/>
      <c r="X138" s="94"/>
      <c r="Y138" s="94"/>
      <c r="Z138" s="94"/>
      <c r="AA138" s="94"/>
      <c r="AB138" s="94"/>
      <c r="AC138" s="94"/>
      <c r="AD138" s="94"/>
      <c r="AE138" s="94"/>
      <c r="AF138" s="94"/>
    </row>
    <row r="139" spans="1:32"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row>
    <row r="140" spans="1:32" x14ac:dyDescent="0.3">
      <c r="A140" s="94"/>
      <c r="B140" s="498" t="s">
        <v>4052</v>
      </c>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row>
    <row r="141" spans="1:32"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row>
    <row r="142" spans="1:32" ht="15" thickBot="1" x14ac:dyDescent="0.35">
      <c r="A142" s="276" t="s">
        <v>4053</v>
      </c>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row>
    <row r="143" spans="1:32" x14ac:dyDescent="0.3">
      <c r="A143" s="3299" t="s">
        <v>224</v>
      </c>
      <c r="B143" s="3299"/>
      <c r="C143" s="3299"/>
      <c r="D143" s="3299"/>
      <c r="E143" s="3299"/>
      <c r="F143" s="3301" t="s">
        <v>1768</v>
      </c>
      <c r="G143" s="3301"/>
      <c r="H143" s="3301"/>
      <c r="I143" s="3301"/>
      <c r="J143" s="3301"/>
      <c r="K143" s="3301"/>
      <c r="L143" s="3301"/>
      <c r="M143" s="3301"/>
      <c r="N143" s="3301" t="s">
        <v>1769</v>
      </c>
      <c r="O143" s="3301"/>
      <c r="P143" s="3301"/>
      <c r="Q143" s="3301"/>
      <c r="R143" s="3301"/>
      <c r="S143" s="3301"/>
      <c r="T143" s="94"/>
      <c r="U143" s="94"/>
      <c r="V143" s="94"/>
      <c r="W143" s="94"/>
      <c r="X143" s="94"/>
      <c r="Y143" s="94"/>
      <c r="Z143" s="94"/>
      <c r="AA143" s="94"/>
      <c r="AB143" s="94"/>
      <c r="AC143" s="94"/>
      <c r="AD143" s="94"/>
      <c r="AE143" s="94"/>
      <c r="AF143" s="94"/>
    </row>
    <row r="144" spans="1:32" ht="16.2" thickBot="1" x14ac:dyDescent="0.4">
      <c r="A144" s="3300"/>
      <c r="B144" s="3300"/>
      <c r="C144" s="3300"/>
      <c r="D144" s="3300"/>
      <c r="E144" s="3300"/>
      <c r="F144" s="3302" t="s">
        <v>4085</v>
      </c>
      <c r="G144" s="3302"/>
      <c r="H144" s="3302"/>
      <c r="I144" s="3302"/>
      <c r="J144" s="3302" t="s">
        <v>4086</v>
      </c>
      <c r="K144" s="3302"/>
      <c r="L144" s="3302"/>
      <c r="M144" s="3302"/>
      <c r="N144" s="3303" t="s">
        <v>4089</v>
      </c>
      <c r="O144" s="3303"/>
      <c r="P144" s="3303"/>
      <c r="Q144" s="3303"/>
      <c r="R144" s="3303"/>
      <c r="S144" s="3303"/>
      <c r="T144" s="94"/>
      <c r="U144" s="94"/>
      <c r="V144" s="94"/>
      <c r="W144" s="94"/>
      <c r="X144" s="94"/>
      <c r="Y144" s="94"/>
      <c r="Z144" s="94"/>
      <c r="AA144" s="94"/>
      <c r="AB144" s="94"/>
      <c r="AC144" s="94"/>
      <c r="AD144" s="94"/>
      <c r="AE144" s="94"/>
      <c r="AF144" s="94"/>
    </row>
    <row r="145" spans="1:32" x14ac:dyDescent="0.3">
      <c r="A145" s="3271" t="s">
        <v>1164</v>
      </c>
      <c r="B145" s="3272"/>
      <c r="C145" s="3272"/>
      <c r="D145" s="3272"/>
      <c r="E145" s="3273"/>
      <c r="F145" s="3274">
        <f>ROUND(J145*$M$65,3)</f>
        <v>0</v>
      </c>
      <c r="G145" s="3275"/>
      <c r="H145" s="3275"/>
      <c r="I145" s="3276"/>
      <c r="J145" s="3277">
        <f>ROUND((Y115*$K$94+Y119*$K$95+Y123*$K$96+Y127*$K$97)*$K$103+(Y117*$K$94+Y121*$K$95+Y125*$K$96+Y129*$K$97)*$K$104,2)</f>
        <v>1.52</v>
      </c>
      <c r="K145" s="3278"/>
      <c r="L145" s="3278"/>
      <c r="M145" s="3279"/>
      <c r="N145" s="3280">
        <f>ROUND(J145*$M$86,2)</f>
        <v>15.2</v>
      </c>
      <c r="O145" s="3281"/>
      <c r="P145" s="3281"/>
      <c r="Q145" s="3281"/>
      <c r="R145" s="3281"/>
      <c r="S145" s="3282"/>
      <c r="T145" s="94"/>
      <c r="U145" s="94"/>
      <c r="V145" s="94"/>
      <c r="W145" s="94"/>
      <c r="X145" s="94"/>
      <c r="Y145" s="94"/>
      <c r="Z145" s="94"/>
      <c r="AA145" s="94"/>
      <c r="AB145" s="94"/>
      <c r="AC145" s="94"/>
      <c r="AD145" s="94"/>
      <c r="AE145" s="94"/>
      <c r="AF145" s="94"/>
    </row>
    <row r="146" spans="1:32" ht="15" thickBot="1" x14ac:dyDescent="0.35">
      <c r="A146" s="3283" t="s">
        <v>1066</v>
      </c>
      <c r="B146" s="3284"/>
      <c r="C146" s="3284"/>
      <c r="D146" s="3284"/>
      <c r="E146" s="3285"/>
      <c r="F146" s="3286">
        <f>ROUND(J146*$M$65,3)</f>
        <v>6.0000000000000001E-3</v>
      </c>
      <c r="G146" s="3287"/>
      <c r="H146" s="3287"/>
      <c r="I146" s="3288"/>
      <c r="J146" s="3289">
        <f>ROUND((Y116*$K$94+Y120*$K$95+Y124*$K$96+Y128*$K$97)*$K$103+(Y118*$K$94+Y122*$K$95+Y126*$K$96+Y130*$K$97)*$K$104,2)</f>
        <v>28.12</v>
      </c>
      <c r="K146" s="3290"/>
      <c r="L146" s="3290"/>
      <c r="M146" s="3291"/>
      <c r="N146" s="3292">
        <f>ROUND(J146*$M$86,2)</f>
        <v>281.2</v>
      </c>
      <c r="O146" s="3292"/>
      <c r="P146" s="3292"/>
      <c r="Q146" s="3292"/>
      <c r="R146" s="3292"/>
      <c r="S146" s="3292"/>
      <c r="T146" s="94"/>
      <c r="U146" s="94"/>
      <c r="V146" s="94"/>
      <c r="W146" s="94"/>
      <c r="X146" s="94"/>
      <c r="Y146" s="94"/>
      <c r="Z146" s="94"/>
      <c r="AA146" s="94"/>
      <c r="AB146" s="94"/>
      <c r="AC146" s="94"/>
      <c r="AD146" s="94"/>
      <c r="AE146" s="94"/>
      <c r="AF146" s="94"/>
    </row>
    <row r="147" spans="1:32" ht="29.25" customHeight="1" x14ac:dyDescent="0.3">
      <c r="A147" s="1701" t="s">
        <v>4054</v>
      </c>
      <c r="B147" s="1701"/>
      <c r="C147" s="1701"/>
      <c r="D147" s="1701"/>
      <c r="E147" s="1701"/>
      <c r="F147" s="1701"/>
      <c r="G147" s="1701"/>
      <c r="H147" s="1701"/>
      <c r="I147" s="1701"/>
      <c r="J147" s="1701"/>
      <c r="K147" s="1701"/>
      <c r="L147" s="1701"/>
      <c r="M147" s="1701"/>
      <c r="N147" s="1701"/>
      <c r="O147" s="1701"/>
      <c r="P147" s="1701"/>
      <c r="Q147" s="1701"/>
      <c r="R147" s="1701"/>
      <c r="S147" s="1701"/>
      <c r="T147" s="1701"/>
      <c r="U147" s="1701"/>
      <c r="V147" s="1701"/>
      <c r="W147" s="1701"/>
      <c r="X147" s="1701"/>
      <c r="Y147" s="1701"/>
      <c r="Z147" s="1701"/>
      <c r="AA147" s="1701"/>
      <c r="AB147" s="1701"/>
      <c r="AC147" s="1701"/>
      <c r="AD147" s="1701"/>
      <c r="AE147" s="1701"/>
      <c r="AF147" s="1701"/>
    </row>
    <row r="148" spans="1:32"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row>
    <row r="149" spans="1:32" x14ac:dyDescent="0.3">
      <c r="A149" s="1290" t="s">
        <v>1514</v>
      </c>
      <c r="B149" s="1290"/>
      <c r="C149" s="1290"/>
      <c r="D149" s="1290"/>
      <c r="E149" s="1290"/>
      <c r="F149" s="1290"/>
      <c r="G149" s="1290"/>
      <c r="H149" s="1290"/>
      <c r="I149" s="1290"/>
      <c r="J149" s="1290"/>
      <c r="K149" s="1290"/>
      <c r="L149" s="1290"/>
      <c r="M149" s="1290"/>
      <c r="N149" s="1290"/>
      <c r="O149" s="1290"/>
      <c r="P149" s="1290"/>
      <c r="Q149" s="1290"/>
      <c r="R149" s="1290"/>
      <c r="S149" s="1290"/>
      <c r="T149" s="1290"/>
      <c r="U149" s="1290"/>
      <c r="V149" s="1290"/>
      <c r="W149" s="1290"/>
      <c r="X149" s="1290"/>
      <c r="Y149" s="1290"/>
      <c r="Z149" s="1290"/>
      <c r="AA149" s="1290"/>
      <c r="AB149" s="1290"/>
      <c r="AC149" s="1290"/>
      <c r="AD149" s="1290"/>
      <c r="AE149" s="1290"/>
      <c r="AF149" s="1290"/>
    </row>
    <row r="150" spans="1:32" x14ac:dyDescent="0.3">
      <c r="A150" s="94"/>
      <c r="B150" s="889"/>
      <c r="C150" s="889"/>
      <c r="D150" s="88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row>
    <row r="151" spans="1:32" ht="33" customHeight="1" x14ac:dyDescent="0.3">
      <c r="A151" s="370" t="s">
        <v>803</v>
      </c>
      <c r="B151" s="889" t="s">
        <v>4005</v>
      </c>
      <c r="C151" s="889"/>
      <c r="D151" s="889"/>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row>
    <row r="152" spans="1:32" ht="33.75" customHeight="1" x14ac:dyDescent="0.3">
      <c r="A152" s="370" t="s">
        <v>803</v>
      </c>
      <c r="B152" s="889" t="s">
        <v>4055</v>
      </c>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889"/>
    </row>
    <row r="153" spans="1:32" ht="33.75" customHeight="1" x14ac:dyDescent="0.3">
      <c r="A153" s="370" t="s">
        <v>803</v>
      </c>
      <c r="B153" s="889" t="s">
        <v>4056</v>
      </c>
      <c r="C153" s="889"/>
      <c r="D153" s="889"/>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889"/>
    </row>
    <row r="154" spans="1:32" ht="30.75" customHeight="1" x14ac:dyDescent="0.3">
      <c r="A154" s="370" t="s">
        <v>803</v>
      </c>
      <c r="B154" s="889" t="s">
        <v>4057</v>
      </c>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row>
    <row r="155" spans="1:32" ht="17.25" customHeight="1" x14ac:dyDescent="0.3">
      <c r="A155" s="370" t="s">
        <v>803</v>
      </c>
      <c r="B155" s="889" t="s">
        <v>4058</v>
      </c>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row>
    <row r="156" spans="1:32" ht="32.25" customHeight="1" x14ac:dyDescent="0.3">
      <c r="A156" s="370" t="s">
        <v>803</v>
      </c>
      <c r="B156" s="889" t="s">
        <v>1999</v>
      </c>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row>
    <row r="157" spans="1:32" ht="60" customHeight="1" x14ac:dyDescent="0.3">
      <c r="A157" s="370" t="s">
        <v>803</v>
      </c>
      <c r="B157" s="889" t="s">
        <v>4059</v>
      </c>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row>
    <row r="158" spans="1:32" ht="60" customHeight="1" x14ac:dyDescent="0.3">
      <c r="A158" s="370" t="s">
        <v>803</v>
      </c>
      <c r="B158" s="889" t="s">
        <v>4060</v>
      </c>
      <c r="C158" s="889"/>
      <c r="D158" s="88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row>
    <row r="159" spans="1:32" ht="49.5" customHeight="1" x14ac:dyDescent="0.3">
      <c r="A159" s="370" t="s">
        <v>803</v>
      </c>
      <c r="B159" s="889" t="s">
        <v>4061</v>
      </c>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row>
    <row r="160" spans="1:32" ht="48" customHeight="1" x14ac:dyDescent="0.3">
      <c r="A160" s="370" t="s">
        <v>803</v>
      </c>
      <c r="B160" s="889" t="s">
        <v>4062</v>
      </c>
      <c r="C160" s="889"/>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row>
    <row r="161" spans="1:32" ht="60" customHeight="1" x14ac:dyDescent="0.3">
      <c r="A161" s="370" t="s">
        <v>803</v>
      </c>
      <c r="B161" s="889" t="s">
        <v>4063</v>
      </c>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c r="AE161" s="889"/>
      <c r="AF161" s="889"/>
    </row>
    <row r="162" spans="1:32" ht="31.5" customHeight="1" x14ac:dyDescent="0.3">
      <c r="A162" s="370" t="s">
        <v>803</v>
      </c>
      <c r="B162" s="889" t="s">
        <v>4064</v>
      </c>
      <c r="C162" s="889"/>
      <c r="D162" s="889"/>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c r="AE162" s="889"/>
      <c r="AF162" s="889"/>
    </row>
    <row r="163" spans="1:32" ht="48" customHeight="1" x14ac:dyDescent="0.3">
      <c r="A163" s="370" t="s">
        <v>803</v>
      </c>
      <c r="B163" s="889" t="s">
        <v>4065</v>
      </c>
      <c r="C163" s="889"/>
      <c r="D163" s="88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row>
    <row r="164" spans="1:32" ht="48" customHeight="1" x14ac:dyDescent="0.3">
      <c r="A164" s="370" t="s">
        <v>803</v>
      </c>
      <c r="B164" s="889" t="s">
        <v>4066</v>
      </c>
      <c r="C164" s="889"/>
      <c r="D164" s="889"/>
      <c r="E164" s="889"/>
      <c r="F164" s="889"/>
      <c r="G164" s="889"/>
      <c r="H164" s="889"/>
      <c r="I164" s="889"/>
      <c r="J164" s="889"/>
      <c r="K164" s="889"/>
      <c r="L164" s="889"/>
      <c r="M164" s="889"/>
      <c r="N164" s="889"/>
      <c r="O164" s="889"/>
      <c r="P164" s="889"/>
      <c r="Q164" s="889"/>
      <c r="R164" s="889"/>
      <c r="S164" s="889"/>
      <c r="T164" s="889"/>
      <c r="U164" s="889"/>
      <c r="V164" s="889"/>
      <c r="W164" s="889"/>
      <c r="X164" s="889"/>
      <c r="Y164" s="889"/>
      <c r="Z164" s="889"/>
      <c r="AA164" s="889"/>
      <c r="AB164" s="889"/>
      <c r="AC164" s="889"/>
      <c r="AD164" s="889"/>
      <c r="AE164" s="889"/>
      <c r="AF164" s="889"/>
    </row>
    <row r="165" spans="1:32" x14ac:dyDescent="0.3">
      <c r="A165" s="370" t="s">
        <v>803</v>
      </c>
      <c r="B165" s="889" t="s">
        <v>4067</v>
      </c>
      <c r="C165" s="889"/>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c r="AE165" s="889"/>
      <c r="AF165" s="889"/>
    </row>
    <row r="166" spans="1:32" ht="60" customHeight="1" x14ac:dyDescent="0.3">
      <c r="A166" s="370" t="s">
        <v>803</v>
      </c>
      <c r="B166" s="889" t="s">
        <v>4068</v>
      </c>
      <c r="C166" s="889"/>
      <c r="D166" s="889"/>
      <c r="E166" s="889"/>
      <c r="F166" s="889"/>
      <c r="G166" s="889"/>
      <c r="H166" s="889"/>
      <c r="I166" s="889"/>
      <c r="J166" s="889"/>
      <c r="K166" s="889"/>
      <c r="L166" s="889"/>
      <c r="M166" s="889"/>
      <c r="N166" s="889"/>
      <c r="O166" s="889"/>
      <c r="P166" s="889"/>
      <c r="Q166" s="889"/>
      <c r="R166" s="889"/>
      <c r="S166" s="889"/>
      <c r="T166" s="889"/>
      <c r="U166" s="889"/>
      <c r="V166" s="889"/>
      <c r="W166" s="889"/>
      <c r="X166" s="889"/>
      <c r="Y166" s="889"/>
      <c r="Z166" s="889"/>
      <c r="AA166" s="889"/>
      <c r="AB166" s="889"/>
      <c r="AC166" s="889"/>
      <c r="AD166" s="889"/>
      <c r="AE166" s="889"/>
      <c r="AF166" s="889"/>
    </row>
    <row r="167" spans="1:32"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sheetData>
  <sheetProtection algorithmName="SHA-512" hashValue="b+DtdjeGEp039OZkHpqUZ/cblif2T+CKNiUz2wcgyhe5VJGlnkGUVb8pLPMKCl038eba5xRTz2d5CqGkQra5vw==" saltValue="Q6jP92T0pVfhlM2/nc1PYw==" spinCount="100000" sheet="1" objects="1" scenarios="1"/>
  <mergeCells count="329">
    <mergeCell ref="V72:AF73"/>
    <mergeCell ref="E73:L73"/>
    <mergeCell ref="M73:O73"/>
    <mergeCell ref="P73:R73"/>
    <mergeCell ref="E74:L74"/>
    <mergeCell ref="M74:R74"/>
    <mergeCell ref="S74:U74"/>
    <mergeCell ref="V74:AF74"/>
    <mergeCell ref="B24:AF24"/>
    <mergeCell ref="A27:AF27"/>
    <mergeCell ref="A66:D66"/>
    <mergeCell ref="E66:L66"/>
    <mergeCell ref="M66:R66"/>
    <mergeCell ref="S66:U66"/>
    <mergeCell ref="V66:AF66"/>
    <mergeCell ref="A67:D67"/>
    <mergeCell ref="E67:L67"/>
    <mergeCell ref="A63:AF63"/>
    <mergeCell ref="A64:D64"/>
    <mergeCell ref="E64:L64"/>
    <mergeCell ref="M64:O64"/>
    <mergeCell ref="P64:R64"/>
    <mergeCell ref="S64:U64"/>
    <mergeCell ref="V64:AF64"/>
    <mergeCell ref="A65:D65"/>
    <mergeCell ref="E65:L65"/>
    <mergeCell ref="M65:R65"/>
    <mergeCell ref="S65:U65"/>
    <mergeCell ref="V65:AF65"/>
    <mergeCell ref="M67:O67"/>
    <mergeCell ref="P67:R67"/>
    <mergeCell ref="S67:U67"/>
    <mergeCell ref="A1:AF1"/>
    <mergeCell ref="A7:AF7"/>
    <mergeCell ref="B10:AF10"/>
    <mergeCell ref="B13:AF13"/>
    <mergeCell ref="B16:AF16"/>
    <mergeCell ref="A3:AF3"/>
    <mergeCell ref="B5:AF5"/>
    <mergeCell ref="B19:AF19"/>
    <mergeCell ref="B21:AF21"/>
    <mergeCell ref="V67:AF67"/>
    <mergeCell ref="A68:D68"/>
    <mergeCell ref="E68:L68"/>
    <mergeCell ref="M68:O68"/>
    <mergeCell ref="P68:R68"/>
    <mergeCell ref="S68:U68"/>
    <mergeCell ref="V68:AF68"/>
    <mergeCell ref="A69:D69"/>
    <mergeCell ref="E69:L69"/>
    <mergeCell ref="M69:O69"/>
    <mergeCell ref="P69:R69"/>
    <mergeCell ref="S69:U69"/>
    <mergeCell ref="V69:AF69"/>
    <mergeCell ref="A70:D71"/>
    <mergeCell ref="E70:L70"/>
    <mergeCell ref="M70:R70"/>
    <mergeCell ref="S70:U71"/>
    <mergeCell ref="V70:AF71"/>
    <mergeCell ref="E71:L71"/>
    <mergeCell ref="M71:R71"/>
    <mergeCell ref="S76:U76"/>
    <mergeCell ref="V76:AF76"/>
    <mergeCell ref="E75:L75"/>
    <mergeCell ref="M75:O75"/>
    <mergeCell ref="P75:R75"/>
    <mergeCell ref="S75:U75"/>
    <mergeCell ref="V75:AF75"/>
    <mergeCell ref="E76:L76"/>
    <mergeCell ref="A72:D73"/>
    <mergeCell ref="A74:D74"/>
    <mergeCell ref="A75:D75"/>
    <mergeCell ref="A76:D76"/>
    <mergeCell ref="M76:R76"/>
    <mergeCell ref="E72:L72"/>
    <mergeCell ref="M72:O72"/>
    <mergeCell ref="P72:R72"/>
    <mergeCell ref="S72:U73"/>
    <mergeCell ref="A77:D80"/>
    <mergeCell ref="E77:L77"/>
    <mergeCell ref="M77:R77"/>
    <mergeCell ref="S77:U77"/>
    <mergeCell ref="V77:AF77"/>
    <mergeCell ref="E78:L78"/>
    <mergeCell ref="M78:R78"/>
    <mergeCell ref="S78:U78"/>
    <mergeCell ref="V78:AF78"/>
    <mergeCell ref="E79:L79"/>
    <mergeCell ref="M79:R79"/>
    <mergeCell ref="S79:U79"/>
    <mergeCell ref="V79:AF79"/>
    <mergeCell ref="E80:L80"/>
    <mergeCell ref="M80:R80"/>
    <mergeCell ref="S80:U80"/>
    <mergeCell ref="V80:AF80"/>
    <mergeCell ref="S81:U81"/>
    <mergeCell ref="V81:AF81"/>
    <mergeCell ref="A82:D82"/>
    <mergeCell ref="E82:L82"/>
    <mergeCell ref="M82:R82"/>
    <mergeCell ref="S82:U82"/>
    <mergeCell ref="V82:AF82"/>
    <mergeCell ref="A83:D84"/>
    <mergeCell ref="E83:L83"/>
    <mergeCell ref="M83:O83"/>
    <mergeCell ref="P83:R83"/>
    <mergeCell ref="S83:U83"/>
    <mergeCell ref="V83:AF83"/>
    <mergeCell ref="E84:L84"/>
    <mergeCell ref="M84:R84"/>
    <mergeCell ref="S84:U84"/>
    <mergeCell ref="V84:AF84"/>
    <mergeCell ref="A81:D81"/>
    <mergeCell ref="E81:L81"/>
    <mergeCell ref="M81:R81"/>
    <mergeCell ref="A85:D85"/>
    <mergeCell ref="E85:L85"/>
    <mergeCell ref="M85:R85"/>
    <mergeCell ref="S85:U85"/>
    <mergeCell ref="V85:AF85"/>
    <mergeCell ref="A86:D86"/>
    <mergeCell ref="E86:L86"/>
    <mergeCell ref="M86:R86"/>
    <mergeCell ref="S86:U86"/>
    <mergeCell ref="V86:AF86"/>
    <mergeCell ref="A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2:O112"/>
    <mergeCell ref="A113:L114"/>
    <mergeCell ref="M113:T113"/>
    <mergeCell ref="U113:AB113"/>
    <mergeCell ref="AC113:AF113"/>
    <mergeCell ref="M114:P114"/>
    <mergeCell ref="Q114:T114"/>
    <mergeCell ref="U114:X114"/>
    <mergeCell ref="Y114:AB114"/>
    <mergeCell ref="AC114:AF114"/>
    <mergeCell ref="A115:C118"/>
    <mergeCell ref="D115:H116"/>
    <mergeCell ref="I115:L115"/>
    <mergeCell ref="M115:P115"/>
    <mergeCell ref="Q115:T115"/>
    <mergeCell ref="U115:X115"/>
    <mergeCell ref="Y115:AB115"/>
    <mergeCell ref="AC115:AF115"/>
    <mergeCell ref="I116:L116"/>
    <mergeCell ref="M116:P116"/>
    <mergeCell ref="Q116:T116"/>
    <mergeCell ref="U116:X116"/>
    <mergeCell ref="Y116:AB116"/>
    <mergeCell ref="AC116:AF116"/>
    <mergeCell ref="D117:H118"/>
    <mergeCell ref="I117:L117"/>
    <mergeCell ref="M117:P117"/>
    <mergeCell ref="Q117:T117"/>
    <mergeCell ref="U117:X117"/>
    <mergeCell ref="Y117:AB117"/>
    <mergeCell ref="AC117:AF117"/>
    <mergeCell ref="I118:L118"/>
    <mergeCell ref="M118:P118"/>
    <mergeCell ref="Q118:T118"/>
    <mergeCell ref="U118:X118"/>
    <mergeCell ref="Y118:AB118"/>
    <mergeCell ref="AC118:AF118"/>
    <mergeCell ref="A119:C122"/>
    <mergeCell ref="D119:H120"/>
    <mergeCell ref="I119:L119"/>
    <mergeCell ref="M119:P119"/>
    <mergeCell ref="Q119:T119"/>
    <mergeCell ref="U119:X119"/>
    <mergeCell ref="Y119:AB119"/>
    <mergeCell ref="AC119:AF119"/>
    <mergeCell ref="I120:L120"/>
    <mergeCell ref="M120:P120"/>
    <mergeCell ref="Q120:T120"/>
    <mergeCell ref="U120:X120"/>
    <mergeCell ref="Y120:AB120"/>
    <mergeCell ref="AC120:AF120"/>
    <mergeCell ref="D121:H122"/>
    <mergeCell ref="I121:L121"/>
    <mergeCell ref="M121:P121"/>
    <mergeCell ref="Q121:T121"/>
    <mergeCell ref="U121:X121"/>
    <mergeCell ref="Y121:AB121"/>
    <mergeCell ref="AC121:AF121"/>
    <mergeCell ref="I122:L122"/>
    <mergeCell ref="M122:P122"/>
    <mergeCell ref="Q122:T122"/>
    <mergeCell ref="U122:X122"/>
    <mergeCell ref="Y122:AB122"/>
    <mergeCell ref="AC122:AF122"/>
    <mergeCell ref="A123:C126"/>
    <mergeCell ref="D123:H124"/>
    <mergeCell ref="I123:L123"/>
    <mergeCell ref="M123:P123"/>
    <mergeCell ref="Q123:T123"/>
    <mergeCell ref="U123:X123"/>
    <mergeCell ref="Y123:AB123"/>
    <mergeCell ref="AC123:AF123"/>
    <mergeCell ref="I124:L124"/>
    <mergeCell ref="M124:P124"/>
    <mergeCell ref="Q124:T124"/>
    <mergeCell ref="U124:X124"/>
    <mergeCell ref="Y124:AB124"/>
    <mergeCell ref="AC124:AF124"/>
    <mergeCell ref="D125:H126"/>
    <mergeCell ref="I125:L125"/>
    <mergeCell ref="M125:P125"/>
    <mergeCell ref="Q125:T125"/>
    <mergeCell ref="U125:X125"/>
    <mergeCell ref="Y125:AB125"/>
    <mergeCell ref="AC125:AF125"/>
    <mergeCell ref="I126:L126"/>
    <mergeCell ref="M126:P126"/>
    <mergeCell ref="Q126:T126"/>
    <mergeCell ref="U126:X126"/>
    <mergeCell ref="Y126:AB126"/>
    <mergeCell ref="AC126:AF126"/>
    <mergeCell ref="U129:X129"/>
    <mergeCell ref="Y129:AB129"/>
    <mergeCell ref="AC129:AF129"/>
    <mergeCell ref="I130:L130"/>
    <mergeCell ref="M130:P130"/>
    <mergeCell ref="Q130:T130"/>
    <mergeCell ref="U130:X130"/>
    <mergeCell ref="Y130:AB130"/>
    <mergeCell ref="AC130:AF130"/>
    <mergeCell ref="A135:E136"/>
    <mergeCell ref="F135:M135"/>
    <mergeCell ref="N135:S135"/>
    <mergeCell ref="F136:I136"/>
    <mergeCell ref="J136:M136"/>
    <mergeCell ref="N136:S136"/>
    <mergeCell ref="A127:C130"/>
    <mergeCell ref="D127:H128"/>
    <mergeCell ref="I127:L127"/>
    <mergeCell ref="M127:P127"/>
    <mergeCell ref="Q127:T127"/>
    <mergeCell ref="D129:H130"/>
    <mergeCell ref="I129:L129"/>
    <mergeCell ref="M129:P129"/>
    <mergeCell ref="Q129:T129"/>
    <mergeCell ref="U127:X127"/>
    <mergeCell ref="Y127:AB127"/>
    <mergeCell ref="AC127:AF127"/>
    <mergeCell ref="I128:L128"/>
    <mergeCell ref="M128:P128"/>
    <mergeCell ref="Q128:T128"/>
    <mergeCell ref="U128:X128"/>
    <mergeCell ref="Y128:AB128"/>
    <mergeCell ref="AC128:AF128"/>
    <mergeCell ref="A137:E137"/>
    <mergeCell ref="F137:I137"/>
    <mergeCell ref="J137:M137"/>
    <mergeCell ref="N137:S137"/>
    <mergeCell ref="A138:E138"/>
    <mergeCell ref="F138:I138"/>
    <mergeCell ref="J138:M138"/>
    <mergeCell ref="N138:S138"/>
    <mergeCell ref="A143:E144"/>
    <mergeCell ref="F143:M143"/>
    <mergeCell ref="N143:S143"/>
    <mergeCell ref="F144:I144"/>
    <mergeCell ref="J144:M144"/>
    <mergeCell ref="N144:S144"/>
    <mergeCell ref="A149:AF149"/>
    <mergeCell ref="B150:AF150"/>
    <mergeCell ref="B151:AF151"/>
    <mergeCell ref="B152:AF152"/>
    <mergeCell ref="B153:AF153"/>
    <mergeCell ref="B154:AF154"/>
    <mergeCell ref="B155:AF155"/>
    <mergeCell ref="B156:AF156"/>
    <mergeCell ref="A145:E145"/>
    <mergeCell ref="F145:I145"/>
    <mergeCell ref="J145:M145"/>
    <mergeCell ref="N145:S145"/>
    <mergeCell ref="A146:E146"/>
    <mergeCell ref="F146:I146"/>
    <mergeCell ref="J146:M146"/>
    <mergeCell ref="N146:S146"/>
    <mergeCell ref="A147:AF147"/>
    <mergeCell ref="B166:AF166"/>
    <mergeCell ref="B157:AF157"/>
    <mergeCell ref="B158:AF158"/>
    <mergeCell ref="B159:AF159"/>
    <mergeCell ref="B160:AF160"/>
    <mergeCell ref="B161:AF161"/>
    <mergeCell ref="B162:AF162"/>
    <mergeCell ref="B163:AF163"/>
    <mergeCell ref="B164:AF164"/>
    <mergeCell ref="B165:AF165"/>
  </mergeCells>
  <hyperlinks>
    <hyperlink ref="A2" location="TOC!A1" display="Return to TOC" xr:uid="{00000000-0004-0000-6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Q115:T130" formula="1"/>
    <ignoredError sqref="AF31:AF61" numberStoredAsText="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3">
    <tabColor theme="5" tint="0.59999389629810485"/>
    <pageSetUpPr autoPageBreaks="0"/>
  </sheetPr>
  <dimension ref="A1:AF172"/>
  <sheetViews>
    <sheetView zoomScaleNormal="100" workbookViewId="0">
      <selection activeCell="A2" sqref="A2"/>
    </sheetView>
  </sheetViews>
  <sheetFormatPr defaultColWidth="2.6640625" defaultRowHeight="14.4" x14ac:dyDescent="0.3"/>
  <sheetData>
    <row r="1" spans="1:32" ht="18" x14ac:dyDescent="0.3">
      <c r="A1" s="1131" t="s">
        <v>1166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4636</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57"/>
      <c r="B6" s="57"/>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3">
      <c r="A10" s="121"/>
      <c r="B10" s="1372" t="s">
        <v>3524</v>
      </c>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2.25" customHeight="1" x14ac:dyDescent="0.3">
      <c r="A13" s="121"/>
      <c r="B13" s="1258" t="s">
        <v>1311</v>
      </c>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3525</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78" customHeight="1" x14ac:dyDescent="0.3">
      <c r="A19" s="121"/>
      <c r="B19" s="889" t="s">
        <v>4092</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A20" s="121"/>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2" ht="65.25" customHeight="1" x14ac:dyDescent="0.3">
      <c r="A21" s="121"/>
      <c r="B21" s="889" t="s">
        <v>4093</v>
      </c>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row>
    <row r="22" spans="1:32" x14ac:dyDescent="0.3">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3">
      <c r="A23" s="121"/>
      <c r="B23" s="267" t="s">
        <v>13</v>
      </c>
      <c r="C23" s="267"/>
      <c r="D23" s="267"/>
      <c r="E23" s="267"/>
      <c r="F23" s="267"/>
      <c r="G23" s="267"/>
      <c r="H23" s="267"/>
      <c r="I23" s="267"/>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3">
      <c r="A24" s="121"/>
      <c r="B24" s="1372" t="s">
        <v>4107</v>
      </c>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c r="Y24" s="1372"/>
      <c r="Z24" s="1372"/>
      <c r="AA24" s="1372"/>
      <c r="AB24" s="1372"/>
      <c r="AC24" s="1372"/>
      <c r="AD24" s="1372"/>
      <c r="AE24" s="1372"/>
      <c r="AF24" s="1372"/>
    </row>
    <row r="25" spans="1:32" x14ac:dyDescent="0.3">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3">
      <c r="A27" s="1290" t="s">
        <v>7</v>
      </c>
      <c r="B27" s="1290"/>
      <c r="C27" s="1290"/>
      <c r="D27" s="1290"/>
      <c r="E27" s="1290"/>
      <c r="F27" s="1290"/>
      <c r="G27" s="1290"/>
      <c r="H27" s="1290"/>
      <c r="I27" s="1290"/>
      <c r="J27" s="1290"/>
      <c r="K27" s="1290"/>
      <c r="L27" s="1290"/>
      <c r="M27" s="1290"/>
      <c r="N27" s="1290"/>
      <c r="O27" s="1290"/>
      <c r="P27" s="1290"/>
      <c r="Q27" s="1290"/>
      <c r="R27" s="1290"/>
      <c r="S27" s="1290"/>
      <c r="T27" s="1290"/>
      <c r="U27" s="1290"/>
      <c r="V27" s="1290"/>
      <c r="W27" s="1290"/>
      <c r="X27" s="1290"/>
      <c r="Y27" s="1290"/>
      <c r="Z27" s="1290"/>
      <c r="AA27" s="1290"/>
      <c r="AB27" s="1290"/>
      <c r="AC27" s="1290"/>
      <c r="AD27" s="1290"/>
      <c r="AE27" s="1290"/>
      <c r="AF27" s="1290"/>
    </row>
    <row r="28" spans="1:32" x14ac:dyDescent="0.3">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3">
      <c r="A29" s="121"/>
      <c r="B29" s="372" t="s">
        <v>2135</v>
      </c>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x14ac:dyDescent="0.3">
      <c r="A30" s="121"/>
      <c r="B30" s="37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3">
      <c r="A31" s="121"/>
      <c r="B31" s="37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272" t="s">
        <v>1463</v>
      </c>
    </row>
    <row r="32" spans="1:32" x14ac:dyDescent="0.3">
      <c r="A32" s="121"/>
      <c r="B32" s="37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row>
    <row r="33" spans="1:32" x14ac:dyDescent="0.3">
      <c r="A33" s="121"/>
      <c r="B33" s="372" t="s">
        <v>2136</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3">
      <c r="A34" s="121"/>
      <c r="B34" s="37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x14ac:dyDescent="0.3">
      <c r="A35" s="121"/>
      <c r="B35" s="37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1464</v>
      </c>
    </row>
    <row r="36" spans="1:32" x14ac:dyDescent="0.3">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3">
      <c r="A37" s="121"/>
      <c r="B37" s="372" t="s">
        <v>2025</v>
      </c>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3">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3">
      <c r="A39" s="121"/>
      <c r="B39" s="372"/>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3">
      <c r="A40" s="121"/>
      <c r="B40" s="372"/>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t="s">
        <v>1465</v>
      </c>
    </row>
    <row r="41" spans="1:32" x14ac:dyDescent="0.3">
      <c r="A41" s="121"/>
      <c r="B41" s="372"/>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3">
      <c r="A42" s="121"/>
      <c r="B42" s="372"/>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x14ac:dyDescent="0.3">
      <c r="A43" s="121"/>
      <c r="B43" s="372" t="s">
        <v>2026</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3">
      <c r="A44" s="121"/>
      <c r="B44" s="372"/>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3">
      <c r="A45" s="121"/>
      <c r="B45" s="372"/>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2" x14ac:dyDescent="0.3">
      <c r="A46" s="121"/>
      <c r="B46" s="372"/>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1517</v>
      </c>
    </row>
    <row r="47" spans="1:32" x14ac:dyDescent="0.3">
      <c r="A47" s="121"/>
      <c r="B47" s="372"/>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3">
      <c r="A48" s="121"/>
      <c r="B48" s="372"/>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3">
      <c r="A49" s="121"/>
      <c r="B49" s="267" t="s">
        <v>1811</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row>
    <row r="50" spans="1:32"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row>
    <row r="51" spans="1:32" x14ac:dyDescent="0.3">
      <c r="A51" s="121"/>
      <c r="B51" s="121"/>
      <c r="C51" s="507" t="s">
        <v>4009</v>
      </c>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272"/>
    </row>
    <row r="52" spans="1:32" x14ac:dyDescent="0.3">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row>
    <row r="53" spans="1:32"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1556</v>
      </c>
    </row>
    <row r="54" spans="1:32" x14ac:dyDescent="0.3">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272"/>
    </row>
    <row r="55" spans="1:32" x14ac:dyDescent="0.3">
      <c r="A55" s="121"/>
      <c r="B55" s="121"/>
      <c r="C55" s="507" t="s">
        <v>4010</v>
      </c>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3">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t="s">
        <v>1558</v>
      </c>
    </row>
    <row r="58" spans="1:32" x14ac:dyDescent="0.3">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3">
      <c r="A59" s="121"/>
      <c r="B59" s="121"/>
      <c r="C59" s="507" t="s">
        <v>4011</v>
      </c>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row>
    <row r="60" spans="1:32" x14ac:dyDescent="0.3">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3">
      <c r="A61" s="121"/>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t="s">
        <v>1607</v>
      </c>
    </row>
    <row r="62" spans="1:32" x14ac:dyDescent="0.3">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row>
    <row r="63" spans="1:32" x14ac:dyDescent="0.3">
      <c r="A63" s="1290" t="s">
        <v>8</v>
      </c>
      <c r="B63" s="1290"/>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c r="AC63" s="1290"/>
      <c r="AD63" s="1290"/>
      <c r="AE63" s="1290"/>
      <c r="AF63" s="1290"/>
    </row>
    <row r="64" spans="1:32" x14ac:dyDescent="0.3">
      <c r="A64" s="1378" t="s">
        <v>9</v>
      </c>
      <c r="B64" s="1378"/>
      <c r="C64" s="1378"/>
      <c r="D64" s="1378"/>
      <c r="E64" s="1430" t="s">
        <v>3</v>
      </c>
      <c r="F64" s="1430"/>
      <c r="G64" s="1430"/>
      <c r="H64" s="1430"/>
      <c r="I64" s="1430"/>
      <c r="J64" s="1430"/>
      <c r="K64" s="1430"/>
      <c r="L64" s="1430"/>
      <c r="M64" s="1430"/>
      <c r="N64" s="1430"/>
      <c r="O64" s="1430"/>
      <c r="P64" s="1430"/>
      <c r="Q64" s="1378" t="s">
        <v>10</v>
      </c>
      <c r="R64" s="1378"/>
      <c r="S64" s="1378"/>
      <c r="T64" s="1378"/>
      <c r="U64" s="1378" t="s">
        <v>11</v>
      </c>
      <c r="V64" s="1378"/>
      <c r="W64" s="1378"/>
      <c r="X64" s="1378" t="s">
        <v>1466</v>
      </c>
      <c r="Y64" s="1378"/>
      <c r="Z64" s="1378"/>
      <c r="AA64" s="1378"/>
      <c r="AB64" s="1378"/>
      <c r="AC64" s="1378"/>
      <c r="AD64" s="1378"/>
      <c r="AE64" s="1378"/>
      <c r="AF64" s="1378"/>
    </row>
    <row r="65" spans="1:32" ht="187.5" customHeight="1" x14ac:dyDescent="0.3">
      <c r="A65" s="1507" t="s">
        <v>4012</v>
      </c>
      <c r="B65" s="1507"/>
      <c r="C65" s="1507"/>
      <c r="D65" s="1507"/>
      <c r="E65" s="3421" t="s">
        <v>4013</v>
      </c>
      <c r="F65" s="3422"/>
      <c r="G65" s="3422"/>
      <c r="H65" s="3422"/>
      <c r="I65" s="3422"/>
      <c r="J65" s="3422"/>
      <c r="K65" s="3422"/>
      <c r="L65" s="3422"/>
      <c r="M65" s="3422"/>
      <c r="N65" s="3422"/>
      <c r="O65" s="3422"/>
      <c r="P65" s="3423"/>
      <c r="Q65" s="1506">
        <v>2.0000000000000001E-4</v>
      </c>
      <c r="R65" s="1506">
        <v>2.7799999999999998E-2</v>
      </c>
      <c r="S65" s="1506">
        <v>2.7799999999999998E-2</v>
      </c>
      <c r="T65" s="1506">
        <v>2.7799999999999998E-2</v>
      </c>
      <c r="U65" s="3418" t="s">
        <v>4014</v>
      </c>
      <c r="V65" s="3419"/>
      <c r="W65" s="3420"/>
      <c r="X65" s="3421" t="s">
        <v>4069</v>
      </c>
      <c r="Y65" s="3422"/>
      <c r="Z65" s="3422"/>
      <c r="AA65" s="3422"/>
      <c r="AB65" s="3422"/>
      <c r="AC65" s="3422"/>
      <c r="AD65" s="3422"/>
      <c r="AE65" s="3422"/>
      <c r="AF65" s="3423"/>
    </row>
    <row r="66" spans="1:32" ht="34.5" customHeight="1" x14ac:dyDescent="0.3">
      <c r="A66" s="1506" t="s">
        <v>4070</v>
      </c>
      <c r="B66" s="1506" t="s">
        <v>923</v>
      </c>
      <c r="C66" s="1506" t="s">
        <v>923</v>
      </c>
      <c r="D66" s="1506" t="s">
        <v>923</v>
      </c>
      <c r="E66" s="3413" t="s">
        <v>4015</v>
      </c>
      <c r="F66" s="3413" t="s">
        <v>929</v>
      </c>
      <c r="G66" s="3413" t="s">
        <v>929</v>
      </c>
      <c r="H66" s="3413" t="s">
        <v>929</v>
      </c>
      <c r="I66" s="3413" t="s">
        <v>929</v>
      </c>
      <c r="J66" s="3413" t="s">
        <v>929</v>
      </c>
      <c r="K66" s="3413" t="s">
        <v>929</v>
      </c>
      <c r="L66" s="3413" t="s">
        <v>929</v>
      </c>
      <c r="M66" s="3413" t="s">
        <v>929</v>
      </c>
      <c r="N66" s="3413" t="s">
        <v>929</v>
      </c>
      <c r="O66" s="3413" t="s">
        <v>929</v>
      </c>
      <c r="P66" s="3413" t="s">
        <v>929</v>
      </c>
      <c r="Q66" s="1506">
        <v>2.5</v>
      </c>
      <c r="R66" s="1506">
        <v>2.5</v>
      </c>
      <c r="S66" s="1506">
        <v>2.5</v>
      </c>
      <c r="T66" s="1506">
        <v>2.5</v>
      </c>
      <c r="U66" s="1507" t="s">
        <v>3506</v>
      </c>
      <c r="V66" s="1507"/>
      <c r="W66" s="1507"/>
      <c r="X66" s="3369" t="s">
        <v>4016</v>
      </c>
      <c r="Y66" s="3369"/>
      <c r="Z66" s="3369"/>
      <c r="AA66" s="3369"/>
      <c r="AB66" s="3369"/>
      <c r="AC66" s="3369"/>
      <c r="AD66" s="3369"/>
      <c r="AE66" s="3369"/>
      <c r="AF66" s="3369"/>
    </row>
    <row r="67" spans="1:32" ht="37.5" customHeight="1" x14ac:dyDescent="0.3">
      <c r="A67" s="1506" t="s">
        <v>4071</v>
      </c>
      <c r="B67" s="1506" t="s">
        <v>923</v>
      </c>
      <c r="C67" s="1506" t="s">
        <v>923</v>
      </c>
      <c r="D67" s="1506" t="s">
        <v>923</v>
      </c>
      <c r="E67" s="3413" t="s">
        <v>4017</v>
      </c>
      <c r="F67" s="3413" t="s">
        <v>929</v>
      </c>
      <c r="G67" s="3413" t="s">
        <v>929</v>
      </c>
      <c r="H67" s="3413" t="s">
        <v>929</v>
      </c>
      <c r="I67" s="3413" t="s">
        <v>929</v>
      </c>
      <c r="J67" s="3413" t="s">
        <v>929</v>
      </c>
      <c r="K67" s="3413" t="s">
        <v>929</v>
      </c>
      <c r="L67" s="3413" t="s">
        <v>929</v>
      </c>
      <c r="M67" s="3413" t="s">
        <v>929</v>
      </c>
      <c r="N67" s="3413" t="s">
        <v>929</v>
      </c>
      <c r="O67" s="3413" t="s">
        <v>929</v>
      </c>
      <c r="P67" s="3413" t="s">
        <v>929</v>
      </c>
      <c r="Q67" s="3374">
        <v>1.8</v>
      </c>
      <c r="R67" s="3374">
        <v>2.5</v>
      </c>
      <c r="S67" s="3374">
        <v>2.5</v>
      </c>
      <c r="T67" s="3374">
        <v>2.5</v>
      </c>
      <c r="U67" s="3415" t="s">
        <v>3506</v>
      </c>
      <c r="V67" s="3416"/>
      <c r="W67" s="3417"/>
      <c r="X67" s="3369" t="s">
        <v>4018</v>
      </c>
      <c r="Y67" s="3369"/>
      <c r="Z67" s="3369"/>
      <c r="AA67" s="3369"/>
      <c r="AB67" s="3369"/>
      <c r="AC67" s="3369"/>
      <c r="AD67" s="3369"/>
      <c r="AE67" s="3369"/>
      <c r="AF67" s="3369"/>
    </row>
    <row r="68" spans="1:32" ht="40.5" customHeight="1" x14ac:dyDescent="0.3">
      <c r="A68" s="1506" t="s">
        <v>4072</v>
      </c>
      <c r="B68" s="1506" t="s">
        <v>924</v>
      </c>
      <c r="C68" s="1506" t="s">
        <v>924</v>
      </c>
      <c r="D68" s="1506" t="s">
        <v>924</v>
      </c>
      <c r="E68" s="3413" t="s">
        <v>3507</v>
      </c>
      <c r="F68" s="3413" t="s">
        <v>930</v>
      </c>
      <c r="G68" s="3413" t="s">
        <v>930</v>
      </c>
      <c r="H68" s="3413" t="s">
        <v>930</v>
      </c>
      <c r="I68" s="3413" t="s">
        <v>930</v>
      </c>
      <c r="J68" s="3413" t="s">
        <v>930</v>
      </c>
      <c r="K68" s="3413" t="s">
        <v>930</v>
      </c>
      <c r="L68" s="3413" t="s">
        <v>930</v>
      </c>
      <c r="M68" s="3413" t="s">
        <v>930</v>
      </c>
      <c r="N68" s="3413" t="s">
        <v>930</v>
      </c>
      <c r="O68" s="3413" t="s">
        <v>930</v>
      </c>
      <c r="P68" s="3413" t="s">
        <v>930</v>
      </c>
      <c r="Q68" s="1506">
        <v>1.5</v>
      </c>
      <c r="R68" s="1506">
        <v>1.5</v>
      </c>
      <c r="S68" s="1506">
        <v>1.5</v>
      </c>
      <c r="T68" s="1506">
        <v>1.5</v>
      </c>
      <c r="U68" s="3415" t="s">
        <v>3506</v>
      </c>
      <c r="V68" s="3416"/>
      <c r="W68" s="3417"/>
      <c r="X68" s="3369" t="s">
        <v>4019</v>
      </c>
      <c r="Y68" s="3369"/>
      <c r="Z68" s="3369"/>
      <c r="AA68" s="3369"/>
      <c r="AB68" s="3369"/>
      <c r="AC68" s="3369"/>
      <c r="AD68" s="3369"/>
      <c r="AE68" s="3369"/>
      <c r="AF68" s="3369"/>
    </row>
    <row r="69" spans="1:32" ht="72.75" customHeight="1" x14ac:dyDescent="0.3">
      <c r="A69" s="1506" t="s">
        <v>3519</v>
      </c>
      <c r="B69" s="1506" t="s">
        <v>925</v>
      </c>
      <c r="C69" s="1506" t="s">
        <v>925</v>
      </c>
      <c r="D69" s="1506" t="s">
        <v>925</v>
      </c>
      <c r="E69" s="3413" t="s">
        <v>3520</v>
      </c>
      <c r="F69" s="3413" t="s">
        <v>927</v>
      </c>
      <c r="G69" s="3413" t="s">
        <v>927</v>
      </c>
      <c r="H69" s="3413" t="s">
        <v>927</v>
      </c>
      <c r="I69" s="3413" t="s">
        <v>927</v>
      </c>
      <c r="J69" s="3413" t="s">
        <v>927</v>
      </c>
      <c r="K69" s="3413" t="s">
        <v>927</v>
      </c>
      <c r="L69" s="3413" t="s">
        <v>927</v>
      </c>
      <c r="M69" s="3413" t="s">
        <v>927</v>
      </c>
      <c r="N69" s="3413" t="s">
        <v>927</v>
      </c>
      <c r="O69" s="3413" t="s">
        <v>927</v>
      </c>
      <c r="P69" s="3413" t="s">
        <v>927</v>
      </c>
      <c r="Q69" s="1506">
        <v>7.8</v>
      </c>
      <c r="R69" s="1506">
        <v>7.8</v>
      </c>
      <c r="S69" s="1506">
        <v>7.8</v>
      </c>
      <c r="T69" s="1506">
        <v>7.8</v>
      </c>
      <c r="U69" s="1507" t="s">
        <v>4094</v>
      </c>
      <c r="V69" s="1507"/>
      <c r="W69" s="1507"/>
      <c r="X69" s="3369" t="s">
        <v>4095</v>
      </c>
      <c r="Y69" s="3369" t="s">
        <v>940</v>
      </c>
      <c r="Z69" s="3369" t="s">
        <v>940</v>
      </c>
      <c r="AA69" s="3369" t="s">
        <v>940</v>
      </c>
      <c r="AB69" s="3369" t="s">
        <v>940</v>
      </c>
      <c r="AC69" s="3369" t="s">
        <v>940</v>
      </c>
      <c r="AD69" s="3369" t="s">
        <v>940</v>
      </c>
      <c r="AE69" s="3369" t="s">
        <v>940</v>
      </c>
      <c r="AF69" s="3369" t="s">
        <v>940</v>
      </c>
    </row>
    <row r="70" spans="1:32" ht="93.75" customHeight="1" x14ac:dyDescent="0.3">
      <c r="A70" s="1506" t="s">
        <v>926</v>
      </c>
      <c r="B70" s="1506" t="s">
        <v>926</v>
      </c>
      <c r="C70" s="1506" t="s">
        <v>926</v>
      </c>
      <c r="D70" s="1506" t="s">
        <v>926</v>
      </c>
      <c r="E70" s="3413" t="s">
        <v>3521</v>
      </c>
      <c r="F70" s="3413" t="s">
        <v>928</v>
      </c>
      <c r="G70" s="3413" t="s">
        <v>928</v>
      </c>
      <c r="H70" s="3413" t="s">
        <v>928</v>
      </c>
      <c r="I70" s="3413" t="s">
        <v>928</v>
      </c>
      <c r="J70" s="3413" t="s">
        <v>928</v>
      </c>
      <c r="K70" s="3413" t="s">
        <v>928</v>
      </c>
      <c r="L70" s="3413" t="s">
        <v>928</v>
      </c>
      <c r="M70" s="3413" t="s">
        <v>928</v>
      </c>
      <c r="N70" s="3413" t="s">
        <v>928</v>
      </c>
      <c r="O70" s="3413" t="s">
        <v>928</v>
      </c>
      <c r="P70" s="3413" t="s">
        <v>928</v>
      </c>
      <c r="Q70" s="1506">
        <v>0.69</v>
      </c>
      <c r="R70" s="1506">
        <v>0.6</v>
      </c>
      <c r="S70" s="1506">
        <v>0.6</v>
      </c>
      <c r="T70" s="1506">
        <v>0.6</v>
      </c>
      <c r="U70" s="1507" t="s">
        <v>4096</v>
      </c>
      <c r="V70" s="1507"/>
      <c r="W70" s="1507"/>
      <c r="X70" s="3369" t="s">
        <v>4097</v>
      </c>
      <c r="Y70" s="3369"/>
      <c r="Z70" s="3369"/>
      <c r="AA70" s="3369"/>
      <c r="AB70" s="3369"/>
      <c r="AC70" s="3369"/>
      <c r="AD70" s="3369"/>
      <c r="AE70" s="3369"/>
      <c r="AF70" s="3369"/>
    </row>
    <row r="71" spans="1:32" ht="29.25" customHeight="1" x14ac:dyDescent="0.3">
      <c r="A71" s="1506" t="s">
        <v>931</v>
      </c>
      <c r="B71" s="1506"/>
      <c r="C71" s="1506"/>
      <c r="D71" s="1506"/>
      <c r="E71" s="3413" t="s">
        <v>3515</v>
      </c>
      <c r="F71" s="3413" t="s">
        <v>932</v>
      </c>
      <c r="G71" s="3413" t="s">
        <v>932</v>
      </c>
      <c r="H71" s="3413" t="s">
        <v>932</v>
      </c>
      <c r="I71" s="3413" t="s">
        <v>932</v>
      </c>
      <c r="J71" s="3413" t="s">
        <v>932</v>
      </c>
      <c r="K71" s="3413" t="s">
        <v>932</v>
      </c>
      <c r="L71" s="3413" t="s">
        <v>932</v>
      </c>
      <c r="M71" s="3413" t="s">
        <v>932</v>
      </c>
      <c r="N71" s="3413" t="s">
        <v>932</v>
      </c>
      <c r="O71" s="3413" t="s">
        <v>932</v>
      </c>
      <c r="P71" s="3413" t="s">
        <v>932</v>
      </c>
      <c r="Q71" s="1942">
        <v>2.34</v>
      </c>
      <c r="R71" s="1942">
        <v>2.6</v>
      </c>
      <c r="S71" s="1942">
        <v>2.6</v>
      </c>
      <c r="T71" s="1942">
        <v>2.6</v>
      </c>
      <c r="U71" s="1507" t="s">
        <v>3659</v>
      </c>
      <c r="V71" s="1507"/>
      <c r="W71" s="1507"/>
      <c r="X71" s="3369" t="s">
        <v>4073</v>
      </c>
      <c r="Y71" s="3369"/>
      <c r="Z71" s="3369"/>
      <c r="AA71" s="3369"/>
      <c r="AB71" s="3369"/>
      <c r="AC71" s="3369"/>
      <c r="AD71" s="3369"/>
      <c r="AE71" s="3369"/>
      <c r="AF71" s="3369"/>
    </row>
    <row r="72" spans="1:32" ht="38.25" customHeight="1" x14ac:dyDescent="0.3">
      <c r="A72" s="1506"/>
      <c r="B72" s="1506"/>
      <c r="C72" s="1506"/>
      <c r="D72" s="1506"/>
      <c r="E72" s="3413" t="s">
        <v>3516</v>
      </c>
      <c r="F72" s="3413" t="s">
        <v>932</v>
      </c>
      <c r="G72" s="3413" t="s">
        <v>932</v>
      </c>
      <c r="H72" s="3413" t="s">
        <v>932</v>
      </c>
      <c r="I72" s="3413" t="s">
        <v>932</v>
      </c>
      <c r="J72" s="3413" t="s">
        <v>932</v>
      </c>
      <c r="K72" s="3413" t="s">
        <v>932</v>
      </c>
      <c r="L72" s="3413" t="s">
        <v>932</v>
      </c>
      <c r="M72" s="3413" t="s">
        <v>932</v>
      </c>
      <c r="N72" s="3413" t="s">
        <v>932</v>
      </c>
      <c r="O72" s="3413" t="s">
        <v>932</v>
      </c>
      <c r="P72" s="3413" t="s">
        <v>932</v>
      </c>
      <c r="Q72" s="1942">
        <v>3.16</v>
      </c>
      <c r="R72" s="1942">
        <v>3.24</v>
      </c>
      <c r="S72" s="1942">
        <v>3.24</v>
      </c>
      <c r="T72" s="1942">
        <v>3.24</v>
      </c>
      <c r="U72" s="1507"/>
      <c r="V72" s="1507"/>
      <c r="W72" s="1507"/>
      <c r="X72" s="3369"/>
      <c r="Y72" s="3369"/>
      <c r="Z72" s="3369"/>
      <c r="AA72" s="3369"/>
      <c r="AB72" s="3369"/>
      <c r="AC72" s="3369"/>
      <c r="AD72" s="3369"/>
      <c r="AE72" s="3369"/>
      <c r="AF72" s="3369"/>
    </row>
    <row r="73" spans="1:32" ht="35.25" customHeight="1" x14ac:dyDescent="0.3">
      <c r="A73" s="1506" t="s">
        <v>3522</v>
      </c>
      <c r="B73" s="1506"/>
      <c r="C73" s="1506"/>
      <c r="D73" s="1506"/>
      <c r="E73" s="3369" t="s">
        <v>3526</v>
      </c>
      <c r="F73" s="3369" t="s">
        <v>933</v>
      </c>
      <c r="G73" s="3369" t="s">
        <v>933</v>
      </c>
      <c r="H73" s="3369" t="s">
        <v>933</v>
      </c>
      <c r="I73" s="3369" t="s">
        <v>933</v>
      </c>
      <c r="J73" s="3369" t="s">
        <v>933</v>
      </c>
      <c r="K73" s="3369" t="s">
        <v>933</v>
      </c>
      <c r="L73" s="3369" t="s">
        <v>933</v>
      </c>
      <c r="M73" s="3369" t="s">
        <v>933</v>
      </c>
      <c r="N73" s="3369" t="s">
        <v>933</v>
      </c>
      <c r="O73" s="3369" t="s">
        <v>933</v>
      </c>
      <c r="P73" s="3369" t="s">
        <v>933</v>
      </c>
      <c r="Q73" s="3374">
        <v>1.6</v>
      </c>
      <c r="R73" s="3374">
        <v>1.66</v>
      </c>
      <c r="S73" s="3374">
        <v>1.66</v>
      </c>
      <c r="T73" s="3374">
        <v>1.66</v>
      </c>
      <c r="U73" s="1507" t="s">
        <v>3660</v>
      </c>
      <c r="V73" s="1507"/>
      <c r="W73" s="1507"/>
      <c r="X73" s="3369" t="s">
        <v>4074</v>
      </c>
      <c r="Y73" s="3369"/>
      <c r="Z73" s="3369"/>
      <c r="AA73" s="3369"/>
      <c r="AB73" s="3369"/>
      <c r="AC73" s="3369"/>
      <c r="AD73" s="3369"/>
      <c r="AE73" s="3369"/>
      <c r="AF73" s="3369"/>
    </row>
    <row r="74" spans="1:32" ht="44.25" customHeight="1" x14ac:dyDescent="0.3">
      <c r="A74" s="1506"/>
      <c r="B74" s="1506"/>
      <c r="C74" s="1506"/>
      <c r="D74" s="1506"/>
      <c r="E74" s="3369" t="s">
        <v>3527</v>
      </c>
      <c r="F74" s="3369" t="s">
        <v>933</v>
      </c>
      <c r="G74" s="3369" t="s">
        <v>933</v>
      </c>
      <c r="H74" s="3369" t="s">
        <v>933</v>
      </c>
      <c r="I74" s="3369" t="s">
        <v>933</v>
      </c>
      <c r="J74" s="3369" t="s">
        <v>933</v>
      </c>
      <c r="K74" s="3369" t="s">
        <v>933</v>
      </c>
      <c r="L74" s="3369" t="s">
        <v>933</v>
      </c>
      <c r="M74" s="3369" t="s">
        <v>933</v>
      </c>
      <c r="N74" s="3369" t="s">
        <v>933</v>
      </c>
      <c r="O74" s="3369" t="s">
        <v>933</v>
      </c>
      <c r="P74" s="3369" t="s">
        <v>933</v>
      </c>
      <c r="Q74" s="3374">
        <v>2.2000000000000002</v>
      </c>
      <c r="R74" s="3374">
        <v>2.13</v>
      </c>
      <c r="S74" s="3374">
        <v>2.13</v>
      </c>
      <c r="T74" s="3374">
        <v>2.13</v>
      </c>
      <c r="U74" s="1507"/>
      <c r="V74" s="1507"/>
      <c r="W74" s="1507"/>
      <c r="X74" s="3369"/>
      <c r="Y74" s="3369"/>
      <c r="Z74" s="3369"/>
      <c r="AA74" s="3369"/>
      <c r="AB74" s="3369"/>
      <c r="AC74" s="3369"/>
      <c r="AD74" s="3369"/>
      <c r="AE74" s="3369"/>
      <c r="AF74" s="3369"/>
    </row>
    <row r="75" spans="1:32" ht="35.25" customHeight="1" x14ac:dyDescent="0.3">
      <c r="A75" s="1506" t="s">
        <v>934</v>
      </c>
      <c r="B75" s="1506" t="s">
        <v>934</v>
      </c>
      <c r="C75" s="1506" t="s">
        <v>934</v>
      </c>
      <c r="D75" s="1506" t="s">
        <v>934</v>
      </c>
      <c r="E75" s="3413" t="s">
        <v>3509</v>
      </c>
      <c r="F75" s="3413" t="s">
        <v>935</v>
      </c>
      <c r="G75" s="3413" t="s">
        <v>935</v>
      </c>
      <c r="H75" s="3413" t="s">
        <v>935</v>
      </c>
      <c r="I75" s="3413" t="s">
        <v>935</v>
      </c>
      <c r="J75" s="3413" t="s">
        <v>935</v>
      </c>
      <c r="K75" s="3413" t="s">
        <v>935</v>
      </c>
      <c r="L75" s="3413" t="s">
        <v>935</v>
      </c>
      <c r="M75" s="3413" t="s">
        <v>935</v>
      </c>
      <c r="N75" s="3413" t="s">
        <v>935</v>
      </c>
      <c r="O75" s="3413" t="s">
        <v>935</v>
      </c>
      <c r="P75" s="3413" t="s">
        <v>935</v>
      </c>
      <c r="Q75" s="1506">
        <v>8.3000000000000007</v>
      </c>
      <c r="R75" s="1506">
        <v>8.3000000000000007</v>
      </c>
      <c r="S75" s="1506">
        <v>8.3000000000000007</v>
      </c>
      <c r="T75" s="1506">
        <v>8.3000000000000007</v>
      </c>
      <c r="U75" s="1507" t="s">
        <v>3514</v>
      </c>
      <c r="V75" s="1507"/>
      <c r="W75" s="1507"/>
      <c r="X75" s="3369" t="s">
        <v>3528</v>
      </c>
      <c r="Y75" s="3369" t="s">
        <v>941</v>
      </c>
      <c r="Z75" s="3369" t="s">
        <v>941</v>
      </c>
      <c r="AA75" s="3369" t="s">
        <v>941</v>
      </c>
      <c r="AB75" s="3369" t="s">
        <v>941</v>
      </c>
      <c r="AC75" s="3369" t="s">
        <v>941</v>
      </c>
      <c r="AD75" s="3369" t="s">
        <v>941</v>
      </c>
      <c r="AE75" s="3369" t="s">
        <v>941</v>
      </c>
      <c r="AF75" s="3369" t="s">
        <v>941</v>
      </c>
    </row>
    <row r="76" spans="1:32" ht="86.25" customHeight="1" x14ac:dyDescent="0.3">
      <c r="A76" s="1506" t="s">
        <v>4108</v>
      </c>
      <c r="B76" s="1506" t="s">
        <v>936</v>
      </c>
      <c r="C76" s="1506" t="s">
        <v>936</v>
      </c>
      <c r="D76" s="1506" t="s">
        <v>936</v>
      </c>
      <c r="E76" s="3413" t="s">
        <v>3510</v>
      </c>
      <c r="F76" s="3413" t="s">
        <v>951</v>
      </c>
      <c r="G76" s="3413" t="s">
        <v>951</v>
      </c>
      <c r="H76" s="3413" t="s">
        <v>951</v>
      </c>
      <c r="I76" s="3413" t="s">
        <v>951</v>
      </c>
      <c r="J76" s="3413" t="s">
        <v>951</v>
      </c>
      <c r="K76" s="3413" t="s">
        <v>951</v>
      </c>
      <c r="L76" s="3413" t="s">
        <v>951</v>
      </c>
      <c r="M76" s="3413" t="s">
        <v>951</v>
      </c>
      <c r="N76" s="3413" t="s">
        <v>951</v>
      </c>
      <c r="O76" s="3413" t="s">
        <v>951</v>
      </c>
      <c r="P76" s="3413" t="s">
        <v>951</v>
      </c>
      <c r="Q76" s="1506">
        <v>101</v>
      </c>
      <c r="R76" s="1506">
        <v>101</v>
      </c>
      <c r="S76" s="1506">
        <v>101</v>
      </c>
      <c r="T76" s="1506">
        <v>101</v>
      </c>
      <c r="U76" s="1507" t="s">
        <v>1168</v>
      </c>
      <c r="V76" s="1507"/>
      <c r="W76" s="1507"/>
      <c r="X76" s="3369" t="s">
        <v>1999</v>
      </c>
      <c r="Y76" s="3369" t="s">
        <v>940</v>
      </c>
      <c r="Z76" s="3369" t="s">
        <v>940</v>
      </c>
      <c r="AA76" s="3369" t="s">
        <v>940</v>
      </c>
      <c r="AB76" s="3369" t="s">
        <v>940</v>
      </c>
      <c r="AC76" s="3369" t="s">
        <v>940</v>
      </c>
      <c r="AD76" s="3369" t="s">
        <v>940</v>
      </c>
      <c r="AE76" s="3369" t="s">
        <v>940</v>
      </c>
      <c r="AF76" s="3369" t="s">
        <v>940</v>
      </c>
    </row>
    <row r="77" spans="1:32" ht="83.25" customHeight="1" x14ac:dyDescent="0.3">
      <c r="A77" s="1506" t="s">
        <v>4109</v>
      </c>
      <c r="B77" s="1506" t="s">
        <v>937</v>
      </c>
      <c r="C77" s="1506" t="s">
        <v>937</v>
      </c>
      <c r="D77" s="1506" t="s">
        <v>937</v>
      </c>
      <c r="E77" s="3413" t="s">
        <v>3511</v>
      </c>
      <c r="F77" s="3413" t="s">
        <v>952</v>
      </c>
      <c r="G77" s="3413" t="s">
        <v>952</v>
      </c>
      <c r="H77" s="3413" t="s">
        <v>952</v>
      </c>
      <c r="I77" s="3413" t="s">
        <v>952</v>
      </c>
      <c r="J77" s="3413" t="s">
        <v>952</v>
      </c>
      <c r="K77" s="3413" t="s">
        <v>952</v>
      </c>
      <c r="L77" s="3413" t="s">
        <v>952</v>
      </c>
      <c r="M77" s="3413" t="s">
        <v>952</v>
      </c>
      <c r="N77" s="3413" t="s">
        <v>952</v>
      </c>
      <c r="O77" s="3413" t="s">
        <v>952</v>
      </c>
      <c r="P77" s="3413" t="s">
        <v>952</v>
      </c>
      <c r="Q77" s="3414">
        <v>75</v>
      </c>
      <c r="R77" s="3414">
        <v>75</v>
      </c>
      <c r="S77" s="3414">
        <v>75</v>
      </c>
      <c r="T77" s="3414">
        <v>75</v>
      </c>
      <c r="U77" s="1507" t="s">
        <v>1168</v>
      </c>
      <c r="V77" s="1507"/>
      <c r="W77" s="1507"/>
      <c r="X77" s="3369" t="s">
        <v>4098</v>
      </c>
      <c r="Y77" s="3369" t="s">
        <v>942</v>
      </c>
      <c r="Z77" s="3369" t="s">
        <v>942</v>
      </c>
      <c r="AA77" s="3369" t="s">
        <v>942</v>
      </c>
      <c r="AB77" s="3369" t="s">
        <v>942</v>
      </c>
      <c r="AC77" s="3369" t="s">
        <v>942</v>
      </c>
      <c r="AD77" s="3369" t="s">
        <v>942</v>
      </c>
      <c r="AE77" s="3369" t="s">
        <v>942</v>
      </c>
      <c r="AF77" s="3369" t="s">
        <v>942</v>
      </c>
    </row>
    <row r="78" spans="1:32" ht="60" customHeight="1" x14ac:dyDescent="0.3">
      <c r="A78" s="1506" t="s">
        <v>4021</v>
      </c>
      <c r="B78" s="1506"/>
      <c r="C78" s="1506"/>
      <c r="D78" s="1506"/>
      <c r="E78" s="3369" t="s">
        <v>4099</v>
      </c>
      <c r="F78" s="3369" t="s">
        <v>938</v>
      </c>
      <c r="G78" s="3369" t="s">
        <v>938</v>
      </c>
      <c r="H78" s="3369" t="s">
        <v>938</v>
      </c>
      <c r="I78" s="3369" t="s">
        <v>938</v>
      </c>
      <c r="J78" s="3369" t="s">
        <v>938</v>
      </c>
      <c r="K78" s="3369" t="s">
        <v>938</v>
      </c>
      <c r="L78" s="3369" t="s">
        <v>938</v>
      </c>
      <c r="M78" s="3369" t="s">
        <v>938</v>
      </c>
      <c r="N78" s="3369" t="s">
        <v>938</v>
      </c>
      <c r="O78" s="3369" t="s">
        <v>938</v>
      </c>
      <c r="P78" s="3369" t="s">
        <v>938</v>
      </c>
      <c r="Q78" s="1506">
        <v>0.94499999999999995</v>
      </c>
      <c r="R78" s="1506">
        <v>0.98</v>
      </c>
      <c r="S78" s="1506">
        <v>0.98</v>
      </c>
      <c r="T78" s="1506">
        <v>0.98</v>
      </c>
      <c r="U78" s="1507" t="s">
        <v>20</v>
      </c>
      <c r="V78" s="1507"/>
      <c r="W78" s="1507"/>
      <c r="X78" s="3369" t="s">
        <v>4023</v>
      </c>
      <c r="Y78" s="3369" t="s">
        <v>1167</v>
      </c>
      <c r="Z78" s="3369" t="s">
        <v>1167</v>
      </c>
      <c r="AA78" s="3369" t="s">
        <v>1167</v>
      </c>
      <c r="AB78" s="3369" t="s">
        <v>1167</v>
      </c>
      <c r="AC78" s="3369" t="s">
        <v>1167</v>
      </c>
      <c r="AD78" s="3369" t="s">
        <v>1167</v>
      </c>
      <c r="AE78" s="3369" t="s">
        <v>1167</v>
      </c>
      <c r="AF78" s="3369" t="s">
        <v>1167</v>
      </c>
    </row>
    <row r="79" spans="1:32" ht="60" customHeight="1" x14ac:dyDescent="0.3">
      <c r="A79" s="1506"/>
      <c r="B79" s="1506"/>
      <c r="C79" s="1506"/>
      <c r="D79" s="1506"/>
      <c r="E79" s="3369" t="s">
        <v>4100</v>
      </c>
      <c r="F79" s="3369"/>
      <c r="G79" s="3369"/>
      <c r="H79" s="3369"/>
      <c r="I79" s="3369"/>
      <c r="J79" s="3369"/>
      <c r="K79" s="3369"/>
      <c r="L79" s="3369"/>
      <c r="M79" s="3369"/>
      <c r="N79" s="3369"/>
      <c r="O79" s="3369"/>
      <c r="P79" s="3369"/>
      <c r="Q79" s="1506">
        <v>0.97499999999999998</v>
      </c>
      <c r="R79" s="1506"/>
      <c r="S79" s="1506"/>
      <c r="T79" s="1506"/>
      <c r="U79" s="1507" t="s">
        <v>20</v>
      </c>
      <c r="V79" s="1507"/>
      <c r="W79" s="1507"/>
      <c r="X79" s="3369" t="s">
        <v>4025</v>
      </c>
      <c r="Y79" s="3369"/>
      <c r="Z79" s="3369"/>
      <c r="AA79" s="3369"/>
      <c r="AB79" s="3369"/>
      <c r="AC79" s="3369"/>
      <c r="AD79" s="3369"/>
      <c r="AE79" s="3369"/>
      <c r="AF79" s="3369"/>
    </row>
    <row r="80" spans="1:32" ht="82.5" customHeight="1" x14ac:dyDescent="0.3">
      <c r="A80" s="1506"/>
      <c r="B80" s="1506"/>
      <c r="C80" s="1506"/>
      <c r="D80" s="1506"/>
      <c r="E80" s="3369" t="s">
        <v>4026</v>
      </c>
      <c r="F80" s="3369"/>
      <c r="G80" s="3369"/>
      <c r="H80" s="3369"/>
      <c r="I80" s="3369"/>
      <c r="J80" s="3369"/>
      <c r="K80" s="3369"/>
      <c r="L80" s="3369"/>
      <c r="M80" s="3369"/>
      <c r="N80" s="3369"/>
      <c r="O80" s="3369"/>
      <c r="P80" s="3369"/>
      <c r="Q80" s="3371">
        <f>ROUND(AVERAGE(3.25,1.98),1)</f>
        <v>2.6</v>
      </c>
      <c r="R80" s="3372"/>
      <c r="S80" s="3372"/>
      <c r="T80" s="3373"/>
      <c r="U80" s="1507" t="s">
        <v>20</v>
      </c>
      <c r="V80" s="1507"/>
      <c r="W80" s="1507"/>
      <c r="X80" s="2044" t="s">
        <v>4027</v>
      </c>
      <c r="Y80" s="2045"/>
      <c r="Z80" s="2045"/>
      <c r="AA80" s="2045"/>
      <c r="AB80" s="2045"/>
      <c r="AC80" s="2045"/>
      <c r="AD80" s="2045"/>
      <c r="AE80" s="2045"/>
      <c r="AF80" s="2046"/>
    </row>
    <row r="81" spans="1:32" ht="60" customHeight="1" x14ac:dyDescent="0.3">
      <c r="A81" s="1506"/>
      <c r="B81" s="1506"/>
      <c r="C81" s="1506"/>
      <c r="D81" s="1506"/>
      <c r="E81" s="3369" t="s">
        <v>4028</v>
      </c>
      <c r="F81" s="3369"/>
      <c r="G81" s="3369"/>
      <c r="H81" s="3369"/>
      <c r="I81" s="3369"/>
      <c r="J81" s="3369"/>
      <c r="K81" s="3369"/>
      <c r="L81" s="3369"/>
      <c r="M81" s="3369"/>
      <c r="N81" s="3369"/>
      <c r="O81" s="3369"/>
      <c r="P81" s="3369"/>
      <c r="Q81" s="1506">
        <v>6.5</v>
      </c>
      <c r="R81" s="1506">
        <v>1.8</v>
      </c>
      <c r="S81" s="1506">
        <v>1.8</v>
      </c>
      <c r="T81" s="1506">
        <v>1.8</v>
      </c>
      <c r="U81" s="1507" t="s">
        <v>20</v>
      </c>
      <c r="V81" s="1507"/>
      <c r="W81" s="1507"/>
      <c r="X81" s="3369" t="s">
        <v>4029</v>
      </c>
      <c r="Y81" s="3369"/>
      <c r="Z81" s="3369"/>
      <c r="AA81" s="3369"/>
      <c r="AB81" s="3369"/>
      <c r="AC81" s="3369"/>
      <c r="AD81" s="3369"/>
      <c r="AE81" s="3369"/>
      <c r="AF81" s="3369"/>
    </row>
    <row r="82" spans="1:32" ht="29.25" customHeight="1" x14ac:dyDescent="0.3">
      <c r="A82" s="1506" t="s">
        <v>159</v>
      </c>
      <c r="B82" s="1506" t="s">
        <v>939</v>
      </c>
      <c r="C82" s="1506" t="s">
        <v>939</v>
      </c>
      <c r="D82" s="1506" t="s">
        <v>939</v>
      </c>
      <c r="E82" s="3413" t="s">
        <v>3509</v>
      </c>
      <c r="F82" s="3413" t="s">
        <v>947</v>
      </c>
      <c r="G82" s="3413" t="s">
        <v>947</v>
      </c>
      <c r="H82" s="3413" t="s">
        <v>947</v>
      </c>
      <c r="I82" s="3413" t="s">
        <v>947</v>
      </c>
      <c r="J82" s="3413" t="s">
        <v>947</v>
      </c>
      <c r="K82" s="3413" t="s">
        <v>947</v>
      </c>
      <c r="L82" s="3413" t="s">
        <v>947</v>
      </c>
      <c r="M82" s="3413" t="s">
        <v>947</v>
      </c>
      <c r="N82" s="3413" t="s">
        <v>947</v>
      </c>
      <c r="O82" s="3413" t="s">
        <v>947</v>
      </c>
      <c r="P82" s="3413" t="s">
        <v>947</v>
      </c>
      <c r="Q82" s="1506">
        <v>365</v>
      </c>
      <c r="R82" s="1506">
        <v>3412</v>
      </c>
      <c r="S82" s="1506">
        <v>3412</v>
      </c>
      <c r="T82" s="1506">
        <v>3412</v>
      </c>
      <c r="U82" s="1507" t="s">
        <v>2628</v>
      </c>
      <c r="V82" s="1507"/>
      <c r="W82" s="1507"/>
      <c r="X82" s="3369"/>
      <c r="Y82" s="3369"/>
      <c r="Z82" s="3369"/>
      <c r="AA82" s="3369"/>
      <c r="AB82" s="3369"/>
      <c r="AC82" s="3369"/>
      <c r="AD82" s="3369"/>
      <c r="AE82" s="3369"/>
      <c r="AF82" s="3369"/>
    </row>
    <row r="83" spans="1:32" ht="33.75" customHeight="1" x14ac:dyDescent="0.3">
      <c r="A83" s="1506" t="s">
        <v>159</v>
      </c>
      <c r="B83" s="1506" t="s">
        <v>939</v>
      </c>
      <c r="C83" s="1506" t="s">
        <v>939</v>
      </c>
      <c r="D83" s="1506" t="s">
        <v>939</v>
      </c>
      <c r="E83" s="3413" t="s">
        <v>3509</v>
      </c>
      <c r="F83" s="3413" t="s">
        <v>947</v>
      </c>
      <c r="G83" s="3413" t="s">
        <v>947</v>
      </c>
      <c r="H83" s="3413" t="s">
        <v>947</v>
      </c>
      <c r="I83" s="3413" t="s">
        <v>947</v>
      </c>
      <c r="J83" s="3413" t="s">
        <v>947</v>
      </c>
      <c r="K83" s="3413" t="s">
        <v>947</v>
      </c>
      <c r="L83" s="3413" t="s">
        <v>947</v>
      </c>
      <c r="M83" s="3413" t="s">
        <v>947</v>
      </c>
      <c r="N83" s="3413" t="s">
        <v>947</v>
      </c>
      <c r="O83" s="3413" t="s">
        <v>947</v>
      </c>
      <c r="P83" s="3413" t="s">
        <v>947</v>
      </c>
      <c r="Q83" s="1506">
        <v>3412</v>
      </c>
      <c r="R83" s="1506">
        <v>3412</v>
      </c>
      <c r="S83" s="1506">
        <v>3412</v>
      </c>
      <c r="T83" s="1506">
        <v>3412</v>
      </c>
      <c r="U83" s="1507" t="s">
        <v>943</v>
      </c>
      <c r="V83" s="1507"/>
      <c r="W83" s="1507"/>
      <c r="X83" s="3369" t="s">
        <v>3528</v>
      </c>
      <c r="Y83" s="3369"/>
      <c r="Z83" s="3369"/>
      <c r="AA83" s="3369"/>
      <c r="AB83" s="3369"/>
      <c r="AC83" s="3369"/>
      <c r="AD83" s="3369"/>
      <c r="AE83" s="3369"/>
      <c r="AF83" s="3369"/>
    </row>
    <row r="84" spans="1:32" ht="45" customHeight="1" x14ac:dyDescent="0.3">
      <c r="A84" s="1506" t="s">
        <v>1522</v>
      </c>
      <c r="B84" s="1506"/>
      <c r="C84" s="1506"/>
      <c r="D84" s="1506"/>
      <c r="E84" s="3369" t="s">
        <v>4030</v>
      </c>
      <c r="F84" s="3369"/>
      <c r="G84" s="3369"/>
      <c r="H84" s="3369"/>
      <c r="I84" s="3369"/>
      <c r="J84" s="3369"/>
      <c r="K84" s="3369"/>
      <c r="L84" s="3369"/>
      <c r="M84" s="3369"/>
      <c r="N84" s="3369"/>
      <c r="O84" s="3369"/>
      <c r="P84" s="3369"/>
      <c r="Q84" s="1506">
        <v>0.93</v>
      </c>
      <c r="R84" s="1506"/>
      <c r="S84" s="1506"/>
      <c r="T84" s="1506"/>
      <c r="U84" s="1547" t="s">
        <v>20</v>
      </c>
      <c r="V84" s="1547"/>
      <c r="W84" s="1547"/>
      <c r="X84" s="3369" t="s">
        <v>4078</v>
      </c>
      <c r="Y84" s="3369"/>
      <c r="Z84" s="3369"/>
      <c r="AA84" s="3369"/>
      <c r="AB84" s="3369"/>
      <c r="AC84" s="3369"/>
      <c r="AD84" s="3369"/>
      <c r="AE84" s="3369"/>
      <c r="AF84" s="3369"/>
    </row>
    <row r="85" spans="1:32" ht="67.5" customHeight="1" x14ac:dyDescent="0.3">
      <c r="A85" s="1506"/>
      <c r="B85" s="1506"/>
      <c r="C85" s="1506"/>
      <c r="D85" s="1506"/>
      <c r="E85" s="3369" t="s">
        <v>4031</v>
      </c>
      <c r="F85" s="3369"/>
      <c r="G85" s="3369"/>
      <c r="H85" s="3369"/>
      <c r="I85" s="3369"/>
      <c r="J85" s="3369"/>
      <c r="K85" s="3369"/>
      <c r="L85" s="3369"/>
      <c r="M85" s="3369"/>
      <c r="N85" s="3369"/>
      <c r="O85" s="3369"/>
      <c r="P85" s="3369"/>
      <c r="Q85" s="3374">
        <v>1</v>
      </c>
      <c r="R85" s="3374"/>
      <c r="S85" s="3374"/>
      <c r="T85" s="3374"/>
      <c r="U85" s="1547" t="s">
        <v>20</v>
      </c>
      <c r="V85" s="1547"/>
      <c r="W85" s="1547"/>
      <c r="X85" s="3369" t="s">
        <v>4032</v>
      </c>
      <c r="Y85" s="3369"/>
      <c r="Z85" s="3369"/>
      <c r="AA85" s="3369"/>
      <c r="AB85" s="3369"/>
      <c r="AC85" s="3369"/>
      <c r="AD85" s="3369"/>
      <c r="AE85" s="3369"/>
      <c r="AF85" s="3369"/>
    </row>
    <row r="86" spans="1:32" ht="39" customHeight="1" x14ac:dyDescent="0.3">
      <c r="A86" s="1506" t="s">
        <v>1611</v>
      </c>
      <c r="B86" s="1506"/>
      <c r="C86" s="1506"/>
      <c r="D86" s="1506"/>
      <c r="E86" s="3413" t="s">
        <v>3366</v>
      </c>
      <c r="F86" s="3413"/>
      <c r="G86" s="3413"/>
      <c r="H86" s="3413"/>
      <c r="I86" s="3413"/>
      <c r="J86" s="3413"/>
      <c r="K86" s="3413"/>
      <c r="L86" s="3413"/>
      <c r="M86" s="3413"/>
      <c r="N86" s="3413"/>
      <c r="O86" s="3413"/>
      <c r="P86" s="3413"/>
      <c r="Q86" s="1486">
        <f>ROUND(Q87/3,0)</f>
        <v>3</v>
      </c>
      <c r="R86" s="1484"/>
      <c r="S86" s="1484"/>
      <c r="T86" s="1485"/>
      <c r="U86" s="1507" t="s">
        <v>38</v>
      </c>
      <c r="V86" s="1507"/>
      <c r="W86" s="1507"/>
      <c r="X86" s="3370" t="s">
        <v>4033</v>
      </c>
      <c r="Y86" s="3369"/>
      <c r="Z86" s="3369"/>
      <c r="AA86" s="3369"/>
      <c r="AB86" s="3369"/>
      <c r="AC86" s="3369"/>
      <c r="AD86" s="3369"/>
      <c r="AE86" s="3369"/>
      <c r="AF86" s="3369"/>
    </row>
    <row r="87" spans="1:32" ht="29.25" customHeight="1" x14ac:dyDescent="0.3">
      <c r="A87" s="1506" t="s">
        <v>2562</v>
      </c>
      <c r="B87" s="1506" t="s">
        <v>26</v>
      </c>
      <c r="C87" s="1506" t="s">
        <v>26</v>
      </c>
      <c r="D87" s="1506" t="s">
        <v>26</v>
      </c>
      <c r="E87" s="3413" t="s">
        <v>2050</v>
      </c>
      <c r="F87" s="3413"/>
      <c r="G87" s="3413"/>
      <c r="H87" s="3413"/>
      <c r="I87" s="3413"/>
      <c r="J87" s="3413"/>
      <c r="K87" s="3413"/>
      <c r="L87" s="3413"/>
      <c r="M87" s="3413"/>
      <c r="N87" s="3413"/>
      <c r="O87" s="3413"/>
      <c r="P87" s="3413"/>
      <c r="Q87" s="1506">
        <v>10</v>
      </c>
      <c r="R87" s="1506">
        <v>5</v>
      </c>
      <c r="S87" s="1506">
        <v>5</v>
      </c>
      <c r="T87" s="1506">
        <v>5</v>
      </c>
      <c r="U87" s="1507" t="s">
        <v>38</v>
      </c>
      <c r="V87" s="1507"/>
      <c r="W87" s="1507"/>
      <c r="X87" s="3369" t="s">
        <v>3364</v>
      </c>
      <c r="Y87" s="3369"/>
      <c r="Z87" s="3369"/>
      <c r="AA87" s="3369"/>
      <c r="AB87" s="3369"/>
      <c r="AC87" s="3369"/>
      <c r="AD87" s="3369"/>
      <c r="AE87" s="3369"/>
      <c r="AF87" s="3369"/>
    </row>
    <row r="88" spans="1:32" ht="30.75" customHeight="1" x14ac:dyDescent="0.3">
      <c r="A88" s="1406" t="s">
        <v>4080</v>
      </c>
      <c r="B88" s="1406"/>
      <c r="C88" s="1406"/>
      <c r="D88" s="1406"/>
      <c r="E88" s="1406"/>
      <c r="F88" s="1406"/>
      <c r="G88" s="1406"/>
      <c r="H88" s="1406"/>
      <c r="I88" s="1406"/>
      <c r="J88" s="1406"/>
      <c r="K88" s="1406"/>
      <c r="L88" s="1406"/>
      <c r="M88" s="1406"/>
      <c r="N88" s="1406"/>
      <c r="O88" s="1406"/>
      <c r="P88" s="1406"/>
      <c r="Q88" s="1406"/>
      <c r="R88" s="1406"/>
      <c r="S88" s="1406"/>
      <c r="T88" s="1406"/>
      <c r="U88" s="1406"/>
      <c r="V88" s="1406"/>
      <c r="W88" s="1406"/>
      <c r="X88" s="1406"/>
      <c r="Y88" s="1406"/>
      <c r="Z88" s="1406"/>
      <c r="AA88" s="1406"/>
      <c r="AB88" s="1406"/>
      <c r="AC88" s="1406"/>
      <c r="AD88" s="1406"/>
      <c r="AE88" s="1406"/>
      <c r="AF88" s="1406"/>
    </row>
    <row r="89" spans="1:32" ht="40.5" customHeight="1" x14ac:dyDescent="0.3">
      <c r="A89" s="998" t="s">
        <v>4090</v>
      </c>
      <c r="B89" s="998"/>
      <c r="C89" s="998"/>
      <c r="D89" s="998"/>
      <c r="E89" s="998"/>
      <c r="F89" s="998"/>
      <c r="G89" s="998"/>
      <c r="H89" s="998"/>
      <c r="I89" s="998"/>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row>
    <row r="90" spans="1:32" ht="30.75" customHeight="1" x14ac:dyDescent="0.3">
      <c r="A90" s="998" t="s">
        <v>4110</v>
      </c>
      <c r="B90" s="998"/>
      <c r="C90" s="998"/>
      <c r="D90" s="998"/>
      <c r="E90" s="998"/>
      <c r="F90" s="998"/>
      <c r="G90" s="998"/>
      <c r="H90" s="998"/>
      <c r="I90" s="998"/>
      <c r="J90" s="998"/>
      <c r="K90" s="998"/>
      <c r="L90" s="998"/>
      <c r="M90" s="998"/>
      <c r="N90" s="998"/>
      <c r="O90" s="998"/>
      <c r="P90" s="998"/>
      <c r="Q90" s="998"/>
      <c r="R90" s="998"/>
      <c r="S90" s="998"/>
      <c r="T90" s="998"/>
      <c r="U90" s="998"/>
      <c r="V90" s="998"/>
      <c r="W90" s="998"/>
      <c r="X90" s="998"/>
      <c r="Y90" s="998"/>
      <c r="Z90" s="998"/>
      <c r="AA90" s="998"/>
      <c r="AB90" s="998"/>
      <c r="AC90" s="998"/>
      <c r="AD90" s="998"/>
      <c r="AE90" s="998"/>
      <c r="AF90" s="998"/>
    </row>
    <row r="91" spans="1:32" x14ac:dyDescent="0.3">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32" x14ac:dyDescent="0.3">
      <c r="A92" s="187" t="s">
        <v>4034</v>
      </c>
      <c r="B92" s="64"/>
      <c r="C92" s="64"/>
      <c r="D92" s="64"/>
      <c r="E92" s="64"/>
      <c r="F92" s="64"/>
      <c r="G92" s="64"/>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row>
    <row r="93" spans="1:32" ht="32.25" customHeight="1" x14ac:dyDescent="0.3">
      <c r="A93" s="1378" t="s">
        <v>4035</v>
      </c>
      <c r="B93" s="1378"/>
      <c r="C93" s="1378"/>
      <c r="D93" s="1378"/>
      <c r="E93" s="1378"/>
      <c r="F93" s="1378"/>
      <c r="G93" s="1378"/>
      <c r="H93" s="1378"/>
      <c r="I93" s="1378"/>
      <c r="J93" s="1378"/>
      <c r="K93" s="3366" t="s">
        <v>4036</v>
      </c>
      <c r="L93" s="3367"/>
      <c r="M93" s="3367"/>
      <c r="N93" s="3368"/>
      <c r="O93" s="3366" t="s">
        <v>4037</v>
      </c>
      <c r="P93" s="3367"/>
      <c r="Q93" s="3367"/>
      <c r="R93" s="3368"/>
      <c r="S93" s="3366" t="s">
        <v>4038</v>
      </c>
      <c r="T93" s="3367"/>
      <c r="U93" s="3367"/>
      <c r="V93" s="3368"/>
      <c r="W93" s="121"/>
      <c r="X93" s="121"/>
      <c r="Y93" s="121"/>
      <c r="Z93" s="121"/>
      <c r="AA93" s="121"/>
      <c r="AB93" s="121"/>
      <c r="AC93" s="121"/>
      <c r="AD93" s="121"/>
      <c r="AE93" s="121"/>
      <c r="AF93" s="121"/>
    </row>
    <row r="94" spans="1:32" x14ac:dyDescent="0.3">
      <c r="A94" s="993" t="s">
        <v>4039</v>
      </c>
      <c r="B94" s="993"/>
      <c r="C94" s="993"/>
      <c r="D94" s="993"/>
      <c r="E94" s="993"/>
      <c r="F94" s="993"/>
      <c r="G94" s="993"/>
      <c r="H94" s="993"/>
      <c r="I94" s="993"/>
      <c r="J94" s="993"/>
      <c r="K94" s="3353">
        <v>0.43697284075573561</v>
      </c>
      <c r="L94" s="3354"/>
      <c r="M94" s="3354"/>
      <c r="N94" s="3355"/>
      <c r="O94" s="3353">
        <v>0.32106782106782106</v>
      </c>
      <c r="P94" s="3354"/>
      <c r="Q94" s="3354"/>
      <c r="R94" s="3355"/>
      <c r="S94" s="3353">
        <v>0.63745354525794196</v>
      </c>
      <c r="T94" s="3354"/>
      <c r="U94" s="3354"/>
      <c r="V94" s="3355"/>
      <c r="W94" s="121"/>
      <c r="X94" s="121"/>
      <c r="Y94" s="121"/>
      <c r="Z94" s="121"/>
      <c r="AA94" s="121"/>
      <c r="AB94" s="121"/>
      <c r="AC94" s="121"/>
      <c r="AD94" s="121"/>
      <c r="AE94" s="121"/>
      <c r="AF94" s="121"/>
    </row>
    <row r="95" spans="1:32" x14ac:dyDescent="0.3">
      <c r="A95" s="993" t="s">
        <v>4040</v>
      </c>
      <c r="B95" s="993"/>
      <c r="C95" s="993"/>
      <c r="D95" s="993"/>
      <c r="E95" s="993"/>
      <c r="F95" s="993"/>
      <c r="G95" s="993"/>
      <c r="H95" s="993"/>
      <c r="I95" s="993"/>
      <c r="J95" s="993"/>
      <c r="K95" s="3353">
        <v>4.2193825910931175E-2</v>
      </c>
      <c r="L95" s="3354"/>
      <c r="M95" s="3354"/>
      <c r="N95" s="3355"/>
      <c r="O95" s="3353">
        <v>3.6075036075036072E-2</v>
      </c>
      <c r="P95" s="3354"/>
      <c r="Q95" s="3354"/>
      <c r="R95" s="3355"/>
      <c r="S95" s="3353">
        <v>4.2958825876078695E-2</v>
      </c>
      <c r="T95" s="3354"/>
      <c r="U95" s="3354"/>
      <c r="V95" s="3355"/>
      <c r="W95" s="121"/>
      <c r="X95" s="121"/>
      <c r="Y95" s="121"/>
      <c r="Z95" s="121"/>
      <c r="AA95" s="121"/>
      <c r="AB95" s="121"/>
      <c r="AC95" s="121"/>
      <c r="AD95" s="121"/>
      <c r="AE95" s="121"/>
      <c r="AF95" s="121"/>
    </row>
    <row r="96" spans="1:32" x14ac:dyDescent="0.3">
      <c r="A96" s="993" t="s">
        <v>527</v>
      </c>
      <c r="B96" s="993"/>
      <c r="C96" s="993"/>
      <c r="D96" s="993"/>
      <c r="E96" s="993"/>
      <c r="F96" s="993"/>
      <c r="G96" s="993"/>
      <c r="H96" s="993"/>
      <c r="I96" s="993"/>
      <c r="J96" s="993"/>
      <c r="K96" s="3353">
        <v>6.25E-2</v>
      </c>
      <c r="L96" s="3354"/>
      <c r="M96" s="3354"/>
      <c r="N96" s="3355"/>
      <c r="O96" s="3353">
        <v>7.1428571428571438E-2</v>
      </c>
      <c r="P96" s="3354"/>
      <c r="Q96" s="3354"/>
      <c r="R96" s="3355"/>
      <c r="S96" s="3353">
        <v>5.1546391752577317E-2</v>
      </c>
      <c r="T96" s="3354"/>
      <c r="U96" s="3354"/>
      <c r="V96" s="3355"/>
      <c r="W96" s="121"/>
      <c r="X96" s="121"/>
      <c r="Y96" s="121"/>
      <c r="Z96" s="121"/>
      <c r="AA96" s="121"/>
      <c r="AB96" s="121"/>
      <c r="AC96" s="121"/>
      <c r="AD96" s="121"/>
      <c r="AE96" s="121"/>
      <c r="AF96" s="121"/>
    </row>
    <row r="97" spans="1:32" x14ac:dyDescent="0.3">
      <c r="A97" s="993" t="s">
        <v>3512</v>
      </c>
      <c r="B97" s="993"/>
      <c r="C97" s="993"/>
      <c r="D97" s="993"/>
      <c r="E97" s="993"/>
      <c r="F97" s="993"/>
      <c r="G97" s="993"/>
      <c r="H97" s="993"/>
      <c r="I97" s="993"/>
      <c r="J97" s="993"/>
      <c r="K97" s="3353">
        <v>0.27083333333333337</v>
      </c>
      <c r="L97" s="3354"/>
      <c r="M97" s="3354"/>
      <c r="N97" s="3355"/>
      <c r="O97" s="3353">
        <v>0.36734693877551022</v>
      </c>
      <c r="P97" s="3354"/>
      <c r="Q97" s="3354"/>
      <c r="R97" s="3355"/>
      <c r="S97" s="3353">
        <v>9.2783505154639165E-2</v>
      </c>
      <c r="T97" s="3354"/>
      <c r="U97" s="3354"/>
      <c r="V97" s="3355"/>
      <c r="W97" s="121"/>
      <c r="X97" s="121"/>
      <c r="Y97" s="121"/>
      <c r="Z97" s="121"/>
      <c r="AA97" s="121"/>
      <c r="AB97" s="121"/>
      <c r="AC97" s="121"/>
      <c r="AD97" s="121"/>
      <c r="AE97" s="121"/>
      <c r="AF97" s="121"/>
    </row>
    <row r="98" spans="1:32" x14ac:dyDescent="0.3">
      <c r="A98" s="993" t="s">
        <v>4041</v>
      </c>
      <c r="B98" s="993"/>
      <c r="C98" s="993"/>
      <c r="D98" s="993"/>
      <c r="E98" s="993"/>
      <c r="F98" s="993"/>
      <c r="G98" s="993"/>
      <c r="H98" s="993"/>
      <c r="I98" s="993"/>
      <c r="J98" s="993"/>
      <c r="K98" s="3353">
        <v>0.10416666666666667</v>
      </c>
      <c r="L98" s="3354"/>
      <c r="M98" s="3354"/>
      <c r="N98" s="3355"/>
      <c r="O98" s="3353">
        <v>0.14285714285714288</v>
      </c>
      <c r="P98" s="3354"/>
      <c r="Q98" s="3354"/>
      <c r="R98" s="3355"/>
      <c r="S98" s="3353">
        <v>3.0927835051546389E-2</v>
      </c>
      <c r="T98" s="3354"/>
      <c r="U98" s="3354"/>
      <c r="V98" s="3355"/>
      <c r="W98" s="121"/>
      <c r="X98" s="121"/>
      <c r="Y98" s="121"/>
      <c r="Z98" s="121"/>
      <c r="AA98" s="121"/>
      <c r="AB98" s="121"/>
      <c r="AC98" s="121"/>
      <c r="AD98" s="121"/>
      <c r="AE98" s="121"/>
      <c r="AF98" s="121"/>
    </row>
    <row r="99" spans="1:32" x14ac:dyDescent="0.3">
      <c r="A99" s="993" t="s">
        <v>48</v>
      </c>
      <c r="B99" s="993"/>
      <c r="C99" s="993"/>
      <c r="D99" s="993"/>
      <c r="E99" s="993"/>
      <c r="F99" s="993"/>
      <c r="G99" s="993"/>
      <c r="H99" s="993"/>
      <c r="I99" s="993"/>
      <c r="J99" s="993"/>
      <c r="K99" s="3353">
        <v>8.3333333333333343E-2</v>
      </c>
      <c r="L99" s="3354"/>
      <c r="M99" s="3354"/>
      <c r="N99" s="3355"/>
      <c r="O99" s="3353">
        <v>6.1224489795918366E-2</v>
      </c>
      <c r="P99" s="3354"/>
      <c r="Q99" s="3354"/>
      <c r="R99" s="3355"/>
      <c r="S99" s="3353">
        <v>0.14432989690721651</v>
      </c>
      <c r="T99" s="3354"/>
      <c r="U99" s="3354"/>
      <c r="V99" s="3355"/>
      <c r="W99" s="533"/>
      <c r="X99" s="533"/>
      <c r="Y99" s="533"/>
      <c r="Z99" s="533"/>
      <c r="AA99" s="533"/>
      <c r="AB99" s="533"/>
      <c r="AC99" s="533"/>
      <c r="AD99" s="533"/>
      <c r="AE99" s="533"/>
      <c r="AF99" s="533"/>
    </row>
    <row r="100" spans="1:32" ht="45" customHeight="1" x14ac:dyDescent="0.3">
      <c r="A100" s="998" t="s">
        <v>4091</v>
      </c>
      <c r="B100" s="998"/>
      <c r="C100" s="998"/>
      <c r="D100" s="998"/>
      <c r="E100" s="998"/>
      <c r="F100" s="998"/>
      <c r="G100" s="998"/>
      <c r="H100" s="998"/>
      <c r="I100" s="998"/>
      <c r="J100" s="998"/>
      <c r="K100" s="998"/>
      <c r="L100" s="998"/>
      <c r="M100" s="998"/>
      <c r="N100" s="998"/>
      <c r="O100" s="998"/>
      <c r="P100" s="998"/>
      <c r="Q100" s="998"/>
      <c r="R100" s="998"/>
      <c r="S100" s="998"/>
      <c r="T100" s="998"/>
      <c r="U100" s="998"/>
      <c r="V100" s="998"/>
      <c r="W100" s="998"/>
      <c r="X100" s="998"/>
      <c r="Y100" s="998"/>
      <c r="Z100" s="998"/>
      <c r="AA100" s="998"/>
      <c r="AB100" s="998"/>
      <c r="AC100" s="998"/>
      <c r="AD100" s="998"/>
      <c r="AE100" s="998"/>
      <c r="AF100" s="998"/>
    </row>
    <row r="101" spans="1:32" x14ac:dyDescent="0.3">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row>
    <row r="102" spans="1:32" x14ac:dyDescent="0.3">
      <c r="A102" s="187" t="s">
        <v>4042</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row>
    <row r="103" spans="1:32" x14ac:dyDescent="0.3">
      <c r="A103" s="993" t="s">
        <v>4043</v>
      </c>
      <c r="B103" s="993"/>
      <c r="C103" s="993"/>
      <c r="D103" s="993"/>
      <c r="E103" s="993"/>
      <c r="F103" s="993"/>
      <c r="G103" s="993"/>
      <c r="H103" s="993"/>
      <c r="I103" s="993"/>
      <c r="J103" s="993"/>
      <c r="K103" s="3353">
        <v>0.38</v>
      </c>
      <c r="L103" s="3354"/>
      <c r="M103" s="3354"/>
      <c r="N103" s="3355"/>
      <c r="O103" s="121"/>
      <c r="P103" s="121"/>
      <c r="Q103" s="121"/>
      <c r="R103" s="121"/>
      <c r="S103" s="121"/>
      <c r="T103" s="121"/>
      <c r="U103" s="121"/>
      <c r="V103" s="121"/>
      <c r="W103" s="121"/>
      <c r="X103" s="121"/>
      <c r="Y103" s="121"/>
      <c r="Z103" s="121"/>
      <c r="AA103" s="121"/>
      <c r="AB103" s="121"/>
      <c r="AC103" s="121"/>
      <c r="AD103" s="121"/>
      <c r="AE103" s="121"/>
      <c r="AF103" s="121"/>
    </row>
    <row r="104" spans="1:32" x14ac:dyDescent="0.3">
      <c r="A104" s="993" t="s">
        <v>4037</v>
      </c>
      <c r="B104" s="993"/>
      <c r="C104" s="993"/>
      <c r="D104" s="993"/>
      <c r="E104" s="993"/>
      <c r="F104" s="993"/>
      <c r="G104" s="993"/>
      <c r="H104" s="993"/>
      <c r="I104" s="993"/>
      <c r="J104" s="993"/>
      <c r="K104" s="3353">
        <v>0.62</v>
      </c>
      <c r="L104" s="3354"/>
      <c r="M104" s="3354"/>
      <c r="N104" s="3355"/>
      <c r="O104" s="121"/>
      <c r="P104" s="121"/>
      <c r="Q104" s="121"/>
      <c r="R104" s="121"/>
      <c r="S104" s="121"/>
      <c r="T104" s="121"/>
      <c r="U104" s="121"/>
      <c r="V104" s="121"/>
      <c r="W104" s="121"/>
      <c r="X104" s="121"/>
      <c r="Y104" s="121"/>
      <c r="Z104" s="121"/>
      <c r="AA104" s="121"/>
      <c r="AB104" s="121"/>
      <c r="AC104" s="121"/>
      <c r="AD104" s="121"/>
      <c r="AE104" s="121"/>
      <c r="AF104" s="121"/>
    </row>
    <row r="105" spans="1:32" ht="42.75" customHeight="1" x14ac:dyDescent="0.3">
      <c r="A105" s="998" t="s">
        <v>4044</v>
      </c>
      <c r="B105" s="998"/>
      <c r="C105" s="998"/>
      <c r="D105" s="998"/>
      <c r="E105" s="998"/>
      <c r="F105" s="998"/>
      <c r="G105" s="998"/>
      <c r="H105" s="998"/>
      <c r="I105" s="998"/>
      <c r="J105" s="998"/>
      <c r="K105" s="998"/>
      <c r="L105" s="998"/>
      <c r="M105" s="998"/>
      <c r="N105" s="998"/>
      <c r="O105" s="998"/>
      <c r="P105" s="998"/>
      <c r="Q105" s="998"/>
      <c r="R105" s="998"/>
      <c r="S105" s="998"/>
      <c r="T105" s="998"/>
      <c r="U105" s="998"/>
      <c r="V105" s="998"/>
      <c r="W105" s="998"/>
      <c r="X105" s="998"/>
      <c r="Y105" s="998"/>
      <c r="Z105" s="998"/>
      <c r="AA105" s="998"/>
      <c r="AB105" s="998"/>
      <c r="AC105" s="998"/>
      <c r="AD105" s="998"/>
      <c r="AE105" s="998"/>
      <c r="AF105" s="998"/>
    </row>
    <row r="106" spans="1:32" x14ac:dyDescent="0.3">
      <c r="A106" s="511"/>
      <c r="B106" s="511"/>
      <c r="C106" s="511"/>
      <c r="D106" s="511"/>
      <c r="E106" s="511"/>
      <c r="F106" s="511"/>
      <c r="G106" s="511"/>
      <c r="H106" s="511"/>
      <c r="I106" s="511"/>
      <c r="J106" s="511"/>
      <c r="K106" s="511"/>
      <c r="L106" s="511"/>
      <c r="M106" s="511"/>
      <c r="N106" s="511"/>
      <c r="O106" s="511"/>
      <c r="P106" s="511"/>
      <c r="Q106" s="511"/>
      <c r="R106" s="511"/>
      <c r="S106" s="511"/>
      <c r="T106" s="511"/>
      <c r="U106" s="511"/>
      <c r="V106" s="511"/>
      <c r="W106" s="511"/>
      <c r="X106" s="511"/>
      <c r="Y106" s="511"/>
      <c r="Z106" s="511"/>
      <c r="AA106" s="511"/>
      <c r="AB106" s="511"/>
      <c r="AC106" s="511"/>
      <c r="AD106" s="511"/>
      <c r="AE106" s="511"/>
      <c r="AF106" s="511"/>
    </row>
    <row r="107" spans="1:32" x14ac:dyDescent="0.3">
      <c r="A107" s="304"/>
      <c r="B107" s="304"/>
      <c r="C107" s="304"/>
      <c r="D107" s="304"/>
      <c r="E107" s="304"/>
      <c r="F107" s="304"/>
      <c r="G107" s="556"/>
      <c r="H107" s="556"/>
      <c r="I107" s="556"/>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row>
    <row r="108" spans="1:32" x14ac:dyDescent="0.3">
      <c r="A108" s="1290" t="s">
        <v>14</v>
      </c>
      <c r="B108" s="1290"/>
      <c r="C108" s="1290"/>
      <c r="D108" s="1290"/>
      <c r="E108" s="1290"/>
      <c r="F108" s="1290"/>
      <c r="G108" s="1290"/>
      <c r="H108" s="1290"/>
      <c r="I108" s="1290"/>
      <c r="J108" s="1290"/>
      <c r="K108" s="1290"/>
      <c r="L108" s="1290"/>
      <c r="M108" s="1290"/>
      <c r="N108" s="1290"/>
      <c r="O108" s="1290"/>
      <c r="P108" s="1290"/>
      <c r="Q108" s="1290"/>
      <c r="R108" s="1290"/>
      <c r="S108" s="1290"/>
      <c r="T108" s="1290"/>
      <c r="U108" s="1290"/>
      <c r="V108" s="1290"/>
      <c r="W108" s="1290"/>
      <c r="X108" s="1290"/>
      <c r="Y108" s="1290"/>
      <c r="Z108" s="1290"/>
      <c r="AA108" s="1290"/>
      <c r="AB108" s="1290"/>
      <c r="AC108" s="1290"/>
      <c r="AD108" s="1290"/>
      <c r="AE108" s="1290"/>
      <c r="AF108" s="1290"/>
    </row>
    <row r="109" spans="1:32"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3">
      <c r="A110" s="94"/>
      <c r="B110" s="267" t="s">
        <v>4101</v>
      </c>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ht="15" thickBot="1" x14ac:dyDescent="0.35">
      <c r="A112" s="187" t="s">
        <v>4046</v>
      </c>
      <c r="B112" s="557"/>
      <c r="C112" s="94"/>
      <c r="D112" s="94"/>
      <c r="E112" s="94"/>
      <c r="F112" s="94"/>
      <c r="G112" s="94"/>
      <c r="H112" s="94"/>
      <c r="I112" s="94"/>
      <c r="J112" s="94"/>
      <c r="K112" s="558"/>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3">
      <c r="A113" s="3022" t="s">
        <v>224</v>
      </c>
      <c r="B113" s="3023"/>
      <c r="C113" s="3023"/>
      <c r="D113" s="3023"/>
      <c r="E113" s="3023"/>
      <c r="F113" s="3023"/>
      <c r="G113" s="3023"/>
      <c r="H113" s="3023"/>
      <c r="I113" s="3023"/>
      <c r="J113" s="3023"/>
      <c r="K113" s="3023"/>
      <c r="L113" s="3380"/>
      <c r="M113" s="2790" t="s">
        <v>4047</v>
      </c>
      <c r="N113" s="2791"/>
      <c r="O113" s="2791"/>
      <c r="P113" s="2791"/>
      <c r="Q113" s="2791"/>
      <c r="R113" s="2791"/>
      <c r="S113" s="2791"/>
      <c r="T113" s="2802"/>
      <c r="U113" s="1552" t="s">
        <v>4048</v>
      </c>
      <c r="V113" s="2791"/>
      <c r="W113" s="2791"/>
      <c r="X113" s="2791"/>
      <c r="Y113" s="2791"/>
      <c r="Z113" s="2791"/>
      <c r="AA113" s="2791"/>
      <c r="AB113" s="2802"/>
      <c r="AC113" s="2790" t="s">
        <v>2418</v>
      </c>
      <c r="AD113" s="2791"/>
      <c r="AE113" s="2791"/>
      <c r="AF113" s="2802"/>
    </row>
    <row r="114" spans="1:32" ht="16.2" thickBot="1" x14ac:dyDescent="0.4">
      <c r="A114" s="3357"/>
      <c r="B114" s="3358"/>
      <c r="C114" s="3358"/>
      <c r="D114" s="3358"/>
      <c r="E114" s="3358"/>
      <c r="F114" s="3358"/>
      <c r="G114" s="3358"/>
      <c r="H114" s="3358"/>
      <c r="I114" s="3358"/>
      <c r="J114" s="3358"/>
      <c r="K114" s="3358"/>
      <c r="L114" s="3381"/>
      <c r="M114" s="3359" t="s">
        <v>4083</v>
      </c>
      <c r="N114" s="3196"/>
      <c r="O114" s="3196"/>
      <c r="P114" s="3360"/>
      <c r="Q114" s="3361" t="s">
        <v>4084</v>
      </c>
      <c r="R114" s="3196"/>
      <c r="S114" s="3196"/>
      <c r="T114" s="3362"/>
      <c r="U114" s="3361" t="s">
        <v>4085</v>
      </c>
      <c r="V114" s="3196"/>
      <c r="W114" s="3196"/>
      <c r="X114" s="3360"/>
      <c r="Y114" s="3361" t="s">
        <v>4086</v>
      </c>
      <c r="Z114" s="3196"/>
      <c r="AA114" s="3196"/>
      <c r="AB114" s="3362"/>
      <c r="AC114" s="3363" t="s">
        <v>4087</v>
      </c>
      <c r="AD114" s="3364"/>
      <c r="AE114" s="3364"/>
      <c r="AF114" s="3365"/>
    </row>
    <row r="115" spans="1:32" ht="15" thickBot="1" x14ac:dyDescent="0.35">
      <c r="A115" s="3388" t="s">
        <v>944</v>
      </c>
      <c r="B115" s="3389"/>
      <c r="C115" s="3389"/>
      <c r="D115" s="3389"/>
      <c r="E115" s="3389"/>
      <c r="F115" s="3390"/>
      <c r="G115" s="3409" t="s">
        <v>1267</v>
      </c>
      <c r="H115" s="3410"/>
      <c r="I115" s="3410"/>
      <c r="J115" s="3410"/>
      <c r="K115" s="3410"/>
      <c r="L115" s="3410"/>
      <c r="M115" s="3394">
        <f t="shared" ref="M115:M122" si="0">ROUND(Q115*$Q$65,3)</f>
        <v>3.5999999999999997E-2</v>
      </c>
      <c r="N115" s="3395"/>
      <c r="O115" s="3395"/>
      <c r="P115" s="3396"/>
      <c r="Q115" s="3397">
        <f>ROUND(($Q$66-$Q$68)*$Q$69*$Q$70*($Q$71/$Q$73)*$Q$75*($Q$76-$Q$77)*$Q$82*$Q$84/$Q$78/$Q$83,2)</f>
        <v>178.82</v>
      </c>
      <c r="R115" s="3398"/>
      <c r="S115" s="3398"/>
      <c r="T115" s="3399"/>
      <c r="U115" s="3394">
        <f t="shared" ref="U115:U122" si="1">ROUND(Y115*$Q$65,3)</f>
        <v>1.0999999999999999E-2</v>
      </c>
      <c r="V115" s="3395"/>
      <c r="W115" s="3395"/>
      <c r="X115" s="3396"/>
      <c r="Y115" s="3397">
        <f>ROUND(($Q$67-$Q$68)*$Q$69*$Q$70*($Q$71/$Q$73)*$Q$75*($Q$76-$Q$77)*$Q$82*$Q$84/$Q$78/$Q$83,2)</f>
        <v>53.65</v>
      </c>
      <c r="Z115" s="3398"/>
      <c r="AA115" s="3398"/>
      <c r="AB115" s="3399"/>
      <c r="AC115" s="3281">
        <f t="shared" ref="AC115:AC122" si="2">ROUND(Q115*$Q$86+Y115*($Q$87-$Q$86),2)</f>
        <v>912.01</v>
      </c>
      <c r="AD115" s="3281"/>
      <c r="AE115" s="3281"/>
      <c r="AF115" s="3282"/>
    </row>
    <row r="116" spans="1:32" ht="15" thickBot="1" x14ac:dyDescent="0.35">
      <c r="A116" s="3388"/>
      <c r="B116" s="3389"/>
      <c r="C116" s="3389"/>
      <c r="D116" s="3389"/>
      <c r="E116" s="3389"/>
      <c r="F116" s="3390"/>
      <c r="G116" s="3411" t="s">
        <v>3513</v>
      </c>
      <c r="H116" s="3412"/>
      <c r="I116" s="3412"/>
      <c r="J116" s="3412"/>
      <c r="K116" s="3412"/>
      <c r="L116" s="3412"/>
      <c r="M116" s="3401">
        <f t="shared" si="0"/>
        <v>3.5000000000000003E-2</v>
      </c>
      <c r="N116" s="3402"/>
      <c r="O116" s="3402"/>
      <c r="P116" s="3403"/>
      <c r="Q116" s="3404">
        <f>ROUND(($Q$66-$Q$68)*$Q$69*$Q$70*($Q$72/$Q$74)*$Q$75*($Q$76-$Q$77)*$Q$82*$Q$84/$Q$78/$Q$83,2)</f>
        <v>175.63</v>
      </c>
      <c r="R116" s="3405"/>
      <c r="S116" s="3405"/>
      <c r="T116" s="3406"/>
      <c r="U116" s="3401">
        <f t="shared" si="1"/>
        <v>1.0999999999999999E-2</v>
      </c>
      <c r="V116" s="3402"/>
      <c r="W116" s="3402"/>
      <c r="X116" s="3403"/>
      <c r="Y116" s="3404">
        <f>ROUND(($Q$67-$Q$68)*$Q$69*$Q$70*($Q$72/$Q$74)*$Q$75*($Q$76-$Q$77)*$Q$82*$Q$84/$Q$78/$Q$83,2)</f>
        <v>52.69</v>
      </c>
      <c r="Z116" s="3405"/>
      <c r="AA116" s="3405"/>
      <c r="AB116" s="3406"/>
      <c r="AC116" s="3407">
        <f t="shared" si="2"/>
        <v>895.72</v>
      </c>
      <c r="AD116" s="3407"/>
      <c r="AE116" s="3407"/>
      <c r="AF116" s="3408"/>
    </row>
    <row r="117" spans="1:32" ht="15" thickBot="1" x14ac:dyDescent="0.35">
      <c r="A117" s="3388" t="s">
        <v>4049</v>
      </c>
      <c r="B117" s="3389"/>
      <c r="C117" s="3389"/>
      <c r="D117" s="3389"/>
      <c r="E117" s="3389"/>
      <c r="F117" s="3390"/>
      <c r="G117" s="3391" t="s">
        <v>1267</v>
      </c>
      <c r="H117" s="3392"/>
      <c r="I117" s="3392"/>
      <c r="J117" s="3392"/>
      <c r="K117" s="3392"/>
      <c r="L117" s="3393"/>
      <c r="M117" s="3394">
        <f t="shared" si="0"/>
        <v>3.5000000000000003E-2</v>
      </c>
      <c r="N117" s="3395"/>
      <c r="O117" s="3395"/>
      <c r="P117" s="3396"/>
      <c r="Q117" s="3397">
        <f>ROUND(($Q$66-$Q$68)*$Q$69*$Q$70*($Q$71/$Q$73)*$Q$75*($Q$76-$Q$77)*$Q$82*$Q$84/$Q$79/$Q$83,2)</f>
        <v>173.32</v>
      </c>
      <c r="R117" s="3398"/>
      <c r="S117" s="3398"/>
      <c r="T117" s="3399"/>
      <c r="U117" s="3394">
        <f t="shared" si="1"/>
        <v>0.01</v>
      </c>
      <c r="V117" s="3395"/>
      <c r="W117" s="3395"/>
      <c r="X117" s="3396"/>
      <c r="Y117" s="3397">
        <f>ROUND(($Q$67-$Q$68)*$Q$69*$Q$70*($Q$71/$Q$73)*$Q$75*($Q$76-$Q$77)*$Q$82*$Q$84/$Q$79/$Q$83,2)</f>
        <v>52</v>
      </c>
      <c r="Z117" s="3398"/>
      <c r="AA117" s="3398"/>
      <c r="AB117" s="3399"/>
      <c r="AC117" s="3281">
        <f t="shared" si="2"/>
        <v>883.96</v>
      </c>
      <c r="AD117" s="3281"/>
      <c r="AE117" s="3281"/>
      <c r="AF117" s="3282"/>
    </row>
    <row r="118" spans="1:32" ht="15" thickBot="1" x14ac:dyDescent="0.35">
      <c r="A118" s="3388"/>
      <c r="B118" s="3389"/>
      <c r="C118" s="3389"/>
      <c r="D118" s="3389"/>
      <c r="E118" s="3389"/>
      <c r="F118" s="3390"/>
      <c r="G118" s="3285" t="s">
        <v>3513</v>
      </c>
      <c r="H118" s="3342"/>
      <c r="I118" s="3342"/>
      <c r="J118" s="3342"/>
      <c r="K118" s="3342"/>
      <c r="L118" s="3400"/>
      <c r="M118" s="3401">
        <f t="shared" si="0"/>
        <v>3.4000000000000002E-2</v>
      </c>
      <c r="N118" s="3402"/>
      <c r="O118" s="3402"/>
      <c r="P118" s="3403"/>
      <c r="Q118" s="3404">
        <f>ROUND(($Q$66-$Q$68)*$Q$69*$Q$70*($Q$72/$Q$74)*$Q$75*($Q$76-$Q$77)*$Q$82*$Q$84/$Q$79/$Q$83,2)</f>
        <v>170.22</v>
      </c>
      <c r="R118" s="3405"/>
      <c r="S118" s="3405"/>
      <c r="T118" s="3406"/>
      <c r="U118" s="3401">
        <f t="shared" si="1"/>
        <v>0.01</v>
      </c>
      <c r="V118" s="3402"/>
      <c r="W118" s="3402"/>
      <c r="X118" s="3403"/>
      <c r="Y118" s="3404">
        <f>ROUND(($Q$67-$Q$68)*$Q$69*$Q$70*($Q$72/$Q$74)*$Q$75*($Q$76-$Q$77)*$Q$82*$Q$84/$Q$79/$Q$83,2)</f>
        <v>51.07</v>
      </c>
      <c r="Z118" s="3405"/>
      <c r="AA118" s="3405"/>
      <c r="AB118" s="3406"/>
      <c r="AC118" s="3407">
        <f t="shared" si="2"/>
        <v>868.15</v>
      </c>
      <c r="AD118" s="3407"/>
      <c r="AE118" s="3407"/>
      <c r="AF118" s="3408"/>
    </row>
    <row r="119" spans="1:32" ht="15" thickBot="1" x14ac:dyDescent="0.35">
      <c r="A119" s="3388" t="s">
        <v>945</v>
      </c>
      <c r="B119" s="3389"/>
      <c r="C119" s="3389"/>
      <c r="D119" s="3389"/>
      <c r="E119" s="3389"/>
      <c r="F119" s="3390"/>
      <c r="G119" s="3391" t="s">
        <v>1267</v>
      </c>
      <c r="H119" s="3392"/>
      <c r="I119" s="3392"/>
      <c r="J119" s="3392"/>
      <c r="K119" s="3392"/>
      <c r="L119" s="3393"/>
      <c r="M119" s="3394">
        <f t="shared" si="0"/>
        <v>1.2999999999999999E-2</v>
      </c>
      <c r="N119" s="3395"/>
      <c r="O119" s="3395"/>
      <c r="P119" s="3396"/>
      <c r="Q119" s="3397">
        <f>ROUND(($Q$66-$Q$68)*$Q$69*$Q$70*($Q$71/$Q$73)*$Q$75*($Q$76-$Q$77)*$Q$82*$Q$84/$Q$80/$Q$83,2)</f>
        <v>65</v>
      </c>
      <c r="R119" s="3398"/>
      <c r="S119" s="3398"/>
      <c r="T119" s="3399"/>
      <c r="U119" s="3394">
        <f t="shared" si="1"/>
        <v>4.0000000000000001E-3</v>
      </c>
      <c r="V119" s="3395"/>
      <c r="W119" s="3395"/>
      <c r="X119" s="3396"/>
      <c r="Y119" s="3397">
        <f>ROUND(($Q$67-$Q$68)*$Q$69*$Q$70*($Q$71/$Q$73)*$Q$75*($Q$76-$Q$77)*$Q$82*$Q$84/$Q$80/$Q$83,2)</f>
        <v>19.5</v>
      </c>
      <c r="Z119" s="3398"/>
      <c r="AA119" s="3398"/>
      <c r="AB119" s="3399"/>
      <c r="AC119" s="3281">
        <f t="shared" si="2"/>
        <v>331.5</v>
      </c>
      <c r="AD119" s="3281"/>
      <c r="AE119" s="3281"/>
      <c r="AF119" s="3282"/>
    </row>
    <row r="120" spans="1:32" ht="15" thickBot="1" x14ac:dyDescent="0.35">
      <c r="A120" s="3388"/>
      <c r="B120" s="3389"/>
      <c r="C120" s="3389"/>
      <c r="D120" s="3389"/>
      <c r="E120" s="3389"/>
      <c r="F120" s="3390"/>
      <c r="G120" s="3285" t="s">
        <v>3513</v>
      </c>
      <c r="H120" s="3342"/>
      <c r="I120" s="3342"/>
      <c r="J120" s="3342"/>
      <c r="K120" s="3342"/>
      <c r="L120" s="3400"/>
      <c r="M120" s="3401">
        <f t="shared" si="0"/>
        <v>1.2999999999999999E-2</v>
      </c>
      <c r="N120" s="3402"/>
      <c r="O120" s="3402"/>
      <c r="P120" s="3403"/>
      <c r="Q120" s="3404">
        <f>ROUND(($Q$66-$Q$68)*$Q$69*$Q$70*($Q$72/$Q$74)*$Q$75*($Q$76-$Q$77)*$Q$82*$Q$84/$Q$80/$Q$83,2)</f>
        <v>63.83</v>
      </c>
      <c r="R120" s="3405"/>
      <c r="S120" s="3405"/>
      <c r="T120" s="3406"/>
      <c r="U120" s="3401">
        <f t="shared" si="1"/>
        <v>4.0000000000000001E-3</v>
      </c>
      <c r="V120" s="3402"/>
      <c r="W120" s="3402"/>
      <c r="X120" s="3403"/>
      <c r="Y120" s="3404">
        <f>ROUND(($Q$67-$Q$68)*$Q$69*$Q$70*($Q$72/$Q$74)*$Q$75*($Q$76-$Q$77)*$Q$82*$Q$84/$Q$80/$Q$83,2)</f>
        <v>19.149999999999999</v>
      </c>
      <c r="Z120" s="3405"/>
      <c r="AA120" s="3405"/>
      <c r="AB120" s="3406"/>
      <c r="AC120" s="3407">
        <f t="shared" si="2"/>
        <v>325.54000000000002</v>
      </c>
      <c r="AD120" s="3407"/>
      <c r="AE120" s="3407"/>
      <c r="AF120" s="3408"/>
    </row>
    <row r="121" spans="1:32" ht="15" thickBot="1" x14ac:dyDescent="0.35">
      <c r="A121" s="3388" t="s">
        <v>946</v>
      </c>
      <c r="B121" s="3389"/>
      <c r="C121" s="3389"/>
      <c r="D121" s="3389"/>
      <c r="E121" s="3389"/>
      <c r="F121" s="3390"/>
      <c r="G121" s="3391" t="s">
        <v>1267</v>
      </c>
      <c r="H121" s="3392"/>
      <c r="I121" s="3392"/>
      <c r="J121" s="3392"/>
      <c r="K121" s="3392"/>
      <c r="L121" s="3393"/>
      <c r="M121" s="3394">
        <f t="shared" si="0"/>
        <v>5.0000000000000001E-3</v>
      </c>
      <c r="N121" s="3395"/>
      <c r="O121" s="3395"/>
      <c r="P121" s="3396"/>
      <c r="Q121" s="3397">
        <f>ROUND(($Q$66-$Q$68)*$Q$69*$Q$70*($Q$71/$Q$73)*$Q$75*($Q$76-$Q$77)*$Q$82*$Q$84/$Q$81/$Q$83,2)</f>
        <v>26</v>
      </c>
      <c r="R121" s="3398"/>
      <c r="S121" s="3398"/>
      <c r="T121" s="3399"/>
      <c r="U121" s="3394">
        <f t="shared" si="1"/>
        <v>2E-3</v>
      </c>
      <c r="V121" s="3395"/>
      <c r="W121" s="3395"/>
      <c r="X121" s="3396"/>
      <c r="Y121" s="3397">
        <f>ROUND(($Q$67-$Q$68)*$Q$69*$Q$70*($Q$71/$Q$73)*$Q$75*($Q$76-$Q$77)*$Q$82*$Q$84/$Q$81/$Q$83,2)</f>
        <v>7.8</v>
      </c>
      <c r="Z121" s="3398"/>
      <c r="AA121" s="3398"/>
      <c r="AB121" s="3399"/>
      <c r="AC121" s="3281">
        <f t="shared" si="2"/>
        <v>132.6</v>
      </c>
      <c r="AD121" s="3281"/>
      <c r="AE121" s="3281"/>
      <c r="AF121" s="3282"/>
    </row>
    <row r="122" spans="1:32" ht="15" thickBot="1" x14ac:dyDescent="0.35">
      <c r="A122" s="3388"/>
      <c r="B122" s="3389"/>
      <c r="C122" s="3389"/>
      <c r="D122" s="3389"/>
      <c r="E122" s="3389"/>
      <c r="F122" s="3390"/>
      <c r="G122" s="3285" t="s">
        <v>3513</v>
      </c>
      <c r="H122" s="3342"/>
      <c r="I122" s="3342"/>
      <c r="J122" s="3342"/>
      <c r="K122" s="3342"/>
      <c r="L122" s="3400"/>
      <c r="M122" s="3401">
        <f t="shared" si="0"/>
        <v>5.0000000000000001E-3</v>
      </c>
      <c r="N122" s="3402"/>
      <c r="O122" s="3402"/>
      <c r="P122" s="3403"/>
      <c r="Q122" s="3404">
        <f>ROUND(($Q$66-$Q$68)*$Q$69*$Q$70*($Q$72/$Q$74)*$Q$75*($Q$76-$Q$77)*$Q$82*$Q$84/$Q$81/$Q$83,2)</f>
        <v>25.53</v>
      </c>
      <c r="R122" s="3405"/>
      <c r="S122" s="3405"/>
      <c r="T122" s="3406"/>
      <c r="U122" s="3401">
        <f t="shared" si="1"/>
        <v>2E-3</v>
      </c>
      <c r="V122" s="3402"/>
      <c r="W122" s="3402"/>
      <c r="X122" s="3403"/>
      <c r="Y122" s="3404">
        <f>ROUND(($Q$67-$Q$68)*$Q$69*$Q$70*($Q$72/$Q$74)*$Q$75*($Q$76-$Q$77)*$Q$82*$Q$84/$Q$81/$Q$83,2)</f>
        <v>7.66</v>
      </c>
      <c r="Z122" s="3405"/>
      <c r="AA122" s="3405"/>
      <c r="AB122" s="3406"/>
      <c r="AC122" s="3407">
        <f t="shared" si="2"/>
        <v>130.21</v>
      </c>
      <c r="AD122" s="3407"/>
      <c r="AE122" s="3407"/>
      <c r="AF122" s="3408"/>
    </row>
    <row r="123" spans="1:32"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x14ac:dyDescent="0.3">
      <c r="A124" s="94"/>
      <c r="B124" s="498" t="s">
        <v>4050</v>
      </c>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row>
    <row r="125" spans="1:32"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ht="15" thickBot="1" x14ac:dyDescent="0.35">
      <c r="A126" s="276" t="s">
        <v>4051</v>
      </c>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row>
    <row r="127" spans="1:32" x14ac:dyDescent="0.3">
      <c r="A127" s="3022" t="s">
        <v>224</v>
      </c>
      <c r="B127" s="3023"/>
      <c r="C127" s="3023"/>
      <c r="D127" s="3023"/>
      <c r="E127" s="3023"/>
      <c r="F127" s="3380"/>
      <c r="G127" s="3301" t="s">
        <v>1768</v>
      </c>
      <c r="H127" s="3301"/>
      <c r="I127" s="3301"/>
      <c r="J127" s="3301"/>
      <c r="K127" s="3301"/>
      <c r="L127" s="3301"/>
      <c r="M127" s="3301"/>
      <c r="N127" s="3301"/>
      <c r="O127" s="3301" t="s">
        <v>1769</v>
      </c>
      <c r="P127" s="3301"/>
      <c r="Q127" s="3301"/>
      <c r="R127" s="3301"/>
      <c r="S127" s="3301"/>
      <c r="T127" s="3301"/>
      <c r="U127" s="94"/>
      <c r="V127" s="94"/>
      <c r="W127" s="94"/>
      <c r="X127" s="94"/>
      <c r="Y127" s="94"/>
      <c r="Z127" s="94"/>
      <c r="AA127" s="94"/>
      <c r="AB127" s="94"/>
      <c r="AC127" s="94"/>
      <c r="AD127" s="94"/>
      <c r="AE127" s="94"/>
      <c r="AF127" s="94"/>
    </row>
    <row r="128" spans="1:32" ht="16.2" thickBot="1" x14ac:dyDescent="0.4">
      <c r="A128" s="3357"/>
      <c r="B128" s="3358"/>
      <c r="C128" s="3358"/>
      <c r="D128" s="3358"/>
      <c r="E128" s="3358"/>
      <c r="F128" s="3381"/>
      <c r="G128" s="3302" t="s">
        <v>4083</v>
      </c>
      <c r="H128" s="3302"/>
      <c r="I128" s="3302"/>
      <c r="J128" s="3302"/>
      <c r="K128" s="3302" t="s">
        <v>4084</v>
      </c>
      <c r="L128" s="3302"/>
      <c r="M128" s="3302"/>
      <c r="N128" s="3302"/>
      <c r="O128" s="3303" t="s">
        <v>4088</v>
      </c>
      <c r="P128" s="3303"/>
      <c r="Q128" s="3303"/>
      <c r="R128" s="3303"/>
      <c r="S128" s="3303"/>
      <c r="T128" s="3303"/>
      <c r="U128" s="94"/>
      <c r="V128" s="94"/>
      <c r="W128" s="94"/>
      <c r="X128" s="94"/>
      <c r="Y128" s="94"/>
      <c r="Z128" s="94"/>
      <c r="AA128" s="94"/>
      <c r="AB128" s="94"/>
      <c r="AC128" s="94"/>
      <c r="AD128" s="94"/>
      <c r="AE128" s="94"/>
      <c r="AF128" s="94"/>
    </row>
    <row r="129" spans="1:32" ht="15" thickBot="1" x14ac:dyDescent="0.35">
      <c r="A129" s="3382" t="s">
        <v>3523</v>
      </c>
      <c r="B129" s="3382"/>
      <c r="C129" s="3382"/>
      <c r="D129" s="3382"/>
      <c r="E129" s="3382"/>
      <c r="F129" s="3382"/>
      <c r="G129" s="3383">
        <f>ROUND(K129*$Q$65,3)</f>
        <v>1.9E-2</v>
      </c>
      <c r="H129" s="3384"/>
      <c r="I129" s="3384"/>
      <c r="J129" s="3385"/>
      <c r="K129" s="3386">
        <f>ROUND((Q115*$K$94+Q117*$K$95+Q119*$K$96+Q121*$K$97)*$K$103+(Q116*$K$94+Q118*$K$95+Q120*$K$96+Q122*$K$97)*$K$104,3)</f>
        <v>95.486999999999995</v>
      </c>
      <c r="L129" s="3386"/>
      <c r="M129" s="3386"/>
      <c r="N129" s="3386"/>
      <c r="O129" s="3387">
        <f>ROUND(K129*$Q$87,2)</f>
        <v>954.87</v>
      </c>
      <c r="P129" s="3387"/>
      <c r="Q129" s="3387"/>
      <c r="R129" s="3387"/>
      <c r="S129" s="3387"/>
      <c r="T129" s="3387"/>
      <c r="U129" s="94"/>
      <c r="V129" s="94"/>
      <c r="W129" s="94"/>
      <c r="X129" s="94"/>
      <c r="Y129" s="94"/>
      <c r="Z129" s="94"/>
      <c r="AA129" s="94"/>
      <c r="AB129" s="94"/>
      <c r="AC129" s="94"/>
      <c r="AD129" s="94"/>
      <c r="AE129" s="94"/>
      <c r="AF129" s="94"/>
    </row>
    <row r="130" spans="1:32"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row>
    <row r="131" spans="1:32" x14ac:dyDescent="0.3">
      <c r="A131" s="94"/>
      <c r="B131" s="498" t="s">
        <v>4102</v>
      </c>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ht="15" thickBot="1" x14ac:dyDescent="0.35">
      <c r="A133" s="276" t="s">
        <v>4103</v>
      </c>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x14ac:dyDescent="0.3">
      <c r="A134" s="3022" t="s">
        <v>224</v>
      </c>
      <c r="B134" s="3023"/>
      <c r="C134" s="3023"/>
      <c r="D134" s="3023"/>
      <c r="E134" s="3023"/>
      <c r="F134" s="3380"/>
      <c r="G134" s="3301" t="s">
        <v>1768</v>
      </c>
      <c r="H134" s="3301"/>
      <c r="I134" s="3301"/>
      <c r="J134" s="3301"/>
      <c r="K134" s="3301"/>
      <c r="L134" s="3301"/>
      <c r="M134" s="3301"/>
      <c r="N134" s="3301"/>
      <c r="O134" s="3301" t="s">
        <v>1769</v>
      </c>
      <c r="P134" s="3301"/>
      <c r="Q134" s="3301"/>
      <c r="R134" s="3301"/>
      <c r="S134" s="3301"/>
      <c r="T134" s="3301"/>
      <c r="U134" s="94"/>
      <c r="V134" s="94"/>
      <c r="W134" s="94"/>
      <c r="X134" s="94"/>
      <c r="Y134" s="94"/>
      <c r="Z134" s="94"/>
      <c r="AA134" s="94"/>
      <c r="AB134" s="94"/>
      <c r="AC134" s="94"/>
      <c r="AD134" s="94"/>
      <c r="AE134" s="94"/>
      <c r="AF134" s="94"/>
    </row>
    <row r="135" spans="1:32" ht="16.2" thickBot="1" x14ac:dyDescent="0.4">
      <c r="A135" s="3357"/>
      <c r="B135" s="3358"/>
      <c r="C135" s="3358"/>
      <c r="D135" s="3358"/>
      <c r="E135" s="3358"/>
      <c r="F135" s="3381"/>
      <c r="G135" s="3302" t="s">
        <v>4085</v>
      </c>
      <c r="H135" s="3302"/>
      <c r="I135" s="3302"/>
      <c r="J135" s="3302"/>
      <c r="K135" s="3302" t="s">
        <v>4086</v>
      </c>
      <c r="L135" s="3302"/>
      <c r="M135" s="3302"/>
      <c r="N135" s="3302"/>
      <c r="O135" s="3303" t="s">
        <v>4089</v>
      </c>
      <c r="P135" s="3303"/>
      <c r="Q135" s="3303"/>
      <c r="R135" s="3303"/>
      <c r="S135" s="3303"/>
      <c r="T135" s="3303"/>
      <c r="U135" s="94"/>
      <c r="V135" s="94"/>
      <c r="W135" s="94"/>
      <c r="X135" s="94"/>
      <c r="Y135" s="94"/>
      <c r="Z135" s="94"/>
      <c r="AA135" s="94"/>
      <c r="AB135" s="94"/>
      <c r="AC135" s="94"/>
      <c r="AD135" s="94"/>
      <c r="AE135" s="94"/>
      <c r="AF135" s="94"/>
    </row>
    <row r="136" spans="1:32" ht="15" thickBot="1" x14ac:dyDescent="0.35">
      <c r="A136" s="3382" t="s">
        <v>3523</v>
      </c>
      <c r="B136" s="3382"/>
      <c r="C136" s="3382"/>
      <c r="D136" s="3382"/>
      <c r="E136" s="3382"/>
      <c r="F136" s="3382"/>
      <c r="G136" s="3383">
        <f>ROUND(K136*$Q$65,3)</f>
        <v>6.0000000000000001E-3</v>
      </c>
      <c r="H136" s="3384"/>
      <c r="I136" s="3384"/>
      <c r="J136" s="3385"/>
      <c r="K136" s="3386">
        <f>ROUND((Y115*$K$94+Y117*$K$95+Y119*$K$96+Y121*$K$97)*$K$103+(Y116*$K$94+Y118*$K$95+Y120*$K$96+Y122*$K$97)*$K$104,3)</f>
        <v>28.646999999999998</v>
      </c>
      <c r="L136" s="3386"/>
      <c r="M136" s="3386"/>
      <c r="N136" s="3386"/>
      <c r="O136" s="3387">
        <f>ROUND(K136*$Q$87,2)</f>
        <v>286.47000000000003</v>
      </c>
      <c r="P136" s="3387"/>
      <c r="Q136" s="3387"/>
      <c r="R136" s="3387"/>
      <c r="S136" s="3387"/>
      <c r="T136" s="3387"/>
      <c r="U136" s="94"/>
      <c r="V136" s="94"/>
      <c r="W136" s="94"/>
      <c r="X136" s="94"/>
      <c r="Y136" s="94"/>
      <c r="Z136" s="94"/>
      <c r="AA136" s="94"/>
      <c r="AB136" s="94"/>
      <c r="AC136" s="94"/>
      <c r="AD136" s="94"/>
      <c r="AE136" s="94"/>
      <c r="AF136" s="94"/>
    </row>
    <row r="137" spans="1:32" x14ac:dyDescent="0.3">
      <c r="A137" s="552" t="s">
        <v>4104</v>
      </c>
      <c r="B137" s="170"/>
      <c r="C137" s="170"/>
      <c r="D137" s="170"/>
      <c r="E137" s="170"/>
      <c r="F137" s="170"/>
      <c r="G137" s="170"/>
      <c r="H137" s="170"/>
      <c r="I137" s="170"/>
      <c r="J137" s="170"/>
      <c r="K137" s="170"/>
      <c r="L137" s="170"/>
      <c r="M137" s="170"/>
      <c r="N137" s="170"/>
      <c r="O137" s="170"/>
      <c r="P137" s="170"/>
      <c r="Q137" s="170"/>
      <c r="R137" s="170"/>
      <c r="S137" s="170"/>
      <c r="T137" s="170"/>
      <c r="U137" s="170"/>
      <c r="V137" s="94"/>
      <c r="W137" s="94"/>
      <c r="X137" s="94"/>
      <c r="Y137" s="94"/>
      <c r="Z137" s="94"/>
      <c r="AA137" s="94"/>
      <c r="AB137" s="94"/>
      <c r="AC137" s="94"/>
      <c r="AD137" s="94"/>
      <c r="AE137" s="94"/>
      <c r="AF137" s="94"/>
    </row>
    <row r="138" spans="1:32"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row>
    <row r="139" spans="1:32" x14ac:dyDescent="0.3">
      <c r="A139" s="1290" t="s">
        <v>1514</v>
      </c>
      <c r="B139" s="1290"/>
      <c r="C139" s="1290"/>
      <c r="D139" s="1290"/>
      <c r="E139" s="1290"/>
      <c r="F139" s="1290"/>
      <c r="G139" s="1290"/>
      <c r="H139" s="1290"/>
      <c r="I139" s="1290"/>
      <c r="J139" s="1290"/>
      <c r="K139" s="1290"/>
      <c r="L139" s="1290"/>
      <c r="M139" s="1290"/>
      <c r="N139" s="1290"/>
      <c r="O139" s="1290"/>
      <c r="P139" s="1290"/>
      <c r="Q139" s="1290"/>
      <c r="R139" s="1290"/>
      <c r="S139" s="1290"/>
      <c r="T139" s="1290"/>
      <c r="U139" s="1290"/>
      <c r="V139" s="1290"/>
      <c r="W139" s="1290"/>
      <c r="X139" s="1290"/>
      <c r="Y139" s="1290"/>
      <c r="Z139" s="1290"/>
      <c r="AA139" s="1290"/>
      <c r="AB139" s="1290"/>
      <c r="AC139" s="1290"/>
      <c r="AD139" s="1290"/>
      <c r="AE139" s="1290"/>
      <c r="AF139" s="1290"/>
    </row>
    <row r="140" spans="1:32" x14ac:dyDescent="0.3">
      <c r="A140" s="94"/>
      <c r="B140" s="889"/>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row>
    <row r="141" spans="1:32" ht="34.5" customHeight="1" x14ac:dyDescent="0.3">
      <c r="A141" s="370" t="s">
        <v>803</v>
      </c>
      <c r="B141" s="889" t="s">
        <v>4111</v>
      </c>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row>
    <row r="142" spans="1:32" ht="30.75" customHeight="1" x14ac:dyDescent="0.3">
      <c r="A142" s="370" t="s">
        <v>803</v>
      </c>
      <c r="B142" s="889" t="s">
        <v>4055</v>
      </c>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row>
    <row r="143" spans="1:32" ht="35.25" customHeight="1" x14ac:dyDescent="0.3">
      <c r="A143" s="370" t="s">
        <v>803</v>
      </c>
      <c r="B143" s="889" t="s">
        <v>4056</v>
      </c>
      <c r="C143" s="889"/>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row>
    <row r="144" spans="1:32" ht="37.5" customHeight="1" x14ac:dyDescent="0.3">
      <c r="A144" s="370" t="s">
        <v>803</v>
      </c>
      <c r="B144" s="889" t="s">
        <v>4057</v>
      </c>
      <c r="C144" s="889"/>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row>
    <row r="145" spans="1:32" ht="18" customHeight="1" x14ac:dyDescent="0.3">
      <c r="A145" s="370" t="s">
        <v>803</v>
      </c>
      <c r="B145" s="889" t="s">
        <v>4058</v>
      </c>
      <c r="C145" s="889"/>
      <c r="D145" s="889"/>
      <c r="E145" s="889"/>
      <c r="F145" s="889"/>
      <c r="G145" s="889"/>
      <c r="H145" s="889"/>
      <c r="I145" s="889"/>
      <c r="J145" s="889"/>
      <c r="K145" s="889"/>
      <c r="L145" s="889"/>
      <c r="M145" s="889"/>
      <c r="N145" s="889"/>
      <c r="O145" s="889"/>
      <c r="P145" s="889"/>
      <c r="Q145" s="889"/>
      <c r="R145" s="889"/>
      <c r="S145" s="889"/>
      <c r="T145" s="889"/>
      <c r="U145" s="889"/>
      <c r="V145" s="889"/>
      <c r="W145" s="889"/>
      <c r="X145" s="889"/>
      <c r="Y145" s="889"/>
      <c r="Z145" s="889"/>
      <c r="AA145" s="889"/>
      <c r="AB145" s="889"/>
      <c r="AC145" s="889"/>
      <c r="AD145" s="889"/>
      <c r="AE145" s="889"/>
      <c r="AF145" s="889"/>
    </row>
    <row r="146" spans="1:32" ht="32.25" customHeight="1" x14ac:dyDescent="0.3">
      <c r="A146" s="370" t="s">
        <v>803</v>
      </c>
      <c r="B146" s="889" t="s">
        <v>1999</v>
      </c>
      <c r="C146" s="889"/>
      <c r="D146" s="889"/>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c r="AE146" s="889"/>
      <c r="AF146" s="889"/>
    </row>
    <row r="147" spans="1:32" ht="63.75" customHeight="1" x14ac:dyDescent="0.3">
      <c r="A147" s="370" t="s">
        <v>803</v>
      </c>
      <c r="B147" s="889" t="s">
        <v>4059</v>
      </c>
      <c r="C147" s="889"/>
      <c r="D147" s="889"/>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c r="AE147" s="889"/>
      <c r="AF147" s="889"/>
    </row>
    <row r="148" spans="1:32" ht="66.75" customHeight="1" x14ac:dyDescent="0.3">
      <c r="A148" s="370" t="s">
        <v>803</v>
      </c>
      <c r="B148" s="889" t="s">
        <v>4060</v>
      </c>
      <c r="C148" s="889"/>
      <c r="D148" s="889"/>
      <c r="E148" s="889"/>
      <c r="F148" s="889"/>
      <c r="G148" s="889"/>
      <c r="H148" s="889"/>
      <c r="I148" s="889"/>
      <c r="J148" s="889"/>
      <c r="K148" s="889"/>
      <c r="L148" s="889"/>
      <c r="M148" s="889"/>
      <c r="N148" s="889"/>
      <c r="O148" s="889"/>
      <c r="P148" s="889"/>
      <c r="Q148" s="889"/>
      <c r="R148" s="889"/>
      <c r="S148" s="889"/>
      <c r="T148" s="889"/>
      <c r="U148" s="889"/>
      <c r="V148" s="889"/>
      <c r="W148" s="889"/>
      <c r="X148" s="889"/>
      <c r="Y148" s="889"/>
      <c r="Z148" s="889"/>
      <c r="AA148" s="889"/>
      <c r="AB148" s="889"/>
      <c r="AC148" s="889"/>
      <c r="AD148" s="889"/>
      <c r="AE148" s="889"/>
      <c r="AF148" s="889"/>
    </row>
    <row r="149" spans="1:32" ht="64.5" customHeight="1" x14ac:dyDescent="0.3">
      <c r="A149" s="370" t="s">
        <v>803</v>
      </c>
      <c r="B149" s="889" t="s">
        <v>4105</v>
      </c>
      <c r="C149" s="889"/>
      <c r="D149" s="889"/>
      <c r="E149" s="889"/>
      <c r="F149" s="889"/>
      <c r="G149" s="889"/>
      <c r="H149" s="889"/>
      <c r="I149" s="889"/>
      <c r="J149" s="889"/>
      <c r="K149" s="889"/>
      <c r="L149" s="889"/>
      <c r="M149" s="889"/>
      <c r="N149" s="889"/>
      <c r="O149" s="889"/>
      <c r="P149" s="889"/>
      <c r="Q149" s="889"/>
      <c r="R149" s="889"/>
      <c r="S149" s="889"/>
      <c r="T149" s="889"/>
      <c r="U149" s="889"/>
      <c r="V149" s="889"/>
      <c r="W149" s="889"/>
      <c r="X149" s="889"/>
      <c r="Y149" s="889"/>
      <c r="Z149" s="889"/>
      <c r="AA149" s="889"/>
      <c r="AB149" s="889"/>
      <c r="AC149" s="889"/>
      <c r="AD149" s="889"/>
      <c r="AE149" s="889"/>
      <c r="AF149" s="889"/>
    </row>
    <row r="150" spans="1:32" ht="50.25" customHeight="1" x14ac:dyDescent="0.3">
      <c r="A150" s="370" t="s">
        <v>803</v>
      </c>
      <c r="B150" s="889" t="s">
        <v>4061</v>
      </c>
      <c r="C150" s="889"/>
      <c r="D150" s="88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row>
    <row r="151" spans="1:32" ht="48.75" customHeight="1" x14ac:dyDescent="0.3">
      <c r="A151" s="370" t="s">
        <v>803</v>
      </c>
      <c r="B151" s="889" t="s">
        <v>4062</v>
      </c>
      <c r="C151" s="889"/>
      <c r="D151" s="889"/>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row>
    <row r="152" spans="1:32" ht="63.75" customHeight="1" x14ac:dyDescent="0.3">
      <c r="A152" s="370" t="s">
        <v>803</v>
      </c>
      <c r="B152" s="889" t="s">
        <v>4063</v>
      </c>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889"/>
    </row>
    <row r="153" spans="1:32" ht="32.25" customHeight="1" x14ac:dyDescent="0.3">
      <c r="A153" s="370" t="s">
        <v>803</v>
      </c>
      <c r="B153" s="889" t="s">
        <v>4064</v>
      </c>
      <c r="C153" s="889"/>
      <c r="D153" s="889"/>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889"/>
    </row>
    <row r="154" spans="1:32" ht="45.75" customHeight="1" x14ac:dyDescent="0.3">
      <c r="A154" s="370" t="s">
        <v>803</v>
      </c>
      <c r="B154" s="889" t="s">
        <v>4106</v>
      </c>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row>
    <row r="155" spans="1:32" ht="48" customHeight="1" x14ac:dyDescent="0.3">
      <c r="A155" s="370" t="s">
        <v>803</v>
      </c>
      <c r="B155" s="889" t="s">
        <v>4066</v>
      </c>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row>
    <row r="156" spans="1:32" x14ac:dyDescent="0.3">
      <c r="A156" s="370" t="s">
        <v>803</v>
      </c>
      <c r="B156" s="889" t="s">
        <v>4067</v>
      </c>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row>
    <row r="157" spans="1:32" ht="66.75" customHeight="1" x14ac:dyDescent="0.3">
      <c r="A157" s="370" t="s">
        <v>803</v>
      </c>
      <c r="B157" s="889" t="s">
        <v>4068</v>
      </c>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row>
    <row r="158" spans="1:32"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row>
    <row r="159" spans="1:32"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row>
    <row r="160" spans="1:32"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row>
    <row r="161" spans="1:32"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row>
    <row r="162" spans="1:32"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row>
    <row r="163" spans="1:32"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row>
    <row r="164" spans="1:32"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row>
    <row r="165" spans="1:32"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row>
    <row r="166" spans="1:32"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row>
    <row r="167" spans="1:32"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row r="169" spans="1:32"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row>
    <row r="170" spans="1:32" x14ac:dyDescent="0.3">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row>
    <row r="171" spans="1:32" x14ac:dyDescent="0.3">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row>
    <row r="172" spans="1:32"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sheetData>
  <sheetProtection algorithmName="SHA-512" hashValue="4MFiK9dh8aj2IVs68bVvJOiSucgwPUoOBFTYNiJArh9cA6CSWCHpHZ9gH+HOWYRcy0GO6f151waRBCqeO7BUJA==" saltValue="jRyUjfoROCpxWzIDAlIYiA==" spinCount="100000" sheet="1" objects="1" scenarios="1"/>
  <mergeCells count="260">
    <mergeCell ref="A1:AF1"/>
    <mergeCell ref="A7:AF7"/>
    <mergeCell ref="B10:AF10"/>
    <mergeCell ref="B13:AF13"/>
    <mergeCell ref="B16:AF16"/>
    <mergeCell ref="B19:AF19"/>
    <mergeCell ref="A66:D66"/>
    <mergeCell ref="E66:P66"/>
    <mergeCell ref="Q66:T66"/>
    <mergeCell ref="U66:W66"/>
    <mergeCell ref="X66:AF66"/>
    <mergeCell ref="A3:AF3"/>
    <mergeCell ref="B5:AF5"/>
    <mergeCell ref="A63:AF63"/>
    <mergeCell ref="B21:AF21"/>
    <mergeCell ref="B24:AF24"/>
    <mergeCell ref="A27:AF27"/>
    <mergeCell ref="A64:D64"/>
    <mergeCell ref="E64:P64"/>
    <mergeCell ref="Q64:T64"/>
    <mergeCell ref="U64:W64"/>
    <mergeCell ref="X64:AF64"/>
    <mergeCell ref="A65:D65"/>
    <mergeCell ref="E65:P65"/>
    <mergeCell ref="Q65:T65"/>
    <mergeCell ref="U65:W65"/>
    <mergeCell ref="X65:AF65"/>
    <mergeCell ref="X67:AF67"/>
    <mergeCell ref="A68:D68"/>
    <mergeCell ref="E68:P68"/>
    <mergeCell ref="Q68:T68"/>
    <mergeCell ref="U68:W68"/>
    <mergeCell ref="X68:AF68"/>
    <mergeCell ref="A69:D69"/>
    <mergeCell ref="E69:P69"/>
    <mergeCell ref="Q69:T69"/>
    <mergeCell ref="U69:W69"/>
    <mergeCell ref="X69:AF69"/>
    <mergeCell ref="A67:D67"/>
    <mergeCell ref="E67:P67"/>
    <mergeCell ref="Q67:T67"/>
    <mergeCell ref="U67:W67"/>
    <mergeCell ref="A70:D70"/>
    <mergeCell ref="E70:P70"/>
    <mergeCell ref="Q70:T70"/>
    <mergeCell ref="U70:W70"/>
    <mergeCell ref="X70:AF70"/>
    <mergeCell ref="A71:D72"/>
    <mergeCell ref="E71:P71"/>
    <mergeCell ref="Q71:T71"/>
    <mergeCell ref="U71:W72"/>
    <mergeCell ref="X71:AF72"/>
    <mergeCell ref="E72:P72"/>
    <mergeCell ref="Q72:T72"/>
    <mergeCell ref="A73:D74"/>
    <mergeCell ref="E73:P73"/>
    <mergeCell ref="Q73:T73"/>
    <mergeCell ref="U73:W74"/>
    <mergeCell ref="X73:AF74"/>
    <mergeCell ref="E74:P74"/>
    <mergeCell ref="Q74:T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81"/>
    <mergeCell ref="E78:P78"/>
    <mergeCell ref="Q78:T78"/>
    <mergeCell ref="U78:W78"/>
    <mergeCell ref="X78:AF78"/>
    <mergeCell ref="E79:P79"/>
    <mergeCell ref="Q79:T79"/>
    <mergeCell ref="U79:W79"/>
    <mergeCell ref="X79:AF79"/>
    <mergeCell ref="E80:P80"/>
    <mergeCell ref="Q80:T80"/>
    <mergeCell ref="U80:W80"/>
    <mergeCell ref="X80:AF80"/>
    <mergeCell ref="E81:P81"/>
    <mergeCell ref="Q81:T81"/>
    <mergeCell ref="U81:W81"/>
    <mergeCell ref="X81:AF81"/>
    <mergeCell ref="A82:D82"/>
    <mergeCell ref="E82:P82"/>
    <mergeCell ref="Q82:T82"/>
    <mergeCell ref="U82:W82"/>
    <mergeCell ref="X82:AF82"/>
    <mergeCell ref="A83:D83"/>
    <mergeCell ref="E83:P83"/>
    <mergeCell ref="Q83:T83"/>
    <mergeCell ref="U83:W83"/>
    <mergeCell ref="X83:AF83"/>
    <mergeCell ref="A84:D85"/>
    <mergeCell ref="E84:P84"/>
    <mergeCell ref="Q84:T84"/>
    <mergeCell ref="U84:W84"/>
    <mergeCell ref="X84:AF84"/>
    <mergeCell ref="E85:P85"/>
    <mergeCell ref="Q85:T85"/>
    <mergeCell ref="U85:W85"/>
    <mergeCell ref="X85:AF85"/>
    <mergeCell ref="A86:D86"/>
    <mergeCell ref="E86:P86"/>
    <mergeCell ref="Q86:T86"/>
    <mergeCell ref="U86:W86"/>
    <mergeCell ref="X86:AF86"/>
    <mergeCell ref="A87:D87"/>
    <mergeCell ref="E87:P87"/>
    <mergeCell ref="Q87:T87"/>
    <mergeCell ref="U87:W87"/>
    <mergeCell ref="X87:AF87"/>
    <mergeCell ref="A88:AF88"/>
    <mergeCell ref="A89:AF89"/>
    <mergeCell ref="A90:AF90"/>
    <mergeCell ref="A93:J93"/>
    <mergeCell ref="K93:N93"/>
    <mergeCell ref="O93:R93"/>
    <mergeCell ref="S93:V93"/>
    <mergeCell ref="A94:J94"/>
    <mergeCell ref="K94:N94"/>
    <mergeCell ref="O94:R94"/>
    <mergeCell ref="S94:V94"/>
    <mergeCell ref="A95:J95"/>
    <mergeCell ref="K95:N95"/>
    <mergeCell ref="O95:R95"/>
    <mergeCell ref="S95:V95"/>
    <mergeCell ref="A96:J96"/>
    <mergeCell ref="K96:N96"/>
    <mergeCell ref="O96:R96"/>
    <mergeCell ref="S96:V96"/>
    <mergeCell ref="A97:J97"/>
    <mergeCell ref="K97:N97"/>
    <mergeCell ref="O97:R97"/>
    <mergeCell ref="S97:V97"/>
    <mergeCell ref="A98:J98"/>
    <mergeCell ref="K98:N98"/>
    <mergeCell ref="O98:R98"/>
    <mergeCell ref="S98:V98"/>
    <mergeCell ref="A99:J99"/>
    <mergeCell ref="K99:N99"/>
    <mergeCell ref="O99:R99"/>
    <mergeCell ref="S99:V99"/>
    <mergeCell ref="A100:AF100"/>
    <mergeCell ref="A103:J103"/>
    <mergeCell ref="K103:N103"/>
    <mergeCell ref="A104:J104"/>
    <mergeCell ref="K104:N104"/>
    <mergeCell ref="A105:AF105"/>
    <mergeCell ref="A108:AF108"/>
    <mergeCell ref="A113:L114"/>
    <mergeCell ref="M113:T113"/>
    <mergeCell ref="U113:AB113"/>
    <mergeCell ref="AC113:AF113"/>
    <mergeCell ref="M114:P114"/>
    <mergeCell ref="Q114:T114"/>
    <mergeCell ref="U114:X114"/>
    <mergeCell ref="Y114:AB114"/>
    <mergeCell ref="AC114:AF114"/>
    <mergeCell ref="A115:F116"/>
    <mergeCell ref="G115:L115"/>
    <mergeCell ref="M115:P115"/>
    <mergeCell ref="Q115:T115"/>
    <mergeCell ref="U115:X115"/>
    <mergeCell ref="Y115:AB115"/>
    <mergeCell ref="AC115:AF115"/>
    <mergeCell ref="G116:L116"/>
    <mergeCell ref="M116:P116"/>
    <mergeCell ref="Q116:T116"/>
    <mergeCell ref="U116:X116"/>
    <mergeCell ref="Y116:AB116"/>
    <mergeCell ref="AC116:AF116"/>
    <mergeCell ref="A117:F118"/>
    <mergeCell ref="G117:L117"/>
    <mergeCell ref="M117:P117"/>
    <mergeCell ref="Q117:T117"/>
    <mergeCell ref="U117:X117"/>
    <mergeCell ref="Y117:AB117"/>
    <mergeCell ref="AC117:AF117"/>
    <mergeCell ref="G118:L118"/>
    <mergeCell ref="M118:P118"/>
    <mergeCell ref="Q118:T118"/>
    <mergeCell ref="U118:X118"/>
    <mergeCell ref="Y118:AB118"/>
    <mergeCell ref="AC118:AF118"/>
    <mergeCell ref="A119:F120"/>
    <mergeCell ref="G119:L119"/>
    <mergeCell ref="M119:P119"/>
    <mergeCell ref="Q119:T119"/>
    <mergeCell ref="U119:X119"/>
    <mergeCell ref="Y119:AB119"/>
    <mergeCell ref="AC119:AF119"/>
    <mergeCell ref="G120:L120"/>
    <mergeCell ref="M120:P120"/>
    <mergeCell ref="Q120:T120"/>
    <mergeCell ref="U120:X120"/>
    <mergeCell ref="Y120:AB120"/>
    <mergeCell ref="AC120:AF120"/>
    <mergeCell ref="A121:F122"/>
    <mergeCell ref="G121:L121"/>
    <mergeCell ref="M121:P121"/>
    <mergeCell ref="Q121:T121"/>
    <mergeCell ref="U121:X121"/>
    <mergeCell ref="Y121:AB121"/>
    <mergeCell ref="AC121:AF121"/>
    <mergeCell ref="G122:L122"/>
    <mergeCell ref="M122:P122"/>
    <mergeCell ref="Q122:T122"/>
    <mergeCell ref="U122:X122"/>
    <mergeCell ref="Y122:AB122"/>
    <mergeCell ref="AC122:AF122"/>
    <mergeCell ref="A127:F128"/>
    <mergeCell ref="G127:N127"/>
    <mergeCell ref="O127:T127"/>
    <mergeCell ref="G128:J128"/>
    <mergeCell ref="K128:N128"/>
    <mergeCell ref="O128:T128"/>
    <mergeCell ref="A129:F129"/>
    <mergeCell ref="G129:J129"/>
    <mergeCell ref="K129:N129"/>
    <mergeCell ref="O129:T129"/>
    <mergeCell ref="A139:AF139"/>
    <mergeCell ref="B140:AF140"/>
    <mergeCell ref="B141:AF141"/>
    <mergeCell ref="B142:AF142"/>
    <mergeCell ref="B143:AF143"/>
    <mergeCell ref="B144:AF144"/>
    <mergeCell ref="B145:AF145"/>
    <mergeCell ref="B146:AF146"/>
    <mergeCell ref="A134:F135"/>
    <mergeCell ref="G134:N134"/>
    <mergeCell ref="O134:T134"/>
    <mergeCell ref="G135:J135"/>
    <mergeCell ref="K135:N135"/>
    <mergeCell ref="O135:T135"/>
    <mergeCell ref="A136:F136"/>
    <mergeCell ref="G136:J136"/>
    <mergeCell ref="K136:N136"/>
    <mergeCell ref="O136:T136"/>
    <mergeCell ref="B156:AF156"/>
    <mergeCell ref="B157:AF157"/>
    <mergeCell ref="B147:AF147"/>
    <mergeCell ref="B148:AF148"/>
    <mergeCell ref="B149:AF149"/>
    <mergeCell ref="B150:AF150"/>
    <mergeCell ref="B151:AF151"/>
    <mergeCell ref="B152:AF152"/>
    <mergeCell ref="B153:AF153"/>
    <mergeCell ref="B154:AF154"/>
    <mergeCell ref="B155:AF155"/>
  </mergeCells>
  <hyperlinks>
    <hyperlink ref="A2" location="TOC!A1" display="Return to TOC" xr:uid="{00000000-0004-0000-6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9">
    <pageSetUpPr autoPageBreaks="0"/>
  </sheetPr>
  <dimension ref="A1:BK45"/>
  <sheetViews>
    <sheetView showWhiteSpace="0" zoomScaleNormal="100" workbookViewId="0">
      <selection activeCell="A2" sqref="A2"/>
    </sheetView>
  </sheetViews>
  <sheetFormatPr defaultColWidth="2.6640625" defaultRowHeight="14.4" x14ac:dyDescent="0.3"/>
  <sheetData>
    <row r="1" spans="1:32" ht="18" customHeight="1" thickBot="1" x14ac:dyDescent="0.35">
      <c r="A1" s="979" t="s">
        <v>822</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x14ac:dyDescent="0.3">
      <c r="A2" s="228" t="s">
        <v>1456</v>
      </c>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row>
    <row r="7" spans="1:32" x14ac:dyDescent="0.3">
      <c r="A7" s="869" t="s">
        <v>2525</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ht="46.5" customHeight="1" x14ac:dyDescent="0.3">
      <c r="A8" s="868" t="s">
        <v>2524</v>
      </c>
      <c r="B8" s="868"/>
      <c r="C8" s="868"/>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row>
    <row r="9" spans="1:32" x14ac:dyDescent="0.3">
      <c r="A9" s="129"/>
      <c r="B9" s="129"/>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row>
    <row r="10" spans="1:32" ht="63" customHeight="1" x14ac:dyDescent="0.3">
      <c r="A10" s="863" t="s">
        <v>2794</v>
      </c>
      <c r="B10" s="863"/>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row>
    <row r="11" spans="1:32" x14ac:dyDescent="0.3">
      <c r="A11" s="129"/>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94.5" customHeight="1" x14ac:dyDescent="0.3">
      <c r="A12" s="863" t="s">
        <v>2795</v>
      </c>
      <c r="B12" s="863"/>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row>
    <row r="13" spans="1:32" x14ac:dyDescent="0.3">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row>
    <row r="14" spans="1:32" x14ac:dyDescent="0.3">
      <c r="A14" s="869" t="s">
        <v>2526</v>
      </c>
      <c r="B14" s="870"/>
      <c r="C14" s="870"/>
      <c r="D14" s="870"/>
      <c r="E14" s="870"/>
      <c r="F14" s="870"/>
      <c r="G14" s="870"/>
      <c r="H14" s="870"/>
      <c r="I14" s="870"/>
      <c r="J14" s="870"/>
      <c r="K14" s="870"/>
      <c r="L14" s="870"/>
      <c r="M14" s="870"/>
      <c r="N14" s="870"/>
      <c r="O14" s="870"/>
      <c r="P14" s="870"/>
      <c r="Q14" s="870"/>
      <c r="R14" s="870"/>
      <c r="S14" s="870"/>
      <c r="T14" s="870"/>
      <c r="U14" s="870"/>
      <c r="V14" s="870"/>
      <c r="W14" s="870"/>
      <c r="X14" s="870"/>
      <c r="Y14" s="870"/>
      <c r="Z14" s="870"/>
      <c r="AA14" s="870"/>
      <c r="AB14" s="870"/>
      <c r="AC14" s="870"/>
      <c r="AD14" s="870"/>
      <c r="AE14" s="870"/>
      <c r="AF14" s="871"/>
    </row>
    <row r="15" spans="1:32"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ht="49.5" customHeight="1" x14ac:dyDescent="0.3">
      <c r="A16" s="863" t="s">
        <v>2530</v>
      </c>
      <c r="B16" s="863"/>
      <c r="C16" s="863"/>
      <c r="D16" s="863"/>
      <c r="E16" s="863"/>
      <c r="F16" s="863"/>
      <c r="G16" s="863"/>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row>
    <row r="17" spans="1:63" x14ac:dyDescent="0.3">
      <c r="A17" s="129"/>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row>
    <row r="18" spans="1:63" ht="19.5" customHeight="1" x14ac:dyDescent="0.3">
      <c r="A18" s="883" t="s">
        <v>2529</v>
      </c>
      <c r="B18" s="1089"/>
      <c r="C18" s="1089"/>
      <c r="D18" s="1089"/>
      <c r="E18" s="1089"/>
      <c r="F18" s="1089"/>
      <c r="G18" s="1089"/>
      <c r="H18" s="1089"/>
      <c r="I18" s="1089"/>
      <c r="J18" s="1089"/>
      <c r="K18" s="1089"/>
      <c r="L18" s="1089"/>
      <c r="M18" s="1089"/>
      <c r="N18" s="1089"/>
      <c r="O18" s="1089"/>
      <c r="P18" s="1089"/>
      <c r="Q18" s="1089"/>
      <c r="R18" s="1089"/>
      <c r="S18" s="1089"/>
      <c r="T18" s="1089"/>
      <c r="U18" s="1089"/>
      <c r="V18" s="1089"/>
      <c r="W18" s="1089"/>
      <c r="X18" s="1089"/>
      <c r="Y18" s="1089"/>
      <c r="Z18" s="1089"/>
      <c r="AA18" s="1089"/>
      <c r="AB18" s="1089"/>
      <c r="AC18" s="1089"/>
      <c r="AD18" s="1089"/>
      <c r="AE18" s="1089"/>
      <c r="AF18" s="1089"/>
    </row>
    <row r="19" spans="1:63" ht="47.25" customHeight="1" x14ac:dyDescent="0.3">
      <c r="A19" s="1093" t="s">
        <v>46</v>
      </c>
      <c r="B19" s="1094"/>
      <c r="C19" s="1094"/>
      <c r="D19" s="1094"/>
      <c r="E19" s="1094"/>
      <c r="F19" s="1094"/>
      <c r="G19" s="1094"/>
      <c r="H19" s="1095"/>
      <c r="I19" s="1085" t="s">
        <v>1693</v>
      </c>
      <c r="J19" s="1086"/>
      <c r="K19" s="1086"/>
      <c r="L19" s="1086"/>
      <c r="M19" s="1086"/>
      <c r="N19" s="1086"/>
      <c r="O19" s="1086"/>
      <c r="P19" s="1087"/>
      <c r="Q19" s="1085" t="s">
        <v>1718</v>
      </c>
      <c r="R19" s="1086"/>
      <c r="S19" s="1086"/>
      <c r="T19" s="1086"/>
      <c r="U19" s="1086"/>
      <c r="V19" s="1086"/>
      <c r="W19" s="1086"/>
      <c r="X19" s="1087"/>
      <c r="Y19" s="1"/>
      <c r="Z19" s="1"/>
      <c r="AA19" s="1"/>
      <c r="AB19" s="1"/>
      <c r="AC19" s="1"/>
      <c r="AD19" s="1"/>
      <c r="AE19" s="1"/>
      <c r="AF19" s="1"/>
      <c r="AG19" s="1"/>
      <c r="AH19" s="1"/>
      <c r="AR19" s="330"/>
      <c r="AS19" s="330"/>
      <c r="AT19" s="330"/>
      <c r="AU19" s="330"/>
      <c r="AV19" s="330"/>
      <c r="AW19" s="330"/>
      <c r="AX19" s="330"/>
      <c r="AY19" s="330"/>
      <c r="AZ19" s="330"/>
      <c r="BA19" s="330"/>
      <c r="BB19" s="330"/>
      <c r="BC19" s="330"/>
      <c r="BD19" s="330"/>
      <c r="BE19" s="330"/>
      <c r="BF19" s="330"/>
      <c r="BG19" s="330"/>
      <c r="BH19" s="330"/>
      <c r="BI19" s="330"/>
      <c r="BJ19" s="330"/>
      <c r="BK19" s="330"/>
    </row>
    <row r="20" spans="1:63" ht="15.6" x14ac:dyDescent="0.3">
      <c r="A20" s="325"/>
      <c r="B20" s="326"/>
      <c r="C20" s="326"/>
      <c r="D20" s="326"/>
      <c r="E20" s="326"/>
      <c r="F20" s="326"/>
      <c r="G20" s="326"/>
      <c r="H20" s="327"/>
      <c r="I20" s="1090" t="s">
        <v>2527</v>
      </c>
      <c r="J20" s="1091"/>
      <c r="K20" s="1091"/>
      <c r="L20" s="1092"/>
      <c r="M20" s="1090" t="s">
        <v>2528</v>
      </c>
      <c r="N20" s="1091"/>
      <c r="O20" s="1091"/>
      <c r="P20" s="1092"/>
      <c r="Q20" s="1090" t="s">
        <v>2527</v>
      </c>
      <c r="R20" s="1091"/>
      <c r="S20" s="1091"/>
      <c r="T20" s="1092"/>
      <c r="U20" s="1090" t="s">
        <v>2528</v>
      </c>
      <c r="V20" s="1091"/>
      <c r="W20" s="1091"/>
      <c r="X20" s="1092"/>
      <c r="Y20" s="1"/>
      <c r="Z20" s="1"/>
      <c r="AA20" s="1"/>
      <c r="AB20" s="1"/>
      <c r="AC20" s="1"/>
      <c r="AD20" s="1"/>
      <c r="AE20" s="1"/>
      <c r="AF20" s="1"/>
      <c r="AG20" s="1"/>
      <c r="AH20" s="1"/>
      <c r="AR20" s="330"/>
      <c r="AS20" s="330"/>
      <c r="AT20" s="330"/>
      <c r="AU20" s="330"/>
      <c r="AV20" s="330"/>
      <c r="AW20" s="330"/>
      <c r="AX20" s="330"/>
      <c r="AY20" s="330"/>
      <c r="AZ20" s="330"/>
      <c r="BA20" s="330"/>
      <c r="BB20" s="330"/>
      <c r="BC20" s="330"/>
      <c r="BD20" s="330"/>
      <c r="BE20" s="330"/>
      <c r="BF20" s="330"/>
      <c r="BG20" s="330"/>
      <c r="BH20" s="330"/>
      <c r="BI20" s="330"/>
      <c r="BJ20" s="330"/>
      <c r="BK20" s="330"/>
    </row>
    <row r="21" spans="1:63" x14ac:dyDescent="0.3">
      <c r="A21" s="1076" t="s">
        <v>2520</v>
      </c>
      <c r="B21" s="1077"/>
      <c r="C21" s="1077"/>
      <c r="D21" s="1077"/>
      <c r="E21" s="1077"/>
      <c r="F21" s="1077"/>
      <c r="G21" s="1077"/>
      <c r="H21" s="1078"/>
      <c r="I21" s="1079">
        <v>1.25</v>
      </c>
      <c r="J21" s="1080"/>
      <c r="K21" s="1080"/>
      <c r="L21" s="1081"/>
      <c r="M21" s="1079">
        <v>1.1299999999999999</v>
      </c>
      <c r="N21" s="1080"/>
      <c r="O21" s="1080"/>
      <c r="P21" s="1081"/>
      <c r="Q21" s="1079">
        <v>1.26</v>
      </c>
      <c r="R21" s="1080"/>
      <c r="S21" s="1080"/>
      <c r="T21" s="1081"/>
      <c r="U21" s="1079">
        <v>1.1299999999999999</v>
      </c>
      <c r="V21" s="1080"/>
      <c r="W21" s="1080"/>
      <c r="X21" s="1081"/>
      <c r="Y21" s="1"/>
      <c r="Z21" s="1"/>
      <c r="AA21" s="1"/>
      <c r="AB21" s="1"/>
      <c r="AC21" s="1"/>
      <c r="AD21" s="1"/>
      <c r="AE21" s="1"/>
      <c r="AF21" s="1"/>
      <c r="AG21" s="1"/>
      <c r="AH21" s="1"/>
      <c r="AR21" s="330"/>
      <c r="AS21" s="330"/>
      <c r="AT21" s="330"/>
      <c r="AU21" s="330"/>
      <c r="AV21" s="330"/>
      <c r="AW21" s="330"/>
      <c r="AX21" s="330"/>
      <c r="AY21" s="330"/>
      <c r="AZ21" s="330"/>
      <c r="BA21" s="330"/>
      <c r="BB21" s="330"/>
      <c r="BC21" s="330"/>
      <c r="BD21" s="330"/>
      <c r="BE21" s="330"/>
      <c r="BF21" s="330"/>
      <c r="BG21" s="330"/>
      <c r="BH21" s="330"/>
      <c r="BI21" s="330"/>
      <c r="BJ21" s="330"/>
      <c r="BK21" s="330"/>
    </row>
    <row r="22" spans="1:63" x14ac:dyDescent="0.3">
      <c r="A22" s="1076" t="s">
        <v>211</v>
      </c>
      <c r="B22" s="1077"/>
      <c r="C22" s="1077"/>
      <c r="D22" s="1077"/>
      <c r="E22" s="1077"/>
      <c r="F22" s="1077"/>
      <c r="G22" s="1077"/>
      <c r="H22" s="1078"/>
      <c r="I22" s="1079">
        <v>1.26</v>
      </c>
      <c r="J22" s="1080"/>
      <c r="K22" s="1080"/>
      <c r="L22" s="1081"/>
      <c r="M22" s="1079">
        <v>1.56</v>
      </c>
      <c r="N22" s="1080"/>
      <c r="O22" s="1080"/>
      <c r="P22" s="1081"/>
      <c r="Q22" s="1079">
        <v>1.25</v>
      </c>
      <c r="R22" s="1080"/>
      <c r="S22" s="1080"/>
      <c r="T22" s="1081"/>
      <c r="U22" s="1079">
        <v>1.62</v>
      </c>
      <c r="V22" s="1080"/>
      <c r="W22" s="1080"/>
      <c r="X22" s="1081"/>
      <c r="Y22" s="1"/>
      <c r="Z22" s="1"/>
      <c r="AA22" s="1"/>
      <c r="AB22" s="1"/>
      <c r="AC22" s="1"/>
      <c r="AD22" s="1"/>
      <c r="AE22" s="1"/>
      <c r="AF22" s="1"/>
      <c r="AG22" s="1"/>
      <c r="AH22" s="1"/>
      <c r="AR22" s="342"/>
      <c r="AS22" s="342"/>
      <c r="AT22" s="342"/>
      <c r="AU22" s="342"/>
      <c r="AV22" s="342"/>
      <c r="AW22" s="342"/>
      <c r="AX22" s="342"/>
      <c r="AY22" s="342"/>
      <c r="AZ22" s="342"/>
      <c r="BA22" s="342"/>
      <c r="BB22" s="342"/>
      <c r="BC22" s="342"/>
      <c r="BD22" s="342"/>
      <c r="BE22" s="342"/>
      <c r="BF22" s="342"/>
      <c r="BG22" s="342"/>
      <c r="BH22" s="342"/>
      <c r="BI22" s="342"/>
      <c r="BJ22" s="342"/>
      <c r="BK22" s="342"/>
    </row>
    <row r="23" spans="1:63" x14ac:dyDescent="0.3">
      <c r="A23" s="1076" t="s">
        <v>212</v>
      </c>
      <c r="B23" s="1077"/>
      <c r="C23" s="1077"/>
      <c r="D23" s="1077"/>
      <c r="E23" s="1077"/>
      <c r="F23" s="1077"/>
      <c r="G23" s="1077"/>
      <c r="H23" s="1078"/>
      <c r="I23" s="1079">
        <v>1.3</v>
      </c>
      <c r="J23" s="1080"/>
      <c r="K23" s="1080"/>
      <c r="L23" s="1081"/>
      <c r="M23" s="1079">
        <v>1.25</v>
      </c>
      <c r="N23" s="1080"/>
      <c r="O23" s="1080"/>
      <c r="P23" s="1081"/>
      <c r="Q23" s="1079">
        <v>1.31</v>
      </c>
      <c r="R23" s="1080"/>
      <c r="S23" s="1080"/>
      <c r="T23" s="1081"/>
      <c r="U23" s="1079">
        <v>1.25</v>
      </c>
      <c r="V23" s="1080"/>
      <c r="W23" s="1080"/>
      <c r="X23" s="1081"/>
      <c r="Y23" s="1"/>
      <c r="Z23" s="1"/>
      <c r="AA23" s="1"/>
      <c r="AB23" s="1"/>
      <c r="AC23" s="1"/>
      <c r="AD23" s="1"/>
      <c r="AE23" s="1"/>
      <c r="AF23" s="1"/>
      <c r="AG23" s="1"/>
      <c r="AH23" s="1"/>
      <c r="AR23" s="342"/>
      <c r="AS23" s="342"/>
      <c r="AT23" s="342"/>
      <c r="AU23" s="342"/>
      <c r="AV23" s="347"/>
      <c r="AW23" s="347"/>
      <c r="AX23" s="347"/>
      <c r="AY23" s="347"/>
      <c r="AZ23" s="347"/>
      <c r="BA23" s="347"/>
      <c r="BB23" s="347"/>
      <c r="BC23" s="347"/>
      <c r="BD23" s="347"/>
      <c r="BE23" s="347"/>
      <c r="BF23" s="347"/>
      <c r="BG23" s="347"/>
      <c r="BH23" s="347"/>
      <c r="BI23" s="347"/>
      <c r="BJ23" s="347"/>
      <c r="BK23" s="347"/>
    </row>
    <row r="24" spans="1:63" x14ac:dyDescent="0.3">
      <c r="A24" s="1076" t="s">
        <v>213</v>
      </c>
      <c r="B24" s="1077"/>
      <c r="C24" s="1077"/>
      <c r="D24" s="1077"/>
      <c r="E24" s="1077"/>
      <c r="F24" s="1077"/>
      <c r="G24" s="1077"/>
      <c r="H24" s="1078"/>
      <c r="I24" s="1079">
        <v>1.1100000000000001</v>
      </c>
      <c r="J24" s="1080"/>
      <c r="K24" s="1080"/>
      <c r="L24" s="1081"/>
      <c r="M24" s="1079">
        <v>1.1399999999999999</v>
      </c>
      <c r="N24" s="1080"/>
      <c r="O24" s="1080"/>
      <c r="P24" s="1081"/>
      <c r="Q24" s="1079">
        <v>1.0900000000000001</v>
      </c>
      <c r="R24" s="1080"/>
      <c r="S24" s="1080"/>
      <c r="T24" s="1081"/>
      <c r="U24" s="1079">
        <v>1.1399999999999999</v>
      </c>
      <c r="V24" s="1080"/>
      <c r="W24" s="1080"/>
      <c r="X24" s="1081"/>
      <c r="Y24" s="1"/>
      <c r="Z24" s="1"/>
      <c r="AA24" s="1"/>
      <c r="AB24" s="1"/>
      <c r="AC24" s="1"/>
      <c r="AD24" s="1"/>
      <c r="AE24" s="1"/>
      <c r="AF24" s="1"/>
      <c r="AG24" s="1"/>
      <c r="AH24" s="1"/>
      <c r="AR24" s="343"/>
      <c r="AS24" s="343"/>
      <c r="AT24" s="343"/>
      <c r="AU24" s="343"/>
      <c r="AV24" s="344"/>
      <c r="AW24" s="344"/>
      <c r="AX24" s="344"/>
      <c r="AY24" s="344"/>
      <c r="AZ24" s="344"/>
      <c r="BA24" s="344"/>
      <c r="BB24" s="344"/>
      <c r="BC24" s="344"/>
      <c r="BD24" s="344"/>
      <c r="BE24" s="344"/>
      <c r="BF24" s="344"/>
      <c r="BG24" s="344"/>
      <c r="BH24" s="344"/>
      <c r="BI24" s="344"/>
      <c r="BJ24" s="344"/>
      <c r="BK24" s="344"/>
    </row>
    <row r="25" spans="1:63" x14ac:dyDescent="0.3">
      <c r="A25" s="1076" t="s">
        <v>214</v>
      </c>
      <c r="B25" s="1077"/>
      <c r="C25" s="1077"/>
      <c r="D25" s="1077"/>
      <c r="E25" s="1077"/>
      <c r="F25" s="1077"/>
      <c r="G25" s="1077"/>
      <c r="H25" s="1078"/>
      <c r="I25" s="1079">
        <v>1.23</v>
      </c>
      <c r="J25" s="1080"/>
      <c r="K25" s="1080"/>
      <c r="L25" s="1081"/>
      <c r="M25" s="1079">
        <v>1.1399999999999999</v>
      </c>
      <c r="N25" s="1080"/>
      <c r="O25" s="1080"/>
      <c r="P25" s="1081"/>
      <c r="Q25" s="1079">
        <v>1.24</v>
      </c>
      <c r="R25" s="1080"/>
      <c r="S25" s="1080"/>
      <c r="T25" s="1081"/>
      <c r="U25" s="1079">
        <v>1.1499999999999999</v>
      </c>
      <c r="V25" s="1080"/>
      <c r="W25" s="1080"/>
      <c r="X25" s="1081"/>
      <c r="Y25" s="1"/>
      <c r="Z25" s="1"/>
      <c r="AA25" s="1"/>
      <c r="AB25" s="1"/>
      <c r="AC25" s="1"/>
      <c r="AD25" s="1"/>
      <c r="AE25" s="1"/>
      <c r="AF25" s="1"/>
      <c r="AG25" s="1"/>
      <c r="AH25" s="1"/>
      <c r="AR25" s="343"/>
      <c r="AS25" s="343"/>
      <c r="AT25" s="343"/>
      <c r="AU25" s="343"/>
      <c r="AV25" s="344"/>
      <c r="AW25" s="344"/>
      <c r="AX25" s="344"/>
      <c r="AY25" s="344"/>
      <c r="AZ25" s="344"/>
      <c r="BA25" s="344"/>
      <c r="BB25" s="344"/>
      <c r="BC25" s="344"/>
      <c r="BD25" s="344"/>
      <c r="BE25" s="344"/>
      <c r="BF25" s="344"/>
      <c r="BG25" s="344"/>
      <c r="BH25" s="344"/>
      <c r="BI25" s="344"/>
      <c r="BJ25" s="344"/>
      <c r="BK25" s="344"/>
    </row>
    <row r="26" spans="1:63" x14ac:dyDescent="0.3">
      <c r="A26" s="1076" t="s">
        <v>215</v>
      </c>
      <c r="B26" s="1077"/>
      <c r="C26" s="1077"/>
      <c r="D26" s="1077"/>
      <c r="E26" s="1077"/>
      <c r="F26" s="1077"/>
      <c r="G26" s="1077"/>
      <c r="H26" s="1078"/>
      <c r="I26" s="1079">
        <v>1.27</v>
      </c>
      <c r="J26" s="1080"/>
      <c r="K26" s="1080"/>
      <c r="L26" s="1081"/>
      <c r="M26" s="1079">
        <v>1.38</v>
      </c>
      <c r="N26" s="1080"/>
      <c r="O26" s="1080"/>
      <c r="P26" s="1081"/>
      <c r="Q26" s="1079">
        <v>1.27</v>
      </c>
      <c r="R26" s="1080"/>
      <c r="S26" s="1080"/>
      <c r="T26" s="1081"/>
      <c r="U26" s="1079">
        <v>1.36</v>
      </c>
      <c r="V26" s="1080"/>
      <c r="W26" s="1080"/>
      <c r="X26" s="1081"/>
      <c r="Y26" s="1"/>
      <c r="Z26" s="1"/>
      <c r="AA26" s="1"/>
      <c r="AB26" s="1"/>
      <c r="AC26" s="1"/>
      <c r="AD26" s="1"/>
      <c r="AE26" s="1"/>
      <c r="AF26" s="1"/>
      <c r="AG26" s="1"/>
      <c r="AH26" s="1"/>
      <c r="AR26" s="343"/>
      <c r="AS26" s="343"/>
      <c r="AT26" s="343"/>
      <c r="AU26" s="343"/>
      <c r="AV26" s="344"/>
      <c r="AW26" s="344"/>
      <c r="AX26" s="344"/>
      <c r="AY26" s="344"/>
      <c r="AZ26" s="344"/>
      <c r="BA26" s="344"/>
      <c r="BB26" s="344"/>
      <c r="BC26" s="344"/>
      <c r="BD26" s="344"/>
      <c r="BE26" s="344"/>
      <c r="BF26" s="344"/>
      <c r="BG26" s="344"/>
      <c r="BH26" s="344"/>
      <c r="BI26" s="344"/>
      <c r="BJ26" s="344"/>
      <c r="BK26" s="344"/>
    </row>
    <row r="27" spans="1:63" x14ac:dyDescent="0.3">
      <c r="A27" s="1076" t="s">
        <v>216</v>
      </c>
      <c r="B27" s="1077"/>
      <c r="C27" s="1077"/>
      <c r="D27" s="1077"/>
      <c r="E27" s="1077"/>
      <c r="F27" s="1077"/>
      <c r="G27" s="1077"/>
      <c r="H27" s="1078"/>
      <c r="I27" s="1079">
        <v>1.19</v>
      </c>
      <c r="J27" s="1080"/>
      <c r="K27" s="1080"/>
      <c r="L27" s="1081"/>
      <c r="M27" s="1079">
        <v>1.1200000000000001</v>
      </c>
      <c r="N27" s="1080"/>
      <c r="O27" s="1080"/>
      <c r="P27" s="1081"/>
      <c r="Q27" s="1079">
        <v>1.2</v>
      </c>
      <c r="R27" s="1080"/>
      <c r="S27" s="1080"/>
      <c r="T27" s="1081"/>
      <c r="U27" s="1079">
        <v>1.1299999999999999</v>
      </c>
      <c r="V27" s="1080"/>
      <c r="W27" s="1080"/>
      <c r="X27" s="1081"/>
      <c r="Y27" s="1"/>
      <c r="Z27" s="1"/>
      <c r="AA27" s="1"/>
      <c r="AB27" s="1"/>
      <c r="AC27" s="1"/>
      <c r="AD27" s="1"/>
      <c r="AE27" s="1"/>
      <c r="AF27" s="1"/>
      <c r="AG27" s="1"/>
      <c r="AH27" s="1"/>
      <c r="AR27" s="343"/>
      <c r="AS27" s="343"/>
      <c r="AT27" s="343"/>
      <c r="AU27" s="343"/>
      <c r="AV27" s="344"/>
      <c r="AW27" s="344"/>
      <c r="AX27" s="344"/>
      <c r="AY27" s="344"/>
      <c r="AZ27" s="344"/>
      <c r="BA27" s="344"/>
      <c r="BB27" s="344"/>
      <c r="BC27" s="344"/>
      <c r="BD27" s="344"/>
      <c r="BE27" s="344"/>
      <c r="BF27" s="344"/>
      <c r="BG27" s="344"/>
      <c r="BH27" s="344"/>
      <c r="BI27" s="344"/>
      <c r="BJ27" s="344"/>
      <c r="BK27" s="344"/>
    </row>
    <row r="28" spans="1:63" x14ac:dyDescent="0.3">
      <c r="A28" s="1076" t="s">
        <v>47</v>
      </c>
      <c r="B28" s="1077"/>
      <c r="C28" s="1077"/>
      <c r="D28" s="1077"/>
      <c r="E28" s="1077"/>
      <c r="F28" s="1077"/>
      <c r="G28" s="1077"/>
      <c r="H28" s="1078"/>
      <c r="I28" s="1079">
        <v>1.08</v>
      </c>
      <c r="J28" s="1080"/>
      <c r="K28" s="1080"/>
      <c r="L28" s="1081"/>
      <c r="M28" s="1079">
        <v>1.25</v>
      </c>
      <c r="N28" s="1080"/>
      <c r="O28" s="1080"/>
      <c r="P28" s="1081"/>
      <c r="Q28" s="1079">
        <v>1.07</v>
      </c>
      <c r="R28" s="1080"/>
      <c r="S28" s="1080"/>
      <c r="T28" s="1081"/>
      <c r="U28" s="1079">
        <v>1.26</v>
      </c>
      <c r="V28" s="1080"/>
      <c r="W28" s="1080"/>
      <c r="X28" s="1081"/>
      <c r="Y28" s="1"/>
      <c r="Z28" s="1"/>
      <c r="AA28" s="1"/>
      <c r="AB28" s="1"/>
      <c r="AC28" s="1"/>
      <c r="AD28" s="1"/>
      <c r="AE28" s="1"/>
      <c r="AF28" s="1"/>
      <c r="AG28" s="1"/>
      <c r="AH28" s="1"/>
      <c r="AR28" s="343"/>
      <c r="AS28" s="343"/>
      <c r="AT28" s="343"/>
      <c r="AU28" s="343"/>
      <c r="AV28" s="344"/>
      <c r="AW28" s="344"/>
      <c r="AX28" s="344"/>
      <c r="AY28" s="344"/>
      <c r="AZ28" s="344"/>
      <c r="BA28" s="344"/>
      <c r="BB28" s="344"/>
      <c r="BC28" s="344"/>
      <c r="BD28" s="344"/>
      <c r="BE28" s="344"/>
      <c r="BF28" s="344"/>
      <c r="BG28" s="344"/>
      <c r="BH28" s="344"/>
      <c r="BI28" s="344"/>
      <c r="BJ28" s="344"/>
      <c r="BK28" s="344"/>
    </row>
    <row r="29" spans="1:63" x14ac:dyDescent="0.3">
      <c r="A29" s="1076" t="s">
        <v>217</v>
      </c>
      <c r="B29" s="1077"/>
      <c r="C29" s="1077"/>
      <c r="D29" s="1077"/>
      <c r="E29" s="1077"/>
      <c r="F29" s="1077"/>
      <c r="G29" s="1077"/>
      <c r="H29" s="1078"/>
      <c r="I29" s="1079">
        <v>1.22</v>
      </c>
      <c r="J29" s="1080"/>
      <c r="K29" s="1080"/>
      <c r="L29" s="1081"/>
      <c r="M29" s="1079">
        <v>1.28</v>
      </c>
      <c r="N29" s="1080"/>
      <c r="O29" s="1080"/>
      <c r="P29" s="1081"/>
      <c r="Q29" s="1079">
        <v>1.24</v>
      </c>
      <c r="R29" s="1080"/>
      <c r="S29" s="1080"/>
      <c r="T29" s="1081"/>
      <c r="U29" s="1079">
        <v>1.28</v>
      </c>
      <c r="V29" s="1080"/>
      <c r="W29" s="1080"/>
      <c r="X29" s="1081"/>
      <c r="Y29" s="1"/>
      <c r="Z29" s="1"/>
      <c r="AA29" s="1"/>
      <c r="AB29" s="1"/>
      <c r="AC29" s="1"/>
      <c r="AD29" s="1"/>
      <c r="AE29" s="1"/>
      <c r="AF29" s="1"/>
      <c r="AG29" s="1"/>
      <c r="AH29" s="1"/>
      <c r="AR29" s="343"/>
      <c r="AS29" s="343"/>
      <c r="AT29" s="343"/>
      <c r="AU29" s="343"/>
      <c r="AV29" s="344"/>
      <c r="AW29" s="344"/>
      <c r="AX29" s="344"/>
      <c r="AY29" s="344"/>
      <c r="AZ29" s="344"/>
      <c r="BA29" s="344"/>
      <c r="BB29" s="344"/>
      <c r="BC29" s="344"/>
      <c r="BD29" s="344"/>
      <c r="BE29" s="344"/>
      <c r="BF29" s="344"/>
      <c r="BG29" s="344"/>
      <c r="BH29" s="344"/>
      <c r="BI29" s="344"/>
      <c r="BJ29" s="344"/>
      <c r="BK29" s="344"/>
    </row>
    <row r="30" spans="1:63" x14ac:dyDescent="0.3">
      <c r="A30" s="1076" t="s">
        <v>218</v>
      </c>
      <c r="B30" s="1077"/>
      <c r="C30" s="1077"/>
      <c r="D30" s="1077"/>
      <c r="E30" s="1077"/>
      <c r="F30" s="1077"/>
      <c r="G30" s="1077"/>
      <c r="H30" s="1078"/>
      <c r="I30" s="1079">
        <v>1.39</v>
      </c>
      <c r="J30" s="1080"/>
      <c r="K30" s="1080"/>
      <c r="L30" s="1081"/>
      <c r="M30" s="1079">
        <v>1.1399999999999999</v>
      </c>
      <c r="N30" s="1080"/>
      <c r="O30" s="1080"/>
      <c r="P30" s="1081"/>
      <c r="Q30" s="1079">
        <v>1.36</v>
      </c>
      <c r="R30" s="1080"/>
      <c r="S30" s="1080"/>
      <c r="T30" s="1081"/>
      <c r="U30" s="1079">
        <v>1.1499999999999999</v>
      </c>
      <c r="V30" s="1080"/>
      <c r="W30" s="1080"/>
      <c r="X30" s="1081"/>
      <c r="Y30" s="1"/>
      <c r="Z30" s="1"/>
      <c r="AA30" s="1"/>
      <c r="AB30" s="1"/>
      <c r="AC30" s="1"/>
      <c r="AD30" s="1"/>
      <c r="AE30" s="1"/>
      <c r="AF30" s="1"/>
      <c r="AG30" s="1"/>
      <c r="AH30" s="1"/>
      <c r="AR30" s="343"/>
      <c r="AS30" s="343"/>
      <c r="AT30" s="343"/>
      <c r="AU30" s="343"/>
      <c r="AV30" s="344"/>
      <c r="AW30" s="344"/>
      <c r="AX30" s="344"/>
      <c r="AY30" s="344"/>
      <c r="AZ30" s="344"/>
      <c r="BA30" s="344"/>
      <c r="BB30" s="344"/>
      <c r="BC30" s="344"/>
      <c r="BD30" s="344"/>
      <c r="BE30" s="344"/>
      <c r="BF30" s="344"/>
      <c r="BG30" s="344"/>
      <c r="BH30" s="344"/>
      <c r="BI30" s="344"/>
      <c r="BJ30" s="344"/>
      <c r="BK30" s="344"/>
    </row>
    <row r="31" spans="1:63" x14ac:dyDescent="0.3">
      <c r="A31" s="1076" t="s">
        <v>219</v>
      </c>
      <c r="B31" s="1077"/>
      <c r="C31" s="1077"/>
      <c r="D31" s="1077"/>
      <c r="E31" s="1077"/>
      <c r="F31" s="1077"/>
      <c r="G31" s="1077"/>
      <c r="H31" s="1078"/>
      <c r="I31" s="1079">
        <v>1.1499999999999999</v>
      </c>
      <c r="J31" s="1080"/>
      <c r="K31" s="1080"/>
      <c r="L31" s="1081"/>
      <c r="M31" s="1079">
        <v>1.01</v>
      </c>
      <c r="N31" s="1080"/>
      <c r="O31" s="1080"/>
      <c r="P31" s="1081"/>
      <c r="Q31" s="1079">
        <v>1.1599999999999999</v>
      </c>
      <c r="R31" s="1080"/>
      <c r="S31" s="1080"/>
      <c r="T31" s="1081"/>
      <c r="U31" s="1079">
        <v>1.01</v>
      </c>
      <c r="V31" s="1080"/>
      <c r="W31" s="1080"/>
      <c r="X31" s="1081"/>
      <c r="Y31" s="1"/>
      <c r="Z31" s="1"/>
      <c r="AA31" s="1"/>
      <c r="AB31" s="1"/>
      <c r="AC31" s="1"/>
      <c r="AD31" s="1"/>
      <c r="AE31" s="1"/>
      <c r="AF31" s="1"/>
      <c r="AG31" s="1"/>
      <c r="AH31" s="1"/>
      <c r="AR31" s="343"/>
      <c r="AS31" s="343"/>
      <c r="AT31" s="343"/>
      <c r="AU31" s="343"/>
      <c r="AV31" s="344"/>
      <c r="AW31" s="344"/>
      <c r="AX31" s="344"/>
      <c r="AY31" s="344"/>
      <c r="AZ31" s="344"/>
      <c r="BA31" s="344"/>
      <c r="BB31" s="344"/>
      <c r="BC31" s="344"/>
      <c r="BD31" s="344"/>
      <c r="BE31" s="344"/>
      <c r="BF31" s="344"/>
      <c r="BG31" s="344"/>
      <c r="BH31" s="344"/>
      <c r="BI31" s="344"/>
      <c r="BJ31" s="344"/>
      <c r="BK31" s="344"/>
    </row>
    <row r="32" spans="1:63" x14ac:dyDescent="0.3">
      <c r="A32" s="1083" t="s">
        <v>830</v>
      </c>
      <c r="B32" s="1083"/>
      <c r="C32" s="1083"/>
      <c r="D32" s="1083"/>
      <c r="E32" s="1083"/>
      <c r="F32" s="1083"/>
      <c r="G32" s="1083"/>
      <c r="H32" s="1083"/>
      <c r="I32" s="1083"/>
      <c r="J32" s="1083"/>
      <c r="K32" s="1083"/>
      <c r="L32" s="1083"/>
      <c r="M32" s="1083"/>
      <c r="N32" s="1083"/>
      <c r="O32" s="1083"/>
      <c r="P32" s="1083"/>
      <c r="Q32" s="1083"/>
      <c r="R32" s="1083"/>
      <c r="S32" s="1083"/>
      <c r="T32" s="1083"/>
      <c r="U32" s="131"/>
      <c r="V32" s="131"/>
      <c r="W32" s="131"/>
      <c r="X32" s="131"/>
      <c r="Y32" s="1"/>
      <c r="Z32" s="1"/>
      <c r="AA32" s="1"/>
      <c r="AB32" s="1"/>
      <c r="AC32" s="1"/>
      <c r="AD32" s="1"/>
      <c r="AE32" s="1"/>
      <c r="AF32" s="1"/>
      <c r="AG32" s="1"/>
      <c r="AH32" s="1"/>
      <c r="AR32" s="348"/>
      <c r="AS32" s="348"/>
      <c r="AT32" s="348"/>
      <c r="AU32" s="348"/>
      <c r="AV32" s="349"/>
      <c r="AW32" s="349"/>
      <c r="AX32" s="349"/>
      <c r="AY32" s="349"/>
      <c r="AZ32" s="349"/>
      <c r="BA32" s="349"/>
      <c r="BB32" s="349"/>
      <c r="BC32" s="349"/>
      <c r="BD32" s="349"/>
      <c r="BE32" s="349"/>
      <c r="BF32" s="349"/>
      <c r="BG32" s="349"/>
      <c r="BH32" s="349"/>
      <c r="BI32" s="349"/>
      <c r="BJ32" s="349"/>
      <c r="BK32" s="349"/>
    </row>
    <row r="33" spans="1:63" x14ac:dyDescent="0.3">
      <c r="A33" s="1084" t="s">
        <v>1704</v>
      </c>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
      <c r="Z33" s="1"/>
      <c r="AA33" s="1"/>
      <c r="AB33" s="1"/>
      <c r="AC33" s="1"/>
      <c r="AD33" s="1"/>
      <c r="AE33" s="1"/>
      <c r="AF33" s="1"/>
      <c r="AG33" s="1"/>
      <c r="AH33" s="1"/>
      <c r="AR33" s="348"/>
      <c r="AS33" s="348"/>
      <c r="AT33" s="348"/>
      <c r="AU33" s="348"/>
      <c r="AV33" s="349"/>
      <c r="AW33" s="349"/>
      <c r="AX33" s="349"/>
      <c r="AY33" s="349"/>
      <c r="AZ33" s="349"/>
      <c r="BA33" s="349"/>
      <c r="BB33" s="349"/>
      <c r="BC33" s="349"/>
      <c r="BD33" s="349"/>
      <c r="BE33" s="349"/>
      <c r="BF33" s="349"/>
      <c r="BG33" s="349"/>
      <c r="BH33" s="349"/>
      <c r="BI33" s="349"/>
      <c r="BJ33" s="349"/>
      <c r="BK33" s="349"/>
    </row>
    <row r="34" spans="1:63" x14ac:dyDescent="0.3">
      <c r="A34" s="351"/>
      <c r="B34" s="1082" t="s">
        <v>1703</v>
      </c>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
      <c r="Z34" s="1"/>
      <c r="AA34" s="1"/>
      <c r="AB34" s="1"/>
      <c r="AC34" s="1"/>
      <c r="AD34" s="1"/>
      <c r="AE34" s="1"/>
      <c r="AF34" s="1"/>
      <c r="AG34" s="1"/>
      <c r="AH34" s="1"/>
      <c r="AR34" s="348"/>
      <c r="AS34" s="348"/>
      <c r="AT34" s="348"/>
      <c r="AU34" s="348"/>
      <c r="AV34" s="349"/>
      <c r="AW34" s="349"/>
      <c r="AX34" s="349"/>
      <c r="AY34" s="349"/>
      <c r="AZ34" s="349"/>
      <c r="BA34" s="349"/>
      <c r="BB34" s="349"/>
      <c r="BC34" s="349"/>
      <c r="BD34" s="349"/>
      <c r="BE34" s="349"/>
      <c r="BF34" s="349"/>
      <c r="BG34" s="349"/>
      <c r="BH34" s="349"/>
      <c r="BI34" s="349"/>
      <c r="BJ34" s="349"/>
      <c r="BK34" s="349"/>
    </row>
    <row r="35" spans="1:63" x14ac:dyDescent="0.3">
      <c r="A35" s="351"/>
      <c r="B35" s="1082" t="s">
        <v>2250</v>
      </c>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
      <c r="Z35" s="1"/>
      <c r="AA35" s="1"/>
      <c r="AB35" s="1"/>
      <c r="AC35" s="1"/>
      <c r="AD35" s="1"/>
      <c r="AE35" s="1"/>
      <c r="AF35" s="1"/>
      <c r="AG35" s="1"/>
      <c r="AH35" s="1"/>
      <c r="AR35" s="348"/>
      <c r="AS35" s="348"/>
      <c r="AT35" s="348"/>
      <c r="AU35" s="348"/>
      <c r="AV35" s="349"/>
      <c r="AW35" s="349"/>
      <c r="AX35" s="349"/>
      <c r="AY35" s="349"/>
      <c r="AZ35" s="349"/>
      <c r="BA35" s="349"/>
      <c r="BB35" s="349"/>
      <c r="BC35" s="349"/>
      <c r="BD35" s="349"/>
      <c r="BE35" s="349"/>
      <c r="BF35" s="349"/>
      <c r="BG35" s="349"/>
      <c r="BH35" s="349"/>
      <c r="BI35" s="349"/>
      <c r="BJ35" s="349"/>
      <c r="BK35" s="349"/>
    </row>
    <row r="36" spans="1:63" ht="27" customHeight="1" x14ac:dyDescent="0.3">
      <c r="A36" s="351"/>
      <c r="B36" s="1082" t="s">
        <v>2796</v>
      </c>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
      <c r="Z36" s="1"/>
      <c r="AA36" s="1"/>
      <c r="AB36" s="1"/>
      <c r="AC36" s="1"/>
      <c r="AD36" s="1"/>
      <c r="AE36" s="1"/>
      <c r="AF36" s="1"/>
      <c r="AG36" s="1"/>
      <c r="AH36" s="1"/>
      <c r="AR36" s="348"/>
      <c r="AS36" s="348"/>
      <c r="AT36" s="348"/>
      <c r="AU36" s="348"/>
      <c r="AV36" s="349"/>
      <c r="AW36" s="349"/>
      <c r="AX36" s="349"/>
      <c r="AY36" s="349"/>
      <c r="AZ36" s="349"/>
      <c r="BA36" s="349"/>
      <c r="BB36" s="349"/>
      <c r="BC36" s="349"/>
      <c r="BD36" s="349"/>
      <c r="BE36" s="349"/>
      <c r="BF36" s="349"/>
      <c r="BG36" s="349"/>
      <c r="BH36" s="349"/>
      <c r="BI36" s="349"/>
      <c r="BJ36" s="349"/>
      <c r="BK36" s="349"/>
    </row>
    <row r="37" spans="1:63" ht="43.5" customHeight="1" x14ac:dyDescent="0.3">
      <c r="A37" s="351"/>
      <c r="B37" s="1082" t="s">
        <v>2797</v>
      </c>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
      <c r="Z37" s="1"/>
      <c r="AA37" s="1"/>
      <c r="AB37" s="1"/>
      <c r="AC37" s="1"/>
      <c r="AD37" s="1"/>
      <c r="AE37" s="1"/>
      <c r="AF37" s="1"/>
      <c r="AG37" s="1"/>
      <c r="AH37" s="1"/>
      <c r="AR37" s="348"/>
      <c r="AS37" s="348"/>
      <c r="AT37" s="348"/>
      <c r="AU37" s="348"/>
      <c r="AV37" s="349"/>
      <c r="AW37" s="349"/>
      <c r="AX37" s="349"/>
      <c r="AY37" s="349"/>
      <c r="AZ37" s="349"/>
      <c r="BA37" s="349"/>
      <c r="BB37" s="349"/>
      <c r="BC37" s="349"/>
      <c r="BD37" s="349"/>
      <c r="BE37" s="349"/>
      <c r="BF37" s="349"/>
      <c r="BG37" s="349"/>
      <c r="BH37" s="349"/>
      <c r="BI37" s="349"/>
      <c r="BJ37" s="349"/>
      <c r="BK37" s="349"/>
    </row>
    <row r="38" spans="1:63" ht="15" customHeight="1" x14ac:dyDescent="0.3">
      <c r="A38" s="1082" t="s">
        <v>2535</v>
      </c>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
      <c r="Z38" s="1"/>
      <c r="AA38" s="1"/>
      <c r="AB38" s="1"/>
      <c r="AC38" s="1"/>
      <c r="AD38" s="1"/>
      <c r="AE38" s="1"/>
      <c r="AF38" s="1"/>
      <c r="AG38" s="1"/>
      <c r="AH38" s="1"/>
      <c r="AR38" s="348"/>
      <c r="AS38" s="348"/>
      <c r="AT38" s="348"/>
      <c r="AU38" s="348"/>
      <c r="AV38" s="349"/>
      <c r="AW38" s="349"/>
      <c r="AX38" s="349"/>
      <c r="AY38" s="349"/>
      <c r="AZ38" s="349"/>
      <c r="BA38" s="349"/>
      <c r="BB38" s="349"/>
      <c r="BC38" s="349"/>
      <c r="BD38" s="349"/>
      <c r="BE38" s="349"/>
      <c r="BF38" s="349"/>
      <c r="BG38" s="349"/>
      <c r="BH38" s="349"/>
      <c r="BI38" s="349"/>
      <c r="BJ38" s="349"/>
      <c r="BK38" s="349"/>
    </row>
    <row r="39" spans="1:63" x14ac:dyDescent="0.3">
      <c r="AP39" s="245"/>
      <c r="AQ39" s="245"/>
      <c r="AR39" s="245"/>
      <c r="AS39" s="245"/>
      <c r="AT39" s="245"/>
      <c r="AU39" s="245"/>
      <c r="AV39" s="245"/>
      <c r="AW39" s="245"/>
      <c r="AX39" s="245"/>
      <c r="AY39" s="245"/>
      <c r="AZ39" s="245"/>
      <c r="BA39" s="245"/>
      <c r="BB39" s="245"/>
      <c r="BC39" s="245"/>
      <c r="BD39" s="245"/>
      <c r="BE39" s="245"/>
      <c r="BF39" s="245"/>
      <c r="BG39" s="245"/>
      <c r="BH39" s="245"/>
      <c r="BI39" s="245"/>
    </row>
    <row r="40" spans="1:63" x14ac:dyDescent="0.3">
      <c r="A40" s="958" t="s">
        <v>361</v>
      </c>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60"/>
      <c r="AP40" s="245"/>
      <c r="AQ40" s="245"/>
      <c r="AR40" s="245"/>
      <c r="AS40" s="245"/>
      <c r="AT40" s="245"/>
      <c r="AU40" s="245"/>
      <c r="AV40" s="245"/>
      <c r="AW40" s="245"/>
      <c r="AX40" s="245"/>
      <c r="AY40" s="245"/>
      <c r="AZ40" s="245"/>
      <c r="BA40" s="245"/>
      <c r="BB40" s="245"/>
      <c r="BC40" s="245"/>
      <c r="BD40" s="245"/>
      <c r="BE40" s="245"/>
      <c r="BF40" s="245"/>
      <c r="BG40" s="245"/>
      <c r="BH40" s="245"/>
      <c r="BI40" s="245"/>
    </row>
    <row r="41" spans="1:63" ht="65.25" customHeight="1" x14ac:dyDescent="0.3">
      <c r="A41" s="868" t="s">
        <v>2531</v>
      </c>
      <c r="B41" s="868"/>
      <c r="C41" s="868"/>
      <c r="D41" s="868"/>
      <c r="E41" s="868"/>
      <c r="F41" s="868"/>
      <c r="G41" s="868"/>
      <c r="H41" s="868"/>
      <c r="I41" s="868"/>
      <c r="J41" s="868"/>
      <c r="K41" s="868"/>
      <c r="L41" s="868"/>
      <c r="M41" s="868"/>
      <c r="N41" s="868"/>
      <c r="O41" s="868"/>
      <c r="P41" s="868"/>
      <c r="Q41" s="868"/>
      <c r="R41" s="868"/>
      <c r="S41" s="868"/>
      <c r="T41" s="868"/>
      <c r="U41" s="868"/>
      <c r="V41" s="868"/>
      <c r="W41" s="868"/>
      <c r="X41" s="868"/>
      <c r="Y41" s="868"/>
      <c r="Z41" s="868"/>
      <c r="AA41" s="868"/>
      <c r="AB41" s="868"/>
      <c r="AC41" s="868"/>
      <c r="AD41" s="868"/>
      <c r="AE41" s="868"/>
      <c r="AF41" s="868"/>
      <c r="AP41" s="113"/>
      <c r="AQ41" s="350"/>
      <c r="AR41" s="350"/>
      <c r="AS41" s="350"/>
      <c r="AT41" s="350"/>
      <c r="AU41" s="350"/>
      <c r="AV41" s="350"/>
      <c r="AW41" s="350"/>
      <c r="AX41" s="350"/>
      <c r="AY41" s="350"/>
      <c r="AZ41" s="350"/>
      <c r="BA41" s="350"/>
      <c r="BB41" s="350"/>
      <c r="BC41" s="350"/>
      <c r="BD41" s="350"/>
      <c r="BE41" s="350"/>
      <c r="BF41" s="350"/>
      <c r="BG41" s="350"/>
      <c r="BH41" s="350"/>
      <c r="BI41" s="350"/>
    </row>
    <row r="42" spans="1:63" x14ac:dyDescent="0.3">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P42" s="113"/>
      <c r="AQ42" s="350"/>
      <c r="AR42" s="350"/>
      <c r="AS42" s="350"/>
      <c r="AT42" s="350"/>
      <c r="AU42" s="350"/>
      <c r="AV42" s="350"/>
      <c r="AW42" s="350"/>
      <c r="AX42" s="350"/>
      <c r="AY42" s="350"/>
      <c r="AZ42" s="350"/>
      <c r="BA42" s="350"/>
      <c r="BB42" s="350"/>
      <c r="BC42" s="350"/>
      <c r="BD42" s="350"/>
      <c r="BE42" s="350"/>
      <c r="BF42" s="350"/>
      <c r="BG42" s="350"/>
      <c r="BH42" s="350"/>
      <c r="BI42" s="350"/>
    </row>
    <row r="43" spans="1:63" ht="46.5" customHeight="1" x14ac:dyDescent="0.3">
      <c r="A43" s="863" t="s">
        <v>2532</v>
      </c>
      <c r="B43" s="863"/>
      <c r="C43" s="863"/>
      <c r="D43" s="863"/>
      <c r="E43" s="863"/>
      <c r="F43" s="863"/>
      <c r="G43" s="863"/>
      <c r="H43" s="863"/>
      <c r="I43" s="863"/>
      <c r="J43" s="863"/>
      <c r="K43" s="863"/>
      <c r="L43" s="863"/>
      <c r="M43" s="863"/>
      <c r="N43" s="863"/>
      <c r="O43" s="863"/>
      <c r="P43" s="863"/>
      <c r="Q43" s="863"/>
      <c r="R43" s="863"/>
      <c r="S43" s="863"/>
      <c r="T43" s="863"/>
      <c r="U43" s="863"/>
      <c r="V43" s="863"/>
      <c r="W43" s="863"/>
      <c r="X43" s="863"/>
      <c r="Y43" s="863"/>
      <c r="Z43" s="863"/>
      <c r="AA43" s="863"/>
      <c r="AB43" s="863"/>
      <c r="AC43" s="863"/>
      <c r="AD43" s="863"/>
      <c r="AE43" s="863"/>
      <c r="AF43" s="863"/>
      <c r="AP43" s="350"/>
      <c r="AQ43" s="350"/>
      <c r="AR43" s="350"/>
      <c r="AS43" s="350"/>
      <c r="AT43" s="350"/>
      <c r="AU43" s="350"/>
      <c r="AV43" s="350"/>
      <c r="AW43" s="350"/>
      <c r="AX43" s="350"/>
      <c r="AY43" s="350"/>
      <c r="AZ43" s="350"/>
      <c r="BA43" s="350"/>
      <c r="BB43" s="350"/>
      <c r="BC43" s="350"/>
      <c r="BD43" s="350"/>
      <c r="BE43" s="350"/>
      <c r="BF43" s="350"/>
      <c r="BG43" s="350"/>
      <c r="BH43" s="350"/>
      <c r="BI43" s="350"/>
    </row>
    <row r="45" spans="1:63" x14ac:dyDescent="0.3">
      <c r="C45" s="130"/>
    </row>
  </sheetData>
  <sheetProtection algorithmName="SHA-512" hashValue="ylGyJpA8snYCJhErhuPiOmwjJCkgClie4+JhAYYTOEDsnMIg+JXTaq0Z3SU7KueG2kVNdidTfzcfuCv+njFBvA==" saltValue="0EVpHtF11045gp/mDnEjiQ==" spinCount="100000" sheet="1" objects="1" scenarios="1"/>
  <mergeCells count="82">
    <mergeCell ref="Q23:T23"/>
    <mergeCell ref="U23:X23"/>
    <mergeCell ref="Q24:T24"/>
    <mergeCell ref="U24:X24"/>
    <mergeCell ref="U25:X25"/>
    <mergeCell ref="Q25:T25"/>
    <mergeCell ref="Q26:T26"/>
    <mergeCell ref="U26:X26"/>
    <mergeCell ref="Q27:T27"/>
    <mergeCell ref="A30:H30"/>
    <mergeCell ref="U27:X27"/>
    <mergeCell ref="I26:L26"/>
    <mergeCell ref="M26:P26"/>
    <mergeCell ref="A26:H26"/>
    <mergeCell ref="Q28:T28"/>
    <mergeCell ref="U28:X28"/>
    <mergeCell ref="Q29:T29"/>
    <mergeCell ref="U30:X30"/>
    <mergeCell ref="Q22:T22"/>
    <mergeCell ref="Q21:T21"/>
    <mergeCell ref="U21:X21"/>
    <mergeCell ref="I21:L21"/>
    <mergeCell ref="M21:P21"/>
    <mergeCell ref="I22:L22"/>
    <mergeCell ref="M22:P22"/>
    <mergeCell ref="U22:X22"/>
    <mergeCell ref="A14:AF14"/>
    <mergeCell ref="A18:AF18"/>
    <mergeCell ref="I20:L20"/>
    <mergeCell ref="M20:P20"/>
    <mergeCell ref="A19:H19"/>
    <mergeCell ref="A16:AF16"/>
    <mergeCell ref="Q19:X19"/>
    <mergeCell ref="Q20:T20"/>
    <mergeCell ref="U20:X20"/>
    <mergeCell ref="A1:AF1"/>
    <mergeCell ref="A7:AF7"/>
    <mergeCell ref="A8:AF8"/>
    <mergeCell ref="A10:AF10"/>
    <mergeCell ref="A12:AF12"/>
    <mergeCell ref="A3:AF3"/>
    <mergeCell ref="B5:AF5"/>
    <mergeCell ref="A21:H21"/>
    <mergeCell ref="I19:P19"/>
    <mergeCell ref="M24:P24"/>
    <mergeCell ref="A24:H24"/>
    <mergeCell ref="A25:H25"/>
    <mergeCell ref="I25:L25"/>
    <mergeCell ref="M25:P25"/>
    <mergeCell ref="A23:H23"/>
    <mergeCell ref="I23:L23"/>
    <mergeCell ref="M23:P23"/>
    <mergeCell ref="I24:L24"/>
    <mergeCell ref="A22:H22"/>
    <mergeCell ref="A40:AF40"/>
    <mergeCell ref="A41:AF41"/>
    <mergeCell ref="A38:X38"/>
    <mergeCell ref="Q31:T31"/>
    <mergeCell ref="U31:X31"/>
    <mergeCell ref="A32:T32"/>
    <mergeCell ref="A33:X33"/>
    <mergeCell ref="B34:X34"/>
    <mergeCell ref="B35:X35"/>
    <mergeCell ref="B36:X36"/>
    <mergeCell ref="B37:X37"/>
    <mergeCell ref="A31:H31"/>
    <mergeCell ref="A43:AF43"/>
    <mergeCell ref="A27:H27"/>
    <mergeCell ref="I31:L31"/>
    <mergeCell ref="M31:P31"/>
    <mergeCell ref="I27:L27"/>
    <mergeCell ref="M27:P27"/>
    <mergeCell ref="I28:L28"/>
    <mergeCell ref="M28:P28"/>
    <mergeCell ref="I29:L29"/>
    <mergeCell ref="M29:P29"/>
    <mergeCell ref="I30:L30"/>
    <mergeCell ref="M30:P30"/>
    <mergeCell ref="A28:H28"/>
    <mergeCell ref="A29:H29"/>
    <mergeCell ref="U29:X29"/>
    <mergeCell ref="Q30:T30"/>
  </mergeCells>
  <hyperlinks>
    <hyperlink ref="A2" location="TOC!A1" display="Return to TOC" xr:uid="{00000000-0004-0000-0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0">
    <pageSetUpPr autoPageBreaks="0"/>
  </sheetPr>
  <dimension ref="A1:BM85"/>
  <sheetViews>
    <sheetView zoomScaleNormal="100" workbookViewId="0">
      <selection activeCell="A2" sqref="A2"/>
    </sheetView>
  </sheetViews>
  <sheetFormatPr defaultColWidth="2.6640625" defaultRowHeight="14.4" x14ac:dyDescent="0.3"/>
  <cols>
    <col min="9" max="9" width="2.6640625" customWidth="1"/>
    <col min="13" max="13" width="2.6640625" customWidth="1"/>
  </cols>
  <sheetData>
    <row r="1" spans="1:65" s="1" customFormat="1" ht="18" customHeight="1" thickBot="1" x14ac:dyDescent="0.35">
      <c r="A1" s="979" t="s">
        <v>2512</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65"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65"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65"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65"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65" ht="14.4" customHeight="1" x14ac:dyDescent="0.3">
      <c r="A6" s="228"/>
    </row>
    <row r="7" spans="1:65" x14ac:dyDescent="0.3">
      <c r="A7" s="958" t="s">
        <v>2513</v>
      </c>
      <c r="B7" s="959"/>
      <c r="C7" s="959"/>
      <c r="D7" s="959"/>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60"/>
    </row>
    <row r="9" spans="1:65" ht="49.5" customHeight="1" x14ac:dyDescent="0.3">
      <c r="A9" s="863" t="s">
        <v>2511</v>
      </c>
      <c r="B9" s="863"/>
      <c r="C9" s="863"/>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row>
    <row r="11" spans="1:65" s="8" customFormat="1" x14ac:dyDescent="0.3">
      <c r="A11" s="883" t="s">
        <v>2522</v>
      </c>
      <c r="B11" s="1089"/>
      <c r="C11" s="1089"/>
      <c r="D11" s="1089"/>
      <c r="E11" s="1089"/>
      <c r="F11" s="1089"/>
      <c r="G11" s="1089"/>
      <c r="H11" s="1089"/>
      <c r="I11" s="1089"/>
      <c r="J11" s="1089"/>
      <c r="K11" s="1089"/>
      <c r="L11" s="1089"/>
      <c r="M11" s="1089"/>
      <c r="N11" s="1089"/>
      <c r="O11" s="1089"/>
      <c r="P11" s="1089"/>
      <c r="Q11" s="1089"/>
      <c r="R11" s="1089"/>
      <c r="S11" s="1089"/>
      <c r="T11" s="1089"/>
      <c r="U11" s="1089"/>
      <c r="V11" s="1089"/>
      <c r="W11" s="1089"/>
      <c r="X11" s="1089"/>
      <c r="Y11" s="1089"/>
      <c r="Z11" s="1089"/>
      <c r="AA11" s="1089"/>
      <c r="AB11" s="1089"/>
      <c r="AC11" s="1089"/>
      <c r="AD11" s="1089"/>
      <c r="AE11" s="1089"/>
      <c r="AF11" s="1089"/>
      <c r="AP11" s="340"/>
      <c r="AQ11" s="340"/>
      <c r="AR11" s="340"/>
      <c r="AS11" s="340"/>
      <c r="AT11" s="341"/>
      <c r="AU11" s="341"/>
      <c r="AV11" s="341"/>
      <c r="AW11" s="341"/>
      <c r="AX11" s="341"/>
      <c r="AY11" s="341"/>
      <c r="AZ11" s="341"/>
      <c r="BA11" s="341"/>
      <c r="BB11" s="341"/>
      <c r="BC11" s="341"/>
      <c r="BD11" s="341"/>
      <c r="BE11" s="341"/>
      <c r="BF11" s="341"/>
    </row>
    <row r="12" spans="1:65" s="111" customFormat="1" ht="87.75" customHeight="1" x14ac:dyDescent="0.3">
      <c r="A12" s="1085" t="s">
        <v>46</v>
      </c>
      <c r="B12" s="1086"/>
      <c r="C12" s="1086"/>
      <c r="D12" s="1086"/>
      <c r="E12" s="1086"/>
      <c r="F12" s="1086"/>
      <c r="G12" s="1086"/>
      <c r="H12" s="1087"/>
      <c r="I12" s="1106" t="s">
        <v>1692</v>
      </c>
      <c r="J12" s="1107"/>
      <c r="K12" s="1107"/>
      <c r="L12" s="1107"/>
      <c r="M12" s="1108"/>
      <c r="N12" s="1106" t="s">
        <v>1693</v>
      </c>
      <c r="O12" s="1107"/>
      <c r="P12" s="1107"/>
      <c r="Q12" s="1107"/>
      <c r="R12" s="1108"/>
      <c r="S12" s="1106" t="s">
        <v>1694</v>
      </c>
      <c r="T12" s="1107"/>
      <c r="U12" s="1107"/>
      <c r="V12" s="1107"/>
      <c r="W12" s="1108"/>
      <c r="X12" s="1106" t="s">
        <v>1717</v>
      </c>
      <c r="Y12" s="1107"/>
      <c r="Z12" s="1107"/>
      <c r="AA12" s="1107"/>
      <c r="AB12" s="1108"/>
      <c r="AW12" s="339"/>
      <c r="AX12" s="339"/>
      <c r="AY12" s="339"/>
      <c r="AZ12" s="339"/>
      <c r="BA12" s="336"/>
      <c r="BB12" s="336"/>
      <c r="BC12" s="336"/>
      <c r="BD12" s="336"/>
      <c r="BE12" s="336"/>
      <c r="BF12" s="336"/>
      <c r="BG12" s="336"/>
      <c r="BH12" s="336"/>
      <c r="BI12" s="336"/>
      <c r="BJ12" s="336"/>
      <c r="BK12" s="336"/>
      <c r="BL12" s="336"/>
      <c r="BM12" s="336"/>
    </row>
    <row r="13" spans="1:65" s="111" customFormat="1" ht="15" customHeight="1" x14ac:dyDescent="0.3">
      <c r="A13" s="1109" t="s">
        <v>2520</v>
      </c>
      <c r="B13" s="1110"/>
      <c r="C13" s="1110"/>
      <c r="D13" s="1110"/>
      <c r="E13" s="1110"/>
      <c r="F13" s="1110"/>
      <c r="G13" s="1110"/>
      <c r="H13" s="1111"/>
      <c r="I13" s="1103">
        <v>8760</v>
      </c>
      <c r="J13" s="1104"/>
      <c r="K13" s="1104"/>
      <c r="L13" s="1104"/>
      <c r="M13" s="1105"/>
      <c r="N13" s="1103">
        <v>1831</v>
      </c>
      <c r="O13" s="1104"/>
      <c r="P13" s="1104"/>
      <c r="Q13" s="1104"/>
      <c r="R13" s="1105"/>
      <c r="S13" s="1103">
        <v>3047</v>
      </c>
      <c r="T13" s="1104"/>
      <c r="U13" s="1104"/>
      <c r="V13" s="1104"/>
      <c r="W13" s="1105"/>
      <c r="X13" s="1103">
        <v>1963</v>
      </c>
      <c r="Y13" s="1104"/>
      <c r="Z13" s="1104"/>
      <c r="AA13" s="1104"/>
      <c r="AB13" s="1105"/>
      <c r="AW13" s="338"/>
      <c r="AX13" s="338"/>
      <c r="AY13" s="338"/>
      <c r="AZ13" s="338"/>
      <c r="BA13" s="336"/>
      <c r="BB13" s="336"/>
      <c r="BC13" s="336"/>
      <c r="BD13" s="336"/>
      <c r="BE13" s="336"/>
      <c r="BF13" s="336"/>
      <c r="BG13" s="336"/>
      <c r="BH13" s="336"/>
      <c r="BI13" s="336"/>
      <c r="BJ13" s="336"/>
      <c r="BK13" s="336"/>
      <c r="BL13" s="336"/>
      <c r="BM13" s="336"/>
    </row>
    <row r="14" spans="1:65" s="111" customFormat="1" x14ac:dyDescent="0.3">
      <c r="A14" s="1109" t="s">
        <v>211</v>
      </c>
      <c r="B14" s="1110"/>
      <c r="C14" s="1110"/>
      <c r="D14" s="1110"/>
      <c r="E14" s="1110"/>
      <c r="F14" s="1110"/>
      <c r="G14" s="1110"/>
      <c r="H14" s="1111"/>
      <c r="I14" s="1103">
        <v>8760</v>
      </c>
      <c r="J14" s="1104"/>
      <c r="K14" s="1104"/>
      <c r="L14" s="1104"/>
      <c r="M14" s="1105"/>
      <c r="N14" s="1103">
        <v>4710</v>
      </c>
      <c r="O14" s="1104"/>
      <c r="P14" s="1104"/>
      <c r="Q14" s="1104"/>
      <c r="R14" s="1105"/>
      <c r="S14" s="1103">
        <v>4820</v>
      </c>
      <c r="T14" s="1104"/>
      <c r="U14" s="1104"/>
      <c r="V14" s="1104"/>
      <c r="W14" s="1105"/>
      <c r="X14" s="1103">
        <v>4700</v>
      </c>
      <c r="Y14" s="1104"/>
      <c r="Z14" s="1104"/>
      <c r="AA14" s="1104"/>
      <c r="AB14" s="1105"/>
      <c r="AW14" s="338"/>
      <c r="AX14" s="338"/>
      <c r="AY14" s="338"/>
      <c r="AZ14" s="338"/>
      <c r="BA14" s="336"/>
      <c r="BB14" s="336"/>
      <c r="BC14" s="336"/>
      <c r="BD14" s="336"/>
      <c r="BE14" s="336"/>
      <c r="BF14" s="336"/>
      <c r="BG14" s="336"/>
      <c r="BH14" s="336"/>
      <c r="BI14" s="336"/>
      <c r="BJ14" s="336"/>
      <c r="BK14" s="336"/>
      <c r="BL14" s="336"/>
      <c r="BM14" s="336"/>
    </row>
    <row r="15" spans="1:65" s="111" customFormat="1" x14ac:dyDescent="0.3">
      <c r="A15" s="1109" t="s">
        <v>212</v>
      </c>
      <c r="B15" s="1110"/>
      <c r="C15" s="1110"/>
      <c r="D15" s="1110"/>
      <c r="E15" s="1110"/>
      <c r="F15" s="1110"/>
      <c r="G15" s="1110"/>
      <c r="H15" s="1111"/>
      <c r="I15" s="1103">
        <v>8760</v>
      </c>
      <c r="J15" s="1104"/>
      <c r="K15" s="1104"/>
      <c r="L15" s="1104"/>
      <c r="M15" s="1105"/>
      <c r="N15" s="1103">
        <v>1498</v>
      </c>
      <c r="O15" s="1104"/>
      <c r="P15" s="1104"/>
      <c r="Q15" s="1104"/>
      <c r="R15" s="1105"/>
      <c r="S15" s="1103">
        <v>2176</v>
      </c>
      <c r="T15" s="1104"/>
      <c r="U15" s="1104"/>
      <c r="V15" s="1104"/>
      <c r="W15" s="1105"/>
      <c r="X15" s="1103">
        <v>1702</v>
      </c>
      <c r="Y15" s="1104"/>
      <c r="Z15" s="1104"/>
      <c r="AA15" s="1104"/>
      <c r="AB15" s="1105"/>
      <c r="AW15" s="338"/>
      <c r="AX15" s="338"/>
      <c r="AY15" s="338"/>
      <c r="AZ15" s="338"/>
      <c r="BA15" s="336"/>
      <c r="BB15" s="336"/>
      <c r="BC15" s="336"/>
      <c r="BD15" s="336"/>
      <c r="BE15" s="336"/>
      <c r="BF15" s="336"/>
      <c r="BG15" s="336"/>
      <c r="BH15" s="336"/>
      <c r="BI15" s="336"/>
      <c r="BJ15" s="336"/>
      <c r="BK15" s="336"/>
      <c r="BL15" s="336"/>
      <c r="BM15" s="336"/>
    </row>
    <row r="16" spans="1:65" s="111" customFormat="1" x14ac:dyDescent="0.3">
      <c r="A16" s="1109" t="s">
        <v>213</v>
      </c>
      <c r="B16" s="1110"/>
      <c r="C16" s="1110"/>
      <c r="D16" s="1110"/>
      <c r="E16" s="1110"/>
      <c r="F16" s="1110"/>
      <c r="G16" s="1110"/>
      <c r="H16" s="1111"/>
      <c r="I16" s="1103">
        <v>8760</v>
      </c>
      <c r="J16" s="1104"/>
      <c r="K16" s="1104"/>
      <c r="L16" s="1104"/>
      <c r="M16" s="1105"/>
      <c r="N16" s="1103">
        <v>4900</v>
      </c>
      <c r="O16" s="1104"/>
      <c r="P16" s="1104"/>
      <c r="Q16" s="1104"/>
      <c r="R16" s="1105"/>
      <c r="S16" s="1103">
        <v>5450</v>
      </c>
      <c r="T16" s="1104"/>
      <c r="U16" s="1104"/>
      <c r="V16" s="1104"/>
      <c r="W16" s="1105"/>
      <c r="X16" s="1103">
        <v>4770</v>
      </c>
      <c r="Y16" s="1104"/>
      <c r="Z16" s="1104"/>
      <c r="AA16" s="1104"/>
      <c r="AB16" s="1105"/>
      <c r="AW16" s="338"/>
      <c r="AX16" s="338"/>
      <c r="AY16" s="338"/>
      <c r="AZ16" s="338"/>
      <c r="BA16" s="336"/>
      <c r="BB16" s="336"/>
      <c r="BC16" s="336"/>
      <c r="BD16" s="336"/>
      <c r="BE16" s="336"/>
      <c r="BF16" s="336"/>
      <c r="BG16" s="336"/>
      <c r="BH16" s="336"/>
      <c r="BI16" s="336"/>
      <c r="BJ16" s="336"/>
      <c r="BK16" s="336"/>
      <c r="BL16" s="336"/>
      <c r="BM16" s="336"/>
    </row>
    <row r="17" spans="1:65" s="111" customFormat="1" x14ac:dyDescent="0.3">
      <c r="A17" s="1109" t="s">
        <v>214</v>
      </c>
      <c r="B17" s="1110"/>
      <c r="C17" s="1110"/>
      <c r="D17" s="1110"/>
      <c r="E17" s="1110"/>
      <c r="F17" s="1110"/>
      <c r="G17" s="1110"/>
      <c r="H17" s="1111"/>
      <c r="I17" s="1103">
        <v>8760</v>
      </c>
      <c r="J17" s="1104"/>
      <c r="K17" s="1104"/>
      <c r="L17" s="1104"/>
      <c r="M17" s="1105"/>
      <c r="N17" s="1103">
        <v>5370</v>
      </c>
      <c r="O17" s="1104"/>
      <c r="P17" s="1104"/>
      <c r="Q17" s="1104"/>
      <c r="R17" s="1105"/>
      <c r="S17" s="1103">
        <v>5870</v>
      </c>
      <c r="T17" s="1104"/>
      <c r="U17" s="1104"/>
      <c r="V17" s="1104"/>
      <c r="W17" s="1105"/>
      <c r="X17" s="1103">
        <v>5100</v>
      </c>
      <c r="Y17" s="1104"/>
      <c r="Z17" s="1104"/>
      <c r="AA17" s="1104"/>
      <c r="AB17" s="1105"/>
      <c r="AW17" s="338"/>
      <c r="AX17" s="338"/>
      <c r="AY17" s="338"/>
      <c r="AZ17" s="338"/>
      <c r="BA17" s="336"/>
      <c r="BB17" s="336"/>
      <c r="BC17" s="336"/>
      <c r="BD17" s="336"/>
      <c r="BE17" s="336"/>
      <c r="BF17" s="336"/>
      <c r="BG17" s="336"/>
      <c r="BH17" s="336"/>
      <c r="BI17" s="336"/>
      <c r="BJ17" s="336"/>
      <c r="BK17" s="336"/>
      <c r="BL17" s="336"/>
      <c r="BM17" s="336"/>
    </row>
    <row r="18" spans="1:65" s="111" customFormat="1" x14ac:dyDescent="0.3">
      <c r="A18" s="1109" t="s">
        <v>215</v>
      </c>
      <c r="B18" s="1110"/>
      <c r="C18" s="1110"/>
      <c r="D18" s="1110"/>
      <c r="E18" s="1110"/>
      <c r="F18" s="1110"/>
      <c r="G18" s="1110"/>
      <c r="H18" s="1111"/>
      <c r="I18" s="1103">
        <v>8760</v>
      </c>
      <c r="J18" s="1104"/>
      <c r="K18" s="1104"/>
      <c r="L18" s="1104"/>
      <c r="M18" s="1105"/>
      <c r="N18" s="1103">
        <v>1284</v>
      </c>
      <c r="O18" s="1104"/>
      <c r="P18" s="1104"/>
      <c r="Q18" s="1104"/>
      <c r="R18" s="1105"/>
      <c r="S18" s="1103">
        <v>4775</v>
      </c>
      <c r="T18" s="1104"/>
      <c r="U18" s="1104"/>
      <c r="V18" s="1104"/>
      <c r="W18" s="1105"/>
      <c r="X18" s="1103">
        <v>1130</v>
      </c>
      <c r="Y18" s="1104"/>
      <c r="Z18" s="1104"/>
      <c r="AA18" s="1104"/>
      <c r="AB18" s="1105"/>
      <c r="AW18" s="338"/>
      <c r="AX18" s="338"/>
      <c r="AY18" s="338"/>
      <c r="AZ18" s="338"/>
      <c r="BA18" s="336"/>
      <c r="BB18" s="336"/>
      <c r="BC18" s="336"/>
      <c r="BD18" s="336"/>
      <c r="BE18" s="336"/>
      <c r="BF18" s="336"/>
      <c r="BG18" s="336"/>
      <c r="BH18" s="336"/>
      <c r="BI18" s="336"/>
      <c r="BJ18" s="336"/>
      <c r="BK18" s="336"/>
      <c r="BL18" s="336"/>
      <c r="BM18" s="336"/>
    </row>
    <row r="19" spans="1:65" s="111" customFormat="1" x14ac:dyDescent="0.3">
      <c r="A19" s="1109" t="s">
        <v>216</v>
      </c>
      <c r="B19" s="1110"/>
      <c r="C19" s="1110"/>
      <c r="D19" s="1110"/>
      <c r="E19" s="1110"/>
      <c r="F19" s="1110"/>
      <c r="G19" s="1110"/>
      <c r="H19" s="1111"/>
      <c r="I19" s="1103">
        <v>8760</v>
      </c>
      <c r="J19" s="1104"/>
      <c r="K19" s="1104"/>
      <c r="L19" s="1104"/>
      <c r="M19" s="1105"/>
      <c r="N19" s="1103">
        <v>2145</v>
      </c>
      <c r="O19" s="1104"/>
      <c r="P19" s="1104"/>
      <c r="Q19" s="1104"/>
      <c r="R19" s="1105"/>
      <c r="S19" s="1103">
        <v>2860</v>
      </c>
      <c r="T19" s="1104"/>
      <c r="U19" s="1104"/>
      <c r="V19" s="1104"/>
      <c r="W19" s="1105"/>
      <c r="X19" s="1103">
        <v>2305</v>
      </c>
      <c r="Y19" s="1104"/>
      <c r="Z19" s="1104"/>
      <c r="AA19" s="1104"/>
      <c r="AB19" s="1105"/>
      <c r="AW19" s="338"/>
      <c r="AX19" s="338"/>
      <c r="AY19" s="338"/>
      <c r="AZ19" s="338"/>
      <c r="BA19" s="336"/>
      <c r="BB19" s="336"/>
      <c r="BC19" s="336"/>
      <c r="BD19" s="336"/>
      <c r="BE19" s="336"/>
      <c r="BF19" s="336"/>
      <c r="BG19" s="336"/>
      <c r="BH19" s="336"/>
      <c r="BI19" s="336"/>
      <c r="BJ19" s="336"/>
      <c r="BK19" s="336"/>
      <c r="BL19" s="336"/>
      <c r="BM19" s="336"/>
    </row>
    <row r="20" spans="1:65" s="111" customFormat="1" x14ac:dyDescent="0.3">
      <c r="A20" s="1109" t="s">
        <v>47</v>
      </c>
      <c r="B20" s="1110"/>
      <c r="C20" s="1110"/>
      <c r="D20" s="1110"/>
      <c r="E20" s="1110"/>
      <c r="F20" s="1110"/>
      <c r="G20" s="1110"/>
      <c r="H20" s="1111"/>
      <c r="I20" s="1103">
        <v>8760</v>
      </c>
      <c r="J20" s="1104"/>
      <c r="K20" s="1104"/>
      <c r="L20" s="1104"/>
      <c r="M20" s="1105"/>
      <c r="N20" s="1103">
        <v>1780</v>
      </c>
      <c r="O20" s="1104"/>
      <c r="P20" s="1104"/>
      <c r="Q20" s="1104"/>
      <c r="R20" s="1105"/>
      <c r="S20" s="1103">
        <v>2480</v>
      </c>
      <c r="T20" s="1104"/>
      <c r="U20" s="1104"/>
      <c r="V20" s="1104"/>
      <c r="W20" s="1105"/>
      <c r="X20" s="1103">
        <v>1980</v>
      </c>
      <c r="Y20" s="1104"/>
      <c r="Z20" s="1104"/>
      <c r="AA20" s="1104"/>
      <c r="AB20" s="1105"/>
      <c r="AW20" s="338"/>
      <c r="AX20" s="338"/>
      <c r="AY20" s="338"/>
      <c r="AZ20" s="338"/>
      <c r="BA20" s="336"/>
      <c r="BB20" s="336"/>
      <c r="BC20" s="336"/>
      <c r="BD20" s="336"/>
      <c r="BE20" s="336"/>
      <c r="BF20" s="336"/>
      <c r="BG20" s="336"/>
      <c r="BH20" s="336"/>
      <c r="BI20" s="336"/>
      <c r="BJ20" s="336"/>
      <c r="BK20" s="336"/>
      <c r="BL20" s="336"/>
      <c r="BM20" s="336"/>
    </row>
    <row r="21" spans="1:65" s="111" customFormat="1" x14ac:dyDescent="0.3">
      <c r="A21" s="1109" t="s">
        <v>217</v>
      </c>
      <c r="B21" s="1110"/>
      <c r="C21" s="1110"/>
      <c r="D21" s="1110"/>
      <c r="E21" s="1110"/>
      <c r="F21" s="1110"/>
      <c r="G21" s="1110"/>
      <c r="H21" s="1111"/>
      <c r="I21" s="1103">
        <v>8760</v>
      </c>
      <c r="J21" s="1104"/>
      <c r="K21" s="1104"/>
      <c r="L21" s="1104"/>
      <c r="M21" s="1105"/>
      <c r="N21" s="1103">
        <v>3700</v>
      </c>
      <c r="O21" s="1104"/>
      <c r="P21" s="1104"/>
      <c r="Q21" s="1104"/>
      <c r="R21" s="1105"/>
      <c r="S21" s="1103">
        <v>3610</v>
      </c>
      <c r="T21" s="1104"/>
      <c r="U21" s="1104"/>
      <c r="V21" s="1104"/>
      <c r="W21" s="1105"/>
      <c r="X21" s="1103">
        <v>3500</v>
      </c>
      <c r="Y21" s="1104"/>
      <c r="Z21" s="1104"/>
      <c r="AA21" s="1104"/>
      <c r="AB21" s="1105"/>
      <c r="AW21" s="338"/>
      <c r="AX21" s="338"/>
      <c r="AY21" s="338"/>
      <c r="AZ21" s="338"/>
      <c r="BA21" s="336"/>
      <c r="BB21" s="336"/>
      <c r="BC21" s="336"/>
      <c r="BD21" s="336"/>
      <c r="BE21" s="336"/>
      <c r="BF21" s="336"/>
      <c r="BG21" s="336"/>
      <c r="BH21" s="336"/>
      <c r="BI21" s="336"/>
      <c r="BJ21" s="336"/>
      <c r="BK21" s="336"/>
      <c r="BL21" s="336"/>
      <c r="BM21" s="336"/>
    </row>
    <row r="22" spans="1:65" s="111" customFormat="1" x14ac:dyDescent="0.3">
      <c r="A22" s="1109" t="s">
        <v>218</v>
      </c>
      <c r="B22" s="1110"/>
      <c r="C22" s="1110"/>
      <c r="D22" s="1110"/>
      <c r="E22" s="1110"/>
      <c r="F22" s="1110"/>
      <c r="G22" s="1110"/>
      <c r="H22" s="1111"/>
      <c r="I22" s="1103">
        <v>8760</v>
      </c>
      <c r="J22" s="1104"/>
      <c r="K22" s="1104"/>
      <c r="L22" s="1104"/>
      <c r="M22" s="1105"/>
      <c r="N22" s="1103">
        <v>2363</v>
      </c>
      <c r="O22" s="1104"/>
      <c r="P22" s="1104"/>
      <c r="Q22" s="1104"/>
      <c r="R22" s="1105"/>
      <c r="S22" s="1103">
        <v>3983</v>
      </c>
      <c r="T22" s="1104"/>
      <c r="U22" s="1104"/>
      <c r="V22" s="1104"/>
      <c r="W22" s="1105"/>
      <c r="X22" s="1103">
        <v>3690</v>
      </c>
      <c r="Y22" s="1104"/>
      <c r="Z22" s="1104"/>
      <c r="AA22" s="1104"/>
      <c r="AB22" s="1105"/>
      <c r="AW22" s="338"/>
      <c r="AX22" s="338"/>
      <c r="AY22" s="338"/>
      <c r="AZ22" s="338"/>
      <c r="BA22" s="336"/>
      <c r="BB22" s="336"/>
      <c r="BC22" s="336"/>
      <c r="BD22" s="336"/>
      <c r="BE22" s="336"/>
      <c r="BF22" s="336"/>
      <c r="BG22" s="336"/>
      <c r="BH22" s="336"/>
      <c r="BI22" s="336"/>
      <c r="BJ22" s="336"/>
      <c r="BK22" s="336"/>
      <c r="BL22" s="336"/>
      <c r="BM22" s="336"/>
    </row>
    <row r="23" spans="1:65" s="111" customFormat="1" x14ac:dyDescent="0.3">
      <c r="A23" s="1109" t="s">
        <v>219</v>
      </c>
      <c r="B23" s="1110"/>
      <c r="C23" s="1110"/>
      <c r="D23" s="1110"/>
      <c r="E23" s="1110"/>
      <c r="F23" s="1110"/>
      <c r="G23" s="1110"/>
      <c r="H23" s="1111"/>
      <c r="I23" s="1103">
        <v>8760</v>
      </c>
      <c r="J23" s="1104"/>
      <c r="K23" s="1104"/>
      <c r="L23" s="1104"/>
      <c r="M23" s="1105"/>
      <c r="N23" s="1103">
        <v>1690</v>
      </c>
      <c r="O23" s="1104"/>
      <c r="P23" s="1104"/>
      <c r="Q23" s="1104"/>
      <c r="R23" s="1105"/>
      <c r="S23" s="1103">
        <v>2245</v>
      </c>
      <c r="T23" s="1104"/>
      <c r="U23" s="1104"/>
      <c r="V23" s="1104"/>
      <c r="W23" s="1105"/>
      <c r="X23" s="1103">
        <v>1970</v>
      </c>
      <c r="Y23" s="1104"/>
      <c r="Z23" s="1104"/>
      <c r="AA23" s="1104"/>
      <c r="AB23" s="1105"/>
      <c r="AP23" s="53"/>
      <c r="AQ23" s="53"/>
      <c r="AR23" s="53"/>
      <c r="AS23" s="53"/>
      <c r="AT23" s="53"/>
      <c r="AU23" s="53"/>
      <c r="AV23" s="53"/>
      <c r="AW23" s="337"/>
      <c r="AX23" s="337"/>
      <c r="AY23" s="337"/>
      <c r="AZ23" s="337"/>
      <c r="BA23" s="337"/>
      <c r="BB23" s="337"/>
      <c r="BC23" s="337"/>
      <c r="BD23" s="337"/>
      <c r="BE23" s="337"/>
      <c r="BF23" s="337"/>
      <c r="BG23" s="337"/>
      <c r="BH23" s="337"/>
      <c r="BI23" s="337"/>
      <c r="BJ23" s="337"/>
      <c r="BK23" s="337"/>
      <c r="BL23" s="337"/>
      <c r="BM23" s="8"/>
    </row>
    <row r="24" spans="1:65" s="111" customFormat="1" ht="27.75" customHeight="1" x14ac:dyDescent="0.3">
      <c r="A24" s="1127" t="s">
        <v>1715</v>
      </c>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P24" s="342"/>
      <c r="AQ24" s="342"/>
      <c r="AR24" s="342"/>
      <c r="AS24" s="342"/>
      <c r="AT24" s="342"/>
      <c r="AU24" s="342"/>
      <c r="AV24" s="342"/>
      <c r="AW24" s="342"/>
      <c r="AX24" s="342"/>
      <c r="AY24" s="342"/>
      <c r="AZ24" s="342"/>
      <c r="BA24" s="342"/>
      <c r="BB24" s="342"/>
      <c r="BC24" s="342"/>
      <c r="BD24" s="342"/>
      <c r="BE24" s="342"/>
      <c r="BF24" s="342"/>
      <c r="BG24" s="342"/>
      <c r="BH24" s="342"/>
      <c r="BI24" s="342"/>
    </row>
    <row r="25" spans="1:65" x14ac:dyDescent="0.3">
      <c r="AP25" s="343"/>
      <c r="AQ25" s="343"/>
      <c r="AR25" s="343"/>
      <c r="AS25" s="343"/>
      <c r="AT25" s="344"/>
      <c r="AU25" s="344"/>
      <c r="AV25" s="344"/>
      <c r="AW25" s="344"/>
      <c r="AX25" s="344"/>
      <c r="AY25" s="344"/>
      <c r="AZ25" s="344"/>
      <c r="BA25" s="344"/>
      <c r="BB25" s="344"/>
      <c r="BC25" s="344"/>
      <c r="BD25" s="344"/>
      <c r="BE25" s="344"/>
      <c r="BF25" s="344"/>
      <c r="BG25" s="344"/>
      <c r="BH25" s="344"/>
      <c r="BI25" s="344"/>
    </row>
    <row r="26" spans="1:65" s="8" customFormat="1" x14ac:dyDescent="0.3">
      <c r="A26" s="883" t="s">
        <v>2523</v>
      </c>
      <c r="B26" s="1089"/>
      <c r="C26" s="1089"/>
      <c r="D26" s="1089"/>
      <c r="E26" s="1089"/>
      <c r="F26" s="1089"/>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P26" s="343"/>
      <c r="AQ26" s="343"/>
      <c r="AR26" s="343"/>
      <c r="AS26" s="343"/>
      <c r="AT26" s="344"/>
      <c r="AU26" s="344"/>
      <c r="AV26" s="344"/>
      <c r="AW26" s="344"/>
      <c r="AX26" s="344"/>
      <c r="AY26" s="344"/>
      <c r="AZ26" s="344"/>
      <c r="BA26" s="344"/>
      <c r="BB26" s="344"/>
      <c r="BC26" s="344"/>
      <c r="BD26" s="344"/>
      <c r="BE26" s="344"/>
      <c r="BF26" s="344"/>
      <c r="BG26" s="344"/>
      <c r="BH26" s="344"/>
      <c r="BI26" s="344"/>
    </row>
    <row r="27" spans="1:65" s="111" customFormat="1" ht="82.5" customHeight="1" x14ac:dyDescent="0.3">
      <c r="A27" s="1085" t="s">
        <v>46</v>
      </c>
      <c r="B27" s="1086"/>
      <c r="C27" s="1086"/>
      <c r="D27" s="1086"/>
      <c r="E27" s="1086"/>
      <c r="F27" s="1086"/>
      <c r="G27" s="1086"/>
      <c r="H27" s="1087"/>
      <c r="I27" s="1106" t="s">
        <v>1692</v>
      </c>
      <c r="J27" s="1107"/>
      <c r="K27" s="1107"/>
      <c r="L27" s="1107"/>
      <c r="M27" s="1108"/>
      <c r="N27" s="1106" t="s">
        <v>1693</v>
      </c>
      <c r="O27" s="1107"/>
      <c r="P27" s="1107"/>
      <c r="Q27" s="1107"/>
      <c r="R27" s="1108"/>
      <c r="S27" s="1106" t="s">
        <v>1694</v>
      </c>
      <c r="T27" s="1107"/>
      <c r="U27" s="1107"/>
      <c r="V27" s="1107"/>
      <c r="W27" s="1108"/>
      <c r="X27" s="1106" t="s">
        <v>1719</v>
      </c>
      <c r="Y27" s="1107"/>
      <c r="Z27" s="1107"/>
      <c r="AA27" s="1107"/>
      <c r="AB27" s="1108"/>
      <c r="AP27" s="343"/>
      <c r="AQ27" s="343"/>
      <c r="AR27" s="343"/>
      <c r="AS27" s="343"/>
      <c r="AT27" s="344"/>
      <c r="AU27" s="344"/>
      <c r="AV27" s="344"/>
      <c r="AW27" s="344"/>
      <c r="AX27" s="344"/>
      <c r="AY27" s="344"/>
      <c r="AZ27" s="344"/>
      <c r="BA27" s="344"/>
      <c r="BB27" s="344"/>
      <c r="BC27" s="344"/>
      <c r="BD27" s="344"/>
      <c r="BE27" s="344"/>
      <c r="BF27" s="344"/>
      <c r="BG27" s="344"/>
      <c r="BH27" s="344"/>
      <c r="BI27" s="344"/>
    </row>
    <row r="28" spans="1:65" s="111" customFormat="1" ht="15" customHeight="1" x14ac:dyDescent="0.3">
      <c r="A28" s="1109" t="s">
        <v>2520</v>
      </c>
      <c r="B28" s="1110"/>
      <c r="C28" s="1110"/>
      <c r="D28" s="1110"/>
      <c r="E28" s="1110"/>
      <c r="F28" s="1110"/>
      <c r="G28" s="1110"/>
      <c r="H28" s="1111"/>
      <c r="I28" s="1112">
        <v>1</v>
      </c>
      <c r="J28" s="1113"/>
      <c r="K28" s="1113"/>
      <c r="L28" s="1113"/>
      <c r="M28" s="1114"/>
      <c r="N28" s="1112">
        <v>0.31</v>
      </c>
      <c r="O28" s="1113"/>
      <c r="P28" s="1113"/>
      <c r="Q28" s="1113"/>
      <c r="R28" s="1114"/>
      <c r="S28" s="1112">
        <v>0.53</v>
      </c>
      <c r="T28" s="1113"/>
      <c r="U28" s="1113"/>
      <c r="V28" s="1113"/>
      <c r="W28" s="1114"/>
      <c r="X28" s="1112">
        <v>0.34</v>
      </c>
      <c r="Y28" s="1113"/>
      <c r="Z28" s="1113"/>
      <c r="AA28" s="1113"/>
      <c r="AB28" s="1114"/>
      <c r="AP28" s="343"/>
      <c r="AQ28" s="343"/>
      <c r="AR28" s="343"/>
      <c r="AS28" s="343"/>
      <c r="AT28" s="344"/>
      <c r="AU28" s="344"/>
      <c r="AV28" s="344"/>
      <c r="AW28" s="344"/>
      <c r="AX28" s="344"/>
      <c r="AY28" s="344"/>
      <c r="AZ28" s="344"/>
      <c r="BA28" s="344"/>
      <c r="BB28" s="344"/>
      <c r="BC28" s="344"/>
      <c r="BD28" s="344"/>
      <c r="BE28" s="344"/>
      <c r="BF28" s="344"/>
      <c r="BG28" s="344"/>
      <c r="BH28" s="344"/>
      <c r="BI28" s="344"/>
    </row>
    <row r="29" spans="1:65" s="111" customFormat="1" x14ac:dyDescent="0.3">
      <c r="A29" s="1109" t="s">
        <v>211</v>
      </c>
      <c r="B29" s="1110"/>
      <c r="C29" s="1110"/>
      <c r="D29" s="1110"/>
      <c r="E29" s="1110"/>
      <c r="F29" s="1110"/>
      <c r="G29" s="1110"/>
      <c r="H29" s="1111"/>
      <c r="I29" s="1112">
        <v>1</v>
      </c>
      <c r="J29" s="1113"/>
      <c r="K29" s="1113"/>
      <c r="L29" s="1113"/>
      <c r="M29" s="1114"/>
      <c r="N29" s="1112">
        <v>0.2</v>
      </c>
      <c r="O29" s="1113"/>
      <c r="P29" s="1113"/>
      <c r="Q29" s="1113"/>
      <c r="R29" s="1114"/>
      <c r="S29" s="1112">
        <v>0.2</v>
      </c>
      <c r="T29" s="1113"/>
      <c r="U29" s="1113"/>
      <c r="V29" s="1113"/>
      <c r="W29" s="1114"/>
      <c r="X29" s="1112">
        <v>0.2</v>
      </c>
      <c r="Y29" s="1113"/>
      <c r="Z29" s="1113"/>
      <c r="AA29" s="1113"/>
      <c r="AB29" s="1114"/>
      <c r="AP29" s="343"/>
      <c r="AQ29" s="343"/>
      <c r="AR29" s="343"/>
      <c r="AS29" s="343"/>
      <c r="AT29" s="344"/>
      <c r="AU29" s="344"/>
      <c r="AV29" s="344"/>
      <c r="AW29" s="344"/>
      <c r="AX29" s="344"/>
      <c r="AY29" s="344"/>
      <c r="AZ29" s="344"/>
      <c r="BA29" s="344"/>
      <c r="BB29" s="344"/>
      <c r="BC29" s="344"/>
      <c r="BD29" s="344"/>
      <c r="BE29" s="344"/>
      <c r="BF29" s="344"/>
      <c r="BG29" s="344"/>
      <c r="BH29" s="344"/>
      <c r="BI29" s="344"/>
    </row>
    <row r="30" spans="1:65" s="111" customFormat="1" x14ac:dyDescent="0.3">
      <c r="A30" s="1109" t="s">
        <v>212</v>
      </c>
      <c r="B30" s="1110"/>
      <c r="C30" s="1110"/>
      <c r="D30" s="1110"/>
      <c r="E30" s="1110"/>
      <c r="F30" s="1110"/>
      <c r="G30" s="1110"/>
      <c r="H30" s="1111"/>
      <c r="I30" s="1112">
        <v>1</v>
      </c>
      <c r="J30" s="1113"/>
      <c r="K30" s="1113"/>
      <c r="L30" s="1113"/>
      <c r="M30" s="1114"/>
      <c r="N30" s="1112">
        <v>0.28000000000000003</v>
      </c>
      <c r="O30" s="1113"/>
      <c r="P30" s="1113"/>
      <c r="Q30" s="1113"/>
      <c r="R30" s="1114"/>
      <c r="S30" s="1112">
        <v>0.4</v>
      </c>
      <c r="T30" s="1113"/>
      <c r="U30" s="1113"/>
      <c r="V30" s="1113"/>
      <c r="W30" s="1114"/>
      <c r="X30" s="1112">
        <v>0.32</v>
      </c>
      <c r="Y30" s="1113"/>
      <c r="Z30" s="1113"/>
      <c r="AA30" s="1113"/>
      <c r="AB30" s="1114"/>
      <c r="AP30" s="343"/>
      <c r="AQ30" s="343"/>
      <c r="AR30" s="343"/>
      <c r="AS30" s="343"/>
      <c r="AT30" s="344"/>
      <c r="AU30" s="344"/>
      <c r="AV30" s="344"/>
      <c r="AW30" s="344"/>
      <c r="AX30" s="344"/>
      <c r="AY30" s="344"/>
      <c r="AZ30" s="344"/>
      <c r="BA30" s="344"/>
      <c r="BB30" s="344"/>
      <c r="BC30" s="344"/>
      <c r="BD30" s="344"/>
      <c r="BE30" s="344"/>
      <c r="BF30" s="344"/>
      <c r="BG30" s="344"/>
      <c r="BH30" s="344"/>
      <c r="BI30" s="344"/>
    </row>
    <row r="31" spans="1:65" s="111" customFormat="1" x14ac:dyDescent="0.3">
      <c r="A31" s="1109" t="s">
        <v>213</v>
      </c>
      <c r="B31" s="1110"/>
      <c r="C31" s="1110"/>
      <c r="D31" s="1110"/>
      <c r="E31" s="1110"/>
      <c r="F31" s="1110"/>
      <c r="G31" s="1110"/>
      <c r="H31" s="1111"/>
      <c r="I31" s="1112">
        <v>1</v>
      </c>
      <c r="J31" s="1113"/>
      <c r="K31" s="1113"/>
      <c r="L31" s="1113"/>
      <c r="M31" s="1114"/>
      <c r="N31" s="1112">
        <v>0.7</v>
      </c>
      <c r="O31" s="1113"/>
      <c r="P31" s="1113"/>
      <c r="Q31" s="1113"/>
      <c r="R31" s="1114"/>
      <c r="S31" s="1112">
        <v>0.78</v>
      </c>
      <c r="T31" s="1113"/>
      <c r="U31" s="1113"/>
      <c r="V31" s="1113"/>
      <c r="W31" s="1114"/>
      <c r="X31" s="1112">
        <v>0.68</v>
      </c>
      <c r="Y31" s="1113"/>
      <c r="Z31" s="1113"/>
      <c r="AA31" s="1113"/>
      <c r="AB31" s="1114"/>
      <c r="AP31" s="343"/>
      <c r="AQ31" s="343"/>
      <c r="AR31" s="343"/>
      <c r="AS31" s="343"/>
      <c r="AT31" s="344"/>
      <c r="AU31" s="344"/>
      <c r="AV31" s="344"/>
      <c r="AW31" s="344"/>
      <c r="AX31" s="344"/>
      <c r="AY31" s="344"/>
      <c r="AZ31" s="344"/>
      <c r="BA31" s="344"/>
      <c r="BB31" s="344"/>
      <c r="BC31" s="344"/>
      <c r="BD31" s="344"/>
      <c r="BE31" s="344"/>
      <c r="BF31" s="344"/>
      <c r="BG31" s="344"/>
      <c r="BH31" s="344"/>
      <c r="BI31" s="344"/>
    </row>
    <row r="32" spans="1:65" s="111" customFormat="1" x14ac:dyDescent="0.3">
      <c r="A32" s="1109" t="s">
        <v>214</v>
      </c>
      <c r="B32" s="1110"/>
      <c r="C32" s="1110"/>
      <c r="D32" s="1110"/>
      <c r="E32" s="1110"/>
      <c r="F32" s="1110"/>
      <c r="G32" s="1110"/>
      <c r="H32" s="1111"/>
      <c r="I32" s="1112">
        <v>1</v>
      </c>
      <c r="J32" s="1113"/>
      <c r="K32" s="1113"/>
      <c r="L32" s="1113"/>
      <c r="M32" s="1114"/>
      <c r="N32" s="1112">
        <v>0.66</v>
      </c>
      <c r="O32" s="1113"/>
      <c r="P32" s="1113"/>
      <c r="Q32" s="1113"/>
      <c r="R32" s="1114"/>
      <c r="S32" s="1112">
        <v>0.72</v>
      </c>
      <c r="T32" s="1113"/>
      <c r="U32" s="1113"/>
      <c r="V32" s="1113"/>
      <c r="W32" s="1114"/>
      <c r="X32" s="1112">
        <v>0.63</v>
      </c>
      <c r="Y32" s="1113"/>
      <c r="Z32" s="1113"/>
      <c r="AA32" s="1113"/>
      <c r="AB32" s="1114"/>
      <c r="AP32" s="343"/>
      <c r="AQ32" s="343"/>
      <c r="AR32" s="343"/>
      <c r="AS32" s="343"/>
      <c r="AT32" s="344"/>
      <c r="AU32" s="344"/>
      <c r="AV32" s="344"/>
      <c r="AW32" s="344"/>
      <c r="AX32" s="344"/>
      <c r="AY32" s="344"/>
      <c r="AZ32" s="344"/>
      <c r="BA32" s="344"/>
      <c r="BB32" s="344"/>
      <c r="BC32" s="344"/>
      <c r="BD32" s="344"/>
      <c r="BE32" s="344"/>
      <c r="BF32" s="344"/>
      <c r="BG32" s="344"/>
      <c r="BH32" s="344"/>
      <c r="BI32" s="344"/>
    </row>
    <row r="33" spans="1:61" s="111" customFormat="1" x14ac:dyDescent="0.3">
      <c r="A33" s="1109" t="s">
        <v>215</v>
      </c>
      <c r="B33" s="1110"/>
      <c r="C33" s="1110"/>
      <c r="D33" s="1110"/>
      <c r="E33" s="1110"/>
      <c r="F33" s="1110"/>
      <c r="G33" s="1110"/>
      <c r="H33" s="1111"/>
      <c r="I33" s="1112">
        <v>1</v>
      </c>
      <c r="J33" s="1113"/>
      <c r="K33" s="1113"/>
      <c r="L33" s="1113"/>
      <c r="M33" s="1114"/>
      <c r="N33" s="1112">
        <v>0.26</v>
      </c>
      <c r="O33" s="1113"/>
      <c r="P33" s="1113"/>
      <c r="Q33" s="1113"/>
      <c r="R33" s="1114"/>
      <c r="S33" s="1112">
        <v>0.96</v>
      </c>
      <c r="T33" s="1113"/>
      <c r="U33" s="1113"/>
      <c r="V33" s="1113"/>
      <c r="W33" s="1114"/>
      <c r="X33" s="1112">
        <v>0.23</v>
      </c>
      <c r="Y33" s="1113"/>
      <c r="Z33" s="1113"/>
      <c r="AA33" s="1113"/>
      <c r="AB33" s="1114"/>
      <c r="AP33" s="343"/>
      <c r="AQ33" s="343"/>
      <c r="AR33" s="343"/>
      <c r="AS33" s="343"/>
      <c r="AT33" s="344"/>
      <c r="AU33" s="344"/>
      <c r="AV33" s="344"/>
      <c r="AW33" s="344"/>
      <c r="AX33" s="344"/>
      <c r="AY33" s="344"/>
      <c r="AZ33" s="344"/>
      <c r="BA33" s="344"/>
      <c r="BB33" s="344"/>
      <c r="BC33" s="344"/>
      <c r="BD33" s="344"/>
      <c r="BE33" s="344"/>
      <c r="BF33" s="344"/>
      <c r="BG33" s="344"/>
      <c r="BH33" s="344"/>
      <c r="BI33" s="344"/>
    </row>
    <row r="34" spans="1:61" s="111" customFormat="1" x14ac:dyDescent="0.3">
      <c r="A34" s="1109" t="s">
        <v>216</v>
      </c>
      <c r="B34" s="1110"/>
      <c r="C34" s="1110"/>
      <c r="D34" s="1110"/>
      <c r="E34" s="1110"/>
      <c r="F34" s="1110"/>
      <c r="G34" s="1110"/>
      <c r="H34" s="1111"/>
      <c r="I34" s="1112">
        <v>1</v>
      </c>
      <c r="J34" s="1113"/>
      <c r="K34" s="1113"/>
      <c r="L34" s="1113"/>
      <c r="M34" s="1114"/>
      <c r="N34" s="1112">
        <v>0.53</v>
      </c>
      <c r="O34" s="1113"/>
      <c r="P34" s="1113"/>
      <c r="Q34" s="1113"/>
      <c r="R34" s="1114"/>
      <c r="S34" s="1112">
        <v>0.57999999999999996</v>
      </c>
      <c r="T34" s="1113"/>
      <c r="U34" s="1113"/>
      <c r="V34" s="1113"/>
      <c r="W34" s="1114"/>
      <c r="X34" s="1112">
        <v>0.59</v>
      </c>
      <c r="Y34" s="1113"/>
      <c r="Z34" s="1113"/>
      <c r="AA34" s="1113"/>
      <c r="AB34" s="1114"/>
      <c r="AP34" s="343"/>
      <c r="AQ34" s="343"/>
      <c r="AR34" s="343"/>
      <c r="AS34" s="343"/>
      <c r="AT34" s="344"/>
      <c r="AU34" s="344"/>
      <c r="AV34" s="344"/>
      <c r="AW34" s="344"/>
      <c r="AX34" s="344"/>
      <c r="AY34" s="344"/>
      <c r="AZ34" s="344"/>
      <c r="BA34" s="344"/>
      <c r="BB34" s="344"/>
      <c r="BC34" s="344"/>
      <c r="BD34" s="344"/>
      <c r="BE34" s="344"/>
      <c r="BF34" s="344"/>
      <c r="BG34" s="344"/>
      <c r="BH34" s="344"/>
      <c r="BI34" s="344"/>
    </row>
    <row r="35" spans="1:61" s="111" customFormat="1" x14ac:dyDescent="0.3">
      <c r="A35" s="1109" t="s">
        <v>47</v>
      </c>
      <c r="B35" s="1110"/>
      <c r="C35" s="1110"/>
      <c r="D35" s="1110"/>
      <c r="E35" s="1110"/>
      <c r="F35" s="1110"/>
      <c r="G35" s="1110"/>
      <c r="H35" s="1111"/>
      <c r="I35" s="1112">
        <v>1</v>
      </c>
      <c r="J35" s="1113"/>
      <c r="K35" s="1113"/>
      <c r="L35" s="1113"/>
      <c r="M35" s="1114"/>
      <c r="N35" s="1112">
        <v>0.22</v>
      </c>
      <c r="O35" s="1113"/>
      <c r="P35" s="1113"/>
      <c r="Q35" s="1113"/>
      <c r="R35" s="1114"/>
      <c r="S35" s="1112">
        <v>0.31</v>
      </c>
      <c r="T35" s="1113"/>
      <c r="U35" s="1113"/>
      <c r="V35" s="1113"/>
      <c r="W35" s="1114"/>
      <c r="X35" s="1112">
        <v>0.25</v>
      </c>
      <c r="Y35" s="1113"/>
      <c r="Z35" s="1113"/>
      <c r="AA35" s="1113"/>
      <c r="AB35" s="1114"/>
      <c r="AP35" s="343"/>
      <c r="AQ35" s="343"/>
      <c r="AR35" s="343"/>
      <c r="AS35" s="343"/>
      <c r="AT35" s="344"/>
      <c r="AU35" s="344"/>
      <c r="AV35" s="344"/>
      <c r="AW35" s="344"/>
      <c r="AX35" s="344"/>
      <c r="AY35" s="344"/>
      <c r="AZ35" s="344"/>
      <c r="BA35" s="344"/>
      <c r="BB35" s="344"/>
      <c r="BC35" s="344"/>
      <c r="BD35" s="344"/>
      <c r="BE35" s="344"/>
      <c r="BF35" s="344"/>
      <c r="BG35" s="344"/>
      <c r="BH35" s="344"/>
      <c r="BI35" s="344"/>
    </row>
    <row r="36" spans="1:61" s="111" customFormat="1" x14ac:dyDescent="0.3">
      <c r="A36" s="1109" t="s">
        <v>217</v>
      </c>
      <c r="B36" s="1110"/>
      <c r="C36" s="1110"/>
      <c r="D36" s="1110"/>
      <c r="E36" s="1110"/>
      <c r="F36" s="1110"/>
      <c r="G36" s="1110"/>
      <c r="H36" s="1111"/>
      <c r="I36" s="1112">
        <v>1</v>
      </c>
      <c r="J36" s="1113"/>
      <c r="K36" s="1113"/>
      <c r="L36" s="1113"/>
      <c r="M36" s="1114"/>
      <c r="N36" s="1112">
        <v>0.52</v>
      </c>
      <c r="O36" s="1113"/>
      <c r="P36" s="1113"/>
      <c r="Q36" s="1113"/>
      <c r="R36" s="1114"/>
      <c r="S36" s="1112">
        <v>0.5</v>
      </c>
      <c r="T36" s="1113"/>
      <c r="U36" s="1113"/>
      <c r="V36" s="1113"/>
      <c r="W36" s="1114"/>
      <c r="X36" s="1112">
        <v>0.49</v>
      </c>
      <c r="Y36" s="1113"/>
      <c r="Z36" s="1113"/>
      <c r="AA36" s="1113"/>
      <c r="AB36" s="1114"/>
      <c r="AP36" s="249"/>
      <c r="AQ36" s="249"/>
      <c r="AR36" s="249"/>
      <c r="AS36" s="249"/>
      <c r="AT36" s="249"/>
      <c r="AU36" s="249"/>
      <c r="AV36" s="249"/>
      <c r="AW36" s="249"/>
      <c r="AX36" s="249"/>
      <c r="AY36" s="249"/>
      <c r="AZ36" s="249"/>
      <c r="BA36" s="249"/>
      <c r="BB36" s="249"/>
      <c r="BC36" s="249"/>
      <c r="BD36" s="249"/>
      <c r="BE36" s="249"/>
      <c r="BF36" s="249"/>
      <c r="BG36" s="249"/>
      <c r="BH36" s="249"/>
      <c r="BI36" s="249"/>
    </row>
    <row r="37" spans="1:61" s="111" customFormat="1" x14ac:dyDescent="0.3">
      <c r="A37" s="1109" t="s">
        <v>218</v>
      </c>
      <c r="B37" s="1110"/>
      <c r="C37" s="1110"/>
      <c r="D37" s="1110"/>
      <c r="E37" s="1110"/>
      <c r="F37" s="1110"/>
      <c r="G37" s="1110"/>
      <c r="H37" s="1111"/>
      <c r="I37" s="1112">
        <v>1</v>
      </c>
      <c r="J37" s="1113"/>
      <c r="K37" s="1113"/>
      <c r="L37" s="1113"/>
      <c r="M37" s="1114"/>
      <c r="N37" s="1112">
        <v>0.32</v>
      </c>
      <c r="O37" s="1113"/>
      <c r="P37" s="1113"/>
      <c r="Q37" s="1113"/>
      <c r="R37" s="1114"/>
      <c r="S37" s="1112">
        <v>0.54</v>
      </c>
      <c r="T37" s="1113"/>
      <c r="U37" s="1113"/>
      <c r="V37" s="1113"/>
      <c r="W37" s="1114"/>
      <c r="X37" s="1112">
        <v>0.5</v>
      </c>
      <c r="Y37" s="1113"/>
      <c r="Z37" s="1113"/>
      <c r="AA37" s="1113"/>
      <c r="AB37" s="1114"/>
      <c r="AP37" s="249"/>
      <c r="AQ37" s="249"/>
      <c r="AR37" s="249"/>
      <c r="AS37" s="249"/>
      <c r="AT37" s="249"/>
      <c r="AU37" s="249"/>
      <c r="AV37" s="249"/>
      <c r="AW37" s="249"/>
      <c r="AX37" s="249"/>
      <c r="AY37" s="249"/>
      <c r="AZ37" s="249"/>
      <c r="BA37" s="249"/>
      <c r="BB37" s="249"/>
      <c r="BC37" s="249"/>
      <c r="BD37" s="249"/>
      <c r="BE37" s="249"/>
      <c r="BF37" s="249"/>
      <c r="BG37" s="249"/>
      <c r="BH37" s="249"/>
      <c r="BI37" s="249"/>
    </row>
    <row r="38" spans="1:61" s="111" customFormat="1" x14ac:dyDescent="0.3">
      <c r="A38" s="1109" t="s">
        <v>219</v>
      </c>
      <c r="B38" s="1110"/>
      <c r="C38" s="1110"/>
      <c r="D38" s="1110"/>
      <c r="E38" s="1110"/>
      <c r="F38" s="1110"/>
      <c r="G38" s="1110"/>
      <c r="H38" s="1111"/>
      <c r="I38" s="1112">
        <v>1</v>
      </c>
      <c r="J38" s="1113"/>
      <c r="K38" s="1113"/>
      <c r="L38" s="1113"/>
      <c r="M38" s="1114"/>
      <c r="N38" s="1112">
        <v>7.0000000000000007E-2</v>
      </c>
      <c r="O38" s="1113"/>
      <c r="P38" s="1113"/>
      <c r="Q38" s="1113"/>
      <c r="R38" s="1114"/>
      <c r="S38" s="1112">
        <v>0.1</v>
      </c>
      <c r="T38" s="1113"/>
      <c r="U38" s="1113"/>
      <c r="V38" s="1113"/>
      <c r="W38" s="1114"/>
      <c r="X38" s="1112">
        <v>0.08</v>
      </c>
      <c r="Y38" s="1113"/>
      <c r="Z38" s="1113"/>
      <c r="AA38" s="1113"/>
      <c r="AB38" s="1114"/>
      <c r="AP38" s="8"/>
      <c r="AQ38" s="249"/>
      <c r="AR38" s="249"/>
      <c r="AS38" s="249"/>
      <c r="AT38" s="249"/>
      <c r="AU38" s="249"/>
      <c r="AV38" s="249"/>
      <c r="AW38" s="249"/>
      <c r="AX38" s="249"/>
      <c r="AY38" s="249"/>
      <c r="AZ38" s="249"/>
      <c r="BA38" s="249"/>
      <c r="BB38" s="249"/>
      <c r="BC38" s="249"/>
      <c r="BD38" s="249"/>
      <c r="BE38" s="249"/>
      <c r="BF38" s="249"/>
      <c r="BG38" s="249"/>
      <c r="BH38" s="249"/>
      <c r="BI38" s="249"/>
    </row>
    <row r="39" spans="1:61" s="111" customFormat="1" x14ac:dyDescent="0.3">
      <c r="A39" s="1128" t="s">
        <v>830</v>
      </c>
      <c r="B39" s="1128"/>
      <c r="C39" s="1128"/>
      <c r="D39" s="1128"/>
      <c r="E39" s="1128"/>
      <c r="F39" s="1128"/>
      <c r="G39" s="1128"/>
      <c r="H39" s="1128"/>
      <c r="I39" s="1128"/>
      <c r="J39" s="1128"/>
      <c r="K39" s="1128"/>
      <c r="L39" s="1128"/>
      <c r="M39" s="1128"/>
      <c r="N39" s="1128"/>
      <c r="O39" s="1128"/>
      <c r="P39" s="1128"/>
      <c r="Q39" s="1128"/>
      <c r="R39" s="1128"/>
      <c r="S39" s="1128"/>
      <c r="T39" s="1128"/>
      <c r="U39" s="1128"/>
      <c r="V39" s="1128"/>
      <c r="W39" s="1128"/>
      <c r="X39" s="1128"/>
      <c r="Y39" s="1128"/>
      <c r="Z39" s="1128"/>
      <c r="AA39" s="1128"/>
      <c r="AB39" s="1128"/>
      <c r="AP39" s="8"/>
      <c r="AQ39" s="249"/>
      <c r="AR39" s="249"/>
      <c r="AS39" s="249"/>
      <c r="AT39" s="249"/>
      <c r="AU39" s="249"/>
      <c r="AV39" s="249"/>
      <c r="AW39" s="249"/>
      <c r="AX39" s="249"/>
      <c r="AY39" s="249"/>
      <c r="AZ39" s="249"/>
      <c r="BA39" s="249"/>
      <c r="BB39" s="249"/>
      <c r="BC39" s="249"/>
      <c r="BD39" s="249"/>
      <c r="BE39" s="249"/>
      <c r="BF39" s="249"/>
      <c r="BG39" s="249"/>
      <c r="BH39" s="249"/>
      <c r="BI39" s="249"/>
    </row>
    <row r="40" spans="1:61" s="111" customFormat="1" ht="15" customHeight="1" x14ac:dyDescent="0.3">
      <c r="A40" s="1129" t="s">
        <v>1695</v>
      </c>
      <c r="B40" s="1129"/>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29"/>
      <c r="Y40" s="1129"/>
      <c r="Z40" s="1129"/>
      <c r="AA40" s="1129"/>
      <c r="AB40" s="1129"/>
      <c r="AP40" s="8"/>
      <c r="AQ40" s="249"/>
      <c r="AR40" s="249"/>
      <c r="AS40" s="249"/>
      <c r="AT40" s="249"/>
      <c r="AU40" s="249"/>
      <c r="AV40" s="249"/>
      <c r="AW40" s="249"/>
      <c r="AX40" s="249"/>
      <c r="AY40" s="249"/>
      <c r="AZ40" s="249"/>
      <c r="BA40" s="249"/>
      <c r="BB40" s="249"/>
      <c r="BC40" s="249"/>
      <c r="BD40" s="249"/>
      <c r="BE40" s="249"/>
      <c r="BF40" s="249"/>
      <c r="BG40" s="249"/>
      <c r="BH40" s="249"/>
      <c r="BI40" s="249"/>
    </row>
    <row r="41" spans="1:61" s="111" customFormat="1" ht="70.5" customHeight="1" x14ac:dyDescent="0.3">
      <c r="A41" s="131"/>
      <c r="B41" s="1130" t="s">
        <v>2800</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0"/>
      <c r="Y41" s="1130"/>
      <c r="Z41" s="1130"/>
      <c r="AA41" s="1130"/>
      <c r="AB41" s="1130"/>
      <c r="AP41" s="8"/>
      <c r="AQ41" s="249"/>
      <c r="AR41" s="249"/>
      <c r="AS41" s="249"/>
      <c r="AT41" s="249"/>
      <c r="AU41" s="249"/>
      <c r="AV41" s="249"/>
      <c r="AW41" s="249"/>
      <c r="AX41" s="249"/>
      <c r="AY41" s="249"/>
      <c r="AZ41" s="249"/>
      <c r="BA41" s="249"/>
      <c r="BB41" s="249"/>
      <c r="BC41" s="249"/>
      <c r="BD41" s="249"/>
      <c r="BE41" s="249"/>
      <c r="BF41" s="249"/>
      <c r="BG41" s="249"/>
      <c r="BH41" s="249"/>
      <c r="BI41" s="249"/>
    </row>
    <row r="42" spans="1:61" s="111" customFormat="1" ht="30" customHeight="1" x14ac:dyDescent="0.3">
      <c r="A42" s="131"/>
      <c r="B42" s="1130" t="s">
        <v>2798</v>
      </c>
      <c r="C42" s="1130"/>
      <c r="D42" s="1130"/>
      <c r="E42" s="1130"/>
      <c r="F42" s="1130"/>
      <c r="G42" s="1130"/>
      <c r="H42" s="1130"/>
      <c r="I42" s="1130"/>
      <c r="J42" s="1130"/>
      <c r="K42" s="1130"/>
      <c r="L42" s="1130"/>
      <c r="M42" s="1130"/>
      <c r="N42" s="1130"/>
      <c r="O42" s="1130"/>
      <c r="P42" s="1130"/>
      <c r="Q42" s="1130"/>
      <c r="R42" s="1130"/>
      <c r="S42" s="1130"/>
      <c r="T42" s="1130"/>
      <c r="U42" s="1130"/>
      <c r="V42" s="1130"/>
      <c r="W42" s="1130"/>
      <c r="X42" s="1130"/>
      <c r="Y42" s="1130"/>
      <c r="Z42" s="1130"/>
      <c r="AA42" s="1130"/>
      <c r="AB42" s="1130"/>
      <c r="AP42" s="8"/>
      <c r="AQ42" s="249"/>
      <c r="AR42" s="249"/>
      <c r="AS42" s="249"/>
      <c r="AT42" s="249"/>
      <c r="AU42" s="249"/>
      <c r="AV42" s="249"/>
      <c r="AW42" s="249"/>
      <c r="AX42" s="249"/>
      <c r="AY42" s="249"/>
      <c r="AZ42" s="249"/>
      <c r="BA42" s="249"/>
      <c r="BB42" s="249"/>
      <c r="BC42" s="249"/>
      <c r="BD42" s="249"/>
      <c r="BE42" s="249"/>
      <c r="BF42" s="249"/>
      <c r="BG42" s="249"/>
      <c r="BH42" s="249"/>
      <c r="BI42" s="249"/>
    </row>
    <row r="43" spans="1:61" s="111" customFormat="1" ht="47.25" customHeight="1" x14ac:dyDescent="0.3">
      <c r="A43" s="131"/>
      <c r="B43" s="1130" t="s">
        <v>1696</v>
      </c>
      <c r="C43" s="1130"/>
      <c r="D43" s="1130"/>
      <c r="E43" s="1130"/>
      <c r="F43" s="1130"/>
      <c r="G43" s="1130"/>
      <c r="H43" s="1130"/>
      <c r="I43" s="1130"/>
      <c r="J43" s="1130"/>
      <c r="K43" s="1130"/>
      <c r="L43" s="1130"/>
      <c r="M43" s="1130"/>
      <c r="N43" s="1130"/>
      <c r="O43" s="1130"/>
      <c r="P43" s="1130"/>
      <c r="Q43" s="1130"/>
      <c r="R43" s="1130"/>
      <c r="S43" s="1130"/>
      <c r="T43" s="1130"/>
      <c r="U43" s="1130"/>
      <c r="V43" s="1130"/>
      <c r="W43" s="1130"/>
      <c r="X43" s="1130"/>
      <c r="Y43" s="1130"/>
      <c r="Z43" s="1130"/>
      <c r="AA43" s="1130"/>
      <c r="AB43" s="1130"/>
      <c r="AP43" s="8"/>
      <c r="AQ43" s="249"/>
      <c r="AR43" s="249"/>
      <c r="AS43" s="249"/>
      <c r="AT43" s="249"/>
      <c r="AU43" s="249"/>
      <c r="AV43" s="249"/>
      <c r="AW43" s="249"/>
      <c r="AX43" s="249"/>
      <c r="AY43" s="249"/>
      <c r="AZ43" s="249"/>
      <c r="BA43" s="249"/>
      <c r="BB43" s="249"/>
      <c r="BC43" s="249"/>
      <c r="BD43" s="249"/>
      <c r="BE43" s="249"/>
      <c r="BF43" s="249"/>
      <c r="BG43" s="249"/>
      <c r="BH43" s="249"/>
      <c r="BI43" s="249"/>
    </row>
    <row r="44" spans="1:61" s="111" customFormat="1" ht="45.75" customHeight="1" x14ac:dyDescent="0.3">
      <c r="A44" s="1129" t="s">
        <v>2852</v>
      </c>
      <c r="B44" s="1129"/>
      <c r="C44" s="1129"/>
      <c r="D44" s="1129"/>
      <c r="E44" s="1129"/>
      <c r="F44" s="1129"/>
      <c r="G44" s="1129"/>
      <c r="H44" s="1129"/>
      <c r="I44" s="1129"/>
      <c r="J44" s="1129"/>
      <c r="K44" s="1129"/>
      <c r="L44" s="1129"/>
      <c r="M44" s="1129"/>
      <c r="N44" s="1129"/>
      <c r="O44" s="1129"/>
      <c r="P44" s="1129"/>
      <c r="Q44" s="1129"/>
      <c r="R44" s="1129"/>
      <c r="S44" s="1129"/>
      <c r="T44" s="1129"/>
      <c r="U44" s="1129"/>
      <c r="V44" s="1129"/>
      <c r="W44" s="1129"/>
      <c r="X44" s="1129"/>
      <c r="Y44" s="1129"/>
      <c r="Z44" s="1129"/>
      <c r="AA44" s="1129"/>
      <c r="AB44" s="1129"/>
      <c r="AP44" s="8"/>
      <c r="AQ44" s="249"/>
      <c r="AR44" s="249"/>
      <c r="AS44" s="249"/>
      <c r="AT44" s="249"/>
      <c r="AU44" s="249"/>
      <c r="AV44" s="249"/>
      <c r="AW44" s="249"/>
      <c r="AX44" s="249"/>
      <c r="AY44" s="249"/>
      <c r="AZ44" s="249"/>
      <c r="BA44" s="249"/>
      <c r="BB44" s="249"/>
      <c r="BC44" s="249"/>
      <c r="BD44" s="249"/>
      <c r="BE44" s="249"/>
      <c r="BF44" s="249"/>
      <c r="BG44" s="249"/>
      <c r="BH44" s="249"/>
      <c r="BI44" s="249"/>
    </row>
    <row r="45" spans="1:61" x14ac:dyDescent="0.3">
      <c r="AP45" s="8"/>
      <c r="AQ45" s="249"/>
      <c r="AR45" s="249"/>
      <c r="AS45" s="249"/>
      <c r="AT45" s="249"/>
      <c r="AU45" s="249"/>
      <c r="AV45" s="249"/>
      <c r="AW45" s="249"/>
      <c r="AX45" s="249"/>
      <c r="AY45" s="249"/>
      <c r="AZ45" s="249"/>
      <c r="BA45" s="249"/>
      <c r="BB45" s="249"/>
      <c r="BC45" s="249"/>
      <c r="BD45" s="249"/>
      <c r="BE45" s="249"/>
      <c r="BF45" s="249"/>
      <c r="BG45" s="249"/>
      <c r="BH45" s="249"/>
      <c r="BI45" s="249"/>
    </row>
    <row r="46" spans="1:61" x14ac:dyDescent="0.3">
      <c r="AP46" s="8"/>
      <c r="AQ46" s="249"/>
      <c r="AR46" s="249"/>
      <c r="AS46" s="249"/>
      <c r="AT46" s="249"/>
      <c r="AU46" s="249"/>
      <c r="AV46" s="249"/>
      <c r="AW46" s="249"/>
      <c r="AX46" s="249"/>
      <c r="AY46" s="249"/>
      <c r="AZ46" s="249"/>
      <c r="BA46" s="249"/>
      <c r="BB46" s="249"/>
      <c r="BC46" s="249"/>
      <c r="BD46" s="249"/>
      <c r="BE46" s="249"/>
      <c r="BF46" s="249"/>
      <c r="BG46" s="249"/>
      <c r="BH46" s="249"/>
      <c r="BI46" s="249"/>
    </row>
    <row r="47" spans="1:61" x14ac:dyDescent="0.3">
      <c r="A47" s="958" t="s">
        <v>2515</v>
      </c>
      <c r="B47" s="959"/>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60"/>
      <c r="AP47" s="249"/>
      <c r="AQ47" s="249"/>
      <c r="AR47" s="249"/>
      <c r="AS47" s="249"/>
      <c r="AT47" s="249"/>
      <c r="AU47" s="249"/>
      <c r="AV47" s="249"/>
      <c r="AW47" s="249"/>
      <c r="AX47" s="249"/>
      <c r="AY47" s="249"/>
      <c r="AZ47" s="249"/>
      <c r="BA47" s="249"/>
      <c r="BB47" s="249"/>
      <c r="BC47" s="249"/>
      <c r="BD47" s="249"/>
      <c r="BE47" s="249"/>
      <c r="BF47" s="249"/>
      <c r="BG47" s="249"/>
      <c r="BH47" s="249"/>
      <c r="BI47" s="249"/>
    </row>
    <row r="49" spans="1:57" ht="49.5" customHeight="1" x14ac:dyDescent="0.3">
      <c r="A49" s="863" t="s">
        <v>2514</v>
      </c>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row>
    <row r="51" spans="1:57" s="8" customFormat="1" x14ac:dyDescent="0.3">
      <c r="A51" s="883" t="s">
        <v>2518</v>
      </c>
      <c r="B51" s="1089"/>
      <c r="C51" s="1089"/>
      <c r="D51" s="1089"/>
      <c r="E51" s="1089"/>
      <c r="F51" s="1089"/>
      <c r="G51" s="1089"/>
      <c r="H51" s="1089"/>
      <c r="I51" s="1089"/>
      <c r="J51" s="1089"/>
      <c r="K51" s="1089"/>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row>
    <row r="52" spans="1:57" x14ac:dyDescent="0.3">
      <c r="A52" s="1124" t="s">
        <v>46</v>
      </c>
      <c r="B52" s="1125"/>
      <c r="C52" s="1125"/>
      <c r="D52" s="1125"/>
      <c r="E52" s="1125"/>
      <c r="F52" s="1125"/>
      <c r="G52" s="1125"/>
      <c r="H52" s="1126"/>
      <c r="I52" s="1102" t="s">
        <v>235</v>
      </c>
      <c r="J52" s="1102"/>
      <c r="K52" s="1102"/>
      <c r="L52" s="1102"/>
      <c r="M52" s="1102" t="s">
        <v>21</v>
      </c>
      <c r="N52" s="1102"/>
      <c r="O52" s="1102"/>
      <c r="P52" s="1102"/>
    </row>
    <row r="53" spans="1:57" x14ac:dyDescent="0.3">
      <c r="A53" s="1120" t="s">
        <v>2520</v>
      </c>
      <c r="B53" s="1121"/>
      <c r="C53" s="1121"/>
      <c r="D53" s="1121"/>
      <c r="E53" s="1121"/>
      <c r="F53" s="1121"/>
      <c r="G53" s="1121"/>
      <c r="H53" s="1122"/>
      <c r="I53" s="1096">
        <v>2594</v>
      </c>
      <c r="J53" s="1097"/>
      <c r="K53" s="1097"/>
      <c r="L53" s="1098"/>
      <c r="M53" s="1099">
        <v>0.38</v>
      </c>
      <c r="N53" s="1100"/>
      <c r="O53" s="1100"/>
      <c r="P53" s="1101"/>
    </row>
    <row r="54" spans="1:57" x14ac:dyDescent="0.3">
      <c r="A54" s="1120" t="s">
        <v>211</v>
      </c>
      <c r="B54" s="1121"/>
      <c r="C54" s="1121"/>
      <c r="D54" s="1121"/>
      <c r="E54" s="1121"/>
      <c r="F54" s="1121"/>
      <c r="G54" s="1121"/>
      <c r="H54" s="1122"/>
      <c r="I54" s="1096" t="s">
        <v>1905</v>
      </c>
      <c r="J54" s="1097"/>
      <c r="K54" s="1097"/>
      <c r="L54" s="1098"/>
      <c r="M54" s="1099" t="s">
        <v>1905</v>
      </c>
      <c r="N54" s="1100"/>
      <c r="O54" s="1100"/>
      <c r="P54" s="1101"/>
    </row>
    <row r="55" spans="1:57" x14ac:dyDescent="0.3">
      <c r="A55" s="1120" t="s">
        <v>212</v>
      </c>
      <c r="B55" s="1121"/>
      <c r="C55" s="1121"/>
      <c r="D55" s="1121"/>
      <c r="E55" s="1121"/>
      <c r="F55" s="1121"/>
      <c r="G55" s="1121"/>
      <c r="H55" s="1122"/>
      <c r="I55" s="1096">
        <v>2549</v>
      </c>
      <c r="J55" s="1097"/>
      <c r="K55" s="1097"/>
      <c r="L55" s="1098"/>
      <c r="M55" s="1099">
        <v>0.43</v>
      </c>
      <c r="N55" s="1100"/>
      <c r="O55" s="1100"/>
      <c r="P55" s="1101"/>
    </row>
    <row r="56" spans="1:57" x14ac:dyDescent="0.3">
      <c r="A56" s="1120" t="s">
        <v>213</v>
      </c>
      <c r="B56" s="1121"/>
      <c r="C56" s="1121"/>
      <c r="D56" s="1121"/>
      <c r="E56" s="1121"/>
      <c r="F56" s="1121"/>
      <c r="G56" s="1121"/>
      <c r="H56" s="1122"/>
      <c r="I56" s="1096">
        <v>1531</v>
      </c>
      <c r="J56" s="1097"/>
      <c r="K56" s="1097"/>
      <c r="L56" s="1098"/>
      <c r="M56" s="1099">
        <v>0.27</v>
      </c>
      <c r="N56" s="1100"/>
      <c r="O56" s="1100"/>
      <c r="P56" s="1101"/>
    </row>
    <row r="57" spans="1:57" x14ac:dyDescent="0.3">
      <c r="A57" s="1120" t="s">
        <v>214</v>
      </c>
      <c r="B57" s="1121"/>
      <c r="C57" s="1121"/>
      <c r="D57" s="1121"/>
      <c r="E57" s="1121"/>
      <c r="F57" s="1121"/>
      <c r="G57" s="1121"/>
      <c r="H57" s="1122"/>
      <c r="I57" s="1096">
        <v>4891</v>
      </c>
      <c r="J57" s="1097"/>
      <c r="K57" s="1097"/>
      <c r="L57" s="1098"/>
      <c r="M57" s="1099">
        <v>0.55000000000000004</v>
      </c>
      <c r="N57" s="1100"/>
      <c r="O57" s="1100"/>
      <c r="P57" s="1101"/>
    </row>
    <row r="58" spans="1:57" x14ac:dyDescent="0.3">
      <c r="A58" s="1120" t="s">
        <v>215</v>
      </c>
      <c r="B58" s="1121"/>
      <c r="C58" s="1121"/>
      <c r="D58" s="1121"/>
      <c r="E58" s="1121"/>
      <c r="F58" s="1121"/>
      <c r="G58" s="1121"/>
      <c r="H58" s="1122"/>
      <c r="I58" s="1096">
        <v>4910</v>
      </c>
      <c r="J58" s="1097"/>
      <c r="K58" s="1097"/>
      <c r="L58" s="1098"/>
      <c r="M58" s="1099">
        <v>0.6</v>
      </c>
      <c r="N58" s="1100"/>
      <c r="O58" s="1100"/>
      <c r="P58" s="1101"/>
    </row>
    <row r="59" spans="1:57" x14ac:dyDescent="0.3">
      <c r="A59" s="1120" t="s">
        <v>216</v>
      </c>
      <c r="B59" s="1121"/>
      <c r="C59" s="1121"/>
      <c r="D59" s="1121"/>
      <c r="E59" s="1121"/>
      <c r="F59" s="1121"/>
      <c r="G59" s="1121"/>
      <c r="H59" s="1122"/>
      <c r="I59" s="1096" t="s">
        <v>1905</v>
      </c>
      <c r="J59" s="1097"/>
      <c r="K59" s="1097"/>
      <c r="L59" s="1098"/>
      <c r="M59" s="1099" t="s">
        <v>1905</v>
      </c>
      <c r="N59" s="1100"/>
      <c r="O59" s="1100"/>
      <c r="P59" s="1101"/>
    </row>
    <row r="60" spans="1:57" x14ac:dyDescent="0.3">
      <c r="A60" s="1120" t="s">
        <v>47</v>
      </c>
      <c r="B60" s="1121"/>
      <c r="C60" s="1121"/>
      <c r="D60" s="1121"/>
      <c r="E60" s="1121"/>
      <c r="F60" s="1121"/>
      <c r="G60" s="1121"/>
      <c r="H60" s="1122"/>
      <c r="I60" s="1096">
        <v>2754</v>
      </c>
      <c r="J60" s="1097"/>
      <c r="K60" s="1097"/>
      <c r="L60" s="1098"/>
      <c r="M60" s="1099">
        <v>0.48</v>
      </c>
      <c r="N60" s="1100"/>
      <c r="O60" s="1100"/>
      <c r="P60" s="1101"/>
    </row>
    <row r="61" spans="1:57" x14ac:dyDescent="0.3">
      <c r="A61" s="1120" t="s">
        <v>217</v>
      </c>
      <c r="B61" s="1121"/>
      <c r="C61" s="1121"/>
      <c r="D61" s="1121"/>
      <c r="E61" s="1121"/>
      <c r="F61" s="1121"/>
      <c r="G61" s="1121"/>
      <c r="H61" s="1122"/>
      <c r="I61" s="1096">
        <v>2451</v>
      </c>
      <c r="J61" s="1097"/>
      <c r="K61" s="1097"/>
      <c r="L61" s="1098"/>
      <c r="M61" s="1099">
        <v>0.4</v>
      </c>
      <c r="N61" s="1100"/>
      <c r="O61" s="1100"/>
      <c r="P61" s="1101"/>
    </row>
    <row r="62" spans="1:57" x14ac:dyDescent="0.3">
      <c r="A62" s="1120" t="s">
        <v>218</v>
      </c>
      <c r="B62" s="1121"/>
      <c r="C62" s="1121"/>
      <c r="D62" s="1121"/>
      <c r="E62" s="1121"/>
      <c r="F62" s="1121"/>
      <c r="G62" s="1121"/>
      <c r="H62" s="1122"/>
      <c r="I62" s="1096">
        <v>1913</v>
      </c>
      <c r="J62" s="1097"/>
      <c r="K62" s="1097"/>
      <c r="L62" s="1098"/>
      <c r="M62" s="1099">
        <v>0.28999999999999998</v>
      </c>
      <c r="N62" s="1100"/>
      <c r="O62" s="1100"/>
      <c r="P62" s="1101"/>
    </row>
    <row r="63" spans="1:57" x14ac:dyDescent="0.3">
      <c r="A63" s="1120" t="s">
        <v>219</v>
      </c>
      <c r="B63" s="1121"/>
      <c r="C63" s="1121"/>
      <c r="D63" s="1121"/>
      <c r="E63" s="1121"/>
      <c r="F63" s="1121"/>
      <c r="G63" s="1121"/>
      <c r="H63" s="1122"/>
      <c r="I63" s="1096">
        <v>1033</v>
      </c>
      <c r="J63" s="1097"/>
      <c r="K63" s="1097"/>
      <c r="L63" s="1098"/>
      <c r="M63" s="1099">
        <v>0.01</v>
      </c>
      <c r="N63" s="1100"/>
      <c r="O63" s="1100"/>
      <c r="P63" s="1101"/>
    </row>
    <row r="64" spans="1:57" x14ac:dyDescent="0.3">
      <c r="A64" s="1123" t="s">
        <v>2521</v>
      </c>
      <c r="B64" s="1123"/>
      <c r="C64" s="1123"/>
      <c r="D64" s="1123"/>
      <c r="E64" s="1123"/>
      <c r="F64" s="1123"/>
      <c r="G64" s="1123"/>
      <c r="H64" s="1123"/>
      <c r="I64" s="1123"/>
      <c r="J64" s="1123"/>
      <c r="K64" s="1123"/>
      <c r="L64" s="1123"/>
      <c r="M64" s="1123"/>
      <c r="N64" s="1123"/>
      <c r="O64" s="1123"/>
      <c r="P64" s="1123"/>
      <c r="Q64" s="1123"/>
      <c r="R64" s="1123"/>
      <c r="S64" s="1123"/>
      <c r="T64" s="1123"/>
      <c r="U64" s="1123"/>
      <c r="V64" s="1123"/>
      <c r="W64" s="1123"/>
      <c r="X64" s="1123"/>
      <c r="Y64" s="1123"/>
      <c r="Z64" s="1123"/>
      <c r="AA64" s="1123"/>
      <c r="AB64" s="1123"/>
      <c r="AC64" s="1123"/>
      <c r="AD64" s="1123"/>
      <c r="AE64" s="1123"/>
      <c r="AF64" s="1123"/>
      <c r="AG64" s="122"/>
      <c r="AH64" s="122"/>
      <c r="AI64" s="122"/>
      <c r="AJ64" s="122"/>
      <c r="AK64" s="122"/>
      <c r="AL64" s="122"/>
      <c r="AM64" s="122"/>
      <c r="AN64" s="331"/>
      <c r="AO64" s="331"/>
      <c r="AP64" s="331"/>
      <c r="AQ64" s="331"/>
      <c r="AR64" s="331"/>
      <c r="AS64" s="331"/>
      <c r="AT64" s="331"/>
      <c r="AU64" s="331"/>
      <c r="AV64" s="331"/>
      <c r="AW64" s="332"/>
      <c r="AX64" s="332"/>
      <c r="AY64" s="332"/>
      <c r="AZ64" s="332"/>
      <c r="BA64" s="332"/>
      <c r="BB64" s="332"/>
      <c r="BC64" s="332"/>
      <c r="BD64" s="332"/>
      <c r="BE64" s="332"/>
    </row>
    <row r="65" spans="1:58" ht="29.25" customHeight="1" x14ac:dyDescent="0.3">
      <c r="A65" s="948" t="s">
        <v>2799</v>
      </c>
      <c r="B65" s="948"/>
      <c r="C65" s="948"/>
      <c r="D65" s="948"/>
      <c r="E65" s="948"/>
      <c r="F65" s="948"/>
      <c r="G65" s="948"/>
      <c r="H65" s="948"/>
      <c r="I65" s="948"/>
      <c r="J65" s="948"/>
      <c r="K65" s="948"/>
      <c r="L65" s="948"/>
      <c r="M65" s="948"/>
      <c r="N65" s="948"/>
      <c r="O65" s="948"/>
      <c r="P65" s="948"/>
      <c r="Q65" s="948"/>
      <c r="R65" s="948"/>
      <c r="S65" s="948"/>
      <c r="T65" s="948"/>
      <c r="U65" s="948"/>
      <c r="V65" s="948"/>
      <c r="W65" s="948"/>
      <c r="X65" s="948"/>
      <c r="Y65" s="948"/>
      <c r="Z65" s="948"/>
      <c r="AA65" s="948"/>
      <c r="AB65" s="948"/>
      <c r="AC65" s="948"/>
      <c r="AD65" s="948"/>
      <c r="AE65" s="948"/>
      <c r="AF65" s="948"/>
      <c r="AG65" s="26"/>
      <c r="AH65" s="26"/>
      <c r="AI65" s="26"/>
      <c r="AJ65" s="26"/>
      <c r="AK65" s="26"/>
      <c r="AL65" s="26"/>
      <c r="AM65" s="26"/>
      <c r="AN65" s="26"/>
      <c r="AO65" s="26"/>
      <c r="AP65" s="26"/>
      <c r="AQ65" s="26"/>
      <c r="AR65" s="26"/>
      <c r="AS65" s="26"/>
    </row>
    <row r="67" spans="1:58" x14ac:dyDescent="0.3">
      <c r="A67" s="958" t="s">
        <v>2516</v>
      </c>
      <c r="B67" s="959"/>
      <c r="C67" s="959"/>
      <c r="D67" s="959"/>
      <c r="E67" s="959"/>
      <c r="F67" s="959"/>
      <c r="G67" s="959"/>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60"/>
    </row>
    <row r="69" spans="1:58" ht="62.25" customHeight="1" x14ac:dyDescent="0.3">
      <c r="A69" s="863" t="s">
        <v>2517</v>
      </c>
      <c r="B69" s="863"/>
      <c r="C69" s="863"/>
      <c r="D69" s="863"/>
      <c r="E69" s="863"/>
      <c r="F69" s="863"/>
      <c r="G69" s="863"/>
      <c r="H69" s="863"/>
      <c r="I69" s="863"/>
      <c r="J69" s="863"/>
      <c r="K69" s="863"/>
      <c r="L69" s="863"/>
      <c r="M69" s="863"/>
      <c r="N69" s="863"/>
      <c r="O69" s="863"/>
      <c r="P69" s="863"/>
      <c r="Q69" s="863"/>
      <c r="R69" s="863"/>
      <c r="S69" s="863"/>
      <c r="T69" s="863"/>
      <c r="U69" s="863"/>
      <c r="V69" s="863"/>
      <c r="W69" s="863"/>
      <c r="X69" s="863"/>
      <c r="Y69" s="863"/>
      <c r="Z69" s="863"/>
      <c r="AA69" s="863"/>
      <c r="AB69" s="863"/>
      <c r="AC69" s="863"/>
      <c r="AD69" s="863"/>
      <c r="AE69" s="863"/>
      <c r="AF69" s="863"/>
    </row>
    <row r="71" spans="1:58" s="8" customFormat="1" x14ac:dyDescent="0.3">
      <c r="A71" s="883" t="s">
        <v>2519</v>
      </c>
      <c r="B71" s="1089"/>
      <c r="C71" s="1089"/>
      <c r="D71" s="1089"/>
      <c r="E71" s="1089"/>
      <c r="F71" s="1089"/>
      <c r="G71" s="1089"/>
      <c r="H71" s="1089"/>
      <c r="I71" s="1089"/>
      <c r="J71" s="1089"/>
      <c r="K71" s="1089"/>
      <c r="L71" s="1089"/>
      <c r="M71" s="1089"/>
      <c r="N71" s="1089"/>
      <c r="O71" s="1089"/>
      <c r="P71" s="1089"/>
      <c r="Q71" s="1089"/>
      <c r="R71" s="1089"/>
      <c r="S71" s="1089"/>
      <c r="T71" s="1089"/>
      <c r="U71" s="1089"/>
      <c r="V71" s="1089"/>
      <c r="W71" s="1089"/>
      <c r="X71" s="1089"/>
      <c r="Y71" s="1089"/>
      <c r="Z71" s="1089"/>
      <c r="AA71" s="1089"/>
      <c r="AB71" s="1089"/>
      <c r="AC71" s="1089"/>
      <c r="AD71" s="1089"/>
      <c r="AE71" s="1089"/>
      <c r="AF71" s="1089"/>
    </row>
    <row r="72" spans="1:58" x14ac:dyDescent="0.3">
      <c r="A72" s="1124" t="s">
        <v>46</v>
      </c>
      <c r="B72" s="1125"/>
      <c r="C72" s="1125"/>
      <c r="D72" s="1125"/>
      <c r="E72" s="1125"/>
      <c r="F72" s="1125"/>
      <c r="G72" s="1125"/>
      <c r="H72" s="1126"/>
      <c r="I72" s="1102" t="s">
        <v>235</v>
      </c>
      <c r="J72" s="1102"/>
      <c r="K72" s="1102"/>
      <c r="L72" s="1102"/>
      <c r="M72" s="1102" t="s">
        <v>21</v>
      </c>
      <c r="N72" s="1102"/>
      <c r="O72" s="1102"/>
      <c r="P72" s="1102"/>
      <c r="AH72" s="23"/>
      <c r="AI72" s="23"/>
      <c r="AJ72" s="23"/>
      <c r="AK72" s="23"/>
      <c r="AL72" s="23"/>
      <c r="AM72" s="23"/>
      <c r="AN72" s="23"/>
      <c r="AO72" s="23"/>
      <c r="AP72" s="23"/>
      <c r="AQ72" s="23"/>
      <c r="AR72" s="335"/>
      <c r="AS72" s="335"/>
      <c r="AT72" s="335"/>
      <c r="AU72" s="335"/>
      <c r="AV72" s="335"/>
      <c r="AW72" s="23"/>
      <c r="AX72" s="23"/>
      <c r="AY72" s="23"/>
      <c r="AZ72" s="23"/>
      <c r="BA72" s="23"/>
      <c r="BB72" s="23"/>
      <c r="BC72" s="23"/>
      <c r="BD72" s="23"/>
      <c r="BE72" s="23"/>
      <c r="BF72" s="23"/>
    </row>
    <row r="73" spans="1:58" x14ac:dyDescent="0.3">
      <c r="A73" s="1120" t="s">
        <v>2520</v>
      </c>
      <c r="B73" s="1121"/>
      <c r="C73" s="1121"/>
      <c r="D73" s="1121"/>
      <c r="E73" s="1121"/>
      <c r="F73" s="1121"/>
      <c r="G73" s="1121"/>
      <c r="H73" s="1122"/>
      <c r="I73" s="1115">
        <v>2322</v>
      </c>
      <c r="J73" s="1116"/>
      <c r="K73" s="1116"/>
      <c r="L73" s="1117"/>
      <c r="M73" s="1118">
        <v>0.28999999999999998</v>
      </c>
      <c r="N73" s="1119"/>
      <c r="O73" s="1119"/>
      <c r="P73" s="1119"/>
      <c r="AR73" s="181"/>
      <c r="AS73" s="181"/>
      <c r="AT73" s="181"/>
      <c r="AU73" s="181"/>
      <c r="AV73" s="181"/>
      <c r="AW73" s="333"/>
      <c r="AX73" s="333"/>
      <c r="AY73" s="333"/>
      <c r="AZ73" s="333"/>
      <c r="BA73" s="333"/>
      <c r="BB73" s="334"/>
      <c r="BC73" s="334"/>
      <c r="BD73" s="334"/>
      <c r="BE73" s="334"/>
      <c r="BF73" s="334"/>
    </row>
    <row r="74" spans="1:58" x14ac:dyDescent="0.3">
      <c r="A74" s="1120" t="s">
        <v>211</v>
      </c>
      <c r="B74" s="1121"/>
      <c r="C74" s="1121"/>
      <c r="D74" s="1121"/>
      <c r="E74" s="1121"/>
      <c r="F74" s="1121"/>
      <c r="G74" s="1121"/>
      <c r="H74" s="1122"/>
      <c r="I74" s="1096" t="s">
        <v>1905</v>
      </c>
      <c r="J74" s="1097"/>
      <c r="K74" s="1097"/>
      <c r="L74" s="1098"/>
      <c r="M74" s="1096" t="s">
        <v>1905</v>
      </c>
      <c r="N74" s="1097"/>
      <c r="O74" s="1097"/>
      <c r="P74" s="1098"/>
      <c r="AR74" s="181"/>
      <c r="AS74" s="181"/>
      <c r="AT74" s="181"/>
      <c r="AU74" s="181"/>
      <c r="AV74" s="181"/>
      <c r="AW74" s="333"/>
      <c r="AX74" s="333"/>
      <c r="AY74" s="333"/>
      <c r="AZ74" s="333"/>
      <c r="BA74" s="333"/>
      <c r="BB74" s="334"/>
      <c r="BC74" s="334"/>
      <c r="BD74" s="334"/>
      <c r="BE74" s="334"/>
      <c r="BF74" s="334"/>
    </row>
    <row r="75" spans="1:58" x14ac:dyDescent="0.3">
      <c r="A75" s="1120" t="s">
        <v>212</v>
      </c>
      <c r="B75" s="1121"/>
      <c r="C75" s="1121"/>
      <c r="D75" s="1121"/>
      <c r="E75" s="1121"/>
      <c r="F75" s="1121"/>
      <c r="G75" s="1121"/>
      <c r="H75" s="1122"/>
      <c r="I75" s="1115">
        <v>1916</v>
      </c>
      <c r="J75" s="1116"/>
      <c r="K75" s="1116"/>
      <c r="L75" s="1117"/>
      <c r="M75" s="1118">
        <v>0.25</v>
      </c>
      <c r="N75" s="1119"/>
      <c r="O75" s="1119"/>
      <c r="P75" s="1119"/>
      <c r="AR75" s="181"/>
      <c r="AS75" s="181"/>
      <c r="AT75" s="181"/>
      <c r="AU75" s="181"/>
      <c r="AV75" s="181"/>
      <c r="AW75" s="333"/>
      <c r="AX75" s="333"/>
      <c r="AY75" s="333"/>
      <c r="AZ75" s="333"/>
      <c r="BA75" s="333"/>
      <c r="BB75" s="334"/>
      <c r="BC75" s="334"/>
      <c r="BD75" s="334"/>
      <c r="BE75" s="334"/>
      <c r="BF75" s="334"/>
    </row>
    <row r="76" spans="1:58" x14ac:dyDescent="0.3">
      <c r="A76" s="1120" t="s">
        <v>213</v>
      </c>
      <c r="B76" s="1121"/>
      <c r="C76" s="1121"/>
      <c r="D76" s="1121"/>
      <c r="E76" s="1121"/>
      <c r="F76" s="1121"/>
      <c r="G76" s="1121"/>
      <c r="H76" s="1122"/>
      <c r="I76" s="1115">
        <v>4406</v>
      </c>
      <c r="J76" s="1116"/>
      <c r="K76" s="1116"/>
      <c r="L76" s="1117"/>
      <c r="M76" s="1118">
        <v>0.6</v>
      </c>
      <c r="N76" s="1119"/>
      <c r="O76" s="1119"/>
      <c r="P76" s="1119"/>
      <c r="AR76" s="181"/>
      <c r="AS76" s="181"/>
      <c r="AT76" s="181"/>
      <c r="AU76" s="181"/>
      <c r="AV76" s="181"/>
      <c r="AW76" s="333"/>
      <c r="AX76" s="333"/>
      <c r="AY76" s="333"/>
      <c r="AZ76" s="333"/>
      <c r="BA76" s="333"/>
      <c r="BB76" s="334"/>
      <c r="BC76" s="334"/>
      <c r="BD76" s="334"/>
      <c r="BE76" s="334"/>
      <c r="BF76" s="334"/>
    </row>
    <row r="77" spans="1:58" x14ac:dyDescent="0.3">
      <c r="A77" s="1120" t="s">
        <v>214</v>
      </c>
      <c r="B77" s="1121"/>
      <c r="C77" s="1121"/>
      <c r="D77" s="1121"/>
      <c r="E77" s="1121"/>
      <c r="F77" s="1121"/>
      <c r="G77" s="1121"/>
      <c r="H77" s="1122"/>
      <c r="I77" s="1115">
        <v>2247</v>
      </c>
      <c r="J77" s="1116"/>
      <c r="K77" s="1116"/>
      <c r="L77" s="1117"/>
      <c r="M77" s="1118">
        <v>0.2</v>
      </c>
      <c r="N77" s="1119"/>
      <c r="O77" s="1119"/>
      <c r="P77" s="1119"/>
      <c r="AR77" s="181"/>
      <c r="AS77" s="181"/>
      <c r="AT77" s="181"/>
      <c r="AU77" s="181"/>
      <c r="AV77" s="181"/>
      <c r="AW77" s="333"/>
      <c r="AX77" s="333"/>
      <c r="AY77" s="333"/>
      <c r="AZ77" s="333"/>
      <c r="BA77" s="333"/>
      <c r="BB77" s="334"/>
      <c r="BC77" s="334"/>
      <c r="BD77" s="334"/>
      <c r="BE77" s="334"/>
      <c r="BF77" s="334"/>
    </row>
    <row r="78" spans="1:58" x14ac:dyDescent="0.3">
      <c r="A78" s="1120" t="s">
        <v>215</v>
      </c>
      <c r="B78" s="1121"/>
      <c r="C78" s="1121"/>
      <c r="D78" s="1121"/>
      <c r="E78" s="1121"/>
      <c r="F78" s="1121"/>
      <c r="G78" s="1121"/>
      <c r="H78" s="1122"/>
      <c r="I78" s="1115">
        <v>3008</v>
      </c>
      <c r="J78" s="1116"/>
      <c r="K78" s="1116"/>
      <c r="L78" s="1117"/>
      <c r="M78" s="1118">
        <v>0.35</v>
      </c>
      <c r="N78" s="1119"/>
      <c r="O78" s="1119"/>
      <c r="P78" s="1119"/>
      <c r="AR78" s="181"/>
      <c r="AS78" s="181"/>
      <c r="AT78" s="181"/>
      <c r="AU78" s="181"/>
      <c r="AV78" s="181"/>
      <c r="AW78" s="333"/>
      <c r="AX78" s="333"/>
      <c r="AY78" s="333"/>
      <c r="AZ78" s="333"/>
      <c r="BA78" s="333"/>
      <c r="BB78" s="334"/>
      <c r="BC78" s="334"/>
      <c r="BD78" s="334"/>
      <c r="BE78" s="334"/>
      <c r="BF78" s="334"/>
    </row>
    <row r="79" spans="1:58" x14ac:dyDescent="0.3">
      <c r="A79" s="1120" t="s">
        <v>216</v>
      </c>
      <c r="B79" s="1121"/>
      <c r="C79" s="1121"/>
      <c r="D79" s="1121"/>
      <c r="E79" s="1121"/>
      <c r="F79" s="1121"/>
      <c r="G79" s="1121"/>
      <c r="H79" s="1122"/>
      <c r="I79" s="1096" t="s">
        <v>1905</v>
      </c>
      <c r="J79" s="1097"/>
      <c r="K79" s="1097"/>
      <c r="L79" s="1098"/>
      <c r="M79" s="1096" t="s">
        <v>1905</v>
      </c>
      <c r="N79" s="1097"/>
      <c r="O79" s="1097"/>
      <c r="P79" s="1098"/>
      <c r="AR79" s="181"/>
      <c r="AS79" s="181"/>
      <c r="AT79" s="181"/>
      <c r="AU79" s="181"/>
      <c r="AV79" s="181"/>
      <c r="AW79" s="333"/>
      <c r="AX79" s="333"/>
      <c r="AY79" s="333"/>
      <c r="AZ79" s="333"/>
      <c r="BA79" s="333"/>
      <c r="BB79" s="334"/>
      <c r="BC79" s="334"/>
      <c r="BD79" s="334"/>
      <c r="BE79" s="334"/>
      <c r="BF79" s="334"/>
    </row>
    <row r="80" spans="1:58" x14ac:dyDescent="0.3">
      <c r="A80" s="1120" t="s">
        <v>47</v>
      </c>
      <c r="B80" s="1121"/>
      <c r="C80" s="1121"/>
      <c r="D80" s="1121"/>
      <c r="E80" s="1121"/>
      <c r="F80" s="1121"/>
      <c r="G80" s="1121"/>
      <c r="H80" s="1122"/>
      <c r="I80" s="1115">
        <v>2632</v>
      </c>
      <c r="J80" s="1116"/>
      <c r="K80" s="1116"/>
      <c r="L80" s="1117"/>
      <c r="M80" s="1118">
        <v>0.3</v>
      </c>
      <c r="N80" s="1119"/>
      <c r="O80" s="1119"/>
      <c r="P80" s="1119"/>
      <c r="AR80" s="181"/>
      <c r="AS80" s="181"/>
      <c r="AT80" s="181"/>
      <c r="AU80" s="181"/>
      <c r="AV80" s="181"/>
      <c r="AW80" s="333"/>
      <c r="AX80" s="333"/>
      <c r="AY80" s="333"/>
      <c r="AZ80" s="333"/>
      <c r="BA80" s="333"/>
      <c r="BB80" s="334"/>
      <c r="BC80" s="334"/>
      <c r="BD80" s="334"/>
      <c r="BE80" s="334"/>
      <c r="BF80" s="334"/>
    </row>
    <row r="81" spans="1:58" x14ac:dyDescent="0.3">
      <c r="A81" s="1120" t="s">
        <v>217</v>
      </c>
      <c r="B81" s="1121"/>
      <c r="C81" s="1121"/>
      <c r="D81" s="1121"/>
      <c r="E81" s="1121"/>
      <c r="F81" s="1121"/>
      <c r="G81" s="1121"/>
      <c r="H81" s="1122"/>
      <c r="I81" s="1115">
        <v>3947</v>
      </c>
      <c r="J81" s="1116"/>
      <c r="K81" s="1116"/>
      <c r="L81" s="1117"/>
      <c r="M81" s="1118">
        <v>0.74</v>
      </c>
      <c r="N81" s="1119"/>
      <c r="O81" s="1119"/>
      <c r="P81" s="1119"/>
      <c r="AR81" s="181"/>
      <c r="AS81" s="181"/>
      <c r="AT81" s="181"/>
      <c r="AU81" s="181"/>
      <c r="AV81" s="181"/>
      <c r="AW81" s="333"/>
      <c r="AX81" s="333"/>
      <c r="AY81" s="333"/>
      <c r="AZ81" s="333"/>
      <c r="BA81" s="333"/>
      <c r="BB81" s="334"/>
      <c r="BC81" s="334"/>
      <c r="BD81" s="334"/>
      <c r="BE81" s="334"/>
      <c r="BF81" s="334"/>
    </row>
    <row r="82" spans="1:58" x14ac:dyDescent="0.3">
      <c r="A82" s="1120" t="s">
        <v>218</v>
      </c>
      <c r="B82" s="1121"/>
      <c r="C82" s="1121"/>
      <c r="D82" s="1121"/>
      <c r="E82" s="1121"/>
      <c r="F82" s="1121"/>
      <c r="G82" s="1121"/>
      <c r="H82" s="1122"/>
      <c r="I82" s="1096" t="s">
        <v>1905</v>
      </c>
      <c r="J82" s="1097"/>
      <c r="K82" s="1097"/>
      <c r="L82" s="1098"/>
      <c r="M82" s="1096" t="s">
        <v>1905</v>
      </c>
      <c r="N82" s="1097"/>
      <c r="O82" s="1097"/>
      <c r="P82" s="1098"/>
      <c r="AR82" s="181"/>
      <c r="AS82" s="181"/>
      <c r="AT82" s="181"/>
      <c r="AU82" s="181"/>
      <c r="AV82" s="181"/>
      <c r="AW82" s="333"/>
      <c r="AX82" s="333"/>
      <c r="AY82" s="333"/>
      <c r="AZ82" s="333"/>
      <c r="BA82" s="333"/>
      <c r="BB82" s="334"/>
      <c r="BC82" s="334"/>
      <c r="BD82" s="334"/>
      <c r="BE82" s="334"/>
      <c r="BF82" s="334"/>
    </row>
    <row r="83" spans="1:58" x14ac:dyDescent="0.3">
      <c r="A83" s="1120" t="s">
        <v>219</v>
      </c>
      <c r="B83" s="1121"/>
      <c r="C83" s="1121"/>
      <c r="D83" s="1121"/>
      <c r="E83" s="1121"/>
      <c r="F83" s="1121"/>
      <c r="G83" s="1121"/>
      <c r="H83" s="1122"/>
      <c r="I83" s="1096" t="s">
        <v>1905</v>
      </c>
      <c r="J83" s="1097"/>
      <c r="K83" s="1097"/>
      <c r="L83" s="1098"/>
      <c r="M83" s="1096" t="s">
        <v>1905</v>
      </c>
      <c r="N83" s="1097"/>
      <c r="O83" s="1097"/>
      <c r="P83" s="1098"/>
      <c r="AR83" s="181"/>
      <c r="AS83" s="181"/>
      <c r="AT83" s="181"/>
      <c r="AU83" s="181"/>
      <c r="AV83" s="181"/>
      <c r="AW83" s="333"/>
      <c r="AX83" s="333"/>
      <c r="AY83" s="333"/>
      <c r="AZ83" s="333"/>
      <c r="BA83" s="333"/>
      <c r="BB83" s="334"/>
      <c r="BC83" s="334"/>
      <c r="BD83" s="334"/>
      <c r="BE83" s="334"/>
      <c r="BF83" s="334"/>
    </row>
    <row r="84" spans="1:58" x14ac:dyDescent="0.3">
      <c r="A84" s="1123" t="s">
        <v>2521</v>
      </c>
      <c r="B84" s="1123"/>
      <c r="C84" s="1123"/>
      <c r="D84" s="1123"/>
      <c r="E84" s="1123"/>
      <c r="F84" s="1123"/>
      <c r="G84" s="1123"/>
      <c r="H84" s="1123"/>
      <c r="I84" s="1123"/>
      <c r="J84" s="1123"/>
      <c r="K84" s="1123"/>
      <c r="L84" s="1123"/>
      <c r="M84" s="1123"/>
      <c r="N84" s="1123"/>
      <c r="O84" s="1123"/>
      <c r="P84" s="1123"/>
      <c r="Q84" s="1123"/>
      <c r="R84" s="1123"/>
      <c r="S84" s="1123"/>
      <c r="T84" s="1123"/>
      <c r="U84" s="1123"/>
      <c r="V84" s="1123"/>
      <c r="W84" s="1123"/>
      <c r="X84" s="1123"/>
      <c r="Y84" s="1123"/>
      <c r="Z84" s="1123"/>
      <c r="AA84" s="1123"/>
      <c r="AB84" s="1123"/>
      <c r="AC84" s="1123"/>
      <c r="AD84" s="1123"/>
      <c r="AE84" s="1123"/>
      <c r="AF84" s="1123"/>
      <c r="AH84" s="318"/>
    </row>
    <row r="85" spans="1:58" ht="31.5" customHeight="1" x14ac:dyDescent="0.3">
      <c r="A85" s="948" t="s">
        <v>2799</v>
      </c>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c r="AA85" s="948"/>
      <c r="AB85" s="948"/>
      <c r="AC85" s="948"/>
      <c r="AD85" s="948"/>
      <c r="AE85" s="948"/>
      <c r="AF85" s="948"/>
      <c r="AH85" s="318"/>
    </row>
  </sheetData>
  <sheetProtection algorithmName="SHA-512" hashValue="rj8RBRuuXPEsgVPxUTs52vDlU7IiteuaVYosj/lQ9xBJYSgV+mhFMdgsVa71HOTw/EwwW/WA/sjZ9yWZ6D+sFw==" saltValue="J2gi1PLiLH4VK2YV8tqFKg==" spinCount="100000" sheet="1" objects="1" scenarios="1"/>
  <mergeCells count="216">
    <mergeCell ref="X31:AB31"/>
    <mergeCell ref="X37:AB37"/>
    <mergeCell ref="A38:H38"/>
    <mergeCell ref="I38:M38"/>
    <mergeCell ref="N38:R38"/>
    <mergeCell ref="S38:W38"/>
    <mergeCell ref="A31:H31"/>
    <mergeCell ref="I31:M31"/>
    <mergeCell ref="A30:H30"/>
    <mergeCell ref="I30:M30"/>
    <mergeCell ref="X38:AB38"/>
    <mergeCell ref="A36:H36"/>
    <mergeCell ref="I36:M36"/>
    <mergeCell ref="S34:W34"/>
    <mergeCell ref="S35:W35"/>
    <mergeCell ref="X34:AB34"/>
    <mergeCell ref="X35:AB35"/>
    <mergeCell ref="X36:AB36"/>
    <mergeCell ref="N32:R32"/>
    <mergeCell ref="S32:W32"/>
    <mergeCell ref="N36:R36"/>
    <mergeCell ref="N37:R37"/>
    <mergeCell ref="N34:R34"/>
    <mergeCell ref="N35:R35"/>
    <mergeCell ref="A85:AF85"/>
    <mergeCell ref="A84:AF84"/>
    <mergeCell ref="A39:AB39"/>
    <mergeCell ref="A40:AB40"/>
    <mergeCell ref="B41:AB41"/>
    <mergeCell ref="B42:AB42"/>
    <mergeCell ref="B43:AB43"/>
    <mergeCell ref="A44:AB44"/>
    <mergeCell ref="A83:H83"/>
    <mergeCell ref="A52:H52"/>
    <mergeCell ref="A53:H53"/>
    <mergeCell ref="A54:H54"/>
    <mergeCell ref="A55:H55"/>
    <mergeCell ref="A56:H56"/>
    <mergeCell ref="A57:H57"/>
    <mergeCell ref="A58:H58"/>
    <mergeCell ref="A59:H59"/>
    <mergeCell ref="I78:L78"/>
    <mergeCell ref="M78:P78"/>
    <mergeCell ref="A77:H77"/>
    <mergeCell ref="A78:H78"/>
    <mergeCell ref="I75:L75"/>
    <mergeCell ref="M75:P75"/>
    <mergeCell ref="I73:L73"/>
    <mergeCell ref="N12:R12"/>
    <mergeCell ref="S12:W12"/>
    <mergeCell ref="X12:AB12"/>
    <mergeCell ref="A24:AB24"/>
    <mergeCell ref="X18:AB18"/>
    <mergeCell ref="X19:AB19"/>
    <mergeCell ref="X20:AB20"/>
    <mergeCell ref="X21:AB21"/>
    <mergeCell ref="X22:AB22"/>
    <mergeCell ref="X13:AB13"/>
    <mergeCell ref="X14:AB14"/>
    <mergeCell ref="X15:AB15"/>
    <mergeCell ref="X16:AB16"/>
    <mergeCell ref="X17:AB17"/>
    <mergeCell ref="S13:W13"/>
    <mergeCell ref="S14:W14"/>
    <mergeCell ref="S22:W22"/>
    <mergeCell ref="N19:R19"/>
    <mergeCell ref="N20:R20"/>
    <mergeCell ref="S19:W19"/>
    <mergeCell ref="S20:W20"/>
    <mergeCell ref="N15:R15"/>
    <mergeCell ref="N16:R16"/>
    <mergeCell ref="S15:W15"/>
    <mergeCell ref="X32:AB32"/>
    <mergeCell ref="N33:R33"/>
    <mergeCell ref="N23:R23"/>
    <mergeCell ref="S23:W23"/>
    <mergeCell ref="N21:R21"/>
    <mergeCell ref="N22:R22"/>
    <mergeCell ref="S21:W21"/>
    <mergeCell ref="X29:AB29"/>
    <mergeCell ref="I33:M33"/>
    <mergeCell ref="A26:AF26"/>
    <mergeCell ref="A27:H27"/>
    <mergeCell ref="I27:M27"/>
    <mergeCell ref="A28:H28"/>
    <mergeCell ref="S29:W29"/>
    <mergeCell ref="X23:AB23"/>
    <mergeCell ref="N27:R27"/>
    <mergeCell ref="S27:W27"/>
    <mergeCell ref="X27:AB27"/>
    <mergeCell ref="N28:R28"/>
    <mergeCell ref="S28:W28"/>
    <mergeCell ref="X28:AB28"/>
    <mergeCell ref="N30:R30"/>
    <mergeCell ref="S30:W30"/>
    <mergeCell ref="X30:AB30"/>
    <mergeCell ref="N31:R31"/>
    <mergeCell ref="S31:W31"/>
    <mergeCell ref="A37:H37"/>
    <mergeCell ref="I37:M37"/>
    <mergeCell ref="A29:H29"/>
    <mergeCell ref="I29:M29"/>
    <mergeCell ref="N29:R29"/>
    <mergeCell ref="I28:M28"/>
    <mergeCell ref="I83:L83"/>
    <mergeCell ref="M83:P83"/>
    <mergeCell ref="A51:AF51"/>
    <mergeCell ref="A71:AF71"/>
    <mergeCell ref="I81:L81"/>
    <mergeCell ref="M81:P81"/>
    <mergeCell ref="I82:L82"/>
    <mergeCell ref="M82:P82"/>
    <mergeCell ref="A81:H81"/>
    <mergeCell ref="A82:H82"/>
    <mergeCell ref="I79:L79"/>
    <mergeCell ref="M79:P79"/>
    <mergeCell ref="I80:L80"/>
    <mergeCell ref="M80:P80"/>
    <mergeCell ref="A79:H79"/>
    <mergeCell ref="A80:H80"/>
    <mergeCell ref="S36:W36"/>
    <mergeCell ref="S37:W37"/>
    <mergeCell ref="I77:L77"/>
    <mergeCell ref="M77:P77"/>
    <mergeCell ref="I76:L76"/>
    <mergeCell ref="M76:P76"/>
    <mergeCell ref="A75:H75"/>
    <mergeCell ref="A76:H76"/>
    <mergeCell ref="A64:AF64"/>
    <mergeCell ref="A60:H60"/>
    <mergeCell ref="M73:P73"/>
    <mergeCell ref="I74:L74"/>
    <mergeCell ref="M74:P74"/>
    <mergeCell ref="A73:H73"/>
    <mergeCell ref="A74:H74"/>
    <mergeCell ref="A67:AF67"/>
    <mergeCell ref="A69:AF69"/>
    <mergeCell ref="I72:L72"/>
    <mergeCell ref="M72:P72"/>
    <mergeCell ref="A72:H72"/>
    <mergeCell ref="A61:H61"/>
    <mergeCell ref="A62:H62"/>
    <mergeCell ref="A63:H63"/>
    <mergeCell ref="A65:AF65"/>
    <mergeCell ref="A49:AF49"/>
    <mergeCell ref="A12:H12"/>
    <mergeCell ref="A13:H13"/>
    <mergeCell ref="A14:H14"/>
    <mergeCell ref="A15:H15"/>
    <mergeCell ref="A16:H16"/>
    <mergeCell ref="A17:H17"/>
    <mergeCell ref="A18:H18"/>
    <mergeCell ref="A19:H19"/>
    <mergeCell ref="A20:H20"/>
    <mergeCell ref="A47:AF47"/>
    <mergeCell ref="I17:M17"/>
    <mergeCell ref="N17:R17"/>
    <mergeCell ref="N18:R18"/>
    <mergeCell ref="S18:W18"/>
    <mergeCell ref="S33:W33"/>
    <mergeCell ref="X33:AB33"/>
    <mergeCell ref="A34:H34"/>
    <mergeCell ref="I34:M34"/>
    <mergeCell ref="A32:H32"/>
    <mergeCell ref="I32:M32"/>
    <mergeCell ref="A33:H33"/>
    <mergeCell ref="A35:H35"/>
    <mergeCell ref="I35:M35"/>
    <mergeCell ref="A1:AF1"/>
    <mergeCell ref="A11:AF11"/>
    <mergeCell ref="A9:AF9"/>
    <mergeCell ref="I21:M21"/>
    <mergeCell ref="I22:M22"/>
    <mergeCell ref="I16:M16"/>
    <mergeCell ref="I23:M23"/>
    <mergeCell ref="I18:M18"/>
    <mergeCell ref="I19:M19"/>
    <mergeCell ref="I20:M20"/>
    <mergeCell ref="I14:M14"/>
    <mergeCell ref="I15:M15"/>
    <mergeCell ref="N14:R14"/>
    <mergeCell ref="I12:M12"/>
    <mergeCell ref="I13:M13"/>
    <mergeCell ref="N13:R13"/>
    <mergeCell ref="A21:H21"/>
    <mergeCell ref="A22:H22"/>
    <mergeCell ref="A23:H23"/>
    <mergeCell ref="A3:AF3"/>
    <mergeCell ref="B5:AF5"/>
    <mergeCell ref="A7:AF7"/>
    <mergeCell ref="S16:W16"/>
    <mergeCell ref="S17:W17"/>
    <mergeCell ref="I57:L57"/>
    <mergeCell ref="I58:L58"/>
    <mergeCell ref="I59:L59"/>
    <mergeCell ref="I60:L60"/>
    <mergeCell ref="M60:P60"/>
    <mergeCell ref="M62:P62"/>
    <mergeCell ref="M63:P63"/>
    <mergeCell ref="I52:L52"/>
    <mergeCell ref="M52:P52"/>
    <mergeCell ref="I61:L61"/>
    <mergeCell ref="I62:L62"/>
    <mergeCell ref="I63:L63"/>
    <mergeCell ref="M53:P53"/>
    <mergeCell ref="M54:P54"/>
    <mergeCell ref="M55:P55"/>
    <mergeCell ref="M56:P56"/>
    <mergeCell ref="M57:P57"/>
    <mergeCell ref="M58:P58"/>
    <mergeCell ref="M59:P59"/>
    <mergeCell ref="I53:L53"/>
    <mergeCell ref="I54:L54"/>
    <mergeCell ref="I55:L55"/>
    <mergeCell ref="I56:L56"/>
    <mergeCell ref="M61:P61"/>
  </mergeCells>
  <hyperlinks>
    <hyperlink ref="A2" location="TOC!A1" display="Return to TOC" xr:uid="{00000000-0004-0000-0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1">
    <pageSetUpPr autoPageBreaks="0"/>
  </sheetPr>
  <dimension ref="A1:AM98"/>
  <sheetViews>
    <sheetView showGridLines="0" zoomScaleNormal="100" workbookViewId="0">
      <selection sqref="A1:AF1"/>
    </sheetView>
  </sheetViews>
  <sheetFormatPr defaultColWidth="2.6640625" defaultRowHeight="14.4" customHeight="1" x14ac:dyDescent="0.3"/>
  <cols>
    <col min="1" max="31" width="2.6640625" style="157"/>
    <col min="32" max="32" width="2.6640625" style="157" customWidth="1"/>
    <col min="33" max="16384" width="2.6640625" style="157"/>
  </cols>
  <sheetData>
    <row r="1" spans="1:32" s="156" customFormat="1" ht="18" customHeight="1" x14ac:dyDescent="0.3">
      <c r="A1" s="1131" t="s">
        <v>922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56" customFormat="1" x14ac:dyDescent="0.3">
      <c r="A2" s="228" t="s">
        <v>1456</v>
      </c>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 customHeight="1" x14ac:dyDescent="0.3">
      <c r="A5" s="121"/>
      <c r="B5" s="872" t="s">
        <v>5133</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customFormat="1" ht="14.4" customHeight="1" x14ac:dyDescent="0.3">
      <c r="A6" s="228"/>
    </row>
    <row r="7" spans="1:32" ht="14.4" customHeight="1" x14ac:dyDescent="0.3">
      <c r="A7" s="869" t="s">
        <v>1372</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ht="14.4" customHeight="1" x14ac:dyDescent="0.3">
      <c r="A8" s="159"/>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row>
    <row r="9" spans="1:32" ht="77.25" customHeight="1" x14ac:dyDescent="0.3">
      <c r="A9" s="1132" t="s">
        <v>921</v>
      </c>
      <c r="B9" s="1132"/>
      <c r="C9" s="1132"/>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row>
    <row r="10" spans="1:32" x14ac:dyDescent="0.3">
      <c r="A10" s="368" t="s">
        <v>803</v>
      </c>
      <c r="B10" s="1132" t="s">
        <v>987</v>
      </c>
      <c r="C10" s="1132"/>
      <c r="D10" s="1132"/>
      <c r="E10" s="1132"/>
      <c r="F10" s="1132"/>
      <c r="G10" s="1132"/>
      <c r="H10" s="1132"/>
      <c r="I10" s="1132"/>
      <c r="J10" s="1132"/>
      <c r="K10" s="1132"/>
      <c r="L10" s="1132"/>
      <c r="M10" s="1132"/>
      <c r="N10" s="1132"/>
      <c r="O10" s="1132"/>
      <c r="P10" s="1132"/>
      <c r="Q10" s="1132"/>
      <c r="R10" s="1132"/>
      <c r="S10" s="1132"/>
      <c r="T10" s="1132"/>
      <c r="U10" s="1132"/>
      <c r="V10" s="1132"/>
      <c r="W10" s="1132"/>
      <c r="X10" s="1132"/>
      <c r="Y10" s="1132"/>
      <c r="Z10" s="1132"/>
      <c r="AA10" s="1132"/>
      <c r="AB10" s="1132"/>
      <c r="AC10" s="1132"/>
      <c r="AD10" s="1132"/>
      <c r="AE10" s="1132"/>
      <c r="AF10" s="1132"/>
    </row>
    <row r="11" spans="1:32" ht="33" customHeight="1" x14ac:dyDescent="0.3">
      <c r="A11" s="368" t="s">
        <v>803</v>
      </c>
      <c r="B11" s="1132" t="s">
        <v>988</v>
      </c>
      <c r="C11" s="1132"/>
      <c r="D11" s="1132"/>
      <c r="E11" s="1132"/>
      <c r="F11" s="1132"/>
      <c r="G11" s="1132"/>
      <c r="H11" s="1132"/>
      <c r="I11" s="1132"/>
      <c r="J11" s="1132"/>
      <c r="K11" s="1132"/>
      <c r="L11" s="1132"/>
      <c r="M11" s="1132"/>
      <c r="N11" s="1132"/>
      <c r="O11" s="1132"/>
      <c r="P11" s="1132"/>
      <c r="Q11" s="1132"/>
      <c r="R11" s="1132"/>
      <c r="S11" s="1132"/>
      <c r="T11" s="1132"/>
      <c r="U11" s="1132"/>
      <c r="V11" s="1132"/>
      <c r="W11" s="1132"/>
      <c r="X11" s="1132"/>
      <c r="Y11" s="1132"/>
      <c r="Z11" s="1132"/>
      <c r="AA11" s="1132"/>
      <c r="AB11" s="1132"/>
      <c r="AC11" s="1132"/>
      <c r="AD11" s="1132"/>
      <c r="AE11" s="1132"/>
      <c r="AF11" s="1132"/>
    </row>
    <row r="12" spans="1:32" x14ac:dyDescent="0.3">
      <c r="A12" s="368" t="s">
        <v>803</v>
      </c>
      <c r="B12" s="1132" t="s">
        <v>989</v>
      </c>
      <c r="C12" s="1132"/>
      <c r="D12" s="1132"/>
      <c r="E12" s="1132"/>
      <c r="F12" s="1132"/>
      <c r="G12" s="1132"/>
      <c r="H12" s="1132"/>
      <c r="I12" s="1132"/>
      <c r="J12" s="1132"/>
      <c r="K12" s="1132"/>
      <c r="L12" s="1132"/>
      <c r="M12" s="1132"/>
      <c r="N12" s="1132"/>
      <c r="O12" s="1132"/>
      <c r="P12" s="1132"/>
      <c r="Q12" s="1132"/>
      <c r="R12" s="1132"/>
      <c r="S12" s="1132"/>
      <c r="T12" s="1132"/>
      <c r="U12" s="1132"/>
      <c r="V12" s="1132"/>
      <c r="W12" s="1132"/>
      <c r="X12" s="1132"/>
      <c r="Y12" s="1132"/>
      <c r="Z12" s="1132"/>
      <c r="AA12" s="1132"/>
      <c r="AB12" s="1132"/>
      <c r="AC12" s="1132"/>
      <c r="AD12" s="1132"/>
      <c r="AE12" s="1132"/>
      <c r="AF12" s="1132"/>
    </row>
    <row r="13" spans="1:32" ht="14.4" customHeight="1" x14ac:dyDescent="0.3">
      <c r="A13" s="159"/>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row>
    <row r="14" spans="1:32" ht="78" customHeight="1" x14ac:dyDescent="0.3">
      <c r="A14" s="1132" t="s">
        <v>2492</v>
      </c>
      <c r="B14" s="1132"/>
      <c r="C14" s="1132"/>
      <c r="D14" s="1132"/>
      <c r="E14" s="1132"/>
      <c r="F14" s="1132"/>
      <c r="G14" s="1132"/>
      <c r="H14" s="1132"/>
      <c r="I14" s="1132"/>
      <c r="J14" s="1132"/>
      <c r="K14" s="1132"/>
      <c r="L14" s="1132"/>
      <c r="M14" s="1132"/>
      <c r="N14" s="1132"/>
      <c r="O14" s="1132"/>
      <c r="P14" s="1132"/>
      <c r="Q14" s="1132"/>
      <c r="R14" s="1132"/>
      <c r="S14" s="1132"/>
      <c r="T14" s="1132"/>
      <c r="U14" s="1132"/>
      <c r="V14" s="1132"/>
      <c r="W14" s="1132"/>
      <c r="X14" s="1132"/>
      <c r="Y14" s="1132"/>
      <c r="Z14" s="1132"/>
      <c r="AA14" s="1132"/>
      <c r="AB14" s="1132"/>
      <c r="AC14" s="1132"/>
      <c r="AD14" s="1132"/>
      <c r="AE14" s="1132"/>
      <c r="AF14" s="1132"/>
    </row>
    <row r="15" spans="1:32" x14ac:dyDescent="0.3">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row>
    <row r="16" spans="1:32" x14ac:dyDescent="0.3">
      <c r="A16" s="869" t="s">
        <v>5134</v>
      </c>
      <c r="B16" s="870"/>
      <c r="C16" s="870"/>
      <c r="D16" s="870"/>
      <c r="E16" s="870"/>
      <c r="F16" s="870"/>
      <c r="G16" s="870"/>
      <c r="H16" s="870"/>
      <c r="I16" s="870"/>
      <c r="J16" s="870"/>
      <c r="K16" s="870"/>
      <c r="L16" s="870"/>
      <c r="M16" s="870"/>
      <c r="N16" s="870"/>
      <c r="O16" s="870"/>
      <c r="P16" s="870"/>
      <c r="Q16" s="870"/>
      <c r="R16" s="870"/>
      <c r="S16" s="870"/>
      <c r="T16" s="870"/>
      <c r="U16" s="870"/>
      <c r="V16" s="870"/>
      <c r="W16" s="870"/>
      <c r="X16" s="870"/>
      <c r="Y16" s="870"/>
      <c r="Z16" s="870"/>
      <c r="AA16" s="870"/>
      <c r="AB16" s="870"/>
      <c r="AC16" s="870"/>
      <c r="AD16" s="870"/>
      <c r="AE16" s="870"/>
      <c r="AF16" s="871"/>
    </row>
    <row r="17" spans="1:32" x14ac:dyDescent="0.3">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row>
    <row r="18" spans="1:32" ht="138" customHeight="1" x14ac:dyDescent="0.3">
      <c r="A18" s="863" t="s">
        <v>5135</v>
      </c>
      <c r="B18" s="863"/>
      <c r="C18" s="863"/>
      <c r="D18" s="863"/>
      <c r="E18" s="863"/>
      <c r="F18" s="863"/>
      <c r="G18" s="863"/>
      <c r="H18" s="863"/>
      <c r="I18" s="863"/>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row>
    <row r="19" spans="1:32" x14ac:dyDescent="0.3">
      <c r="A19" s="129"/>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row>
    <row r="20" spans="1:32" ht="33.75" customHeight="1" x14ac:dyDescent="0.3">
      <c r="A20" s="863" t="s">
        <v>5136</v>
      </c>
      <c r="B20" s="863"/>
      <c r="C20" s="863"/>
      <c r="D20" s="863"/>
      <c r="E20" s="863"/>
      <c r="F20" s="863"/>
      <c r="G20" s="863"/>
      <c r="H20" s="863"/>
      <c r="I20" s="863"/>
      <c r="J20" s="863"/>
      <c r="K20" s="863"/>
      <c r="L20" s="863"/>
      <c r="M20" s="863"/>
      <c r="N20" s="863"/>
      <c r="O20" s="863"/>
      <c r="P20" s="863"/>
      <c r="Q20" s="863"/>
      <c r="R20" s="863"/>
      <c r="S20" s="863"/>
      <c r="T20" s="863"/>
      <c r="U20" s="863"/>
      <c r="V20" s="863"/>
      <c r="W20" s="863"/>
      <c r="X20" s="863"/>
      <c r="Y20" s="863"/>
      <c r="Z20" s="863"/>
      <c r="AA20" s="863"/>
      <c r="AB20" s="863"/>
      <c r="AC20" s="863"/>
      <c r="AD20" s="863"/>
      <c r="AE20" s="863"/>
      <c r="AF20" s="863"/>
    </row>
    <row r="22" spans="1:32" ht="14.4" customHeight="1" x14ac:dyDescent="0.3">
      <c r="A22" s="1133" t="s">
        <v>1373</v>
      </c>
      <c r="B22" s="1133"/>
      <c r="C22" s="1133"/>
      <c r="D22" s="1133"/>
      <c r="E22" s="1133"/>
      <c r="F22" s="1133"/>
      <c r="G22" s="1133"/>
      <c r="H22" s="1133"/>
      <c r="I22" s="1133"/>
      <c r="J22" s="1133"/>
      <c r="K22" s="1133"/>
      <c r="L22" s="1133"/>
      <c r="M22" s="1133"/>
      <c r="N22" s="1133"/>
      <c r="O22" s="1133"/>
      <c r="P22" s="1133"/>
      <c r="Q22" s="1133"/>
      <c r="R22" s="1133"/>
      <c r="S22" s="1133"/>
      <c r="T22" s="1133"/>
      <c r="U22" s="1133"/>
      <c r="V22" s="1133"/>
      <c r="W22" s="1133"/>
      <c r="X22" s="1133"/>
      <c r="Y22" s="1133"/>
      <c r="Z22" s="1133"/>
      <c r="AA22" s="1133"/>
      <c r="AB22" s="1133"/>
      <c r="AC22" s="1133"/>
      <c r="AD22" s="1133"/>
      <c r="AE22" s="1133"/>
      <c r="AF22" s="1133"/>
    </row>
    <row r="23" spans="1:32" x14ac:dyDescent="0.3">
      <c r="A23" s="1132"/>
      <c r="B23" s="1132"/>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row>
    <row r="24" spans="1:32" x14ac:dyDescent="0.3">
      <c r="A24" s="869" t="s">
        <v>1374</v>
      </c>
      <c r="B24" s="870"/>
      <c r="C24" s="870"/>
      <c r="D24" s="870"/>
      <c r="E24" s="870"/>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1"/>
    </row>
    <row r="25" spans="1:32" x14ac:dyDescent="0.3">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row>
    <row r="26" spans="1:32" x14ac:dyDescent="0.3">
      <c r="A26" s="1132" t="s">
        <v>2551</v>
      </c>
      <c r="B26" s="1132"/>
      <c r="C26" s="1132"/>
      <c r="D26" s="1132"/>
      <c r="E26" s="1132"/>
      <c r="F26" s="1132"/>
      <c r="G26" s="1132"/>
      <c r="H26" s="1132"/>
      <c r="I26" s="1132"/>
      <c r="J26" s="1132"/>
      <c r="K26" s="1132"/>
      <c r="L26" s="1132"/>
      <c r="M26" s="1132"/>
      <c r="N26" s="1132"/>
      <c r="O26" s="1132"/>
      <c r="P26" s="1132"/>
      <c r="Q26" s="1132"/>
      <c r="R26" s="1132"/>
      <c r="S26" s="1132"/>
      <c r="T26" s="1132"/>
      <c r="U26" s="1132"/>
      <c r="V26" s="1132"/>
      <c r="W26" s="1132"/>
      <c r="X26" s="1132"/>
      <c r="Y26" s="1132"/>
      <c r="Z26" s="1132"/>
      <c r="AA26" s="1132"/>
      <c r="AB26" s="1132"/>
      <c r="AC26" s="1132"/>
      <c r="AD26" s="1132"/>
      <c r="AE26" s="1132"/>
      <c r="AF26" s="1132"/>
    </row>
    <row r="27" spans="1:32" x14ac:dyDescent="0.3">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row>
    <row r="28" spans="1:32" x14ac:dyDescent="0.3">
      <c r="A28" s="869" t="s">
        <v>2</v>
      </c>
      <c r="B28" s="870"/>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1"/>
    </row>
    <row r="29" spans="1:32" x14ac:dyDescent="0.3">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row>
    <row r="30" spans="1:32" x14ac:dyDescent="0.3">
      <c r="A30" s="1136" t="s">
        <v>3</v>
      </c>
      <c r="B30" s="1136"/>
      <c r="C30" s="1136"/>
      <c r="D30" s="1136"/>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row>
    <row r="31" spans="1:32" x14ac:dyDescent="0.3">
      <c r="A31" s="1137" t="s">
        <v>1370</v>
      </c>
      <c r="B31" s="1137"/>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row>
    <row r="32" spans="1:32" x14ac:dyDescent="0.3">
      <c r="A32" s="222"/>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row>
    <row r="33" spans="1:33" x14ac:dyDescent="0.3">
      <c r="A33" s="1136" t="s">
        <v>4</v>
      </c>
      <c r="B33" s="1136"/>
      <c r="C33" s="1136"/>
      <c r="D33" s="1136"/>
      <c r="E33" s="1136"/>
      <c r="F33" s="1136"/>
      <c r="G33" s="1136"/>
      <c r="H33" s="1136"/>
      <c r="I33" s="1136"/>
      <c r="J33" s="1136"/>
      <c r="K33" s="1136"/>
      <c r="L33" s="1136"/>
      <c r="M33" s="1136"/>
      <c r="N33" s="1136"/>
      <c r="O33" s="1136"/>
      <c r="P33" s="1136"/>
      <c r="Q33" s="1136"/>
      <c r="R33" s="1136"/>
      <c r="S33" s="1136"/>
      <c r="T33" s="1136"/>
      <c r="U33" s="1136"/>
      <c r="V33" s="1136"/>
      <c r="W33" s="1136"/>
      <c r="X33" s="1136"/>
      <c r="Y33" s="1136"/>
      <c r="Z33" s="1136"/>
      <c r="AA33" s="1136"/>
      <c r="AB33" s="1136"/>
      <c r="AC33" s="1136"/>
      <c r="AD33" s="1136"/>
      <c r="AE33" s="1136"/>
      <c r="AF33" s="1136"/>
    </row>
    <row r="34" spans="1:33" x14ac:dyDescent="0.3">
      <c r="A34" s="1137" t="s">
        <v>1375</v>
      </c>
      <c r="B34" s="1137"/>
      <c r="C34" s="1137"/>
      <c r="D34" s="1137"/>
      <c r="E34" s="1137"/>
      <c r="F34" s="1137"/>
      <c r="G34" s="1137"/>
      <c r="H34" s="1137"/>
      <c r="I34" s="1137"/>
      <c r="J34" s="1137"/>
      <c r="K34" s="1137"/>
      <c r="L34" s="1137"/>
      <c r="M34" s="1137"/>
      <c r="N34" s="1137"/>
      <c r="O34" s="1137"/>
      <c r="P34" s="1137"/>
      <c r="Q34" s="1137"/>
      <c r="R34" s="1137"/>
      <c r="S34" s="1137"/>
      <c r="T34" s="1137"/>
      <c r="U34" s="1137"/>
      <c r="V34" s="1137"/>
      <c r="W34" s="1137"/>
      <c r="X34" s="1137"/>
      <c r="Y34" s="1137"/>
      <c r="Z34" s="1137"/>
      <c r="AA34" s="1137"/>
      <c r="AB34" s="1137"/>
      <c r="AC34" s="1137"/>
      <c r="AD34" s="1137"/>
      <c r="AE34" s="1137"/>
      <c r="AF34" s="1137"/>
    </row>
    <row r="35" spans="1:33" ht="46.5" customHeight="1" x14ac:dyDescent="0.3">
      <c r="A35" s="368" t="s">
        <v>803</v>
      </c>
      <c r="B35" s="1135" t="s">
        <v>1376</v>
      </c>
      <c r="C35" s="1135"/>
      <c r="D35" s="1135"/>
      <c r="E35" s="1135"/>
      <c r="F35" s="1135"/>
      <c r="G35" s="1135"/>
      <c r="H35" s="1135"/>
      <c r="I35" s="1135"/>
      <c r="J35" s="1135"/>
      <c r="K35" s="1135"/>
      <c r="L35" s="1135"/>
      <c r="M35" s="1135"/>
      <c r="N35" s="1135"/>
      <c r="O35" s="1135"/>
      <c r="P35" s="1135"/>
      <c r="Q35" s="1135"/>
      <c r="R35" s="1135"/>
      <c r="S35" s="1135"/>
      <c r="T35" s="1135"/>
      <c r="U35" s="1135"/>
      <c r="V35" s="1135"/>
      <c r="W35" s="1135"/>
      <c r="X35" s="1135"/>
      <c r="Y35" s="1135"/>
      <c r="Z35" s="1135"/>
      <c r="AA35" s="1135"/>
      <c r="AB35" s="1135"/>
      <c r="AC35" s="1135"/>
      <c r="AD35" s="1135"/>
      <c r="AE35" s="1135"/>
      <c r="AF35" s="1135"/>
    </row>
    <row r="36" spans="1:33" ht="30.75" customHeight="1" x14ac:dyDescent="0.3">
      <c r="A36" s="368" t="s">
        <v>803</v>
      </c>
      <c r="B36" s="1135" t="s">
        <v>2493</v>
      </c>
      <c r="C36" s="1135"/>
      <c r="D36" s="1135"/>
      <c r="E36" s="1135"/>
      <c r="F36" s="1135"/>
      <c r="G36" s="1135"/>
      <c r="H36" s="1135"/>
      <c r="I36" s="1135"/>
      <c r="J36" s="1135"/>
      <c r="K36" s="1135"/>
      <c r="L36" s="1135"/>
      <c r="M36" s="1135"/>
      <c r="N36" s="1135"/>
      <c r="O36" s="1135"/>
      <c r="P36" s="1135"/>
      <c r="Q36" s="1135"/>
      <c r="R36" s="1135"/>
      <c r="S36" s="1135"/>
      <c r="T36" s="1135"/>
      <c r="U36" s="1135"/>
      <c r="V36" s="1135"/>
      <c r="W36" s="1135"/>
      <c r="X36" s="1135"/>
      <c r="Y36" s="1135"/>
      <c r="Z36" s="1135"/>
      <c r="AA36" s="1135"/>
      <c r="AB36" s="1135"/>
      <c r="AC36" s="1135"/>
      <c r="AD36" s="1135"/>
      <c r="AE36" s="1135"/>
      <c r="AF36" s="1135"/>
    </row>
    <row r="37" spans="1:33" ht="33" customHeight="1" x14ac:dyDescent="0.3">
      <c r="A37" s="368" t="s">
        <v>803</v>
      </c>
      <c r="B37" s="1135" t="s">
        <v>1377</v>
      </c>
      <c r="C37" s="1135"/>
      <c r="D37" s="1135"/>
      <c r="E37" s="1135"/>
      <c r="F37" s="1135"/>
      <c r="G37" s="1135"/>
      <c r="H37" s="1135"/>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row>
    <row r="38" spans="1:33" x14ac:dyDescent="0.3">
      <c r="A38" s="158"/>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row>
    <row r="39" spans="1:33" x14ac:dyDescent="0.3">
      <c r="A39" s="1136" t="s">
        <v>5</v>
      </c>
      <c r="B39" s="1136"/>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1136"/>
      <c r="AA39" s="1136"/>
      <c r="AB39" s="1136"/>
      <c r="AC39" s="1136"/>
      <c r="AD39" s="1136"/>
      <c r="AE39" s="1136"/>
      <c r="AF39" s="1136"/>
    </row>
    <row r="40" spans="1:33" x14ac:dyDescent="0.3">
      <c r="A40" s="1137" t="s">
        <v>1351</v>
      </c>
      <c r="B40" s="1137"/>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7"/>
      <c r="AA40" s="1137"/>
      <c r="AB40" s="1137"/>
      <c r="AC40" s="1137"/>
      <c r="AD40" s="1137"/>
      <c r="AE40" s="1137"/>
      <c r="AF40" s="1137"/>
    </row>
    <row r="41" spans="1:33" x14ac:dyDescent="0.3">
      <c r="A41" s="222"/>
      <c r="B41" s="222"/>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row>
    <row r="42" spans="1:33" x14ac:dyDescent="0.3">
      <c r="A42" s="1136" t="s">
        <v>6</v>
      </c>
      <c r="B42" s="1136"/>
      <c r="C42" s="1136"/>
      <c r="D42" s="1136"/>
      <c r="E42" s="1136"/>
      <c r="F42" s="1136"/>
      <c r="G42" s="1136"/>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row>
    <row r="43" spans="1:33" ht="66.75" customHeight="1" x14ac:dyDescent="0.3">
      <c r="A43" s="1139" t="s">
        <v>3017</v>
      </c>
      <c r="B43" s="1139"/>
      <c r="C43" s="1139"/>
      <c r="D43" s="1139"/>
      <c r="E43" s="1139"/>
      <c r="F43" s="1139"/>
      <c r="G43" s="1139"/>
      <c r="H43" s="1139"/>
      <c r="I43" s="1139"/>
      <c r="J43" s="1139"/>
      <c r="K43" s="1139"/>
      <c r="L43" s="1139"/>
      <c r="M43" s="1139"/>
      <c r="N43" s="1139"/>
      <c r="O43" s="1139"/>
      <c r="P43" s="1139"/>
      <c r="Q43" s="1139"/>
      <c r="R43" s="1139"/>
      <c r="S43" s="1139"/>
      <c r="T43" s="1139"/>
      <c r="U43" s="1139"/>
      <c r="V43" s="1139"/>
      <c r="W43" s="1139"/>
      <c r="X43" s="1139"/>
      <c r="Y43" s="1139"/>
      <c r="Z43" s="1139"/>
      <c r="AA43" s="1139"/>
      <c r="AB43" s="1139"/>
      <c r="AC43" s="1139"/>
      <c r="AD43" s="1139"/>
      <c r="AE43" s="1139"/>
      <c r="AF43" s="1139"/>
    </row>
    <row r="44" spans="1:33" ht="30" customHeight="1" x14ac:dyDescent="0.3">
      <c r="A44" s="223" t="s">
        <v>1386</v>
      </c>
      <c r="B44" s="1139" t="s">
        <v>1392</v>
      </c>
      <c r="C44" s="1139"/>
      <c r="D44" s="1139"/>
      <c r="E44" s="1139"/>
      <c r="F44" s="1139"/>
      <c r="G44" s="1139"/>
      <c r="H44" s="1139"/>
      <c r="I44" s="1139"/>
      <c r="J44" s="1139"/>
      <c r="K44" s="1139"/>
      <c r="L44" s="1139"/>
      <c r="M44" s="1139"/>
      <c r="N44" s="1139"/>
      <c r="O44" s="1139"/>
      <c r="P44" s="1139"/>
      <c r="Q44" s="1139"/>
      <c r="R44" s="1139"/>
      <c r="S44" s="1139"/>
      <c r="T44" s="1139"/>
      <c r="U44" s="1139"/>
      <c r="V44" s="1139"/>
      <c r="W44" s="1139"/>
      <c r="X44" s="1139"/>
      <c r="Y44" s="1139"/>
      <c r="Z44" s="1139"/>
      <c r="AA44" s="1139"/>
      <c r="AB44" s="1139"/>
      <c r="AC44" s="1139"/>
      <c r="AD44" s="1139"/>
      <c r="AE44" s="1139"/>
      <c r="AF44" s="1139"/>
      <c r="AG44" s="221"/>
    </row>
    <row r="45" spans="1:33" ht="30.6" customHeight="1" x14ac:dyDescent="0.3">
      <c r="A45" s="223" t="s">
        <v>1387</v>
      </c>
      <c r="B45" s="1139" t="s">
        <v>1393</v>
      </c>
      <c r="C45" s="1139"/>
      <c r="D45" s="1139"/>
      <c r="E45" s="1139"/>
      <c r="F45" s="1139"/>
      <c r="G45" s="1139"/>
      <c r="H45" s="1139"/>
      <c r="I45" s="1139"/>
      <c r="J45" s="1139"/>
      <c r="K45" s="1139"/>
      <c r="L45" s="1139"/>
      <c r="M45" s="1139"/>
      <c r="N45" s="1139"/>
      <c r="O45" s="1139"/>
      <c r="P45" s="1139"/>
      <c r="Q45" s="1139"/>
      <c r="R45" s="1139"/>
      <c r="S45" s="1139"/>
      <c r="T45" s="1139"/>
      <c r="U45" s="1139"/>
      <c r="V45" s="1139"/>
      <c r="W45" s="1139"/>
      <c r="X45" s="1139"/>
      <c r="Y45" s="1139"/>
      <c r="Z45" s="1139"/>
      <c r="AA45" s="1139"/>
      <c r="AB45" s="1139"/>
      <c r="AC45" s="1139"/>
      <c r="AD45" s="1139"/>
      <c r="AE45" s="1139"/>
      <c r="AF45" s="1139"/>
      <c r="AG45" s="221"/>
    </row>
    <row r="46" spans="1:33" ht="14.4" customHeight="1" x14ac:dyDescent="0.3">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row>
    <row r="47" spans="1:33" ht="175.5" customHeight="1" x14ac:dyDescent="0.3">
      <c r="A47" s="1139" t="s">
        <v>1391</v>
      </c>
      <c r="B47" s="1139"/>
      <c r="C47" s="1139"/>
      <c r="D47" s="1139"/>
      <c r="E47" s="1139"/>
      <c r="F47" s="1139"/>
      <c r="G47" s="1139"/>
      <c r="H47" s="1139"/>
      <c r="I47" s="1139"/>
      <c r="J47" s="1139"/>
      <c r="K47" s="1139"/>
      <c r="L47" s="1139"/>
      <c r="M47" s="1139"/>
      <c r="N47" s="1139"/>
      <c r="O47" s="1139"/>
      <c r="P47" s="1139"/>
      <c r="Q47" s="1139"/>
      <c r="R47" s="1139"/>
      <c r="S47" s="1139"/>
      <c r="T47" s="1139"/>
      <c r="U47" s="1139"/>
      <c r="V47" s="1139"/>
      <c r="W47" s="1139"/>
      <c r="X47" s="1139"/>
      <c r="Y47" s="1139"/>
      <c r="Z47" s="1139"/>
      <c r="AA47" s="1139"/>
      <c r="AB47" s="1139"/>
      <c r="AC47" s="1139"/>
      <c r="AD47" s="1139"/>
      <c r="AE47" s="1139"/>
      <c r="AF47" s="1139"/>
    </row>
    <row r="48" spans="1:33" x14ac:dyDescent="0.3">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c r="AE48" s="221"/>
      <c r="AF48" s="221"/>
    </row>
    <row r="49" spans="1:33" ht="17.399999999999999" customHeight="1" x14ac:dyDescent="0.3">
      <c r="A49" s="1139" t="s">
        <v>1384</v>
      </c>
      <c r="B49" s="1139"/>
      <c r="C49" s="1139"/>
      <c r="D49" s="1139"/>
      <c r="E49" s="1139"/>
      <c r="F49" s="1139"/>
      <c r="G49" s="1139"/>
      <c r="H49" s="1139"/>
      <c r="I49" s="1139"/>
      <c r="J49" s="1139"/>
      <c r="K49" s="1139"/>
      <c r="L49" s="1139"/>
      <c r="M49" s="1139"/>
      <c r="N49" s="1139"/>
      <c r="O49" s="1139"/>
      <c r="P49" s="1139"/>
      <c r="Q49" s="1139"/>
      <c r="R49" s="1139"/>
      <c r="S49" s="1139"/>
      <c r="T49" s="1139"/>
      <c r="U49" s="1139"/>
      <c r="V49" s="1139"/>
      <c r="W49" s="1139"/>
      <c r="X49" s="1139"/>
      <c r="Y49" s="1139"/>
      <c r="Z49" s="1139"/>
      <c r="AA49" s="1139"/>
      <c r="AB49" s="1139"/>
      <c r="AC49" s="1139"/>
      <c r="AD49" s="1139"/>
      <c r="AE49" s="1139"/>
      <c r="AF49" s="1139"/>
    </row>
    <row r="50" spans="1:33" ht="14.4" customHeight="1" x14ac:dyDescent="0.3">
      <c r="A50" s="223" t="s">
        <v>1386</v>
      </c>
      <c r="B50" s="1139" t="s">
        <v>1389</v>
      </c>
      <c r="C50" s="1139"/>
      <c r="D50" s="1139"/>
      <c r="E50" s="1139"/>
      <c r="F50" s="1139"/>
      <c r="G50" s="1139"/>
      <c r="H50" s="1139"/>
      <c r="I50" s="1139"/>
      <c r="J50" s="1139"/>
      <c r="K50" s="1139"/>
      <c r="L50" s="1139"/>
      <c r="M50" s="1139"/>
      <c r="N50" s="1139"/>
      <c r="O50" s="1139"/>
      <c r="P50" s="1139"/>
      <c r="Q50" s="1139"/>
      <c r="R50" s="1139"/>
      <c r="S50" s="1139"/>
      <c r="T50" s="1139"/>
      <c r="U50" s="1139"/>
      <c r="V50" s="1139"/>
      <c r="W50" s="1139"/>
      <c r="X50" s="1139"/>
      <c r="Y50" s="1139"/>
      <c r="Z50" s="1139"/>
      <c r="AA50" s="1139"/>
      <c r="AB50" s="1139"/>
      <c r="AC50" s="1139"/>
      <c r="AD50" s="1139"/>
      <c r="AE50" s="1139"/>
      <c r="AF50" s="1139"/>
      <c r="AG50" s="221"/>
    </row>
    <row r="51" spans="1:33" ht="14.4" customHeight="1" x14ac:dyDescent="0.3">
      <c r="A51" s="223" t="s">
        <v>1387</v>
      </c>
      <c r="B51" s="1139" t="s">
        <v>1390</v>
      </c>
      <c r="C51" s="1139"/>
      <c r="D51" s="1139"/>
      <c r="E51" s="1139"/>
      <c r="F51" s="1139"/>
      <c r="G51" s="1139"/>
      <c r="H51" s="1139"/>
      <c r="I51" s="1139"/>
      <c r="J51" s="1139"/>
      <c r="K51" s="1139"/>
      <c r="L51" s="1139"/>
      <c r="M51" s="1139"/>
      <c r="N51" s="1139"/>
      <c r="O51" s="1139"/>
      <c r="P51" s="1139"/>
      <c r="Q51" s="1139"/>
      <c r="R51" s="1139"/>
      <c r="S51" s="1139"/>
      <c r="T51" s="1139"/>
      <c r="U51" s="1139"/>
      <c r="V51" s="1139"/>
      <c r="W51" s="1139"/>
      <c r="X51" s="1139"/>
      <c r="Y51" s="1139"/>
      <c r="Z51" s="1139"/>
      <c r="AA51" s="1139"/>
      <c r="AB51" s="1139"/>
      <c r="AC51" s="1139"/>
      <c r="AD51" s="1139"/>
      <c r="AE51" s="1139"/>
      <c r="AF51" s="1139"/>
      <c r="AG51" s="221"/>
    </row>
    <row r="52" spans="1:33" ht="18.600000000000001" customHeight="1" x14ac:dyDescent="0.3">
      <c r="A52" s="223" t="s">
        <v>1388</v>
      </c>
      <c r="B52" s="1139" t="s">
        <v>1394</v>
      </c>
      <c r="C52" s="1139"/>
      <c r="D52" s="1139"/>
      <c r="E52" s="1139"/>
      <c r="F52" s="1139"/>
      <c r="G52" s="1139"/>
      <c r="H52" s="1139"/>
      <c r="I52" s="1139"/>
      <c r="J52" s="1139"/>
      <c r="K52" s="1139"/>
      <c r="L52" s="1139"/>
      <c r="M52" s="1139"/>
      <c r="N52" s="1139"/>
      <c r="O52" s="1139"/>
      <c r="P52" s="1139"/>
      <c r="Q52" s="1139"/>
      <c r="R52" s="1139"/>
      <c r="S52" s="1139"/>
      <c r="T52" s="1139"/>
      <c r="U52" s="1139"/>
      <c r="V52" s="1139"/>
      <c r="W52" s="1139"/>
      <c r="X52" s="1139"/>
      <c r="Y52" s="1139"/>
      <c r="Z52" s="1139"/>
      <c r="AA52" s="1139"/>
      <c r="AB52" s="1139"/>
      <c r="AC52" s="1139"/>
      <c r="AD52" s="1139"/>
      <c r="AE52" s="1139"/>
      <c r="AF52" s="1139"/>
      <c r="AG52" s="221"/>
    </row>
    <row r="53" spans="1:33" ht="31.5" customHeight="1" x14ac:dyDescent="0.3">
      <c r="A53" s="1139" t="s">
        <v>1385</v>
      </c>
      <c r="B53" s="1139"/>
      <c r="C53" s="1139"/>
      <c r="D53" s="1139"/>
      <c r="E53" s="1139"/>
      <c r="F53" s="1139"/>
      <c r="G53" s="1139"/>
      <c r="H53" s="1139"/>
      <c r="I53" s="1139"/>
      <c r="J53" s="1139"/>
      <c r="K53" s="1139"/>
      <c r="L53" s="1139"/>
      <c r="M53" s="1139"/>
      <c r="N53" s="1139"/>
      <c r="O53" s="1139"/>
      <c r="P53" s="1139"/>
      <c r="Q53" s="1139"/>
      <c r="R53" s="1139"/>
      <c r="S53" s="1139"/>
      <c r="T53" s="1139"/>
      <c r="U53" s="1139"/>
      <c r="V53" s="1139"/>
      <c r="W53" s="1139"/>
      <c r="X53" s="1139"/>
      <c r="Y53" s="1139"/>
      <c r="Z53" s="1139"/>
      <c r="AA53" s="1139"/>
      <c r="AB53" s="1139"/>
      <c r="AC53" s="1139"/>
      <c r="AD53" s="1139"/>
      <c r="AE53" s="1139"/>
      <c r="AF53" s="1139"/>
      <c r="AG53" s="221"/>
    </row>
    <row r="54" spans="1:33" x14ac:dyDescent="0.3">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row>
    <row r="55" spans="1:33" x14ac:dyDescent="0.3">
      <c r="A55" s="1136" t="s">
        <v>13</v>
      </c>
      <c r="B55" s="1136"/>
      <c r="C55" s="1136"/>
      <c r="D55" s="1136"/>
      <c r="E55" s="1136"/>
      <c r="F55" s="1136"/>
      <c r="G55" s="1136"/>
      <c r="H55" s="1136"/>
      <c r="I55" s="1136"/>
      <c r="J55" s="1136"/>
      <c r="K55" s="1136"/>
      <c r="L55" s="1136"/>
      <c r="M55" s="1136"/>
      <c r="N55" s="1136"/>
      <c r="O55" s="1136"/>
      <c r="P55" s="1136"/>
      <c r="Q55" s="1136"/>
      <c r="R55" s="1136"/>
      <c r="S55" s="1136"/>
      <c r="T55" s="1136"/>
      <c r="U55" s="1136"/>
      <c r="V55" s="1136"/>
      <c r="W55" s="1136"/>
      <c r="X55" s="1136"/>
      <c r="Y55" s="1136"/>
      <c r="Z55" s="1136"/>
      <c r="AA55" s="1136"/>
      <c r="AB55" s="1136"/>
      <c r="AC55" s="1136"/>
      <c r="AD55" s="1136"/>
      <c r="AE55" s="1136"/>
      <c r="AF55" s="1136"/>
    </row>
    <row r="56" spans="1:33" x14ac:dyDescent="0.3">
      <c r="A56" s="1140" t="s">
        <v>3018</v>
      </c>
      <c r="B56" s="1140"/>
      <c r="C56" s="1140"/>
      <c r="D56" s="1140"/>
      <c r="E56" s="1140"/>
      <c r="F56" s="1140"/>
      <c r="G56" s="1140"/>
      <c r="H56" s="1140"/>
      <c r="I56" s="1140"/>
      <c r="J56" s="1140"/>
      <c r="K56" s="1140"/>
      <c r="L56" s="1140"/>
      <c r="M56" s="1140"/>
      <c r="N56" s="1140"/>
      <c r="O56" s="1140"/>
      <c r="P56" s="1140"/>
      <c r="Q56" s="1140"/>
      <c r="R56" s="1140"/>
      <c r="S56" s="1140"/>
      <c r="T56" s="1140"/>
      <c r="U56" s="1140"/>
      <c r="V56" s="1140"/>
      <c r="W56" s="1140"/>
      <c r="X56" s="1140"/>
      <c r="Y56" s="1140"/>
      <c r="Z56" s="1140"/>
      <c r="AA56" s="1140"/>
      <c r="AB56" s="1140"/>
      <c r="AC56" s="1140"/>
      <c r="AD56" s="1140"/>
      <c r="AE56" s="1140"/>
      <c r="AF56" s="1140"/>
    </row>
    <row r="57" spans="1:33" x14ac:dyDescent="0.3">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row>
    <row r="58" spans="1:33" x14ac:dyDescent="0.3">
      <c r="A58" s="1053" t="s">
        <v>1514</v>
      </c>
      <c r="B58" s="1054"/>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5"/>
    </row>
    <row r="59" spans="1:33" x14ac:dyDescent="0.3">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row>
    <row r="60" spans="1:33" ht="63.9" customHeight="1" x14ac:dyDescent="0.3">
      <c r="A60" s="368" t="s">
        <v>803</v>
      </c>
      <c r="B60" s="1139" t="s">
        <v>1371</v>
      </c>
      <c r="C60" s="1139"/>
      <c r="D60" s="1139"/>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39"/>
      <c r="AF60" s="1139"/>
    </row>
    <row r="61" spans="1:33" ht="33" customHeight="1" x14ac:dyDescent="0.3">
      <c r="A61" s="368" t="s">
        <v>803</v>
      </c>
      <c r="B61" s="1139" t="s">
        <v>1358</v>
      </c>
      <c r="C61" s="1139"/>
      <c r="D61" s="1139"/>
      <c r="E61" s="1139"/>
      <c r="F61" s="1139"/>
      <c r="G61" s="1139"/>
      <c r="H61" s="1139"/>
      <c r="I61" s="1139"/>
      <c r="J61" s="1139"/>
      <c r="K61" s="1139"/>
      <c r="L61" s="1139"/>
      <c r="M61" s="1139"/>
      <c r="N61" s="1139"/>
      <c r="O61" s="1139"/>
      <c r="P61" s="1139"/>
      <c r="Q61" s="1139"/>
      <c r="R61" s="1139"/>
      <c r="S61" s="1139"/>
      <c r="T61" s="1139"/>
      <c r="U61" s="1139"/>
      <c r="V61" s="1139"/>
      <c r="W61" s="1139"/>
      <c r="X61" s="1139"/>
      <c r="Y61" s="1139"/>
      <c r="Z61" s="1139"/>
      <c r="AA61" s="1139"/>
      <c r="AB61" s="1139"/>
      <c r="AC61" s="1139"/>
      <c r="AD61" s="1139"/>
      <c r="AE61" s="1139"/>
      <c r="AF61" s="1139"/>
    </row>
    <row r="62" spans="1:33" ht="33.9" customHeight="1" x14ac:dyDescent="0.3">
      <c r="A62" s="368" t="s">
        <v>803</v>
      </c>
      <c r="B62" s="1139" t="s">
        <v>1354</v>
      </c>
      <c r="C62" s="1139"/>
      <c r="D62" s="1139"/>
      <c r="E62" s="1139"/>
      <c r="F62" s="1139"/>
      <c r="G62" s="1139"/>
      <c r="H62" s="1139"/>
      <c r="I62" s="1139"/>
      <c r="J62" s="1139"/>
      <c r="K62" s="1139"/>
      <c r="L62" s="1139"/>
      <c r="M62" s="1139"/>
      <c r="N62" s="1139"/>
      <c r="O62" s="1139"/>
      <c r="P62" s="1139"/>
      <c r="Q62" s="1139"/>
      <c r="R62" s="1139"/>
      <c r="S62" s="1139"/>
      <c r="T62" s="1139"/>
      <c r="U62" s="1139"/>
      <c r="V62" s="1139"/>
      <c r="W62" s="1139"/>
      <c r="X62" s="1139"/>
      <c r="Y62" s="1139"/>
      <c r="Z62" s="1139"/>
      <c r="AA62" s="1139"/>
      <c r="AB62" s="1139"/>
      <c r="AC62" s="1139"/>
      <c r="AD62" s="1139"/>
      <c r="AE62" s="1139"/>
      <c r="AF62" s="1139"/>
    </row>
    <row r="63" spans="1:33" ht="32.25" customHeight="1" x14ac:dyDescent="0.3">
      <c r="A63" s="368" t="s">
        <v>803</v>
      </c>
      <c r="B63" s="1139" t="s">
        <v>1352</v>
      </c>
      <c r="C63" s="1139"/>
      <c r="D63" s="1139"/>
      <c r="E63" s="1139"/>
      <c r="F63" s="1139"/>
      <c r="G63" s="1139"/>
      <c r="H63" s="1139"/>
      <c r="I63" s="1139"/>
      <c r="J63" s="1139"/>
      <c r="K63" s="1139"/>
      <c r="L63" s="1139"/>
      <c r="M63" s="1139"/>
      <c r="N63" s="1139"/>
      <c r="O63" s="1139"/>
      <c r="P63" s="1139"/>
      <c r="Q63" s="1139"/>
      <c r="R63" s="1139"/>
      <c r="S63" s="1139"/>
      <c r="T63" s="1139"/>
      <c r="U63" s="1139"/>
      <c r="V63" s="1139"/>
      <c r="W63" s="1139"/>
      <c r="X63" s="1139"/>
      <c r="Y63" s="1139"/>
      <c r="Z63" s="1139"/>
      <c r="AA63" s="1139"/>
      <c r="AB63" s="1139"/>
      <c r="AC63" s="1139"/>
      <c r="AD63" s="1139"/>
      <c r="AE63" s="1139"/>
      <c r="AF63" s="1139"/>
    </row>
    <row r="64" spans="1:33" ht="61.5" customHeight="1" x14ac:dyDescent="0.3">
      <c r="A64" s="368" t="s">
        <v>803</v>
      </c>
      <c r="B64" s="1139" t="s">
        <v>1357</v>
      </c>
      <c r="C64" s="1139"/>
      <c r="D64" s="1139"/>
      <c r="E64" s="1139"/>
      <c r="F64" s="1139"/>
      <c r="G64" s="1139"/>
      <c r="H64" s="1139"/>
      <c r="I64" s="1139"/>
      <c r="J64" s="1139"/>
      <c r="K64" s="1139"/>
      <c r="L64" s="1139"/>
      <c r="M64" s="1139"/>
      <c r="N64" s="1139"/>
      <c r="O64" s="1139"/>
      <c r="P64" s="1139"/>
      <c r="Q64" s="1139"/>
      <c r="R64" s="1139"/>
      <c r="S64" s="1139"/>
      <c r="T64" s="1139"/>
      <c r="U64" s="1139"/>
      <c r="V64" s="1139"/>
      <c r="W64" s="1139"/>
      <c r="X64" s="1139"/>
      <c r="Y64" s="1139"/>
      <c r="Z64" s="1139"/>
      <c r="AA64" s="1139"/>
      <c r="AB64" s="1139"/>
      <c r="AC64" s="1139"/>
      <c r="AD64" s="1139"/>
      <c r="AE64" s="1139"/>
      <c r="AF64" s="1139"/>
    </row>
    <row r="65" spans="1:32" ht="32.4" customHeight="1" x14ac:dyDescent="0.3">
      <c r="A65" s="368" t="s">
        <v>803</v>
      </c>
      <c r="B65" s="1139" t="s">
        <v>1353</v>
      </c>
      <c r="C65" s="1139"/>
      <c r="D65" s="1139"/>
      <c r="E65" s="1139"/>
      <c r="F65" s="1139"/>
      <c r="G65" s="1139"/>
      <c r="H65" s="1139"/>
      <c r="I65" s="1139"/>
      <c r="J65" s="1139"/>
      <c r="K65" s="1139"/>
      <c r="L65" s="1139"/>
      <c r="M65" s="1139"/>
      <c r="N65" s="1139"/>
      <c r="O65" s="1139"/>
      <c r="P65" s="1139"/>
      <c r="Q65" s="1139"/>
      <c r="R65" s="1139"/>
      <c r="S65" s="1139"/>
      <c r="T65" s="1139"/>
      <c r="U65" s="1139"/>
      <c r="V65" s="1139"/>
      <c r="W65" s="1139"/>
      <c r="X65" s="1139"/>
      <c r="Y65" s="1139"/>
      <c r="Z65" s="1139"/>
      <c r="AA65" s="1139"/>
      <c r="AB65" s="1139"/>
      <c r="AC65" s="1139"/>
      <c r="AD65" s="1139"/>
      <c r="AE65" s="1139"/>
      <c r="AF65" s="1139"/>
    </row>
    <row r="66" spans="1:32" ht="46.5" customHeight="1" x14ac:dyDescent="0.3">
      <c r="A66" s="368" t="s">
        <v>803</v>
      </c>
      <c r="B66" s="1139" t="s">
        <v>1355</v>
      </c>
      <c r="C66" s="1139"/>
      <c r="D66" s="1139"/>
      <c r="E66" s="1139"/>
      <c r="F66" s="1139"/>
      <c r="G66" s="1139"/>
      <c r="H66" s="1139"/>
      <c r="I66" s="1139"/>
      <c r="J66" s="1139"/>
      <c r="K66" s="1139"/>
      <c r="L66" s="1139"/>
      <c r="M66" s="1139"/>
      <c r="N66" s="1139"/>
      <c r="O66" s="1139"/>
      <c r="P66" s="1139"/>
      <c r="Q66" s="1139"/>
      <c r="R66" s="1139"/>
      <c r="S66" s="1139"/>
      <c r="T66" s="1139"/>
      <c r="U66" s="1139"/>
      <c r="V66" s="1139"/>
      <c r="W66" s="1139"/>
      <c r="X66" s="1139"/>
      <c r="Y66" s="1139"/>
      <c r="Z66" s="1139"/>
      <c r="AA66" s="1139"/>
      <c r="AB66" s="1139"/>
      <c r="AC66" s="1139"/>
      <c r="AD66" s="1139"/>
      <c r="AE66" s="1139"/>
      <c r="AF66" s="1139"/>
    </row>
    <row r="67" spans="1:32" ht="47.25" customHeight="1" x14ac:dyDescent="0.3">
      <c r="A67" s="368" t="s">
        <v>803</v>
      </c>
      <c r="B67" s="1139" t="s">
        <v>1356</v>
      </c>
      <c r="C67" s="1139"/>
      <c r="D67" s="1139"/>
      <c r="E67" s="1139"/>
      <c r="F67" s="1139"/>
      <c r="G67" s="1139"/>
      <c r="H67" s="1139"/>
      <c r="I67" s="1139"/>
      <c r="J67" s="1139"/>
      <c r="K67" s="1139"/>
      <c r="L67" s="1139"/>
      <c r="M67" s="1139"/>
      <c r="N67" s="1139"/>
      <c r="O67" s="1139"/>
      <c r="P67" s="1139"/>
      <c r="Q67" s="1139"/>
      <c r="R67" s="1139"/>
      <c r="S67" s="1139"/>
      <c r="T67" s="1139"/>
      <c r="U67" s="1139"/>
      <c r="V67" s="1139"/>
      <c r="W67" s="1139"/>
      <c r="X67" s="1139"/>
      <c r="Y67" s="1139"/>
      <c r="Z67" s="1139"/>
      <c r="AA67" s="1139"/>
      <c r="AB67" s="1139"/>
      <c r="AC67" s="1139"/>
      <c r="AD67" s="1139"/>
      <c r="AE67" s="1139"/>
      <c r="AF67" s="1139"/>
    </row>
    <row r="68" spans="1:32" x14ac:dyDescent="0.3">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row>
    <row r="69" spans="1:32" ht="17.399999999999999" x14ac:dyDescent="0.3">
      <c r="A69" s="1133" t="s">
        <v>1378</v>
      </c>
      <c r="B69" s="1133"/>
      <c r="C69" s="1133"/>
      <c r="D69" s="1133"/>
      <c r="E69" s="1133"/>
      <c r="F69" s="1133"/>
      <c r="G69" s="1133"/>
      <c r="H69" s="1133"/>
      <c r="I69" s="1133"/>
      <c r="J69" s="1133"/>
      <c r="K69" s="1133"/>
      <c r="L69" s="1133"/>
      <c r="M69" s="1133"/>
      <c r="N69" s="1133"/>
      <c r="O69" s="1133"/>
      <c r="P69" s="1133"/>
      <c r="Q69" s="1133"/>
      <c r="R69" s="1133"/>
      <c r="S69" s="1133"/>
      <c r="T69" s="1133"/>
      <c r="U69" s="1133"/>
      <c r="V69" s="1133"/>
      <c r="W69" s="1133"/>
      <c r="X69" s="1133"/>
      <c r="Y69" s="1133"/>
      <c r="Z69" s="1133"/>
      <c r="AA69" s="1133"/>
      <c r="AB69" s="1133"/>
      <c r="AC69" s="1133"/>
      <c r="AD69" s="1133"/>
      <c r="AE69" s="1133"/>
      <c r="AF69" s="1133"/>
    </row>
    <row r="71" spans="1:32" ht="14.4" customHeight="1" x14ac:dyDescent="0.3">
      <c r="A71" s="1134" t="s">
        <v>1379</v>
      </c>
      <c r="B71" s="1134"/>
      <c r="C71" s="1134"/>
      <c r="D71" s="1134"/>
      <c r="E71" s="1134"/>
      <c r="F71" s="1134"/>
      <c r="G71" s="1134"/>
      <c r="H71" s="1134"/>
      <c r="I71" s="1134"/>
      <c r="J71" s="1134"/>
      <c r="K71" s="1134"/>
      <c r="L71" s="1134"/>
      <c r="M71" s="1134"/>
      <c r="N71" s="1134"/>
      <c r="O71" s="1134"/>
      <c r="P71" s="1134"/>
      <c r="Q71" s="1134"/>
      <c r="R71" s="1134"/>
      <c r="S71" s="1134"/>
      <c r="T71" s="1134"/>
      <c r="U71" s="1134"/>
      <c r="V71" s="1134"/>
      <c r="W71" s="1134"/>
      <c r="X71" s="1134"/>
      <c r="Y71" s="1134"/>
      <c r="Z71" s="1134"/>
      <c r="AA71" s="1134"/>
      <c r="AB71" s="1134"/>
      <c r="AC71" s="1134"/>
      <c r="AD71" s="1134"/>
      <c r="AE71" s="1134"/>
      <c r="AF71" s="1134"/>
    </row>
    <row r="72" spans="1:32" ht="93" customHeight="1" x14ac:dyDescent="0.3">
      <c r="A72" s="1132" t="s">
        <v>2951</v>
      </c>
      <c r="B72" s="1132"/>
      <c r="C72" s="1132"/>
      <c r="D72" s="1132"/>
      <c r="E72" s="1132"/>
      <c r="F72" s="1132"/>
      <c r="G72" s="1132"/>
      <c r="H72" s="1132"/>
      <c r="I72" s="1132"/>
      <c r="J72" s="1132"/>
      <c r="K72" s="1132"/>
      <c r="L72" s="1132"/>
      <c r="M72" s="1132"/>
      <c r="N72" s="1132"/>
      <c r="O72" s="1132"/>
      <c r="P72" s="1132"/>
      <c r="Q72" s="1132"/>
      <c r="R72" s="1132"/>
      <c r="S72" s="1132"/>
      <c r="T72" s="1132"/>
      <c r="U72" s="1132"/>
      <c r="V72" s="1132"/>
      <c r="W72" s="1132"/>
      <c r="X72" s="1132"/>
      <c r="Y72" s="1132"/>
      <c r="Z72" s="1132"/>
      <c r="AA72" s="1132"/>
      <c r="AB72" s="1132"/>
      <c r="AC72" s="1132"/>
      <c r="AD72" s="1132"/>
      <c r="AE72" s="1132"/>
      <c r="AF72" s="1132"/>
    </row>
    <row r="73" spans="1:32" ht="14.4" customHeight="1" x14ac:dyDescent="0.3">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row>
    <row r="74" spans="1:32" x14ac:dyDescent="0.3">
      <c r="A74" s="1134" t="s">
        <v>2873</v>
      </c>
      <c r="B74" s="1134"/>
      <c r="C74" s="1134"/>
      <c r="D74" s="1134"/>
      <c r="E74" s="1134"/>
      <c r="F74" s="1134"/>
      <c r="G74" s="1134"/>
      <c r="H74" s="1134"/>
      <c r="I74" s="1134"/>
      <c r="J74" s="1134"/>
      <c r="K74" s="1134"/>
      <c r="L74" s="1134"/>
      <c r="M74" s="1134"/>
      <c r="N74" s="1134"/>
      <c r="O74" s="1134"/>
      <c r="P74" s="1134"/>
      <c r="Q74" s="1134"/>
      <c r="R74" s="1134"/>
      <c r="S74" s="1134"/>
      <c r="T74" s="1134"/>
      <c r="U74" s="1134"/>
      <c r="V74" s="1134"/>
      <c r="W74" s="1134"/>
      <c r="X74" s="1134"/>
      <c r="Y74" s="1134"/>
      <c r="Z74" s="1134"/>
      <c r="AA74" s="1134"/>
      <c r="AB74" s="1134"/>
      <c r="AC74" s="1134"/>
      <c r="AD74" s="1134"/>
      <c r="AE74" s="1134"/>
      <c r="AF74" s="1134"/>
    </row>
    <row r="75" spans="1:32" ht="95.25" customHeight="1" x14ac:dyDescent="0.3">
      <c r="A75" s="1132" t="s">
        <v>2712</v>
      </c>
      <c r="B75" s="1132"/>
      <c r="C75" s="1132"/>
      <c r="D75" s="1132"/>
      <c r="E75" s="1132"/>
      <c r="F75" s="1132"/>
      <c r="G75" s="1132"/>
      <c r="H75" s="1132"/>
      <c r="I75" s="1132"/>
      <c r="J75" s="1132"/>
      <c r="K75" s="1132"/>
      <c r="L75" s="1132"/>
      <c r="M75" s="1132"/>
      <c r="N75" s="1132"/>
      <c r="O75" s="1132"/>
      <c r="P75" s="1132"/>
      <c r="Q75" s="1132"/>
      <c r="R75" s="1132"/>
      <c r="S75" s="1132"/>
      <c r="T75" s="1132"/>
      <c r="U75" s="1132"/>
      <c r="V75" s="1132"/>
      <c r="W75" s="1132"/>
      <c r="X75" s="1132"/>
      <c r="Y75" s="1132"/>
      <c r="Z75" s="1132"/>
      <c r="AA75" s="1132"/>
      <c r="AB75" s="1132"/>
      <c r="AC75" s="1132"/>
      <c r="AD75" s="1132"/>
      <c r="AE75" s="1132"/>
      <c r="AF75" s="1132"/>
    </row>
    <row r="76" spans="1:32" ht="62.25" customHeight="1" x14ac:dyDescent="0.3">
      <c r="A76" s="368" t="s">
        <v>803</v>
      </c>
      <c r="B76" s="1132" t="s">
        <v>990</v>
      </c>
      <c r="C76" s="1132"/>
      <c r="D76" s="1132"/>
      <c r="E76" s="1132"/>
      <c r="F76" s="1132"/>
      <c r="G76" s="1132"/>
      <c r="H76" s="1132"/>
      <c r="I76" s="1132"/>
      <c r="J76" s="1132"/>
      <c r="K76" s="1132"/>
      <c r="L76" s="1132"/>
      <c r="M76" s="1132"/>
      <c r="N76" s="1132"/>
      <c r="O76" s="1132"/>
      <c r="P76" s="1132"/>
      <c r="Q76" s="1132"/>
      <c r="R76" s="1132"/>
      <c r="S76" s="1132"/>
      <c r="T76" s="1132"/>
      <c r="U76" s="1132"/>
      <c r="V76" s="1132"/>
      <c r="W76" s="1132"/>
      <c r="X76" s="1132"/>
      <c r="Y76" s="1132"/>
      <c r="Z76" s="1132"/>
      <c r="AA76" s="1132"/>
      <c r="AB76" s="1132"/>
      <c r="AC76" s="1132"/>
      <c r="AD76" s="1132"/>
      <c r="AE76" s="1132"/>
      <c r="AF76" s="1132"/>
    </row>
    <row r="77" spans="1:32" ht="63.75" customHeight="1" x14ac:dyDescent="0.3">
      <c r="A77" s="368" t="s">
        <v>803</v>
      </c>
      <c r="B77" s="1132" t="s">
        <v>991</v>
      </c>
      <c r="C77" s="1132"/>
      <c r="D77" s="1132"/>
      <c r="E77" s="1132"/>
      <c r="F77" s="1132"/>
      <c r="G77" s="1132"/>
      <c r="H77" s="1132"/>
      <c r="I77" s="1132"/>
      <c r="J77" s="1132"/>
      <c r="K77" s="1132"/>
      <c r="L77" s="1132"/>
      <c r="M77" s="1132"/>
      <c r="N77" s="1132"/>
      <c r="O77" s="1132"/>
      <c r="P77" s="1132"/>
      <c r="Q77" s="1132"/>
      <c r="R77" s="1132"/>
      <c r="S77" s="1132"/>
      <c r="T77" s="1132"/>
      <c r="U77" s="1132"/>
      <c r="V77" s="1132"/>
      <c r="W77" s="1132"/>
      <c r="X77" s="1132"/>
      <c r="Y77" s="1132"/>
      <c r="Z77" s="1132"/>
      <c r="AA77" s="1132"/>
      <c r="AB77" s="1132"/>
      <c r="AC77" s="1132"/>
      <c r="AD77" s="1132"/>
      <c r="AE77" s="1132"/>
      <c r="AF77" s="1132"/>
    </row>
    <row r="78" spans="1:32" ht="32.4" customHeight="1" x14ac:dyDescent="0.3">
      <c r="A78" s="368" t="s">
        <v>803</v>
      </c>
      <c r="B78" s="1132" t="s">
        <v>2713</v>
      </c>
      <c r="C78" s="1132"/>
      <c r="D78" s="1132"/>
      <c r="E78" s="1132"/>
      <c r="F78" s="1132"/>
      <c r="G78" s="1132"/>
      <c r="H78" s="1132"/>
      <c r="I78" s="1132"/>
      <c r="J78" s="1132"/>
      <c r="K78" s="1132"/>
      <c r="L78" s="1132"/>
      <c r="M78" s="1132"/>
      <c r="N78" s="1132"/>
      <c r="O78" s="1132"/>
      <c r="P78" s="1132"/>
      <c r="Q78" s="1132"/>
      <c r="R78" s="1132"/>
      <c r="S78" s="1132"/>
      <c r="T78" s="1132"/>
      <c r="U78" s="1132"/>
      <c r="V78" s="1132"/>
      <c r="W78" s="1132"/>
      <c r="X78" s="1132"/>
      <c r="Y78" s="1132"/>
      <c r="Z78" s="1132"/>
      <c r="AA78" s="1132"/>
      <c r="AB78" s="1132"/>
      <c r="AC78" s="1132"/>
      <c r="AD78" s="1132"/>
      <c r="AE78" s="1132"/>
      <c r="AF78" s="1132"/>
    </row>
    <row r="79" spans="1:32" x14ac:dyDescent="0.3">
      <c r="A79" s="158"/>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row>
    <row r="80" spans="1:32" x14ac:dyDescent="0.3">
      <c r="A80" s="369" t="s">
        <v>2872</v>
      </c>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222"/>
      <c r="AE80" s="222"/>
      <c r="AF80" s="222"/>
    </row>
    <row r="81" spans="1:39" ht="111.75" customHeight="1" x14ac:dyDescent="0.3">
      <c r="A81" s="1137" t="s">
        <v>2714</v>
      </c>
      <c r="B81" s="1137"/>
      <c r="C81" s="1137"/>
      <c r="D81" s="1137"/>
      <c r="E81" s="1137"/>
      <c r="F81" s="1137"/>
      <c r="G81" s="1137"/>
      <c r="H81" s="1137"/>
      <c r="I81" s="1137"/>
      <c r="J81" s="1137"/>
      <c r="K81" s="1137"/>
      <c r="L81" s="1137"/>
      <c r="M81" s="1137"/>
      <c r="N81" s="1137"/>
      <c r="O81" s="1137"/>
      <c r="P81" s="1137"/>
      <c r="Q81" s="1137"/>
      <c r="R81" s="1137"/>
      <c r="S81" s="1137"/>
      <c r="T81" s="1137"/>
      <c r="U81" s="1137"/>
      <c r="V81" s="1137"/>
      <c r="W81" s="1137"/>
      <c r="X81" s="1137"/>
      <c r="Y81" s="1137"/>
      <c r="Z81" s="1137"/>
      <c r="AA81" s="1137"/>
      <c r="AB81" s="1137"/>
      <c r="AC81" s="1137"/>
      <c r="AD81" s="1137"/>
      <c r="AE81" s="1137"/>
      <c r="AF81" s="1137"/>
      <c r="AM81" s="220"/>
    </row>
    <row r="83" spans="1:39" ht="14.4" customHeight="1" x14ac:dyDescent="0.3">
      <c r="A83" s="1134" t="s">
        <v>1380</v>
      </c>
      <c r="B83" s="1134"/>
      <c r="C83" s="1134"/>
      <c r="D83" s="1134"/>
      <c r="E83" s="1134"/>
      <c r="F83" s="1134"/>
      <c r="G83" s="1134"/>
      <c r="H83" s="1134"/>
      <c r="I83" s="1134"/>
      <c r="J83" s="1134"/>
      <c r="K83" s="1134"/>
      <c r="L83" s="1134"/>
      <c r="M83" s="1134"/>
      <c r="N83" s="1134"/>
      <c r="O83" s="1134"/>
      <c r="P83" s="1134"/>
      <c r="Q83" s="1134"/>
      <c r="R83" s="1134"/>
      <c r="S83" s="1134"/>
      <c r="T83" s="1134"/>
      <c r="U83" s="1134"/>
      <c r="V83" s="1134"/>
      <c r="W83" s="1134"/>
      <c r="X83" s="1134"/>
      <c r="Y83" s="1134"/>
      <c r="Z83" s="1134"/>
      <c r="AA83" s="1134"/>
      <c r="AB83" s="1134"/>
      <c r="AC83" s="1134"/>
      <c r="AD83" s="1134"/>
      <c r="AE83" s="1134"/>
      <c r="AF83" s="1134"/>
    </row>
    <row r="84" spans="1:39" ht="137.25" customHeight="1" x14ac:dyDescent="0.3">
      <c r="A84" s="1132" t="s">
        <v>2494</v>
      </c>
      <c r="B84" s="1132"/>
      <c r="C84" s="1132"/>
      <c r="D84" s="1132"/>
      <c r="E84" s="1132"/>
      <c r="F84" s="1132"/>
      <c r="G84" s="1132"/>
      <c r="H84" s="1132"/>
      <c r="I84" s="1132"/>
      <c r="J84" s="1132"/>
      <c r="K84" s="1132"/>
      <c r="L84" s="1132"/>
      <c r="M84" s="1132"/>
      <c r="N84" s="1132"/>
      <c r="O84" s="1132"/>
      <c r="P84" s="1132"/>
      <c r="Q84" s="1132"/>
      <c r="R84" s="1132"/>
      <c r="S84" s="1132"/>
      <c r="T84" s="1132"/>
      <c r="U84" s="1132"/>
      <c r="V84" s="1132"/>
      <c r="W84" s="1132"/>
      <c r="X84" s="1132"/>
      <c r="Y84" s="1132"/>
      <c r="Z84" s="1132"/>
      <c r="AA84" s="1132"/>
      <c r="AB84" s="1132"/>
      <c r="AC84" s="1132"/>
      <c r="AD84" s="1132"/>
      <c r="AE84" s="1132"/>
      <c r="AF84" s="1132"/>
    </row>
    <row r="86" spans="1:39" ht="14.4" customHeight="1" x14ac:dyDescent="0.3">
      <c r="A86" s="1134" t="s">
        <v>1381</v>
      </c>
      <c r="B86" s="1134"/>
      <c r="C86" s="1134"/>
      <c r="D86" s="1134"/>
      <c r="E86" s="1134"/>
      <c r="F86" s="1134"/>
      <c r="G86" s="1134"/>
      <c r="H86" s="1134"/>
      <c r="I86" s="1134"/>
      <c r="J86" s="1134"/>
      <c r="K86" s="1134"/>
      <c r="L86" s="1134"/>
      <c r="M86" s="1134"/>
      <c r="N86" s="1134"/>
      <c r="O86" s="1134"/>
      <c r="P86" s="1134"/>
      <c r="Q86" s="1134"/>
      <c r="R86" s="1134"/>
      <c r="S86" s="1134"/>
      <c r="T86" s="1134"/>
      <c r="U86" s="1134"/>
      <c r="V86" s="1134"/>
      <c r="W86" s="1134"/>
      <c r="X86" s="1134"/>
      <c r="Y86" s="1134"/>
      <c r="Z86" s="1134"/>
      <c r="AA86" s="1134"/>
      <c r="AB86" s="1134"/>
      <c r="AC86" s="1134"/>
      <c r="AD86" s="1134"/>
      <c r="AE86" s="1134"/>
      <c r="AF86" s="1134"/>
    </row>
    <row r="87" spans="1:39" ht="32.25" customHeight="1" x14ac:dyDescent="0.3">
      <c r="A87" s="1132" t="s">
        <v>992</v>
      </c>
      <c r="B87" s="1132"/>
      <c r="C87" s="1132"/>
      <c r="D87" s="1132"/>
      <c r="E87" s="1132"/>
      <c r="F87" s="1132"/>
      <c r="G87" s="1132"/>
      <c r="H87" s="1132"/>
      <c r="I87" s="1132"/>
      <c r="J87" s="1132"/>
      <c r="K87" s="1132"/>
      <c r="L87" s="1132"/>
      <c r="M87" s="1132"/>
      <c r="N87" s="1132"/>
      <c r="O87" s="1132"/>
      <c r="P87" s="1132"/>
      <c r="Q87" s="1132"/>
      <c r="R87" s="1132"/>
      <c r="S87" s="1132"/>
      <c r="T87" s="1132"/>
      <c r="U87" s="1132"/>
      <c r="V87" s="1132"/>
      <c r="W87" s="1132"/>
      <c r="X87" s="1132"/>
      <c r="Y87" s="1132"/>
      <c r="Z87" s="1132"/>
      <c r="AA87" s="1132"/>
      <c r="AB87" s="1132"/>
      <c r="AC87" s="1132"/>
      <c r="AD87" s="1132"/>
      <c r="AE87" s="1132"/>
      <c r="AF87" s="1132"/>
    </row>
    <row r="88" spans="1:39" x14ac:dyDescent="0.3">
      <c r="A88" s="368" t="s">
        <v>803</v>
      </c>
      <c r="B88" s="1138" t="s">
        <v>993</v>
      </c>
      <c r="C88" s="1138"/>
      <c r="D88" s="1138"/>
      <c r="E88" s="1138"/>
      <c r="F88" s="1138"/>
      <c r="G88" s="1138"/>
      <c r="H88" s="1138"/>
      <c r="I88" s="1138"/>
      <c r="J88" s="1138"/>
      <c r="K88" s="1138"/>
      <c r="L88" s="1138"/>
      <c r="M88" s="1138"/>
      <c r="N88" s="1138"/>
      <c r="O88" s="1138"/>
      <c r="P88" s="1138"/>
      <c r="Q88" s="1138"/>
      <c r="R88" s="1138"/>
      <c r="S88" s="1138"/>
      <c r="T88" s="1138"/>
      <c r="U88" s="1138"/>
      <c r="V88" s="1138"/>
      <c r="W88" s="1138"/>
      <c r="X88" s="1138"/>
      <c r="Y88" s="1138"/>
      <c r="Z88" s="1138"/>
      <c r="AA88" s="1138"/>
      <c r="AB88" s="1138"/>
      <c r="AC88" s="1138"/>
      <c r="AD88" s="1138"/>
      <c r="AE88" s="1138"/>
      <c r="AF88" s="1138"/>
    </row>
    <row r="89" spans="1:39" ht="14.4" customHeight="1" x14ac:dyDescent="0.3">
      <c r="A89" s="368" t="s">
        <v>803</v>
      </c>
      <c r="B89" s="1138" t="s">
        <v>994</v>
      </c>
      <c r="C89" s="1138"/>
      <c r="D89" s="1138"/>
      <c r="E89" s="1138"/>
      <c r="F89" s="1138"/>
      <c r="G89" s="1138"/>
      <c r="H89" s="1138"/>
      <c r="I89" s="1138"/>
      <c r="J89" s="1138"/>
      <c r="K89" s="1138"/>
      <c r="L89" s="1138"/>
      <c r="M89" s="1138"/>
      <c r="N89" s="1138"/>
      <c r="O89" s="1138"/>
      <c r="P89" s="1138"/>
      <c r="Q89" s="1138"/>
      <c r="R89" s="1138"/>
      <c r="S89" s="1138"/>
      <c r="T89" s="1138"/>
      <c r="U89" s="1138"/>
      <c r="V89" s="1138"/>
      <c r="W89" s="1138"/>
      <c r="X89" s="1138"/>
      <c r="Y89" s="1138"/>
      <c r="Z89" s="1138"/>
      <c r="AA89" s="1138"/>
      <c r="AB89" s="1138"/>
      <c r="AC89" s="1138"/>
      <c r="AD89" s="1138"/>
      <c r="AE89" s="1138"/>
      <c r="AF89" s="1138"/>
    </row>
    <row r="90" spans="1:39" ht="14.4" customHeight="1" x14ac:dyDescent="0.3">
      <c r="A90" s="368" t="s">
        <v>803</v>
      </c>
      <c r="B90" s="1138" t="s">
        <v>995</v>
      </c>
      <c r="C90" s="1138"/>
      <c r="D90" s="1138"/>
      <c r="E90" s="1138"/>
      <c r="F90" s="1138"/>
      <c r="G90" s="1138"/>
      <c r="H90" s="1138"/>
      <c r="I90" s="1138"/>
      <c r="J90" s="1138"/>
      <c r="K90" s="1138"/>
      <c r="L90" s="1138"/>
      <c r="M90" s="1138"/>
      <c r="N90" s="1138"/>
      <c r="O90" s="1138"/>
      <c r="P90" s="1138"/>
      <c r="Q90" s="1138"/>
      <c r="R90" s="1138"/>
      <c r="S90" s="1138"/>
      <c r="T90" s="1138"/>
      <c r="U90" s="1138"/>
      <c r="V90" s="1138"/>
      <c r="W90" s="1138"/>
      <c r="X90" s="1138"/>
      <c r="Y90" s="1138"/>
      <c r="Z90" s="1138"/>
      <c r="AA90" s="1138"/>
      <c r="AB90" s="1138"/>
      <c r="AC90" s="1138"/>
      <c r="AD90" s="1138"/>
      <c r="AE90" s="1138"/>
      <c r="AF90" s="1138"/>
    </row>
    <row r="91" spans="1:39" ht="14.4" customHeight="1" x14ac:dyDescent="0.3">
      <c r="A91" s="161"/>
    </row>
    <row r="92" spans="1:39" ht="33" customHeight="1" x14ac:dyDescent="0.3">
      <c r="A92" s="1132" t="s">
        <v>996</v>
      </c>
      <c r="B92" s="1132"/>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row>
    <row r="93" spans="1:39" ht="63.75" customHeight="1" x14ac:dyDescent="0.3">
      <c r="A93" s="368" t="s">
        <v>803</v>
      </c>
      <c r="B93" s="1132" t="s">
        <v>997</v>
      </c>
      <c r="C93" s="1132"/>
      <c r="D93" s="1132"/>
      <c r="E93" s="1132"/>
      <c r="F93" s="1132"/>
      <c r="G93" s="1132"/>
      <c r="H93" s="1132"/>
      <c r="I93" s="1132"/>
      <c r="J93" s="1132"/>
      <c r="K93" s="1132"/>
      <c r="L93" s="1132"/>
      <c r="M93" s="1132"/>
      <c r="N93" s="1132"/>
      <c r="O93" s="1132"/>
      <c r="P93" s="1132"/>
      <c r="Q93" s="1132"/>
      <c r="R93" s="1132"/>
      <c r="S93" s="1132"/>
      <c r="T93" s="1132"/>
      <c r="U93" s="1132"/>
      <c r="V93" s="1132"/>
      <c r="W93" s="1132"/>
      <c r="X93" s="1132"/>
      <c r="Y93" s="1132"/>
      <c r="Z93" s="1132"/>
      <c r="AA93" s="1132"/>
      <c r="AB93" s="1132"/>
      <c r="AC93" s="1132"/>
      <c r="AD93" s="1132"/>
      <c r="AE93" s="1132"/>
      <c r="AF93" s="1132"/>
    </row>
    <row r="94" spans="1:39" ht="78.75" customHeight="1" x14ac:dyDescent="0.3">
      <c r="A94" s="368" t="s">
        <v>803</v>
      </c>
      <c r="B94" s="1132" t="s">
        <v>1382</v>
      </c>
      <c r="C94" s="1132"/>
      <c r="D94" s="1132"/>
      <c r="E94" s="1132"/>
      <c r="F94" s="1132"/>
      <c r="G94" s="1132"/>
      <c r="H94" s="1132"/>
      <c r="I94" s="1132"/>
      <c r="J94" s="1132"/>
      <c r="K94" s="1132"/>
      <c r="L94" s="1132"/>
      <c r="M94" s="1132"/>
      <c r="N94" s="1132"/>
      <c r="O94" s="1132"/>
      <c r="P94" s="1132"/>
      <c r="Q94" s="1132"/>
      <c r="R94" s="1132"/>
      <c r="S94" s="1132"/>
      <c r="T94" s="1132"/>
      <c r="U94" s="1132"/>
      <c r="V94" s="1132"/>
      <c r="W94" s="1132"/>
      <c r="X94" s="1132"/>
      <c r="Y94" s="1132"/>
      <c r="Z94" s="1132"/>
      <c r="AA94" s="1132"/>
      <c r="AB94" s="1132"/>
      <c r="AC94" s="1132"/>
      <c r="AD94" s="1132"/>
      <c r="AE94" s="1132"/>
      <c r="AF94" s="1132"/>
    </row>
    <row r="95" spans="1:39" ht="65.25" customHeight="1" x14ac:dyDescent="0.3">
      <c r="A95" s="368" t="s">
        <v>803</v>
      </c>
      <c r="B95" s="1132" t="s">
        <v>1383</v>
      </c>
      <c r="C95" s="1132"/>
      <c r="D95" s="1132"/>
      <c r="E95" s="1132"/>
      <c r="F95" s="1132"/>
      <c r="G95" s="1132"/>
      <c r="H95" s="1132"/>
      <c r="I95" s="1132"/>
      <c r="J95" s="1132"/>
      <c r="K95" s="1132"/>
      <c r="L95" s="1132"/>
      <c r="M95" s="1132"/>
      <c r="N95" s="1132"/>
      <c r="O95" s="1132"/>
      <c r="P95" s="1132"/>
      <c r="Q95" s="1132"/>
      <c r="R95" s="1132"/>
      <c r="S95" s="1132"/>
      <c r="T95" s="1132"/>
      <c r="U95" s="1132"/>
      <c r="V95" s="1132"/>
      <c r="W95" s="1132"/>
      <c r="X95" s="1132"/>
      <c r="Y95" s="1132"/>
      <c r="Z95" s="1132"/>
      <c r="AA95" s="1132"/>
      <c r="AB95" s="1132"/>
      <c r="AC95" s="1132"/>
      <c r="AD95" s="1132"/>
      <c r="AE95" s="1132"/>
      <c r="AF95" s="1132"/>
    </row>
    <row r="96" spans="1:39" ht="60" customHeight="1" x14ac:dyDescent="0.3">
      <c r="A96" s="368" t="s">
        <v>803</v>
      </c>
      <c r="B96" s="1132" t="s">
        <v>998</v>
      </c>
      <c r="C96" s="1132"/>
      <c r="D96" s="1132"/>
      <c r="E96" s="1132"/>
      <c r="F96" s="1132"/>
      <c r="G96" s="1132"/>
      <c r="H96" s="1132"/>
      <c r="I96" s="1132"/>
      <c r="J96" s="1132"/>
      <c r="K96" s="1132"/>
      <c r="L96" s="1132"/>
      <c r="M96" s="1132"/>
      <c r="N96" s="1132"/>
      <c r="O96" s="1132"/>
      <c r="P96" s="1132"/>
      <c r="Q96" s="1132"/>
      <c r="R96" s="1132"/>
      <c r="S96" s="1132"/>
      <c r="T96" s="1132"/>
      <c r="U96" s="1132"/>
      <c r="V96" s="1132"/>
      <c r="W96" s="1132"/>
      <c r="X96" s="1132"/>
      <c r="Y96" s="1132"/>
      <c r="Z96" s="1132"/>
      <c r="AA96" s="1132"/>
      <c r="AB96" s="1132"/>
      <c r="AC96" s="1132"/>
      <c r="AD96" s="1132"/>
      <c r="AE96" s="1132"/>
      <c r="AF96" s="1132"/>
    </row>
    <row r="98" spans="1:32" ht="45.75" customHeight="1" x14ac:dyDescent="0.3">
      <c r="A98" s="1132" t="s">
        <v>999</v>
      </c>
      <c r="B98" s="1132"/>
      <c r="C98" s="1132"/>
      <c r="D98" s="1132"/>
      <c r="E98" s="1132"/>
      <c r="F98" s="1132"/>
      <c r="G98" s="1132"/>
      <c r="H98" s="1132"/>
      <c r="I98" s="1132"/>
      <c r="J98" s="1132"/>
      <c r="K98" s="1132"/>
      <c r="L98" s="1132"/>
      <c r="M98" s="1132"/>
      <c r="N98" s="1132"/>
      <c r="O98" s="1132"/>
      <c r="P98" s="1132"/>
      <c r="Q98" s="1132"/>
      <c r="R98" s="1132"/>
      <c r="S98" s="1132"/>
      <c r="T98" s="1132"/>
      <c r="U98" s="1132"/>
      <c r="V98" s="1132"/>
      <c r="W98" s="1132"/>
      <c r="X98" s="1132"/>
      <c r="Y98" s="1132"/>
      <c r="Z98" s="1132"/>
      <c r="AA98" s="1132"/>
      <c r="AB98" s="1132"/>
      <c r="AC98" s="1132"/>
      <c r="AD98" s="1132"/>
      <c r="AE98" s="1132"/>
      <c r="AF98" s="1132"/>
    </row>
  </sheetData>
  <sheetProtection algorithmName="SHA-512" hashValue="IyCl81twJTJnX5JXwLU88ObwCSFNhd/7d/ZqD6j8e58/pjVQ+WC0uy5FRoq4gUHvZConeFYHTspY81gLALPiLw==" saltValue="nH3vc72/HPHLobsVb3lPeQ==" spinCount="100000" sheet="1" objects="1" scenarios="1"/>
  <mergeCells count="69">
    <mergeCell ref="B67:AF67"/>
    <mergeCell ref="A69:AF69"/>
    <mergeCell ref="A49:AF49"/>
    <mergeCell ref="B50:AF50"/>
    <mergeCell ref="B51:AF51"/>
    <mergeCell ref="B52:AF52"/>
    <mergeCell ref="B62:AF62"/>
    <mergeCell ref="B63:AF63"/>
    <mergeCell ref="B64:AF64"/>
    <mergeCell ref="B65:AF65"/>
    <mergeCell ref="B66:AF66"/>
    <mergeCell ref="B60:AF60"/>
    <mergeCell ref="B61:AF61"/>
    <mergeCell ref="A42:AF42"/>
    <mergeCell ref="A43:AF43"/>
    <mergeCell ref="A55:AF55"/>
    <mergeCell ref="A56:AF56"/>
    <mergeCell ref="A58:AF58"/>
    <mergeCell ref="A53:AF53"/>
    <mergeCell ref="B44:AF44"/>
    <mergeCell ref="B45:AF45"/>
    <mergeCell ref="A47:AF47"/>
    <mergeCell ref="A98:AF98"/>
    <mergeCell ref="B90:AF90"/>
    <mergeCell ref="A92:AF92"/>
    <mergeCell ref="B93:AF93"/>
    <mergeCell ref="B94:AF94"/>
    <mergeCell ref="B95:AF95"/>
    <mergeCell ref="B96:AF96"/>
    <mergeCell ref="B89:AF89"/>
    <mergeCell ref="A74:AF74"/>
    <mergeCell ref="A75:AF75"/>
    <mergeCell ref="B76:AF76"/>
    <mergeCell ref="B77:AF77"/>
    <mergeCell ref="B78:AF78"/>
    <mergeCell ref="A83:AF83"/>
    <mergeCell ref="A84:AF84"/>
    <mergeCell ref="A86:AF86"/>
    <mergeCell ref="A87:AF87"/>
    <mergeCell ref="B88:AF88"/>
    <mergeCell ref="A81:AF81"/>
    <mergeCell ref="A22:AF22"/>
    <mergeCell ref="A23:AF23"/>
    <mergeCell ref="A71:AF71"/>
    <mergeCell ref="A72:AF72"/>
    <mergeCell ref="B35:AF35"/>
    <mergeCell ref="B36:AF36"/>
    <mergeCell ref="B37:AF37"/>
    <mergeCell ref="A39:AF39"/>
    <mergeCell ref="A40:AF40"/>
    <mergeCell ref="A24:AF24"/>
    <mergeCell ref="A26:AF26"/>
    <mergeCell ref="A28:AF28"/>
    <mergeCell ref="A30:AF30"/>
    <mergeCell ref="A31:AF31"/>
    <mergeCell ref="A33:AF33"/>
    <mergeCell ref="A34:AF34"/>
    <mergeCell ref="A3:AF3"/>
    <mergeCell ref="B5:AF5"/>
    <mergeCell ref="A16:AF16"/>
    <mergeCell ref="A20:AF20"/>
    <mergeCell ref="A1:AF1"/>
    <mergeCell ref="A9:AF9"/>
    <mergeCell ref="B10:AF10"/>
    <mergeCell ref="B11:AF11"/>
    <mergeCell ref="B12:AF12"/>
    <mergeCell ref="A14:AF14"/>
    <mergeCell ref="A7:AF7"/>
    <mergeCell ref="A18:AF18"/>
  </mergeCells>
  <hyperlinks>
    <hyperlink ref="A2" location="TOC!A1" display="Return to TOC" xr:uid="{00000000-0004-0000-0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5">
    <tabColor theme="1"/>
    <pageSetUpPr autoPageBreaks="0"/>
  </sheetPr>
  <dimension ref="A1"/>
  <sheetViews>
    <sheetView workbookViewId="0">
      <selection sqref="A1:AF1"/>
    </sheetView>
  </sheetViews>
  <sheetFormatPr defaultRowHeight="14.4" x14ac:dyDescent="0.3"/>
  <sheetData/>
  <sheetProtection algorithmName="SHA-512" hashValue="oPdRCJ0k2Hxvpn2jrSSNOWjjWgAuWVwD25MU5z0XCFyNqtP4K+v1Nr7II62hRdtVuUbfF6u8Q9CzA1WEkbAblQ==" saltValue="Dto60/Yp9lJLRItMdXgGYA=="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theme="4" tint="0.79998168889431442"/>
    <pageSetUpPr autoPageBreaks="0"/>
  </sheetPr>
  <dimension ref="A1:CH263"/>
  <sheetViews>
    <sheetView zoomScaleNormal="100" workbookViewId="0">
      <selection activeCell="A2" sqref="A2"/>
    </sheetView>
  </sheetViews>
  <sheetFormatPr defaultColWidth="2.6640625" defaultRowHeight="14.4" x14ac:dyDescent="0.3"/>
  <cols>
    <col min="1" max="7" width="2.6640625" style="1"/>
    <col min="8" max="8" width="2.88671875" style="1"/>
    <col min="9" max="16384" width="2.6640625" style="1"/>
  </cols>
  <sheetData>
    <row r="1" spans="1:86" ht="18" x14ac:dyDescent="0.3">
      <c r="A1" s="1131" t="s">
        <v>5153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86"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row>
    <row r="3" spans="1:86" customForma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c r="AG3" s="1"/>
      <c r="AK3" s="94"/>
      <c r="AL3" s="710"/>
      <c r="AM3" s="94"/>
      <c r="AN3" s="94"/>
      <c r="AO3" s="94"/>
      <c r="AP3" s="94"/>
      <c r="AQ3" s="376"/>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row>
    <row r="4" spans="1:86" customForma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K4" s="94"/>
      <c r="AL4" s="4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row>
    <row r="5" spans="1:86" customFormat="1" ht="33.75" customHeight="1" x14ac:dyDescent="0.3">
      <c r="A5" s="121"/>
      <c r="B5" s="889" t="s">
        <v>5150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1"/>
      <c r="AK5" s="94"/>
      <c r="AL5" s="4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row>
    <row r="6" spans="1:86" customFormat="1" x14ac:dyDescent="0.3">
      <c r="A6" s="228"/>
      <c r="AG6" s="1"/>
      <c r="AK6" s="94"/>
      <c r="AL6" s="4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row>
    <row r="7" spans="1:86"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row>
    <row r="8" spans="1:86"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row>
    <row r="9" spans="1:86" x14ac:dyDescent="0.3">
      <c r="B9" s="1144" t="s">
        <v>3</v>
      </c>
      <c r="C9" s="1144"/>
      <c r="D9" s="1144"/>
      <c r="E9" s="1144"/>
      <c r="F9" s="1144"/>
      <c r="G9" s="1144"/>
      <c r="H9" s="1144"/>
      <c r="I9" s="1144"/>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row>
    <row r="10" spans="1:86" ht="52.5" customHeight="1" x14ac:dyDescent="0.3">
      <c r="A10" s="4"/>
      <c r="B10" s="889" t="s">
        <v>5151</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2" spans="1:86" x14ac:dyDescent="0.3">
      <c r="B12" s="1144" t="s">
        <v>4</v>
      </c>
      <c r="C12" s="1144"/>
      <c r="D12" s="1144"/>
      <c r="E12" s="1144"/>
      <c r="F12" s="1144"/>
      <c r="G12" s="1144"/>
      <c r="H12" s="1144"/>
      <c r="I12" s="1144"/>
    </row>
    <row r="13" spans="1:86" ht="64.5" customHeight="1" x14ac:dyDescent="0.3">
      <c r="B13" s="889" t="s">
        <v>5152</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5" spans="1:86" x14ac:dyDescent="0.3">
      <c r="B15" s="1144" t="s">
        <v>5</v>
      </c>
      <c r="C15" s="1144"/>
      <c r="D15" s="1144"/>
      <c r="E15" s="1144"/>
      <c r="F15" s="1144"/>
      <c r="G15" s="1144"/>
      <c r="H15" s="1144"/>
      <c r="I15" s="1144"/>
    </row>
    <row r="16" spans="1:86" x14ac:dyDescent="0.3">
      <c r="B16" s="1142" t="s">
        <v>3109</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ht="47.25" customHeight="1" x14ac:dyDescent="0.3">
      <c r="A19" s="4"/>
      <c r="B19" s="953" t="s">
        <v>3024</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32.25" customHeight="1" x14ac:dyDescent="0.3">
      <c r="B22" s="953" t="s">
        <v>3025</v>
      </c>
      <c r="C22" s="1145"/>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5"/>
      <c r="AA22" s="1145"/>
      <c r="AB22" s="1145"/>
      <c r="AC22" s="1145"/>
      <c r="AD22" s="1145"/>
      <c r="AE22" s="1145"/>
      <c r="AF22" s="1145"/>
    </row>
    <row r="23" spans="1:32" x14ac:dyDescent="0.3">
      <c r="B23" s="127"/>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row>
    <row r="24" spans="1:32" ht="63.75" customHeight="1" x14ac:dyDescent="0.3">
      <c r="B24" s="1146" t="s">
        <v>5154</v>
      </c>
      <c r="C24" s="1147"/>
      <c r="D24" s="1147"/>
      <c r="E24" s="1147"/>
      <c r="F24" s="1147"/>
      <c r="G24" s="1147"/>
      <c r="H24" s="1147"/>
      <c r="I24" s="1147"/>
      <c r="J24" s="1147"/>
      <c r="K24" s="1147"/>
      <c r="L24" s="1147"/>
      <c r="M24" s="1147"/>
      <c r="N24" s="1147"/>
      <c r="O24" s="1147"/>
      <c r="P24" s="1147"/>
      <c r="Q24" s="1147"/>
      <c r="R24" s="1147"/>
      <c r="S24" s="1147"/>
      <c r="T24" s="1147"/>
      <c r="U24" s="1147"/>
      <c r="V24" s="1147"/>
      <c r="W24" s="1147"/>
      <c r="X24" s="1147"/>
      <c r="Y24" s="1147"/>
      <c r="Z24" s="1147"/>
      <c r="AA24" s="1147"/>
      <c r="AB24" s="1147"/>
      <c r="AC24" s="1147"/>
      <c r="AD24" s="1147"/>
      <c r="AE24" s="1147"/>
      <c r="AF24" s="1147"/>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8" spans="1:32" ht="51" customHeight="1" x14ac:dyDescent="0.3">
      <c r="B28" s="953" t="s">
        <v>3026</v>
      </c>
      <c r="C28" s="953"/>
      <c r="D28" s="953"/>
      <c r="E28" s="953"/>
      <c r="F28" s="953"/>
      <c r="G28" s="953"/>
      <c r="H28" s="953"/>
      <c r="I28" s="953"/>
      <c r="J28" s="953"/>
      <c r="K28" s="953"/>
      <c r="L28" s="953"/>
      <c r="M28" s="953"/>
      <c r="N28" s="953"/>
      <c r="O28" s="953"/>
      <c r="P28" s="953"/>
      <c r="Q28" s="953"/>
      <c r="R28" s="953"/>
      <c r="S28" s="953"/>
      <c r="T28" s="953"/>
      <c r="U28" s="953"/>
      <c r="V28" s="953"/>
      <c r="W28" s="953"/>
      <c r="X28" s="953"/>
      <c r="Y28" s="953"/>
      <c r="Z28" s="953"/>
      <c r="AA28" s="953"/>
      <c r="AB28" s="953"/>
      <c r="AC28" s="953"/>
      <c r="AD28" s="953"/>
      <c r="AE28" s="953"/>
      <c r="AF28" s="953"/>
    </row>
    <row r="30" spans="1:32" x14ac:dyDescent="0.3">
      <c r="B30" s="51" t="s">
        <v>2540</v>
      </c>
    </row>
    <row r="32" spans="1:32" x14ac:dyDescent="0.3">
      <c r="AF32" s="324" t="s">
        <v>1463</v>
      </c>
    </row>
    <row r="33" spans="2:32" x14ac:dyDescent="0.3">
      <c r="AF33" s="55"/>
    </row>
    <row r="34" spans="2:32" x14ac:dyDescent="0.3">
      <c r="B34" s="51" t="s">
        <v>2541</v>
      </c>
      <c r="AF34" s="55"/>
    </row>
    <row r="35" spans="2:32" x14ac:dyDescent="0.3">
      <c r="AF35" s="55"/>
    </row>
    <row r="36" spans="2:32" x14ac:dyDescent="0.3">
      <c r="AF36" s="324" t="s">
        <v>1464</v>
      </c>
    </row>
    <row r="37" spans="2:32" x14ac:dyDescent="0.3">
      <c r="AF37" s="55"/>
    </row>
    <row r="38" spans="2:32" x14ac:dyDescent="0.3">
      <c r="B38" s="51" t="s">
        <v>2254</v>
      </c>
      <c r="AF38" s="55"/>
    </row>
    <row r="39" spans="2:32" x14ac:dyDescent="0.3">
      <c r="AF39" s="55"/>
    </row>
    <row r="40" spans="2:32" x14ac:dyDescent="0.3">
      <c r="AF40" s="324" t="s">
        <v>1465</v>
      </c>
    </row>
    <row r="41" spans="2:32" x14ac:dyDescent="0.3">
      <c r="AF41" s="55"/>
    </row>
    <row r="42" spans="2:32" ht="15" customHeight="1" x14ac:dyDescent="0.3">
      <c r="B42" s="51" t="s">
        <v>2255</v>
      </c>
      <c r="AF42" s="55"/>
    </row>
    <row r="43" spans="2:32" x14ac:dyDescent="0.3">
      <c r="AF43" s="55"/>
    </row>
    <row r="44" spans="2:32" ht="15" customHeight="1" x14ac:dyDescent="0.3">
      <c r="AF44" s="324" t="s">
        <v>1517</v>
      </c>
    </row>
    <row r="45" spans="2:32" ht="15" customHeight="1" x14ac:dyDescent="0.3">
      <c r="AF45" s="55"/>
    </row>
    <row r="46" spans="2:32" x14ac:dyDescent="0.3">
      <c r="B46" s="51" t="s">
        <v>2258</v>
      </c>
      <c r="AF46" s="55"/>
    </row>
    <row r="47" spans="2:32" x14ac:dyDescent="0.3">
      <c r="AF47" s="55"/>
    </row>
    <row r="48" spans="2:32" x14ac:dyDescent="0.3">
      <c r="AF48" s="324" t="s">
        <v>1556</v>
      </c>
    </row>
    <row r="49" spans="2:32" x14ac:dyDescent="0.3">
      <c r="AF49" s="55"/>
    </row>
    <row r="50" spans="2:32" ht="15" customHeight="1" x14ac:dyDescent="0.3">
      <c r="B50" s="51" t="s">
        <v>3663</v>
      </c>
      <c r="AF50" s="55"/>
    </row>
    <row r="51" spans="2:32" x14ac:dyDescent="0.3">
      <c r="AF51" s="55"/>
    </row>
    <row r="52" spans="2:32" x14ac:dyDescent="0.3">
      <c r="AF52" s="324" t="s">
        <v>1558</v>
      </c>
    </row>
    <row r="53" spans="2:32" x14ac:dyDescent="0.3">
      <c r="AF53" s="55"/>
    </row>
    <row r="54" spans="2:32" x14ac:dyDescent="0.3">
      <c r="B54" s="51" t="s">
        <v>2256</v>
      </c>
      <c r="AF54" s="55"/>
    </row>
    <row r="55" spans="2:32" x14ac:dyDescent="0.3">
      <c r="AF55" s="55"/>
    </row>
    <row r="56" spans="2:32" x14ac:dyDescent="0.3">
      <c r="AF56" s="324" t="s">
        <v>1607</v>
      </c>
    </row>
    <row r="57" spans="2:32" x14ac:dyDescent="0.3">
      <c r="AF57" s="55"/>
    </row>
    <row r="58" spans="2:32" x14ac:dyDescent="0.3">
      <c r="B58" s="51" t="s">
        <v>2259</v>
      </c>
      <c r="AF58" s="55"/>
    </row>
    <row r="59" spans="2:32" x14ac:dyDescent="0.3">
      <c r="AF59" s="55"/>
    </row>
    <row r="60" spans="2:32" x14ac:dyDescent="0.3">
      <c r="AF60" s="324" t="s">
        <v>1608</v>
      </c>
    </row>
    <row r="61" spans="2:32" x14ac:dyDescent="0.3">
      <c r="AF61" s="55"/>
    </row>
    <row r="62" spans="2:32" x14ac:dyDescent="0.3">
      <c r="B62" s="51" t="s">
        <v>3664</v>
      </c>
      <c r="AF62" s="55"/>
    </row>
    <row r="63" spans="2:32" x14ac:dyDescent="0.3">
      <c r="AF63" s="55"/>
    </row>
    <row r="64" spans="2:32" x14ac:dyDescent="0.3">
      <c r="AF64" s="324" t="s">
        <v>1946</v>
      </c>
    </row>
    <row r="65" spans="1:32" x14ac:dyDescent="0.3">
      <c r="AF65" s="55"/>
    </row>
    <row r="66" spans="1:32" x14ac:dyDescent="0.3">
      <c r="B66" s="51" t="s">
        <v>2257</v>
      </c>
      <c r="AF66" s="55"/>
    </row>
    <row r="67" spans="1:32" x14ac:dyDescent="0.3">
      <c r="AF67" s="55"/>
    </row>
    <row r="68" spans="1:32" x14ac:dyDescent="0.3">
      <c r="AF68" s="324" t="s">
        <v>1948</v>
      </c>
    </row>
    <row r="69" spans="1:32" x14ac:dyDescent="0.3">
      <c r="AF69" s="55"/>
    </row>
    <row r="70" spans="1:32" x14ac:dyDescent="0.3">
      <c r="A70" s="121"/>
      <c r="B70" s="51" t="s">
        <v>2260</v>
      </c>
      <c r="AF70" s="55"/>
    </row>
    <row r="71" spans="1:32" x14ac:dyDescent="0.3">
      <c r="A71" s="121"/>
      <c r="B71" s="121"/>
      <c r="AF71" s="55"/>
    </row>
    <row r="72" spans="1:32" x14ac:dyDescent="0.3">
      <c r="A72" s="121"/>
      <c r="B72" s="121"/>
      <c r="AF72" s="324" t="s">
        <v>1949</v>
      </c>
    </row>
    <row r="74" spans="1:32" x14ac:dyDescent="0.3">
      <c r="A74" s="1141" t="s">
        <v>8</v>
      </c>
      <c r="B74" s="1141"/>
      <c r="C74" s="1141"/>
      <c r="D74" s="1141"/>
      <c r="E74" s="1141"/>
      <c r="F74" s="1141"/>
      <c r="G74" s="1141"/>
      <c r="H74" s="1141"/>
      <c r="I74" s="1141"/>
      <c r="J74" s="1141"/>
      <c r="K74" s="1141"/>
      <c r="L74" s="1141"/>
      <c r="M74" s="1141"/>
      <c r="N74" s="1141"/>
      <c r="O74" s="1141"/>
      <c r="P74" s="1141"/>
      <c r="Q74" s="1141"/>
      <c r="R74" s="1141"/>
      <c r="S74" s="1141"/>
      <c r="T74" s="1141"/>
      <c r="U74" s="1141"/>
      <c r="V74" s="1141"/>
      <c r="W74" s="1141"/>
      <c r="X74" s="1141"/>
      <c r="Y74" s="1141"/>
      <c r="Z74" s="1141"/>
      <c r="AA74" s="1141"/>
      <c r="AB74" s="1141"/>
      <c r="AC74" s="1141"/>
      <c r="AD74" s="1141"/>
      <c r="AE74" s="1141"/>
      <c r="AF74" s="1141"/>
    </row>
    <row r="75" spans="1:32" x14ac:dyDescent="0.3">
      <c r="A75" s="1143" t="s">
        <v>9</v>
      </c>
      <c r="B75" s="1143"/>
      <c r="C75" s="1143"/>
      <c r="D75" s="1143"/>
      <c r="E75" s="1143" t="s">
        <v>3</v>
      </c>
      <c r="F75" s="1143"/>
      <c r="G75" s="1143"/>
      <c r="H75" s="1143"/>
      <c r="I75" s="1143"/>
      <c r="J75" s="1143"/>
      <c r="K75" s="1143"/>
      <c r="L75" s="1143"/>
      <c r="M75" s="1143"/>
      <c r="N75" s="1143"/>
      <c r="O75" s="1143"/>
      <c r="P75" s="1143"/>
      <c r="Q75" s="1143" t="s">
        <v>10</v>
      </c>
      <c r="R75" s="1143"/>
      <c r="S75" s="1143"/>
      <c r="T75" s="1143"/>
      <c r="U75" s="1143" t="s">
        <v>11</v>
      </c>
      <c r="V75" s="1143"/>
      <c r="W75" s="1143" t="s">
        <v>1466</v>
      </c>
      <c r="X75" s="1143"/>
      <c r="Y75" s="1143"/>
      <c r="Z75" s="1143"/>
      <c r="AA75" s="1143"/>
      <c r="AB75" s="1143"/>
      <c r="AC75" s="1143"/>
      <c r="AD75" s="1143"/>
      <c r="AE75" s="1143"/>
      <c r="AF75" s="1143"/>
    </row>
    <row r="76" spans="1:32" ht="30" customHeight="1" x14ac:dyDescent="0.3">
      <c r="A76" s="1148" t="s">
        <v>2277</v>
      </c>
      <c r="B76" s="1149"/>
      <c r="C76" s="1149"/>
      <c r="D76" s="1150"/>
      <c r="E76" s="1148" t="s">
        <v>2702</v>
      </c>
      <c r="F76" s="1149"/>
      <c r="G76" s="1149"/>
      <c r="H76" s="1149"/>
      <c r="I76" s="1149"/>
      <c r="J76" s="1149"/>
      <c r="K76" s="1149"/>
      <c r="L76" s="1149"/>
      <c r="M76" s="1149"/>
      <c r="N76" s="1149"/>
      <c r="O76" s="1149"/>
      <c r="P76" s="1150"/>
      <c r="Q76" s="1151" t="s">
        <v>2695</v>
      </c>
      <c r="R76" s="1152"/>
      <c r="S76" s="1152"/>
      <c r="T76" s="1153"/>
      <c r="U76" s="1151" t="s">
        <v>2271</v>
      </c>
      <c r="V76" s="1153"/>
      <c r="W76" s="1148" t="s">
        <v>2281</v>
      </c>
      <c r="X76" s="1149"/>
      <c r="Y76" s="1149"/>
      <c r="Z76" s="1149"/>
      <c r="AA76" s="1149"/>
      <c r="AB76" s="1149"/>
      <c r="AC76" s="1149"/>
      <c r="AD76" s="1149"/>
      <c r="AE76" s="1149"/>
      <c r="AF76" s="1150"/>
    </row>
    <row r="77" spans="1:32" ht="30" customHeight="1" x14ac:dyDescent="0.3">
      <c r="A77" s="1148" t="s">
        <v>2276</v>
      </c>
      <c r="B77" s="1149"/>
      <c r="C77" s="1149"/>
      <c r="D77" s="1150"/>
      <c r="E77" s="1148" t="s">
        <v>2703</v>
      </c>
      <c r="F77" s="1149"/>
      <c r="G77" s="1149"/>
      <c r="H77" s="1149"/>
      <c r="I77" s="1149"/>
      <c r="J77" s="1149"/>
      <c r="K77" s="1149"/>
      <c r="L77" s="1149"/>
      <c r="M77" s="1149"/>
      <c r="N77" s="1149"/>
      <c r="O77" s="1149"/>
      <c r="P77" s="1150"/>
      <c r="Q77" s="1151" t="s">
        <v>2275</v>
      </c>
      <c r="R77" s="1152"/>
      <c r="S77" s="1152"/>
      <c r="T77" s="1153"/>
      <c r="U77" s="1151" t="s">
        <v>2271</v>
      </c>
      <c r="V77" s="1153"/>
      <c r="W77" s="1148" t="s">
        <v>2696</v>
      </c>
      <c r="X77" s="1149"/>
      <c r="Y77" s="1149"/>
      <c r="Z77" s="1149"/>
      <c r="AA77" s="1149"/>
      <c r="AB77" s="1149"/>
      <c r="AC77" s="1149"/>
      <c r="AD77" s="1149"/>
      <c r="AE77" s="1149"/>
      <c r="AF77" s="1150"/>
    </row>
    <row r="78" spans="1:32" ht="30" customHeight="1" x14ac:dyDescent="0.3">
      <c r="A78" s="1148" t="s">
        <v>2269</v>
      </c>
      <c r="B78" s="1149"/>
      <c r="C78" s="1149"/>
      <c r="D78" s="1150"/>
      <c r="E78" s="1148" t="s">
        <v>2272</v>
      </c>
      <c r="F78" s="1149"/>
      <c r="G78" s="1149"/>
      <c r="H78" s="1149"/>
      <c r="I78" s="1149"/>
      <c r="J78" s="1149"/>
      <c r="K78" s="1149"/>
      <c r="L78" s="1149"/>
      <c r="M78" s="1149"/>
      <c r="N78" s="1149"/>
      <c r="O78" s="1149"/>
      <c r="P78" s="1150"/>
      <c r="Q78" s="1151" t="s">
        <v>2274</v>
      </c>
      <c r="R78" s="1152"/>
      <c r="S78" s="1152"/>
      <c r="T78" s="1153"/>
      <c r="U78" s="1151" t="s">
        <v>2271</v>
      </c>
      <c r="V78" s="1153"/>
      <c r="W78" s="1148" t="s">
        <v>2279</v>
      </c>
      <c r="X78" s="1149"/>
      <c r="Y78" s="1149"/>
      <c r="Z78" s="1149"/>
      <c r="AA78" s="1149"/>
      <c r="AB78" s="1149"/>
      <c r="AC78" s="1149"/>
      <c r="AD78" s="1149"/>
      <c r="AE78" s="1149"/>
      <c r="AF78" s="1150"/>
    </row>
    <row r="79" spans="1:32" ht="30" customHeight="1" x14ac:dyDescent="0.3">
      <c r="A79" s="1148" t="s">
        <v>2270</v>
      </c>
      <c r="B79" s="1149"/>
      <c r="C79" s="1149"/>
      <c r="D79" s="1150"/>
      <c r="E79" s="1148" t="s">
        <v>2273</v>
      </c>
      <c r="F79" s="1149"/>
      <c r="G79" s="1149"/>
      <c r="H79" s="1149"/>
      <c r="I79" s="1149"/>
      <c r="J79" s="1149"/>
      <c r="K79" s="1149"/>
      <c r="L79" s="1149"/>
      <c r="M79" s="1149"/>
      <c r="N79" s="1149"/>
      <c r="O79" s="1149"/>
      <c r="P79" s="1150"/>
      <c r="Q79" s="1151" t="s">
        <v>2274</v>
      </c>
      <c r="R79" s="1152"/>
      <c r="S79" s="1152"/>
      <c r="T79" s="1153"/>
      <c r="U79" s="1151" t="s">
        <v>2271</v>
      </c>
      <c r="V79" s="1153"/>
      <c r="W79" s="1148" t="s">
        <v>2278</v>
      </c>
      <c r="X79" s="1149"/>
      <c r="Y79" s="1149"/>
      <c r="Z79" s="1149"/>
      <c r="AA79" s="1149"/>
      <c r="AB79" s="1149"/>
      <c r="AC79" s="1149"/>
      <c r="AD79" s="1149"/>
      <c r="AE79" s="1149"/>
      <c r="AF79" s="1150"/>
    </row>
    <row r="80" spans="1:32" ht="30" customHeight="1" x14ac:dyDescent="0.3">
      <c r="A80" s="1154" t="s">
        <v>2266</v>
      </c>
      <c r="B80" s="1155"/>
      <c r="C80" s="1155"/>
      <c r="D80" s="1156"/>
      <c r="E80" s="1148" t="s">
        <v>2282</v>
      </c>
      <c r="F80" s="1149"/>
      <c r="G80" s="1149"/>
      <c r="H80" s="1149"/>
      <c r="I80" s="1149"/>
      <c r="J80" s="1149"/>
      <c r="K80" s="1149"/>
      <c r="L80" s="1149"/>
      <c r="M80" s="1149"/>
      <c r="N80" s="1149"/>
      <c r="O80" s="1149"/>
      <c r="P80" s="1150"/>
      <c r="Q80" s="1151" t="s">
        <v>2267</v>
      </c>
      <c r="R80" s="1152"/>
      <c r="S80" s="1152"/>
      <c r="T80" s="1153"/>
      <c r="U80" s="1151" t="s">
        <v>36</v>
      </c>
      <c r="V80" s="1153"/>
      <c r="W80" s="1148" t="s">
        <v>3028</v>
      </c>
      <c r="X80" s="1149"/>
      <c r="Y80" s="1149"/>
      <c r="Z80" s="1149"/>
      <c r="AA80" s="1149"/>
      <c r="AB80" s="1149"/>
      <c r="AC80" s="1149"/>
      <c r="AD80" s="1149"/>
      <c r="AE80" s="1149"/>
      <c r="AF80" s="1150"/>
    </row>
    <row r="81" spans="1:32" ht="30" customHeight="1" x14ac:dyDescent="0.3">
      <c r="A81" s="1154" t="s">
        <v>2265</v>
      </c>
      <c r="B81" s="1155"/>
      <c r="C81" s="1155"/>
      <c r="D81" s="1156"/>
      <c r="E81" s="1148" t="s">
        <v>2283</v>
      </c>
      <c r="F81" s="1149"/>
      <c r="G81" s="1149"/>
      <c r="H81" s="1149"/>
      <c r="I81" s="1149"/>
      <c r="J81" s="1149"/>
      <c r="K81" s="1149"/>
      <c r="L81" s="1149"/>
      <c r="M81" s="1149"/>
      <c r="N81" s="1149"/>
      <c r="O81" s="1149"/>
      <c r="P81" s="1150"/>
      <c r="Q81" s="1151" t="s">
        <v>2267</v>
      </c>
      <c r="R81" s="1152"/>
      <c r="S81" s="1152"/>
      <c r="T81" s="1153"/>
      <c r="U81" s="1151" t="s">
        <v>36</v>
      </c>
      <c r="V81" s="1153"/>
      <c r="W81" s="1148" t="s">
        <v>2280</v>
      </c>
      <c r="X81" s="1149"/>
      <c r="Y81" s="1149"/>
      <c r="Z81" s="1149"/>
      <c r="AA81" s="1149"/>
      <c r="AB81" s="1149"/>
      <c r="AC81" s="1149"/>
      <c r="AD81" s="1149"/>
      <c r="AE81" s="1149"/>
      <c r="AF81" s="1150"/>
    </row>
    <row r="82" spans="1:32" ht="30" customHeight="1" x14ac:dyDescent="0.3">
      <c r="A82" s="1157" t="s">
        <v>3788</v>
      </c>
      <c r="B82" s="1158"/>
      <c r="C82" s="1158"/>
      <c r="D82" s="1159"/>
      <c r="E82" s="1163" t="s">
        <v>3781</v>
      </c>
      <c r="F82" s="1164"/>
      <c r="G82" s="1164"/>
      <c r="H82" s="1164"/>
      <c r="I82" s="1164"/>
      <c r="J82" s="1164"/>
      <c r="K82" s="1164"/>
      <c r="L82" s="1164"/>
      <c r="M82" s="1164"/>
      <c r="N82" s="1164"/>
      <c r="O82" s="1164"/>
      <c r="P82" s="1165"/>
      <c r="Q82" s="1166">
        <v>758</v>
      </c>
      <c r="R82" s="1167"/>
      <c r="S82" s="1167"/>
      <c r="T82" s="1168"/>
      <c r="U82" s="1166" t="s">
        <v>36</v>
      </c>
      <c r="V82" s="1168"/>
      <c r="W82" s="1163" t="s">
        <v>3789</v>
      </c>
      <c r="X82" s="1164"/>
      <c r="Y82" s="1164"/>
      <c r="Z82" s="1164"/>
      <c r="AA82" s="1164"/>
      <c r="AB82" s="1164"/>
      <c r="AC82" s="1164"/>
      <c r="AD82" s="1164"/>
      <c r="AE82" s="1164"/>
      <c r="AF82" s="1165"/>
    </row>
    <row r="83" spans="1:32" ht="30" customHeight="1" x14ac:dyDescent="0.3">
      <c r="A83" s="1160"/>
      <c r="B83" s="1161"/>
      <c r="C83" s="1161"/>
      <c r="D83" s="1162"/>
      <c r="E83" s="1163" t="s">
        <v>3782</v>
      </c>
      <c r="F83" s="1164"/>
      <c r="G83" s="1164"/>
      <c r="H83" s="1164"/>
      <c r="I83" s="1164"/>
      <c r="J83" s="1164"/>
      <c r="K83" s="1164"/>
      <c r="L83" s="1164"/>
      <c r="M83" s="1164"/>
      <c r="N83" s="1164"/>
      <c r="O83" s="1164"/>
      <c r="P83" s="1165"/>
      <c r="Q83" s="1166">
        <v>574</v>
      </c>
      <c r="R83" s="1167"/>
      <c r="S83" s="1167"/>
      <c r="T83" s="1168"/>
      <c r="U83" s="1166" t="s">
        <v>36</v>
      </c>
      <c r="V83" s="1168"/>
      <c r="W83" s="1163" t="s">
        <v>3789</v>
      </c>
      <c r="X83" s="1164"/>
      <c r="Y83" s="1164"/>
      <c r="Z83" s="1164"/>
      <c r="AA83" s="1164"/>
      <c r="AB83" s="1164"/>
      <c r="AC83" s="1164"/>
      <c r="AD83" s="1164"/>
      <c r="AE83" s="1164"/>
      <c r="AF83" s="1165"/>
    </row>
    <row r="84" spans="1:32" ht="30" customHeight="1" x14ac:dyDescent="0.3">
      <c r="A84" s="1154" t="s">
        <v>34</v>
      </c>
      <c r="B84" s="1155"/>
      <c r="C84" s="1155"/>
      <c r="D84" s="1156"/>
      <c r="E84" s="1148" t="s">
        <v>644</v>
      </c>
      <c r="F84" s="1149"/>
      <c r="G84" s="1149"/>
      <c r="H84" s="1149"/>
      <c r="I84" s="1149"/>
      <c r="J84" s="1149"/>
      <c r="K84" s="1149"/>
      <c r="L84" s="1149"/>
      <c r="M84" s="1149"/>
      <c r="N84" s="1149"/>
      <c r="O84" s="1149"/>
      <c r="P84" s="1150"/>
      <c r="Q84" s="1169">
        <v>1</v>
      </c>
      <c r="R84" s="1170"/>
      <c r="S84" s="1170"/>
      <c r="T84" s="1171"/>
      <c r="U84" s="1151" t="s">
        <v>20</v>
      </c>
      <c r="V84" s="1153"/>
      <c r="W84" s="1148" t="s">
        <v>2697</v>
      </c>
      <c r="X84" s="1149"/>
      <c r="Y84" s="1149"/>
      <c r="Z84" s="1149"/>
      <c r="AA84" s="1149"/>
      <c r="AB84" s="1149"/>
      <c r="AC84" s="1149"/>
      <c r="AD84" s="1149"/>
      <c r="AE84" s="1149"/>
      <c r="AF84" s="1150"/>
    </row>
    <row r="85" spans="1:32" ht="30" customHeight="1" x14ac:dyDescent="0.3">
      <c r="A85" s="1154" t="s">
        <v>24</v>
      </c>
      <c r="B85" s="1155"/>
      <c r="C85" s="1155"/>
      <c r="D85" s="1156"/>
      <c r="E85" s="1148" t="s">
        <v>155</v>
      </c>
      <c r="F85" s="1149"/>
      <c r="G85" s="1149"/>
      <c r="H85" s="1149"/>
      <c r="I85" s="1149"/>
      <c r="J85" s="1149"/>
      <c r="K85" s="1149"/>
      <c r="L85" s="1149"/>
      <c r="M85" s="1149"/>
      <c r="N85" s="1149"/>
      <c r="O85" s="1149"/>
      <c r="P85" s="1150"/>
      <c r="Q85" s="1151">
        <v>8760</v>
      </c>
      <c r="R85" s="1152"/>
      <c r="S85" s="1152"/>
      <c r="T85" s="1153"/>
      <c r="U85" s="1151" t="s">
        <v>37</v>
      </c>
      <c r="V85" s="1153"/>
      <c r="W85" s="1172" t="s">
        <v>2268</v>
      </c>
      <c r="X85" s="1173"/>
      <c r="Y85" s="1173"/>
      <c r="Z85" s="1173"/>
      <c r="AA85" s="1173"/>
      <c r="AB85" s="1173"/>
      <c r="AC85" s="1173"/>
      <c r="AD85" s="1173"/>
      <c r="AE85" s="1173"/>
      <c r="AF85" s="1174"/>
    </row>
    <row r="86" spans="1:32" ht="30" customHeight="1" x14ac:dyDescent="0.3">
      <c r="A86" s="1154" t="s">
        <v>21</v>
      </c>
      <c r="B86" s="1155"/>
      <c r="C86" s="1155"/>
      <c r="D86" s="1156"/>
      <c r="E86" s="1148" t="s">
        <v>96</v>
      </c>
      <c r="F86" s="1149"/>
      <c r="G86" s="1149"/>
      <c r="H86" s="1149"/>
      <c r="I86" s="1149"/>
      <c r="J86" s="1149"/>
      <c r="K86" s="1149"/>
      <c r="L86" s="1149"/>
      <c r="M86" s="1149"/>
      <c r="N86" s="1149"/>
      <c r="O86" s="1149"/>
      <c r="P86" s="1150"/>
      <c r="Q86" s="1169">
        <v>1</v>
      </c>
      <c r="R86" s="1170"/>
      <c r="S86" s="1170"/>
      <c r="T86" s="1171"/>
      <c r="U86" s="1151" t="s">
        <v>20</v>
      </c>
      <c r="V86" s="1153"/>
      <c r="W86" s="1148" t="s">
        <v>2689</v>
      </c>
      <c r="X86" s="1149"/>
      <c r="Y86" s="1149"/>
      <c r="Z86" s="1149"/>
      <c r="AA86" s="1149"/>
      <c r="AB86" s="1149"/>
      <c r="AC86" s="1149"/>
      <c r="AD86" s="1149"/>
      <c r="AE86" s="1149"/>
      <c r="AF86" s="1150"/>
    </row>
    <row r="87" spans="1:32" ht="30" customHeight="1" x14ac:dyDescent="0.3">
      <c r="A87" s="1154" t="s">
        <v>2692</v>
      </c>
      <c r="B87" s="1155"/>
      <c r="C87" s="1155"/>
      <c r="D87" s="1156"/>
      <c r="E87" s="1148" t="s">
        <v>2261</v>
      </c>
      <c r="F87" s="1149"/>
      <c r="G87" s="1149"/>
      <c r="H87" s="1149"/>
      <c r="I87" s="1149"/>
      <c r="J87" s="1149"/>
      <c r="K87" s="1149"/>
      <c r="L87" s="1149"/>
      <c r="M87" s="1149"/>
      <c r="N87" s="1149"/>
      <c r="O87" s="1149"/>
      <c r="P87" s="1150"/>
      <c r="Q87" s="1151">
        <f>'Master EUL'!X26</f>
        <v>14</v>
      </c>
      <c r="R87" s="1152"/>
      <c r="S87" s="1152"/>
      <c r="T87" s="1153"/>
      <c r="U87" s="1151" t="s">
        <v>38</v>
      </c>
      <c r="V87" s="1153"/>
      <c r="W87" s="1148" t="s">
        <v>2698</v>
      </c>
      <c r="X87" s="1149"/>
      <c r="Y87" s="1149"/>
      <c r="Z87" s="1149"/>
      <c r="AA87" s="1149"/>
      <c r="AB87" s="1149"/>
      <c r="AC87" s="1149"/>
      <c r="AD87" s="1149"/>
      <c r="AE87" s="1149"/>
      <c r="AF87" s="1150"/>
    </row>
    <row r="88" spans="1:32" ht="30" customHeight="1" x14ac:dyDescent="0.3">
      <c r="A88" s="1154" t="s">
        <v>2693</v>
      </c>
      <c r="B88" s="1155"/>
      <c r="C88" s="1155"/>
      <c r="D88" s="1156"/>
      <c r="E88" s="1148" t="s">
        <v>2262</v>
      </c>
      <c r="F88" s="1149"/>
      <c r="G88" s="1149"/>
      <c r="H88" s="1149"/>
      <c r="I88" s="1149"/>
      <c r="J88" s="1149"/>
      <c r="K88" s="1149"/>
      <c r="L88" s="1149"/>
      <c r="M88" s="1149"/>
      <c r="N88" s="1149"/>
      <c r="O88" s="1149"/>
      <c r="P88" s="1150"/>
      <c r="Q88" s="1151">
        <f>'Master EUL'!X27</f>
        <v>17</v>
      </c>
      <c r="R88" s="1152"/>
      <c r="S88" s="1152"/>
      <c r="T88" s="1153"/>
      <c r="U88" s="1151" t="s">
        <v>38</v>
      </c>
      <c r="V88" s="1153"/>
      <c r="W88" s="1148" t="s">
        <v>1518</v>
      </c>
      <c r="X88" s="1149"/>
      <c r="Y88" s="1149"/>
      <c r="Z88" s="1149"/>
      <c r="AA88" s="1149"/>
      <c r="AB88" s="1149"/>
      <c r="AC88" s="1149"/>
      <c r="AD88" s="1149"/>
      <c r="AE88" s="1149"/>
      <c r="AF88" s="1150"/>
    </row>
    <row r="89" spans="1:32" ht="30" customHeight="1" x14ac:dyDescent="0.3">
      <c r="A89" s="1154" t="s">
        <v>2690</v>
      </c>
      <c r="B89" s="1155"/>
      <c r="C89" s="1155"/>
      <c r="D89" s="1156"/>
      <c r="E89" s="1148" t="s">
        <v>2263</v>
      </c>
      <c r="F89" s="1149"/>
      <c r="G89" s="1149"/>
      <c r="H89" s="1149"/>
      <c r="I89" s="1149"/>
      <c r="J89" s="1149"/>
      <c r="K89" s="1149"/>
      <c r="L89" s="1149"/>
      <c r="M89" s="1149"/>
      <c r="N89" s="1149"/>
      <c r="O89" s="1149"/>
      <c r="P89" s="1150"/>
      <c r="Q89" s="1151">
        <f>'Master EUL'!X28</f>
        <v>8</v>
      </c>
      <c r="R89" s="1152"/>
      <c r="S89" s="1152"/>
      <c r="T89" s="1153"/>
      <c r="U89" s="1151" t="s">
        <v>38</v>
      </c>
      <c r="V89" s="1153"/>
      <c r="W89" s="1148" t="s">
        <v>1518</v>
      </c>
      <c r="X89" s="1149"/>
      <c r="Y89" s="1149"/>
      <c r="Z89" s="1149"/>
      <c r="AA89" s="1149"/>
      <c r="AB89" s="1149"/>
      <c r="AC89" s="1149"/>
      <c r="AD89" s="1149"/>
      <c r="AE89" s="1149"/>
      <c r="AF89" s="1150"/>
    </row>
    <row r="90" spans="1:32" ht="30" customHeight="1" x14ac:dyDescent="0.3">
      <c r="A90" s="1154" t="s">
        <v>2691</v>
      </c>
      <c r="B90" s="1155"/>
      <c r="C90" s="1155"/>
      <c r="D90" s="1156"/>
      <c r="E90" s="1148" t="s">
        <v>2264</v>
      </c>
      <c r="F90" s="1149"/>
      <c r="G90" s="1149"/>
      <c r="H90" s="1149"/>
      <c r="I90" s="1149"/>
      <c r="J90" s="1149"/>
      <c r="K90" s="1149"/>
      <c r="L90" s="1149"/>
      <c r="M90" s="1149"/>
      <c r="N90" s="1149"/>
      <c r="O90" s="1149"/>
      <c r="P90" s="1150"/>
      <c r="Q90" s="1151">
        <f>'Master EUL'!X29</f>
        <v>7</v>
      </c>
      <c r="R90" s="1152"/>
      <c r="S90" s="1152"/>
      <c r="T90" s="1153"/>
      <c r="U90" s="1151" t="s">
        <v>38</v>
      </c>
      <c r="V90" s="1153"/>
      <c r="W90" s="1148" t="s">
        <v>1518</v>
      </c>
      <c r="X90" s="1149"/>
      <c r="Y90" s="1149"/>
      <c r="Z90" s="1149"/>
      <c r="AA90" s="1149"/>
      <c r="AB90" s="1149"/>
      <c r="AC90" s="1149"/>
      <c r="AD90" s="1149"/>
      <c r="AE90" s="1149"/>
      <c r="AF90" s="1150"/>
    </row>
    <row r="91" spans="1:32" ht="39.75" customHeight="1" x14ac:dyDescent="0.3">
      <c r="A91" s="998" t="s">
        <v>2701</v>
      </c>
      <c r="B91" s="998"/>
      <c r="C91" s="998"/>
      <c r="D91" s="998"/>
      <c r="E91" s="998"/>
      <c r="F91" s="998"/>
      <c r="G91" s="998"/>
      <c r="H91" s="998"/>
      <c r="I91" s="998"/>
      <c r="J91" s="998"/>
      <c r="K91" s="998"/>
      <c r="L91" s="998"/>
      <c r="M91" s="998"/>
      <c r="N91" s="998"/>
      <c r="O91" s="998"/>
      <c r="P91" s="998"/>
      <c r="Q91" s="998"/>
      <c r="R91" s="998"/>
      <c r="S91" s="998"/>
      <c r="T91" s="998"/>
      <c r="U91" s="998"/>
      <c r="V91" s="998"/>
      <c r="W91" s="998"/>
      <c r="X91" s="998"/>
      <c r="Y91" s="998"/>
      <c r="Z91" s="998"/>
      <c r="AA91" s="998"/>
      <c r="AB91" s="998"/>
      <c r="AC91" s="998"/>
      <c r="AD91" s="998"/>
      <c r="AE91" s="998"/>
      <c r="AF91" s="998"/>
    </row>
    <row r="92" spans="1:32" ht="52.5" customHeight="1" x14ac:dyDescent="0.3">
      <c r="A92" s="998" t="s">
        <v>2902</v>
      </c>
      <c r="B92" s="998"/>
      <c r="C92" s="998"/>
      <c r="D92" s="998"/>
      <c r="E92" s="998"/>
      <c r="F92" s="998"/>
      <c r="G92" s="998"/>
      <c r="H92" s="998"/>
      <c r="I92" s="998"/>
      <c r="J92" s="998"/>
      <c r="K92" s="998"/>
      <c r="L92" s="998"/>
      <c r="M92" s="998"/>
      <c r="N92" s="998"/>
      <c r="O92" s="998"/>
      <c r="P92" s="998"/>
      <c r="Q92" s="998"/>
      <c r="R92" s="998"/>
      <c r="S92" s="998"/>
      <c r="T92" s="998"/>
      <c r="U92" s="998"/>
      <c r="V92" s="998"/>
      <c r="W92" s="998"/>
      <c r="X92" s="998"/>
      <c r="Y92" s="998"/>
      <c r="Z92" s="998"/>
      <c r="AA92" s="998"/>
      <c r="AB92" s="998"/>
      <c r="AC92" s="998"/>
      <c r="AD92" s="998"/>
      <c r="AE92" s="998"/>
      <c r="AF92" s="998"/>
    </row>
    <row r="93" spans="1:32" ht="42" customHeight="1" x14ac:dyDescent="0.3">
      <c r="A93" s="998" t="s">
        <v>2903</v>
      </c>
      <c r="B93" s="998"/>
      <c r="C93" s="998"/>
      <c r="D93" s="998"/>
      <c r="E93" s="998"/>
      <c r="F93" s="998"/>
      <c r="G93" s="998"/>
      <c r="H93" s="998"/>
      <c r="I93" s="998"/>
      <c r="J93" s="998"/>
      <c r="K93" s="998"/>
      <c r="L93" s="998"/>
      <c r="M93" s="998"/>
      <c r="N93" s="998"/>
      <c r="O93" s="998"/>
      <c r="P93" s="998"/>
      <c r="Q93" s="998"/>
      <c r="R93" s="998"/>
      <c r="S93" s="998"/>
      <c r="T93" s="998"/>
      <c r="U93" s="998"/>
      <c r="V93" s="998"/>
      <c r="W93" s="998"/>
      <c r="X93" s="998"/>
      <c r="Y93" s="998"/>
      <c r="Z93" s="998"/>
      <c r="AA93" s="998"/>
      <c r="AB93" s="998"/>
      <c r="AC93" s="998"/>
      <c r="AD93" s="998"/>
      <c r="AE93" s="998"/>
      <c r="AF93" s="998"/>
    </row>
    <row r="94" spans="1:32" ht="68.25" customHeight="1" x14ac:dyDescent="0.3">
      <c r="A94" s="998" t="s">
        <v>3790</v>
      </c>
      <c r="B94" s="998"/>
      <c r="C94" s="998"/>
      <c r="D94" s="998"/>
      <c r="E94" s="998"/>
      <c r="F94" s="998"/>
      <c r="G94" s="998"/>
      <c r="H94" s="998"/>
      <c r="I94" s="998"/>
      <c r="J94" s="998"/>
      <c r="K94" s="998"/>
      <c r="L94" s="998"/>
      <c r="M94" s="998"/>
      <c r="N94" s="998"/>
      <c r="O94" s="998"/>
      <c r="P94" s="998"/>
      <c r="Q94" s="998"/>
      <c r="R94" s="998"/>
      <c r="S94" s="998"/>
      <c r="T94" s="998"/>
      <c r="U94" s="998"/>
      <c r="V94" s="998"/>
      <c r="W94" s="998"/>
      <c r="X94" s="998"/>
      <c r="Y94" s="998"/>
      <c r="Z94" s="998"/>
      <c r="AA94" s="998"/>
      <c r="AB94" s="998"/>
      <c r="AC94" s="998"/>
      <c r="AD94" s="998"/>
      <c r="AE94" s="998"/>
      <c r="AF94" s="998"/>
    </row>
    <row r="95" spans="1:32" ht="30" customHeight="1" x14ac:dyDescent="0.3">
      <c r="A95" s="998" t="s">
        <v>2699</v>
      </c>
      <c r="B95" s="998"/>
      <c r="C95" s="998"/>
      <c r="D95" s="998"/>
      <c r="E95" s="998"/>
      <c r="F95" s="998"/>
      <c r="G95" s="998"/>
      <c r="H95" s="998"/>
      <c r="I95" s="998"/>
      <c r="J95" s="998"/>
      <c r="K95" s="998"/>
      <c r="L95" s="998"/>
      <c r="M95" s="998"/>
      <c r="N95" s="998"/>
      <c r="O95" s="998"/>
      <c r="P95" s="998"/>
      <c r="Q95" s="998"/>
      <c r="R95" s="998"/>
      <c r="S95" s="998"/>
      <c r="T95" s="998"/>
      <c r="U95" s="998"/>
      <c r="V95" s="998"/>
      <c r="W95" s="998"/>
      <c r="X95" s="998"/>
      <c r="Y95" s="998"/>
      <c r="Z95" s="998"/>
      <c r="AA95" s="998"/>
      <c r="AB95" s="998"/>
      <c r="AC95" s="998"/>
      <c r="AD95" s="998"/>
      <c r="AE95" s="998"/>
      <c r="AF95" s="998"/>
    </row>
    <row r="96" spans="1:32" x14ac:dyDescent="0.3">
      <c r="A96" s="323" t="s">
        <v>2700</v>
      </c>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row>
    <row r="97" spans="1:32" x14ac:dyDescent="0.2">
      <c r="A97" s="38"/>
    </row>
    <row r="98" spans="1:32" ht="31.5" customHeight="1" x14ac:dyDescent="0.3">
      <c r="A98" s="883" t="s">
        <v>2318</v>
      </c>
      <c r="B98" s="883"/>
      <c r="C98" s="883"/>
      <c r="D98" s="883"/>
      <c r="E98" s="883"/>
      <c r="F98" s="883"/>
      <c r="G98" s="883"/>
      <c r="H98" s="883"/>
      <c r="I98" s="883"/>
      <c r="J98" s="883"/>
      <c r="K98" s="883"/>
      <c r="L98" s="883"/>
      <c r="M98" s="883"/>
      <c r="N98" s="883"/>
      <c r="O98" s="883"/>
      <c r="P98" s="883"/>
      <c r="Q98" s="883"/>
      <c r="R98" s="883"/>
      <c r="S98" s="883"/>
      <c r="T98" s="883"/>
      <c r="U98" s="883"/>
      <c r="V98" s="883"/>
      <c r="W98" s="883"/>
      <c r="X98" s="883"/>
      <c r="Y98" s="883"/>
      <c r="Z98" s="883"/>
      <c r="AA98" s="883"/>
      <c r="AB98" s="883"/>
      <c r="AC98" s="883"/>
      <c r="AD98" s="883"/>
      <c r="AE98" s="883"/>
      <c r="AF98" s="883"/>
    </row>
    <row r="99" spans="1:32" ht="36" customHeight="1" x14ac:dyDescent="0.3">
      <c r="A99" s="1175" t="s">
        <v>2284</v>
      </c>
      <c r="B99" s="1175"/>
      <c r="C99" s="1175"/>
      <c r="D99" s="1175"/>
      <c r="E99" s="1175"/>
      <c r="F99" s="1175"/>
      <c r="G99" s="1175"/>
      <c r="H99" s="1175"/>
      <c r="I99" s="1175"/>
      <c r="J99" s="1175"/>
      <c r="K99" s="1175"/>
      <c r="L99" s="1175"/>
      <c r="M99" s="1175"/>
      <c r="N99" s="1175"/>
      <c r="O99" s="1175"/>
      <c r="P99" s="1175"/>
      <c r="Q99" s="1019" t="s">
        <v>2319</v>
      </c>
      <c r="R99" s="1019"/>
      <c r="S99" s="1019"/>
      <c r="T99" s="1019"/>
      <c r="U99" s="1019"/>
      <c r="V99" s="1019"/>
      <c r="W99" s="1019"/>
      <c r="X99" s="1019"/>
      <c r="Y99" s="1019" t="s">
        <v>2320</v>
      </c>
      <c r="Z99" s="1019"/>
      <c r="AA99" s="1019"/>
      <c r="AB99" s="1019"/>
      <c r="AC99" s="1019"/>
      <c r="AD99" s="1019"/>
      <c r="AE99" s="1019"/>
      <c r="AF99" s="1019"/>
    </row>
    <row r="100" spans="1:32" x14ac:dyDescent="0.3">
      <c r="A100" s="1176" t="s">
        <v>2285</v>
      </c>
      <c r="B100" s="1176"/>
      <c r="C100" s="1176"/>
      <c r="D100" s="1176"/>
      <c r="E100" s="1176"/>
      <c r="F100" s="1176"/>
      <c r="G100" s="1176"/>
      <c r="H100" s="1176"/>
      <c r="I100" s="1176"/>
      <c r="J100" s="1176"/>
      <c r="K100" s="1176"/>
      <c r="L100" s="1176"/>
      <c r="M100" s="1176"/>
      <c r="N100" s="1176"/>
      <c r="O100" s="1176"/>
      <c r="P100" s="1176"/>
      <c r="Q100" s="1019" t="s">
        <v>2293</v>
      </c>
      <c r="R100" s="1019"/>
      <c r="S100" s="1019"/>
      <c r="T100" s="1019"/>
      <c r="U100" s="1019" t="s">
        <v>2294</v>
      </c>
      <c r="V100" s="1019"/>
      <c r="W100" s="1019"/>
      <c r="X100" s="1019"/>
      <c r="Y100" s="1019" t="s">
        <v>2293</v>
      </c>
      <c r="Z100" s="1019"/>
      <c r="AA100" s="1019"/>
      <c r="AB100" s="1019"/>
      <c r="AC100" s="1019" t="s">
        <v>2294</v>
      </c>
      <c r="AD100" s="1019"/>
      <c r="AE100" s="1019"/>
      <c r="AF100" s="1019"/>
    </row>
    <row r="101" spans="1:32" ht="30" customHeight="1" x14ac:dyDescent="0.3">
      <c r="A101" s="1177" t="s">
        <v>2286</v>
      </c>
      <c r="B101" s="1177"/>
      <c r="C101" s="1177"/>
      <c r="D101" s="1177"/>
      <c r="E101" s="1177"/>
      <c r="F101" s="1177"/>
      <c r="G101" s="1177"/>
      <c r="H101" s="1177"/>
      <c r="I101" s="1177"/>
      <c r="J101" s="1177"/>
      <c r="K101" s="1177"/>
      <c r="L101" s="1177"/>
      <c r="M101" s="1177"/>
      <c r="N101" s="1177"/>
      <c r="O101" s="1177"/>
      <c r="P101" s="1177"/>
      <c r="Q101" s="1178">
        <v>6.79</v>
      </c>
      <c r="R101" s="1178"/>
      <c r="S101" s="1178"/>
      <c r="T101" s="1178"/>
      <c r="U101" s="1179">
        <v>193.6</v>
      </c>
      <c r="V101" s="1179"/>
      <c r="W101" s="1179"/>
      <c r="X101" s="1179"/>
      <c r="Y101" s="1178">
        <v>6.11</v>
      </c>
      <c r="Z101" s="1178"/>
      <c r="AA101" s="1178"/>
      <c r="AB101" s="1178"/>
      <c r="AC101" s="1179">
        <v>174.2</v>
      </c>
      <c r="AD101" s="1179"/>
      <c r="AE101" s="1179"/>
      <c r="AF101" s="1179"/>
    </row>
    <row r="102" spans="1:32" ht="30" customHeight="1" x14ac:dyDescent="0.3">
      <c r="A102" s="1177" t="s">
        <v>2287</v>
      </c>
      <c r="B102" s="1177"/>
      <c r="C102" s="1177"/>
      <c r="D102" s="1177"/>
      <c r="E102" s="1177"/>
      <c r="F102" s="1177"/>
      <c r="G102" s="1177"/>
      <c r="H102" s="1177"/>
      <c r="I102" s="1177"/>
      <c r="J102" s="1177"/>
      <c r="K102" s="1177"/>
      <c r="L102" s="1177"/>
      <c r="M102" s="1177"/>
      <c r="N102" s="1177"/>
      <c r="O102" s="1177"/>
      <c r="P102" s="1177"/>
      <c r="Q102" s="1178">
        <v>8.07</v>
      </c>
      <c r="R102" s="1178"/>
      <c r="S102" s="1178"/>
      <c r="T102" s="1178"/>
      <c r="U102" s="1179">
        <v>233.7</v>
      </c>
      <c r="V102" s="1179"/>
      <c r="W102" s="1179"/>
      <c r="X102" s="1179"/>
      <c r="Y102" s="1178">
        <v>7.26</v>
      </c>
      <c r="Z102" s="1178"/>
      <c r="AA102" s="1178"/>
      <c r="AB102" s="1178"/>
      <c r="AC102" s="1179">
        <v>210.3</v>
      </c>
      <c r="AD102" s="1179"/>
      <c r="AE102" s="1179"/>
      <c r="AF102" s="1179"/>
    </row>
    <row r="103" spans="1:32" ht="30" customHeight="1" x14ac:dyDescent="0.3">
      <c r="A103" s="1177" t="s">
        <v>2288</v>
      </c>
      <c r="B103" s="1177"/>
      <c r="C103" s="1177"/>
      <c r="D103" s="1177"/>
      <c r="E103" s="1177"/>
      <c r="F103" s="1177"/>
      <c r="G103" s="1177"/>
      <c r="H103" s="1177"/>
      <c r="I103" s="1177"/>
      <c r="J103" s="1177"/>
      <c r="K103" s="1177"/>
      <c r="L103" s="1177"/>
      <c r="M103" s="1177"/>
      <c r="N103" s="1177"/>
      <c r="O103" s="1177"/>
      <c r="P103" s="1177"/>
      <c r="Q103" s="1178">
        <v>8.51</v>
      </c>
      <c r="R103" s="1178"/>
      <c r="S103" s="1178"/>
      <c r="T103" s="1178"/>
      <c r="U103" s="1179">
        <v>297.8</v>
      </c>
      <c r="V103" s="1179"/>
      <c r="W103" s="1179"/>
      <c r="X103" s="1179"/>
      <c r="Y103" s="1178">
        <v>7.66</v>
      </c>
      <c r="Z103" s="1178"/>
      <c r="AA103" s="1178"/>
      <c r="AB103" s="1178"/>
      <c r="AC103" s="1179">
        <v>268</v>
      </c>
      <c r="AD103" s="1179"/>
      <c r="AE103" s="1179"/>
      <c r="AF103" s="1179"/>
    </row>
    <row r="104" spans="1:32" ht="30" customHeight="1" x14ac:dyDescent="0.3">
      <c r="A104" s="1177" t="s">
        <v>2289</v>
      </c>
      <c r="B104" s="1177"/>
      <c r="C104" s="1177"/>
      <c r="D104" s="1177"/>
      <c r="E104" s="1177"/>
      <c r="F104" s="1177"/>
      <c r="G104" s="1177"/>
      <c r="H104" s="1177"/>
      <c r="I104" s="1177"/>
      <c r="J104" s="1177"/>
      <c r="K104" s="1177"/>
      <c r="L104" s="1177"/>
      <c r="M104" s="1177"/>
      <c r="N104" s="1177"/>
      <c r="O104" s="1177"/>
      <c r="P104" s="1177"/>
      <c r="Q104" s="1178">
        <v>8.85</v>
      </c>
      <c r="R104" s="1178"/>
      <c r="S104" s="1178"/>
      <c r="T104" s="1178"/>
      <c r="U104" s="1179">
        <v>317</v>
      </c>
      <c r="V104" s="1179"/>
      <c r="W104" s="1179"/>
      <c r="X104" s="1179"/>
      <c r="Y104" s="1178">
        <v>7.97</v>
      </c>
      <c r="Z104" s="1178"/>
      <c r="AA104" s="1178"/>
      <c r="AB104" s="1178"/>
      <c r="AC104" s="1179">
        <v>285.3</v>
      </c>
      <c r="AD104" s="1179"/>
      <c r="AE104" s="1179"/>
      <c r="AF104" s="1179"/>
    </row>
    <row r="105" spans="1:32" ht="30" customHeight="1" x14ac:dyDescent="0.3">
      <c r="A105" s="1177" t="s">
        <v>2290</v>
      </c>
      <c r="B105" s="1177"/>
      <c r="C105" s="1177"/>
      <c r="D105" s="1177"/>
      <c r="E105" s="1177"/>
      <c r="F105" s="1177"/>
      <c r="G105" s="1177"/>
      <c r="H105" s="1177"/>
      <c r="I105" s="1177"/>
      <c r="J105" s="1177"/>
      <c r="K105" s="1177"/>
      <c r="L105" s="1177"/>
      <c r="M105" s="1177"/>
      <c r="N105" s="1177"/>
      <c r="O105" s="1177"/>
      <c r="P105" s="1177"/>
      <c r="Q105" s="1178">
        <v>9.25</v>
      </c>
      <c r="R105" s="1178"/>
      <c r="S105" s="1178"/>
      <c r="T105" s="1178"/>
      <c r="U105" s="1179">
        <v>475.4</v>
      </c>
      <c r="V105" s="1179"/>
      <c r="W105" s="1179"/>
      <c r="X105" s="1179"/>
      <c r="Y105" s="1178">
        <v>8.33</v>
      </c>
      <c r="Z105" s="1178"/>
      <c r="AA105" s="1178"/>
      <c r="AB105" s="1178"/>
      <c r="AC105" s="1179">
        <v>436.3</v>
      </c>
      <c r="AD105" s="1179"/>
      <c r="AE105" s="1179"/>
      <c r="AF105" s="1179"/>
    </row>
    <row r="106" spans="1:32" ht="30" customHeight="1" x14ac:dyDescent="0.3">
      <c r="A106" s="1177" t="s">
        <v>2291</v>
      </c>
      <c r="B106" s="1177"/>
      <c r="C106" s="1177"/>
      <c r="D106" s="1177"/>
      <c r="E106" s="1177"/>
      <c r="F106" s="1177"/>
      <c r="G106" s="1177"/>
      <c r="H106" s="1177"/>
      <c r="I106" s="1177"/>
      <c r="J106" s="1177"/>
      <c r="K106" s="1177"/>
      <c r="L106" s="1177"/>
      <c r="M106" s="1177"/>
      <c r="N106" s="1177"/>
      <c r="O106" s="1177"/>
      <c r="P106" s="1177"/>
      <c r="Q106" s="1178">
        <v>8.4</v>
      </c>
      <c r="R106" s="1178"/>
      <c r="S106" s="1178"/>
      <c r="T106" s="1178"/>
      <c r="U106" s="1179">
        <v>385.4</v>
      </c>
      <c r="V106" s="1179"/>
      <c r="W106" s="1179"/>
      <c r="X106" s="1179"/>
      <c r="Y106" s="1178">
        <v>7.56</v>
      </c>
      <c r="Z106" s="1178"/>
      <c r="AA106" s="1178"/>
      <c r="AB106" s="1178"/>
      <c r="AC106" s="1179">
        <v>355.3</v>
      </c>
      <c r="AD106" s="1179"/>
      <c r="AE106" s="1179"/>
      <c r="AF106" s="1179"/>
    </row>
    <row r="107" spans="1:32" ht="30" customHeight="1" x14ac:dyDescent="0.3">
      <c r="A107" s="1177" t="s">
        <v>2338</v>
      </c>
      <c r="B107" s="1177"/>
      <c r="C107" s="1177"/>
      <c r="D107" s="1177"/>
      <c r="E107" s="1177"/>
      <c r="F107" s="1177"/>
      <c r="G107" s="1177"/>
      <c r="H107" s="1177"/>
      <c r="I107" s="1177"/>
      <c r="J107" s="1177"/>
      <c r="K107" s="1177"/>
      <c r="L107" s="1177"/>
      <c r="M107" s="1177"/>
      <c r="N107" s="1177"/>
      <c r="O107" s="1177"/>
      <c r="P107" s="1177"/>
      <c r="Q107" s="1178">
        <v>8.5399999999999991</v>
      </c>
      <c r="R107" s="1178"/>
      <c r="S107" s="1178"/>
      <c r="T107" s="1178"/>
      <c r="U107" s="1179">
        <v>432.8</v>
      </c>
      <c r="V107" s="1179"/>
      <c r="W107" s="1179"/>
      <c r="X107" s="1179"/>
      <c r="Y107" s="1178">
        <v>7.69</v>
      </c>
      <c r="Z107" s="1178"/>
      <c r="AA107" s="1178"/>
      <c r="AB107" s="1178"/>
      <c r="AC107" s="1179">
        <v>397.9</v>
      </c>
      <c r="AD107" s="1179"/>
      <c r="AE107" s="1179"/>
      <c r="AF107" s="1179"/>
    </row>
    <row r="108" spans="1:32" ht="30" customHeight="1" x14ac:dyDescent="0.3">
      <c r="A108" s="1177" t="s">
        <v>2310</v>
      </c>
      <c r="B108" s="1177"/>
      <c r="C108" s="1177"/>
      <c r="D108" s="1177"/>
      <c r="E108" s="1177"/>
      <c r="F108" s="1177"/>
      <c r="G108" s="1177"/>
      <c r="H108" s="1177"/>
      <c r="I108" s="1177"/>
      <c r="J108" s="1177"/>
      <c r="K108" s="1177"/>
      <c r="L108" s="1177"/>
      <c r="M108" s="1177"/>
      <c r="N108" s="1177"/>
      <c r="O108" s="1177"/>
      <c r="P108" s="1177"/>
      <c r="Q108" s="1178">
        <f>AVERAGE(Q101:Q107)</f>
        <v>8.3442857142857143</v>
      </c>
      <c r="R108" s="1178"/>
      <c r="S108" s="1178"/>
      <c r="T108" s="1178"/>
      <c r="U108" s="1179">
        <f>AVERAGE(U101:U107)</f>
        <v>333.67142857142863</v>
      </c>
      <c r="V108" s="1179"/>
      <c r="W108" s="1179"/>
      <c r="X108" s="1179"/>
      <c r="Y108" s="1178">
        <f t="shared" ref="Y108" si="0">AVERAGE(Y101:Y107)</f>
        <v>7.5114285714285716</v>
      </c>
      <c r="Z108" s="1178"/>
      <c r="AA108" s="1178"/>
      <c r="AB108" s="1178"/>
      <c r="AC108" s="1179">
        <f t="shared" ref="AC108" si="1">AVERAGE(AC101:AC107)</f>
        <v>303.89999999999998</v>
      </c>
      <c r="AD108" s="1179"/>
      <c r="AE108" s="1179"/>
      <c r="AF108" s="1179"/>
    </row>
    <row r="109" spans="1:32" ht="54.75" customHeight="1" x14ac:dyDescent="0.3">
      <c r="A109" s="998" t="s">
        <v>2304</v>
      </c>
      <c r="B109" s="998"/>
      <c r="C109" s="998"/>
      <c r="D109" s="998"/>
      <c r="E109" s="998"/>
      <c r="F109" s="998"/>
      <c r="G109" s="998"/>
      <c r="H109" s="998"/>
      <c r="I109" s="998"/>
      <c r="J109" s="998"/>
      <c r="K109" s="998"/>
      <c r="L109" s="998"/>
      <c r="M109" s="998"/>
      <c r="N109" s="998"/>
      <c r="O109" s="998"/>
      <c r="P109" s="998"/>
      <c r="Q109" s="998"/>
      <c r="R109" s="998"/>
      <c r="S109" s="998"/>
      <c r="T109" s="998"/>
      <c r="U109" s="998"/>
      <c r="V109" s="998"/>
      <c r="W109" s="998"/>
      <c r="X109" s="998"/>
      <c r="Y109" s="998"/>
      <c r="Z109" s="998"/>
      <c r="AA109" s="998"/>
      <c r="AB109" s="998"/>
      <c r="AC109" s="998"/>
      <c r="AD109" s="998"/>
      <c r="AE109" s="998"/>
      <c r="AF109" s="998"/>
    </row>
    <row r="110" spans="1:32" ht="44.25" customHeight="1" x14ac:dyDescent="0.3">
      <c r="A110" s="998" t="s">
        <v>2303</v>
      </c>
      <c r="B110" s="998"/>
      <c r="C110" s="998"/>
      <c r="D110" s="998"/>
      <c r="E110" s="998"/>
      <c r="F110" s="998"/>
      <c r="G110" s="998"/>
      <c r="H110" s="998"/>
      <c r="I110" s="998"/>
      <c r="J110" s="998"/>
      <c r="K110" s="998"/>
      <c r="L110" s="998"/>
      <c r="M110" s="998"/>
      <c r="N110" s="998"/>
      <c r="O110" s="998"/>
      <c r="P110" s="998"/>
      <c r="Q110" s="998"/>
      <c r="R110" s="998"/>
      <c r="S110" s="998"/>
      <c r="T110" s="998"/>
      <c r="U110" s="998"/>
      <c r="V110" s="998"/>
      <c r="W110" s="998"/>
      <c r="X110" s="998"/>
      <c r="Y110" s="998"/>
      <c r="Z110" s="998"/>
      <c r="AA110" s="998"/>
      <c r="AB110" s="998"/>
      <c r="AC110" s="998"/>
      <c r="AD110" s="998"/>
      <c r="AE110" s="998"/>
      <c r="AF110" s="998"/>
    </row>
    <row r="111" spans="1:32" ht="30" customHeight="1" x14ac:dyDescent="0.3">
      <c r="A111" s="998" t="s">
        <v>2306</v>
      </c>
      <c r="B111" s="998"/>
      <c r="C111" s="998"/>
      <c r="D111" s="998"/>
      <c r="E111" s="998"/>
      <c r="F111" s="998"/>
      <c r="G111" s="998"/>
      <c r="H111" s="998"/>
      <c r="I111" s="998"/>
      <c r="J111" s="998"/>
      <c r="K111" s="998"/>
      <c r="L111" s="998"/>
      <c r="M111" s="998"/>
      <c r="N111" s="998"/>
      <c r="O111" s="998"/>
      <c r="P111" s="998"/>
      <c r="Q111" s="998"/>
      <c r="R111" s="998"/>
      <c r="S111" s="998"/>
      <c r="T111" s="998"/>
      <c r="U111" s="998"/>
      <c r="V111" s="998"/>
      <c r="W111" s="998"/>
      <c r="X111" s="998"/>
      <c r="Y111" s="998"/>
      <c r="Z111" s="998"/>
      <c r="AA111" s="998"/>
      <c r="AB111" s="998"/>
      <c r="AC111" s="998"/>
      <c r="AD111" s="998"/>
      <c r="AE111" s="998"/>
      <c r="AF111" s="998"/>
    </row>
    <row r="112" spans="1:32" x14ac:dyDescent="0.2">
      <c r="A112" s="38"/>
    </row>
    <row r="113" spans="1:32" ht="32.25" customHeight="1" x14ac:dyDescent="0.3">
      <c r="A113" s="1180" t="s">
        <v>2317</v>
      </c>
      <c r="B113" s="1180"/>
      <c r="C113" s="1180"/>
      <c r="D113" s="1180"/>
      <c r="E113" s="1180"/>
      <c r="F113" s="1180"/>
      <c r="G113" s="1180"/>
      <c r="H113" s="1180"/>
      <c r="I113" s="1180"/>
      <c r="J113" s="1180"/>
      <c r="K113" s="1180"/>
      <c r="L113" s="1180"/>
      <c r="M113" s="1180"/>
      <c r="N113" s="1180"/>
      <c r="O113" s="1180"/>
      <c r="P113" s="1180"/>
      <c r="Q113" s="1180"/>
      <c r="R113" s="1180"/>
      <c r="S113" s="1180"/>
      <c r="T113" s="1180"/>
      <c r="U113" s="1180"/>
      <c r="V113" s="1180"/>
      <c r="W113" s="1180"/>
      <c r="X113" s="1180"/>
      <c r="Y113" s="1180"/>
      <c r="Z113" s="1180"/>
      <c r="AA113" s="1180"/>
      <c r="AB113" s="1180"/>
      <c r="AC113" s="1180"/>
      <c r="AD113" s="1180"/>
      <c r="AE113" s="1180"/>
      <c r="AF113" s="1180"/>
    </row>
    <row r="114" spans="1:32" ht="34.5" customHeight="1" x14ac:dyDescent="0.3">
      <c r="A114" s="1175" t="s">
        <v>2284</v>
      </c>
      <c r="B114" s="1175"/>
      <c r="C114" s="1175"/>
      <c r="D114" s="1175"/>
      <c r="E114" s="1175"/>
      <c r="F114" s="1175"/>
      <c r="G114" s="1175"/>
      <c r="H114" s="1175"/>
      <c r="I114" s="1175"/>
      <c r="J114" s="1175"/>
      <c r="K114" s="1175"/>
      <c r="L114" s="1175"/>
      <c r="M114" s="1175"/>
      <c r="N114" s="1175"/>
      <c r="O114" s="1175"/>
      <c r="P114" s="1175"/>
      <c r="Q114" s="1019" t="s">
        <v>2319</v>
      </c>
      <c r="R114" s="1019"/>
      <c r="S114" s="1019"/>
      <c r="T114" s="1019"/>
      <c r="U114" s="1019"/>
      <c r="V114" s="1019"/>
      <c r="W114" s="1019"/>
      <c r="X114" s="1019"/>
      <c r="Y114" s="1019" t="s">
        <v>2320</v>
      </c>
      <c r="Z114" s="1019"/>
      <c r="AA114" s="1019"/>
      <c r="AB114" s="1019"/>
      <c r="AC114" s="1019"/>
      <c r="AD114" s="1019"/>
      <c r="AE114" s="1019"/>
      <c r="AF114" s="1019"/>
    </row>
    <row r="115" spans="1:32" x14ac:dyDescent="0.3">
      <c r="A115" s="1176" t="s">
        <v>2285</v>
      </c>
      <c r="B115" s="1176"/>
      <c r="C115" s="1176"/>
      <c r="D115" s="1176"/>
      <c r="E115" s="1176"/>
      <c r="F115" s="1176"/>
      <c r="G115" s="1176"/>
      <c r="H115" s="1176"/>
      <c r="I115" s="1176"/>
      <c r="J115" s="1176"/>
      <c r="K115" s="1176"/>
      <c r="L115" s="1176"/>
      <c r="M115" s="1176"/>
      <c r="N115" s="1176"/>
      <c r="O115" s="1176"/>
      <c r="P115" s="1176"/>
      <c r="Q115" s="1019" t="s">
        <v>2293</v>
      </c>
      <c r="R115" s="1019"/>
      <c r="S115" s="1019"/>
      <c r="T115" s="1019"/>
      <c r="U115" s="1019" t="s">
        <v>2294</v>
      </c>
      <c r="V115" s="1019"/>
      <c r="W115" s="1019"/>
      <c r="X115" s="1019"/>
      <c r="Y115" s="1019" t="s">
        <v>2293</v>
      </c>
      <c r="Z115" s="1019"/>
      <c r="AA115" s="1019"/>
      <c r="AB115" s="1019"/>
      <c r="AC115" s="1019" t="s">
        <v>2294</v>
      </c>
      <c r="AD115" s="1019"/>
      <c r="AE115" s="1019"/>
      <c r="AF115" s="1019"/>
    </row>
    <row r="116" spans="1:32" ht="30" customHeight="1" x14ac:dyDescent="0.3">
      <c r="A116" s="1177" t="s">
        <v>2295</v>
      </c>
      <c r="B116" s="1177"/>
      <c r="C116" s="1177"/>
      <c r="D116" s="1177"/>
      <c r="E116" s="1177"/>
      <c r="F116" s="1177"/>
      <c r="G116" s="1177"/>
      <c r="H116" s="1177"/>
      <c r="I116" s="1177"/>
      <c r="J116" s="1177"/>
      <c r="K116" s="1177"/>
      <c r="L116" s="1177"/>
      <c r="M116" s="1177"/>
      <c r="N116" s="1177"/>
      <c r="O116" s="1177"/>
      <c r="P116" s="1177"/>
      <c r="Q116" s="1178">
        <v>5.57</v>
      </c>
      <c r="R116" s="1178"/>
      <c r="S116" s="1178"/>
      <c r="T116" s="1178"/>
      <c r="U116" s="1179">
        <v>193.7</v>
      </c>
      <c r="V116" s="1179"/>
      <c r="W116" s="1179"/>
      <c r="X116" s="1179"/>
      <c r="Y116" s="1178">
        <v>5.01</v>
      </c>
      <c r="Z116" s="1178"/>
      <c r="AA116" s="1178"/>
      <c r="AB116" s="1178"/>
      <c r="AC116" s="1179">
        <v>174.3</v>
      </c>
      <c r="AD116" s="1179"/>
      <c r="AE116" s="1179"/>
      <c r="AF116" s="1179"/>
    </row>
    <row r="117" spans="1:32" ht="30" customHeight="1" x14ac:dyDescent="0.3">
      <c r="A117" s="1177" t="s">
        <v>2296</v>
      </c>
      <c r="B117" s="1177"/>
      <c r="C117" s="1177"/>
      <c r="D117" s="1177"/>
      <c r="E117" s="1177"/>
      <c r="F117" s="1177"/>
      <c r="G117" s="1177"/>
      <c r="H117" s="1177"/>
      <c r="I117" s="1177"/>
      <c r="J117" s="1177"/>
      <c r="K117" s="1177"/>
      <c r="L117" s="1177"/>
      <c r="M117" s="1177"/>
      <c r="N117" s="1177"/>
      <c r="O117" s="1177"/>
      <c r="P117" s="1177"/>
      <c r="Q117" s="1178">
        <v>8.6199999999999992</v>
      </c>
      <c r="R117" s="1178"/>
      <c r="S117" s="1178"/>
      <c r="T117" s="1178"/>
      <c r="U117" s="1179">
        <v>228.3</v>
      </c>
      <c r="V117" s="1179"/>
      <c r="W117" s="1179"/>
      <c r="X117" s="1179"/>
      <c r="Y117" s="1178">
        <v>7.76</v>
      </c>
      <c r="Z117" s="1178"/>
      <c r="AA117" s="1178"/>
      <c r="AB117" s="1178"/>
      <c r="AC117" s="1179">
        <v>205.5</v>
      </c>
      <c r="AD117" s="1179"/>
      <c r="AE117" s="1179"/>
      <c r="AF117" s="1179"/>
    </row>
    <row r="118" spans="1:32" ht="30" customHeight="1" x14ac:dyDescent="0.3">
      <c r="A118" s="1177" t="s">
        <v>2297</v>
      </c>
      <c r="B118" s="1177"/>
      <c r="C118" s="1177"/>
      <c r="D118" s="1177"/>
      <c r="E118" s="1177"/>
      <c r="F118" s="1177"/>
      <c r="G118" s="1177"/>
      <c r="H118" s="1177"/>
      <c r="I118" s="1177"/>
      <c r="J118" s="1177"/>
      <c r="K118" s="1177"/>
      <c r="L118" s="1177"/>
      <c r="M118" s="1177"/>
      <c r="N118" s="1177"/>
      <c r="O118" s="1177"/>
      <c r="P118" s="1177"/>
      <c r="Q118" s="1178">
        <v>8.6199999999999992</v>
      </c>
      <c r="R118" s="1178"/>
      <c r="S118" s="1178"/>
      <c r="T118" s="1178"/>
      <c r="U118" s="1179">
        <v>312.3</v>
      </c>
      <c r="V118" s="1179"/>
      <c r="W118" s="1179"/>
      <c r="X118" s="1179"/>
      <c r="Y118" s="1178">
        <v>7.76</v>
      </c>
      <c r="Z118" s="1178"/>
      <c r="AA118" s="1178"/>
      <c r="AB118" s="1178"/>
      <c r="AC118" s="1179">
        <v>289.5</v>
      </c>
      <c r="AD118" s="1179"/>
      <c r="AE118" s="1179"/>
      <c r="AF118" s="1179"/>
    </row>
    <row r="119" spans="1:32" ht="30" customHeight="1" x14ac:dyDescent="0.3">
      <c r="A119" s="1177" t="s">
        <v>2298</v>
      </c>
      <c r="B119" s="1177"/>
      <c r="C119" s="1177"/>
      <c r="D119" s="1177"/>
      <c r="E119" s="1177"/>
      <c r="F119" s="1177"/>
      <c r="G119" s="1177"/>
      <c r="H119" s="1177"/>
      <c r="I119" s="1177"/>
      <c r="J119" s="1177"/>
      <c r="K119" s="1177"/>
      <c r="L119" s="1177"/>
      <c r="M119" s="1177"/>
      <c r="N119" s="1177"/>
      <c r="O119" s="1177"/>
      <c r="P119" s="1177"/>
      <c r="Q119" s="1178">
        <v>9.86</v>
      </c>
      <c r="R119" s="1178"/>
      <c r="S119" s="1178"/>
      <c r="T119" s="1178"/>
      <c r="U119" s="1179">
        <v>260.89999999999998</v>
      </c>
      <c r="V119" s="1179"/>
      <c r="W119" s="1179"/>
      <c r="X119" s="1179"/>
      <c r="Y119" s="1178">
        <v>8.8699999999999992</v>
      </c>
      <c r="Z119" s="1178"/>
      <c r="AA119" s="1178"/>
      <c r="AB119" s="1178"/>
      <c r="AC119" s="1179">
        <v>234.8</v>
      </c>
      <c r="AD119" s="1179"/>
      <c r="AE119" s="1179"/>
      <c r="AF119" s="1179"/>
    </row>
    <row r="120" spans="1:32" ht="30" customHeight="1" x14ac:dyDescent="0.3">
      <c r="A120" s="1177" t="s">
        <v>2299</v>
      </c>
      <c r="B120" s="1177"/>
      <c r="C120" s="1177"/>
      <c r="D120" s="1177"/>
      <c r="E120" s="1177"/>
      <c r="F120" s="1177"/>
      <c r="G120" s="1177"/>
      <c r="H120" s="1177"/>
      <c r="I120" s="1177"/>
      <c r="J120" s="1177"/>
      <c r="K120" s="1177"/>
      <c r="L120" s="1177"/>
      <c r="M120" s="1177"/>
      <c r="N120" s="1177"/>
      <c r="O120" s="1177"/>
      <c r="P120" s="1177"/>
      <c r="Q120" s="1178">
        <v>9.86</v>
      </c>
      <c r="R120" s="1178"/>
      <c r="S120" s="1178"/>
      <c r="T120" s="1178"/>
      <c r="U120" s="1179">
        <v>344.9</v>
      </c>
      <c r="V120" s="1179"/>
      <c r="W120" s="1179"/>
      <c r="X120" s="1179"/>
      <c r="Y120" s="1178">
        <v>8.8699999999999992</v>
      </c>
      <c r="Z120" s="1178"/>
      <c r="AA120" s="1178"/>
      <c r="AB120" s="1178"/>
      <c r="AC120" s="1179">
        <v>318.8</v>
      </c>
      <c r="AD120" s="1179"/>
      <c r="AE120" s="1179"/>
      <c r="AF120" s="1179"/>
    </row>
    <row r="121" spans="1:32" ht="30" customHeight="1" x14ac:dyDescent="0.3">
      <c r="A121" s="1177" t="s">
        <v>2300</v>
      </c>
      <c r="B121" s="1177"/>
      <c r="C121" s="1177"/>
      <c r="D121" s="1177"/>
      <c r="E121" s="1177"/>
      <c r="F121" s="1177"/>
      <c r="G121" s="1177"/>
      <c r="H121" s="1177"/>
      <c r="I121" s="1177"/>
      <c r="J121" s="1177"/>
      <c r="K121" s="1177"/>
      <c r="L121" s="1177"/>
      <c r="M121" s="1177"/>
      <c r="N121" s="1177"/>
      <c r="O121" s="1177"/>
      <c r="P121" s="1177"/>
      <c r="Q121" s="1178">
        <v>7.29</v>
      </c>
      <c r="R121" s="1178"/>
      <c r="S121" s="1178"/>
      <c r="T121" s="1178"/>
      <c r="U121" s="1179">
        <v>107.8</v>
      </c>
      <c r="V121" s="1179"/>
      <c r="W121" s="1179"/>
      <c r="X121" s="1179"/>
      <c r="Y121" s="1178">
        <v>6.56</v>
      </c>
      <c r="Z121" s="1178"/>
      <c r="AA121" s="1178"/>
      <c r="AB121" s="1178"/>
      <c r="AC121" s="1179">
        <v>97</v>
      </c>
      <c r="AD121" s="1179"/>
      <c r="AE121" s="1179"/>
      <c r="AF121" s="1179"/>
    </row>
    <row r="122" spans="1:32" ht="30" customHeight="1" x14ac:dyDescent="0.3">
      <c r="A122" s="1177" t="s">
        <v>2301</v>
      </c>
      <c r="B122" s="1177"/>
      <c r="C122" s="1177"/>
      <c r="D122" s="1177"/>
      <c r="E122" s="1177"/>
      <c r="F122" s="1177"/>
      <c r="G122" s="1177"/>
      <c r="H122" s="1177"/>
      <c r="I122" s="1177"/>
      <c r="J122" s="1177"/>
      <c r="K122" s="1177"/>
      <c r="L122" s="1177"/>
      <c r="M122" s="1177"/>
      <c r="N122" s="1177"/>
      <c r="O122" s="1177"/>
      <c r="P122" s="1177"/>
      <c r="Q122" s="1178">
        <v>10.24</v>
      </c>
      <c r="R122" s="1178"/>
      <c r="S122" s="1178"/>
      <c r="T122" s="1178"/>
      <c r="U122" s="1179">
        <v>148.1</v>
      </c>
      <c r="V122" s="1179"/>
      <c r="W122" s="1179"/>
      <c r="X122" s="1179"/>
      <c r="Y122" s="1178">
        <v>9.2200000000000006</v>
      </c>
      <c r="Z122" s="1178"/>
      <c r="AA122" s="1178"/>
      <c r="AB122" s="1178"/>
      <c r="AC122" s="1179">
        <v>133.30000000000001</v>
      </c>
      <c r="AD122" s="1179"/>
      <c r="AE122" s="1179"/>
      <c r="AF122" s="1179"/>
    </row>
    <row r="123" spans="1:32" ht="30" customHeight="1" x14ac:dyDescent="0.3">
      <c r="A123" s="1177" t="s">
        <v>2305</v>
      </c>
      <c r="B123" s="1177"/>
      <c r="C123" s="1177"/>
      <c r="D123" s="1177"/>
      <c r="E123" s="1177"/>
      <c r="F123" s="1177"/>
      <c r="G123" s="1177"/>
      <c r="H123" s="1177"/>
      <c r="I123" s="1177"/>
      <c r="J123" s="1177"/>
      <c r="K123" s="1177"/>
      <c r="L123" s="1177"/>
      <c r="M123" s="1177"/>
      <c r="N123" s="1177"/>
      <c r="O123" s="1177"/>
      <c r="P123" s="1177"/>
      <c r="Q123" s="1178">
        <f>AVERAGE(Q116:Q122)</f>
        <v>8.58</v>
      </c>
      <c r="R123" s="1178"/>
      <c r="S123" s="1178"/>
      <c r="T123" s="1178"/>
      <c r="U123" s="1179">
        <f>AVERAGE(U116:U122)</f>
        <v>227.99999999999997</v>
      </c>
      <c r="V123" s="1179"/>
      <c r="W123" s="1179"/>
      <c r="X123" s="1179"/>
      <c r="Y123" s="1178">
        <f t="shared" ref="Y123" si="2">AVERAGE(Y116:Y122)</f>
        <v>7.7214285714285706</v>
      </c>
      <c r="Z123" s="1178"/>
      <c r="AA123" s="1178"/>
      <c r="AB123" s="1178"/>
      <c r="AC123" s="1179">
        <f t="shared" ref="AC123" si="3">AVERAGE(AC116:AC122)</f>
        <v>207.59999999999997</v>
      </c>
      <c r="AD123" s="1179"/>
      <c r="AE123" s="1179"/>
      <c r="AF123" s="1179"/>
    </row>
    <row r="124" spans="1:32" ht="55.5" customHeight="1" x14ac:dyDescent="0.3">
      <c r="A124" s="998" t="s">
        <v>2304</v>
      </c>
      <c r="B124" s="998"/>
      <c r="C124" s="998"/>
      <c r="D124" s="998"/>
      <c r="E124" s="998"/>
      <c r="F124" s="998"/>
      <c r="G124" s="998"/>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row>
    <row r="125" spans="1:32" ht="45" customHeight="1" x14ac:dyDescent="0.3">
      <c r="A125" s="998" t="s">
        <v>2303</v>
      </c>
      <c r="B125" s="998"/>
      <c r="C125" s="998"/>
      <c r="D125" s="998"/>
      <c r="E125" s="998"/>
      <c r="F125" s="998"/>
      <c r="G125" s="998"/>
      <c r="H125" s="998"/>
      <c r="I125" s="998"/>
      <c r="J125" s="998"/>
      <c r="K125" s="998"/>
      <c r="L125" s="998"/>
      <c r="M125" s="998"/>
      <c r="N125" s="998"/>
      <c r="O125" s="998"/>
      <c r="P125" s="998"/>
      <c r="Q125" s="998"/>
      <c r="R125" s="998"/>
      <c r="S125" s="998"/>
      <c r="T125" s="998"/>
      <c r="U125" s="998"/>
      <c r="V125" s="998"/>
      <c r="W125" s="998"/>
      <c r="X125" s="998"/>
      <c r="Y125" s="998"/>
      <c r="Z125" s="998"/>
      <c r="AA125" s="998"/>
      <c r="AB125" s="998"/>
      <c r="AC125" s="998"/>
      <c r="AD125" s="998"/>
      <c r="AE125" s="998"/>
      <c r="AF125" s="998"/>
    </row>
    <row r="126" spans="1:32" ht="30" customHeight="1" x14ac:dyDescent="0.3">
      <c r="A126" s="998" t="s">
        <v>2306</v>
      </c>
      <c r="B126" s="998"/>
      <c r="C126" s="998"/>
      <c r="D126" s="998"/>
      <c r="E126" s="998"/>
      <c r="F126" s="998"/>
      <c r="G126" s="998"/>
      <c r="H126" s="998"/>
      <c r="I126" s="998"/>
      <c r="J126" s="998"/>
      <c r="K126" s="998"/>
      <c r="L126" s="998"/>
      <c r="M126" s="998"/>
      <c r="N126" s="998"/>
      <c r="O126" s="998"/>
      <c r="P126" s="998"/>
      <c r="Q126" s="998"/>
      <c r="R126" s="998"/>
      <c r="S126" s="998"/>
      <c r="T126" s="998"/>
      <c r="U126" s="998"/>
      <c r="V126" s="998"/>
      <c r="W126" s="998"/>
      <c r="X126" s="998"/>
      <c r="Y126" s="998"/>
      <c r="Z126" s="998"/>
      <c r="AA126" s="998"/>
      <c r="AB126" s="998"/>
      <c r="AC126" s="998"/>
      <c r="AD126" s="998"/>
      <c r="AE126" s="998"/>
      <c r="AF126" s="998"/>
    </row>
    <row r="127" spans="1:32" x14ac:dyDescent="0.2">
      <c r="A127" s="38"/>
    </row>
    <row r="128" spans="1:32" x14ac:dyDescent="0.3">
      <c r="A128" s="1141" t="s">
        <v>2325</v>
      </c>
      <c r="B128" s="1141"/>
      <c r="C128" s="1141"/>
      <c r="D128" s="1141"/>
      <c r="E128" s="1141"/>
      <c r="F128" s="1141"/>
      <c r="G128" s="1141"/>
      <c r="H128" s="1141"/>
      <c r="I128" s="1141"/>
      <c r="J128" s="1141"/>
      <c r="K128" s="1141"/>
      <c r="L128" s="1141"/>
      <c r="M128" s="1141"/>
      <c r="N128" s="1141"/>
      <c r="O128" s="1141"/>
      <c r="P128" s="1141"/>
      <c r="Q128" s="1141"/>
      <c r="R128" s="1141"/>
      <c r="S128" s="1141"/>
      <c r="T128" s="1141"/>
      <c r="U128" s="1141"/>
      <c r="V128" s="1141"/>
      <c r="W128" s="1141"/>
      <c r="X128" s="1141"/>
      <c r="Y128" s="1141"/>
      <c r="Z128" s="1141"/>
      <c r="AA128" s="1141"/>
      <c r="AB128" s="1141"/>
      <c r="AC128" s="1141"/>
      <c r="AD128" s="1141"/>
      <c r="AE128" s="1141"/>
      <c r="AF128" s="1141"/>
    </row>
    <row r="130" spans="2:32" x14ac:dyDescent="0.3">
      <c r="B130" s="51" t="s">
        <v>2307</v>
      </c>
    </row>
    <row r="132" spans="2:32" ht="30" customHeight="1" x14ac:dyDescent="0.3">
      <c r="B132" s="1181" t="s">
        <v>2704</v>
      </c>
      <c r="C132" s="1182"/>
      <c r="D132" s="1182"/>
      <c r="E132" s="1182"/>
      <c r="F132" s="1182"/>
      <c r="G132" s="1182"/>
      <c r="H132" s="1182"/>
      <c r="I132" s="1182"/>
      <c r="J132" s="1182"/>
      <c r="K132" s="1182"/>
      <c r="L132" s="1182"/>
      <c r="M132" s="1182"/>
      <c r="N132" s="1182"/>
      <c r="O132" s="1182"/>
      <c r="P132" s="1182"/>
      <c r="Q132" s="1182"/>
      <c r="R132" s="1183" t="s">
        <v>2782</v>
      </c>
      <c r="S132" s="1184"/>
      <c r="T132" s="1184"/>
      <c r="U132" s="1184"/>
      <c r="V132" s="1185"/>
      <c r="W132" s="1183" t="s">
        <v>17</v>
      </c>
      <c r="X132" s="1184"/>
      <c r="Y132" s="1184"/>
      <c r="Z132" s="1184"/>
      <c r="AA132" s="1185"/>
      <c r="AB132" s="1183" t="s">
        <v>1826</v>
      </c>
      <c r="AC132" s="1184"/>
      <c r="AD132" s="1184"/>
      <c r="AE132" s="1184"/>
      <c r="AF132" s="1185"/>
    </row>
    <row r="133" spans="2:32" ht="30" customHeight="1" x14ac:dyDescent="0.3">
      <c r="B133" s="1186" t="s">
        <v>2286</v>
      </c>
      <c r="C133" s="1186"/>
      <c r="D133" s="1186"/>
      <c r="E133" s="1186"/>
      <c r="F133" s="1186"/>
      <c r="G133" s="1186"/>
      <c r="H133" s="1186"/>
      <c r="I133" s="1186"/>
      <c r="J133" s="1186"/>
      <c r="K133" s="1186"/>
      <c r="L133" s="1186"/>
      <c r="M133" s="1186"/>
      <c r="N133" s="1186"/>
      <c r="O133" s="1186"/>
      <c r="P133" s="1186"/>
      <c r="Q133" s="1186"/>
      <c r="R133" s="1187">
        <f>ROUND(W133*$Q$86/$Q$85,3)</f>
        <v>4.0000000000000001E-3</v>
      </c>
      <c r="S133" s="1188"/>
      <c r="T133" s="1188"/>
      <c r="U133" s="1188"/>
      <c r="V133" s="1189"/>
      <c r="W133" s="1190">
        <f t="shared" ref="W133:W139" si="4">ROUND(((Q101*25.4+U101)-(Y101*25.4+AC101))*$Q$84,2)</f>
        <v>36.67</v>
      </c>
      <c r="X133" s="1191"/>
      <c r="Y133" s="1191"/>
      <c r="Z133" s="1191"/>
      <c r="AA133" s="1192"/>
      <c r="AB133" s="1193">
        <f>ROUND(W133*$Q$87,3)</f>
        <v>513.38</v>
      </c>
      <c r="AC133" s="1194"/>
      <c r="AD133" s="1194"/>
      <c r="AE133" s="1194"/>
      <c r="AF133" s="1195"/>
    </row>
    <row r="134" spans="2:32" ht="30" customHeight="1" x14ac:dyDescent="0.3">
      <c r="B134" s="1186" t="s">
        <v>2287</v>
      </c>
      <c r="C134" s="1186"/>
      <c r="D134" s="1186"/>
      <c r="E134" s="1186"/>
      <c r="F134" s="1186"/>
      <c r="G134" s="1186"/>
      <c r="H134" s="1186"/>
      <c r="I134" s="1186"/>
      <c r="J134" s="1186"/>
      <c r="K134" s="1186"/>
      <c r="L134" s="1186"/>
      <c r="M134" s="1186"/>
      <c r="N134" s="1186"/>
      <c r="O134" s="1186"/>
      <c r="P134" s="1186"/>
      <c r="Q134" s="1186"/>
      <c r="R134" s="1187">
        <f t="shared" ref="R134:R138" si="5">ROUND(W134*$Q$86/$Q$85,3)</f>
        <v>5.0000000000000001E-3</v>
      </c>
      <c r="S134" s="1188"/>
      <c r="T134" s="1188"/>
      <c r="U134" s="1188"/>
      <c r="V134" s="1189"/>
      <c r="W134" s="1190">
        <f>ROUND(((Q102*25.4+U102)-(Y102*25.4+AC102))*$Q$84,2)</f>
        <v>43.97</v>
      </c>
      <c r="X134" s="1191"/>
      <c r="Y134" s="1191"/>
      <c r="Z134" s="1191"/>
      <c r="AA134" s="1192"/>
      <c r="AB134" s="1193">
        <f t="shared" ref="AB134:AB140" si="6">ROUND(W134*$Q$87,3)</f>
        <v>615.58000000000004</v>
      </c>
      <c r="AC134" s="1194"/>
      <c r="AD134" s="1194"/>
      <c r="AE134" s="1194"/>
      <c r="AF134" s="1195"/>
    </row>
    <row r="135" spans="2:32" ht="30" customHeight="1" x14ac:dyDescent="0.3">
      <c r="B135" s="1186" t="s">
        <v>2288</v>
      </c>
      <c r="C135" s="1186"/>
      <c r="D135" s="1186"/>
      <c r="E135" s="1186"/>
      <c r="F135" s="1186"/>
      <c r="G135" s="1186"/>
      <c r="H135" s="1186"/>
      <c r="I135" s="1186"/>
      <c r="J135" s="1186"/>
      <c r="K135" s="1186"/>
      <c r="L135" s="1186"/>
      <c r="M135" s="1186"/>
      <c r="N135" s="1186"/>
      <c r="O135" s="1186"/>
      <c r="P135" s="1186"/>
      <c r="Q135" s="1186"/>
      <c r="R135" s="1187">
        <f t="shared" si="5"/>
        <v>6.0000000000000001E-3</v>
      </c>
      <c r="S135" s="1188"/>
      <c r="T135" s="1188"/>
      <c r="U135" s="1188"/>
      <c r="V135" s="1189"/>
      <c r="W135" s="1190">
        <f t="shared" si="4"/>
        <v>51.39</v>
      </c>
      <c r="X135" s="1191"/>
      <c r="Y135" s="1191"/>
      <c r="Z135" s="1191"/>
      <c r="AA135" s="1192"/>
      <c r="AB135" s="1193">
        <f t="shared" si="6"/>
        <v>719.46</v>
      </c>
      <c r="AC135" s="1194"/>
      <c r="AD135" s="1194"/>
      <c r="AE135" s="1194"/>
      <c r="AF135" s="1195"/>
    </row>
    <row r="136" spans="2:32" ht="30" customHeight="1" x14ac:dyDescent="0.3">
      <c r="B136" s="1186" t="s">
        <v>2289</v>
      </c>
      <c r="C136" s="1186"/>
      <c r="D136" s="1186"/>
      <c r="E136" s="1186"/>
      <c r="F136" s="1186"/>
      <c r="G136" s="1186"/>
      <c r="H136" s="1186"/>
      <c r="I136" s="1186"/>
      <c r="J136" s="1186"/>
      <c r="K136" s="1186"/>
      <c r="L136" s="1186"/>
      <c r="M136" s="1186"/>
      <c r="N136" s="1186"/>
      <c r="O136" s="1186"/>
      <c r="P136" s="1186"/>
      <c r="Q136" s="1186"/>
      <c r="R136" s="1187">
        <f t="shared" si="5"/>
        <v>6.0000000000000001E-3</v>
      </c>
      <c r="S136" s="1188"/>
      <c r="T136" s="1188"/>
      <c r="U136" s="1188"/>
      <c r="V136" s="1189"/>
      <c r="W136" s="1190">
        <f t="shared" si="4"/>
        <v>54.05</v>
      </c>
      <c r="X136" s="1191"/>
      <c r="Y136" s="1191"/>
      <c r="Z136" s="1191"/>
      <c r="AA136" s="1192"/>
      <c r="AB136" s="1193">
        <f t="shared" si="6"/>
        <v>756.7</v>
      </c>
      <c r="AC136" s="1194"/>
      <c r="AD136" s="1194"/>
      <c r="AE136" s="1194"/>
      <c r="AF136" s="1195"/>
    </row>
    <row r="137" spans="2:32" ht="30" customHeight="1" x14ac:dyDescent="0.3">
      <c r="B137" s="1186" t="s">
        <v>2290</v>
      </c>
      <c r="C137" s="1186"/>
      <c r="D137" s="1186"/>
      <c r="E137" s="1186"/>
      <c r="F137" s="1186"/>
      <c r="G137" s="1186"/>
      <c r="H137" s="1186"/>
      <c r="I137" s="1186"/>
      <c r="J137" s="1186"/>
      <c r="K137" s="1186"/>
      <c r="L137" s="1186"/>
      <c r="M137" s="1186"/>
      <c r="N137" s="1186"/>
      <c r="O137" s="1186"/>
      <c r="P137" s="1186"/>
      <c r="Q137" s="1186"/>
      <c r="R137" s="1187">
        <f t="shared" si="5"/>
        <v>7.0000000000000001E-3</v>
      </c>
      <c r="S137" s="1188"/>
      <c r="T137" s="1188"/>
      <c r="U137" s="1188"/>
      <c r="V137" s="1189"/>
      <c r="W137" s="1190">
        <f t="shared" si="4"/>
        <v>62.47</v>
      </c>
      <c r="X137" s="1191"/>
      <c r="Y137" s="1191"/>
      <c r="Z137" s="1191"/>
      <c r="AA137" s="1192"/>
      <c r="AB137" s="1193">
        <f t="shared" si="6"/>
        <v>874.58</v>
      </c>
      <c r="AC137" s="1194"/>
      <c r="AD137" s="1194"/>
      <c r="AE137" s="1194"/>
      <c r="AF137" s="1195"/>
    </row>
    <row r="138" spans="2:32" ht="30" customHeight="1" x14ac:dyDescent="0.3">
      <c r="B138" s="1186" t="s">
        <v>2291</v>
      </c>
      <c r="C138" s="1186"/>
      <c r="D138" s="1186"/>
      <c r="E138" s="1186"/>
      <c r="F138" s="1186"/>
      <c r="G138" s="1186"/>
      <c r="H138" s="1186"/>
      <c r="I138" s="1186"/>
      <c r="J138" s="1186"/>
      <c r="K138" s="1186"/>
      <c r="L138" s="1186"/>
      <c r="M138" s="1186"/>
      <c r="N138" s="1186"/>
      <c r="O138" s="1186"/>
      <c r="P138" s="1186"/>
      <c r="Q138" s="1186"/>
      <c r="R138" s="1187">
        <f t="shared" si="5"/>
        <v>6.0000000000000001E-3</v>
      </c>
      <c r="S138" s="1188"/>
      <c r="T138" s="1188"/>
      <c r="U138" s="1188"/>
      <c r="V138" s="1189"/>
      <c r="W138" s="1190">
        <f t="shared" si="4"/>
        <v>51.44</v>
      </c>
      <c r="X138" s="1191"/>
      <c r="Y138" s="1191"/>
      <c r="Z138" s="1191"/>
      <c r="AA138" s="1192"/>
      <c r="AB138" s="1193">
        <f t="shared" si="6"/>
        <v>720.16</v>
      </c>
      <c r="AC138" s="1194"/>
      <c r="AD138" s="1194"/>
      <c r="AE138" s="1194"/>
      <c r="AF138" s="1195"/>
    </row>
    <row r="139" spans="2:32" ht="30" customHeight="1" x14ac:dyDescent="0.3">
      <c r="B139" s="1186" t="s">
        <v>2338</v>
      </c>
      <c r="C139" s="1186"/>
      <c r="D139" s="1186"/>
      <c r="E139" s="1186"/>
      <c r="F139" s="1186"/>
      <c r="G139" s="1186"/>
      <c r="H139" s="1186"/>
      <c r="I139" s="1186"/>
      <c r="J139" s="1186"/>
      <c r="K139" s="1186"/>
      <c r="L139" s="1186"/>
      <c r="M139" s="1186"/>
      <c r="N139" s="1186"/>
      <c r="O139" s="1186"/>
      <c r="P139" s="1186"/>
      <c r="Q139" s="1186"/>
      <c r="R139" s="1187">
        <f>ROUND(W139*$Q$86/$Q$85,3)</f>
        <v>6.0000000000000001E-3</v>
      </c>
      <c r="S139" s="1188"/>
      <c r="T139" s="1188"/>
      <c r="U139" s="1188"/>
      <c r="V139" s="1189"/>
      <c r="W139" s="1190">
        <f t="shared" si="4"/>
        <v>56.49</v>
      </c>
      <c r="X139" s="1191"/>
      <c r="Y139" s="1191"/>
      <c r="Z139" s="1191"/>
      <c r="AA139" s="1192"/>
      <c r="AB139" s="1193">
        <f>ROUND(W139*$Q$87,3)</f>
        <v>790.86</v>
      </c>
      <c r="AC139" s="1194"/>
      <c r="AD139" s="1194"/>
      <c r="AE139" s="1194"/>
      <c r="AF139" s="1195"/>
    </row>
    <row r="140" spans="2:32" ht="30" customHeight="1" x14ac:dyDescent="0.3">
      <c r="B140" s="1186" t="s">
        <v>2292</v>
      </c>
      <c r="C140" s="1186"/>
      <c r="D140" s="1186"/>
      <c r="E140" s="1186"/>
      <c r="F140" s="1186"/>
      <c r="G140" s="1186"/>
      <c r="H140" s="1186"/>
      <c r="I140" s="1186"/>
      <c r="J140" s="1186"/>
      <c r="K140" s="1186"/>
      <c r="L140" s="1186"/>
      <c r="M140" s="1186"/>
      <c r="N140" s="1186"/>
      <c r="O140" s="1186"/>
      <c r="P140" s="1186"/>
      <c r="Q140" s="1186"/>
      <c r="R140" s="1187">
        <f>ROUND(W140*$Q$86/$Q$85,3)</f>
        <v>6.0000000000000001E-3</v>
      </c>
      <c r="S140" s="1188"/>
      <c r="T140" s="1188"/>
      <c r="U140" s="1188"/>
      <c r="V140" s="1189"/>
      <c r="W140" s="1190">
        <f>ROUND(((Q108*25.4+U108)-(Y108*25.4+AC108))*$Q$84,2)</f>
        <v>50.93</v>
      </c>
      <c r="X140" s="1191"/>
      <c r="Y140" s="1191"/>
      <c r="Z140" s="1191"/>
      <c r="AA140" s="1192"/>
      <c r="AB140" s="1193">
        <f t="shared" si="6"/>
        <v>713.02</v>
      </c>
      <c r="AC140" s="1194"/>
      <c r="AD140" s="1194"/>
      <c r="AE140" s="1194"/>
      <c r="AF140" s="1195"/>
    </row>
    <row r="142" spans="2:32" x14ac:dyDescent="0.3">
      <c r="B142" s="51" t="s">
        <v>2311</v>
      </c>
    </row>
    <row r="144" spans="2:32" ht="30" customHeight="1" x14ac:dyDescent="0.3">
      <c r="B144" s="1181" t="s">
        <v>2326</v>
      </c>
      <c r="C144" s="1182"/>
      <c r="D144" s="1182"/>
      <c r="E144" s="1182"/>
      <c r="F144" s="1182"/>
      <c r="G144" s="1182"/>
      <c r="H144" s="1182"/>
      <c r="I144" s="1182"/>
      <c r="J144" s="1182"/>
      <c r="K144" s="1182"/>
      <c r="L144" s="1182"/>
      <c r="M144" s="1182"/>
      <c r="N144" s="1182"/>
      <c r="O144" s="1182"/>
      <c r="P144" s="1182"/>
      <c r="Q144" s="1182"/>
      <c r="R144" s="1183" t="s">
        <v>2782</v>
      </c>
      <c r="S144" s="1184"/>
      <c r="T144" s="1184"/>
      <c r="U144" s="1184"/>
      <c r="V144" s="1185"/>
      <c r="W144" s="1183" t="s">
        <v>17</v>
      </c>
      <c r="X144" s="1184"/>
      <c r="Y144" s="1184"/>
      <c r="Z144" s="1184"/>
      <c r="AA144" s="1185"/>
      <c r="AB144" s="1183" t="s">
        <v>1826</v>
      </c>
      <c r="AC144" s="1184"/>
      <c r="AD144" s="1184"/>
      <c r="AE144" s="1184"/>
      <c r="AF144" s="1185"/>
    </row>
    <row r="145" spans="2:32" ht="30" customHeight="1" x14ac:dyDescent="0.3">
      <c r="B145" s="1186" t="s">
        <v>2295</v>
      </c>
      <c r="C145" s="1186"/>
      <c r="D145" s="1186"/>
      <c r="E145" s="1186"/>
      <c r="F145" s="1186"/>
      <c r="G145" s="1186"/>
      <c r="H145" s="1186"/>
      <c r="I145" s="1186"/>
      <c r="J145" s="1186"/>
      <c r="K145" s="1186"/>
      <c r="L145" s="1186"/>
      <c r="M145" s="1186"/>
      <c r="N145" s="1186"/>
      <c r="O145" s="1186"/>
      <c r="P145" s="1186"/>
      <c r="Q145" s="1186"/>
      <c r="R145" s="1187">
        <f>ROUND(W145*$Q$86/$Q$85,3)</f>
        <v>4.0000000000000001E-3</v>
      </c>
      <c r="S145" s="1188"/>
      <c r="T145" s="1188"/>
      <c r="U145" s="1188"/>
      <c r="V145" s="1189"/>
      <c r="W145" s="1190">
        <f t="shared" ref="W145:W151" si="7">ROUND(((Q116*26+U116)-(Y116*26+AC116))*$Q$84,2)</f>
        <v>33.96</v>
      </c>
      <c r="X145" s="1191"/>
      <c r="Y145" s="1191"/>
      <c r="Z145" s="1191"/>
      <c r="AA145" s="1192"/>
      <c r="AB145" s="1193">
        <f>ROUND(W145*$Q$88,3)</f>
        <v>577.32000000000005</v>
      </c>
      <c r="AC145" s="1194"/>
      <c r="AD145" s="1194"/>
      <c r="AE145" s="1194"/>
      <c r="AF145" s="1195"/>
    </row>
    <row r="146" spans="2:32" ht="30" customHeight="1" x14ac:dyDescent="0.3">
      <c r="B146" s="1186" t="s">
        <v>2296</v>
      </c>
      <c r="C146" s="1186"/>
      <c r="D146" s="1186"/>
      <c r="E146" s="1186"/>
      <c r="F146" s="1186"/>
      <c r="G146" s="1186"/>
      <c r="H146" s="1186"/>
      <c r="I146" s="1186"/>
      <c r="J146" s="1186"/>
      <c r="K146" s="1186"/>
      <c r="L146" s="1186"/>
      <c r="M146" s="1186"/>
      <c r="N146" s="1186"/>
      <c r="O146" s="1186"/>
      <c r="P146" s="1186"/>
      <c r="Q146" s="1186"/>
      <c r="R146" s="1187">
        <f t="shared" ref="R146:R149" si="8">ROUND(W146*$Q$86/$Q$85,3)</f>
        <v>5.0000000000000001E-3</v>
      </c>
      <c r="S146" s="1188"/>
      <c r="T146" s="1188"/>
      <c r="U146" s="1188"/>
      <c r="V146" s="1189"/>
      <c r="W146" s="1190">
        <f t="shared" si="7"/>
        <v>45.16</v>
      </c>
      <c r="X146" s="1191"/>
      <c r="Y146" s="1191"/>
      <c r="Z146" s="1191"/>
      <c r="AA146" s="1192"/>
      <c r="AB146" s="1193">
        <f t="shared" ref="AB146:AB151" si="9">ROUND(W146*$Q$88,3)</f>
        <v>767.72</v>
      </c>
      <c r="AC146" s="1194"/>
      <c r="AD146" s="1194"/>
      <c r="AE146" s="1194"/>
      <c r="AF146" s="1195"/>
    </row>
    <row r="147" spans="2:32" ht="30" customHeight="1" x14ac:dyDescent="0.3">
      <c r="B147" s="1186" t="s">
        <v>2297</v>
      </c>
      <c r="C147" s="1186"/>
      <c r="D147" s="1186"/>
      <c r="E147" s="1186"/>
      <c r="F147" s="1186"/>
      <c r="G147" s="1186"/>
      <c r="H147" s="1186"/>
      <c r="I147" s="1186"/>
      <c r="J147" s="1186"/>
      <c r="K147" s="1186"/>
      <c r="L147" s="1186"/>
      <c r="M147" s="1186"/>
      <c r="N147" s="1186"/>
      <c r="O147" s="1186"/>
      <c r="P147" s="1186"/>
      <c r="Q147" s="1186"/>
      <c r="R147" s="1187">
        <f t="shared" si="8"/>
        <v>5.0000000000000001E-3</v>
      </c>
      <c r="S147" s="1188"/>
      <c r="T147" s="1188"/>
      <c r="U147" s="1188"/>
      <c r="V147" s="1189"/>
      <c r="W147" s="1190">
        <f t="shared" si="7"/>
        <v>45.16</v>
      </c>
      <c r="X147" s="1191"/>
      <c r="Y147" s="1191"/>
      <c r="Z147" s="1191"/>
      <c r="AA147" s="1192"/>
      <c r="AB147" s="1193">
        <f>ROUND(W147*$Q$88,3)</f>
        <v>767.72</v>
      </c>
      <c r="AC147" s="1194"/>
      <c r="AD147" s="1194"/>
      <c r="AE147" s="1194"/>
      <c r="AF147" s="1195"/>
    </row>
    <row r="148" spans="2:32" ht="30" customHeight="1" x14ac:dyDescent="0.3">
      <c r="B148" s="1186" t="s">
        <v>2298</v>
      </c>
      <c r="C148" s="1186"/>
      <c r="D148" s="1186"/>
      <c r="E148" s="1186"/>
      <c r="F148" s="1186"/>
      <c r="G148" s="1186"/>
      <c r="H148" s="1186"/>
      <c r="I148" s="1186"/>
      <c r="J148" s="1186"/>
      <c r="K148" s="1186"/>
      <c r="L148" s="1186"/>
      <c r="M148" s="1186"/>
      <c r="N148" s="1186"/>
      <c r="O148" s="1186"/>
      <c r="P148" s="1186"/>
      <c r="Q148" s="1186"/>
      <c r="R148" s="1187">
        <f t="shared" si="8"/>
        <v>6.0000000000000001E-3</v>
      </c>
      <c r="S148" s="1188"/>
      <c r="T148" s="1188"/>
      <c r="U148" s="1188"/>
      <c r="V148" s="1189"/>
      <c r="W148" s="1190">
        <f t="shared" si="7"/>
        <v>51.84</v>
      </c>
      <c r="X148" s="1191"/>
      <c r="Y148" s="1191"/>
      <c r="Z148" s="1191"/>
      <c r="AA148" s="1192"/>
      <c r="AB148" s="1193">
        <f t="shared" si="9"/>
        <v>881.28</v>
      </c>
      <c r="AC148" s="1194"/>
      <c r="AD148" s="1194"/>
      <c r="AE148" s="1194"/>
      <c r="AF148" s="1195"/>
    </row>
    <row r="149" spans="2:32" ht="30" customHeight="1" x14ac:dyDescent="0.3">
      <c r="B149" s="1186" t="s">
        <v>2299</v>
      </c>
      <c r="C149" s="1186"/>
      <c r="D149" s="1186"/>
      <c r="E149" s="1186"/>
      <c r="F149" s="1186"/>
      <c r="G149" s="1186"/>
      <c r="H149" s="1186"/>
      <c r="I149" s="1186"/>
      <c r="J149" s="1186"/>
      <c r="K149" s="1186"/>
      <c r="L149" s="1186"/>
      <c r="M149" s="1186"/>
      <c r="N149" s="1186"/>
      <c r="O149" s="1186"/>
      <c r="P149" s="1186"/>
      <c r="Q149" s="1186"/>
      <c r="R149" s="1187">
        <f t="shared" si="8"/>
        <v>6.0000000000000001E-3</v>
      </c>
      <c r="S149" s="1188"/>
      <c r="T149" s="1188"/>
      <c r="U149" s="1188"/>
      <c r="V149" s="1189"/>
      <c r="W149" s="1190">
        <f t="shared" si="7"/>
        <v>51.84</v>
      </c>
      <c r="X149" s="1191"/>
      <c r="Y149" s="1191"/>
      <c r="Z149" s="1191"/>
      <c r="AA149" s="1192"/>
      <c r="AB149" s="1193">
        <f t="shared" si="9"/>
        <v>881.28</v>
      </c>
      <c r="AC149" s="1194"/>
      <c r="AD149" s="1194"/>
      <c r="AE149" s="1194"/>
      <c r="AF149" s="1195"/>
    </row>
    <row r="150" spans="2:32" ht="30" customHeight="1" x14ac:dyDescent="0.3">
      <c r="B150" s="1186" t="s">
        <v>2300</v>
      </c>
      <c r="C150" s="1186"/>
      <c r="D150" s="1186"/>
      <c r="E150" s="1186"/>
      <c r="F150" s="1186"/>
      <c r="G150" s="1186"/>
      <c r="H150" s="1186"/>
      <c r="I150" s="1186"/>
      <c r="J150" s="1186"/>
      <c r="K150" s="1186"/>
      <c r="L150" s="1186"/>
      <c r="M150" s="1186"/>
      <c r="N150" s="1186"/>
      <c r="O150" s="1186"/>
      <c r="P150" s="1186"/>
      <c r="Q150" s="1186"/>
      <c r="R150" s="1187">
        <f>ROUND(W150*$Q$86/$Q$85,3)</f>
        <v>3.0000000000000001E-3</v>
      </c>
      <c r="S150" s="1188"/>
      <c r="T150" s="1188"/>
      <c r="U150" s="1188"/>
      <c r="V150" s="1189"/>
      <c r="W150" s="1190">
        <f t="shared" si="7"/>
        <v>29.78</v>
      </c>
      <c r="X150" s="1191"/>
      <c r="Y150" s="1191"/>
      <c r="Z150" s="1191"/>
      <c r="AA150" s="1192"/>
      <c r="AB150" s="1193">
        <f t="shared" si="9"/>
        <v>506.26</v>
      </c>
      <c r="AC150" s="1194"/>
      <c r="AD150" s="1194"/>
      <c r="AE150" s="1194"/>
      <c r="AF150" s="1195"/>
    </row>
    <row r="151" spans="2:32" ht="30" customHeight="1" x14ac:dyDescent="0.3">
      <c r="B151" s="1186" t="s">
        <v>2301</v>
      </c>
      <c r="C151" s="1186"/>
      <c r="D151" s="1186"/>
      <c r="E151" s="1186"/>
      <c r="F151" s="1186"/>
      <c r="G151" s="1186"/>
      <c r="H151" s="1186"/>
      <c r="I151" s="1186"/>
      <c r="J151" s="1186"/>
      <c r="K151" s="1186"/>
      <c r="L151" s="1186"/>
      <c r="M151" s="1186"/>
      <c r="N151" s="1186"/>
      <c r="O151" s="1186"/>
      <c r="P151" s="1186"/>
      <c r="Q151" s="1186"/>
      <c r="R151" s="1187">
        <f>ROUND(W151*$Q$86/$Q$85,3)</f>
        <v>5.0000000000000001E-3</v>
      </c>
      <c r="S151" s="1188"/>
      <c r="T151" s="1188"/>
      <c r="U151" s="1188"/>
      <c r="V151" s="1189"/>
      <c r="W151" s="1190">
        <f t="shared" si="7"/>
        <v>41.32</v>
      </c>
      <c r="X151" s="1191"/>
      <c r="Y151" s="1191"/>
      <c r="Z151" s="1191"/>
      <c r="AA151" s="1192"/>
      <c r="AB151" s="1193">
        <f t="shared" si="9"/>
        <v>702.44</v>
      </c>
      <c r="AC151" s="1194"/>
      <c r="AD151" s="1194"/>
      <c r="AE151" s="1194"/>
      <c r="AF151" s="1195"/>
    </row>
    <row r="152" spans="2:32" ht="30" customHeight="1" x14ac:dyDescent="0.3">
      <c r="B152" s="1186" t="s">
        <v>2302</v>
      </c>
      <c r="C152" s="1186"/>
      <c r="D152" s="1186"/>
      <c r="E152" s="1186"/>
      <c r="F152" s="1186"/>
      <c r="G152" s="1186"/>
      <c r="H152" s="1186"/>
      <c r="I152" s="1186"/>
      <c r="J152" s="1186"/>
      <c r="K152" s="1186"/>
      <c r="L152" s="1186"/>
      <c r="M152" s="1186"/>
      <c r="N152" s="1186"/>
      <c r="O152" s="1186"/>
      <c r="P152" s="1186"/>
      <c r="Q152" s="1186"/>
      <c r="R152" s="1187">
        <f>ROUND(W152*$Q$86/$Q$85,3)</f>
        <v>5.0000000000000001E-3</v>
      </c>
      <c r="S152" s="1188"/>
      <c r="T152" s="1188"/>
      <c r="U152" s="1188"/>
      <c r="V152" s="1189"/>
      <c r="W152" s="1190">
        <f>ROUND(((Q123*26+U123)-(Y123*26+AC123))*$Q$84,2)</f>
        <v>42.72</v>
      </c>
      <c r="X152" s="1191"/>
      <c r="Y152" s="1191"/>
      <c r="Z152" s="1191"/>
      <c r="AA152" s="1192"/>
      <c r="AB152" s="1193">
        <f>ROUND(W152*$Q$88,3)</f>
        <v>726.24</v>
      </c>
      <c r="AC152" s="1194"/>
      <c r="AD152" s="1194"/>
      <c r="AE152" s="1194"/>
      <c r="AF152" s="1195"/>
    </row>
    <row r="154" spans="2:32" x14ac:dyDescent="0.3">
      <c r="B154" s="51" t="s">
        <v>2312</v>
      </c>
    </row>
    <row r="155" spans="2:32" ht="30" customHeight="1" x14ac:dyDescent="0.3">
      <c r="B155" s="1196" t="s">
        <v>3783</v>
      </c>
      <c r="C155" s="1196"/>
      <c r="D155" s="1196"/>
      <c r="E155" s="1196"/>
      <c r="F155" s="1196"/>
      <c r="G155" s="1196"/>
      <c r="H155" s="1196"/>
      <c r="I155" s="1196"/>
      <c r="J155" s="1196"/>
      <c r="K155" s="1196"/>
      <c r="L155" s="1196"/>
      <c r="M155" s="1196"/>
      <c r="N155" s="1196"/>
      <c r="O155" s="1196"/>
      <c r="P155" s="1196"/>
      <c r="Q155" s="1196"/>
      <c r="R155" s="1196"/>
      <c r="S155" s="1196"/>
      <c r="T155" s="1196"/>
      <c r="U155" s="1196"/>
      <c r="V155" s="1196"/>
      <c r="W155" s="1196"/>
      <c r="X155" s="1196"/>
      <c r="Y155" s="1196"/>
      <c r="Z155" s="1196"/>
      <c r="AA155" s="1196"/>
      <c r="AB155" s="1196"/>
      <c r="AC155" s="1196"/>
      <c r="AD155" s="1196"/>
      <c r="AE155" s="1196"/>
      <c r="AF155" s="1196"/>
    </row>
    <row r="156" spans="2:32" ht="30" customHeight="1" x14ac:dyDescent="0.3">
      <c r="B156" s="1197" t="s">
        <v>2705</v>
      </c>
      <c r="C156" s="1198"/>
      <c r="D156" s="1198"/>
      <c r="E156" s="1198"/>
      <c r="F156" s="1198"/>
      <c r="G156" s="1198"/>
      <c r="H156" s="1198"/>
      <c r="I156" s="1198"/>
      <c r="J156" s="1198"/>
      <c r="K156" s="1198"/>
      <c r="L156" s="1198"/>
      <c r="M156" s="1198"/>
      <c r="N156" s="1198"/>
      <c r="O156" s="1199"/>
      <c r="P156" s="1203" t="s">
        <v>3784</v>
      </c>
      <c r="Q156" s="1204"/>
      <c r="R156" s="1204"/>
      <c r="S156" s="1204"/>
      <c r="T156" s="1204"/>
      <c r="U156" s="1205"/>
      <c r="V156" s="1203" t="s">
        <v>2027</v>
      </c>
      <c r="W156" s="1204"/>
      <c r="X156" s="1204"/>
      <c r="Y156" s="1204"/>
      <c r="Z156" s="1204"/>
      <c r="AA156" s="1205"/>
      <c r="AB156" s="1197" t="s">
        <v>1826</v>
      </c>
      <c r="AC156" s="1198"/>
      <c r="AD156" s="1198"/>
      <c r="AE156" s="1198"/>
      <c r="AF156" s="1199"/>
    </row>
    <row r="157" spans="2:32" ht="45.75" customHeight="1" x14ac:dyDescent="0.3">
      <c r="B157" s="1200"/>
      <c r="C157" s="1201"/>
      <c r="D157" s="1201"/>
      <c r="E157" s="1201"/>
      <c r="F157" s="1201"/>
      <c r="G157" s="1201"/>
      <c r="H157" s="1201"/>
      <c r="I157" s="1201"/>
      <c r="J157" s="1201"/>
      <c r="K157" s="1201"/>
      <c r="L157" s="1201"/>
      <c r="M157" s="1201"/>
      <c r="N157" s="1201"/>
      <c r="O157" s="1202"/>
      <c r="P157" s="1206" t="s">
        <v>3791</v>
      </c>
      <c r="Q157" s="1206"/>
      <c r="R157" s="1206"/>
      <c r="S157" s="1203" t="s">
        <v>3792</v>
      </c>
      <c r="T157" s="1204"/>
      <c r="U157" s="1205"/>
      <c r="V157" s="1206" t="s">
        <v>3791</v>
      </c>
      <c r="W157" s="1206"/>
      <c r="X157" s="1206"/>
      <c r="Y157" s="1203" t="s">
        <v>3792</v>
      </c>
      <c r="Z157" s="1204"/>
      <c r="AA157" s="1205"/>
      <c r="AB157" s="1200"/>
      <c r="AC157" s="1201"/>
      <c r="AD157" s="1201"/>
      <c r="AE157" s="1201"/>
      <c r="AF157" s="1202"/>
    </row>
    <row r="158" spans="2:32" ht="30" customHeight="1" x14ac:dyDescent="0.3">
      <c r="B158" s="1207" t="s">
        <v>2286</v>
      </c>
      <c r="C158" s="1208"/>
      <c r="D158" s="1208"/>
      <c r="E158" s="1208"/>
      <c r="F158" s="1208"/>
      <c r="G158" s="1208"/>
      <c r="H158" s="1208"/>
      <c r="I158" s="1208"/>
      <c r="J158" s="1208"/>
      <c r="K158" s="1208"/>
      <c r="L158" s="1208"/>
      <c r="M158" s="1208"/>
      <c r="N158" s="1208"/>
      <c r="O158" s="1209"/>
      <c r="P158" s="1210">
        <f t="shared" ref="P158:P165" si="10">ROUND(V158*$Q$86/$Q$85,3)</f>
        <v>9.0999999999999998E-2</v>
      </c>
      <c r="Q158" s="1211"/>
      <c r="R158" s="1211"/>
      <c r="S158" s="1210">
        <f>ROUND(Y158*$Q$86/$Q$85,3)</f>
        <v>4.0000000000000001E-3</v>
      </c>
      <c r="T158" s="1211"/>
      <c r="U158" s="1211"/>
      <c r="V158" s="1212">
        <f>ROUND((W133+$W$187),2)</f>
        <v>794.67</v>
      </c>
      <c r="W158" s="1213"/>
      <c r="X158" s="1213"/>
      <c r="Y158" s="1212">
        <f>W133</f>
        <v>36.67</v>
      </c>
      <c r="Z158" s="1213"/>
      <c r="AA158" s="1213"/>
      <c r="AB158" s="1214">
        <f>ROUND((AB133+$AB$187),2)</f>
        <v>6577.38</v>
      </c>
      <c r="AC158" s="1215"/>
      <c r="AD158" s="1215"/>
      <c r="AE158" s="1215"/>
      <c r="AF158" s="1216"/>
    </row>
    <row r="159" spans="2:32" ht="30" customHeight="1" x14ac:dyDescent="0.3">
      <c r="B159" s="1207" t="s">
        <v>2287</v>
      </c>
      <c r="C159" s="1208"/>
      <c r="D159" s="1208"/>
      <c r="E159" s="1208"/>
      <c r="F159" s="1208"/>
      <c r="G159" s="1208"/>
      <c r="H159" s="1208"/>
      <c r="I159" s="1208"/>
      <c r="J159" s="1208"/>
      <c r="K159" s="1208"/>
      <c r="L159" s="1208"/>
      <c r="M159" s="1208"/>
      <c r="N159" s="1208"/>
      <c r="O159" s="1209"/>
      <c r="P159" s="1210">
        <f t="shared" si="10"/>
        <v>9.1999999999999998E-2</v>
      </c>
      <c r="Q159" s="1211"/>
      <c r="R159" s="1211"/>
      <c r="S159" s="1210">
        <f t="shared" ref="S159:S165" si="11">ROUND(Y159*$Q$86/$Q$85,3)</f>
        <v>5.0000000000000001E-3</v>
      </c>
      <c r="T159" s="1211"/>
      <c r="U159" s="1211"/>
      <c r="V159" s="1212">
        <f t="shared" ref="V159:V165" si="12">ROUND((W134+$W$187),2)</f>
        <v>801.97</v>
      </c>
      <c r="W159" s="1213"/>
      <c r="X159" s="1213"/>
      <c r="Y159" s="1212">
        <f t="shared" ref="Y159:Y164" si="13">W134</f>
        <v>43.97</v>
      </c>
      <c r="Z159" s="1213"/>
      <c r="AA159" s="1213"/>
      <c r="AB159" s="1214">
        <f t="shared" ref="AB159:AB164" si="14">ROUND((AB134+$AB$187),2)</f>
        <v>6679.58</v>
      </c>
      <c r="AC159" s="1215"/>
      <c r="AD159" s="1215"/>
      <c r="AE159" s="1215"/>
      <c r="AF159" s="1216"/>
    </row>
    <row r="160" spans="2:32" ht="30" customHeight="1" x14ac:dyDescent="0.3">
      <c r="B160" s="1207" t="s">
        <v>2288</v>
      </c>
      <c r="C160" s="1208"/>
      <c r="D160" s="1208"/>
      <c r="E160" s="1208"/>
      <c r="F160" s="1208"/>
      <c r="G160" s="1208"/>
      <c r="H160" s="1208"/>
      <c r="I160" s="1208"/>
      <c r="J160" s="1208"/>
      <c r="K160" s="1208"/>
      <c r="L160" s="1208"/>
      <c r="M160" s="1208"/>
      <c r="N160" s="1208"/>
      <c r="O160" s="1209"/>
      <c r="P160" s="1210">
        <f t="shared" si="10"/>
        <v>9.1999999999999998E-2</v>
      </c>
      <c r="Q160" s="1211"/>
      <c r="R160" s="1211"/>
      <c r="S160" s="1210">
        <f t="shared" si="11"/>
        <v>6.0000000000000001E-3</v>
      </c>
      <c r="T160" s="1211"/>
      <c r="U160" s="1211"/>
      <c r="V160" s="1212">
        <f t="shared" si="12"/>
        <v>809.39</v>
      </c>
      <c r="W160" s="1213"/>
      <c r="X160" s="1213"/>
      <c r="Y160" s="1212">
        <f t="shared" si="13"/>
        <v>51.39</v>
      </c>
      <c r="Z160" s="1213"/>
      <c r="AA160" s="1213"/>
      <c r="AB160" s="1214">
        <f t="shared" si="14"/>
        <v>6783.46</v>
      </c>
      <c r="AC160" s="1215"/>
      <c r="AD160" s="1215"/>
      <c r="AE160" s="1215"/>
      <c r="AF160" s="1216"/>
    </row>
    <row r="161" spans="2:32" ht="30" customHeight="1" x14ac:dyDescent="0.3">
      <c r="B161" s="1207" t="s">
        <v>2289</v>
      </c>
      <c r="C161" s="1208"/>
      <c r="D161" s="1208"/>
      <c r="E161" s="1208"/>
      <c r="F161" s="1208"/>
      <c r="G161" s="1208"/>
      <c r="H161" s="1208"/>
      <c r="I161" s="1208"/>
      <c r="J161" s="1208"/>
      <c r="K161" s="1208"/>
      <c r="L161" s="1208"/>
      <c r="M161" s="1208"/>
      <c r="N161" s="1208"/>
      <c r="O161" s="1209"/>
      <c r="P161" s="1210">
        <f t="shared" si="10"/>
        <v>9.2999999999999999E-2</v>
      </c>
      <c r="Q161" s="1211"/>
      <c r="R161" s="1211"/>
      <c r="S161" s="1210">
        <f t="shared" si="11"/>
        <v>6.0000000000000001E-3</v>
      </c>
      <c r="T161" s="1211"/>
      <c r="U161" s="1211"/>
      <c r="V161" s="1212">
        <f t="shared" si="12"/>
        <v>812.05</v>
      </c>
      <c r="W161" s="1213"/>
      <c r="X161" s="1213"/>
      <c r="Y161" s="1212">
        <f t="shared" si="13"/>
        <v>54.05</v>
      </c>
      <c r="Z161" s="1213"/>
      <c r="AA161" s="1213"/>
      <c r="AB161" s="1214">
        <f t="shared" si="14"/>
        <v>6820.7</v>
      </c>
      <c r="AC161" s="1215"/>
      <c r="AD161" s="1215"/>
      <c r="AE161" s="1215"/>
      <c r="AF161" s="1216"/>
    </row>
    <row r="162" spans="2:32" ht="30" customHeight="1" x14ac:dyDescent="0.3">
      <c r="B162" s="1207" t="s">
        <v>2290</v>
      </c>
      <c r="C162" s="1208"/>
      <c r="D162" s="1208"/>
      <c r="E162" s="1208"/>
      <c r="F162" s="1208"/>
      <c r="G162" s="1208"/>
      <c r="H162" s="1208"/>
      <c r="I162" s="1208"/>
      <c r="J162" s="1208"/>
      <c r="K162" s="1208"/>
      <c r="L162" s="1208"/>
      <c r="M162" s="1208"/>
      <c r="N162" s="1208"/>
      <c r="O162" s="1209"/>
      <c r="P162" s="1210">
        <f t="shared" si="10"/>
        <v>9.4E-2</v>
      </c>
      <c r="Q162" s="1211"/>
      <c r="R162" s="1211"/>
      <c r="S162" s="1210">
        <f t="shared" si="11"/>
        <v>7.0000000000000001E-3</v>
      </c>
      <c r="T162" s="1211"/>
      <c r="U162" s="1211"/>
      <c r="V162" s="1212">
        <f t="shared" si="12"/>
        <v>820.47</v>
      </c>
      <c r="W162" s="1213"/>
      <c r="X162" s="1213"/>
      <c r="Y162" s="1212">
        <f t="shared" si="13"/>
        <v>62.47</v>
      </c>
      <c r="Z162" s="1213"/>
      <c r="AA162" s="1213"/>
      <c r="AB162" s="1214">
        <f t="shared" si="14"/>
        <v>6938.58</v>
      </c>
      <c r="AC162" s="1215"/>
      <c r="AD162" s="1215"/>
      <c r="AE162" s="1215"/>
      <c r="AF162" s="1216"/>
    </row>
    <row r="163" spans="2:32" ht="30" customHeight="1" x14ac:dyDescent="0.3">
      <c r="B163" s="1207" t="s">
        <v>2291</v>
      </c>
      <c r="C163" s="1208"/>
      <c r="D163" s="1208"/>
      <c r="E163" s="1208"/>
      <c r="F163" s="1208"/>
      <c r="G163" s="1208"/>
      <c r="H163" s="1208"/>
      <c r="I163" s="1208"/>
      <c r="J163" s="1208"/>
      <c r="K163" s="1208"/>
      <c r="L163" s="1208"/>
      <c r="M163" s="1208"/>
      <c r="N163" s="1208"/>
      <c r="O163" s="1209"/>
      <c r="P163" s="1210">
        <f t="shared" si="10"/>
        <v>9.1999999999999998E-2</v>
      </c>
      <c r="Q163" s="1211"/>
      <c r="R163" s="1211"/>
      <c r="S163" s="1210">
        <f t="shared" si="11"/>
        <v>6.0000000000000001E-3</v>
      </c>
      <c r="T163" s="1211"/>
      <c r="U163" s="1211"/>
      <c r="V163" s="1212">
        <f t="shared" si="12"/>
        <v>809.44</v>
      </c>
      <c r="W163" s="1213"/>
      <c r="X163" s="1213"/>
      <c r="Y163" s="1212">
        <f t="shared" si="13"/>
        <v>51.44</v>
      </c>
      <c r="Z163" s="1213"/>
      <c r="AA163" s="1213"/>
      <c r="AB163" s="1214">
        <f t="shared" si="14"/>
        <v>6784.16</v>
      </c>
      <c r="AC163" s="1215"/>
      <c r="AD163" s="1215"/>
      <c r="AE163" s="1215"/>
      <c r="AF163" s="1216"/>
    </row>
    <row r="164" spans="2:32" ht="30" customHeight="1" x14ac:dyDescent="0.3">
      <c r="B164" s="1207" t="s">
        <v>2338</v>
      </c>
      <c r="C164" s="1208"/>
      <c r="D164" s="1208"/>
      <c r="E164" s="1208"/>
      <c r="F164" s="1208"/>
      <c r="G164" s="1208"/>
      <c r="H164" s="1208"/>
      <c r="I164" s="1208"/>
      <c r="J164" s="1208"/>
      <c r="K164" s="1208"/>
      <c r="L164" s="1208"/>
      <c r="M164" s="1208"/>
      <c r="N164" s="1208"/>
      <c r="O164" s="1209"/>
      <c r="P164" s="1210">
        <f t="shared" si="10"/>
        <v>9.2999999999999999E-2</v>
      </c>
      <c r="Q164" s="1211"/>
      <c r="R164" s="1211"/>
      <c r="S164" s="1210">
        <f t="shared" si="11"/>
        <v>6.0000000000000001E-3</v>
      </c>
      <c r="T164" s="1211"/>
      <c r="U164" s="1211"/>
      <c r="V164" s="1212">
        <f t="shared" si="12"/>
        <v>814.49</v>
      </c>
      <c r="W164" s="1213"/>
      <c r="X164" s="1213"/>
      <c r="Y164" s="1212">
        <f t="shared" si="13"/>
        <v>56.49</v>
      </c>
      <c r="Z164" s="1213"/>
      <c r="AA164" s="1213"/>
      <c r="AB164" s="1214">
        <f t="shared" si="14"/>
        <v>6854.86</v>
      </c>
      <c r="AC164" s="1215"/>
      <c r="AD164" s="1215"/>
      <c r="AE164" s="1215"/>
      <c r="AF164" s="1216"/>
    </row>
    <row r="165" spans="2:32" ht="30" customHeight="1" x14ac:dyDescent="0.3">
      <c r="B165" s="1207" t="s">
        <v>2292</v>
      </c>
      <c r="C165" s="1208"/>
      <c r="D165" s="1208"/>
      <c r="E165" s="1208"/>
      <c r="F165" s="1208"/>
      <c r="G165" s="1208"/>
      <c r="H165" s="1208"/>
      <c r="I165" s="1208"/>
      <c r="J165" s="1208"/>
      <c r="K165" s="1208"/>
      <c r="L165" s="1208"/>
      <c r="M165" s="1208"/>
      <c r="N165" s="1208"/>
      <c r="O165" s="1209"/>
      <c r="P165" s="1210">
        <f t="shared" si="10"/>
        <v>9.1999999999999998E-2</v>
      </c>
      <c r="Q165" s="1211"/>
      <c r="R165" s="1211"/>
      <c r="S165" s="1210">
        <f t="shared" si="11"/>
        <v>6.0000000000000001E-3</v>
      </c>
      <c r="T165" s="1211"/>
      <c r="U165" s="1211"/>
      <c r="V165" s="1212">
        <f t="shared" si="12"/>
        <v>808.93</v>
      </c>
      <c r="W165" s="1213"/>
      <c r="X165" s="1213"/>
      <c r="Y165" s="1212">
        <f>W140</f>
        <v>50.93</v>
      </c>
      <c r="Z165" s="1213"/>
      <c r="AA165" s="1213"/>
      <c r="AB165" s="1214">
        <f>ROUND((AB140+$AB$187),2)</f>
        <v>6777.02</v>
      </c>
      <c r="AC165" s="1215"/>
      <c r="AD165" s="1215"/>
      <c r="AE165" s="1215"/>
      <c r="AF165" s="1216"/>
    </row>
    <row r="166" spans="2:32" x14ac:dyDescent="0.3">
      <c r="B166" s="532" t="s">
        <v>3793</v>
      </c>
      <c r="C166" s="350"/>
      <c r="D166" s="350"/>
      <c r="E166" s="350"/>
      <c r="F166" s="350"/>
      <c r="G166" s="350"/>
      <c r="H166" s="350"/>
      <c r="I166" s="350"/>
      <c r="J166" s="350"/>
      <c r="K166" s="350"/>
      <c r="L166" s="350"/>
      <c r="M166" s="350"/>
      <c r="N166" s="350"/>
      <c r="O166" s="350"/>
      <c r="P166" s="529"/>
      <c r="Q166" s="529"/>
      <c r="R166" s="529"/>
      <c r="S166" s="529"/>
      <c r="T166" s="529"/>
      <c r="U166" s="529"/>
      <c r="V166" s="530"/>
      <c r="W166" s="530"/>
      <c r="X166" s="530"/>
      <c r="Y166" s="530"/>
      <c r="Z166" s="530"/>
      <c r="AA166" s="530"/>
      <c r="AB166" s="531"/>
      <c r="AC166" s="531"/>
      <c r="AD166" s="531"/>
      <c r="AE166" s="531"/>
      <c r="AF166" s="531"/>
    </row>
    <row r="167" spans="2:32" x14ac:dyDescent="0.3">
      <c r="B167" s="532" t="s">
        <v>3794</v>
      </c>
      <c r="C167" s="350"/>
      <c r="D167" s="350"/>
      <c r="E167" s="350"/>
      <c r="F167" s="350"/>
      <c r="G167" s="350"/>
      <c r="H167" s="350"/>
      <c r="I167" s="350"/>
      <c r="J167" s="350"/>
      <c r="K167" s="350"/>
      <c r="L167" s="350"/>
      <c r="M167" s="350"/>
      <c r="N167" s="350"/>
      <c r="O167" s="350"/>
      <c r="P167" s="529"/>
      <c r="Q167" s="529"/>
      <c r="R167" s="529"/>
      <c r="S167" s="529"/>
      <c r="T167" s="529"/>
      <c r="U167" s="529"/>
      <c r="V167" s="530"/>
      <c r="W167" s="530"/>
      <c r="X167" s="530"/>
      <c r="Y167" s="530"/>
      <c r="Z167" s="530"/>
      <c r="AA167" s="530"/>
      <c r="AB167" s="531"/>
      <c r="AC167" s="531"/>
      <c r="AD167" s="531"/>
      <c r="AE167" s="531"/>
      <c r="AF167" s="531"/>
    </row>
    <row r="169" spans="2:32" x14ac:dyDescent="0.3">
      <c r="B169" s="51" t="s">
        <v>2313</v>
      </c>
    </row>
    <row r="170" spans="2:32" ht="30" customHeight="1" x14ac:dyDescent="0.3">
      <c r="B170" s="1196" t="s">
        <v>3785</v>
      </c>
      <c r="C170" s="1196"/>
      <c r="D170" s="1196"/>
      <c r="E170" s="1196"/>
      <c r="F170" s="1196"/>
      <c r="G170" s="1196"/>
      <c r="H170" s="1196"/>
      <c r="I170" s="1196"/>
      <c r="J170" s="1196"/>
      <c r="K170" s="1196"/>
      <c r="L170" s="1196"/>
      <c r="M170" s="1196"/>
      <c r="N170" s="1196"/>
      <c r="O170" s="1196"/>
      <c r="P170" s="1196"/>
      <c r="Q170" s="1196"/>
      <c r="R170" s="1196"/>
      <c r="S170" s="1196"/>
      <c r="T170" s="1196"/>
      <c r="U170" s="1196"/>
      <c r="V170" s="1196"/>
      <c r="W170" s="1196"/>
      <c r="X170" s="1196"/>
      <c r="Y170" s="1196"/>
      <c r="Z170" s="1196"/>
      <c r="AA170" s="1196"/>
      <c r="AB170" s="1196"/>
      <c r="AC170" s="1196"/>
      <c r="AD170" s="1196"/>
      <c r="AE170" s="1196"/>
      <c r="AF170" s="1196"/>
    </row>
    <row r="171" spans="2:32" ht="30" customHeight="1" x14ac:dyDescent="0.3">
      <c r="B171" s="1197" t="s">
        <v>2327</v>
      </c>
      <c r="C171" s="1198"/>
      <c r="D171" s="1198"/>
      <c r="E171" s="1198"/>
      <c r="F171" s="1198"/>
      <c r="G171" s="1198"/>
      <c r="H171" s="1198"/>
      <c r="I171" s="1198"/>
      <c r="J171" s="1198"/>
      <c r="K171" s="1198"/>
      <c r="L171" s="1198"/>
      <c r="M171" s="1198"/>
      <c r="N171" s="1198"/>
      <c r="O171" s="1199"/>
      <c r="P171" s="1203" t="s">
        <v>3784</v>
      </c>
      <c r="Q171" s="1204"/>
      <c r="R171" s="1204"/>
      <c r="S171" s="1204"/>
      <c r="T171" s="1204"/>
      <c r="U171" s="1205"/>
      <c r="V171" s="1203" t="s">
        <v>2027</v>
      </c>
      <c r="W171" s="1204"/>
      <c r="X171" s="1204"/>
      <c r="Y171" s="1204"/>
      <c r="Z171" s="1204"/>
      <c r="AA171" s="1205"/>
      <c r="AB171" s="1197" t="s">
        <v>1826</v>
      </c>
      <c r="AC171" s="1198"/>
      <c r="AD171" s="1198"/>
      <c r="AE171" s="1198"/>
      <c r="AF171" s="1199"/>
    </row>
    <row r="172" spans="2:32" ht="45.75" customHeight="1" x14ac:dyDescent="0.3">
      <c r="B172" s="1200"/>
      <c r="C172" s="1201"/>
      <c r="D172" s="1201"/>
      <c r="E172" s="1201"/>
      <c r="F172" s="1201"/>
      <c r="G172" s="1201"/>
      <c r="H172" s="1201"/>
      <c r="I172" s="1201"/>
      <c r="J172" s="1201"/>
      <c r="K172" s="1201"/>
      <c r="L172" s="1201"/>
      <c r="M172" s="1201"/>
      <c r="N172" s="1201"/>
      <c r="O172" s="1202"/>
      <c r="P172" s="1206" t="s">
        <v>3791</v>
      </c>
      <c r="Q172" s="1206"/>
      <c r="R172" s="1206"/>
      <c r="S172" s="1203" t="s">
        <v>3792</v>
      </c>
      <c r="T172" s="1204"/>
      <c r="U172" s="1205"/>
      <c r="V172" s="1206" t="s">
        <v>3791</v>
      </c>
      <c r="W172" s="1206"/>
      <c r="X172" s="1206"/>
      <c r="Y172" s="1203" t="s">
        <v>3792</v>
      </c>
      <c r="Z172" s="1204"/>
      <c r="AA172" s="1205"/>
      <c r="AB172" s="1200"/>
      <c r="AC172" s="1201"/>
      <c r="AD172" s="1201"/>
      <c r="AE172" s="1201"/>
      <c r="AF172" s="1202"/>
    </row>
    <row r="173" spans="2:32" ht="30" customHeight="1" x14ac:dyDescent="0.3">
      <c r="B173" s="1207" t="s">
        <v>2295</v>
      </c>
      <c r="C173" s="1208"/>
      <c r="D173" s="1208"/>
      <c r="E173" s="1208"/>
      <c r="F173" s="1208"/>
      <c r="G173" s="1208"/>
      <c r="H173" s="1208"/>
      <c r="I173" s="1208"/>
      <c r="J173" s="1208"/>
      <c r="K173" s="1208"/>
      <c r="L173" s="1208"/>
      <c r="M173" s="1208"/>
      <c r="N173" s="1208"/>
      <c r="O173" s="1209"/>
      <c r="P173" s="1210">
        <f t="shared" ref="P173:P180" si="15">ROUND(V173*$Q$86/$Q$85,3)</f>
        <v>6.9000000000000006E-2</v>
      </c>
      <c r="Q173" s="1211"/>
      <c r="R173" s="1211"/>
      <c r="S173" s="1210">
        <f>ROUND(Y173*$Q$86/$Q$85,3)</f>
        <v>4.0000000000000001E-3</v>
      </c>
      <c r="T173" s="1211"/>
      <c r="U173" s="1211"/>
      <c r="V173" s="1212">
        <f t="shared" ref="V173:V180" si="16">ROUND((W145+$W$188),2)</f>
        <v>607.96</v>
      </c>
      <c r="W173" s="1213"/>
      <c r="X173" s="1213"/>
      <c r="Y173" s="1212">
        <f>W145</f>
        <v>33.96</v>
      </c>
      <c r="Z173" s="1213"/>
      <c r="AA173" s="1213"/>
      <c r="AB173" s="1214">
        <f>ROUND((AB145+$AB$188),2)</f>
        <v>4595.32</v>
      </c>
      <c r="AC173" s="1215"/>
      <c r="AD173" s="1215"/>
      <c r="AE173" s="1215"/>
      <c r="AF173" s="1216"/>
    </row>
    <row r="174" spans="2:32" ht="30" customHeight="1" x14ac:dyDescent="0.3">
      <c r="B174" s="1207" t="s">
        <v>2296</v>
      </c>
      <c r="C174" s="1208"/>
      <c r="D174" s="1208"/>
      <c r="E174" s="1208"/>
      <c r="F174" s="1208"/>
      <c r="G174" s="1208"/>
      <c r="H174" s="1208"/>
      <c r="I174" s="1208"/>
      <c r="J174" s="1208"/>
      <c r="K174" s="1208"/>
      <c r="L174" s="1208"/>
      <c r="M174" s="1208"/>
      <c r="N174" s="1208"/>
      <c r="O174" s="1209"/>
      <c r="P174" s="1210">
        <f t="shared" si="15"/>
        <v>7.0999999999999994E-2</v>
      </c>
      <c r="Q174" s="1211"/>
      <c r="R174" s="1211"/>
      <c r="S174" s="1210">
        <f t="shared" ref="S174:S179" si="17">ROUND(Y174*$Q$86/$Q$85,3)</f>
        <v>5.0000000000000001E-3</v>
      </c>
      <c r="T174" s="1211"/>
      <c r="U174" s="1211"/>
      <c r="V174" s="1212">
        <f t="shared" si="16"/>
        <v>619.16</v>
      </c>
      <c r="W174" s="1213"/>
      <c r="X174" s="1213"/>
      <c r="Y174" s="1212">
        <f t="shared" ref="Y174:Y180" si="18">W146</f>
        <v>45.16</v>
      </c>
      <c r="Z174" s="1213"/>
      <c r="AA174" s="1213"/>
      <c r="AB174" s="1214">
        <f t="shared" ref="AB174:AB180" si="19">ROUND((AB146+$AB$188),2)</f>
        <v>4785.72</v>
      </c>
      <c r="AC174" s="1215"/>
      <c r="AD174" s="1215"/>
      <c r="AE174" s="1215"/>
      <c r="AF174" s="1216"/>
    </row>
    <row r="175" spans="2:32" ht="30" customHeight="1" x14ac:dyDescent="0.3">
      <c r="B175" s="1207" t="s">
        <v>2297</v>
      </c>
      <c r="C175" s="1208"/>
      <c r="D175" s="1208"/>
      <c r="E175" s="1208"/>
      <c r="F175" s="1208"/>
      <c r="G175" s="1208"/>
      <c r="H175" s="1208"/>
      <c r="I175" s="1208"/>
      <c r="J175" s="1208"/>
      <c r="K175" s="1208"/>
      <c r="L175" s="1208"/>
      <c r="M175" s="1208"/>
      <c r="N175" s="1208"/>
      <c r="O175" s="1209"/>
      <c r="P175" s="1210">
        <f t="shared" si="15"/>
        <v>7.0999999999999994E-2</v>
      </c>
      <c r="Q175" s="1211"/>
      <c r="R175" s="1211"/>
      <c r="S175" s="1210">
        <f t="shared" si="17"/>
        <v>5.0000000000000001E-3</v>
      </c>
      <c r="T175" s="1211"/>
      <c r="U175" s="1211"/>
      <c r="V175" s="1212">
        <f t="shared" si="16"/>
        <v>619.16</v>
      </c>
      <c r="W175" s="1213"/>
      <c r="X175" s="1213"/>
      <c r="Y175" s="1212">
        <f t="shared" si="18"/>
        <v>45.16</v>
      </c>
      <c r="Z175" s="1213"/>
      <c r="AA175" s="1213"/>
      <c r="AB175" s="1214">
        <f t="shared" si="19"/>
        <v>4785.72</v>
      </c>
      <c r="AC175" s="1215"/>
      <c r="AD175" s="1215"/>
      <c r="AE175" s="1215"/>
      <c r="AF175" s="1216"/>
    </row>
    <row r="176" spans="2:32" ht="30" customHeight="1" x14ac:dyDescent="0.3">
      <c r="B176" s="1207" t="s">
        <v>2298</v>
      </c>
      <c r="C176" s="1208"/>
      <c r="D176" s="1208"/>
      <c r="E176" s="1208"/>
      <c r="F176" s="1208"/>
      <c r="G176" s="1208"/>
      <c r="H176" s="1208"/>
      <c r="I176" s="1208"/>
      <c r="J176" s="1208"/>
      <c r="K176" s="1208"/>
      <c r="L176" s="1208"/>
      <c r="M176" s="1208"/>
      <c r="N176" s="1208"/>
      <c r="O176" s="1209"/>
      <c r="P176" s="1210">
        <f t="shared" si="15"/>
        <v>7.0999999999999994E-2</v>
      </c>
      <c r="Q176" s="1211"/>
      <c r="R176" s="1211"/>
      <c r="S176" s="1210">
        <f t="shared" si="17"/>
        <v>6.0000000000000001E-3</v>
      </c>
      <c r="T176" s="1211"/>
      <c r="U176" s="1211"/>
      <c r="V176" s="1212">
        <f t="shared" si="16"/>
        <v>625.84</v>
      </c>
      <c r="W176" s="1213"/>
      <c r="X176" s="1213"/>
      <c r="Y176" s="1212">
        <f t="shared" si="18"/>
        <v>51.84</v>
      </c>
      <c r="Z176" s="1213"/>
      <c r="AA176" s="1213"/>
      <c r="AB176" s="1214">
        <f t="shared" si="19"/>
        <v>4899.28</v>
      </c>
      <c r="AC176" s="1215"/>
      <c r="AD176" s="1215"/>
      <c r="AE176" s="1215"/>
      <c r="AF176" s="1216"/>
    </row>
    <row r="177" spans="1:32" ht="30" customHeight="1" x14ac:dyDescent="0.3">
      <c r="B177" s="1207" t="s">
        <v>2299</v>
      </c>
      <c r="C177" s="1208"/>
      <c r="D177" s="1208"/>
      <c r="E177" s="1208"/>
      <c r="F177" s="1208"/>
      <c r="G177" s="1208"/>
      <c r="H177" s="1208"/>
      <c r="I177" s="1208"/>
      <c r="J177" s="1208"/>
      <c r="K177" s="1208"/>
      <c r="L177" s="1208"/>
      <c r="M177" s="1208"/>
      <c r="N177" s="1208"/>
      <c r="O177" s="1209"/>
      <c r="P177" s="1210">
        <f t="shared" si="15"/>
        <v>7.0999999999999994E-2</v>
      </c>
      <c r="Q177" s="1211"/>
      <c r="R177" s="1211"/>
      <c r="S177" s="1210">
        <f t="shared" si="17"/>
        <v>6.0000000000000001E-3</v>
      </c>
      <c r="T177" s="1211"/>
      <c r="U177" s="1211"/>
      <c r="V177" s="1212">
        <f t="shared" si="16"/>
        <v>625.84</v>
      </c>
      <c r="W177" s="1213"/>
      <c r="X177" s="1213"/>
      <c r="Y177" s="1212">
        <f t="shared" si="18"/>
        <v>51.84</v>
      </c>
      <c r="Z177" s="1213"/>
      <c r="AA177" s="1213"/>
      <c r="AB177" s="1214">
        <f t="shared" si="19"/>
        <v>4899.28</v>
      </c>
      <c r="AC177" s="1215"/>
      <c r="AD177" s="1215"/>
      <c r="AE177" s="1215"/>
      <c r="AF177" s="1216"/>
    </row>
    <row r="178" spans="1:32" ht="30" customHeight="1" x14ac:dyDescent="0.3">
      <c r="B178" s="1207" t="s">
        <v>2300</v>
      </c>
      <c r="C178" s="1208"/>
      <c r="D178" s="1208"/>
      <c r="E178" s="1208"/>
      <c r="F178" s="1208"/>
      <c r="G178" s="1208"/>
      <c r="H178" s="1208"/>
      <c r="I178" s="1208"/>
      <c r="J178" s="1208"/>
      <c r="K178" s="1208"/>
      <c r="L178" s="1208"/>
      <c r="M178" s="1208"/>
      <c r="N178" s="1208"/>
      <c r="O178" s="1209"/>
      <c r="P178" s="1210">
        <f t="shared" si="15"/>
        <v>6.9000000000000006E-2</v>
      </c>
      <c r="Q178" s="1211"/>
      <c r="R178" s="1211"/>
      <c r="S178" s="1210">
        <f t="shared" si="17"/>
        <v>3.0000000000000001E-3</v>
      </c>
      <c r="T178" s="1211"/>
      <c r="U178" s="1211"/>
      <c r="V178" s="1212">
        <f t="shared" si="16"/>
        <v>603.78</v>
      </c>
      <c r="W178" s="1213"/>
      <c r="X178" s="1213"/>
      <c r="Y178" s="1212">
        <f t="shared" si="18"/>
        <v>29.78</v>
      </c>
      <c r="Z178" s="1213"/>
      <c r="AA178" s="1213"/>
      <c r="AB178" s="1214">
        <f t="shared" si="19"/>
        <v>4524.26</v>
      </c>
      <c r="AC178" s="1215"/>
      <c r="AD178" s="1215"/>
      <c r="AE178" s="1215"/>
      <c r="AF178" s="1216"/>
    </row>
    <row r="179" spans="1:32" ht="30" customHeight="1" x14ac:dyDescent="0.3">
      <c r="B179" s="1207" t="s">
        <v>2301</v>
      </c>
      <c r="C179" s="1208"/>
      <c r="D179" s="1208"/>
      <c r="E179" s="1208"/>
      <c r="F179" s="1208"/>
      <c r="G179" s="1208"/>
      <c r="H179" s="1208"/>
      <c r="I179" s="1208"/>
      <c r="J179" s="1208"/>
      <c r="K179" s="1208"/>
      <c r="L179" s="1208"/>
      <c r="M179" s="1208"/>
      <c r="N179" s="1208"/>
      <c r="O179" s="1209"/>
      <c r="P179" s="1210">
        <f t="shared" si="15"/>
        <v>7.0000000000000007E-2</v>
      </c>
      <c r="Q179" s="1211"/>
      <c r="R179" s="1211"/>
      <c r="S179" s="1210">
        <f t="shared" si="17"/>
        <v>5.0000000000000001E-3</v>
      </c>
      <c r="T179" s="1211"/>
      <c r="U179" s="1211"/>
      <c r="V179" s="1212">
        <f t="shared" si="16"/>
        <v>615.32000000000005</v>
      </c>
      <c r="W179" s="1213"/>
      <c r="X179" s="1213"/>
      <c r="Y179" s="1212">
        <f t="shared" si="18"/>
        <v>41.32</v>
      </c>
      <c r="Z179" s="1213"/>
      <c r="AA179" s="1213"/>
      <c r="AB179" s="1214">
        <f t="shared" si="19"/>
        <v>4720.4399999999996</v>
      </c>
      <c r="AC179" s="1215"/>
      <c r="AD179" s="1215"/>
      <c r="AE179" s="1215"/>
      <c r="AF179" s="1216"/>
    </row>
    <row r="180" spans="1:32" ht="30" customHeight="1" x14ac:dyDescent="0.3">
      <c r="B180" s="1207" t="s">
        <v>2302</v>
      </c>
      <c r="C180" s="1208"/>
      <c r="D180" s="1208"/>
      <c r="E180" s="1208"/>
      <c r="F180" s="1208"/>
      <c r="G180" s="1208"/>
      <c r="H180" s="1208"/>
      <c r="I180" s="1208"/>
      <c r="J180" s="1208"/>
      <c r="K180" s="1208"/>
      <c r="L180" s="1208"/>
      <c r="M180" s="1208"/>
      <c r="N180" s="1208"/>
      <c r="O180" s="1209"/>
      <c r="P180" s="1210">
        <f t="shared" si="15"/>
        <v>7.0000000000000007E-2</v>
      </c>
      <c r="Q180" s="1211"/>
      <c r="R180" s="1211"/>
      <c r="S180" s="1210">
        <f>ROUND(Y180*$Q$86/$Q$85,3)</f>
        <v>5.0000000000000001E-3</v>
      </c>
      <c r="T180" s="1211"/>
      <c r="U180" s="1211"/>
      <c r="V180" s="1212">
        <f t="shared" si="16"/>
        <v>616.72</v>
      </c>
      <c r="W180" s="1213"/>
      <c r="X180" s="1213"/>
      <c r="Y180" s="1212">
        <f t="shared" si="18"/>
        <v>42.72</v>
      </c>
      <c r="Z180" s="1213"/>
      <c r="AA180" s="1213"/>
      <c r="AB180" s="1214">
        <f t="shared" si="19"/>
        <v>4744.24</v>
      </c>
      <c r="AC180" s="1215"/>
      <c r="AD180" s="1215"/>
      <c r="AE180" s="1215"/>
      <c r="AF180" s="1216"/>
    </row>
    <row r="181" spans="1:32" x14ac:dyDescent="0.3">
      <c r="B181" s="532" t="s">
        <v>3795</v>
      </c>
      <c r="C181" s="350"/>
      <c r="D181" s="350"/>
      <c r="E181" s="350"/>
      <c r="F181" s="350"/>
      <c r="G181" s="350"/>
      <c r="H181" s="350"/>
      <c r="I181" s="350"/>
      <c r="J181" s="350"/>
      <c r="K181" s="350"/>
      <c r="L181" s="350"/>
      <c r="M181" s="350"/>
      <c r="N181" s="350"/>
      <c r="O181" s="350"/>
      <c r="P181" s="529"/>
      <c r="Q181" s="529"/>
      <c r="R181" s="529"/>
      <c r="S181" s="529"/>
      <c r="T181" s="529"/>
      <c r="U181" s="529"/>
      <c r="V181" s="530"/>
      <c r="W181" s="530"/>
      <c r="X181" s="530"/>
      <c r="Y181" s="530"/>
      <c r="Z181" s="530"/>
      <c r="AA181" s="530"/>
      <c r="AB181" s="531"/>
      <c r="AC181" s="531"/>
      <c r="AD181" s="531"/>
      <c r="AE181" s="531"/>
      <c r="AF181" s="531"/>
    </row>
    <row r="182" spans="1:32" x14ac:dyDescent="0.3">
      <c r="B182" s="532" t="s">
        <v>3796</v>
      </c>
      <c r="C182" s="350"/>
      <c r="D182" s="350"/>
      <c r="E182" s="350"/>
      <c r="F182" s="350"/>
      <c r="G182" s="350"/>
      <c r="H182" s="350"/>
      <c r="I182" s="350"/>
      <c r="J182" s="350"/>
      <c r="K182" s="350"/>
      <c r="L182" s="350"/>
      <c r="M182" s="350"/>
      <c r="N182" s="350"/>
      <c r="O182" s="350"/>
      <c r="P182" s="529"/>
      <c r="Q182" s="529"/>
      <c r="R182" s="529"/>
      <c r="S182" s="529"/>
      <c r="T182" s="529"/>
      <c r="U182" s="529"/>
      <c r="V182" s="530"/>
      <c r="W182" s="530"/>
      <c r="X182" s="530"/>
      <c r="Y182" s="530"/>
      <c r="Z182" s="530"/>
      <c r="AA182" s="530"/>
      <c r="AB182" s="531"/>
      <c r="AC182" s="531"/>
      <c r="AD182" s="531"/>
      <c r="AE182" s="531"/>
      <c r="AF182" s="531"/>
    </row>
    <row r="184" spans="1:32" x14ac:dyDescent="0.3">
      <c r="B184" s="51" t="s">
        <v>2314</v>
      </c>
    </row>
    <row r="186" spans="1:32" ht="30" customHeight="1" x14ac:dyDescent="0.3">
      <c r="B186" s="1181" t="s">
        <v>15</v>
      </c>
      <c r="C186" s="1182"/>
      <c r="D186" s="1182"/>
      <c r="E186" s="1182"/>
      <c r="F186" s="1182"/>
      <c r="G186" s="1182"/>
      <c r="H186" s="1182"/>
      <c r="I186" s="1182"/>
      <c r="J186" s="1182"/>
      <c r="K186" s="1182"/>
      <c r="L186" s="1182"/>
      <c r="M186" s="1182"/>
      <c r="N186" s="1182"/>
      <c r="O186" s="1182"/>
      <c r="P186" s="1182"/>
      <c r="Q186" s="1182"/>
      <c r="R186" s="1183" t="s">
        <v>2782</v>
      </c>
      <c r="S186" s="1184"/>
      <c r="T186" s="1184"/>
      <c r="U186" s="1184"/>
      <c r="V186" s="1185"/>
      <c r="W186" s="1183" t="s">
        <v>17</v>
      </c>
      <c r="X186" s="1184"/>
      <c r="Y186" s="1184"/>
      <c r="Z186" s="1184"/>
      <c r="AA186" s="1185"/>
      <c r="AB186" s="1183" t="s">
        <v>1826</v>
      </c>
      <c r="AC186" s="1184"/>
      <c r="AD186" s="1184"/>
      <c r="AE186" s="1184"/>
      <c r="AF186" s="1185"/>
    </row>
    <row r="187" spans="1:32" x14ac:dyDescent="0.3">
      <c r="B187" s="1186" t="s">
        <v>2706</v>
      </c>
      <c r="C187" s="1217"/>
      <c r="D187" s="1217"/>
      <c r="E187" s="1217"/>
      <c r="F187" s="1217"/>
      <c r="G187" s="1217"/>
      <c r="H187" s="1217"/>
      <c r="I187" s="1217"/>
      <c r="J187" s="1217"/>
      <c r="K187" s="1217"/>
      <c r="L187" s="1217"/>
      <c r="M187" s="1217"/>
      <c r="N187" s="1217"/>
      <c r="O187" s="1217"/>
      <c r="P187" s="1217"/>
      <c r="Q187" s="1217"/>
      <c r="R187" s="1218">
        <f>ROUND(W187*$Q$86/$Q$85,3)</f>
        <v>8.6999999999999994E-2</v>
      </c>
      <c r="S187" s="1219"/>
      <c r="T187" s="1219"/>
      <c r="U187" s="1219"/>
      <c r="V187" s="1220"/>
      <c r="W187" s="1221">
        <f>ROUND(Q82*Q84,2)</f>
        <v>758</v>
      </c>
      <c r="X187" s="1222"/>
      <c r="Y187" s="1222"/>
      <c r="Z187" s="1222"/>
      <c r="AA187" s="1223"/>
      <c r="AB187" s="1214">
        <f>ROUND(W187*Q89,2)</f>
        <v>6064</v>
      </c>
      <c r="AC187" s="1215"/>
      <c r="AD187" s="1215"/>
      <c r="AE187" s="1215"/>
      <c r="AF187" s="1216"/>
    </row>
    <row r="188" spans="1:32" x14ac:dyDescent="0.3">
      <c r="B188" s="1186" t="s">
        <v>2328</v>
      </c>
      <c r="C188" s="1217"/>
      <c r="D188" s="1217"/>
      <c r="E188" s="1217"/>
      <c r="F188" s="1217"/>
      <c r="G188" s="1217"/>
      <c r="H188" s="1217"/>
      <c r="I188" s="1217"/>
      <c r="J188" s="1217"/>
      <c r="K188" s="1217"/>
      <c r="L188" s="1217"/>
      <c r="M188" s="1217"/>
      <c r="N188" s="1217"/>
      <c r="O188" s="1217"/>
      <c r="P188" s="1217"/>
      <c r="Q188" s="1217"/>
      <c r="R188" s="1218">
        <f>ROUND(W188*$Q$86/$Q$85,3)</f>
        <v>6.6000000000000003E-2</v>
      </c>
      <c r="S188" s="1219"/>
      <c r="T188" s="1219"/>
      <c r="U188" s="1219"/>
      <c r="V188" s="1220"/>
      <c r="W188" s="1221">
        <f>ROUND(Q83*Q84,2)</f>
        <v>574</v>
      </c>
      <c r="X188" s="1222"/>
      <c r="Y188" s="1222"/>
      <c r="Z188" s="1222"/>
      <c r="AA188" s="1223"/>
      <c r="AB188" s="1214">
        <f>ROUND(W188*Q90,2)</f>
        <v>4018</v>
      </c>
      <c r="AC188" s="1215"/>
      <c r="AD188" s="1215"/>
      <c r="AE188" s="1215"/>
      <c r="AF188" s="1216"/>
    </row>
    <row r="191" spans="1:32" x14ac:dyDescent="0.3">
      <c r="A191" s="1141" t="s">
        <v>2333</v>
      </c>
      <c r="B191" s="1141"/>
      <c r="C191" s="1141"/>
      <c r="D191" s="1141"/>
      <c r="E191" s="1141"/>
      <c r="F191" s="1141"/>
      <c r="G191" s="1141"/>
      <c r="H191" s="1141"/>
      <c r="I191" s="1141"/>
      <c r="J191" s="1141"/>
      <c r="K191" s="1141"/>
      <c r="L191" s="1141"/>
      <c r="M191" s="1141"/>
      <c r="N191" s="1141"/>
      <c r="O191" s="1141"/>
      <c r="P191" s="1141"/>
      <c r="Q191" s="1141"/>
      <c r="R191" s="1141"/>
      <c r="S191" s="1141"/>
      <c r="T191" s="1141"/>
      <c r="U191" s="1141"/>
      <c r="V191" s="1141"/>
      <c r="W191" s="1141"/>
      <c r="X191" s="1141"/>
      <c r="Y191" s="1141"/>
      <c r="Z191" s="1141"/>
      <c r="AA191" s="1141"/>
      <c r="AB191" s="1141"/>
      <c r="AC191" s="1141"/>
      <c r="AD191" s="1141"/>
      <c r="AE191" s="1141"/>
      <c r="AF191" s="1141"/>
    </row>
    <row r="193" spans="2:32" x14ac:dyDescent="0.3">
      <c r="B193" s="51" t="s">
        <v>30</v>
      </c>
      <c r="Q193" s="51" t="s">
        <v>1068</v>
      </c>
    </row>
    <row r="194" spans="2:32" x14ac:dyDescent="0.3">
      <c r="B194" s="1" t="s">
        <v>2329</v>
      </c>
      <c r="J194" s="1224">
        <v>22</v>
      </c>
      <c r="K194" s="1225"/>
      <c r="L194" s="1225"/>
      <c r="M194" s="1226"/>
      <c r="Q194" s="1" t="s">
        <v>2330</v>
      </c>
      <c r="Y194" s="1224">
        <v>12</v>
      </c>
      <c r="Z194" s="1225"/>
      <c r="AA194" s="1225"/>
      <c r="AB194" s="1226"/>
    </row>
    <row r="195" spans="2:32" x14ac:dyDescent="0.3">
      <c r="J195" s="9"/>
      <c r="K195" s="9"/>
      <c r="L195" s="9"/>
      <c r="M195" s="9"/>
    </row>
    <row r="196" spans="2:32" x14ac:dyDescent="0.3">
      <c r="B196" s="1" t="s">
        <v>2330</v>
      </c>
      <c r="J196" s="1224">
        <v>8</v>
      </c>
      <c r="K196" s="1225"/>
      <c r="L196" s="1225"/>
      <c r="M196" s="1226"/>
    </row>
    <row r="198" spans="2:32" ht="15.6" x14ac:dyDescent="0.3">
      <c r="C198" s="55" t="s">
        <v>2331</v>
      </c>
      <c r="D198" s="1227">
        <f>ROUND((J194+J196*1.76),1)</f>
        <v>36.1</v>
      </c>
      <c r="E198" s="1228"/>
      <c r="F198" s="1228"/>
      <c r="G198" s="1229"/>
      <c r="H198" s="1" t="s">
        <v>2334</v>
      </c>
      <c r="R198" s="55" t="s">
        <v>2332</v>
      </c>
      <c r="S198" s="1227">
        <f>ROUND(Y194*1.73,1)</f>
        <v>20.8</v>
      </c>
      <c r="T198" s="1228"/>
      <c r="U198" s="1228"/>
      <c r="V198" s="1229"/>
      <c r="W198" s="1" t="s">
        <v>2335</v>
      </c>
    </row>
    <row r="200" spans="2:32" x14ac:dyDescent="0.3">
      <c r="B200" s="51" t="s">
        <v>2321</v>
      </c>
    </row>
    <row r="202" spans="2:32" ht="30" customHeight="1" x14ac:dyDescent="0.3">
      <c r="B202" s="1181" t="s">
        <v>2308</v>
      </c>
      <c r="C202" s="1182"/>
      <c r="D202" s="1182"/>
      <c r="E202" s="1182"/>
      <c r="F202" s="1182"/>
      <c r="G202" s="1182"/>
      <c r="H202" s="1182"/>
      <c r="I202" s="1182"/>
      <c r="J202" s="1182"/>
      <c r="K202" s="1182"/>
      <c r="L202" s="1182"/>
      <c r="M202" s="1182"/>
      <c r="N202" s="1182"/>
      <c r="O202" s="1182"/>
      <c r="P202" s="1182"/>
      <c r="Q202" s="1182"/>
      <c r="R202" s="1183" t="s">
        <v>2782</v>
      </c>
      <c r="S202" s="1184"/>
      <c r="T202" s="1184"/>
      <c r="U202" s="1184"/>
      <c r="V202" s="1185"/>
      <c r="W202" s="1183" t="s">
        <v>17</v>
      </c>
      <c r="X202" s="1184"/>
      <c r="Y202" s="1184"/>
      <c r="Z202" s="1184"/>
      <c r="AA202" s="1185"/>
      <c r="AB202" s="1183" t="s">
        <v>1826</v>
      </c>
      <c r="AC202" s="1184"/>
      <c r="AD202" s="1184"/>
      <c r="AE202" s="1184"/>
      <c r="AF202" s="1185"/>
    </row>
    <row r="203" spans="2:32" ht="30" customHeight="1" x14ac:dyDescent="0.3">
      <c r="B203" s="1186" t="s">
        <v>2286</v>
      </c>
      <c r="C203" s="1186"/>
      <c r="D203" s="1186"/>
      <c r="E203" s="1186"/>
      <c r="F203" s="1186"/>
      <c r="G203" s="1186"/>
      <c r="H203" s="1186"/>
      <c r="I203" s="1186"/>
      <c r="J203" s="1186"/>
      <c r="K203" s="1186"/>
      <c r="L203" s="1186"/>
      <c r="M203" s="1186"/>
      <c r="N203" s="1186"/>
      <c r="O203" s="1186"/>
      <c r="P203" s="1186"/>
      <c r="Q203" s="1186"/>
      <c r="R203" s="1230">
        <f>ROUND(W203*$Q$86/$Q$85,3)</f>
        <v>5.0000000000000001E-3</v>
      </c>
      <c r="S203" s="1231"/>
      <c r="T203" s="1231"/>
      <c r="U203" s="1231"/>
      <c r="V203" s="1232"/>
      <c r="W203" s="1233">
        <f>ROUND(((Q101*$D$198+U101)-(Y101*$D$198+AC101))*$Q$84,2)</f>
        <v>43.95</v>
      </c>
      <c r="X203" s="1234"/>
      <c r="Y203" s="1234"/>
      <c r="Z203" s="1234"/>
      <c r="AA203" s="1235"/>
      <c r="AB203" s="1236">
        <f>ROUND(W203*$Q$87,3)</f>
        <v>615.29999999999995</v>
      </c>
      <c r="AC203" s="1237"/>
      <c r="AD203" s="1237"/>
      <c r="AE203" s="1237"/>
      <c r="AF203" s="1238"/>
    </row>
    <row r="204" spans="2:32" ht="30" customHeight="1" x14ac:dyDescent="0.3">
      <c r="B204" s="1186" t="s">
        <v>2287</v>
      </c>
      <c r="C204" s="1186"/>
      <c r="D204" s="1186"/>
      <c r="E204" s="1186"/>
      <c r="F204" s="1186"/>
      <c r="G204" s="1186"/>
      <c r="H204" s="1186"/>
      <c r="I204" s="1186"/>
      <c r="J204" s="1186"/>
      <c r="K204" s="1186"/>
      <c r="L204" s="1186"/>
      <c r="M204" s="1186"/>
      <c r="N204" s="1186"/>
      <c r="O204" s="1186"/>
      <c r="P204" s="1186"/>
      <c r="Q204" s="1186"/>
      <c r="R204" s="1230">
        <f t="shared" ref="R204:R210" si="20">ROUND(W204*$Q$86/$Q$85,3)</f>
        <v>6.0000000000000001E-3</v>
      </c>
      <c r="S204" s="1231"/>
      <c r="T204" s="1231"/>
      <c r="U204" s="1231"/>
      <c r="V204" s="1232"/>
      <c r="W204" s="1233">
        <f t="shared" ref="W204:W210" si="21">ROUND(((Q102*$D$198+U102)-(Y102*$D$198+AC102))*$Q$84,2)</f>
        <v>52.64</v>
      </c>
      <c r="X204" s="1234"/>
      <c r="Y204" s="1234"/>
      <c r="Z204" s="1234"/>
      <c r="AA204" s="1235"/>
      <c r="AB204" s="1236">
        <f t="shared" ref="AB204:AB210" si="22">ROUND(W204*$Q$87,3)</f>
        <v>736.96</v>
      </c>
      <c r="AC204" s="1237"/>
      <c r="AD204" s="1237"/>
      <c r="AE204" s="1237"/>
      <c r="AF204" s="1238"/>
    </row>
    <row r="205" spans="2:32" ht="30" customHeight="1" x14ac:dyDescent="0.3">
      <c r="B205" s="1186" t="s">
        <v>2288</v>
      </c>
      <c r="C205" s="1186"/>
      <c r="D205" s="1186"/>
      <c r="E205" s="1186"/>
      <c r="F205" s="1186"/>
      <c r="G205" s="1186"/>
      <c r="H205" s="1186"/>
      <c r="I205" s="1186"/>
      <c r="J205" s="1186"/>
      <c r="K205" s="1186"/>
      <c r="L205" s="1186"/>
      <c r="M205" s="1186"/>
      <c r="N205" s="1186"/>
      <c r="O205" s="1186"/>
      <c r="P205" s="1186"/>
      <c r="Q205" s="1186"/>
      <c r="R205" s="1230">
        <f t="shared" si="20"/>
        <v>7.0000000000000001E-3</v>
      </c>
      <c r="S205" s="1231"/>
      <c r="T205" s="1231"/>
      <c r="U205" s="1231"/>
      <c r="V205" s="1232"/>
      <c r="W205" s="1233">
        <f t="shared" si="21"/>
        <v>60.48</v>
      </c>
      <c r="X205" s="1234"/>
      <c r="Y205" s="1234"/>
      <c r="Z205" s="1234"/>
      <c r="AA205" s="1235"/>
      <c r="AB205" s="1236">
        <f t="shared" si="22"/>
        <v>846.72</v>
      </c>
      <c r="AC205" s="1237"/>
      <c r="AD205" s="1237"/>
      <c r="AE205" s="1237"/>
      <c r="AF205" s="1238"/>
    </row>
    <row r="206" spans="2:32" ht="30" customHeight="1" x14ac:dyDescent="0.3">
      <c r="B206" s="1186" t="s">
        <v>2289</v>
      </c>
      <c r="C206" s="1186"/>
      <c r="D206" s="1186"/>
      <c r="E206" s="1186"/>
      <c r="F206" s="1186"/>
      <c r="G206" s="1186"/>
      <c r="H206" s="1186"/>
      <c r="I206" s="1186"/>
      <c r="J206" s="1186"/>
      <c r="K206" s="1186"/>
      <c r="L206" s="1186"/>
      <c r="M206" s="1186"/>
      <c r="N206" s="1186"/>
      <c r="O206" s="1186"/>
      <c r="P206" s="1186"/>
      <c r="Q206" s="1186"/>
      <c r="R206" s="1230">
        <f t="shared" si="20"/>
        <v>7.0000000000000001E-3</v>
      </c>
      <c r="S206" s="1231"/>
      <c r="T206" s="1231"/>
      <c r="U206" s="1231"/>
      <c r="V206" s="1232"/>
      <c r="W206" s="1233">
        <f t="shared" si="21"/>
        <v>63.47</v>
      </c>
      <c r="X206" s="1234"/>
      <c r="Y206" s="1234"/>
      <c r="Z206" s="1234"/>
      <c r="AA206" s="1235"/>
      <c r="AB206" s="1236">
        <f t="shared" si="22"/>
        <v>888.58</v>
      </c>
      <c r="AC206" s="1237"/>
      <c r="AD206" s="1237"/>
      <c r="AE206" s="1237"/>
      <c r="AF206" s="1238"/>
    </row>
    <row r="207" spans="2:32" ht="30" customHeight="1" x14ac:dyDescent="0.3">
      <c r="B207" s="1186" t="s">
        <v>2290</v>
      </c>
      <c r="C207" s="1186"/>
      <c r="D207" s="1186"/>
      <c r="E207" s="1186"/>
      <c r="F207" s="1186"/>
      <c r="G207" s="1186"/>
      <c r="H207" s="1186"/>
      <c r="I207" s="1186"/>
      <c r="J207" s="1186"/>
      <c r="K207" s="1186"/>
      <c r="L207" s="1186"/>
      <c r="M207" s="1186"/>
      <c r="N207" s="1186"/>
      <c r="O207" s="1186"/>
      <c r="P207" s="1186"/>
      <c r="Q207" s="1186"/>
      <c r="R207" s="1230">
        <f t="shared" si="20"/>
        <v>8.0000000000000002E-3</v>
      </c>
      <c r="S207" s="1231"/>
      <c r="T207" s="1231"/>
      <c r="U207" s="1231"/>
      <c r="V207" s="1232"/>
      <c r="W207" s="1233">
        <f t="shared" si="21"/>
        <v>72.31</v>
      </c>
      <c r="X207" s="1234"/>
      <c r="Y207" s="1234"/>
      <c r="Z207" s="1234"/>
      <c r="AA207" s="1235"/>
      <c r="AB207" s="1236">
        <f t="shared" si="22"/>
        <v>1012.34</v>
      </c>
      <c r="AC207" s="1237"/>
      <c r="AD207" s="1237"/>
      <c r="AE207" s="1237"/>
      <c r="AF207" s="1238"/>
    </row>
    <row r="208" spans="2:32" ht="30" customHeight="1" x14ac:dyDescent="0.3">
      <c r="B208" s="1186" t="s">
        <v>2291</v>
      </c>
      <c r="C208" s="1186"/>
      <c r="D208" s="1186"/>
      <c r="E208" s="1186"/>
      <c r="F208" s="1186"/>
      <c r="G208" s="1186"/>
      <c r="H208" s="1186"/>
      <c r="I208" s="1186"/>
      <c r="J208" s="1186"/>
      <c r="K208" s="1186"/>
      <c r="L208" s="1186"/>
      <c r="M208" s="1186"/>
      <c r="N208" s="1186"/>
      <c r="O208" s="1186"/>
      <c r="P208" s="1186"/>
      <c r="Q208" s="1186"/>
      <c r="R208" s="1230">
        <f t="shared" si="20"/>
        <v>7.0000000000000001E-3</v>
      </c>
      <c r="S208" s="1231"/>
      <c r="T208" s="1231"/>
      <c r="U208" s="1231"/>
      <c r="V208" s="1232"/>
      <c r="W208" s="1233">
        <f t="shared" si="21"/>
        <v>60.42</v>
      </c>
      <c r="X208" s="1234"/>
      <c r="Y208" s="1234"/>
      <c r="Z208" s="1234"/>
      <c r="AA208" s="1235"/>
      <c r="AB208" s="1236">
        <f t="shared" si="22"/>
        <v>845.88</v>
      </c>
      <c r="AC208" s="1237"/>
      <c r="AD208" s="1237"/>
      <c r="AE208" s="1237"/>
      <c r="AF208" s="1238"/>
    </row>
    <row r="209" spans="2:32" ht="30" customHeight="1" x14ac:dyDescent="0.3">
      <c r="B209" s="1186" t="s">
        <v>2338</v>
      </c>
      <c r="C209" s="1186"/>
      <c r="D209" s="1186"/>
      <c r="E209" s="1186"/>
      <c r="F209" s="1186"/>
      <c r="G209" s="1186"/>
      <c r="H209" s="1186"/>
      <c r="I209" s="1186"/>
      <c r="J209" s="1186"/>
      <c r="K209" s="1186"/>
      <c r="L209" s="1186"/>
      <c r="M209" s="1186"/>
      <c r="N209" s="1186"/>
      <c r="O209" s="1186"/>
      <c r="P209" s="1186"/>
      <c r="Q209" s="1186"/>
      <c r="R209" s="1230">
        <f t="shared" si="20"/>
        <v>7.0000000000000001E-3</v>
      </c>
      <c r="S209" s="1231"/>
      <c r="T209" s="1231"/>
      <c r="U209" s="1231"/>
      <c r="V209" s="1232"/>
      <c r="W209" s="1233">
        <f t="shared" si="21"/>
        <v>65.59</v>
      </c>
      <c r="X209" s="1234"/>
      <c r="Y209" s="1234"/>
      <c r="Z209" s="1234"/>
      <c r="AA209" s="1235"/>
      <c r="AB209" s="1236">
        <f t="shared" si="22"/>
        <v>918.26</v>
      </c>
      <c r="AC209" s="1237"/>
      <c r="AD209" s="1237"/>
      <c r="AE209" s="1237"/>
      <c r="AF209" s="1238"/>
    </row>
    <row r="210" spans="2:32" ht="30" customHeight="1" x14ac:dyDescent="0.3">
      <c r="B210" s="1186" t="s">
        <v>2292</v>
      </c>
      <c r="C210" s="1186"/>
      <c r="D210" s="1186"/>
      <c r="E210" s="1186"/>
      <c r="F210" s="1186"/>
      <c r="G210" s="1186"/>
      <c r="H210" s="1186"/>
      <c r="I210" s="1186"/>
      <c r="J210" s="1186"/>
      <c r="K210" s="1186"/>
      <c r="L210" s="1186"/>
      <c r="M210" s="1186"/>
      <c r="N210" s="1186"/>
      <c r="O210" s="1186"/>
      <c r="P210" s="1186"/>
      <c r="Q210" s="1186"/>
      <c r="R210" s="1230">
        <f t="shared" si="20"/>
        <v>7.0000000000000001E-3</v>
      </c>
      <c r="S210" s="1231"/>
      <c r="T210" s="1231"/>
      <c r="U210" s="1231"/>
      <c r="V210" s="1232"/>
      <c r="W210" s="1233">
        <f t="shared" si="21"/>
        <v>59.84</v>
      </c>
      <c r="X210" s="1234"/>
      <c r="Y210" s="1234"/>
      <c r="Z210" s="1234"/>
      <c r="AA210" s="1235"/>
      <c r="AB210" s="1236">
        <f t="shared" si="22"/>
        <v>837.76</v>
      </c>
      <c r="AC210" s="1237"/>
      <c r="AD210" s="1237"/>
      <c r="AE210" s="1237"/>
      <c r="AF210" s="1238"/>
    </row>
    <row r="212" spans="2:32" x14ac:dyDescent="0.3">
      <c r="B212" s="51" t="s">
        <v>2322</v>
      </c>
    </row>
    <row r="214" spans="2:32" ht="30" customHeight="1" x14ac:dyDescent="0.3">
      <c r="B214" s="1181" t="s">
        <v>2309</v>
      </c>
      <c r="C214" s="1182"/>
      <c r="D214" s="1182"/>
      <c r="E214" s="1182"/>
      <c r="F214" s="1182"/>
      <c r="G214" s="1182"/>
      <c r="H214" s="1182"/>
      <c r="I214" s="1182"/>
      <c r="J214" s="1182"/>
      <c r="K214" s="1182"/>
      <c r="L214" s="1182"/>
      <c r="M214" s="1182"/>
      <c r="N214" s="1182"/>
      <c r="O214" s="1182"/>
      <c r="P214" s="1182"/>
      <c r="Q214" s="1182"/>
      <c r="R214" s="1183" t="s">
        <v>2782</v>
      </c>
      <c r="S214" s="1184"/>
      <c r="T214" s="1184"/>
      <c r="U214" s="1184"/>
      <c r="V214" s="1185"/>
      <c r="W214" s="1183" t="s">
        <v>17</v>
      </c>
      <c r="X214" s="1184"/>
      <c r="Y214" s="1184"/>
      <c r="Z214" s="1184"/>
      <c r="AA214" s="1185"/>
      <c r="AB214" s="1183" t="s">
        <v>1826</v>
      </c>
      <c r="AC214" s="1184"/>
      <c r="AD214" s="1184"/>
      <c r="AE214" s="1184"/>
      <c r="AF214" s="1185"/>
    </row>
    <row r="215" spans="2:32" ht="30" customHeight="1" x14ac:dyDescent="0.3">
      <c r="B215" s="1186" t="s">
        <v>2295</v>
      </c>
      <c r="C215" s="1186"/>
      <c r="D215" s="1186"/>
      <c r="E215" s="1186"/>
      <c r="F215" s="1186"/>
      <c r="G215" s="1186"/>
      <c r="H215" s="1186"/>
      <c r="I215" s="1186"/>
      <c r="J215" s="1186"/>
      <c r="K215" s="1186"/>
      <c r="L215" s="1186"/>
      <c r="M215" s="1186"/>
      <c r="N215" s="1186"/>
      <c r="O215" s="1186"/>
      <c r="P215" s="1186"/>
      <c r="Q215" s="1186"/>
      <c r="R215" s="1230">
        <f>ROUND(W215*$Q$86/$Q$85,3)</f>
        <v>4.0000000000000001E-3</v>
      </c>
      <c r="S215" s="1231"/>
      <c r="T215" s="1231"/>
      <c r="U215" s="1231"/>
      <c r="V215" s="1232"/>
      <c r="W215" s="1233">
        <f t="shared" ref="W215:W222" si="23">ROUND(((Q116*$S$198+U116)-(Y116*$S$198+AC116))*$Q$84,2)</f>
        <v>31.05</v>
      </c>
      <c r="X215" s="1234"/>
      <c r="Y215" s="1234"/>
      <c r="Z215" s="1234"/>
      <c r="AA215" s="1235"/>
      <c r="AB215" s="1236">
        <f>ROUND(W215*$Q$88,3)</f>
        <v>527.85</v>
      </c>
      <c r="AC215" s="1237"/>
      <c r="AD215" s="1237"/>
      <c r="AE215" s="1237"/>
      <c r="AF215" s="1238"/>
    </row>
    <row r="216" spans="2:32" ht="30" customHeight="1" x14ac:dyDescent="0.3">
      <c r="B216" s="1186" t="s">
        <v>2296</v>
      </c>
      <c r="C216" s="1186"/>
      <c r="D216" s="1186"/>
      <c r="E216" s="1186"/>
      <c r="F216" s="1186"/>
      <c r="G216" s="1186"/>
      <c r="H216" s="1186"/>
      <c r="I216" s="1186"/>
      <c r="J216" s="1186"/>
      <c r="K216" s="1186"/>
      <c r="L216" s="1186"/>
      <c r="M216" s="1186"/>
      <c r="N216" s="1186"/>
      <c r="O216" s="1186"/>
      <c r="P216" s="1186"/>
      <c r="Q216" s="1186"/>
      <c r="R216" s="1230">
        <f t="shared" ref="R216:R222" si="24">ROUND(W216*$Q$86/$Q$85,3)</f>
        <v>5.0000000000000001E-3</v>
      </c>
      <c r="S216" s="1231"/>
      <c r="T216" s="1231"/>
      <c r="U216" s="1231"/>
      <c r="V216" s="1232"/>
      <c r="W216" s="1233">
        <f t="shared" si="23"/>
        <v>40.69</v>
      </c>
      <c r="X216" s="1234"/>
      <c r="Y216" s="1234"/>
      <c r="Z216" s="1234"/>
      <c r="AA216" s="1235"/>
      <c r="AB216" s="1236">
        <f t="shared" ref="AB216:AB221" si="25">ROUND(W216*$Q$88,3)</f>
        <v>691.73</v>
      </c>
      <c r="AC216" s="1237"/>
      <c r="AD216" s="1237"/>
      <c r="AE216" s="1237"/>
      <c r="AF216" s="1238"/>
    </row>
    <row r="217" spans="2:32" ht="30" customHeight="1" x14ac:dyDescent="0.3">
      <c r="B217" s="1186" t="s">
        <v>2297</v>
      </c>
      <c r="C217" s="1186"/>
      <c r="D217" s="1186"/>
      <c r="E217" s="1186"/>
      <c r="F217" s="1186"/>
      <c r="G217" s="1186"/>
      <c r="H217" s="1186"/>
      <c r="I217" s="1186"/>
      <c r="J217" s="1186"/>
      <c r="K217" s="1186"/>
      <c r="L217" s="1186"/>
      <c r="M217" s="1186"/>
      <c r="N217" s="1186"/>
      <c r="O217" s="1186"/>
      <c r="P217" s="1186"/>
      <c r="Q217" s="1186"/>
      <c r="R217" s="1230">
        <f t="shared" si="24"/>
        <v>5.0000000000000001E-3</v>
      </c>
      <c r="S217" s="1231"/>
      <c r="T217" s="1231"/>
      <c r="U217" s="1231"/>
      <c r="V217" s="1232"/>
      <c r="W217" s="1233">
        <f t="shared" si="23"/>
        <v>40.69</v>
      </c>
      <c r="X217" s="1234"/>
      <c r="Y217" s="1234"/>
      <c r="Z217" s="1234"/>
      <c r="AA217" s="1235"/>
      <c r="AB217" s="1236">
        <f t="shared" si="25"/>
        <v>691.73</v>
      </c>
      <c r="AC217" s="1237"/>
      <c r="AD217" s="1237"/>
      <c r="AE217" s="1237"/>
      <c r="AF217" s="1238"/>
    </row>
    <row r="218" spans="2:32" ht="30" customHeight="1" x14ac:dyDescent="0.3">
      <c r="B218" s="1186" t="s">
        <v>2298</v>
      </c>
      <c r="C218" s="1186"/>
      <c r="D218" s="1186"/>
      <c r="E218" s="1186"/>
      <c r="F218" s="1186"/>
      <c r="G218" s="1186"/>
      <c r="H218" s="1186"/>
      <c r="I218" s="1186"/>
      <c r="J218" s="1186"/>
      <c r="K218" s="1186"/>
      <c r="L218" s="1186"/>
      <c r="M218" s="1186"/>
      <c r="N218" s="1186"/>
      <c r="O218" s="1186"/>
      <c r="P218" s="1186"/>
      <c r="Q218" s="1186"/>
      <c r="R218" s="1230">
        <f t="shared" si="24"/>
        <v>5.0000000000000001E-3</v>
      </c>
      <c r="S218" s="1231"/>
      <c r="T218" s="1231"/>
      <c r="U218" s="1231"/>
      <c r="V218" s="1232"/>
      <c r="W218" s="1233">
        <f>ROUND(((Q119*$S$198+U119)-(Y119*$S$198+AC119))*$Q$84,2)</f>
        <v>46.69</v>
      </c>
      <c r="X218" s="1234"/>
      <c r="Y218" s="1234"/>
      <c r="Z218" s="1234"/>
      <c r="AA218" s="1235"/>
      <c r="AB218" s="1236">
        <f t="shared" si="25"/>
        <v>793.73</v>
      </c>
      <c r="AC218" s="1237"/>
      <c r="AD218" s="1237"/>
      <c r="AE218" s="1237"/>
      <c r="AF218" s="1238"/>
    </row>
    <row r="219" spans="2:32" ht="30" customHeight="1" x14ac:dyDescent="0.3">
      <c r="B219" s="1186" t="s">
        <v>2299</v>
      </c>
      <c r="C219" s="1186"/>
      <c r="D219" s="1186"/>
      <c r="E219" s="1186"/>
      <c r="F219" s="1186"/>
      <c r="G219" s="1186"/>
      <c r="H219" s="1186"/>
      <c r="I219" s="1186"/>
      <c r="J219" s="1186"/>
      <c r="K219" s="1186"/>
      <c r="L219" s="1186"/>
      <c r="M219" s="1186"/>
      <c r="N219" s="1186"/>
      <c r="O219" s="1186"/>
      <c r="P219" s="1186"/>
      <c r="Q219" s="1186"/>
      <c r="R219" s="1230">
        <f t="shared" si="24"/>
        <v>5.0000000000000001E-3</v>
      </c>
      <c r="S219" s="1231"/>
      <c r="T219" s="1231"/>
      <c r="U219" s="1231"/>
      <c r="V219" s="1232"/>
      <c r="W219" s="1233">
        <f t="shared" si="23"/>
        <v>46.69</v>
      </c>
      <c r="X219" s="1234"/>
      <c r="Y219" s="1234"/>
      <c r="Z219" s="1234"/>
      <c r="AA219" s="1235"/>
      <c r="AB219" s="1236">
        <f t="shared" si="25"/>
        <v>793.73</v>
      </c>
      <c r="AC219" s="1237"/>
      <c r="AD219" s="1237"/>
      <c r="AE219" s="1237"/>
      <c r="AF219" s="1238"/>
    </row>
    <row r="220" spans="2:32" ht="30" customHeight="1" x14ac:dyDescent="0.3">
      <c r="B220" s="1186" t="s">
        <v>2300</v>
      </c>
      <c r="C220" s="1186"/>
      <c r="D220" s="1186"/>
      <c r="E220" s="1186"/>
      <c r="F220" s="1186"/>
      <c r="G220" s="1186"/>
      <c r="H220" s="1186"/>
      <c r="I220" s="1186"/>
      <c r="J220" s="1186"/>
      <c r="K220" s="1186"/>
      <c r="L220" s="1186"/>
      <c r="M220" s="1186"/>
      <c r="N220" s="1186"/>
      <c r="O220" s="1186"/>
      <c r="P220" s="1186"/>
      <c r="Q220" s="1186"/>
      <c r="R220" s="1230">
        <f t="shared" si="24"/>
        <v>3.0000000000000001E-3</v>
      </c>
      <c r="S220" s="1231"/>
      <c r="T220" s="1231"/>
      <c r="U220" s="1231"/>
      <c r="V220" s="1232"/>
      <c r="W220" s="1233">
        <f t="shared" si="23"/>
        <v>25.98</v>
      </c>
      <c r="X220" s="1234"/>
      <c r="Y220" s="1234"/>
      <c r="Z220" s="1234"/>
      <c r="AA220" s="1235"/>
      <c r="AB220" s="1236">
        <f t="shared" si="25"/>
        <v>441.66</v>
      </c>
      <c r="AC220" s="1237"/>
      <c r="AD220" s="1237"/>
      <c r="AE220" s="1237"/>
      <c r="AF220" s="1238"/>
    </row>
    <row r="221" spans="2:32" ht="30" customHeight="1" x14ac:dyDescent="0.3">
      <c r="B221" s="1186" t="s">
        <v>2301</v>
      </c>
      <c r="C221" s="1186"/>
      <c r="D221" s="1186"/>
      <c r="E221" s="1186"/>
      <c r="F221" s="1186"/>
      <c r="G221" s="1186"/>
      <c r="H221" s="1186"/>
      <c r="I221" s="1186"/>
      <c r="J221" s="1186"/>
      <c r="K221" s="1186"/>
      <c r="L221" s="1186"/>
      <c r="M221" s="1186"/>
      <c r="N221" s="1186"/>
      <c r="O221" s="1186"/>
      <c r="P221" s="1186"/>
      <c r="Q221" s="1186"/>
      <c r="R221" s="1230">
        <f t="shared" si="24"/>
        <v>4.0000000000000001E-3</v>
      </c>
      <c r="S221" s="1231"/>
      <c r="T221" s="1231"/>
      <c r="U221" s="1231"/>
      <c r="V221" s="1232"/>
      <c r="W221" s="1233">
        <f t="shared" si="23"/>
        <v>36.020000000000003</v>
      </c>
      <c r="X221" s="1234"/>
      <c r="Y221" s="1234"/>
      <c r="Z221" s="1234"/>
      <c r="AA221" s="1235"/>
      <c r="AB221" s="1236">
        <f t="shared" si="25"/>
        <v>612.34</v>
      </c>
      <c r="AC221" s="1237"/>
      <c r="AD221" s="1237"/>
      <c r="AE221" s="1237"/>
      <c r="AF221" s="1238"/>
    </row>
    <row r="222" spans="2:32" ht="30" customHeight="1" x14ac:dyDescent="0.3">
      <c r="B222" s="1186" t="s">
        <v>2302</v>
      </c>
      <c r="C222" s="1186"/>
      <c r="D222" s="1186"/>
      <c r="E222" s="1186"/>
      <c r="F222" s="1186"/>
      <c r="G222" s="1186"/>
      <c r="H222" s="1186"/>
      <c r="I222" s="1186"/>
      <c r="J222" s="1186"/>
      <c r="K222" s="1186"/>
      <c r="L222" s="1186"/>
      <c r="M222" s="1186"/>
      <c r="N222" s="1186"/>
      <c r="O222" s="1186"/>
      <c r="P222" s="1186"/>
      <c r="Q222" s="1186"/>
      <c r="R222" s="1230">
        <f t="shared" si="24"/>
        <v>4.0000000000000001E-3</v>
      </c>
      <c r="S222" s="1231"/>
      <c r="T222" s="1231"/>
      <c r="U222" s="1231"/>
      <c r="V222" s="1232"/>
      <c r="W222" s="1233">
        <f t="shared" si="23"/>
        <v>38.26</v>
      </c>
      <c r="X222" s="1234"/>
      <c r="Y222" s="1234"/>
      <c r="Z222" s="1234"/>
      <c r="AA222" s="1235"/>
      <c r="AB222" s="1236">
        <f>ROUND(W222*$Q$88,3)</f>
        <v>650.41999999999996</v>
      </c>
      <c r="AC222" s="1237"/>
      <c r="AD222" s="1237"/>
      <c r="AE222" s="1237"/>
      <c r="AF222" s="1238"/>
    </row>
    <row r="224" spans="2:32" x14ac:dyDescent="0.3">
      <c r="B224" s="51" t="s">
        <v>2323</v>
      </c>
    </row>
    <row r="225" spans="2:32" ht="30" customHeight="1" x14ac:dyDescent="0.3">
      <c r="B225" s="1196" t="s">
        <v>3783</v>
      </c>
      <c r="C225" s="1196"/>
      <c r="D225" s="1196"/>
      <c r="E225" s="1196"/>
      <c r="F225" s="1196"/>
      <c r="G225" s="1196"/>
      <c r="H225" s="1196"/>
      <c r="I225" s="1196"/>
      <c r="J225" s="1196"/>
      <c r="K225" s="1196"/>
      <c r="L225" s="1196"/>
      <c r="M225" s="1196"/>
      <c r="N225" s="1196"/>
      <c r="O225" s="1196"/>
      <c r="P225" s="1196"/>
      <c r="Q225" s="1196"/>
      <c r="R225" s="1196"/>
      <c r="S225" s="1196"/>
      <c r="T225" s="1196"/>
      <c r="U225" s="1196"/>
      <c r="V225" s="1196"/>
      <c r="W225" s="1196"/>
      <c r="X225" s="1196"/>
      <c r="Y225" s="1196"/>
      <c r="Z225" s="1196"/>
      <c r="AA225" s="1196"/>
      <c r="AB225" s="1196"/>
      <c r="AC225" s="1196"/>
      <c r="AD225" s="1196"/>
      <c r="AE225" s="1196"/>
      <c r="AF225" s="1196"/>
    </row>
    <row r="226" spans="2:32" ht="30" customHeight="1" x14ac:dyDescent="0.3">
      <c r="B226" s="1197" t="s">
        <v>2315</v>
      </c>
      <c r="C226" s="1198"/>
      <c r="D226" s="1198"/>
      <c r="E226" s="1198"/>
      <c r="F226" s="1198"/>
      <c r="G226" s="1198"/>
      <c r="H226" s="1198"/>
      <c r="I226" s="1198"/>
      <c r="J226" s="1198"/>
      <c r="K226" s="1198"/>
      <c r="L226" s="1198"/>
      <c r="M226" s="1198"/>
      <c r="N226" s="1198"/>
      <c r="O226" s="1199"/>
      <c r="P226" s="1203" t="s">
        <v>3784</v>
      </c>
      <c r="Q226" s="1204"/>
      <c r="R226" s="1204"/>
      <c r="S226" s="1204"/>
      <c r="T226" s="1204"/>
      <c r="U226" s="1205"/>
      <c r="V226" s="1203" t="s">
        <v>2027</v>
      </c>
      <c r="W226" s="1204"/>
      <c r="X226" s="1204"/>
      <c r="Y226" s="1204"/>
      <c r="Z226" s="1204"/>
      <c r="AA226" s="1205"/>
      <c r="AB226" s="1197" t="s">
        <v>1826</v>
      </c>
      <c r="AC226" s="1198"/>
      <c r="AD226" s="1198"/>
      <c r="AE226" s="1198"/>
      <c r="AF226" s="1199"/>
    </row>
    <row r="227" spans="2:32" ht="45.75" customHeight="1" x14ac:dyDescent="0.3">
      <c r="B227" s="1200"/>
      <c r="C227" s="1201"/>
      <c r="D227" s="1201"/>
      <c r="E227" s="1201"/>
      <c r="F227" s="1201"/>
      <c r="G227" s="1201"/>
      <c r="H227" s="1201"/>
      <c r="I227" s="1201"/>
      <c r="J227" s="1201"/>
      <c r="K227" s="1201"/>
      <c r="L227" s="1201"/>
      <c r="M227" s="1201"/>
      <c r="N227" s="1201"/>
      <c r="O227" s="1202"/>
      <c r="P227" s="1206" t="s">
        <v>3791</v>
      </c>
      <c r="Q227" s="1206"/>
      <c r="R227" s="1206"/>
      <c r="S227" s="1203" t="s">
        <v>3792</v>
      </c>
      <c r="T227" s="1204"/>
      <c r="U227" s="1205"/>
      <c r="V227" s="1206" t="s">
        <v>3791</v>
      </c>
      <c r="W227" s="1206"/>
      <c r="X227" s="1206"/>
      <c r="Y227" s="1203" t="s">
        <v>3792</v>
      </c>
      <c r="Z227" s="1204"/>
      <c r="AA227" s="1205"/>
      <c r="AB227" s="1200"/>
      <c r="AC227" s="1201"/>
      <c r="AD227" s="1201"/>
      <c r="AE227" s="1201"/>
      <c r="AF227" s="1202"/>
    </row>
    <row r="228" spans="2:32" ht="30" customHeight="1" x14ac:dyDescent="0.3">
      <c r="B228" s="1207" t="s">
        <v>2286</v>
      </c>
      <c r="C228" s="1208"/>
      <c r="D228" s="1208"/>
      <c r="E228" s="1208"/>
      <c r="F228" s="1208"/>
      <c r="G228" s="1208"/>
      <c r="H228" s="1208"/>
      <c r="I228" s="1208"/>
      <c r="J228" s="1208"/>
      <c r="K228" s="1208"/>
      <c r="L228" s="1208"/>
      <c r="M228" s="1208"/>
      <c r="N228" s="1208"/>
      <c r="O228" s="1209"/>
      <c r="P228" s="1239">
        <f t="shared" ref="P228:P235" si="26">ROUND(V228*$Q$86/$Q$85,3)</f>
        <v>9.1999999999999998E-2</v>
      </c>
      <c r="Q228" s="1240"/>
      <c r="R228" s="1240"/>
      <c r="S228" s="1239">
        <f t="shared" ref="S228:S235" si="27">ROUND(Y228*$Q$86/$Q$85,3)</f>
        <v>5.0000000000000001E-3</v>
      </c>
      <c r="T228" s="1240"/>
      <c r="U228" s="1240"/>
      <c r="V228" s="1241">
        <f>ROUND((W203+$W$187),2)</f>
        <v>801.95</v>
      </c>
      <c r="W228" s="1242"/>
      <c r="X228" s="1242"/>
      <c r="Y228" s="1241">
        <f>W203</f>
        <v>43.95</v>
      </c>
      <c r="Z228" s="1242"/>
      <c r="AA228" s="1242"/>
      <c r="AB228" s="1236">
        <f>ROUND((AB203+$AB$187),2)</f>
        <v>6679.3</v>
      </c>
      <c r="AC228" s="1237"/>
      <c r="AD228" s="1237"/>
      <c r="AE228" s="1237"/>
      <c r="AF228" s="1238"/>
    </row>
    <row r="229" spans="2:32" ht="30" customHeight="1" x14ac:dyDescent="0.3">
      <c r="B229" s="1207" t="s">
        <v>2287</v>
      </c>
      <c r="C229" s="1208"/>
      <c r="D229" s="1208"/>
      <c r="E229" s="1208"/>
      <c r="F229" s="1208"/>
      <c r="G229" s="1208"/>
      <c r="H229" s="1208"/>
      <c r="I229" s="1208"/>
      <c r="J229" s="1208"/>
      <c r="K229" s="1208"/>
      <c r="L229" s="1208"/>
      <c r="M229" s="1208"/>
      <c r="N229" s="1208"/>
      <c r="O229" s="1209"/>
      <c r="P229" s="1239">
        <f t="shared" si="26"/>
        <v>9.2999999999999999E-2</v>
      </c>
      <c r="Q229" s="1240"/>
      <c r="R229" s="1240"/>
      <c r="S229" s="1239">
        <f t="shared" si="27"/>
        <v>6.0000000000000001E-3</v>
      </c>
      <c r="T229" s="1240"/>
      <c r="U229" s="1240"/>
      <c r="V229" s="1241">
        <f t="shared" ref="V229:V234" si="28">ROUND((W204+$W$187),2)</f>
        <v>810.64</v>
      </c>
      <c r="W229" s="1242"/>
      <c r="X229" s="1242"/>
      <c r="Y229" s="1241">
        <f t="shared" ref="Y229:Y235" si="29">W204</f>
        <v>52.64</v>
      </c>
      <c r="Z229" s="1242"/>
      <c r="AA229" s="1242"/>
      <c r="AB229" s="1236">
        <f t="shared" ref="AB229:AB235" si="30">ROUND((AB204+$AB$187),2)</f>
        <v>6800.96</v>
      </c>
      <c r="AC229" s="1237"/>
      <c r="AD229" s="1237"/>
      <c r="AE229" s="1237"/>
      <c r="AF229" s="1238"/>
    </row>
    <row r="230" spans="2:32" ht="30" customHeight="1" x14ac:dyDescent="0.3">
      <c r="B230" s="1207" t="s">
        <v>2288</v>
      </c>
      <c r="C230" s="1208"/>
      <c r="D230" s="1208"/>
      <c r="E230" s="1208"/>
      <c r="F230" s="1208"/>
      <c r="G230" s="1208"/>
      <c r="H230" s="1208"/>
      <c r="I230" s="1208"/>
      <c r="J230" s="1208"/>
      <c r="K230" s="1208"/>
      <c r="L230" s="1208"/>
      <c r="M230" s="1208"/>
      <c r="N230" s="1208"/>
      <c r="O230" s="1209"/>
      <c r="P230" s="1239">
        <f t="shared" si="26"/>
        <v>9.2999999999999999E-2</v>
      </c>
      <c r="Q230" s="1240"/>
      <c r="R230" s="1240"/>
      <c r="S230" s="1239">
        <f t="shared" si="27"/>
        <v>7.0000000000000001E-3</v>
      </c>
      <c r="T230" s="1240"/>
      <c r="U230" s="1240"/>
      <c r="V230" s="1241">
        <f t="shared" si="28"/>
        <v>818.48</v>
      </c>
      <c r="W230" s="1242"/>
      <c r="X230" s="1242"/>
      <c r="Y230" s="1241">
        <f t="shared" si="29"/>
        <v>60.48</v>
      </c>
      <c r="Z230" s="1242"/>
      <c r="AA230" s="1242"/>
      <c r="AB230" s="1236">
        <f t="shared" si="30"/>
        <v>6910.72</v>
      </c>
      <c r="AC230" s="1237"/>
      <c r="AD230" s="1237"/>
      <c r="AE230" s="1237"/>
      <c r="AF230" s="1238"/>
    </row>
    <row r="231" spans="2:32" ht="30" customHeight="1" x14ac:dyDescent="0.3">
      <c r="B231" s="1207" t="s">
        <v>2289</v>
      </c>
      <c r="C231" s="1208"/>
      <c r="D231" s="1208"/>
      <c r="E231" s="1208"/>
      <c r="F231" s="1208"/>
      <c r="G231" s="1208"/>
      <c r="H231" s="1208"/>
      <c r="I231" s="1208"/>
      <c r="J231" s="1208"/>
      <c r="K231" s="1208"/>
      <c r="L231" s="1208"/>
      <c r="M231" s="1208"/>
      <c r="N231" s="1208"/>
      <c r="O231" s="1209"/>
      <c r="P231" s="1239">
        <f t="shared" si="26"/>
        <v>9.4E-2</v>
      </c>
      <c r="Q231" s="1240"/>
      <c r="R231" s="1240"/>
      <c r="S231" s="1239">
        <f t="shared" si="27"/>
        <v>7.0000000000000001E-3</v>
      </c>
      <c r="T231" s="1240"/>
      <c r="U231" s="1240"/>
      <c r="V231" s="1241">
        <f t="shared" si="28"/>
        <v>821.47</v>
      </c>
      <c r="W231" s="1242"/>
      <c r="X231" s="1242"/>
      <c r="Y231" s="1241">
        <f t="shared" si="29"/>
        <v>63.47</v>
      </c>
      <c r="Z231" s="1242"/>
      <c r="AA231" s="1242"/>
      <c r="AB231" s="1236">
        <f t="shared" si="30"/>
        <v>6952.58</v>
      </c>
      <c r="AC231" s="1237"/>
      <c r="AD231" s="1237"/>
      <c r="AE231" s="1237"/>
      <c r="AF231" s="1238"/>
    </row>
    <row r="232" spans="2:32" ht="30" customHeight="1" x14ac:dyDescent="0.3">
      <c r="B232" s="1207" t="s">
        <v>2290</v>
      </c>
      <c r="C232" s="1208"/>
      <c r="D232" s="1208"/>
      <c r="E232" s="1208"/>
      <c r="F232" s="1208"/>
      <c r="G232" s="1208"/>
      <c r="H232" s="1208"/>
      <c r="I232" s="1208"/>
      <c r="J232" s="1208"/>
      <c r="K232" s="1208"/>
      <c r="L232" s="1208"/>
      <c r="M232" s="1208"/>
      <c r="N232" s="1208"/>
      <c r="O232" s="1209"/>
      <c r="P232" s="1239">
        <f t="shared" si="26"/>
        <v>9.5000000000000001E-2</v>
      </c>
      <c r="Q232" s="1240"/>
      <c r="R232" s="1240"/>
      <c r="S232" s="1239">
        <f t="shared" si="27"/>
        <v>8.0000000000000002E-3</v>
      </c>
      <c r="T232" s="1240"/>
      <c r="U232" s="1240"/>
      <c r="V232" s="1241">
        <f t="shared" si="28"/>
        <v>830.31</v>
      </c>
      <c r="W232" s="1242"/>
      <c r="X232" s="1242"/>
      <c r="Y232" s="1241">
        <f t="shared" si="29"/>
        <v>72.31</v>
      </c>
      <c r="Z232" s="1242"/>
      <c r="AA232" s="1242"/>
      <c r="AB232" s="1236">
        <f t="shared" si="30"/>
        <v>7076.34</v>
      </c>
      <c r="AC232" s="1237"/>
      <c r="AD232" s="1237"/>
      <c r="AE232" s="1237"/>
      <c r="AF232" s="1238"/>
    </row>
    <row r="233" spans="2:32" ht="30" customHeight="1" x14ac:dyDescent="0.3">
      <c r="B233" s="1207" t="s">
        <v>2291</v>
      </c>
      <c r="C233" s="1208"/>
      <c r="D233" s="1208"/>
      <c r="E233" s="1208"/>
      <c r="F233" s="1208"/>
      <c r="G233" s="1208"/>
      <c r="H233" s="1208"/>
      <c r="I233" s="1208"/>
      <c r="J233" s="1208"/>
      <c r="K233" s="1208"/>
      <c r="L233" s="1208"/>
      <c r="M233" s="1208"/>
      <c r="N233" s="1208"/>
      <c r="O233" s="1209"/>
      <c r="P233" s="1239">
        <f t="shared" si="26"/>
        <v>9.2999999999999999E-2</v>
      </c>
      <c r="Q233" s="1240"/>
      <c r="R233" s="1240"/>
      <c r="S233" s="1239">
        <f t="shared" si="27"/>
        <v>7.0000000000000001E-3</v>
      </c>
      <c r="T233" s="1240"/>
      <c r="U233" s="1240"/>
      <c r="V233" s="1241">
        <f t="shared" si="28"/>
        <v>818.42</v>
      </c>
      <c r="W233" s="1242"/>
      <c r="X233" s="1242"/>
      <c r="Y233" s="1241">
        <f t="shared" si="29"/>
        <v>60.42</v>
      </c>
      <c r="Z233" s="1242"/>
      <c r="AA233" s="1242"/>
      <c r="AB233" s="1236">
        <f t="shared" si="30"/>
        <v>6909.88</v>
      </c>
      <c r="AC233" s="1237"/>
      <c r="AD233" s="1237"/>
      <c r="AE233" s="1237"/>
      <c r="AF233" s="1238"/>
    </row>
    <row r="234" spans="2:32" ht="30" customHeight="1" x14ac:dyDescent="0.3">
      <c r="B234" s="1207" t="s">
        <v>2338</v>
      </c>
      <c r="C234" s="1208"/>
      <c r="D234" s="1208"/>
      <c r="E234" s="1208"/>
      <c r="F234" s="1208"/>
      <c r="G234" s="1208"/>
      <c r="H234" s="1208"/>
      <c r="I234" s="1208"/>
      <c r="J234" s="1208"/>
      <c r="K234" s="1208"/>
      <c r="L234" s="1208"/>
      <c r="M234" s="1208"/>
      <c r="N234" s="1208"/>
      <c r="O234" s="1209"/>
      <c r="P234" s="1239">
        <f t="shared" si="26"/>
        <v>9.4E-2</v>
      </c>
      <c r="Q234" s="1240"/>
      <c r="R234" s="1240"/>
      <c r="S234" s="1239">
        <f t="shared" si="27"/>
        <v>7.0000000000000001E-3</v>
      </c>
      <c r="T234" s="1240"/>
      <c r="U234" s="1240"/>
      <c r="V234" s="1241">
        <f t="shared" si="28"/>
        <v>823.59</v>
      </c>
      <c r="W234" s="1242"/>
      <c r="X234" s="1242"/>
      <c r="Y234" s="1241">
        <f t="shared" si="29"/>
        <v>65.59</v>
      </c>
      <c r="Z234" s="1242"/>
      <c r="AA234" s="1242"/>
      <c r="AB234" s="1236">
        <f t="shared" si="30"/>
        <v>6982.26</v>
      </c>
      <c r="AC234" s="1237"/>
      <c r="AD234" s="1237"/>
      <c r="AE234" s="1237"/>
      <c r="AF234" s="1238"/>
    </row>
    <row r="235" spans="2:32" ht="30" customHeight="1" x14ac:dyDescent="0.3">
      <c r="B235" s="1207" t="s">
        <v>2292</v>
      </c>
      <c r="C235" s="1208"/>
      <c r="D235" s="1208"/>
      <c r="E235" s="1208"/>
      <c r="F235" s="1208"/>
      <c r="G235" s="1208"/>
      <c r="H235" s="1208"/>
      <c r="I235" s="1208"/>
      <c r="J235" s="1208"/>
      <c r="K235" s="1208"/>
      <c r="L235" s="1208"/>
      <c r="M235" s="1208"/>
      <c r="N235" s="1208"/>
      <c r="O235" s="1209"/>
      <c r="P235" s="1239">
        <f t="shared" si="26"/>
        <v>9.2999999999999999E-2</v>
      </c>
      <c r="Q235" s="1240"/>
      <c r="R235" s="1240"/>
      <c r="S235" s="1239">
        <f t="shared" si="27"/>
        <v>7.0000000000000001E-3</v>
      </c>
      <c r="T235" s="1240"/>
      <c r="U235" s="1240"/>
      <c r="V235" s="1241">
        <f>ROUND((W210+$W$187),2)</f>
        <v>817.84</v>
      </c>
      <c r="W235" s="1242"/>
      <c r="X235" s="1242"/>
      <c r="Y235" s="1241">
        <f t="shared" si="29"/>
        <v>59.84</v>
      </c>
      <c r="Z235" s="1242"/>
      <c r="AA235" s="1242"/>
      <c r="AB235" s="1236">
        <f t="shared" si="30"/>
        <v>6901.76</v>
      </c>
      <c r="AC235" s="1237"/>
      <c r="AD235" s="1237"/>
      <c r="AE235" s="1237"/>
      <c r="AF235" s="1238"/>
    </row>
    <row r="236" spans="2:32" x14ac:dyDescent="0.3">
      <c r="B236" s="532" t="s">
        <v>3793</v>
      </c>
      <c r="C236" s="350"/>
      <c r="D236" s="350"/>
      <c r="E236" s="350"/>
      <c r="F236" s="350"/>
      <c r="G236" s="350"/>
      <c r="H236" s="350"/>
      <c r="I236" s="350"/>
      <c r="J236" s="350"/>
      <c r="K236" s="350"/>
      <c r="L236" s="350"/>
      <c r="M236" s="350"/>
      <c r="N236" s="350"/>
      <c r="O236" s="350"/>
      <c r="P236" s="529"/>
      <c r="Q236" s="529"/>
      <c r="R236" s="529"/>
      <c r="S236" s="529"/>
      <c r="T236" s="529"/>
      <c r="U236" s="529"/>
      <c r="V236" s="530"/>
      <c r="W236" s="530"/>
      <c r="X236" s="530"/>
      <c r="Y236" s="530"/>
      <c r="Z236" s="530"/>
      <c r="AA236" s="530"/>
      <c r="AB236" s="531"/>
      <c r="AC236" s="531"/>
      <c r="AD236" s="531"/>
      <c r="AE236" s="531"/>
      <c r="AF236" s="531"/>
    </row>
    <row r="237" spans="2:32" x14ac:dyDescent="0.3">
      <c r="B237" s="532" t="s">
        <v>3794</v>
      </c>
      <c r="C237" s="350"/>
      <c r="D237" s="350"/>
      <c r="E237" s="350"/>
      <c r="F237" s="350"/>
      <c r="G237" s="350"/>
      <c r="H237" s="350"/>
      <c r="I237" s="350"/>
      <c r="J237" s="350"/>
      <c r="K237" s="350"/>
      <c r="L237" s="350"/>
      <c r="M237" s="350"/>
      <c r="N237" s="350"/>
      <c r="O237" s="350"/>
      <c r="P237" s="529"/>
      <c r="Q237" s="529"/>
      <c r="R237" s="529"/>
      <c r="S237" s="529"/>
      <c r="T237" s="529"/>
      <c r="U237" s="529"/>
      <c r="V237" s="530"/>
      <c r="W237" s="530"/>
      <c r="X237" s="530"/>
      <c r="Y237" s="530"/>
      <c r="Z237" s="530"/>
      <c r="AA237" s="530"/>
      <c r="AB237" s="531"/>
      <c r="AC237" s="531"/>
      <c r="AD237" s="531"/>
      <c r="AE237" s="531"/>
      <c r="AF237" s="531"/>
    </row>
    <row r="239" spans="2:32" x14ac:dyDescent="0.3">
      <c r="B239" s="51" t="s">
        <v>2324</v>
      </c>
    </row>
    <row r="240" spans="2:32" ht="30" customHeight="1" x14ac:dyDescent="0.3">
      <c r="B240" s="1196" t="s">
        <v>3785</v>
      </c>
      <c r="C240" s="1196"/>
      <c r="D240" s="1196"/>
      <c r="E240" s="1196"/>
      <c r="F240" s="1196"/>
      <c r="G240" s="1196"/>
      <c r="H240" s="1196"/>
      <c r="I240" s="1196"/>
      <c r="J240" s="1196"/>
      <c r="K240" s="1196"/>
      <c r="L240" s="1196"/>
      <c r="M240" s="1196"/>
      <c r="N240" s="1196"/>
      <c r="O240" s="1196"/>
      <c r="P240" s="1196"/>
      <c r="Q240" s="1196"/>
      <c r="R240" s="1196"/>
      <c r="S240" s="1196"/>
      <c r="T240" s="1196"/>
      <c r="U240" s="1196"/>
      <c r="V240" s="1196"/>
      <c r="W240" s="1196"/>
      <c r="X240" s="1196"/>
      <c r="Y240" s="1196"/>
      <c r="Z240" s="1196"/>
      <c r="AA240" s="1196"/>
      <c r="AB240" s="1196"/>
      <c r="AC240" s="1196"/>
      <c r="AD240" s="1196"/>
      <c r="AE240" s="1196"/>
      <c r="AF240" s="1196"/>
    </row>
    <row r="241" spans="1:32" ht="30" customHeight="1" x14ac:dyDescent="0.3">
      <c r="B241" s="1197" t="s">
        <v>2316</v>
      </c>
      <c r="C241" s="1198"/>
      <c r="D241" s="1198"/>
      <c r="E241" s="1198"/>
      <c r="F241" s="1198"/>
      <c r="G241" s="1198"/>
      <c r="H241" s="1198"/>
      <c r="I241" s="1198"/>
      <c r="J241" s="1198"/>
      <c r="K241" s="1198"/>
      <c r="L241" s="1198"/>
      <c r="M241" s="1198"/>
      <c r="N241" s="1198"/>
      <c r="O241" s="1199"/>
      <c r="P241" s="1203" t="s">
        <v>3784</v>
      </c>
      <c r="Q241" s="1204"/>
      <c r="R241" s="1204"/>
      <c r="S241" s="1204"/>
      <c r="T241" s="1204"/>
      <c r="U241" s="1205"/>
      <c r="V241" s="1203" t="s">
        <v>2027</v>
      </c>
      <c r="W241" s="1204"/>
      <c r="X241" s="1204"/>
      <c r="Y241" s="1204"/>
      <c r="Z241" s="1204"/>
      <c r="AA241" s="1205"/>
      <c r="AB241" s="1197" t="s">
        <v>1826</v>
      </c>
      <c r="AC241" s="1198"/>
      <c r="AD241" s="1198"/>
      <c r="AE241" s="1198"/>
      <c r="AF241" s="1199"/>
    </row>
    <row r="242" spans="1:32" ht="46.5" customHeight="1" x14ac:dyDescent="0.3">
      <c r="B242" s="1200"/>
      <c r="C242" s="1201"/>
      <c r="D242" s="1201"/>
      <c r="E242" s="1201"/>
      <c r="F242" s="1201"/>
      <c r="G242" s="1201"/>
      <c r="H242" s="1201"/>
      <c r="I242" s="1201"/>
      <c r="J242" s="1201"/>
      <c r="K242" s="1201"/>
      <c r="L242" s="1201"/>
      <c r="M242" s="1201"/>
      <c r="N242" s="1201"/>
      <c r="O242" s="1202"/>
      <c r="P242" s="1206" t="s">
        <v>3791</v>
      </c>
      <c r="Q242" s="1206"/>
      <c r="R242" s="1206"/>
      <c r="S242" s="1203" t="s">
        <v>3792</v>
      </c>
      <c r="T242" s="1204"/>
      <c r="U242" s="1205"/>
      <c r="V242" s="1206" t="s">
        <v>3791</v>
      </c>
      <c r="W242" s="1206"/>
      <c r="X242" s="1206"/>
      <c r="Y242" s="1203" t="s">
        <v>3792</v>
      </c>
      <c r="Z242" s="1204"/>
      <c r="AA242" s="1205"/>
      <c r="AB242" s="1200"/>
      <c r="AC242" s="1201"/>
      <c r="AD242" s="1201"/>
      <c r="AE242" s="1201"/>
      <c r="AF242" s="1202"/>
    </row>
    <row r="243" spans="1:32" ht="30" customHeight="1" x14ac:dyDescent="0.3">
      <c r="B243" s="1207" t="s">
        <v>2295</v>
      </c>
      <c r="C243" s="1208"/>
      <c r="D243" s="1208"/>
      <c r="E243" s="1208"/>
      <c r="F243" s="1208"/>
      <c r="G243" s="1208"/>
      <c r="H243" s="1208"/>
      <c r="I243" s="1208"/>
      <c r="J243" s="1208"/>
      <c r="K243" s="1208"/>
      <c r="L243" s="1208"/>
      <c r="M243" s="1208"/>
      <c r="N243" s="1208"/>
      <c r="O243" s="1209"/>
      <c r="P243" s="1239">
        <f>ROUND(V243*$Q$86/$Q$85,3)</f>
        <v>6.9000000000000006E-2</v>
      </c>
      <c r="Q243" s="1240"/>
      <c r="R243" s="1240"/>
      <c r="S243" s="1239">
        <f>ROUND(Y243*$Q$86/$Q$85,3)</f>
        <v>4.0000000000000001E-3</v>
      </c>
      <c r="T243" s="1240"/>
      <c r="U243" s="1240"/>
      <c r="V243" s="1241">
        <f>ROUND((W215+$W$188),2)</f>
        <v>605.04999999999995</v>
      </c>
      <c r="W243" s="1242"/>
      <c r="X243" s="1242"/>
      <c r="Y243" s="1241">
        <f>W215</f>
        <v>31.05</v>
      </c>
      <c r="Z243" s="1242"/>
      <c r="AA243" s="1242"/>
      <c r="AB243" s="1236">
        <f>ROUND((AB215+$AB$188),2)</f>
        <v>4545.8500000000004</v>
      </c>
      <c r="AC243" s="1237"/>
      <c r="AD243" s="1237"/>
      <c r="AE243" s="1237"/>
      <c r="AF243" s="1238"/>
    </row>
    <row r="244" spans="1:32" ht="30" customHeight="1" x14ac:dyDescent="0.3">
      <c r="B244" s="1207" t="s">
        <v>2296</v>
      </c>
      <c r="C244" s="1208"/>
      <c r="D244" s="1208"/>
      <c r="E244" s="1208"/>
      <c r="F244" s="1208"/>
      <c r="G244" s="1208"/>
      <c r="H244" s="1208"/>
      <c r="I244" s="1208"/>
      <c r="J244" s="1208"/>
      <c r="K244" s="1208"/>
      <c r="L244" s="1208"/>
      <c r="M244" s="1208"/>
      <c r="N244" s="1208"/>
      <c r="O244" s="1209"/>
      <c r="P244" s="1239">
        <f t="shared" ref="P244:P250" si="31">ROUND(V244*$Q$86/$Q$85,3)</f>
        <v>7.0000000000000007E-2</v>
      </c>
      <c r="Q244" s="1240"/>
      <c r="R244" s="1240"/>
      <c r="S244" s="1239">
        <f t="shared" ref="S244:S249" si="32">ROUND(Y244*$Q$86/$Q$85,3)</f>
        <v>5.0000000000000001E-3</v>
      </c>
      <c r="T244" s="1240"/>
      <c r="U244" s="1240"/>
      <c r="V244" s="1241">
        <f t="shared" ref="V244:V249" si="33">ROUND((W216+$W$188),2)</f>
        <v>614.69000000000005</v>
      </c>
      <c r="W244" s="1242"/>
      <c r="X244" s="1242"/>
      <c r="Y244" s="1241">
        <f t="shared" ref="Y244:Y250" si="34">W216</f>
        <v>40.69</v>
      </c>
      <c r="Z244" s="1242"/>
      <c r="AA244" s="1242"/>
      <c r="AB244" s="1236">
        <f t="shared" ref="AB244:AB249" si="35">ROUND((AB216+$AB$188),2)</f>
        <v>4709.7299999999996</v>
      </c>
      <c r="AC244" s="1237"/>
      <c r="AD244" s="1237"/>
      <c r="AE244" s="1237"/>
      <c r="AF244" s="1238"/>
    </row>
    <row r="245" spans="1:32" ht="30" customHeight="1" x14ac:dyDescent="0.3">
      <c r="B245" s="1207" t="s">
        <v>2297</v>
      </c>
      <c r="C245" s="1208"/>
      <c r="D245" s="1208"/>
      <c r="E245" s="1208"/>
      <c r="F245" s="1208"/>
      <c r="G245" s="1208"/>
      <c r="H245" s="1208"/>
      <c r="I245" s="1208"/>
      <c r="J245" s="1208"/>
      <c r="K245" s="1208"/>
      <c r="L245" s="1208"/>
      <c r="M245" s="1208"/>
      <c r="N245" s="1208"/>
      <c r="O245" s="1209"/>
      <c r="P245" s="1239">
        <f t="shared" si="31"/>
        <v>7.0000000000000007E-2</v>
      </c>
      <c r="Q245" s="1240"/>
      <c r="R245" s="1240"/>
      <c r="S245" s="1239">
        <f t="shared" si="32"/>
        <v>5.0000000000000001E-3</v>
      </c>
      <c r="T245" s="1240"/>
      <c r="U245" s="1240"/>
      <c r="V245" s="1241">
        <f t="shared" si="33"/>
        <v>614.69000000000005</v>
      </c>
      <c r="W245" s="1242"/>
      <c r="X245" s="1242"/>
      <c r="Y245" s="1241">
        <f t="shared" si="34"/>
        <v>40.69</v>
      </c>
      <c r="Z245" s="1242"/>
      <c r="AA245" s="1242"/>
      <c r="AB245" s="1236">
        <f t="shared" si="35"/>
        <v>4709.7299999999996</v>
      </c>
      <c r="AC245" s="1237"/>
      <c r="AD245" s="1237"/>
      <c r="AE245" s="1237"/>
      <c r="AF245" s="1238"/>
    </row>
    <row r="246" spans="1:32" ht="30" customHeight="1" x14ac:dyDescent="0.3">
      <c r="B246" s="1207" t="s">
        <v>2298</v>
      </c>
      <c r="C246" s="1208"/>
      <c r="D246" s="1208"/>
      <c r="E246" s="1208"/>
      <c r="F246" s="1208"/>
      <c r="G246" s="1208"/>
      <c r="H246" s="1208"/>
      <c r="I246" s="1208"/>
      <c r="J246" s="1208"/>
      <c r="K246" s="1208"/>
      <c r="L246" s="1208"/>
      <c r="M246" s="1208"/>
      <c r="N246" s="1208"/>
      <c r="O246" s="1209"/>
      <c r="P246" s="1239">
        <f t="shared" si="31"/>
        <v>7.0999999999999994E-2</v>
      </c>
      <c r="Q246" s="1240"/>
      <c r="R246" s="1240"/>
      <c r="S246" s="1239">
        <f t="shared" si="32"/>
        <v>5.0000000000000001E-3</v>
      </c>
      <c r="T246" s="1240"/>
      <c r="U246" s="1240"/>
      <c r="V246" s="1241">
        <f t="shared" si="33"/>
        <v>620.69000000000005</v>
      </c>
      <c r="W246" s="1242"/>
      <c r="X246" s="1242"/>
      <c r="Y246" s="1241">
        <f t="shared" si="34"/>
        <v>46.69</v>
      </c>
      <c r="Z246" s="1242"/>
      <c r="AA246" s="1242"/>
      <c r="AB246" s="1236">
        <f t="shared" si="35"/>
        <v>4811.7299999999996</v>
      </c>
      <c r="AC246" s="1237"/>
      <c r="AD246" s="1237"/>
      <c r="AE246" s="1237"/>
      <c r="AF246" s="1238"/>
    </row>
    <row r="247" spans="1:32" ht="30" customHeight="1" x14ac:dyDescent="0.3">
      <c r="B247" s="1207" t="s">
        <v>2299</v>
      </c>
      <c r="C247" s="1208"/>
      <c r="D247" s="1208"/>
      <c r="E247" s="1208"/>
      <c r="F247" s="1208"/>
      <c r="G247" s="1208"/>
      <c r="H247" s="1208"/>
      <c r="I247" s="1208"/>
      <c r="J247" s="1208"/>
      <c r="K247" s="1208"/>
      <c r="L247" s="1208"/>
      <c r="M247" s="1208"/>
      <c r="N247" s="1208"/>
      <c r="O247" s="1209"/>
      <c r="P247" s="1239">
        <f t="shared" si="31"/>
        <v>7.0999999999999994E-2</v>
      </c>
      <c r="Q247" s="1240"/>
      <c r="R247" s="1240"/>
      <c r="S247" s="1239">
        <f t="shared" si="32"/>
        <v>5.0000000000000001E-3</v>
      </c>
      <c r="T247" s="1240"/>
      <c r="U247" s="1240"/>
      <c r="V247" s="1241">
        <f t="shared" si="33"/>
        <v>620.69000000000005</v>
      </c>
      <c r="W247" s="1242"/>
      <c r="X247" s="1242"/>
      <c r="Y247" s="1241">
        <f t="shared" si="34"/>
        <v>46.69</v>
      </c>
      <c r="Z247" s="1242"/>
      <c r="AA247" s="1242"/>
      <c r="AB247" s="1236">
        <f t="shared" si="35"/>
        <v>4811.7299999999996</v>
      </c>
      <c r="AC247" s="1237"/>
      <c r="AD247" s="1237"/>
      <c r="AE247" s="1237"/>
      <c r="AF247" s="1238"/>
    </row>
    <row r="248" spans="1:32" ht="30" customHeight="1" x14ac:dyDescent="0.3">
      <c r="B248" s="1207" t="s">
        <v>2300</v>
      </c>
      <c r="C248" s="1208"/>
      <c r="D248" s="1208"/>
      <c r="E248" s="1208"/>
      <c r="F248" s="1208"/>
      <c r="G248" s="1208"/>
      <c r="H248" s="1208"/>
      <c r="I248" s="1208"/>
      <c r="J248" s="1208"/>
      <c r="K248" s="1208"/>
      <c r="L248" s="1208"/>
      <c r="M248" s="1208"/>
      <c r="N248" s="1208"/>
      <c r="O248" s="1209"/>
      <c r="P248" s="1239">
        <f t="shared" si="31"/>
        <v>6.8000000000000005E-2</v>
      </c>
      <c r="Q248" s="1240"/>
      <c r="R248" s="1240"/>
      <c r="S248" s="1239">
        <f t="shared" si="32"/>
        <v>3.0000000000000001E-3</v>
      </c>
      <c r="T248" s="1240"/>
      <c r="U248" s="1240"/>
      <c r="V248" s="1241">
        <f t="shared" si="33"/>
        <v>599.98</v>
      </c>
      <c r="W248" s="1242"/>
      <c r="X248" s="1242"/>
      <c r="Y248" s="1241">
        <f t="shared" si="34"/>
        <v>25.98</v>
      </c>
      <c r="Z248" s="1242"/>
      <c r="AA248" s="1242"/>
      <c r="AB248" s="1236">
        <f t="shared" si="35"/>
        <v>4459.66</v>
      </c>
      <c r="AC248" s="1237"/>
      <c r="AD248" s="1237"/>
      <c r="AE248" s="1237"/>
      <c r="AF248" s="1238"/>
    </row>
    <row r="249" spans="1:32" ht="30" customHeight="1" x14ac:dyDescent="0.3">
      <c r="B249" s="1207" t="s">
        <v>2301</v>
      </c>
      <c r="C249" s="1208"/>
      <c r="D249" s="1208"/>
      <c r="E249" s="1208"/>
      <c r="F249" s="1208"/>
      <c r="G249" s="1208"/>
      <c r="H249" s="1208"/>
      <c r="I249" s="1208"/>
      <c r="J249" s="1208"/>
      <c r="K249" s="1208"/>
      <c r="L249" s="1208"/>
      <c r="M249" s="1208"/>
      <c r="N249" s="1208"/>
      <c r="O249" s="1209"/>
      <c r="P249" s="1239">
        <f t="shared" si="31"/>
        <v>7.0000000000000007E-2</v>
      </c>
      <c r="Q249" s="1240"/>
      <c r="R249" s="1240"/>
      <c r="S249" s="1239">
        <f t="shared" si="32"/>
        <v>4.0000000000000001E-3</v>
      </c>
      <c r="T249" s="1240"/>
      <c r="U249" s="1240"/>
      <c r="V249" s="1241">
        <f t="shared" si="33"/>
        <v>610.02</v>
      </c>
      <c r="W249" s="1242"/>
      <c r="X249" s="1242"/>
      <c r="Y249" s="1241">
        <f t="shared" si="34"/>
        <v>36.020000000000003</v>
      </c>
      <c r="Z249" s="1242"/>
      <c r="AA249" s="1242"/>
      <c r="AB249" s="1236">
        <f t="shared" si="35"/>
        <v>4630.34</v>
      </c>
      <c r="AC249" s="1237"/>
      <c r="AD249" s="1237"/>
      <c r="AE249" s="1237"/>
      <c r="AF249" s="1238"/>
    </row>
    <row r="250" spans="1:32" ht="30" customHeight="1" x14ac:dyDescent="0.3">
      <c r="B250" s="1207" t="s">
        <v>2302</v>
      </c>
      <c r="C250" s="1208"/>
      <c r="D250" s="1208"/>
      <c r="E250" s="1208"/>
      <c r="F250" s="1208"/>
      <c r="G250" s="1208"/>
      <c r="H250" s="1208"/>
      <c r="I250" s="1208"/>
      <c r="J250" s="1208"/>
      <c r="K250" s="1208"/>
      <c r="L250" s="1208"/>
      <c r="M250" s="1208"/>
      <c r="N250" s="1208"/>
      <c r="O250" s="1209"/>
      <c r="P250" s="1239">
        <f t="shared" si="31"/>
        <v>7.0000000000000007E-2</v>
      </c>
      <c r="Q250" s="1240"/>
      <c r="R250" s="1240"/>
      <c r="S250" s="1239">
        <f>ROUND(Y250*$Q$86/$Q$85,3)</f>
        <v>4.0000000000000001E-3</v>
      </c>
      <c r="T250" s="1240"/>
      <c r="U250" s="1240"/>
      <c r="V250" s="1241">
        <f>ROUND((W222+$W$188),2)</f>
        <v>612.26</v>
      </c>
      <c r="W250" s="1242"/>
      <c r="X250" s="1242"/>
      <c r="Y250" s="1241">
        <f t="shared" si="34"/>
        <v>38.26</v>
      </c>
      <c r="Z250" s="1242"/>
      <c r="AA250" s="1242"/>
      <c r="AB250" s="1236">
        <f>ROUND((AB222+$AB$188),2)</f>
        <v>4668.42</v>
      </c>
      <c r="AC250" s="1237"/>
      <c r="AD250" s="1237"/>
      <c r="AE250" s="1237"/>
      <c r="AF250" s="1238"/>
    </row>
    <row r="251" spans="1:32" x14ac:dyDescent="0.3">
      <c r="B251" s="532" t="s">
        <v>3795</v>
      </c>
      <c r="C251" s="533"/>
      <c r="D251" s="533"/>
      <c r="E251" s="533"/>
      <c r="F251" s="533"/>
      <c r="G251" s="533"/>
      <c r="H251" s="533"/>
      <c r="I251" s="533"/>
      <c r="J251" s="533"/>
      <c r="K251" s="533"/>
      <c r="L251" s="533"/>
      <c r="M251" s="533"/>
      <c r="N251" s="533"/>
      <c r="O251" s="533"/>
      <c r="P251" s="534"/>
      <c r="Q251" s="534"/>
      <c r="R251" s="534"/>
      <c r="S251" s="534"/>
      <c r="T251" s="534"/>
      <c r="U251" s="534"/>
      <c r="V251" s="535"/>
      <c r="W251" s="535"/>
      <c r="X251" s="535"/>
      <c r="Y251" s="535"/>
      <c r="Z251" s="535"/>
      <c r="AA251" s="535"/>
      <c r="AB251" s="536"/>
      <c r="AC251" s="536"/>
      <c r="AD251" s="536"/>
      <c r="AE251" s="536"/>
      <c r="AF251" s="536"/>
    </row>
    <row r="252" spans="1:32" x14ac:dyDescent="0.3">
      <c r="B252" s="532" t="s">
        <v>3796</v>
      </c>
      <c r="C252" s="533"/>
      <c r="D252" s="533"/>
      <c r="E252" s="533"/>
      <c r="F252" s="533"/>
      <c r="G252" s="533"/>
      <c r="H252" s="533"/>
      <c r="I252" s="533"/>
      <c r="J252" s="533"/>
      <c r="K252" s="533"/>
      <c r="L252" s="533"/>
      <c r="M252" s="533"/>
      <c r="N252" s="533"/>
      <c r="O252" s="533"/>
      <c r="P252" s="534"/>
      <c r="Q252" s="534"/>
      <c r="R252" s="534"/>
      <c r="S252" s="534"/>
      <c r="T252" s="534"/>
      <c r="U252" s="534"/>
      <c r="V252" s="535"/>
      <c r="W252" s="535"/>
      <c r="X252" s="535"/>
      <c r="Y252" s="535"/>
      <c r="Z252" s="535"/>
      <c r="AA252" s="535"/>
      <c r="AB252" s="536"/>
      <c r="AC252" s="536"/>
      <c r="AD252" s="536"/>
      <c r="AE252" s="536"/>
      <c r="AF252" s="536"/>
    </row>
    <row r="254" spans="1:32" x14ac:dyDescent="0.3">
      <c r="A254" s="1141" t="s">
        <v>1514</v>
      </c>
      <c r="B254" s="1141"/>
      <c r="C254" s="1141"/>
      <c r="D254" s="1141"/>
      <c r="E254" s="1141"/>
      <c r="F254" s="1141"/>
      <c r="G254" s="1141"/>
      <c r="H254" s="1141"/>
      <c r="I254" s="1141"/>
      <c r="J254" s="1141"/>
      <c r="K254" s="1141"/>
      <c r="L254" s="1141"/>
      <c r="M254" s="1141"/>
      <c r="N254" s="1141"/>
      <c r="O254" s="1141"/>
      <c r="P254" s="1141"/>
      <c r="Q254" s="1141"/>
      <c r="R254" s="1141"/>
      <c r="S254" s="1141"/>
      <c r="T254" s="1141"/>
      <c r="U254" s="1141"/>
      <c r="V254" s="1141"/>
      <c r="W254" s="1141"/>
      <c r="X254" s="1141"/>
      <c r="Y254" s="1141"/>
      <c r="Z254" s="1141"/>
      <c r="AA254" s="1141"/>
      <c r="AB254" s="1141"/>
      <c r="AC254" s="1141"/>
      <c r="AD254" s="1141"/>
      <c r="AE254" s="1141"/>
      <c r="AF254" s="1141"/>
    </row>
    <row r="256" spans="1:32" ht="30" customHeight="1" x14ac:dyDescent="0.3">
      <c r="A256" s="368" t="s">
        <v>803</v>
      </c>
      <c r="B256" s="889" t="s">
        <v>5155</v>
      </c>
      <c r="C256" s="889"/>
      <c r="D256" s="889"/>
      <c r="E256" s="889"/>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89"/>
      <c r="AE256" s="889"/>
      <c r="AF256" s="889"/>
    </row>
    <row r="257" spans="1:32" ht="66" customHeight="1" x14ac:dyDescent="0.3">
      <c r="A257" s="368" t="s">
        <v>803</v>
      </c>
      <c r="B257" s="889" t="s">
        <v>2336</v>
      </c>
      <c r="C257" s="889"/>
      <c r="D257" s="889"/>
      <c r="E257" s="889"/>
      <c r="F257" s="889"/>
      <c r="G257" s="889"/>
      <c r="H257" s="889"/>
      <c r="I257" s="889"/>
      <c r="J257" s="889"/>
      <c r="K257" s="889"/>
      <c r="L257" s="889"/>
      <c r="M257" s="889"/>
      <c r="N257" s="889"/>
      <c r="O257" s="889"/>
      <c r="P257" s="889"/>
      <c r="Q257" s="889"/>
      <c r="R257" s="889"/>
      <c r="S257" s="889"/>
      <c r="T257" s="889"/>
      <c r="U257" s="889"/>
      <c r="V257" s="889"/>
      <c r="W257" s="889"/>
      <c r="X257" s="889"/>
      <c r="Y257" s="889"/>
      <c r="Z257" s="889"/>
      <c r="AA257" s="889"/>
      <c r="AB257" s="889"/>
      <c r="AC257" s="889"/>
      <c r="AD257" s="889"/>
      <c r="AE257" s="889"/>
      <c r="AF257" s="889"/>
    </row>
    <row r="258" spans="1:32" ht="63.75" customHeight="1" x14ac:dyDescent="0.3">
      <c r="A258" s="368" t="s">
        <v>803</v>
      </c>
      <c r="B258" s="889" t="s">
        <v>2340</v>
      </c>
      <c r="C258" s="889"/>
      <c r="D258" s="889"/>
      <c r="E258" s="889"/>
      <c r="F258" s="889"/>
      <c r="G258" s="889"/>
      <c r="H258" s="889"/>
      <c r="I258" s="889"/>
      <c r="J258" s="889"/>
      <c r="K258" s="889"/>
      <c r="L258" s="889"/>
      <c r="M258" s="889"/>
      <c r="N258" s="889"/>
      <c r="O258" s="889"/>
      <c r="P258" s="889"/>
      <c r="Q258" s="889"/>
      <c r="R258" s="889"/>
      <c r="S258" s="889"/>
      <c r="T258" s="889"/>
      <c r="U258" s="889"/>
      <c r="V258" s="889"/>
      <c r="W258" s="889"/>
      <c r="X258" s="889"/>
      <c r="Y258" s="889"/>
      <c r="Z258" s="889"/>
      <c r="AA258" s="889"/>
      <c r="AB258" s="889"/>
      <c r="AC258" s="889"/>
      <c r="AD258" s="889"/>
      <c r="AE258" s="889"/>
      <c r="AF258" s="889"/>
    </row>
    <row r="259" spans="1:32" ht="50.25" customHeight="1" x14ac:dyDescent="0.3">
      <c r="A259" s="368" t="s">
        <v>803</v>
      </c>
      <c r="B259" s="889" t="s">
        <v>5156</v>
      </c>
      <c r="C259" s="889"/>
      <c r="D259" s="889"/>
      <c r="E259" s="889"/>
      <c r="F259" s="889"/>
      <c r="G259" s="889"/>
      <c r="H259" s="889"/>
      <c r="I259" s="889"/>
      <c r="J259" s="889"/>
      <c r="K259" s="889"/>
      <c r="L259" s="889"/>
      <c r="M259" s="889"/>
      <c r="N259" s="889"/>
      <c r="O259" s="889"/>
      <c r="P259" s="889"/>
      <c r="Q259" s="889"/>
      <c r="R259" s="889"/>
      <c r="S259" s="889"/>
      <c r="T259" s="889"/>
      <c r="U259" s="889"/>
      <c r="V259" s="889"/>
      <c r="W259" s="889"/>
      <c r="X259" s="889"/>
      <c r="Y259" s="889"/>
      <c r="Z259" s="889"/>
      <c r="AA259" s="889"/>
      <c r="AB259" s="889"/>
      <c r="AC259" s="889"/>
      <c r="AD259" s="889"/>
      <c r="AE259" s="889"/>
      <c r="AF259" s="889"/>
    </row>
    <row r="260" spans="1:32" ht="46.5" customHeight="1" x14ac:dyDescent="0.3">
      <c r="A260" s="368" t="s">
        <v>803</v>
      </c>
      <c r="B260" s="889" t="s">
        <v>3787</v>
      </c>
      <c r="C260" s="889"/>
      <c r="D260" s="889"/>
      <c r="E260" s="889"/>
      <c r="F260" s="889"/>
      <c r="G260" s="889"/>
      <c r="H260" s="889"/>
      <c r="I260" s="889"/>
      <c r="J260" s="889"/>
      <c r="K260" s="889"/>
      <c r="L260" s="889"/>
      <c r="M260" s="889"/>
      <c r="N260" s="889"/>
      <c r="O260" s="889"/>
      <c r="P260" s="889"/>
      <c r="Q260" s="889"/>
      <c r="R260" s="889"/>
      <c r="S260" s="889"/>
      <c r="T260" s="889"/>
      <c r="U260" s="889"/>
      <c r="V260" s="889"/>
      <c r="W260" s="889"/>
      <c r="X260" s="889"/>
      <c r="Y260" s="889"/>
      <c r="Z260" s="889"/>
      <c r="AA260" s="889"/>
      <c r="AB260" s="889"/>
      <c r="AC260" s="889"/>
      <c r="AD260" s="889"/>
      <c r="AE260" s="889"/>
      <c r="AF260" s="889"/>
    </row>
    <row r="261" spans="1:32" ht="30.75" customHeight="1" x14ac:dyDescent="0.3">
      <c r="A261" s="368" t="s">
        <v>803</v>
      </c>
      <c r="B261" s="889" t="s">
        <v>2339</v>
      </c>
      <c r="C261" s="889"/>
      <c r="D261" s="889"/>
      <c r="E261" s="889"/>
      <c r="F261" s="889"/>
      <c r="G261" s="889"/>
      <c r="H261" s="889"/>
      <c r="I261" s="889"/>
      <c r="J261" s="889"/>
      <c r="K261" s="889"/>
      <c r="L261" s="889"/>
      <c r="M261" s="889"/>
      <c r="N261" s="889"/>
      <c r="O261" s="889"/>
      <c r="P261" s="889"/>
      <c r="Q261" s="889"/>
      <c r="R261" s="889"/>
      <c r="S261" s="889"/>
      <c r="T261" s="889"/>
      <c r="U261" s="889"/>
      <c r="V261" s="889"/>
      <c r="W261" s="889"/>
      <c r="X261" s="889"/>
      <c r="Y261" s="889"/>
      <c r="Z261" s="889"/>
      <c r="AA261" s="889"/>
      <c r="AB261" s="889"/>
      <c r="AC261" s="889"/>
      <c r="AD261" s="889"/>
      <c r="AE261" s="889"/>
      <c r="AF261" s="889"/>
    </row>
    <row r="262" spans="1:32" ht="48" customHeight="1" x14ac:dyDescent="0.3">
      <c r="A262" s="368" t="s">
        <v>803</v>
      </c>
      <c r="B262" s="889" t="s">
        <v>2337</v>
      </c>
      <c r="C262" s="889"/>
      <c r="D262" s="889"/>
      <c r="E262" s="889"/>
      <c r="F262" s="889"/>
      <c r="G262" s="889"/>
      <c r="H262" s="889"/>
      <c r="I262" s="889"/>
      <c r="J262" s="889"/>
      <c r="K262" s="889"/>
      <c r="L262" s="889"/>
      <c r="M262" s="889"/>
      <c r="N262" s="889"/>
      <c r="O262" s="889"/>
      <c r="P262" s="889"/>
      <c r="Q262" s="889"/>
      <c r="R262" s="889"/>
      <c r="S262" s="889"/>
      <c r="T262" s="889"/>
      <c r="U262" s="889"/>
      <c r="V262" s="889"/>
      <c r="W262" s="889"/>
      <c r="X262" s="889"/>
      <c r="Y262" s="889"/>
      <c r="Z262" s="889"/>
      <c r="AA262" s="889"/>
      <c r="AB262" s="889"/>
      <c r="AC262" s="889"/>
      <c r="AD262" s="889"/>
      <c r="AE262" s="889"/>
      <c r="AF262" s="889"/>
    </row>
    <row r="263" spans="1:32" ht="46.5" customHeight="1" x14ac:dyDescent="0.3">
      <c r="A263" s="368" t="s">
        <v>803</v>
      </c>
      <c r="B263" s="889" t="s">
        <v>2694</v>
      </c>
      <c r="C263" s="889"/>
      <c r="D263" s="889"/>
      <c r="E263" s="889"/>
      <c r="F263" s="889"/>
      <c r="G263" s="889"/>
      <c r="H263" s="889"/>
      <c r="I263" s="889"/>
      <c r="J263" s="889"/>
      <c r="K263" s="889"/>
      <c r="L263" s="889"/>
      <c r="M263" s="889"/>
      <c r="N263" s="889"/>
      <c r="O263" s="889"/>
      <c r="P263" s="889"/>
      <c r="Q263" s="889"/>
      <c r="R263" s="889"/>
      <c r="S263" s="889"/>
      <c r="T263" s="889"/>
      <c r="U263" s="889"/>
      <c r="V263" s="889"/>
      <c r="W263" s="889"/>
      <c r="X263" s="889"/>
      <c r="Y263" s="889"/>
      <c r="Z263" s="889"/>
      <c r="AA263" s="889"/>
      <c r="AB263" s="889"/>
      <c r="AC263" s="889"/>
      <c r="AD263" s="889"/>
      <c r="AE263" s="889"/>
      <c r="AF263" s="889"/>
    </row>
  </sheetData>
  <sheetProtection algorithmName="SHA-512" hashValue="6FuvMhFnlZU6OG8MiEm57OVD8a52LuEa82KksnlREsfI8TLbSO3/hcn/YDrNFRhSxaLGi/em3A3HoZXtJLtsGA==" saltValue="tdcdJObf3lhIZgKqJErSTg==" spinCount="100000" sheet="1" objects="1" scenarios="1"/>
  <mergeCells count="605">
    <mergeCell ref="A254:AF254"/>
    <mergeCell ref="B256:AF256"/>
    <mergeCell ref="B257:AF257"/>
    <mergeCell ref="B258:AF258"/>
    <mergeCell ref="B259:AF259"/>
    <mergeCell ref="B260:AF260"/>
    <mergeCell ref="B261:AF261"/>
    <mergeCell ref="B262:AF262"/>
    <mergeCell ref="B263:AF263"/>
    <mergeCell ref="B249:O249"/>
    <mergeCell ref="P249:R249"/>
    <mergeCell ref="S249:U249"/>
    <mergeCell ref="V249:X249"/>
    <mergeCell ref="Y249:AA249"/>
    <mergeCell ref="AB249:AF249"/>
    <mergeCell ref="B250:O250"/>
    <mergeCell ref="P250:R250"/>
    <mergeCell ref="S250:U250"/>
    <mergeCell ref="V250:X250"/>
    <mergeCell ref="Y250:AA250"/>
    <mergeCell ref="AB250:AF250"/>
    <mergeCell ref="B247:O247"/>
    <mergeCell ref="P247:R247"/>
    <mergeCell ref="S247:U247"/>
    <mergeCell ref="V247:X247"/>
    <mergeCell ref="Y247:AA247"/>
    <mergeCell ref="AB247:AF247"/>
    <mergeCell ref="B248:O248"/>
    <mergeCell ref="P248:R248"/>
    <mergeCell ref="S248:U248"/>
    <mergeCell ref="V248:X248"/>
    <mergeCell ref="Y248:AA248"/>
    <mergeCell ref="AB248:AF24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35:O235"/>
    <mergeCell ref="P235:R235"/>
    <mergeCell ref="S235:U235"/>
    <mergeCell ref="V235:X235"/>
    <mergeCell ref="Y235:AA235"/>
    <mergeCell ref="AB235:AF235"/>
    <mergeCell ref="B240:AF240"/>
    <mergeCell ref="B241:O242"/>
    <mergeCell ref="P241:U241"/>
    <mergeCell ref="V241:AA241"/>
    <mergeCell ref="AB241:AF242"/>
    <mergeCell ref="P242:R242"/>
    <mergeCell ref="S242:U242"/>
    <mergeCell ref="V242:X242"/>
    <mergeCell ref="Y242:AA242"/>
    <mergeCell ref="B233:O233"/>
    <mergeCell ref="P233:R233"/>
    <mergeCell ref="S233:U233"/>
    <mergeCell ref="V233:X233"/>
    <mergeCell ref="Y233:AA233"/>
    <mergeCell ref="AB233:AF233"/>
    <mergeCell ref="B234:O234"/>
    <mergeCell ref="P234:R234"/>
    <mergeCell ref="S234:U234"/>
    <mergeCell ref="V234:X234"/>
    <mergeCell ref="Y234:AA234"/>
    <mergeCell ref="AB234:AF234"/>
    <mergeCell ref="B231:O231"/>
    <mergeCell ref="P231:R231"/>
    <mergeCell ref="S231:U231"/>
    <mergeCell ref="V231:X231"/>
    <mergeCell ref="Y231:AA231"/>
    <mergeCell ref="AB231:AF231"/>
    <mergeCell ref="B232:O232"/>
    <mergeCell ref="P232:R232"/>
    <mergeCell ref="S232:U232"/>
    <mergeCell ref="V232:X232"/>
    <mergeCell ref="Y232:AA232"/>
    <mergeCell ref="AB232:AF232"/>
    <mergeCell ref="B229:O229"/>
    <mergeCell ref="P229:R229"/>
    <mergeCell ref="S229:U229"/>
    <mergeCell ref="V229:X229"/>
    <mergeCell ref="Y229:AA229"/>
    <mergeCell ref="AB229:AF229"/>
    <mergeCell ref="B230:O230"/>
    <mergeCell ref="P230:R230"/>
    <mergeCell ref="S230:U230"/>
    <mergeCell ref="V230:X230"/>
    <mergeCell ref="Y230:AA230"/>
    <mergeCell ref="AB230:AF230"/>
    <mergeCell ref="B226:O227"/>
    <mergeCell ref="P226:U226"/>
    <mergeCell ref="V226:AA226"/>
    <mergeCell ref="AB226:AF227"/>
    <mergeCell ref="P227:R227"/>
    <mergeCell ref="S227:U227"/>
    <mergeCell ref="V227:X227"/>
    <mergeCell ref="Y227:AA227"/>
    <mergeCell ref="B228:O228"/>
    <mergeCell ref="P228:R228"/>
    <mergeCell ref="S228:U228"/>
    <mergeCell ref="V228:X228"/>
    <mergeCell ref="Y228:AA228"/>
    <mergeCell ref="AB228:AF228"/>
    <mergeCell ref="B221:Q221"/>
    <mergeCell ref="R221:V221"/>
    <mergeCell ref="W221:AA221"/>
    <mergeCell ref="AB221:AF221"/>
    <mergeCell ref="B222:Q222"/>
    <mergeCell ref="R222:V222"/>
    <mergeCell ref="W222:AA222"/>
    <mergeCell ref="AB222:AF222"/>
    <mergeCell ref="B225:AF225"/>
    <mergeCell ref="B218:Q218"/>
    <mergeCell ref="R218:V218"/>
    <mergeCell ref="W218:AA218"/>
    <mergeCell ref="AB218:AF218"/>
    <mergeCell ref="B219:Q219"/>
    <mergeCell ref="R219:V219"/>
    <mergeCell ref="W219:AA219"/>
    <mergeCell ref="AB219:AF219"/>
    <mergeCell ref="B220:Q220"/>
    <mergeCell ref="R220:V220"/>
    <mergeCell ref="W220:AA220"/>
    <mergeCell ref="AB220:AF220"/>
    <mergeCell ref="B215:Q215"/>
    <mergeCell ref="R215:V215"/>
    <mergeCell ref="W215:AA215"/>
    <mergeCell ref="AB215:AF215"/>
    <mergeCell ref="B216:Q216"/>
    <mergeCell ref="R216:V216"/>
    <mergeCell ref="W216:AA216"/>
    <mergeCell ref="AB216:AF216"/>
    <mergeCell ref="B217:Q217"/>
    <mergeCell ref="R217:V217"/>
    <mergeCell ref="W217:AA217"/>
    <mergeCell ref="AB217:AF217"/>
    <mergeCell ref="B209:Q209"/>
    <mergeCell ref="R209:V209"/>
    <mergeCell ref="W209:AA209"/>
    <mergeCell ref="AB209:AF209"/>
    <mergeCell ref="B210:Q210"/>
    <mergeCell ref="R210:V210"/>
    <mergeCell ref="W210:AA210"/>
    <mergeCell ref="AB210:AF210"/>
    <mergeCell ref="B214:Q214"/>
    <mergeCell ref="R214:V214"/>
    <mergeCell ref="W214:AA214"/>
    <mergeCell ref="AB214:AF214"/>
    <mergeCell ref="B206:Q206"/>
    <mergeCell ref="R206:V206"/>
    <mergeCell ref="W206:AA206"/>
    <mergeCell ref="AB206:AF206"/>
    <mergeCell ref="B207:Q207"/>
    <mergeCell ref="R207:V207"/>
    <mergeCell ref="W207:AA207"/>
    <mergeCell ref="AB207:AF207"/>
    <mergeCell ref="B208:Q208"/>
    <mergeCell ref="R208:V208"/>
    <mergeCell ref="W208:AA208"/>
    <mergeCell ref="AB208:AF208"/>
    <mergeCell ref="B203:Q203"/>
    <mergeCell ref="R203:V203"/>
    <mergeCell ref="W203:AA203"/>
    <mergeCell ref="AB203:AF203"/>
    <mergeCell ref="B204:Q204"/>
    <mergeCell ref="R204:V204"/>
    <mergeCell ref="W204:AA204"/>
    <mergeCell ref="AB204:AF204"/>
    <mergeCell ref="B205:Q205"/>
    <mergeCell ref="R205:V205"/>
    <mergeCell ref="W205:AA205"/>
    <mergeCell ref="AB205:AF205"/>
    <mergeCell ref="A191:AF191"/>
    <mergeCell ref="J194:M194"/>
    <mergeCell ref="Y194:AB194"/>
    <mergeCell ref="J196:M196"/>
    <mergeCell ref="D198:G198"/>
    <mergeCell ref="S198:V198"/>
    <mergeCell ref="B202:Q202"/>
    <mergeCell ref="R202:V202"/>
    <mergeCell ref="W202:AA202"/>
    <mergeCell ref="AB202:AF202"/>
    <mergeCell ref="B186:Q186"/>
    <mergeCell ref="R186:V186"/>
    <mergeCell ref="W186:AA186"/>
    <mergeCell ref="AB186:AF186"/>
    <mergeCell ref="B187:Q187"/>
    <mergeCell ref="R187:V187"/>
    <mergeCell ref="W187:AA187"/>
    <mergeCell ref="AB187:AF187"/>
    <mergeCell ref="B188:Q188"/>
    <mergeCell ref="R188:V188"/>
    <mergeCell ref="W188:AA188"/>
    <mergeCell ref="AB188:AF188"/>
    <mergeCell ref="B179:O179"/>
    <mergeCell ref="P179:R179"/>
    <mergeCell ref="S179:U179"/>
    <mergeCell ref="V179:X179"/>
    <mergeCell ref="Y179:AA179"/>
    <mergeCell ref="AB179:AF179"/>
    <mergeCell ref="B180:O180"/>
    <mergeCell ref="P180:R180"/>
    <mergeCell ref="S180:U180"/>
    <mergeCell ref="V180:X180"/>
    <mergeCell ref="Y180:AA180"/>
    <mergeCell ref="AB180:AF180"/>
    <mergeCell ref="B177:O177"/>
    <mergeCell ref="P177:R177"/>
    <mergeCell ref="S177:U177"/>
    <mergeCell ref="V177:X177"/>
    <mergeCell ref="Y177:AA177"/>
    <mergeCell ref="AB177:AF177"/>
    <mergeCell ref="B178:O178"/>
    <mergeCell ref="P178:R178"/>
    <mergeCell ref="S178:U178"/>
    <mergeCell ref="V178:X178"/>
    <mergeCell ref="Y178:AA178"/>
    <mergeCell ref="AB178:AF178"/>
    <mergeCell ref="B175:O175"/>
    <mergeCell ref="P175:R175"/>
    <mergeCell ref="S175:U175"/>
    <mergeCell ref="V175:X175"/>
    <mergeCell ref="Y175:AA175"/>
    <mergeCell ref="AB175:AF175"/>
    <mergeCell ref="B176:O176"/>
    <mergeCell ref="P176:R176"/>
    <mergeCell ref="S176:U176"/>
    <mergeCell ref="V176:X176"/>
    <mergeCell ref="Y176:AA176"/>
    <mergeCell ref="AB176:AF176"/>
    <mergeCell ref="B173:O173"/>
    <mergeCell ref="P173:R173"/>
    <mergeCell ref="S173:U173"/>
    <mergeCell ref="V173:X173"/>
    <mergeCell ref="Y173:AA173"/>
    <mergeCell ref="AB173:AF173"/>
    <mergeCell ref="B174:O174"/>
    <mergeCell ref="P174:R174"/>
    <mergeCell ref="S174:U174"/>
    <mergeCell ref="V174:X174"/>
    <mergeCell ref="Y174:AA174"/>
    <mergeCell ref="AB174:AF174"/>
    <mergeCell ref="B170:AF170"/>
    <mergeCell ref="B171:O172"/>
    <mergeCell ref="P171:U171"/>
    <mergeCell ref="V171:AA171"/>
    <mergeCell ref="AB171:AF172"/>
    <mergeCell ref="P172:R172"/>
    <mergeCell ref="S172:U172"/>
    <mergeCell ref="V172:X172"/>
    <mergeCell ref="Y172:AA172"/>
    <mergeCell ref="B164:O164"/>
    <mergeCell ref="P164:R164"/>
    <mergeCell ref="S164:U164"/>
    <mergeCell ref="V164:X164"/>
    <mergeCell ref="Y164:AA164"/>
    <mergeCell ref="AB164:AF164"/>
    <mergeCell ref="B165:O165"/>
    <mergeCell ref="P165:R165"/>
    <mergeCell ref="S165:U165"/>
    <mergeCell ref="V165:X165"/>
    <mergeCell ref="Y165:AA165"/>
    <mergeCell ref="AB165:AF165"/>
    <mergeCell ref="B162:O162"/>
    <mergeCell ref="P162:R162"/>
    <mergeCell ref="S162:U162"/>
    <mergeCell ref="V162:X162"/>
    <mergeCell ref="Y162:AA162"/>
    <mergeCell ref="AB162:AF162"/>
    <mergeCell ref="B163:O163"/>
    <mergeCell ref="P163:R163"/>
    <mergeCell ref="S163:U163"/>
    <mergeCell ref="V163:X163"/>
    <mergeCell ref="Y163:AA163"/>
    <mergeCell ref="AB163:AF163"/>
    <mergeCell ref="B160:O160"/>
    <mergeCell ref="P160:R160"/>
    <mergeCell ref="S160:U160"/>
    <mergeCell ref="V160:X160"/>
    <mergeCell ref="Y160:AA160"/>
    <mergeCell ref="AB160:AF160"/>
    <mergeCell ref="B161:O161"/>
    <mergeCell ref="P161:R161"/>
    <mergeCell ref="S161:U161"/>
    <mergeCell ref="V161:X161"/>
    <mergeCell ref="Y161:AA161"/>
    <mergeCell ref="AB161:AF161"/>
    <mergeCell ref="B158:O158"/>
    <mergeCell ref="P158:R158"/>
    <mergeCell ref="S158:U158"/>
    <mergeCell ref="V158:X158"/>
    <mergeCell ref="Y158:AA158"/>
    <mergeCell ref="AB158:AF158"/>
    <mergeCell ref="B159:O159"/>
    <mergeCell ref="P159:R159"/>
    <mergeCell ref="S159:U159"/>
    <mergeCell ref="V159:X159"/>
    <mergeCell ref="Y159:AA159"/>
    <mergeCell ref="AB159:AF159"/>
    <mergeCell ref="B152:Q152"/>
    <mergeCell ref="R152:V152"/>
    <mergeCell ref="W152:AA152"/>
    <mergeCell ref="AB152:AF152"/>
    <mergeCell ref="B155:AF155"/>
    <mergeCell ref="B156:O157"/>
    <mergeCell ref="P156:U156"/>
    <mergeCell ref="V156:AA156"/>
    <mergeCell ref="AB156:AF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1:Q151"/>
    <mergeCell ref="R151:V151"/>
    <mergeCell ref="W151:AA151"/>
    <mergeCell ref="AB151:AF151"/>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0:Q140"/>
    <mergeCell ref="R140:V140"/>
    <mergeCell ref="W140:AA140"/>
    <mergeCell ref="AB140:AF140"/>
    <mergeCell ref="B144:Q144"/>
    <mergeCell ref="R144:V144"/>
    <mergeCell ref="W144:AA144"/>
    <mergeCell ref="AB144:AF144"/>
    <mergeCell ref="B145:Q145"/>
    <mergeCell ref="R145:V145"/>
    <mergeCell ref="W145:AA145"/>
    <mergeCell ref="AB145:AF145"/>
    <mergeCell ref="B137:Q137"/>
    <mergeCell ref="R137:V137"/>
    <mergeCell ref="W137:AA137"/>
    <mergeCell ref="AB137:AF137"/>
    <mergeCell ref="B138:Q138"/>
    <mergeCell ref="R138:V138"/>
    <mergeCell ref="W138:AA138"/>
    <mergeCell ref="AB138:AF138"/>
    <mergeCell ref="B139:Q139"/>
    <mergeCell ref="R139:V139"/>
    <mergeCell ref="W139:AA139"/>
    <mergeCell ref="AB139:AF139"/>
    <mergeCell ref="B134:Q134"/>
    <mergeCell ref="R134:V134"/>
    <mergeCell ref="W134:AA134"/>
    <mergeCell ref="AB134:AF134"/>
    <mergeCell ref="B135:Q135"/>
    <mergeCell ref="R135:V135"/>
    <mergeCell ref="W135:AA135"/>
    <mergeCell ref="AB135:AF135"/>
    <mergeCell ref="B136:Q136"/>
    <mergeCell ref="R136:V136"/>
    <mergeCell ref="W136:AA136"/>
    <mergeCell ref="AB136:AF136"/>
    <mergeCell ref="A124:AF124"/>
    <mergeCell ref="A125:AF125"/>
    <mergeCell ref="A126:AF126"/>
    <mergeCell ref="A128:AF128"/>
    <mergeCell ref="B132:Q132"/>
    <mergeCell ref="R132:V132"/>
    <mergeCell ref="W132:AA132"/>
    <mergeCell ref="AB132:AF132"/>
    <mergeCell ref="B133:Q133"/>
    <mergeCell ref="R133:V133"/>
    <mergeCell ref="W133:AA133"/>
    <mergeCell ref="AB133:AF133"/>
    <mergeCell ref="A122:P122"/>
    <mergeCell ref="Q122:T122"/>
    <mergeCell ref="U122:X122"/>
    <mergeCell ref="Y122:AB122"/>
    <mergeCell ref="AC122:AF122"/>
    <mergeCell ref="A123:P123"/>
    <mergeCell ref="Q123:T123"/>
    <mergeCell ref="U123:X123"/>
    <mergeCell ref="Y123:AB123"/>
    <mergeCell ref="AC123:AF123"/>
    <mergeCell ref="A120:P120"/>
    <mergeCell ref="Q120:T120"/>
    <mergeCell ref="U120:X120"/>
    <mergeCell ref="Y120:AB120"/>
    <mergeCell ref="AC120:AF120"/>
    <mergeCell ref="A121:P121"/>
    <mergeCell ref="Q121:T121"/>
    <mergeCell ref="U121:X121"/>
    <mergeCell ref="Y121:AB121"/>
    <mergeCell ref="AC121:AF121"/>
    <mergeCell ref="A118:P118"/>
    <mergeCell ref="Q118:T118"/>
    <mergeCell ref="U118:X118"/>
    <mergeCell ref="Y118:AB118"/>
    <mergeCell ref="AC118:AF118"/>
    <mergeCell ref="A119:P119"/>
    <mergeCell ref="Q119:T119"/>
    <mergeCell ref="U119:X119"/>
    <mergeCell ref="Y119:AB119"/>
    <mergeCell ref="AC119:AF119"/>
    <mergeCell ref="A116:P116"/>
    <mergeCell ref="Q116:T116"/>
    <mergeCell ref="U116:X116"/>
    <mergeCell ref="Y116:AB116"/>
    <mergeCell ref="AC116:AF116"/>
    <mergeCell ref="A117:P117"/>
    <mergeCell ref="Q117:T117"/>
    <mergeCell ref="U117:X117"/>
    <mergeCell ref="Y117:AB117"/>
    <mergeCell ref="AC117:AF117"/>
    <mergeCell ref="A109:AF109"/>
    <mergeCell ref="A110:AF110"/>
    <mergeCell ref="A111:AF111"/>
    <mergeCell ref="A113:AF113"/>
    <mergeCell ref="A114:P114"/>
    <mergeCell ref="Q114:X114"/>
    <mergeCell ref="Y114:AF114"/>
    <mergeCell ref="A115:P115"/>
    <mergeCell ref="Q115:T115"/>
    <mergeCell ref="U115:X115"/>
    <mergeCell ref="Y115:AB115"/>
    <mergeCell ref="AC115:AF115"/>
    <mergeCell ref="A107:P107"/>
    <mergeCell ref="Q107:T107"/>
    <mergeCell ref="U107:X107"/>
    <mergeCell ref="Y107:AB107"/>
    <mergeCell ref="AC107:AF107"/>
    <mergeCell ref="A108:P108"/>
    <mergeCell ref="Q108:T108"/>
    <mergeCell ref="U108:X108"/>
    <mergeCell ref="Y108:AB108"/>
    <mergeCell ref="AC108:AF108"/>
    <mergeCell ref="A105:P105"/>
    <mergeCell ref="Q105:T105"/>
    <mergeCell ref="U105:X105"/>
    <mergeCell ref="Y105:AB105"/>
    <mergeCell ref="AC105:AF105"/>
    <mergeCell ref="A106:P106"/>
    <mergeCell ref="Q106:T106"/>
    <mergeCell ref="U106:X106"/>
    <mergeCell ref="Y106:AB106"/>
    <mergeCell ref="AC106:AF106"/>
    <mergeCell ref="A103:P103"/>
    <mergeCell ref="Q103:T103"/>
    <mergeCell ref="U103:X103"/>
    <mergeCell ref="Y103:AB103"/>
    <mergeCell ref="AC103:AF103"/>
    <mergeCell ref="A104:P104"/>
    <mergeCell ref="Q104:T104"/>
    <mergeCell ref="U104:X104"/>
    <mergeCell ref="Y104:AB104"/>
    <mergeCell ref="AC104:AF104"/>
    <mergeCell ref="A101:P101"/>
    <mergeCell ref="Q101:T101"/>
    <mergeCell ref="U101:X101"/>
    <mergeCell ref="Y101:AB101"/>
    <mergeCell ref="AC101:AF101"/>
    <mergeCell ref="A102:P102"/>
    <mergeCell ref="Q102:T102"/>
    <mergeCell ref="U102:X102"/>
    <mergeCell ref="Y102:AB102"/>
    <mergeCell ref="AC102:AF102"/>
    <mergeCell ref="A95:AF95"/>
    <mergeCell ref="A98:AF98"/>
    <mergeCell ref="A99:P99"/>
    <mergeCell ref="Q99:X99"/>
    <mergeCell ref="Y99:AF99"/>
    <mergeCell ref="A100:P100"/>
    <mergeCell ref="Q100:T100"/>
    <mergeCell ref="U100:X100"/>
    <mergeCell ref="Y100:AB100"/>
    <mergeCell ref="AC100:AF100"/>
    <mergeCell ref="A90:D90"/>
    <mergeCell ref="E90:P90"/>
    <mergeCell ref="Q90:T90"/>
    <mergeCell ref="U90:V90"/>
    <mergeCell ref="W90:AF90"/>
    <mergeCell ref="A91:AF91"/>
    <mergeCell ref="A92:AF92"/>
    <mergeCell ref="A93:AF93"/>
    <mergeCell ref="A94:AF94"/>
    <mergeCell ref="A88:D88"/>
    <mergeCell ref="E88:P88"/>
    <mergeCell ref="Q88:T88"/>
    <mergeCell ref="U88:V88"/>
    <mergeCell ref="W88:AF88"/>
    <mergeCell ref="A89:D89"/>
    <mergeCell ref="E89:P89"/>
    <mergeCell ref="Q89:T89"/>
    <mergeCell ref="U89:V89"/>
    <mergeCell ref="W89:AF89"/>
    <mergeCell ref="A86:D86"/>
    <mergeCell ref="E86:P86"/>
    <mergeCell ref="Q86:T86"/>
    <mergeCell ref="U86:V86"/>
    <mergeCell ref="W86:AF86"/>
    <mergeCell ref="A87:D87"/>
    <mergeCell ref="E87:P87"/>
    <mergeCell ref="Q87:T87"/>
    <mergeCell ref="U87:V87"/>
    <mergeCell ref="W87:AF87"/>
    <mergeCell ref="A84:D84"/>
    <mergeCell ref="E84:P84"/>
    <mergeCell ref="Q84:T84"/>
    <mergeCell ref="U84:V84"/>
    <mergeCell ref="W84:AF84"/>
    <mergeCell ref="A85:D85"/>
    <mergeCell ref="E85:P85"/>
    <mergeCell ref="Q85:T85"/>
    <mergeCell ref="U85:V85"/>
    <mergeCell ref="W85:AF85"/>
    <mergeCell ref="A82:D83"/>
    <mergeCell ref="E82:P82"/>
    <mergeCell ref="Q82:T82"/>
    <mergeCell ref="U82:V82"/>
    <mergeCell ref="W82:AF82"/>
    <mergeCell ref="E83:P83"/>
    <mergeCell ref="Q83:T83"/>
    <mergeCell ref="U83:V83"/>
    <mergeCell ref="W83:AF83"/>
    <mergeCell ref="A80:D80"/>
    <mergeCell ref="E80:P80"/>
    <mergeCell ref="Q80:T80"/>
    <mergeCell ref="U80:V80"/>
    <mergeCell ref="W80:AF80"/>
    <mergeCell ref="A81:D81"/>
    <mergeCell ref="E81:P81"/>
    <mergeCell ref="Q81:T81"/>
    <mergeCell ref="U81:V81"/>
    <mergeCell ref="W81:AF81"/>
    <mergeCell ref="A78:D78"/>
    <mergeCell ref="E78:P78"/>
    <mergeCell ref="Q78:T78"/>
    <mergeCell ref="U78:V78"/>
    <mergeCell ref="W78:AF78"/>
    <mergeCell ref="A79:D79"/>
    <mergeCell ref="E79:P79"/>
    <mergeCell ref="Q79:T79"/>
    <mergeCell ref="U79:V79"/>
    <mergeCell ref="W79:AF79"/>
    <mergeCell ref="A76:D76"/>
    <mergeCell ref="E76:P76"/>
    <mergeCell ref="Q76:T76"/>
    <mergeCell ref="U76:V76"/>
    <mergeCell ref="W76:AF76"/>
    <mergeCell ref="A77:D77"/>
    <mergeCell ref="E77:P77"/>
    <mergeCell ref="Q77:T77"/>
    <mergeCell ref="U77:V77"/>
    <mergeCell ref="W77:AF77"/>
    <mergeCell ref="A1:AF1"/>
    <mergeCell ref="A7:AF7"/>
    <mergeCell ref="B13:AF13"/>
    <mergeCell ref="B16:AF16"/>
    <mergeCell ref="B10:AF10"/>
    <mergeCell ref="B19:AF19"/>
    <mergeCell ref="B28:AF28"/>
    <mergeCell ref="A74:AF74"/>
    <mergeCell ref="A75:D75"/>
    <mergeCell ref="E75:P75"/>
    <mergeCell ref="A3:AF3"/>
    <mergeCell ref="B5:AF5"/>
    <mergeCell ref="B9:I9"/>
    <mergeCell ref="B12:I12"/>
    <mergeCell ref="B15:I15"/>
    <mergeCell ref="B18:I18"/>
    <mergeCell ref="B22:AF22"/>
    <mergeCell ref="B24:AF24"/>
    <mergeCell ref="A26:AF26"/>
    <mergeCell ref="Q75:T75"/>
    <mergeCell ref="U75:V75"/>
    <mergeCell ref="W75:AF75"/>
  </mergeCells>
  <hyperlinks>
    <hyperlink ref="A2" location="TOC!A1" display="Return to TOC" xr:uid="{00000000-0004-0000-0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72"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theme="5" tint="0.79998168889431442"/>
    <pageSetUpPr autoPageBreaks="0"/>
  </sheetPr>
  <dimension ref="A1:AI38"/>
  <sheetViews>
    <sheetView workbookViewId="0">
      <selection activeCell="A2" sqref="A2"/>
    </sheetView>
  </sheetViews>
  <sheetFormatPr defaultColWidth="2.6640625" defaultRowHeight="14.4" x14ac:dyDescent="0.3"/>
  <cols>
    <col min="1" max="16384" width="2.6640625" style="1"/>
  </cols>
  <sheetData>
    <row r="1" spans="1:32" ht="18" x14ac:dyDescent="0.3">
      <c r="A1" s="1131" t="s">
        <v>867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2</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s="4" customFormat="1" ht="96.75" customHeight="1" x14ac:dyDescent="0.3">
      <c r="B6" s="863" t="s">
        <v>42</v>
      </c>
      <c r="C6" s="863"/>
      <c r="D6" s="863"/>
      <c r="E6" s="863"/>
      <c r="F6" s="863"/>
      <c r="G6" s="863"/>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row>
    <row r="7" spans="1:32" s="4" customFormat="1" ht="14.4" customHeight="1" x14ac:dyDescent="0.3">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row>
    <row r="8" spans="1:32" x14ac:dyDescent="0.3">
      <c r="B8" s="51" t="s">
        <v>4</v>
      </c>
      <c r="C8" s="51"/>
      <c r="D8" s="51"/>
      <c r="E8" s="51"/>
      <c r="F8" s="51"/>
      <c r="G8" s="51"/>
      <c r="H8" s="51"/>
      <c r="I8" s="51"/>
    </row>
    <row r="9" spans="1:32" ht="35.25" customHeight="1" x14ac:dyDescent="0.3">
      <c r="B9" s="953" t="s">
        <v>1303</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1" spans="1:32" x14ac:dyDescent="0.3">
      <c r="B11" s="51" t="s">
        <v>5</v>
      </c>
      <c r="C11" s="51"/>
      <c r="D11" s="51"/>
      <c r="E11" s="51"/>
      <c r="F11" s="51"/>
      <c r="G11" s="51"/>
      <c r="H11" s="51"/>
      <c r="I11" s="51"/>
    </row>
    <row r="12" spans="1:32" x14ac:dyDescent="0.3">
      <c r="B12" s="1142" t="s">
        <v>1237</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x14ac:dyDescent="0.3">
      <c r="B15" s="1142" t="s">
        <v>44</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7" spans="1:35" x14ac:dyDescent="0.3">
      <c r="B17" s="51" t="s">
        <v>13</v>
      </c>
      <c r="C17" s="51"/>
      <c r="D17" s="51"/>
      <c r="E17" s="51"/>
      <c r="F17" s="51"/>
      <c r="G17" s="51"/>
      <c r="H17" s="51"/>
      <c r="I17" s="51"/>
    </row>
    <row r="18" spans="1:35" x14ac:dyDescent="0.3">
      <c r="B18" s="1142" t="s">
        <v>43</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1" spans="1:35" x14ac:dyDescent="0.3">
      <c r="A21" s="869" t="s">
        <v>7</v>
      </c>
      <c r="B21" s="870"/>
      <c r="C21" s="870"/>
      <c r="D21" s="870"/>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1"/>
    </row>
    <row r="23" spans="1:35" x14ac:dyDescent="0.3">
      <c r="A23" s="1255" t="s">
        <v>32</v>
      </c>
      <c r="B23" s="1255"/>
      <c r="C23" s="1255"/>
      <c r="D23" s="1255"/>
      <c r="E23" s="1255"/>
      <c r="F23" s="1255"/>
      <c r="G23" s="1255"/>
      <c r="H23" s="1256" t="s">
        <v>1238</v>
      </c>
      <c r="I23" s="1256"/>
      <c r="J23" s="1256"/>
      <c r="K23" s="1256"/>
      <c r="L23" s="1256"/>
      <c r="M23" s="1256"/>
      <c r="N23" s="1256"/>
      <c r="O23" s="1256"/>
      <c r="P23" s="1256"/>
      <c r="Q23" s="1256"/>
      <c r="R23" s="1256"/>
      <c r="S23" s="1256"/>
      <c r="T23" s="1256"/>
      <c r="U23" s="1256"/>
      <c r="V23" s="1256"/>
      <c r="W23" s="1256"/>
      <c r="X23" s="1256"/>
      <c r="Y23" s="1256"/>
      <c r="Z23" s="1256"/>
      <c r="AA23" s="1256"/>
      <c r="AB23" s="1256"/>
      <c r="AC23" s="1256"/>
      <c r="AD23" s="1256"/>
      <c r="AE23" s="1256"/>
      <c r="AF23" s="1256"/>
    </row>
    <row r="24" spans="1:35" x14ac:dyDescent="0.3">
      <c r="A24" s="1255" t="s">
        <v>33</v>
      </c>
      <c r="B24" s="1255"/>
      <c r="C24" s="1255"/>
      <c r="D24" s="1255"/>
      <c r="E24" s="1255"/>
      <c r="F24" s="1255"/>
      <c r="G24" s="1255"/>
      <c r="H24" s="1256" t="s">
        <v>533</v>
      </c>
      <c r="I24" s="1256"/>
      <c r="J24" s="1256"/>
      <c r="K24" s="1256"/>
      <c r="L24" s="1256"/>
      <c r="M24" s="1256"/>
      <c r="N24" s="1256"/>
      <c r="O24" s="1256"/>
      <c r="P24" s="1256"/>
      <c r="Q24" s="1256"/>
      <c r="R24" s="1256"/>
      <c r="S24" s="1256"/>
      <c r="T24" s="1256"/>
      <c r="U24" s="1256"/>
      <c r="V24" s="1256"/>
      <c r="W24" s="1256"/>
      <c r="X24" s="1256"/>
      <c r="Y24" s="1256"/>
      <c r="Z24" s="1256"/>
      <c r="AA24" s="1256"/>
      <c r="AB24" s="1256"/>
      <c r="AC24" s="1256"/>
      <c r="AD24" s="1256"/>
      <c r="AE24" s="1256"/>
      <c r="AF24" s="1256"/>
      <c r="AI24"/>
    </row>
    <row r="27" spans="1:35"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5"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c r="U28" s="1143" t="s">
        <v>11</v>
      </c>
      <c r="V28" s="1143"/>
      <c r="W28" s="1143" t="s">
        <v>12</v>
      </c>
      <c r="X28" s="1143"/>
      <c r="Y28" s="1143"/>
      <c r="Z28" s="1143"/>
      <c r="AA28" s="1143"/>
      <c r="AB28" s="1143"/>
      <c r="AC28" s="1143"/>
      <c r="AD28" s="1143"/>
      <c r="AE28" s="1143"/>
      <c r="AF28" s="1143"/>
    </row>
    <row r="29" spans="1:35" x14ac:dyDescent="0.3">
      <c r="A29" s="1246" t="s">
        <v>32</v>
      </c>
      <c r="B29" s="1155"/>
      <c r="C29" s="1155"/>
      <c r="D29" s="1156"/>
      <c r="E29" s="1148" t="s">
        <v>1455</v>
      </c>
      <c r="F29" s="1149"/>
      <c r="G29" s="1149"/>
      <c r="H29" s="1149"/>
      <c r="I29" s="1149"/>
      <c r="J29" s="1149"/>
      <c r="K29" s="1149"/>
      <c r="L29" s="1149"/>
      <c r="M29" s="1149"/>
      <c r="N29" s="1149"/>
      <c r="O29" s="1149"/>
      <c r="P29" s="1150"/>
      <c r="Q29" s="1243" t="s">
        <v>35</v>
      </c>
      <c r="R29" s="1244"/>
      <c r="S29" s="1244"/>
      <c r="T29" s="1245"/>
      <c r="U29" s="1243" t="s">
        <v>36</v>
      </c>
      <c r="V29" s="1245"/>
      <c r="W29" s="1243" t="s">
        <v>788</v>
      </c>
      <c r="X29" s="1244"/>
      <c r="Y29" s="1244"/>
      <c r="Z29" s="1244"/>
      <c r="AA29" s="1244"/>
      <c r="AB29" s="1244"/>
      <c r="AC29" s="1244"/>
      <c r="AD29" s="1244"/>
      <c r="AE29" s="1244"/>
      <c r="AF29" s="1245"/>
    </row>
    <row r="30" spans="1:35" x14ac:dyDescent="0.3">
      <c r="A30" s="1154" t="s">
        <v>33</v>
      </c>
      <c r="B30" s="1155"/>
      <c r="C30" s="1155"/>
      <c r="D30" s="1156"/>
      <c r="E30" s="1148" t="s">
        <v>1454</v>
      </c>
      <c r="F30" s="1149"/>
      <c r="G30" s="1149"/>
      <c r="H30" s="1149"/>
      <c r="I30" s="1149"/>
      <c r="J30" s="1149"/>
      <c r="K30" s="1149"/>
      <c r="L30" s="1149"/>
      <c r="M30" s="1149"/>
      <c r="N30" s="1149"/>
      <c r="O30" s="1149"/>
      <c r="P30" s="1150"/>
      <c r="Q30" s="1243" t="s">
        <v>35</v>
      </c>
      <c r="R30" s="1244"/>
      <c r="S30" s="1244"/>
      <c r="T30" s="1245"/>
      <c r="U30" s="1243" t="s">
        <v>18</v>
      </c>
      <c r="V30" s="1245"/>
      <c r="W30" s="1243" t="s">
        <v>789</v>
      </c>
      <c r="X30" s="1244"/>
      <c r="Y30" s="1244"/>
      <c r="Z30" s="1244"/>
      <c r="AA30" s="1244"/>
      <c r="AB30" s="1244"/>
      <c r="AC30" s="1244"/>
      <c r="AD30" s="1244"/>
      <c r="AE30" s="1244"/>
      <c r="AF30" s="1245"/>
    </row>
    <row r="31" spans="1:35" ht="43.2" customHeight="1" x14ac:dyDescent="0.3">
      <c r="A31" s="1154" t="s">
        <v>21</v>
      </c>
      <c r="B31" s="1155"/>
      <c r="C31" s="1155"/>
      <c r="D31" s="1156"/>
      <c r="E31" s="1148" t="s">
        <v>39</v>
      </c>
      <c r="F31" s="1149"/>
      <c r="G31" s="1149"/>
      <c r="H31" s="1149"/>
      <c r="I31" s="1149"/>
      <c r="J31" s="1149"/>
      <c r="K31" s="1149"/>
      <c r="L31" s="1149"/>
      <c r="M31" s="1149"/>
      <c r="N31" s="1149"/>
      <c r="O31" s="1149"/>
      <c r="P31" s="1150"/>
      <c r="Q31" s="1243">
        <v>50</v>
      </c>
      <c r="R31" s="1244"/>
      <c r="S31" s="1244"/>
      <c r="T31" s="1245"/>
      <c r="U31" s="1243" t="s">
        <v>22</v>
      </c>
      <c r="V31" s="1245"/>
      <c r="W31" s="1243"/>
      <c r="X31" s="1244"/>
      <c r="Y31" s="1244"/>
      <c r="Z31" s="1244"/>
      <c r="AA31" s="1244"/>
      <c r="AB31" s="1244"/>
      <c r="AC31" s="1244"/>
      <c r="AD31" s="1244"/>
      <c r="AE31" s="1244"/>
      <c r="AF31" s="1245"/>
    </row>
    <row r="32" spans="1:35" x14ac:dyDescent="0.3">
      <c r="A32" s="1154" t="s">
        <v>26</v>
      </c>
      <c r="B32" s="1155"/>
      <c r="C32" s="1155"/>
      <c r="D32" s="1156"/>
      <c r="E32" s="856" t="s">
        <v>27</v>
      </c>
      <c r="F32" s="856"/>
      <c r="G32" s="856"/>
      <c r="H32" s="856"/>
      <c r="I32" s="856"/>
      <c r="J32" s="856"/>
      <c r="K32" s="856"/>
      <c r="L32" s="856"/>
      <c r="M32" s="856"/>
      <c r="N32" s="856"/>
      <c r="O32" s="856"/>
      <c r="P32" s="856"/>
      <c r="Q32" s="1243">
        <f>'Master EUL'!X96</f>
        <v>15</v>
      </c>
      <c r="R32" s="1244"/>
      <c r="S32" s="1244"/>
      <c r="T32" s="1245"/>
      <c r="U32" s="1243" t="s">
        <v>38</v>
      </c>
      <c r="V32" s="1245"/>
      <c r="W32" s="1243"/>
      <c r="X32" s="1244"/>
      <c r="Y32" s="1244"/>
      <c r="Z32" s="1244"/>
      <c r="AA32" s="1244"/>
      <c r="AB32" s="1244"/>
      <c r="AC32" s="1244"/>
      <c r="AD32" s="1244"/>
      <c r="AE32" s="1244"/>
      <c r="AF32" s="1245"/>
    </row>
    <row r="33" spans="1:32" x14ac:dyDescent="0.3">
      <c r="A33" s="8"/>
      <c r="B33" s="8"/>
      <c r="C33" s="8"/>
      <c r="D33" s="8"/>
      <c r="E33" s="2"/>
      <c r="F33" s="2"/>
      <c r="G33" s="2"/>
      <c r="H33" s="2"/>
      <c r="I33" s="2"/>
      <c r="J33" s="2"/>
      <c r="K33" s="2"/>
      <c r="L33" s="2"/>
      <c r="M33" s="2"/>
      <c r="N33" s="2"/>
      <c r="O33" s="2"/>
      <c r="P33" s="2"/>
      <c r="Q33" s="7"/>
      <c r="R33" s="7"/>
      <c r="S33" s="7"/>
      <c r="T33" s="7"/>
      <c r="U33" s="7"/>
      <c r="V33" s="7"/>
      <c r="W33" s="7"/>
      <c r="X33" s="7"/>
      <c r="Y33" s="7"/>
      <c r="Z33" s="7"/>
      <c r="AA33" s="7"/>
      <c r="AB33" s="7"/>
      <c r="AC33" s="7"/>
      <c r="AD33" s="7"/>
      <c r="AE33" s="7"/>
      <c r="AF33" s="7"/>
    </row>
    <row r="35" spans="1:32" x14ac:dyDescent="0.3">
      <c r="A35" s="1251" t="s">
        <v>14</v>
      </c>
      <c r="B35" s="1251"/>
      <c r="C35" s="1251"/>
      <c r="D35" s="1251"/>
      <c r="E35" s="1251"/>
      <c r="F35" s="1251"/>
      <c r="G35" s="1251"/>
      <c r="H35" s="1251"/>
      <c r="I35" s="1251"/>
      <c r="J35" s="1251"/>
      <c r="K35" s="1251"/>
      <c r="L35" s="1251"/>
      <c r="M35" s="1251"/>
      <c r="N35" s="1251"/>
      <c r="O35" s="1251"/>
      <c r="P35" s="1251"/>
      <c r="Q35" s="1251"/>
      <c r="R35" s="1251"/>
      <c r="S35" s="1251"/>
      <c r="T35" s="1251"/>
      <c r="U35" s="1251"/>
      <c r="V35" s="1251"/>
      <c r="W35" s="1251"/>
      <c r="X35" s="1251"/>
      <c r="Y35" s="1251"/>
      <c r="Z35" s="1251"/>
      <c r="AA35" s="1251"/>
      <c r="AB35" s="1251"/>
      <c r="AC35" s="1251"/>
      <c r="AD35" s="1251"/>
      <c r="AE35" s="1251"/>
      <c r="AF35" s="1251"/>
    </row>
    <row r="36" spans="1:32" ht="15" thickBot="1" x14ac:dyDescent="0.35"/>
    <row r="37" spans="1:32" x14ac:dyDescent="0.3">
      <c r="A37" s="1252" t="s">
        <v>15</v>
      </c>
      <c r="B37" s="1253"/>
      <c r="C37" s="1253"/>
      <c r="D37" s="1253"/>
      <c r="E37" s="1253"/>
      <c r="F37" s="1253"/>
      <c r="G37" s="1253"/>
      <c r="H37" s="1253"/>
      <c r="I37" s="1253" t="s">
        <v>16</v>
      </c>
      <c r="J37" s="1253"/>
      <c r="K37" s="1253"/>
      <c r="L37" s="1253"/>
      <c r="M37" s="1253"/>
      <c r="N37" s="1253"/>
      <c r="O37" s="1253"/>
      <c r="P37" s="1253"/>
      <c r="Q37" s="1253" t="s">
        <v>17</v>
      </c>
      <c r="R37" s="1253"/>
      <c r="S37" s="1253"/>
      <c r="T37" s="1253"/>
      <c r="U37" s="1253"/>
      <c r="V37" s="1253"/>
      <c r="W37" s="1253"/>
      <c r="X37" s="1254"/>
    </row>
    <row r="38" spans="1:32" ht="15" thickBot="1" x14ac:dyDescent="0.35">
      <c r="A38" s="1247" t="s">
        <v>45</v>
      </c>
      <c r="B38" s="1248"/>
      <c r="C38" s="1248"/>
      <c r="D38" s="1248"/>
      <c r="E38" s="1248"/>
      <c r="F38" s="1248"/>
      <c r="G38" s="1248"/>
      <c r="H38" s="1248"/>
      <c r="I38" s="1249">
        <f>ROUND(0.05,3)</f>
        <v>0.05</v>
      </c>
      <c r="J38" s="1249"/>
      <c r="K38" s="1249"/>
      <c r="L38" s="1249"/>
      <c r="M38" s="1249"/>
      <c r="N38" s="1249"/>
      <c r="O38" s="1249"/>
      <c r="P38" s="1249"/>
      <c r="Q38" s="1249">
        <f>ROUND(250,2)</f>
        <v>250</v>
      </c>
      <c r="R38" s="1249"/>
      <c r="S38" s="1249"/>
      <c r="T38" s="1249"/>
      <c r="U38" s="1249"/>
      <c r="V38" s="1249"/>
      <c r="W38" s="1249"/>
      <c r="X38" s="1250"/>
    </row>
  </sheetData>
  <sheetProtection algorithmName="SHA-512" hashValue="JDpYNWkD4slpfWfcz3C5DbQeSzqyo8x3/rzG8lrNtuL54GaNW6hg3yHmFebdQP77a6VlI73fRY1YJ6YgO3shxA==" saltValue="T7ue0sf9un3JbQGlNQC5UA==" spinCount="100000" sheet="1" objects="1" scenarios="1"/>
  <mergeCells count="45">
    <mergeCell ref="B6:AF6"/>
    <mergeCell ref="B9:AF9"/>
    <mergeCell ref="A3:AF3"/>
    <mergeCell ref="A1:AF1"/>
    <mergeCell ref="A27:AF27"/>
    <mergeCell ref="A23:G23"/>
    <mergeCell ref="A24:G24"/>
    <mergeCell ref="H23:AF23"/>
    <mergeCell ref="H24:AF24"/>
    <mergeCell ref="B12:AF12"/>
    <mergeCell ref="B15:AF15"/>
    <mergeCell ref="A21:AF21"/>
    <mergeCell ref="B18:AF18"/>
    <mergeCell ref="A28:D28"/>
    <mergeCell ref="E28:P28"/>
    <mergeCell ref="Q28:T28"/>
    <mergeCell ref="U28:V28"/>
    <mergeCell ref="W28:AF28"/>
    <mergeCell ref="A38:H38"/>
    <mergeCell ref="I38:P38"/>
    <mergeCell ref="Q38:X38"/>
    <mergeCell ref="A32:D32"/>
    <mergeCell ref="E32:P32"/>
    <mergeCell ref="Q32:T32"/>
    <mergeCell ref="U32:V32"/>
    <mergeCell ref="W32:AF32"/>
    <mergeCell ref="A35:AF35"/>
    <mergeCell ref="A37:H37"/>
    <mergeCell ref="I37:P37"/>
    <mergeCell ref="Q37:X37"/>
    <mergeCell ref="A31:D31"/>
    <mergeCell ref="E31:P31"/>
    <mergeCell ref="Q31:T31"/>
    <mergeCell ref="U31:V31"/>
    <mergeCell ref="W31:AF31"/>
    <mergeCell ref="W30:AF30"/>
    <mergeCell ref="A29:D29"/>
    <mergeCell ref="E29:P29"/>
    <mergeCell ref="Q29:T29"/>
    <mergeCell ref="U29:V29"/>
    <mergeCell ref="W29:AF29"/>
    <mergeCell ref="A30:D30"/>
    <mergeCell ref="E30:P30"/>
    <mergeCell ref="Q30:T30"/>
    <mergeCell ref="U30:V30"/>
  </mergeCells>
  <hyperlinks>
    <hyperlink ref="A2" location="TOC!A1" display="Return to TOC" xr:uid="{00000000-0004-0000-0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5" tint="0.79998168889431442"/>
    <pageSetUpPr autoPageBreaks="0"/>
  </sheetPr>
  <dimension ref="A1:AF126"/>
  <sheetViews>
    <sheetView workbookViewId="0">
      <selection activeCell="A2" sqref="A2"/>
    </sheetView>
  </sheetViews>
  <sheetFormatPr defaultColWidth="2.6640625" defaultRowHeight="14.4" x14ac:dyDescent="0.3"/>
  <cols>
    <col min="1" max="16384" width="2.6640625" style="1"/>
  </cols>
  <sheetData>
    <row r="1" spans="1:32" ht="18" x14ac:dyDescent="0.3">
      <c r="A1" s="1131" t="s">
        <v>868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4664</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228"/>
      <c r="B6"/>
      <c r="C6"/>
      <c r="D6"/>
      <c r="E6"/>
      <c r="F6"/>
      <c r="G6"/>
      <c r="H6"/>
      <c r="I6"/>
      <c r="J6"/>
      <c r="K6"/>
      <c r="L6"/>
      <c r="M6"/>
      <c r="N6"/>
      <c r="O6"/>
      <c r="P6"/>
      <c r="Q6"/>
      <c r="R6"/>
      <c r="S6"/>
      <c r="T6"/>
      <c r="U6"/>
      <c r="V6"/>
      <c r="W6"/>
      <c r="X6"/>
      <c r="Y6"/>
      <c r="Z6"/>
      <c r="AA6"/>
      <c r="AB6"/>
      <c r="AC6"/>
      <c r="AD6"/>
      <c r="AE6"/>
      <c r="AF6"/>
    </row>
    <row r="7" spans="1:32" x14ac:dyDescent="0.3">
      <c r="A7" s="869" t="s">
        <v>2</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51" t="s">
        <v>3</v>
      </c>
      <c r="C9" s="51"/>
      <c r="D9" s="51"/>
      <c r="E9" s="51"/>
      <c r="F9" s="51"/>
      <c r="G9" s="51"/>
      <c r="H9" s="51"/>
      <c r="I9" s="51"/>
    </row>
    <row r="10" spans="1:32" x14ac:dyDescent="0.3">
      <c r="B10" s="1142" t="s">
        <v>554</v>
      </c>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2" spans="1:32" x14ac:dyDescent="0.3">
      <c r="B12" s="51" t="s">
        <v>4</v>
      </c>
      <c r="C12" s="51"/>
      <c r="D12" s="51"/>
      <c r="E12" s="51"/>
      <c r="F12" s="51"/>
      <c r="G12" s="51"/>
      <c r="H12" s="51"/>
      <c r="I12" s="51"/>
    </row>
    <row r="13" spans="1:32" ht="30.75" customHeight="1" x14ac:dyDescent="0.3">
      <c r="B13" s="127" t="s">
        <v>803</v>
      </c>
      <c r="C13" s="953" t="s">
        <v>4665</v>
      </c>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x14ac:dyDescent="0.3">
      <c r="B14" s="127" t="s">
        <v>803</v>
      </c>
      <c r="C14" s="953" t="s">
        <v>4666</v>
      </c>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row>
    <row r="15" spans="1:32" ht="30" customHeight="1" x14ac:dyDescent="0.3">
      <c r="B15" s="127" t="s">
        <v>803</v>
      </c>
      <c r="C15" s="953" t="s">
        <v>4667</v>
      </c>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6" spans="1:32" x14ac:dyDescent="0.3">
      <c r="B16" s="127" t="s">
        <v>803</v>
      </c>
      <c r="C16" s="953" t="s">
        <v>4668</v>
      </c>
      <c r="D16" s="953"/>
      <c r="E16" s="953"/>
      <c r="F16" s="953"/>
      <c r="G16" s="953"/>
      <c r="H16" s="953"/>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row>
    <row r="17" spans="1:32" ht="170.25" customHeight="1" x14ac:dyDescent="0.3">
      <c r="B17" s="127" t="s">
        <v>803</v>
      </c>
      <c r="C17" s="953" t="s">
        <v>4669</v>
      </c>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row>
    <row r="18" spans="1:32" ht="33" customHeight="1" x14ac:dyDescent="0.3">
      <c r="B18" s="127" t="s">
        <v>803</v>
      </c>
      <c r="C18" s="953" t="s">
        <v>4670</v>
      </c>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20" spans="1:32" x14ac:dyDescent="0.3">
      <c r="B20" s="51" t="s">
        <v>5</v>
      </c>
      <c r="C20" s="51"/>
      <c r="D20" s="51"/>
      <c r="E20" s="51"/>
      <c r="F20" s="51"/>
      <c r="G20" s="51"/>
      <c r="H20" s="51"/>
      <c r="I20" s="51"/>
    </row>
    <row r="21" spans="1:32" ht="32.25" customHeight="1" x14ac:dyDescent="0.3">
      <c r="B21" s="872" t="s">
        <v>4671</v>
      </c>
      <c r="C21" s="1257"/>
      <c r="D21" s="1257"/>
      <c r="E21" s="1257"/>
      <c r="F21" s="1257"/>
      <c r="G21" s="1257"/>
      <c r="H21" s="1257"/>
      <c r="I21" s="1257"/>
      <c r="J21" s="1257"/>
      <c r="K21" s="1257"/>
      <c r="L21" s="1257"/>
      <c r="M21" s="1257"/>
      <c r="N21" s="1257"/>
      <c r="O21" s="1257"/>
      <c r="P21" s="1257"/>
      <c r="Q21" s="1257"/>
      <c r="R21" s="1257"/>
      <c r="S21" s="1257"/>
      <c r="T21" s="1257"/>
      <c r="U21" s="1257"/>
      <c r="V21" s="1257"/>
      <c r="W21" s="1257"/>
      <c r="X21" s="1257"/>
      <c r="Y21" s="1257"/>
      <c r="Z21" s="1257"/>
      <c r="AA21" s="1257"/>
      <c r="AB21" s="1257"/>
      <c r="AC21" s="1257"/>
      <c r="AD21" s="1257"/>
      <c r="AE21" s="1257"/>
      <c r="AF21" s="1257"/>
    </row>
    <row r="23" spans="1:32" x14ac:dyDescent="0.3">
      <c r="B23" s="51" t="s">
        <v>6</v>
      </c>
      <c r="C23" s="51"/>
      <c r="D23" s="51"/>
      <c r="E23" s="51"/>
      <c r="F23" s="51"/>
      <c r="G23" s="51"/>
      <c r="H23" s="51"/>
      <c r="I23" s="51"/>
    </row>
    <row r="24" spans="1:32" x14ac:dyDescent="0.3">
      <c r="B24" s="1142" t="s">
        <v>4672</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row>
    <row r="26" spans="1:32" x14ac:dyDescent="0.3">
      <c r="B26" s="51" t="s">
        <v>13</v>
      </c>
      <c r="C26" s="51"/>
      <c r="D26" s="51"/>
      <c r="E26" s="51"/>
      <c r="F26" s="51"/>
      <c r="G26" s="51"/>
      <c r="H26" s="51"/>
      <c r="I26" s="51"/>
    </row>
    <row r="27" spans="1:32" ht="30.75" customHeight="1" x14ac:dyDescent="0.3">
      <c r="B27" s="953" t="s">
        <v>4673</v>
      </c>
      <c r="C27" s="1145"/>
      <c r="D27" s="1145"/>
      <c r="E27" s="1145"/>
      <c r="F27" s="1145"/>
      <c r="G27" s="1145"/>
      <c r="H27" s="1145"/>
      <c r="I27" s="1145"/>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row>
    <row r="29" spans="1:32" x14ac:dyDescent="0.3">
      <c r="A29" s="869" t="s">
        <v>7</v>
      </c>
      <c r="B29" s="870"/>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1"/>
    </row>
    <row r="31" spans="1:32" x14ac:dyDescent="0.3">
      <c r="B31" s="51" t="s">
        <v>2137</v>
      </c>
    </row>
    <row r="33" spans="1:32" x14ac:dyDescent="0.3">
      <c r="AF33" s="71" t="s">
        <v>1463</v>
      </c>
    </row>
    <row r="36" spans="1:32" x14ac:dyDescent="0.3">
      <c r="B36" s="51" t="s">
        <v>2027</v>
      </c>
    </row>
    <row r="38" spans="1:32" x14ac:dyDescent="0.3">
      <c r="AF38" s="71" t="s">
        <v>1464</v>
      </c>
    </row>
    <row r="41" spans="1:32" x14ac:dyDescent="0.3">
      <c r="B41" s="51" t="s">
        <v>1811</v>
      </c>
    </row>
    <row r="43" spans="1:32" x14ac:dyDescent="0.3">
      <c r="AF43" s="71" t="s">
        <v>1465</v>
      </c>
    </row>
    <row r="46" spans="1:32" x14ac:dyDescent="0.3">
      <c r="A46" s="1141" t="s">
        <v>8</v>
      </c>
      <c r="B46" s="1141"/>
      <c r="C46" s="1141"/>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1"/>
    </row>
    <row r="47" spans="1:32" x14ac:dyDescent="0.3">
      <c r="A47" s="1143" t="s">
        <v>9</v>
      </c>
      <c r="B47" s="1143"/>
      <c r="C47" s="1143"/>
      <c r="D47" s="1143"/>
      <c r="E47" s="1143" t="s">
        <v>3</v>
      </c>
      <c r="F47" s="1143"/>
      <c r="G47" s="1143"/>
      <c r="H47" s="1143"/>
      <c r="I47" s="1143"/>
      <c r="J47" s="1143"/>
      <c r="K47" s="1143"/>
      <c r="L47" s="1143"/>
      <c r="M47" s="1143"/>
      <c r="N47" s="1143"/>
      <c r="O47" s="1143"/>
      <c r="P47" s="1143"/>
      <c r="Q47" s="1143" t="s">
        <v>10</v>
      </c>
      <c r="R47" s="1143"/>
      <c r="S47" s="1143"/>
      <c r="T47" s="1143"/>
      <c r="U47" s="1259" t="s">
        <v>11</v>
      </c>
      <c r="V47" s="1260"/>
      <c r="W47" s="1260"/>
      <c r="X47" s="1143" t="s">
        <v>1466</v>
      </c>
      <c r="Y47" s="1143"/>
      <c r="Z47" s="1143"/>
      <c r="AA47" s="1143"/>
      <c r="AB47" s="1143"/>
      <c r="AC47" s="1143"/>
      <c r="AD47" s="1143"/>
      <c r="AE47" s="1143"/>
      <c r="AF47" s="1143"/>
    </row>
    <row r="48" spans="1:32" ht="31.5" customHeight="1" x14ac:dyDescent="0.3">
      <c r="A48" s="1246" t="s">
        <v>4674</v>
      </c>
      <c r="B48" s="1155"/>
      <c r="C48" s="1155"/>
      <c r="D48" s="1156"/>
      <c r="E48" s="1148" t="s">
        <v>4675</v>
      </c>
      <c r="F48" s="1149"/>
      <c r="G48" s="1149"/>
      <c r="H48" s="1149"/>
      <c r="I48" s="1149"/>
      <c r="J48" s="1149"/>
      <c r="K48" s="1149"/>
      <c r="L48" s="1149"/>
      <c r="M48" s="1149"/>
      <c r="N48" s="1149"/>
      <c r="O48" s="1149"/>
      <c r="P48" s="1150"/>
      <c r="Q48" s="1243" t="s">
        <v>156</v>
      </c>
      <c r="R48" s="1244"/>
      <c r="S48" s="1244"/>
      <c r="T48" s="1245"/>
      <c r="U48" s="1261" t="s">
        <v>20</v>
      </c>
      <c r="V48" s="1244"/>
      <c r="W48" s="1244"/>
      <c r="X48" s="1217"/>
      <c r="Y48" s="1217"/>
      <c r="Z48" s="1217"/>
      <c r="AA48" s="1217"/>
      <c r="AB48" s="1217"/>
      <c r="AC48" s="1217"/>
      <c r="AD48" s="1217"/>
      <c r="AE48" s="1217"/>
      <c r="AF48" s="1217"/>
    </row>
    <row r="49" spans="1:32" ht="31.5" customHeight="1" x14ac:dyDescent="0.3">
      <c r="A49" s="1246" t="s">
        <v>4676</v>
      </c>
      <c r="B49" s="1155"/>
      <c r="C49" s="1155"/>
      <c r="D49" s="1156"/>
      <c r="E49" s="1148" t="s">
        <v>4677</v>
      </c>
      <c r="F49" s="1149"/>
      <c r="G49" s="1149"/>
      <c r="H49" s="1149"/>
      <c r="I49" s="1149"/>
      <c r="J49" s="1149"/>
      <c r="K49" s="1149"/>
      <c r="L49" s="1149"/>
      <c r="M49" s="1149"/>
      <c r="N49" s="1149"/>
      <c r="O49" s="1149"/>
      <c r="P49" s="1150"/>
      <c r="Q49" s="1243" t="s">
        <v>156</v>
      </c>
      <c r="R49" s="1244"/>
      <c r="S49" s="1244"/>
      <c r="T49" s="1245"/>
      <c r="U49" s="1243" t="s">
        <v>4678</v>
      </c>
      <c r="V49" s="1244"/>
      <c r="W49" s="1244"/>
      <c r="X49" s="1217"/>
      <c r="Y49" s="1217"/>
      <c r="Z49" s="1217"/>
      <c r="AA49" s="1217"/>
      <c r="AB49" s="1217"/>
      <c r="AC49" s="1217"/>
      <c r="AD49" s="1217"/>
      <c r="AE49" s="1217"/>
      <c r="AF49" s="1217"/>
    </row>
    <row r="50" spans="1:32" ht="69.75" customHeight="1" x14ac:dyDescent="0.3">
      <c r="A50" s="1154" t="s">
        <v>4679</v>
      </c>
      <c r="B50" s="1155"/>
      <c r="C50" s="1155"/>
      <c r="D50" s="1156"/>
      <c r="E50" s="1148" t="s">
        <v>4680</v>
      </c>
      <c r="F50" s="1149"/>
      <c r="G50" s="1149"/>
      <c r="H50" s="1149"/>
      <c r="I50" s="1149"/>
      <c r="J50" s="1149"/>
      <c r="K50" s="1149"/>
      <c r="L50" s="1149"/>
      <c r="M50" s="1149"/>
      <c r="N50" s="1149"/>
      <c r="O50" s="1149"/>
      <c r="P50" s="1150"/>
      <c r="Q50" s="1151" t="s">
        <v>516</v>
      </c>
      <c r="R50" s="1152"/>
      <c r="S50" s="1152"/>
      <c r="T50" s="1153"/>
      <c r="U50" s="1151" t="s">
        <v>4681</v>
      </c>
      <c r="V50" s="1152"/>
      <c r="W50" s="1152"/>
      <c r="X50" s="1262" t="s">
        <v>4682</v>
      </c>
      <c r="Y50" s="1263"/>
      <c r="Z50" s="1263"/>
      <c r="AA50" s="1263"/>
      <c r="AB50" s="1263"/>
      <c r="AC50" s="1263"/>
      <c r="AD50" s="1263"/>
      <c r="AE50" s="1263"/>
      <c r="AF50" s="1264"/>
    </row>
    <row r="51" spans="1:32" ht="76.5" customHeight="1" x14ac:dyDescent="0.3">
      <c r="A51" s="1154" t="s">
        <v>4683</v>
      </c>
      <c r="B51" s="1155"/>
      <c r="C51" s="1155"/>
      <c r="D51" s="1156"/>
      <c r="E51" s="1148" t="s">
        <v>4684</v>
      </c>
      <c r="F51" s="1149"/>
      <c r="G51" s="1149"/>
      <c r="H51" s="1149"/>
      <c r="I51" s="1149"/>
      <c r="J51" s="1149"/>
      <c r="K51" s="1149"/>
      <c r="L51" s="1149"/>
      <c r="M51" s="1149"/>
      <c r="N51" s="1149"/>
      <c r="O51" s="1149"/>
      <c r="P51" s="1150"/>
      <c r="Q51" s="1151" t="s">
        <v>516</v>
      </c>
      <c r="R51" s="1152"/>
      <c r="S51" s="1152"/>
      <c r="T51" s="1153"/>
      <c r="U51" s="1151" t="s">
        <v>4685</v>
      </c>
      <c r="V51" s="1152"/>
      <c r="W51" s="1152"/>
      <c r="X51" s="1265"/>
      <c r="Y51" s="1266"/>
      <c r="Z51" s="1266"/>
      <c r="AA51" s="1266"/>
      <c r="AB51" s="1266"/>
      <c r="AC51" s="1266"/>
      <c r="AD51" s="1266"/>
      <c r="AE51" s="1266"/>
      <c r="AF51" s="1267"/>
    </row>
    <row r="52" spans="1:32" ht="49.5" customHeight="1" x14ac:dyDescent="0.3">
      <c r="A52" s="1154" t="s">
        <v>4686</v>
      </c>
      <c r="B52" s="1155"/>
      <c r="C52" s="1155"/>
      <c r="D52" s="1156"/>
      <c r="E52" s="1148" t="s">
        <v>4687</v>
      </c>
      <c r="F52" s="1149"/>
      <c r="G52" s="1149"/>
      <c r="H52" s="1149"/>
      <c r="I52" s="1149"/>
      <c r="J52" s="1149"/>
      <c r="K52" s="1149"/>
      <c r="L52" s="1149"/>
      <c r="M52" s="1149"/>
      <c r="N52" s="1149"/>
      <c r="O52" s="1149"/>
      <c r="P52" s="1150"/>
      <c r="Q52" s="1151" t="s">
        <v>156</v>
      </c>
      <c r="R52" s="1152"/>
      <c r="S52" s="1152"/>
      <c r="T52" s="1153"/>
      <c r="U52" s="1261" t="s">
        <v>20</v>
      </c>
      <c r="V52" s="1244"/>
      <c r="W52" s="1244"/>
      <c r="X52" s="1186" t="s">
        <v>4688</v>
      </c>
      <c r="Y52" s="1186"/>
      <c r="Z52" s="1186"/>
      <c r="AA52" s="1186"/>
      <c r="AB52" s="1186"/>
      <c r="AC52" s="1186"/>
      <c r="AD52" s="1186"/>
      <c r="AE52" s="1186"/>
      <c r="AF52" s="1186"/>
    </row>
    <row r="53" spans="1:32" ht="56.25" customHeight="1" x14ac:dyDescent="0.3">
      <c r="A53" s="1154" t="s">
        <v>4689</v>
      </c>
      <c r="B53" s="1155"/>
      <c r="C53" s="1155"/>
      <c r="D53" s="1156"/>
      <c r="E53" s="1148" t="s">
        <v>4690</v>
      </c>
      <c r="F53" s="1149"/>
      <c r="G53" s="1149"/>
      <c r="H53" s="1149"/>
      <c r="I53" s="1149"/>
      <c r="J53" s="1149"/>
      <c r="K53" s="1149"/>
      <c r="L53" s="1149"/>
      <c r="M53" s="1149"/>
      <c r="N53" s="1149"/>
      <c r="O53" s="1149"/>
      <c r="P53" s="1150"/>
      <c r="Q53" s="1151" t="s">
        <v>156</v>
      </c>
      <c r="R53" s="1152"/>
      <c r="S53" s="1152"/>
      <c r="T53" s="1153"/>
      <c r="U53" s="1261" t="s">
        <v>20</v>
      </c>
      <c r="V53" s="1244"/>
      <c r="W53" s="1244"/>
      <c r="X53" s="1186" t="s">
        <v>4691</v>
      </c>
      <c r="Y53" s="1186"/>
      <c r="Z53" s="1186"/>
      <c r="AA53" s="1186"/>
      <c r="AB53" s="1186"/>
      <c r="AC53" s="1186"/>
      <c r="AD53" s="1186"/>
      <c r="AE53" s="1186"/>
      <c r="AF53" s="1186"/>
    </row>
    <row r="54" spans="1:32" ht="94.5" customHeight="1" x14ac:dyDescent="0.3">
      <c r="A54" s="1154" t="s">
        <v>226</v>
      </c>
      <c r="B54" s="1155"/>
      <c r="C54" s="1155"/>
      <c r="D54" s="1156"/>
      <c r="E54" s="1148" t="s">
        <v>4692</v>
      </c>
      <c r="F54" s="1149"/>
      <c r="G54" s="1149"/>
      <c r="H54" s="1149"/>
      <c r="I54" s="1149"/>
      <c r="J54" s="1149"/>
      <c r="K54" s="1149"/>
      <c r="L54" s="1149"/>
      <c r="M54" s="1149"/>
      <c r="N54" s="1149"/>
      <c r="O54" s="1149"/>
      <c r="P54" s="1150"/>
      <c r="Q54" s="1151" t="s">
        <v>156</v>
      </c>
      <c r="R54" s="1152"/>
      <c r="S54" s="1152"/>
      <c r="T54" s="1153"/>
      <c r="U54" s="1261" t="s">
        <v>20</v>
      </c>
      <c r="V54" s="1244"/>
      <c r="W54" s="1244"/>
      <c r="X54" s="1186" t="s">
        <v>4693</v>
      </c>
      <c r="Y54" s="1186"/>
      <c r="Z54" s="1186"/>
      <c r="AA54" s="1186"/>
      <c r="AB54" s="1186"/>
      <c r="AC54" s="1186"/>
      <c r="AD54" s="1186"/>
      <c r="AE54" s="1186"/>
      <c r="AF54" s="1186"/>
    </row>
    <row r="55" spans="1:32" x14ac:dyDescent="0.3">
      <c r="A55" s="1268">
        <v>3412</v>
      </c>
      <c r="B55" s="1155"/>
      <c r="C55" s="1155"/>
      <c r="D55" s="1156"/>
      <c r="E55" s="1148" t="s">
        <v>4694</v>
      </c>
      <c r="F55" s="1149"/>
      <c r="G55" s="1149"/>
      <c r="H55" s="1149"/>
      <c r="I55" s="1149"/>
      <c r="J55" s="1149"/>
      <c r="K55" s="1149"/>
      <c r="L55" s="1149"/>
      <c r="M55" s="1149"/>
      <c r="N55" s="1149"/>
      <c r="O55" s="1149"/>
      <c r="P55" s="1150"/>
      <c r="Q55" s="1261" t="s">
        <v>20</v>
      </c>
      <c r="R55" s="1244"/>
      <c r="S55" s="1244"/>
      <c r="T55" s="1245"/>
      <c r="U55" s="1261" t="s">
        <v>20</v>
      </c>
      <c r="V55" s="1244"/>
      <c r="W55" s="1244"/>
      <c r="X55" s="1217"/>
      <c r="Y55" s="1217"/>
      <c r="Z55" s="1217"/>
      <c r="AA55" s="1217"/>
      <c r="AB55" s="1217"/>
      <c r="AC55" s="1217"/>
      <c r="AD55" s="1217"/>
      <c r="AE55" s="1217"/>
      <c r="AF55" s="1217"/>
    </row>
    <row r="56" spans="1:32" x14ac:dyDescent="0.3">
      <c r="A56" s="1154" t="s">
        <v>2562</v>
      </c>
      <c r="B56" s="1155"/>
      <c r="C56" s="1155"/>
      <c r="D56" s="1156"/>
      <c r="E56" s="1154" t="s">
        <v>2050</v>
      </c>
      <c r="F56" s="1155"/>
      <c r="G56" s="1155"/>
      <c r="H56" s="1155"/>
      <c r="I56" s="1155"/>
      <c r="J56" s="1155"/>
      <c r="K56" s="1155"/>
      <c r="L56" s="1155"/>
      <c r="M56" s="1155"/>
      <c r="N56" s="1155"/>
      <c r="O56" s="1155"/>
      <c r="P56" s="1156"/>
      <c r="Q56" s="1243">
        <f>'Master EUL'!X95</f>
        <v>10</v>
      </c>
      <c r="R56" s="1244"/>
      <c r="S56" s="1244"/>
      <c r="T56" s="1245"/>
      <c r="U56" s="1243" t="s">
        <v>28</v>
      </c>
      <c r="V56" s="1244"/>
      <c r="W56" s="1244"/>
      <c r="X56" s="1217" t="s">
        <v>4695</v>
      </c>
      <c r="Y56" s="1217"/>
      <c r="Z56" s="1217"/>
      <c r="AA56" s="1217"/>
      <c r="AB56" s="1217"/>
      <c r="AC56" s="1217"/>
      <c r="AD56" s="1217"/>
      <c r="AE56" s="1217"/>
      <c r="AF56" s="1217"/>
    </row>
    <row r="57" spans="1:32" ht="55.5" customHeight="1" x14ac:dyDescent="0.3">
      <c r="A57" s="1270" t="s">
        <v>4696</v>
      </c>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row>
    <row r="58" spans="1:32" ht="89.25" customHeight="1" x14ac:dyDescent="0.3">
      <c r="A58" s="1082" t="s">
        <v>4697</v>
      </c>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row>
    <row r="59" spans="1:32" ht="30.75" customHeight="1" x14ac:dyDescent="0.3">
      <c r="A59" s="1082" t="s">
        <v>4698</v>
      </c>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row>
    <row r="60" spans="1:32" ht="42" customHeight="1" x14ac:dyDescent="0.3">
      <c r="A60" s="1082" t="s">
        <v>4699</v>
      </c>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row>
    <row r="61" spans="1:32" x14ac:dyDescent="0.3">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row>
    <row r="62" spans="1:32" ht="16.2" x14ac:dyDescent="0.3">
      <c r="A62" s="230"/>
      <c r="B62" s="621" t="s">
        <v>4700</v>
      </c>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row>
    <row r="63" spans="1:32" x14ac:dyDescent="0.3">
      <c r="A63" s="230"/>
      <c r="B63" s="1271" t="s">
        <v>4701</v>
      </c>
      <c r="C63" s="1271"/>
      <c r="D63" s="1271"/>
      <c r="E63" s="1271"/>
      <c r="F63" s="1272" t="s">
        <v>4702</v>
      </c>
      <c r="G63" s="1143"/>
      <c r="H63" s="1143"/>
      <c r="I63" s="1143"/>
      <c r="J63" s="1143"/>
      <c r="K63" s="1143"/>
      <c r="L63" s="1143"/>
      <c r="M63" s="1272" t="s">
        <v>4703</v>
      </c>
      <c r="N63" s="1143"/>
      <c r="O63" s="1143"/>
      <c r="P63" s="1143"/>
      <c r="Q63" s="1143"/>
      <c r="R63" s="1143"/>
      <c r="S63" s="1143"/>
      <c r="T63" s="230"/>
      <c r="U63" s="230"/>
      <c r="V63" s="230"/>
      <c r="W63" s="230"/>
      <c r="X63" s="230"/>
      <c r="Y63" s="230"/>
      <c r="Z63" s="230"/>
      <c r="AA63" s="230"/>
      <c r="AB63" s="230"/>
      <c r="AC63" s="230"/>
      <c r="AD63" s="230"/>
      <c r="AE63" s="230"/>
      <c r="AF63" s="230"/>
    </row>
    <row r="64" spans="1:32" x14ac:dyDescent="0.3">
      <c r="A64" s="230"/>
      <c r="B64" s="1271"/>
      <c r="C64" s="1271"/>
      <c r="D64" s="1271"/>
      <c r="E64" s="1271"/>
      <c r="F64" s="1143"/>
      <c r="G64" s="1143"/>
      <c r="H64" s="1143"/>
      <c r="I64" s="1143"/>
      <c r="J64" s="1143"/>
      <c r="K64" s="1143"/>
      <c r="L64" s="1143"/>
      <c r="M64" s="1143"/>
      <c r="N64" s="1143"/>
      <c r="O64" s="1143"/>
      <c r="P64" s="1143"/>
      <c r="Q64" s="1143"/>
      <c r="R64" s="1143"/>
      <c r="S64" s="1143"/>
      <c r="T64" s="230"/>
      <c r="U64" s="230"/>
      <c r="V64" s="230"/>
      <c r="W64" s="230"/>
      <c r="X64" s="230"/>
      <c r="Y64" s="230"/>
      <c r="Z64" s="230"/>
      <c r="AA64" s="230"/>
      <c r="AB64" s="230"/>
      <c r="AC64" s="230"/>
      <c r="AD64" s="230"/>
      <c r="AE64" s="230"/>
      <c r="AF64" s="230"/>
    </row>
    <row r="65" spans="1:32" x14ac:dyDescent="0.3">
      <c r="A65" s="230"/>
      <c r="B65" s="855" t="s">
        <v>4704</v>
      </c>
      <c r="C65" s="855"/>
      <c r="D65" s="855"/>
      <c r="E65" s="855"/>
      <c r="F65" s="1269">
        <v>260727</v>
      </c>
      <c r="G65" s="1269"/>
      <c r="H65" s="1269"/>
      <c r="I65" s="1269"/>
      <c r="J65" s="1269"/>
      <c r="K65" s="1269"/>
      <c r="L65" s="1269"/>
      <c r="M65" s="1269">
        <v>4</v>
      </c>
      <c r="N65" s="1269"/>
      <c r="O65" s="1269"/>
      <c r="P65" s="1269"/>
      <c r="Q65" s="1269"/>
      <c r="R65" s="1269"/>
      <c r="S65" s="1269"/>
      <c r="T65" s="230"/>
      <c r="U65" s="230"/>
      <c r="V65" s="230"/>
      <c r="W65" s="230"/>
      <c r="X65" s="230"/>
      <c r="Y65" s="230"/>
      <c r="Z65" s="230"/>
      <c r="AA65" s="230"/>
      <c r="AB65" s="230"/>
      <c r="AC65" s="230"/>
      <c r="AD65" s="230"/>
      <c r="AE65" s="230"/>
      <c r="AF65" s="230"/>
    </row>
    <row r="66" spans="1:32" x14ac:dyDescent="0.3">
      <c r="A66" s="230"/>
      <c r="B66" s="855" t="s">
        <v>4705</v>
      </c>
      <c r="C66" s="855"/>
      <c r="D66" s="855"/>
      <c r="E66" s="855"/>
      <c r="F66" s="1269">
        <v>353512</v>
      </c>
      <c r="G66" s="1269"/>
      <c r="H66" s="1269"/>
      <c r="I66" s="1269"/>
      <c r="J66" s="1269"/>
      <c r="K66" s="1269"/>
      <c r="L66" s="1269"/>
      <c r="M66" s="1269">
        <v>4</v>
      </c>
      <c r="N66" s="1269"/>
      <c r="O66" s="1269"/>
      <c r="P66" s="1269"/>
      <c r="Q66" s="1269"/>
      <c r="R66" s="1269"/>
      <c r="S66" s="1269"/>
      <c r="T66" s="230"/>
      <c r="U66" s="230"/>
      <c r="V66" s="230"/>
      <c r="W66" s="230"/>
      <c r="X66" s="230"/>
      <c r="Y66" s="230"/>
      <c r="Z66" s="230"/>
      <c r="AA66" s="230"/>
      <c r="AB66" s="230"/>
      <c r="AC66" s="230"/>
      <c r="AD66" s="230"/>
      <c r="AE66" s="230"/>
      <c r="AF66" s="230"/>
    </row>
    <row r="67" spans="1:32" x14ac:dyDescent="0.3">
      <c r="A67" s="230"/>
      <c r="B67" s="855" t="s">
        <v>4706</v>
      </c>
      <c r="C67" s="855"/>
      <c r="D67" s="855"/>
      <c r="E67" s="855"/>
      <c r="F67" s="1269">
        <v>370064</v>
      </c>
      <c r="G67" s="1269"/>
      <c r="H67" s="1269"/>
      <c r="I67" s="1269"/>
      <c r="J67" s="1269"/>
      <c r="K67" s="1269"/>
      <c r="L67" s="1269"/>
      <c r="M67" s="1269">
        <v>5</v>
      </c>
      <c r="N67" s="1269"/>
      <c r="O67" s="1269"/>
      <c r="P67" s="1269"/>
      <c r="Q67" s="1269"/>
      <c r="R67" s="1269"/>
      <c r="S67" s="1269"/>
      <c r="T67" s="230"/>
      <c r="U67" s="230"/>
      <c r="V67" s="230"/>
      <c r="W67" s="230"/>
      <c r="X67" s="230"/>
      <c r="Y67" s="230"/>
      <c r="Z67" s="230"/>
      <c r="AA67" s="230"/>
      <c r="AB67" s="230"/>
      <c r="AC67" s="230"/>
      <c r="AD67" s="230"/>
      <c r="AE67" s="230"/>
      <c r="AF67" s="230"/>
    </row>
    <row r="68" spans="1:32" x14ac:dyDescent="0.3">
      <c r="A68" s="230"/>
      <c r="B68" s="855" t="s">
        <v>4707</v>
      </c>
      <c r="C68" s="855"/>
      <c r="D68" s="855"/>
      <c r="E68" s="855"/>
      <c r="F68" s="1269">
        <v>350779</v>
      </c>
      <c r="G68" s="1269"/>
      <c r="H68" s="1269"/>
      <c r="I68" s="1269"/>
      <c r="J68" s="1269"/>
      <c r="K68" s="1269"/>
      <c r="L68" s="1269"/>
      <c r="M68" s="1269">
        <v>10</v>
      </c>
      <c r="N68" s="1269"/>
      <c r="O68" s="1269"/>
      <c r="P68" s="1269"/>
      <c r="Q68" s="1269"/>
      <c r="R68" s="1269"/>
      <c r="S68" s="1269"/>
      <c r="T68" s="230"/>
      <c r="U68" s="230"/>
      <c r="V68" s="230"/>
      <c r="W68" s="230"/>
      <c r="X68" s="230"/>
      <c r="Y68" s="230"/>
      <c r="Z68" s="230"/>
      <c r="AA68" s="230"/>
      <c r="AB68" s="230"/>
      <c r="AC68" s="230"/>
      <c r="AD68" s="230"/>
      <c r="AE68" s="230"/>
      <c r="AF68" s="230"/>
    </row>
    <row r="69" spans="1:32" x14ac:dyDescent="0.3">
      <c r="A69" s="230"/>
      <c r="B69" s="855" t="s">
        <v>4708</v>
      </c>
      <c r="C69" s="855"/>
      <c r="D69" s="855"/>
      <c r="E69" s="855"/>
      <c r="F69" s="1269">
        <v>373810</v>
      </c>
      <c r="G69" s="1269"/>
      <c r="H69" s="1269"/>
      <c r="I69" s="1269"/>
      <c r="J69" s="1269"/>
      <c r="K69" s="1269"/>
      <c r="L69" s="1269"/>
      <c r="M69" s="1269">
        <v>29</v>
      </c>
      <c r="N69" s="1269"/>
      <c r="O69" s="1269"/>
      <c r="P69" s="1269"/>
      <c r="Q69" s="1269"/>
      <c r="R69" s="1269"/>
      <c r="S69" s="1269"/>
      <c r="T69" s="230"/>
      <c r="U69" s="230"/>
      <c r="V69" s="230"/>
      <c r="W69" s="230"/>
      <c r="X69" s="230"/>
      <c r="Y69" s="230"/>
      <c r="Z69" s="230"/>
      <c r="AA69" s="230"/>
      <c r="AB69" s="230"/>
      <c r="AC69" s="230"/>
      <c r="AD69" s="230"/>
      <c r="AE69" s="230"/>
      <c r="AF69" s="230"/>
    </row>
    <row r="70" spans="1:32" x14ac:dyDescent="0.3">
      <c r="A70" s="230"/>
      <c r="B70" s="855" t="s">
        <v>4709</v>
      </c>
      <c r="C70" s="855"/>
      <c r="D70" s="855"/>
      <c r="E70" s="855"/>
      <c r="F70" s="1269">
        <v>356792</v>
      </c>
      <c r="G70" s="1269"/>
      <c r="H70" s="1269"/>
      <c r="I70" s="1269"/>
      <c r="J70" s="1269"/>
      <c r="K70" s="1269"/>
      <c r="L70" s="1269"/>
      <c r="M70" s="1269">
        <v>41</v>
      </c>
      <c r="N70" s="1269"/>
      <c r="O70" s="1269"/>
      <c r="P70" s="1269"/>
      <c r="Q70" s="1269"/>
      <c r="R70" s="1269"/>
      <c r="S70" s="1269"/>
      <c r="T70" s="230"/>
      <c r="U70" s="230"/>
      <c r="V70" s="230"/>
      <c r="W70" s="230"/>
      <c r="X70" s="230"/>
      <c r="Y70" s="230"/>
      <c r="Z70" s="230"/>
      <c r="AA70" s="230"/>
      <c r="AB70" s="230"/>
      <c r="AC70" s="230"/>
      <c r="AD70" s="230"/>
      <c r="AE70" s="230"/>
      <c r="AF70" s="230"/>
    </row>
    <row r="71" spans="1:32" x14ac:dyDescent="0.3">
      <c r="A71" s="230"/>
      <c r="B71" s="855" t="s">
        <v>4710</v>
      </c>
      <c r="C71" s="855"/>
      <c r="D71" s="855"/>
      <c r="E71" s="855"/>
      <c r="F71" s="1269">
        <v>261620</v>
      </c>
      <c r="G71" s="1269"/>
      <c r="H71" s="1269"/>
      <c r="I71" s="1269"/>
      <c r="J71" s="1269"/>
      <c r="K71" s="1269"/>
      <c r="L71" s="1269"/>
      <c r="M71" s="1269">
        <v>32</v>
      </c>
      <c r="N71" s="1269"/>
      <c r="O71" s="1269"/>
      <c r="P71" s="1269"/>
      <c r="Q71" s="1269"/>
      <c r="R71" s="1269"/>
      <c r="S71" s="1269"/>
      <c r="T71" s="230"/>
      <c r="U71" s="230"/>
      <c r="V71" s="230"/>
      <c r="W71" s="230"/>
      <c r="X71" s="230"/>
      <c r="Y71" s="230"/>
      <c r="Z71" s="230"/>
      <c r="AA71" s="230"/>
      <c r="AB71" s="230"/>
      <c r="AC71" s="230"/>
      <c r="AD71" s="230"/>
      <c r="AE71" s="230"/>
      <c r="AF71" s="230"/>
    </row>
    <row r="72" spans="1:32" ht="77.25" customHeight="1" x14ac:dyDescent="0.3">
      <c r="A72" s="230"/>
      <c r="B72" s="1082" t="s">
        <v>4711</v>
      </c>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c r="AB72" s="1082"/>
      <c r="AC72" s="1082"/>
      <c r="AD72" s="1082"/>
      <c r="AE72" s="1082"/>
      <c r="AF72" s="1082"/>
    </row>
    <row r="73" spans="1:32" x14ac:dyDescent="0.3">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row>
    <row r="74" spans="1:32" ht="16.2" x14ac:dyDescent="0.3">
      <c r="A74" s="230"/>
      <c r="B74" s="621" t="s">
        <v>4712</v>
      </c>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row>
    <row r="75" spans="1:32" ht="16.2" x14ac:dyDescent="0.3">
      <c r="A75" s="621"/>
      <c r="B75" s="1274" t="s">
        <v>4713</v>
      </c>
      <c r="C75" s="1274"/>
      <c r="D75" s="1274"/>
      <c r="E75" s="1274"/>
      <c r="F75" s="1274"/>
      <c r="G75" s="1274"/>
      <c r="H75" s="1274"/>
      <c r="I75" s="1274"/>
      <c r="J75" s="1274"/>
      <c r="K75" s="1274"/>
      <c r="L75" s="1274"/>
      <c r="M75" s="1274"/>
      <c r="N75" s="1274"/>
      <c r="O75" s="1274"/>
      <c r="P75" s="1143" t="s">
        <v>4714</v>
      </c>
      <c r="Q75" s="1143"/>
      <c r="R75" s="1143"/>
      <c r="S75" s="1143"/>
      <c r="T75" s="1143"/>
      <c r="U75" s="621"/>
      <c r="V75" s="621"/>
      <c r="W75" s="621"/>
      <c r="X75" s="621"/>
      <c r="Y75" s="621"/>
      <c r="Z75" s="621"/>
      <c r="AA75" s="621"/>
      <c r="AB75" s="621"/>
      <c r="AC75" s="621"/>
      <c r="AD75" s="621"/>
      <c r="AE75" s="621"/>
      <c r="AF75" s="621"/>
    </row>
    <row r="76" spans="1:32" x14ac:dyDescent="0.3">
      <c r="A76" s="230"/>
      <c r="B76" s="855" t="s">
        <v>4715</v>
      </c>
      <c r="C76" s="855"/>
      <c r="D76" s="855"/>
      <c r="E76" s="855"/>
      <c r="F76" s="855"/>
      <c r="G76" s="855"/>
      <c r="H76" s="855"/>
      <c r="I76" s="855"/>
      <c r="J76" s="855"/>
      <c r="K76" s="855"/>
      <c r="L76" s="855"/>
      <c r="M76" s="855"/>
      <c r="N76" s="855"/>
      <c r="O76" s="855"/>
      <c r="P76" s="1273">
        <v>0.80910000000000004</v>
      </c>
      <c r="Q76" s="1273"/>
      <c r="R76" s="1273"/>
      <c r="S76" s="1273"/>
      <c r="T76" s="1273"/>
      <c r="U76" s="230"/>
      <c r="V76" s="230"/>
      <c r="W76" s="230"/>
      <c r="X76" s="230"/>
      <c r="Y76" s="230"/>
      <c r="Z76" s="230"/>
      <c r="AA76" s="230"/>
      <c r="AB76" s="230"/>
      <c r="AC76" s="230"/>
      <c r="AD76" s="230"/>
      <c r="AE76" s="230"/>
      <c r="AF76" s="230"/>
    </row>
    <row r="77" spans="1:32" x14ac:dyDescent="0.3">
      <c r="A77" s="230"/>
      <c r="B77" s="855" t="s">
        <v>4716</v>
      </c>
      <c r="C77" s="855"/>
      <c r="D77" s="855"/>
      <c r="E77" s="855"/>
      <c r="F77" s="855"/>
      <c r="G77" s="855"/>
      <c r="H77" s="855"/>
      <c r="I77" s="855"/>
      <c r="J77" s="855"/>
      <c r="K77" s="855"/>
      <c r="L77" s="855"/>
      <c r="M77" s="855"/>
      <c r="N77" s="855"/>
      <c r="O77" s="855"/>
      <c r="P77" s="1273">
        <v>0.52200000000000002</v>
      </c>
      <c r="Q77" s="1273"/>
      <c r="R77" s="1273"/>
      <c r="S77" s="1273"/>
      <c r="T77" s="1273"/>
      <c r="U77" s="230"/>
      <c r="V77" s="230"/>
      <c r="W77" s="230"/>
      <c r="X77" s="230"/>
      <c r="Y77" s="230"/>
      <c r="Z77" s="230"/>
      <c r="AA77" s="230"/>
      <c r="AB77" s="230"/>
      <c r="AC77" s="230"/>
      <c r="AD77" s="230"/>
      <c r="AE77" s="230"/>
      <c r="AF77" s="230"/>
    </row>
    <row r="78" spans="1:32" x14ac:dyDescent="0.3">
      <c r="A78" s="230"/>
      <c r="B78" s="855" t="s">
        <v>4717</v>
      </c>
      <c r="C78" s="855"/>
      <c r="D78" s="855"/>
      <c r="E78" s="855"/>
      <c r="F78" s="855"/>
      <c r="G78" s="855"/>
      <c r="H78" s="855"/>
      <c r="I78" s="855"/>
      <c r="J78" s="855"/>
      <c r="K78" s="855"/>
      <c r="L78" s="855"/>
      <c r="M78" s="855"/>
      <c r="N78" s="855"/>
      <c r="O78" s="855"/>
      <c r="P78" s="1273">
        <v>0.48720000000000002</v>
      </c>
      <c r="Q78" s="1273"/>
      <c r="R78" s="1273"/>
      <c r="S78" s="1273"/>
      <c r="T78" s="1273"/>
      <c r="U78" s="230"/>
      <c r="V78" s="230"/>
      <c r="W78" s="230"/>
      <c r="X78" s="230"/>
      <c r="Y78" s="230"/>
      <c r="Z78" s="230"/>
      <c r="AA78" s="230"/>
      <c r="AB78" s="230"/>
      <c r="AC78" s="230"/>
      <c r="AD78" s="230"/>
      <c r="AE78" s="230"/>
      <c r="AF78" s="230"/>
    </row>
    <row r="79" spans="1:32" x14ac:dyDescent="0.3">
      <c r="A79" s="230"/>
      <c r="B79" s="855" t="s">
        <v>4718</v>
      </c>
      <c r="C79" s="855"/>
      <c r="D79" s="855"/>
      <c r="E79" s="855"/>
      <c r="F79" s="855"/>
      <c r="G79" s="855"/>
      <c r="H79" s="855"/>
      <c r="I79" s="855"/>
      <c r="J79" s="855"/>
      <c r="K79" s="855"/>
      <c r="L79" s="855"/>
      <c r="M79" s="855"/>
      <c r="N79" s="855"/>
      <c r="O79" s="855"/>
      <c r="P79" s="1273">
        <v>0.58290000000000008</v>
      </c>
      <c r="Q79" s="1273"/>
      <c r="R79" s="1273"/>
      <c r="S79" s="1273"/>
      <c r="T79" s="1273"/>
      <c r="U79" s="230"/>
      <c r="V79" s="230"/>
      <c r="W79" s="230"/>
      <c r="X79" s="230"/>
      <c r="Y79" s="230"/>
      <c r="Z79" s="230"/>
      <c r="AA79" s="230"/>
      <c r="AB79" s="230"/>
      <c r="AC79" s="230"/>
      <c r="AD79" s="230"/>
      <c r="AE79" s="230"/>
      <c r="AF79" s="230"/>
    </row>
    <row r="80" spans="1:32" x14ac:dyDescent="0.3">
      <c r="A80" s="230"/>
      <c r="B80" s="855" t="s">
        <v>4719</v>
      </c>
      <c r="C80" s="855"/>
      <c r="D80" s="855"/>
      <c r="E80" s="855"/>
      <c r="F80" s="855"/>
      <c r="G80" s="855"/>
      <c r="H80" s="855"/>
      <c r="I80" s="855"/>
      <c r="J80" s="855"/>
      <c r="K80" s="855"/>
      <c r="L80" s="855"/>
      <c r="M80" s="855"/>
      <c r="N80" s="855"/>
      <c r="O80" s="855"/>
      <c r="P80" s="1273">
        <v>0.48720000000000002</v>
      </c>
      <c r="Q80" s="1273"/>
      <c r="R80" s="1273"/>
      <c r="S80" s="1273"/>
      <c r="T80" s="1273"/>
      <c r="U80" s="230"/>
      <c r="V80" s="230"/>
      <c r="W80" s="230"/>
      <c r="X80" s="230"/>
      <c r="Y80" s="230"/>
      <c r="Z80" s="230"/>
      <c r="AA80" s="230"/>
      <c r="AB80" s="230"/>
      <c r="AC80" s="230"/>
      <c r="AD80" s="230"/>
      <c r="AE80" s="230"/>
      <c r="AF80" s="230"/>
    </row>
    <row r="81" spans="1:32" x14ac:dyDescent="0.3">
      <c r="A81" s="230"/>
      <c r="B81" s="855" t="s">
        <v>4720</v>
      </c>
      <c r="C81" s="855"/>
      <c r="D81" s="855"/>
      <c r="E81" s="855"/>
      <c r="F81" s="855"/>
      <c r="G81" s="855"/>
      <c r="H81" s="855"/>
      <c r="I81" s="855"/>
      <c r="J81" s="855"/>
      <c r="K81" s="855"/>
      <c r="L81" s="855"/>
      <c r="M81" s="855"/>
      <c r="N81" s="855"/>
      <c r="O81" s="855"/>
      <c r="P81" s="1273">
        <v>0.69600000000000006</v>
      </c>
      <c r="Q81" s="1273"/>
      <c r="R81" s="1273"/>
      <c r="S81" s="1273"/>
      <c r="T81" s="1273"/>
      <c r="U81" s="230"/>
      <c r="V81" s="230"/>
      <c r="W81" s="230"/>
      <c r="X81" s="230"/>
      <c r="Y81" s="230"/>
      <c r="Z81" s="230"/>
      <c r="AA81" s="230"/>
      <c r="AB81" s="230"/>
      <c r="AC81" s="230"/>
      <c r="AD81" s="230"/>
      <c r="AE81" s="230"/>
      <c r="AF81" s="230"/>
    </row>
    <row r="82" spans="1:32" x14ac:dyDescent="0.3">
      <c r="A82" s="230"/>
      <c r="B82" s="855" t="s">
        <v>4721</v>
      </c>
      <c r="C82" s="855"/>
      <c r="D82" s="855"/>
      <c r="E82" s="855"/>
      <c r="F82" s="855"/>
      <c r="G82" s="855"/>
      <c r="H82" s="855"/>
      <c r="I82" s="855"/>
      <c r="J82" s="855"/>
      <c r="K82" s="855"/>
      <c r="L82" s="855"/>
      <c r="M82" s="855"/>
      <c r="N82" s="855"/>
      <c r="O82" s="855"/>
      <c r="P82" s="1273">
        <v>0.53939999999999999</v>
      </c>
      <c r="Q82" s="1273"/>
      <c r="R82" s="1273"/>
      <c r="S82" s="1273"/>
      <c r="T82" s="1273"/>
      <c r="U82" s="230"/>
      <c r="V82" s="230"/>
      <c r="W82" s="230"/>
      <c r="X82" s="230"/>
      <c r="Y82" s="230"/>
      <c r="Z82" s="230"/>
      <c r="AA82" s="230"/>
      <c r="AB82" s="230"/>
      <c r="AC82" s="230"/>
      <c r="AD82" s="230"/>
      <c r="AE82" s="230"/>
      <c r="AF82" s="230"/>
    </row>
    <row r="83" spans="1:32" x14ac:dyDescent="0.3">
      <c r="A83" s="230"/>
      <c r="B83" s="855" t="s">
        <v>4722</v>
      </c>
      <c r="C83" s="855"/>
      <c r="D83" s="855"/>
      <c r="E83" s="855"/>
      <c r="F83" s="855"/>
      <c r="G83" s="855"/>
      <c r="H83" s="855"/>
      <c r="I83" s="855"/>
      <c r="J83" s="855"/>
      <c r="K83" s="855"/>
      <c r="L83" s="855"/>
      <c r="M83" s="855"/>
      <c r="N83" s="855"/>
      <c r="O83" s="855"/>
      <c r="P83" s="1273">
        <v>0.50459999999999994</v>
      </c>
      <c r="Q83" s="1273"/>
      <c r="R83" s="1273"/>
      <c r="S83" s="1273"/>
      <c r="T83" s="1273"/>
      <c r="U83" s="230"/>
      <c r="V83" s="230"/>
      <c r="W83" s="230"/>
      <c r="X83" s="230"/>
      <c r="Y83" s="230"/>
      <c r="Z83" s="230"/>
      <c r="AA83" s="230"/>
      <c r="AB83" s="230"/>
      <c r="AC83" s="230"/>
      <c r="AD83" s="230"/>
      <c r="AE83" s="230"/>
      <c r="AF83" s="230"/>
    </row>
    <row r="84" spans="1:32" x14ac:dyDescent="0.3">
      <c r="A84" s="230"/>
      <c r="B84" s="855" t="s">
        <v>4723</v>
      </c>
      <c r="C84" s="855"/>
      <c r="D84" s="855"/>
      <c r="E84" s="855"/>
      <c r="F84" s="855"/>
      <c r="G84" s="855"/>
      <c r="H84" s="855"/>
      <c r="I84" s="855"/>
      <c r="J84" s="855"/>
      <c r="K84" s="855"/>
      <c r="L84" s="855"/>
      <c r="M84" s="855"/>
      <c r="N84" s="855"/>
      <c r="O84" s="855"/>
      <c r="P84" s="1273">
        <v>0.55679999999999996</v>
      </c>
      <c r="Q84" s="1273"/>
      <c r="R84" s="1273"/>
      <c r="S84" s="1273"/>
      <c r="T84" s="1273"/>
      <c r="U84" s="230"/>
      <c r="V84" s="230"/>
      <c r="W84" s="230"/>
      <c r="X84" s="230"/>
      <c r="Y84" s="230"/>
      <c r="Z84" s="230"/>
      <c r="AA84" s="230"/>
      <c r="AB84" s="230"/>
      <c r="AC84" s="230"/>
      <c r="AD84" s="230"/>
      <c r="AE84" s="230"/>
      <c r="AF84" s="230"/>
    </row>
    <row r="85" spans="1:32" x14ac:dyDescent="0.3">
      <c r="A85" s="230"/>
      <c r="B85" s="855" t="s">
        <v>4724</v>
      </c>
      <c r="C85" s="855"/>
      <c r="D85" s="855"/>
      <c r="E85" s="855"/>
      <c r="F85" s="855"/>
      <c r="G85" s="855"/>
      <c r="H85" s="855"/>
      <c r="I85" s="855"/>
      <c r="J85" s="855"/>
      <c r="K85" s="855"/>
      <c r="L85" s="855"/>
      <c r="M85" s="855"/>
      <c r="N85" s="855"/>
      <c r="O85" s="855"/>
      <c r="P85" s="1273">
        <v>0.50459999999999994</v>
      </c>
      <c r="Q85" s="1273"/>
      <c r="R85" s="1273"/>
      <c r="S85" s="1273"/>
      <c r="T85" s="1273"/>
      <c r="U85" s="230"/>
      <c r="V85" s="230"/>
      <c r="W85" s="230"/>
      <c r="X85" s="230"/>
      <c r="Y85" s="230"/>
      <c r="Z85" s="230"/>
      <c r="AA85" s="230"/>
      <c r="AB85" s="230"/>
      <c r="AC85" s="230"/>
      <c r="AD85" s="230"/>
      <c r="AE85" s="230"/>
      <c r="AF85" s="230"/>
    </row>
    <row r="86" spans="1:32" ht="79.5" customHeight="1" x14ac:dyDescent="0.3">
      <c r="A86" s="230"/>
      <c r="B86" s="1082" t="s">
        <v>4725</v>
      </c>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c r="AB86" s="1082"/>
      <c r="AC86" s="1082"/>
      <c r="AD86" s="1082"/>
      <c r="AE86" s="1082"/>
      <c r="AF86" s="1082"/>
    </row>
    <row r="87" spans="1:32" ht="30" customHeight="1" x14ac:dyDescent="0.3">
      <c r="A87" s="230"/>
      <c r="B87" s="1082" t="s">
        <v>4726</v>
      </c>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c r="AA87" s="1082"/>
      <c r="AB87" s="1082"/>
      <c r="AC87" s="1082"/>
      <c r="AD87" s="1082"/>
      <c r="AE87" s="1082"/>
      <c r="AF87" s="1082"/>
    </row>
    <row r="88" spans="1:32" x14ac:dyDescent="0.3">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row>
    <row r="89" spans="1:32" ht="16.2" x14ac:dyDescent="0.3">
      <c r="A89" s="230"/>
      <c r="B89" s="621" t="s">
        <v>4727</v>
      </c>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row>
    <row r="90" spans="1:32" x14ac:dyDescent="0.3">
      <c r="A90" s="230"/>
      <c r="B90" s="1271" t="s">
        <v>4728</v>
      </c>
      <c r="C90" s="1274"/>
      <c r="D90" s="1274"/>
      <c r="E90" s="1274"/>
      <c r="F90" s="1274"/>
      <c r="G90" s="1274"/>
      <c r="H90" s="1274"/>
      <c r="I90" s="1274"/>
      <c r="J90" s="1272" t="s">
        <v>4729</v>
      </c>
      <c r="K90" s="1272"/>
      <c r="L90" s="1272"/>
      <c r="M90" s="1272"/>
      <c r="N90" s="1272"/>
      <c r="O90" s="1272" t="s">
        <v>4194</v>
      </c>
      <c r="P90" s="1272"/>
      <c r="Q90" s="1272"/>
      <c r="R90" s="1272"/>
      <c r="S90" s="1272"/>
      <c r="T90" s="1272" t="s">
        <v>4730</v>
      </c>
      <c r="U90" s="1272"/>
      <c r="V90" s="1272"/>
      <c r="W90" s="1272"/>
      <c r="X90" s="1272"/>
      <c r="Y90" s="1272" t="s">
        <v>4731</v>
      </c>
      <c r="Z90" s="1272"/>
      <c r="AA90" s="1272"/>
      <c r="AB90" s="1272"/>
      <c r="AC90" s="1272"/>
      <c r="AD90" s="230"/>
      <c r="AE90" s="230"/>
      <c r="AF90" s="230"/>
    </row>
    <row r="91" spans="1:32" x14ac:dyDescent="0.3">
      <c r="A91" s="230"/>
      <c r="B91" s="1274"/>
      <c r="C91" s="1274"/>
      <c r="D91" s="1274"/>
      <c r="E91" s="1274"/>
      <c r="F91" s="1274"/>
      <c r="G91" s="1274"/>
      <c r="H91" s="1274"/>
      <c r="I91" s="1274"/>
      <c r="J91" s="1272"/>
      <c r="K91" s="1272"/>
      <c r="L91" s="1272"/>
      <c r="M91" s="1272"/>
      <c r="N91" s="1272"/>
      <c r="O91" s="1272"/>
      <c r="P91" s="1272"/>
      <c r="Q91" s="1272"/>
      <c r="R91" s="1272"/>
      <c r="S91" s="1272"/>
      <c r="T91" s="1272"/>
      <c r="U91" s="1272"/>
      <c r="V91" s="1272"/>
      <c r="W91" s="1272"/>
      <c r="X91" s="1272"/>
      <c r="Y91" s="1272"/>
      <c r="Z91" s="1272"/>
      <c r="AA91" s="1272"/>
      <c r="AB91" s="1272"/>
      <c r="AC91" s="1272"/>
      <c r="AD91" s="230"/>
      <c r="AE91" s="230"/>
      <c r="AF91" s="230"/>
    </row>
    <row r="92" spans="1:32" x14ac:dyDescent="0.3">
      <c r="A92" s="230"/>
      <c r="B92" s="614" t="s">
        <v>4732</v>
      </c>
      <c r="C92" s="614"/>
      <c r="D92" s="614"/>
      <c r="E92" s="614"/>
      <c r="F92" s="614"/>
      <c r="G92" s="614"/>
      <c r="H92" s="614"/>
      <c r="I92" s="614"/>
      <c r="J92" s="1275">
        <v>2.9</v>
      </c>
      <c r="K92" s="1275"/>
      <c r="L92" s="1275"/>
      <c r="M92" s="1275"/>
      <c r="N92" s="1275"/>
      <c r="O92" s="1275">
        <v>2.9</v>
      </c>
      <c r="P92" s="1275"/>
      <c r="Q92" s="1275"/>
      <c r="R92" s="1275"/>
      <c r="S92" s="1275"/>
      <c r="T92" s="1275">
        <v>2.5</v>
      </c>
      <c r="U92" s="1275"/>
      <c r="V92" s="1275"/>
      <c r="W92" s="1275"/>
      <c r="X92" s="1275"/>
      <c r="Y92" s="1275">
        <v>4.2</v>
      </c>
      <c r="Z92" s="1275"/>
      <c r="AA92" s="1275"/>
      <c r="AB92" s="1275"/>
      <c r="AC92" s="1275"/>
      <c r="AD92" s="230"/>
      <c r="AE92" s="230"/>
      <c r="AF92" s="230"/>
    </row>
    <row r="93" spans="1:32" x14ac:dyDescent="0.3">
      <c r="A93" s="230"/>
      <c r="B93" s="614" t="s">
        <v>4733</v>
      </c>
      <c r="C93" s="614"/>
      <c r="D93" s="614"/>
      <c r="E93" s="614"/>
      <c r="F93" s="614"/>
      <c r="G93" s="614"/>
      <c r="H93" s="614"/>
      <c r="I93" s="614"/>
      <c r="J93" s="1275">
        <v>3.8</v>
      </c>
      <c r="K93" s="1275"/>
      <c r="L93" s="1275"/>
      <c r="M93" s="1275"/>
      <c r="N93" s="1275"/>
      <c r="O93" s="1275">
        <v>3.1</v>
      </c>
      <c r="P93" s="1275"/>
      <c r="Q93" s="1275"/>
      <c r="R93" s="1275"/>
      <c r="S93" s="1275"/>
      <c r="T93" s="1275">
        <v>2.8</v>
      </c>
      <c r="U93" s="1275"/>
      <c r="V93" s="1275"/>
      <c r="W93" s="1275"/>
      <c r="X93" s="1275"/>
      <c r="Y93" s="1275">
        <v>5.5</v>
      </c>
      <c r="Z93" s="1275"/>
      <c r="AA93" s="1275"/>
      <c r="AB93" s="1275"/>
      <c r="AC93" s="1275"/>
      <c r="AD93" s="230"/>
      <c r="AE93" s="230"/>
      <c r="AF93" s="230"/>
    </row>
    <row r="94" spans="1:32" x14ac:dyDescent="0.3">
      <c r="A94" s="230"/>
      <c r="B94" s="614" t="s">
        <v>4734</v>
      </c>
      <c r="C94" s="614"/>
      <c r="D94" s="614"/>
      <c r="E94" s="614"/>
      <c r="F94" s="614"/>
      <c r="G94" s="614"/>
      <c r="H94" s="614"/>
      <c r="I94" s="614"/>
      <c r="J94" s="1275">
        <v>3.8</v>
      </c>
      <c r="K94" s="1275"/>
      <c r="L94" s="1275"/>
      <c r="M94" s="1275"/>
      <c r="N94" s="1275"/>
      <c r="O94" s="1275">
        <v>3.1</v>
      </c>
      <c r="P94" s="1275"/>
      <c r="Q94" s="1275"/>
      <c r="R94" s="1275"/>
      <c r="S94" s="1275"/>
      <c r="T94" s="1275">
        <v>2.8</v>
      </c>
      <c r="U94" s="1275"/>
      <c r="V94" s="1275"/>
      <c r="W94" s="1275"/>
      <c r="X94" s="1275"/>
      <c r="Y94" s="1275">
        <v>5.5</v>
      </c>
      <c r="Z94" s="1275"/>
      <c r="AA94" s="1275"/>
      <c r="AB94" s="1275"/>
      <c r="AC94" s="1275"/>
      <c r="AD94" s="230"/>
      <c r="AE94" s="230"/>
      <c r="AF94" s="230"/>
    </row>
    <row r="95" spans="1:32" ht="64.5" customHeight="1" x14ac:dyDescent="0.3">
      <c r="A95" s="230"/>
      <c r="B95" s="1082" t="s">
        <v>4735</v>
      </c>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c r="AA95" s="1082"/>
      <c r="AB95" s="1082"/>
      <c r="AC95" s="1082"/>
      <c r="AD95" s="1082"/>
      <c r="AE95" s="1082"/>
      <c r="AF95" s="1082"/>
    </row>
    <row r="97" spans="1:32" x14ac:dyDescent="0.3">
      <c r="A97" s="869" t="s">
        <v>14</v>
      </c>
      <c r="B97" s="870"/>
      <c r="C97" s="870"/>
      <c r="D97" s="870"/>
      <c r="E97" s="870"/>
      <c r="F97" s="870"/>
      <c r="G97" s="870"/>
      <c r="H97" s="870"/>
      <c r="I97" s="870"/>
      <c r="J97" s="870"/>
      <c r="K97" s="870"/>
      <c r="L97" s="870"/>
      <c r="M97" s="870"/>
      <c r="N97" s="870"/>
      <c r="O97" s="870"/>
      <c r="P97" s="870"/>
      <c r="Q97" s="870"/>
      <c r="R97" s="870"/>
      <c r="S97" s="870"/>
      <c r="T97" s="870"/>
      <c r="U97" s="870"/>
      <c r="V97" s="870"/>
      <c r="W97" s="870"/>
      <c r="X97" s="870"/>
      <c r="Y97" s="870"/>
      <c r="Z97" s="870"/>
      <c r="AA97" s="870"/>
      <c r="AB97" s="870"/>
      <c r="AC97" s="870"/>
      <c r="AD97" s="870"/>
      <c r="AE97" s="870"/>
      <c r="AF97" s="871"/>
    </row>
    <row r="99" spans="1:32" x14ac:dyDescent="0.3">
      <c r="A99"/>
      <c r="B99" s="232" t="s">
        <v>4402</v>
      </c>
      <c r="C99"/>
      <c r="D99"/>
      <c r="E99"/>
      <c r="F99"/>
      <c r="G99"/>
      <c r="H99"/>
      <c r="I99"/>
      <c r="J99"/>
      <c r="K99"/>
      <c r="L99"/>
      <c r="M99"/>
      <c r="N99"/>
      <c r="O99"/>
      <c r="P99"/>
      <c r="Q99"/>
      <c r="R99"/>
      <c r="S99"/>
      <c r="T99"/>
      <c r="U99"/>
      <c r="V99"/>
      <c r="W99"/>
      <c r="X99"/>
      <c r="Y99"/>
      <c r="Z99"/>
      <c r="AA99"/>
      <c r="AB99"/>
      <c r="AC99"/>
      <c r="AD99"/>
      <c r="AE99"/>
      <c r="AF99"/>
    </row>
    <row r="100" spans="1:32" ht="33.75" customHeight="1" x14ac:dyDescent="0.3">
      <c r="A100"/>
      <c r="B100" s="953" t="s">
        <v>4736</v>
      </c>
      <c r="C100" s="953"/>
      <c r="D100" s="953"/>
      <c r="E100" s="953"/>
      <c r="F100" s="953"/>
      <c r="G100" s="953"/>
      <c r="H100" s="953"/>
      <c r="I100" s="953"/>
      <c r="J100" s="953"/>
      <c r="K100" s="953"/>
      <c r="L100" s="953"/>
      <c r="M100" s="953"/>
      <c r="N100" s="953"/>
      <c r="O100" s="953"/>
      <c r="P100" s="953"/>
      <c r="Q100" s="953"/>
      <c r="R100" s="953"/>
      <c r="S100" s="953"/>
      <c r="T100" s="953"/>
      <c r="U100" s="953"/>
      <c r="V100" s="953"/>
      <c r="W100" s="953"/>
      <c r="X100" s="953"/>
      <c r="Y100" s="953"/>
      <c r="Z100" s="953"/>
      <c r="AA100" s="953"/>
      <c r="AB100" s="953"/>
      <c r="AC100" s="953"/>
      <c r="AD100" s="953"/>
      <c r="AE100" s="953"/>
      <c r="AF100" s="953"/>
    </row>
    <row r="101" spans="1:32" x14ac:dyDescent="0.3">
      <c r="A101"/>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row>
    <row r="102" spans="1:32" ht="123" customHeight="1" x14ac:dyDescent="0.3">
      <c r="A102"/>
      <c r="B102" s="953" t="s">
        <v>4737</v>
      </c>
      <c r="C102" s="953"/>
      <c r="D102" s="953"/>
      <c r="E102" s="953"/>
      <c r="F102" s="953"/>
      <c r="G102" s="953"/>
      <c r="H102" s="953"/>
      <c r="I102" s="953"/>
      <c r="J102" s="953"/>
      <c r="K102" s="953"/>
      <c r="L102" s="953"/>
      <c r="M102" s="953"/>
      <c r="N102" s="953"/>
      <c r="O102" s="953"/>
      <c r="P102" s="953"/>
      <c r="Q102" s="953"/>
      <c r="R102" s="953"/>
      <c r="S102" s="953"/>
      <c r="T102" s="953"/>
      <c r="U102" s="953"/>
      <c r="V102" s="953"/>
      <c r="W102" s="953"/>
      <c r="X102" s="953"/>
      <c r="Y102" s="953"/>
      <c r="Z102" s="953"/>
      <c r="AA102" s="953"/>
      <c r="AB102" s="953"/>
      <c r="AC102" s="953"/>
      <c r="AD102" s="953"/>
      <c r="AE102" s="953"/>
      <c r="AF102" s="953"/>
    </row>
    <row r="103" spans="1:32" x14ac:dyDescent="0.3">
      <c r="A103"/>
      <c r="B103"/>
      <c r="C103"/>
      <c r="D103"/>
      <c r="E103"/>
      <c r="F103"/>
      <c r="G103"/>
      <c r="H103"/>
      <c r="I103"/>
      <c r="J103"/>
      <c r="K103"/>
      <c r="L103"/>
      <c r="M103"/>
      <c r="N103"/>
      <c r="O103"/>
      <c r="P103"/>
      <c r="Q103"/>
      <c r="R103"/>
      <c r="S103"/>
      <c r="T103"/>
      <c r="U103"/>
      <c r="V103"/>
      <c r="W103"/>
      <c r="X103"/>
      <c r="Y103"/>
      <c r="Z103"/>
      <c r="AA103"/>
      <c r="AB103"/>
      <c r="AC103"/>
      <c r="AD103"/>
      <c r="AE103"/>
      <c r="AF103"/>
    </row>
    <row r="104" spans="1:32" x14ac:dyDescent="0.3">
      <c r="A104"/>
      <c r="B104" s="23" t="s">
        <v>4738</v>
      </c>
      <c r="C104"/>
      <c r="D104"/>
      <c r="E104"/>
      <c r="F104"/>
      <c r="G104"/>
      <c r="H104"/>
      <c r="I104"/>
      <c r="J104"/>
      <c r="K104"/>
      <c r="L104"/>
      <c r="M104"/>
      <c r="N104"/>
      <c r="O104"/>
      <c r="P104"/>
      <c r="Q104"/>
      <c r="R104"/>
      <c r="S104"/>
      <c r="T104"/>
      <c r="U104"/>
      <c r="V104"/>
      <c r="W104"/>
      <c r="X104"/>
      <c r="Y104"/>
      <c r="Z104"/>
      <c r="AA104"/>
      <c r="AB104"/>
      <c r="AC104"/>
      <c r="AD104"/>
      <c r="AE104"/>
      <c r="AF104"/>
    </row>
    <row r="105" spans="1:32" x14ac:dyDescent="0.3">
      <c r="A105"/>
      <c r="B105" t="s">
        <v>4739</v>
      </c>
      <c r="C105"/>
      <c r="D105"/>
      <c r="E105"/>
      <c r="F105"/>
      <c r="G105"/>
      <c r="H105"/>
      <c r="I105"/>
      <c r="J105"/>
      <c r="K105"/>
      <c r="L105"/>
      <c r="M105"/>
      <c r="N105"/>
      <c r="O105"/>
      <c r="P105"/>
      <c r="Q105" s="1276" t="s">
        <v>4707</v>
      </c>
      <c r="R105" s="1276"/>
      <c r="S105" s="1276"/>
      <c r="T105" s="1276"/>
      <c r="U105" s="1276"/>
      <c r="V105" s="829"/>
      <c r="W105" s="829"/>
      <c r="X105" s="829"/>
      <c r="Y105"/>
      <c r="Z105"/>
      <c r="AA105"/>
      <c r="AB105"/>
      <c r="AC105"/>
      <c r="AD105"/>
      <c r="AE105"/>
      <c r="AF105"/>
    </row>
    <row r="106" spans="1:32" x14ac:dyDescent="0.3">
      <c r="A106"/>
      <c r="B106" t="s">
        <v>4740</v>
      </c>
      <c r="C106"/>
      <c r="D106"/>
      <c r="E106"/>
      <c r="F106"/>
      <c r="G106"/>
      <c r="H106"/>
      <c r="I106"/>
      <c r="J106"/>
      <c r="K106"/>
      <c r="L106"/>
      <c r="M106"/>
      <c r="N106"/>
      <c r="O106"/>
      <c r="P106"/>
      <c r="Q106" s="1277">
        <v>0.7</v>
      </c>
      <c r="R106" s="1277"/>
      <c r="S106" s="1277"/>
      <c r="T106" s="1277"/>
      <c r="U106" s="1277"/>
      <c r="V106" s="829"/>
      <c r="W106" s="829"/>
      <c r="X106" s="829"/>
      <c r="Y106"/>
      <c r="Z106"/>
      <c r="AA106"/>
      <c r="AB106"/>
      <c r="AC106"/>
      <c r="AD106"/>
      <c r="AE106"/>
      <c r="AF106"/>
    </row>
    <row r="107" spans="1:32" x14ac:dyDescent="0.3">
      <c r="A107"/>
      <c r="B107" t="s">
        <v>4741</v>
      </c>
      <c r="C107"/>
      <c r="D107"/>
      <c r="E107"/>
      <c r="F107"/>
      <c r="G107"/>
      <c r="H107"/>
      <c r="I107"/>
      <c r="J107"/>
      <c r="K107"/>
      <c r="L107"/>
      <c r="M107"/>
      <c r="N107"/>
      <c r="O107"/>
      <c r="P107"/>
      <c r="Q107" s="1285">
        <v>0.4</v>
      </c>
      <c r="R107" s="1286"/>
      <c r="S107" s="1286"/>
      <c r="T107" s="1286"/>
      <c r="U107" s="1287"/>
      <c r="V107" s="829"/>
      <c r="W107" s="829"/>
      <c r="X107" s="829"/>
      <c r="Y107"/>
      <c r="Z107"/>
      <c r="AA107"/>
      <c r="AB107"/>
      <c r="AC107"/>
      <c r="AD107"/>
      <c r="AE107"/>
      <c r="AF107"/>
    </row>
    <row r="108" spans="1:32" x14ac:dyDescent="0.3">
      <c r="A108"/>
      <c r="B108" t="s">
        <v>4742</v>
      </c>
      <c r="C108"/>
      <c r="D108"/>
      <c r="E108"/>
      <c r="F108"/>
      <c r="G108"/>
      <c r="H108"/>
      <c r="I108"/>
      <c r="J108"/>
      <c r="K108"/>
      <c r="L108"/>
      <c r="M108"/>
      <c r="N108"/>
      <c r="O108"/>
      <c r="P108"/>
      <c r="Q108" s="1288">
        <v>100</v>
      </c>
      <c r="R108" s="1288"/>
      <c r="S108" s="1288"/>
      <c r="T108" s="1288"/>
      <c r="U108" s="1288"/>
      <c r="V108" s="829"/>
      <c r="W108" s="829"/>
      <c r="X108" s="829"/>
      <c r="Y108"/>
      <c r="Z108"/>
      <c r="AA108"/>
      <c r="AB108"/>
      <c r="AC108"/>
      <c r="AD108"/>
      <c r="AE108"/>
      <c r="AF108"/>
    </row>
    <row r="109" spans="1:32" x14ac:dyDescent="0.3">
      <c r="A109"/>
      <c r="B109" t="s">
        <v>4743</v>
      </c>
      <c r="C109"/>
      <c r="D109"/>
      <c r="E109"/>
      <c r="F109"/>
      <c r="G109"/>
      <c r="H109"/>
      <c r="I109"/>
      <c r="J109"/>
      <c r="K109"/>
      <c r="L109"/>
      <c r="M109"/>
      <c r="N109"/>
      <c r="O109"/>
      <c r="P109"/>
      <c r="Q109" s="1289"/>
      <c r="R109" s="1289"/>
      <c r="S109" s="1289"/>
      <c r="T109" s="1289"/>
      <c r="U109" s="1289"/>
      <c r="V109" s="829"/>
      <c r="W109" s="829"/>
      <c r="X109" s="829"/>
      <c r="Y109"/>
      <c r="Z109"/>
      <c r="AA109"/>
      <c r="AB109"/>
      <c r="AC109"/>
      <c r="AD109"/>
      <c r="AE109"/>
      <c r="AF109"/>
    </row>
    <row r="110" spans="1:32" x14ac:dyDescent="0.3">
      <c r="A110"/>
      <c r="B110"/>
      <c r="C110"/>
      <c r="D110" t="s">
        <v>4744</v>
      </c>
      <c r="E110"/>
      <c r="F110"/>
      <c r="G110"/>
      <c r="H110"/>
      <c r="I110"/>
      <c r="J110"/>
      <c r="K110"/>
      <c r="L110"/>
      <c r="M110"/>
      <c r="N110"/>
      <c r="O110"/>
      <c r="P110"/>
      <c r="Q110" s="829"/>
      <c r="R110" s="829"/>
      <c r="S110" s="829"/>
      <c r="T110" s="829"/>
      <c r="U110" s="829"/>
      <c r="V110" s="829"/>
      <c r="W110" s="829"/>
      <c r="X110" s="829"/>
      <c r="Y110"/>
      <c r="Z110"/>
      <c r="AA110"/>
      <c r="AB110"/>
      <c r="AC110"/>
      <c r="AD110"/>
      <c r="AE110"/>
      <c r="AF110"/>
    </row>
    <row r="111" spans="1:32" x14ac:dyDescent="0.3">
      <c r="A111"/>
      <c r="B111"/>
      <c r="C111"/>
      <c r="D111"/>
      <c r="E111"/>
      <c r="F111" t="s">
        <v>4745</v>
      </c>
      <c r="G111"/>
      <c r="H111"/>
      <c r="I111"/>
      <c r="J111"/>
      <c r="K111"/>
      <c r="L111"/>
      <c r="M111"/>
      <c r="N111"/>
      <c r="O111"/>
      <c r="P111"/>
      <c r="Q111" s="1276" t="s">
        <v>4734</v>
      </c>
      <c r="R111" s="1276"/>
      <c r="S111" s="1276"/>
      <c r="T111" s="1276"/>
      <c r="U111" s="1276"/>
      <c r="V111" s="1276"/>
      <c r="W111" s="1276"/>
      <c r="X111" s="1276"/>
      <c r="Y111"/>
      <c r="Z111"/>
      <c r="AA111"/>
      <c r="AB111"/>
      <c r="AC111"/>
      <c r="AD111"/>
      <c r="AE111"/>
      <c r="AF111"/>
    </row>
    <row r="112" spans="1:32" x14ac:dyDescent="0.3">
      <c r="A112"/>
      <c r="B112"/>
      <c r="C112"/>
      <c r="D112"/>
      <c r="E112"/>
      <c r="F112" t="s">
        <v>4746</v>
      </c>
      <c r="G112"/>
      <c r="H112"/>
      <c r="I112"/>
      <c r="J112"/>
      <c r="K112"/>
      <c r="L112"/>
      <c r="M112"/>
      <c r="N112"/>
      <c r="O112"/>
      <c r="P112"/>
      <c r="Q112" s="1276" t="s">
        <v>4729</v>
      </c>
      <c r="R112" s="1276"/>
      <c r="S112" s="1276"/>
      <c r="T112" s="1276"/>
      <c r="U112" s="1276"/>
      <c r="V112" s="1276"/>
      <c r="W112" s="1276"/>
      <c r="X112" s="1276"/>
      <c r="Y112"/>
      <c r="Z112"/>
      <c r="AA112"/>
      <c r="AB112"/>
      <c r="AC112"/>
      <c r="AD112"/>
      <c r="AE112"/>
      <c r="AF112"/>
    </row>
    <row r="113" spans="1:32" ht="15" thickBot="1" x14ac:dyDescent="0.35">
      <c r="A113"/>
      <c r="B113"/>
      <c r="C113"/>
      <c r="D113"/>
      <c r="E113"/>
      <c r="F113"/>
      <c r="G113"/>
      <c r="H113"/>
      <c r="I113"/>
      <c r="J113"/>
      <c r="K113"/>
      <c r="L113"/>
      <c r="M113"/>
      <c r="N113"/>
      <c r="O113"/>
      <c r="P113"/>
      <c r="Q113"/>
      <c r="R113"/>
      <c r="S113"/>
      <c r="T113"/>
      <c r="U113"/>
      <c r="V113"/>
      <c r="W113"/>
      <c r="X113"/>
      <c r="Y113"/>
      <c r="Z113"/>
      <c r="AA113"/>
      <c r="AB113"/>
      <c r="AC113"/>
      <c r="AD113"/>
      <c r="AE113"/>
      <c r="AF113"/>
    </row>
    <row r="114" spans="1:32" ht="33" customHeight="1" x14ac:dyDescent="0.3">
      <c r="A114" s="1252" t="s">
        <v>15</v>
      </c>
      <c r="B114" s="1253"/>
      <c r="C114" s="1253"/>
      <c r="D114" s="1253"/>
      <c r="E114" s="1253"/>
      <c r="F114" s="1253"/>
      <c r="G114" s="1253"/>
      <c r="H114" s="1253"/>
      <c r="I114" s="1278" t="s">
        <v>2780</v>
      </c>
      <c r="J114" s="1278"/>
      <c r="K114" s="1278"/>
      <c r="L114" s="1278"/>
      <c r="M114" s="1278"/>
      <c r="N114" s="1278"/>
      <c r="O114" s="1278"/>
      <c r="P114" s="1278"/>
      <c r="Q114" s="1278" t="s">
        <v>2781</v>
      </c>
      <c r="R114" s="1253"/>
      <c r="S114" s="1253"/>
      <c r="T114" s="1253"/>
      <c r="U114" s="1253"/>
      <c r="V114" s="1253"/>
      <c r="W114" s="1253"/>
      <c r="X114" s="1279"/>
      <c r="Y114" s="1278" t="s">
        <v>1554</v>
      </c>
      <c r="Z114" s="1253"/>
      <c r="AA114" s="1253"/>
      <c r="AB114" s="1253"/>
      <c r="AC114" s="1253"/>
      <c r="AD114" s="1253"/>
      <c r="AE114" s="1253"/>
      <c r="AF114" s="1254"/>
    </row>
    <row r="115" spans="1:32" ht="15" thickBot="1" x14ac:dyDescent="0.35">
      <c r="A115" s="1247" t="s">
        <v>540</v>
      </c>
      <c r="B115" s="1248"/>
      <c r="C115" s="1248"/>
      <c r="D115" s="1248"/>
      <c r="E115" s="1248"/>
      <c r="F115" s="1248"/>
      <c r="G115" s="1248"/>
      <c r="H115" s="1248"/>
      <c r="I115" s="1280">
        <f>ROUND(Q108*VLOOKUP(Q105,B65:S71,12,0)*(Q106-Q107)/(3412*IF(ISBLANK(Q109),INDEX(J92:AC94,MATCH(Q111,B92:B94,0),MATCH(Q112,J90:AC90,0)),Q109)),3)</f>
        <v>2.3E-2</v>
      </c>
      <c r="J115" s="1280"/>
      <c r="K115" s="1280"/>
      <c r="L115" s="1280"/>
      <c r="M115" s="1280"/>
      <c r="N115" s="1280"/>
      <c r="O115" s="1280"/>
      <c r="P115" s="1280"/>
      <c r="Q115" s="1281">
        <f>ROUND(Q108*VLOOKUP(Q105,B65:S71,5,0)*(Q106-Q107)/(3412*IF(ISBLANK(Q109),INDEX(J92:AC94,MATCH(Q111,B92:B94,0),MATCH(Q112,J90:AC90,0)),Q109)),2)</f>
        <v>811.64</v>
      </c>
      <c r="R115" s="1281"/>
      <c r="S115" s="1281"/>
      <c r="T115" s="1281"/>
      <c r="U115" s="1281"/>
      <c r="V115" s="1281"/>
      <c r="W115" s="1281"/>
      <c r="X115" s="1282"/>
      <c r="Y115" s="1283">
        <f>ROUND(Q115*Q56,2)</f>
        <v>8116.4</v>
      </c>
      <c r="Z115" s="1283"/>
      <c r="AA115" s="1283"/>
      <c r="AB115" s="1283"/>
      <c r="AC115" s="1283"/>
      <c r="AD115" s="1283"/>
      <c r="AE115" s="1283"/>
      <c r="AF115" s="1284"/>
    </row>
    <row r="117" spans="1:32" x14ac:dyDescent="0.3">
      <c r="A117" s="1141" t="s">
        <v>1514</v>
      </c>
      <c r="B117" s="1141"/>
      <c r="C117" s="1141"/>
      <c r="D117" s="1141"/>
      <c r="E117" s="1141"/>
      <c r="F117" s="1141"/>
      <c r="G117" s="1141"/>
      <c r="H117" s="1141"/>
      <c r="I117" s="1141"/>
      <c r="J117" s="1141"/>
      <c r="K117" s="1141"/>
      <c r="L117" s="1141"/>
      <c r="M117" s="1141"/>
      <c r="N117" s="1141"/>
      <c r="O117" s="1141"/>
      <c r="P117" s="1141"/>
      <c r="Q117" s="1141"/>
      <c r="R117" s="1141"/>
      <c r="S117" s="1141"/>
      <c r="T117" s="1141"/>
      <c r="U117" s="1141"/>
      <c r="V117" s="1141"/>
      <c r="W117" s="1141"/>
      <c r="X117" s="1141"/>
      <c r="Y117" s="1141"/>
      <c r="Z117" s="1141"/>
      <c r="AA117" s="1141"/>
      <c r="AB117" s="1141"/>
      <c r="AC117" s="1141"/>
      <c r="AD117" s="1141"/>
      <c r="AE117" s="1141"/>
      <c r="AF117" s="1141"/>
    </row>
    <row r="118" spans="1:32" x14ac:dyDescent="0.3">
      <c r="A118"/>
      <c r="B118"/>
      <c r="C118"/>
      <c r="D118"/>
      <c r="E118"/>
      <c r="F118"/>
      <c r="G118"/>
      <c r="H118"/>
      <c r="I118"/>
      <c r="J118"/>
      <c r="K118"/>
      <c r="L118"/>
      <c r="M118"/>
      <c r="N118"/>
      <c r="O118"/>
      <c r="P118"/>
      <c r="Q118"/>
      <c r="R118"/>
      <c r="S118"/>
      <c r="T118"/>
      <c r="U118"/>
      <c r="V118"/>
      <c r="W118"/>
      <c r="X118"/>
      <c r="Y118"/>
      <c r="Z118"/>
      <c r="AA118"/>
      <c r="AB118"/>
      <c r="AC118"/>
      <c r="AD118"/>
      <c r="AE118"/>
      <c r="AF118"/>
    </row>
    <row r="119" spans="1:32" ht="30" customHeight="1" x14ac:dyDescent="0.3">
      <c r="A119" s="370" t="s">
        <v>803</v>
      </c>
      <c r="B119" s="889" t="s">
        <v>4747</v>
      </c>
      <c r="C119" s="889"/>
      <c r="D119" s="88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row>
    <row r="120" spans="1:32" ht="32.25" customHeight="1" x14ac:dyDescent="0.3">
      <c r="A120" s="370" t="s">
        <v>803</v>
      </c>
      <c r="B120" s="884" t="s">
        <v>4748</v>
      </c>
      <c r="C120" s="884"/>
      <c r="D120" s="884"/>
      <c r="E120" s="884"/>
      <c r="F120" s="884"/>
      <c r="G120" s="884"/>
      <c r="H120" s="884"/>
      <c r="I120" s="884"/>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row>
    <row r="121" spans="1:32" ht="31.5" customHeight="1" x14ac:dyDescent="0.3">
      <c r="A121" s="370" t="s">
        <v>803</v>
      </c>
      <c r="B121" s="884" t="s">
        <v>4749</v>
      </c>
      <c r="C121" s="884"/>
      <c r="D121" s="884"/>
      <c r="E121" s="884"/>
      <c r="F121" s="884"/>
      <c r="G121" s="884"/>
      <c r="H121" s="884"/>
      <c r="I121" s="884"/>
      <c r="J121" s="884"/>
      <c r="K121" s="884"/>
      <c r="L121" s="884"/>
      <c r="M121" s="884"/>
      <c r="N121" s="884"/>
      <c r="O121" s="884"/>
      <c r="P121" s="884"/>
      <c r="Q121" s="884"/>
      <c r="R121" s="884"/>
      <c r="S121" s="884"/>
      <c r="T121" s="884"/>
      <c r="U121" s="884"/>
      <c r="V121" s="884"/>
      <c r="W121" s="884"/>
      <c r="X121" s="884"/>
      <c r="Y121" s="884"/>
      <c r="Z121" s="884"/>
      <c r="AA121" s="884"/>
      <c r="AB121" s="884"/>
      <c r="AC121" s="884"/>
      <c r="AD121" s="884"/>
      <c r="AE121" s="884"/>
      <c r="AF121" s="884"/>
    </row>
    <row r="122" spans="1:32" ht="33" customHeight="1" x14ac:dyDescent="0.3">
      <c r="A122" s="370" t="s">
        <v>803</v>
      </c>
      <c r="B122" s="884" t="s">
        <v>4750</v>
      </c>
      <c r="C122" s="884"/>
      <c r="D122" s="884"/>
      <c r="E122" s="884"/>
      <c r="F122" s="884"/>
      <c r="G122" s="884"/>
      <c r="H122" s="884"/>
      <c r="I122" s="884"/>
      <c r="J122" s="884"/>
      <c r="K122" s="884"/>
      <c r="L122" s="884"/>
      <c r="M122" s="884"/>
      <c r="N122" s="884"/>
      <c r="O122" s="884"/>
      <c r="P122" s="884"/>
      <c r="Q122" s="884"/>
      <c r="R122" s="884"/>
      <c r="S122" s="884"/>
      <c r="T122" s="884"/>
      <c r="U122" s="884"/>
      <c r="V122" s="884"/>
      <c r="W122" s="884"/>
      <c r="X122" s="884"/>
      <c r="Y122" s="884"/>
      <c r="Z122" s="884"/>
      <c r="AA122" s="884"/>
      <c r="AB122" s="884"/>
      <c r="AC122" s="884"/>
      <c r="AD122" s="884"/>
      <c r="AE122" s="884"/>
      <c r="AF122" s="884"/>
    </row>
    <row r="123" spans="1:32" ht="48" customHeight="1" x14ac:dyDescent="0.3">
      <c r="A123" s="370" t="s">
        <v>803</v>
      </c>
      <c r="B123" s="884" t="s">
        <v>4751</v>
      </c>
      <c r="C123" s="884"/>
      <c r="D123" s="884"/>
      <c r="E123" s="884"/>
      <c r="F123" s="884"/>
      <c r="G123" s="884"/>
      <c r="H123" s="884"/>
      <c r="I123" s="884"/>
      <c r="J123" s="884"/>
      <c r="K123" s="884"/>
      <c r="L123" s="884"/>
      <c r="M123" s="884"/>
      <c r="N123" s="884"/>
      <c r="O123" s="884"/>
      <c r="P123" s="884"/>
      <c r="Q123" s="884"/>
      <c r="R123" s="884"/>
      <c r="S123" s="884"/>
      <c r="T123" s="884"/>
      <c r="U123" s="884"/>
      <c r="V123" s="884"/>
      <c r="W123" s="884"/>
      <c r="X123" s="884"/>
      <c r="Y123" s="884"/>
      <c r="Z123" s="884"/>
      <c r="AA123" s="884"/>
      <c r="AB123" s="884"/>
      <c r="AC123" s="884"/>
      <c r="AD123" s="884"/>
      <c r="AE123" s="884"/>
      <c r="AF123" s="884"/>
    </row>
    <row r="124" spans="1:32" ht="33" customHeight="1" x14ac:dyDescent="0.3">
      <c r="A124" s="370" t="s">
        <v>803</v>
      </c>
      <c r="B124" s="884" t="s">
        <v>4752</v>
      </c>
      <c r="C124" s="884"/>
      <c r="D124" s="884"/>
      <c r="E124" s="884"/>
      <c r="F124" s="884"/>
      <c r="G124" s="884"/>
      <c r="H124" s="884"/>
      <c r="I124" s="884"/>
      <c r="J124" s="884"/>
      <c r="K124" s="884"/>
      <c r="L124" s="884"/>
      <c r="M124" s="884"/>
      <c r="N124" s="884"/>
      <c r="O124" s="884"/>
      <c r="P124" s="884"/>
      <c r="Q124" s="884"/>
      <c r="R124" s="884"/>
      <c r="S124" s="884"/>
      <c r="T124" s="884"/>
      <c r="U124" s="884"/>
      <c r="V124" s="884"/>
      <c r="W124" s="884"/>
      <c r="X124" s="884"/>
      <c r="Y124" s="884"/>
      <c r="Z124" s="884"/>
      <c r="AA124" s="884"/>
      <c r="AB124" s="884"/>
      <c r="AC124" s="884"/>
      <c r="AD124" s="884"/>
      <c r="AE124" s="884"/>
      <c r="AF124" s="884"/>
    </row>
    <row r="125" spans="1:32" ht="33" customHeight="1" x14ac:dyDescent="0.3">
      <c r="A125" s="370" t="s">
        <v>803</v>
      </c>
      <c r="B125" s="884" t="s">
        <v>4753</v>
      </c>
      <c r="C125" s="884"/>
      <c r="D125" s="884"/>
      <c r="E125" s="884"/>
      <c r="F125" s="884"/>
      <c r="G125" s="884"/>
      <c r="H125" s="884"/>
      <c r="I125" s="884"/>
      <c r="J125" s="884"/>
      <c r="K125" s="884"/>
      <c r="L125" s="884"/>
      <c r="M125" s="884"/>
      <c r="N125" s="884"/>
      <c r="O125" s="884"/>
      <c r="P125" s="884"/>
      <c r="Q125" s="884"/>
      <c r="R125" s="884"/>
      <c r="S125" s="884"/>
      <c r="T125" s="884"/>
      <c r="U125" s="884"/>
      <c r="V125" s="884"/>
      <c r="W125" s="884"/>
      <c r="X125" s="884"/>
      <c r="Y125" s="884"/>
      <c r="Z125" s="884"/>
      <c r="AA125" s="884"/>
      <c r="AB125" s="884"/>
      <c r="AC125" s="884"/>
      <c r="AD125" s="884"/>
      <c r="AE125" s="884"/>
      <c r="AF125" s="884"/>
    </row>
    <row r="126" spans="1:32" ht="31.5" customHeight="1" x14ac:dyDescent="0.3">
      <c r="A126" s="370" t="s">
        <v>803</v>
      </c>
      <c r="B126" s="884" t="s">
        <v>4754</v>
      </c>
      <c r="C126" s="884"/>
      <c r="D126" s="884"/>
      <c r="E126" s="884"/>
      <c r="F126" s="884"/>
      <c r="G126" s="884"/>
      <c r="H126" s="884"/>
      <c r="I126" s="884"/>
      <c r="J126" s="884"/>
      <c r="K126" s="884"/>
      <c r="L126" s="884"/>
      <c r="M126" s="884"/>
      <c r="N126" s="884"/>
      <c r="O126" s="884"/>
      <c r="P126" s="884"/>
      <c r="Q126" s="884"/>
      <c r="R126" s="884"/>
      <c r="S126" s="884"/>
      <c r="T126" s="884"/>
      <c r="U126" s="884"/>
      <c r="V126" s="884"/>
      <c r="W126" s="884"/>
      <c r="X126" s="884"/>
      <c r="Y126" s="884"/>
      <c r="Z126" s="884"/>
      <c r="AA126" s="884"/>
      <c r="AB126" s="884"/>
      <c r="AC126" s="884"/>
      <c r="AD126" s="884"/>
      <c r="AE126" s="884"/>
      <c r="AF126" s="884"/>
    </row>
  </sheetData>
  <sheetProtection algorithmName="SHA-512" hashValue="oB49IT22YnmHpT+do5IULU8Q3tofdplPOYlX1SevhHHFYgTjBU81eSW+BI8xH+ADgwV7veZtlxxa4Ij+lCqfKQ==" saltValue="CXflcEFjl6BJnxnon6o1eg==" spinCount="100000" sheet="1" objects="1" scenarios="1"/>
  <mergeCells count="163">
    <mergeCell ref="B123:AF123"/>
    <mergeCell ref="B124:AF124"/>
    <mergeCell ref="B125:AF125"/>
    <mergeCell ref="B126:AF126"/>
    <mergeCell ref="A117:AF117"/>
    <mergeCell ref="B119:AF119"/>
    <mergeCell ref="B120:AF120"/>
    <mergeCell ref="B121:AF121"/>
    <mergeCell ref="B122:AF122"/>
    <mergeCell ref="A114:H114"/>
    <mergeCell ref="I114:P114"/>
    <mergeCell ref="Q114:X114"/>
    <mergeCell ref="Y114:AF114"/>
    <mergeCell ref="A115:H115"/>
    <mergeCell ref="I115:P115"/>
    <mergeCell ref="Q115:X115"/>
    <mergeCell ref="Y115:AF115"/>
    <mergeCell ref="Q107:U107"/>
    <mergeCell ref="Q108:U108"/>
    <mergeCell ref="Q109:U109"/>
    <mergeCell ref="Q111:X111"/>
    <mergeCell ref="Q112:X112"/>
    <mergeCell ref="A97:AF97"/>
    <mergeCell ref="B100:AF100"/>
    <mergeCell ref="B102:AF102"/>
    <mergeCell ref="Q105:U105"/>
    <mergeCell ref="Q106:U106"/>
    <mergeCell ref="J94:N94"/>
    <mergeCell ref="O94:S94"/>
    <mergeCell ref="T94:X94"/>
    <mergeCell ref="Y94:AC94"/>
    <mergeCell ref="B95:AF95"/>
    <mergeCell ref="J92:N92"/>
    <mergeCell ref="O92:S92"/>
    <mergeCell ref="T92:X92"/>
    <mergeCell ref="Y92:AC92"/>
    <mergeCell ref="J93:N93"/>
    <mergeCell ref="O93:S93"/>
    <mergeCell ref="T93:X93"/>
    <mergeCell ref="Y93:AC93"/>
    <mergeCell ref="B85:O85"/>
    <mergeCell ref="P85:T85"/>
    <mergeCell ref="B86:AF86"/>
    <mergeCell ref="B87:AF87"/>
    <mergeCell ref="B90:I91"/>
    <mergeCell ref="J90:N91"/>
    <mergeCell ref="O90:S91"/>
    <mergeCell ref="T90:X91"/>
    <mergeCell ref="Y90:AC91"/>
    <mergeCell ref="B82:O82"/>
    <mergeCell ref="P82:T82"/>
    <mergeCell ref="B83:O83"/>
    <mergeCell ref="P83:T83"/>
    <mergeCell ref="B84:O84"/>
    <mergeCell ref="P84:T84"/>
    <mergeCell ref="B79:O79"/>
    <mergeCell ref="P79:T79"/>
    <mergeCell ref="B80:O80"/>
    <mergeCell ref="P80:T80"/>
    <mergeCell ref="B81:O81"/>
    <mergeCell ref="P81:T81"/>
    <mergeCell ref="B76:O76"/>
    <mergeCell ref="P76:T76"/>
    <mergeCell ref="B77:O77"/>
    <mergeCell ref="P77:T77"/>
    <mergeCell ref="B78:O78"/>
    <mergeCell ref="P78:T78"/>
    <mergeCell ref="B71:E71"/>
    <mergeCell ref="F71:L71"/>
    <mergeCell ref="M71:S71"/>
    <mergeCell ref="B72:AF72"/>
    <mergeCell ref="B75:O75"/>
    <mergeCell ref="P75:T75"/>
    <mergeCell ref="B69:E69"/>
    <mergeCell ref="F69:L69"/>
    <mergeCell ref="M69:S69"/>
    <mergeCell ref="B70:E70"/>
    <mergeCell ref="F70:L70"/>
    <mergeCell ref="M70:S70"/>
    <mergeCell ref="B67:E67"/>
    <mergeCell ref="F67:L67"/>
    <mergeCell ref="M67:S67"/>
    <mergeCell ref="B68:E68"/>
    <mergeCell ref="F68:L68"/>
    <mergeCell ref="M68:S68"/>
    <mergeCell ref="B65:E65"/>
    <mergeCell ref="F65:L65"/>
    <mergeCell ref="M65:S65"/>
    <mergeCell ref="B66:E66"/>
    <mergeCell ref="F66:L66"/>
    <mergeCell ref="M66:S66"/>
    <mergeCell ref="A57:AF57"/>
    <mergeCell ref="A58:AF58"/>
    <mergeCell ref="A59:AF59"/>
    <mergeCell ref="A60:AF60"/>
    <mergeCell ref="B63:E64"/>
    <mergeCell ref="F63:L64"/>
    <mergeCell ref="M63:S64"/>
    <mergeCell ref="A56:D56"/>
    <mergeCell ref="E56:P56"/>
    <mergeCell ref="Q56:T56"/>
    <mergeCell ref="U56:W56"/>
    <mergeCell ref="X56:AF56"/>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0:D50"/>
    <mergeCell ref="E50:P50"/>
    <mergeCell ref="Q50:T50"/>
    <mergeCell ref="U50:W50"/>
    <mergeCell ref="X50:AF51"/>
    <mergeCell ref="A51:D51"/>
    <mergeCell ref="E51:P51"/>
    <mergeCell ref="Q51:T51"/>
    <mergeCell ref="U51:W51"/>
    <mergeCell ref="A49:D49"/>
    <mergeCell ref="E49:P49"/>
    <mergeCell ref="Q49:T49"/>
    <mergeCell ref="U49:W49"/>
    <mergeCell ref="X49:AF49"/>
    <mergeCell ref="A48:D48"/>
    <mergeCell ref="E48:P48"/>
    <mergeCell ref="Q48:T48"/>
    <mergeCell ref="U48:W48"/>
    <mergeCell ref="X48:AF48"/>
    <mergeCell ref="B24:AF24"/>
    <mergeCell ref="B27:AF27"/>
    <mergeCell ref="A29:AF29"/>
    <mergeCell ref="A46:AF46"/>
    <mergeCell ref="A47:D47"/>
    <mergeCell ref="E47:P47"/>
    <mergeCell ref="Q47:T47"/>
    <mergeCell ref="U47:W47"/>
    <mergeCell ref="X47:AF47"/>
    <mergeCell ref="A1:AF1"/>
    <mergeCell ref="A3:AF3"/>
    <mergeCell ref="C15:AF15"/>
    <mergeCell ref="C16:AF16"/>
    <mergeCell ref="C17:AF17"/>
    <mergeCell ref="C18:AF18"/>
    <mergeCell ref="B21:AF21"/>
    <mergeCell ref="B5:AF5"/>
    <mergeCell ref="A7:AF7"/>
    <mergeCell ref="B10:AF10"/>
    <mergeCell ref="C13:AF13"/>
    <mergeCell ref="C14:AF14"/>
  </mergeCells>
  <dataValidations count="3">
    <dataValidation type="list" allowBlank="1" showInputMessage="1" showErrorMessage="1" sqref="Q105:U105" xr:uid="{00000000-0002-0000-1000-000000000000}">
      <formula1>$B$65:$B$71</formula1>
    </dataValidation>
    <dataValidation type="list" allowBlank="1" showInputMessage="1" showErrorMessage="1" sqref="Q111:X111" xr:uid="{00000000-0002-0000-1000-000001000000}">
      <formula1>$B$92:$B$94</formula1>
    </dataValidation>
    <dataValidation type="list" allowBlank="1" showInputMessage="1" showErrorMessage="1" sqref="Q112:X112" xr:uid="{00000000-0002-0000-1000-000002000000}">
      <formula1>"Packaged AC,PTAC,Air-Cooled Chiller,Water-Cooled Chiller"</formula1>
    </dataValidation>
  </dataValidations>
  <hyperlinks>
    <hyperlink ref="A2" location="TOC!A1" display="Return to TOC" xr:uid="{00000000-0004-0000-1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43"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theme="7" tint="0.79998168889431442"/>
    <pageSetUpPr autoPageBreaks="0"/>
  </sheetPr>
  <dimension ref="A1:DP186"/>
  <sheetViews>
    <sheetView zoomScaleNormal="100" workbookViewId="0">
      <selection activeCell="A2" sqref="A2"/>
    </sheetView>
  </sheetViews>
  <sheetFormatPr defaultColWidth="2.6640625" defaultRowHeight="14.4" x14ac:dyDescent="0.3"/>
  <cols>
    <col min="33" max="16384" width="2.6640625" style="121"/>
  </cols>
  <sheetData>
    <row r="1" spans="1:32" s="1" customFormat="1" ht="18" x14ac:dyDescent="0.3">
      <c r="A1" s="1131" t="s">
        <v>870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8"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 customHeight="1" x14ac:dyDescent="0.3">
      <c r="A5" s="121"/>
      <c r="B5" s="1258" t="s">
        <v>5962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s="122" customFormat="1" ht="18"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3">
      <c r="A7" s="1053" t="s">
        <v>2</v>
      </c>
      <c r="B7" s="1054"/>
      <c r="C7" s="1054"/>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5"/>
    </row>
    <row r="8" spans="1:32"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94.5" customHeight="1" x14ac:dyDescent="0.3">
      <c r="A10" s="122"/>
      <c r="B10" s="889" t="s">
        <v>5963</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108" customHeight="1" x14ac:dyDescent="0.3">
      <c r="A13" s="121"/>
      <c r="B13" s="884" t="s">
        <v>5964</v>
      </c>
      <c r="C13" s="884"/>
      <c r="D13" s="884"/>
      <c r="E13" s="884"/>
      <c r="F13" s="884"/>
      <c r="G13" s="884"/>
      <c r="H13" s="884"/>
      <c r="I13" s="884"/>
      <c r="J13" s="884"/>
      <c r="K13" s="884"/>
      <c r="L13" s="884"/>
      <c r="M13" s="884"/>
      <c r="N13" s="884"/>
      <c r="O13" s="884"/>
      <c r="P13" s="884"/>
      <c r="Q13" s="884"/>
      <c r="R13" s="884"/>
      <c r="S13" s="884"/>
      <c r="T13" s="884"/>
      <c r="U13" s="884"/>
      <c r="V13" s="884"/>
      <c r="W13" s="884"/>
      <c r="X13" s="884"/>
      <c r="Y13" s="884"/>
      <c r="Z13" s="884"/>
      <c r="AA13" s="884"/>
      <c r="AB13" s="884"/>
      <c r="AC13" s="884"/>
      <c r="AD13" s="884"/>
      <c r="AE13" s="884"/>
      <c r="AF13" s="884"/>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630</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120"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120" x14ac:dyDescent="0.3">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120" ht="50.25" customHeight="1" x14ac:dyDescent="0.3">
      <c r="A19" s="121"/>
      <c r="B19" s="889" t="s">
        <v>5965</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120" x14ac:dyDescent="0.3">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120" x14ac:dyDescent="0.3">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120" ht="73.5" customHeight="1" x14ac:dyDescent="0.3">
      <c r="A22" s="121"/>
      <c r="B22" s="1373" t="s">
        <v>5966</v>
      </c>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row>
    <row r="23" spans="1:120" x14ac:dyDescent="0.3">
      <c r="A23" s="121"/>
      <c r="B23" s="313"/>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120" x14ac:dyDescent="0.3">
      <c r="A24" s="121"/>
      <c r="B24" s="313"/>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1:120" ht="14.4" customHeight="1" x14ac:dyDescent="0.3">
      <c r="A25" s="1290" t="s">
        <v>7</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c r="BH25" s="60"/>
      <c r="BI25" s="61"/>
      <c r="BJ25" s="61"/>
      <c r="BK25" s="61"/>
      <c r="CJ25" s="122"/>
      <c r="CK25" s="122"/>
      <c r="CL25" s="122"/>
      <c r="CM25" s="122"/>
      <c r="CN25" s="122"/>
      <c r="CO25" s="122"/>
      <c r="CP25" s="122"/>
      <c r="CQ25" s="122"/>
      <c r="CR25" s="122"/>
      <c r="CS25" s="122"/>
      <c r="CT25" s="122"/>
      <c r="CU25" s="122"/>
      <c r="CV25" s="122"/>
      <c r="CW25" s="122"/>
      <c r="CX25" s="122"/>
      <c r="CY25" s="122"/>
      <c r="CZ25" s="122"/>
      <c r="DA25" s="122"/>
      <c r="DB25" s="122"/>
      <c r="DC25" s="122"/>
      <c r="DD25" s="122"/>
      <c r="DE25" s="122"/>
      <c r="DF25" s="122"/>
      <c r="DG25" s="122"/>
      <c r="DH25" s="122"/>
      <c r="DI25" s="122"/>
      <c r="DJ25" s="122"/>
      <c r="DK25" s="122"/>
      <c r="DL25" s="122"/>
      <c r="DM25" s="122"/>
      <c r="DN25" s="122"/>
      <c r="DO25" s="122"/>
    </row>
    <row r="26" spans="1:120" ht="14.4"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BH26" s="60"/>
      <c r="BI26" s="122"/>
      <c r="BJ26" s="122"/>
      <c r="BK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row>
    <row r="27" spans="1:120" ht="14.4" customHeight="1" x14ac:dyDescent="0.3">
      <c r="A27" s="741"/>
      <c r="B27" s="372" t="s">
        <v>2027</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BH27" s="60"/>
      <c r="BI27" s="122"/>
      <c r="BJ27" s="122"/>
      <c r="BK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row>
    <row r="28" spans="1:120" x14ac:dyDescent="0.3">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BI28" s="122"/>
      <c r="BJ28" s="122"/>
      <c r="BK28" s="122"/>
      <c r="BL28" s="122"/>
      <c r="BM28" s="122"/>
      <c r="BN28" s="122"/>
      <c r="BO28" s="122"/>
      <c r="BP28" s="62"/>
      <c r="BQ28" s="63"/>
      <c r="BR28" s="63"/>
      <c r="BS28" s="63"/>
      <c r="BT28" s="63"/>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row>
    <row r="29" spans="1:120" x14ac:dyDescent="0.3">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1463</v>
      </c>
    </row>
    <row r="30" spans="1:120" x14ac:dyDescent="0.3">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546"/>
    </row>
    <row r="31" spans="1:120" x14ac:dyDescent="0.3">
      <c r="A31" s="741"/>
      <c r="B31" s="741"/>
      <c r="C31" s="760" t="s">
        <v>4311</v>
      </c>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546"/>
    </row>
    <row r="32" spans="1:120" x14ac:dyDescent="0.3">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row>
    <row r="33" spans="1:32" ht="14.4" customHeight="1" x14ac:dyDescent="0.3">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272" t="s">
        <v>1464</v>
      </c>
    </row>
    <row r="34" spans="1:32" ht="14.4" customHeight="1" x14ac:dyDescent="0.3">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row>
    <row r="35" spans="1:32" ht="14.4" customHeight="1" x14ac:dyDescent="0.3">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1465</v>
      </c>
    </row>
    <row r="36" spans="1:32" ht="14.4" customHeigh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ht="14.4" customHeight="1"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1517</v>
      </c>
    </row>
    <row r="38" spans="1:32" ht="14.4" customHeight="1"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ht="14.4" customHeight="1"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t="s">
        <v>1556</v>
      </c>
    </row>
    <row r="40" spans="1:32" ht="14.4" customHeight="1" x14ac:dyDescent="0.3">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ht="14.4" customHeight="1" x14ac:dyDescent="0.3">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1558</v>
      </c>
    </row>
    <row r="42" spans="1:32" ht="14.4" customHeight="1"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2" ht="14.4" customHeight="1" x14ac:dyDescent="0.3">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272" t="s">
        <v>1558</v>
      </c>
    </row>
    <row r="44" spans="1:32" ht="14.4" customHeight="1" x14ac:dyDescent="0.3">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272"/>
    </row>
    <row r="45" spans="1:32" ht="14.4" customHeight="1" x14ac:dyDescent="0.3">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1607</v>
      </c>
    </row>
    <row r="46" spans="1:32" ht="14.4" customHeight="1" x14ac:dyDescent="0.3">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2" ht="14.4" customHeight="1" x14ac:dyDescent="0.3">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272" t="s">
        <v>1608</v>
      </c>
    </row>
    <row r="48" spans="1:32" ht="14.4" customHeight="1" x14ac:dyDescent="0.3">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ht="14.4" customHeight="1" x14ac:dyDescent="0.3">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row>
    <row r="50" spans="1:32" ht="14.4" customHeight="1"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t="s">
        <v>1946</v>
      </c>
    </row>
    <row r="51" spans="1:32"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ht="15" customHeight="1" x14ac:dyDescent="0.3">
      <c r="A52" s="741"/>
      <c r="B52" s="372" t="s">
        <v>2137</v>
      </c>
      <c r="C52" s="741"/>
      <c r="D52" s="741"/>
      <c r="E52" s="741"/>
      <c r="F52" s="741"/>
      <c r="G52" s="741"/>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row>
    <row r="53" spans="1:32" ht="15" customHeight="1" x14ac:dyDescent="0.3">
      <c r="A53" s="741"/>
      <c r="B53" s="741"/>
      <c r="C53" s="741"/>
      <c r="D53" s="741"/>
      <c r="E53" s="741"/>
      <c r="F53" s="741"/>
      <c r="G53" s="741"/>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row>
    <row r="54" spans="1:32" ht="15" customHeight="1" x14ac:dyDescent="0.3">
      <c r="A54" s="741"/>
      <c r="B54" s="741"/>
      <c r="C54" s="741"/>
      <c r="D54" s="741"/>
      <c r="E54" s="741"/>
      <c r="F54" s="741"/>
      <c r="G54" s="741"/>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t="s">
        <v>1948</v>
      </c>
    </row>
    <row r="55" spans="1:32" ht="15" customHeight="1" x14ac:dyDescent="0.3">
      <c r="A55" s="741"/>
      <c r="B55" s="741"/>
      <c r="C55" s="741"/>
      <c r="D55" s="741"/>
      <c r="E55" s="741"/>
      <c r="F55" s="741"/>
      <c r="G55" s="741"/>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row>
    <row r="56" spans="1:32" ht="15" customHeight="1" x14ac:dyDescent="0.3">
      <c r="A56" s="741"/>
      <c r="B56" s="372" t="s">
        <v>1811</v>
      </c>
      <c r="C56" s="741"/>
      <c r="D56" s="741"/>
      <c r="E56" s="741"/>
      <c r="F56" s="741"/>
      <c r="G56" s="741"/>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row>
    <row r="57" spans="1:32" ht="15" customHeight="1" x14ac:dyDescent="0.3">
      <c r="A57" s="741"/>
      <c r="B57" s="741"/>
      <c r="C57" s="741"/>
      <c r="D57" s="741"/>
      <c r="E57" s="741"/>
      <c r="F57" s="741"/>
      <c r="G57" s="741"/>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row>
    <row r="58" spans="1:32" ht="15" customHeight="1" x14ac:dyDescent="0.3">
      <c r="A58" s="741"/>
      <c r="B58" s="741"/>
      <c r="C58" s="741"/>
      <c r="D58" s="741"/>
      <c r="E58" s="741"/>
      <c r="F58" s="741"/>
      <c r="G58" s="741"/>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272" t="s">
        <v>1949</v>
      </c>
    </row>
    <row r="59" spans="1:32" ht="15" customHeight="1" x14ac:dyDescent="0.3">
      <c r="A59" s="741"/>
      <c r="B59" s="741"/>
      <c r="C59" s="741"/>
      <c r="D59" s="741"/>
      <c r="E59" s="741"/>
      <c r="F59" s="741"/>
      <c r="G59" s="741"/>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272"/>
    </row>
    <row r="60" spans="1:32" x14ac:dyDescent="0.3">
      <c r="A60" s="121"/>
      <c r="B60" s="313"/>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row>
    <row r="61" spans="1:32" x14ac:dyDescent="0.3">
      <c r="A61" s="1053" t="s">
        <v>8</v>
      </c>
      <c r="B61" s="1054"/>
      <c r="C61" s="1054"/>
      <c r="D61" s="1054"/>
      <c r="E61" s="1054"/>
      <c r="F61" s="1054"/>
      <c r="G61" s="1054"/>
      <c r="H61" s="1054"/>
      <c r="I61" s="1054"/>
      <c r="J61" s="1054"/>
      <c r="K61" s="1054"/>
      <c r="L61" s="1054"/>
      <c r="M61" s="1054"/>
      <c r="N61" s="1054"/>
      <c r="O61" s="1054"/>
      <c r="P61" s="1054"/>
      <c r="Q61" s="1054"/>
      <c r="R61" s="1054"/>
      <c r="S61" s="1054"/>
      <c r="T61" s="1054"/>
      <c r="U61" s="1054"/>
      <c r="V61" s="1054"/>
      <c r="W61" s="1054"/>
      <c r="X61" s="1054"/>
      <c r="Y61" s="1054"/>
      <c r="Z61" s="1054"/>
      <c r="AA61" s="1054"/>
      <c r="AB61" s="1054"/>
      <c r="AC61" s="1054"/>
      <c r="AD61" s="1054"/>
      <c r="AE61" s="1054"/>
      <c r="AF61" s="1055"/>
    </row>
    <row r="62" spans="1:32" x14ac:dyDescent="0.3">
      <c r="A62" s="1366" t="s">
        <v>9</v>
      </c>
      <c r="B62" s="1367"/>
      <c r="C62" s="1367"/>
      <c r="D62" s="1368"/>
      <c r="E62" s="1366" t="s">
        <v>3</v>
      </c>
      <c r="F62" s="1367"/>
      <c r="G62" s="1367"/>
      <c r="H62" s="1367"/>
      <c r="I62" s="1367"/>
      <c r="J62" s="1367"/>
      <c r="K62" s="1367"/>
      <c r="L62" s="1367"/>
      <c r="M62" s="1367"/>
      <c r="N62" s="1367"/>
      <c r="O62" s="1367"/>
      <c r="P62" s="1368"/>
      <c r="Q62" s="1366" t="s">
        <v>10</v>
      </c>
      <c r="R62" s="1367"/>
      <c r="S62" s="1367"/>
      <c r="T62" s="1368"/>
      <c r="U62" s="1366" t="s">
        <v>11</v>
      </c>
      <c r="V62" s="1368"/>
      <c r="W62" s="1366" t="s">
        <v>1466</v>
      </c>
      <c r="X62" s="1367"/>
      <c r="Y62" s="1367"/>
      <c r="Z62" s="1367"/>
      <c r="AA62" s="1367"/>
      <c r="AB62" s="1367"/>
      <c r="AC62" s="1367"/>
      <c r="AD62" s="1367"/>
      <c r="AE62" s="1367"/>
      <c r="AF62" s="1368"/>
    </row>
    <row r="63" spans="1:32" ht="15" customHeight="1" x14ac:dyDescent="0.3">
      <c r="A63" s="1349" t="s">
        <v>6032</v>
      </c>
      <c r="B63" s="1350"/>
      <c r="C63" s="1350"/>
      <c r="D63" s="1351"/>
      <c r="E63" s="1349" t="s">
        <v>5967</v>
      </c>
      <c r="F63" s="1350"/>
      <c r="G63" s="1350"/>
      <c r="H63" s="1350"/>
      <c r="I63" s="1350"/>
      <c r="J63" s="1350"/>
      <c r="K63" s="1350"/>
      <c r="L63" s="1350"/>
      <c r="M63" s="1350"/>
      <c r="N63" s="1350"/>
      <c r="O63" s="1350"/>
      <c r="P63" s="1351"/>
      <c r="Q63" s="1359" t="s">
        <v>516</v>
      </c>
      <c r="R63" s="1360"/>
      <c r="S63" s="1360"/>
      <c r="T63" s="1361"/>
      <c r="U63" s="1352" t="s">
        <v>562</v>
      </c>
      <c r="V63" s="1354"/>
      <c r="W63" s="1163" t="s">
        <v>35</v>
      </c>
      <c r="X63" s="1164"/>
      <c r="Y63" s="1164"/>
      <c r="Z63" s="1164"/>
      <c r="AA63" s="1164"/>
      <c r="AB63" s="1164"/>
      <c r="AC63" s="1164"/>
      <c r="AD63" s="1164"/>
      <c r="AE63" s="1164"/>
      <c r="AF63" s="1165"/>
    </row>
    <row r="64" spans="1:32" ht="15" customHeight="1" x14ac:dyDescent="0.3">
      <c r="A64" s="1349" t="s">
        <v>6033</v>
      </c>
      <c r="B64" s="1350"/>
      <c r="C64" s="1350"/>
      <c r="D64" s="1351"/>
      <c r="E64" s="1163" t="s">
        <v>5968</v>
      </c>
      <c r="F64" s="1164"/>
      <c r="G64" s="1164"/>
      <c r="H64" s="1164"/>
      <c r="I64" s="1164"/>
      <c r="J64" s="1164"/>
      <c r="K64" s="1164"/>
      <c r="L64" s="1164"/>
      <c r="M64" s="1164"/>
      <c r="N64" s="1164"/>
      <c r="O64" s="1164"/>
      <c r="P64" s="1165"/>
      <c r="Q64" s="1359" t="s">
        <v>516</v>
      </c>
      <c r="R64" s="1360"/>
      <c r="S64" s="1360"/>
      <c r="T64" s="1361"/>
      <c r="U64" s="1352" t="s">
        <v>562</v>
      </c>
      <c r="V64" s="1354"/>
      <c r="W64" s="1163" t="s">
        <v>35</v>
      </c>
      <c r="X64" s="1164"/>
      <c r="Y64" s="1164"/>
      <c r="Z64" s="1164"/>
      <c r="AA64" s="1164"/>
      <c r="AB64" s="1164"/>
      <c r="AC64" s="1164"/>
      <c r="AD64" s="1164"/>
      <c r="AE64" s="1164"/>
      <c r="AF64" s="1165"/>
    </row>
    <row r="65" spans="1:32" ht="46.5" customHeight="1" x14ac:dyDescent="0.3">
      <c r="A65" s="1349" t="s">
        <v>6034</v>
      </c>
      <c r="B65" s="1350"/>
      <c r="C65" s="1350"/>
      <c r="D65" s="1351"/>
      <c r="E65" s="1163" t="s">
        <v>5969</v>
      </c>
      <c r="F65" s="1164"/>
      <c r="G65" s="1164"/>
      <c r="H65" s="1164"/>
      <c r="I65" s="1164"/>
      <c r="J65" s="1164"/>
      <c r="K65" s="1164"/>
      <c r="L65" s="1164"/>
      <c r="M65" s="1164"/>
      <c r="N65" s="1164"/>
      <c r="O65" s="1164"/>
      <c r="P65" s="1165"/>
      <c r="Q65" s="1359" t="s">
        <v>516</v>
      </c>
      <c r="R65" s="1360"/>
      <c r="S65" s="1360"/>
      <c r="T65" s="1361"/>
      <c r="U65" s="1352" t="s">
        <v>562</v>
      </c>
      <c r="V65" s="1354"/>
      <c r="W65" s="1163" t="s">
        <v>5970</v>
      </c>
      <c r="X65" s="1164"/>
      <c r="Y65" s="1164"/>
      <c r="Z65" s="1164"/>
      <c r="AA65" s="1164"/>
      <c r="AB65" s="1164"/>
      <c r="AC65" s="1164"/>
      <c r="AD65" s="1164"/>
      <c r="AE65" s="1164"/>
      <c r="AF65" s="1165"/>
    </row>
    <row r="66" spans="1:32" ht="15" customHeight="1" x14ac:dyDescent="0.3">
      <c r="A66" s="1349" t="s">
        <v>6035</v>
      </c>
      <c r="B66" s="1350"/>
      <c r="C66" s="1350"/>
      <c r="D66" s="1351"/>
      <c r="E66" s="1349" t="s">
        <v>5971</v>
      </c>
      <c r="F66" s="1350"/>
      <c r="G66" s="1350"/>
      <c r="H66" s="1350"/>
      <c r="I66" s="1350"/>
      <c r="J66" s="1350"/>
      <c r="K66" s="1350"/>
      <c r="L66" s="1350"/>
      <c r="M66" s="1350"/>
      <c r="N66" s="1350"/>
      <c r="O66" s="1350"/>
      <c r="P66" s="1351"/>
      <c r="Q66" s="1359" t="s">
        <v>516</v>
      </c>
      <c r="R66" s="1360"/>
      <c r="S66" s="1360"/>
      <c r="T66" s="1361"/>
      <c r="U66" s="1352" t="s">
        <v>562</v>
      </c>
      <c r="V66" s="1354"/>
      <c r="W66" s="1163" t="s">
        <v>35</v>
      </c>
      <c r="X66" s="1164"/>
      <c r="Y66" s="1164"/>
      <c r="Z66" s="1164"/>
      <c r="AA66" s="1164"/>
      <c r="AB66" s="1164"/>
      <c r="AC66" s="1164"/>
      <c r="AD66" s="1164"/>
      <c r="AE66" s="1164"/>
      <c r="AF66" s="1165"/>
    </row>
    <row r="67" spans="1:32" ht="15" customHeight="1" x14ac:dyDescent="0.3">
      <c r="A67" s="1349" t="s">
        <v>6036</v>
      </c>
      <c r="B67" s="1350"/>
      <c r="C67" s="1350"/>
      <c r="D67" s="1351"/>
      <c r="E67" s="1349" t="s">
        <v>5972</v>
      </c>
      <c r="F67" s="1350"/>
      <c r="G67" s="1350"/>
      <c r="H67" s="1350"/>
      <c r="I67" s="1350"/>
      <c r="J67" s="1350"/>
      <c r="K67" s="1350"/>
      <c r="L67" s="1350"/>
      <c r="M67" s="1350"/>
      <c r="N67" s="1350"/>
      <c r="O67" s="1350"/>
      <c r="P67" s="1351"/>
      <c r="Q67" s="1359" t="s">
        <v>516</v>
      </c>
      <c r="R67" s="1360"/>
      <c r="S67" s="1360"/>
      <c r="T67" s="1361"/>
      <c r="U67" s="1352" t="s">
        <v>562</v>
      </c>
      <c r="V67" s="1354"/>
      <c r="W67" s="1163" t="s">
        <v>35</v>
      </c>
      <c r="X67" s="1164"/>
      <c r="Y67" s="1164"/>
      <c r="Z67" s="1164"/>
      <c r="AA67" s="1164"/>
      <c r="AB67" s="1164"/>
      <c r="AC67" s="1164"/>
      <c r="AD67" s="1164"/>
      <c r="AE67" s="1164"/>
      <c r="AF67" s="1165"/>
    </row>
    <row r="68" spans="1:32" ht="15" customHeight="1" x14ac:dyDescent="0.3">
      <c r="A68" s="1349" t="s">
        <v>6037</v>
      </c>
      <c r="B68" s="1350"/>
      <c r="C68" s="1350"/>
      <c r="D68" s="1351"/>
      <c r="E68" s="1163" t="s">
        <v>5973</v>
      </c>
      <c r="F68" s="1164"/>
      <c r="G68" s="1164"/>
      <c r="H68" s="1164"/>
      <c r="I68" s="1164"/>
      <c r="J68" s="1164"/>
      <c r="K68" s="1164"/>
      <c r="L68" s="1164"/>
      <c r="M68" s="1164"/>
      <c r="N68" s="1164"/>
      <c r="O68" s="1164"/>
      <c r="P68" s="1165"/>
      <c r="Q68" s="1359" t="s">
        <v>516</v>
      </c>
      <c r="R68" s="1360"/>
      <c r="S68" s="1360"/>
      <c r="T68" s="1361"/>
      <c r="U68" s="1352" t="s">
        <v>562</v>
      </c>
      <c r="V68" s="1354"/>
      <c r="W68" s="1163" t="s">
        <v>35</v>
      </c>
      <c r="X68" s="1164"/>
      <c r="Y68" s="1164"/>
      <c r="Z68" s="1164"/>
      <c r="AA68" s="1164"/>
      <c r="AB68" s="1164"/>
      <c r="AC68" s="1164"/>
      <c r="AD68" s="1164"/>
      <c r="AE68" s="1164"/>
      <c r="AF68" s="1165"/>
    </row>
    <row r="69" spans="1:32" ht="15" customHeight="1" x14ac:dyDescent="0.3">
      <c r="A69" s="1349" t="s">
        <v>6038</v>
      </c>
      <c r="B69" s="1350"/>
      <c r="C69" s="1350"/>
      <c r="D69" s="1351"/>
      <c r="E69" s="1163" t="s">
        <v>5974</v>
      </c>
      <c r="F69" s="1164"/>
      <c r="G69" s="1164"/>
      <c r="H69" s="1164"/>
      <c r="I69" s="1164"/>
      <c r="J69" s="1164"/>
      <c r="K69" s="1164"/>
      <c r="L69" s="1164"/>
      <c r="M69" s="1164"/>
      <c r="N69" s="1164"/>
      <c r="O69" s="1164"/>
      <c r="P69" s="1165"/>
      <c r="Q69" s="1359" t="s">
        <v>516</v>
      </c>
      <c r="R69" s="1360"/>
      <c r="S69" s="1360"/>
      <c r="T69" s="1361"/>
      <c r="U69" s="1352" t="s">
        <v>562</v>
      </c>
      <c r="V69" s="1354"/>
      <c r="W69" s="1163" t="s">
        <v>35</v>
      </c>
      <c r="X69" s="1164"/>
      <c r="Y69" s="1164"/>
      <c r="Z69" s="1164"/>
      <c r="AA69" s="1164"/>
      <c r="AB69" s="1164"/>
      <c r="AC69" s="1164"/>
      <c r="AD69" s="1164"/>
      <c r="AE69" s="1164"/>
      <c r="AF69" s="1165"/>
    </row>
    <row r="70" spans="1:32" ht="52.5" customHeight="1" x14ac:dyDescent="0.3">
      <c r="A70" s="1349" t="s">
        <v>6039</v>
      </c>
      <c r="B70" s="1350"/>
      <c r="C70" s="1350"/>
      <c r="D70" s="1351"/>
      <c r="E70" s="1349" t="s">
        <v>5975</v>
      </c>
      <c r="F70" s="1350"/>
      <c r="G70" s="1350"/>
      <c r="H70" s="1350"/>
      <c r="I70" s="1350"/>
      <c r="J70" s="1350"/>
      <c r="K70" s="1350"/>
      <c r="L70" s="1350"/>
      <c r="M70" s="1350"/>
      <c r="N70" s="1350"/>
      <c r="O70" s="1350"/>
      <c r="P70" s="1351"/>
      <c r="Q70" s="1352">
        <v>73.2</v>
      </c>
      <c r="R70" s="1353"/>
      <c r="S70" s="1353"/>
      <c r="T70" s="1354"/>
      <c r="U70" s="1352" t="s">
        <v>574</v>
      </c>
      <c r="V70" s="1354"/>
      <c r="W70" s="1163" t="s">
        <v>5970</v>
      </c>
      <c r="X70" s="1164"/>
      <c r="Y70" s="1164"/>
      <c r="Z70" s="1164"/>
      <c r="AA70" s="1164"/>
      <c r="AB70" s="1164"/>
      <c r="AC70" s="1164"/>
      <c r="AD70" s="1164"/>
      <c r="AE70" s="1164"/>
      <c r="AF70" s="1165"/>
    </row>
    <row r="71" spans="1:32" ht="48" customHeight="1" x14ac:dyDescent="0.3">
      <c r="A71" s="1349" t="s">
        <v>6040</v>
      </c>
      <c r="B71" s="1350"/>
      <c r="C71" s="1350"/>
      <c r="D71" s="1351"/>
      <c r="E71" s="1349" t="s">
        <v>631</v>
      </c>
      <c r="F71" s="1350"/>
      <c r="G71" s="1350"/>
      <c r="H71" s="1350"/>
      <c r="I71" s="1350"/>
      <c r="J71" s="1350"/>
      <c r="K71" s="1350"/>
      <c r="L71" s="1350"/>
      <c r="M71" s="1350"/>
      <c r="N71" s="1350"/>
      <c r="O71" s="1350"/>
      <c r="P71" s="1351"/>
      <c r="Q71" s="1352">
        <v>30.8</v>
      </c>
      <c r="R71" s="1353"/>
      <c r="S71" s="1353"/>
      <c r="T71" s="1354"/>
      <c r="U71" s="1352" t="s">
        <v>574</v>
      </c>
      <c r="V71" s="1354"/>
      <c r="W71" s="1163" t="s">
        <v>5970</v>
      </c>
      <c r="X71" s="1164"/>
      <c r="Y71" s="1164"/>
      <c r="Z71" s="1164"/>
      <c r="AA71" s="1164"/>
      <c r="AB71" s="1164"/>
      <c r="AC71" s="1164"/>
      <c r="AD71" s="1164"/>
      <c r="AE71" s="1164"/>
      <c r="AF71" s="1165"/>
    </row>
    <row r="72" spans="1:32" ht="36" customHeight="1" x14ac:dyDescent="0.3">
      <c r="A72" s="1349" t="s">
        <v>6041</v>
      </c>
      <c r="B72" s="1350"/>
      <c r="C72" s="1350"/>
      <c r="D72" s="1351"/>
      <c r="E72" s="1163" t="s">
        <v>5976</v>
      </c>
      <c r="F72" s="1164"/>
      <c r="G72" s="1164"/>
      <c r="H72" s="1164"/>
      <c r="I72" s="1164"/>
      <c r="J72" s="1164"/>
      <c r="K72" s="1164"/>
      <c r="L72" s="1164"/>
      <c r="M72" s="1164"/>
      <c r="N72" s="1164"/>
      <c r="O72" s="1164"/>
      <c r="P72" s="1165"/>
      <c r="Q72" s="1359" t="s">
        <v>516</v>
      </c>
      <c r="R72" s="1360"/>
      <c r="S72" s="1360"/>
      <c r="T72" s="1361"/>
      <c r="U72" s="1365" t="s">
        <v>20</v>
      </c>
      <c r="V72" s="1354"/>
      <c r="W72" s="1163" t="s">
        <v>5977</v>
      </c>
      <c r="X72" s="1164"/>
      <c r="Y72" s="1164"/>
      <c r="Z72" s="1164"/>
      <c r="AA72" s="1164"/>
      <c r="AB72" s="1164"/>
      <c r="AC72" s="1164"/>
      <c r="AD72" s="1164"/>
      <c r="AE72" s="1164"/>
      <c r="AF72" s="1165"/>
    </row>
    <row r="73" spans="1:32" ht="36" customHeight="1" x14ac:dyDescent="0.3">
      <c r="A73" s="1349" t="s">
        <v>6042</v>
      </c>
      <c r="B73" s="1350"/>
      <c r="C73" s="1350"/>
      <c r="D73" s="1351"/>
      <c r="E73" s="1163" t="s">
        <v>5978</v>
      </c>
      <c r="F73" s="1164"/>
      <c r="G73" s="1164"/>
      <c r="H73" s="1164"/>
      <c r="I73" s="1164"/>
      <c r="J73" s="1164"/>
      <c r="K73" s="1164"/>
      <c r="L73" s="1164"/>
      <c r="M73" s="1164"/>
      <c r="N73" s="1164"/>
      <c r="O73" s="1164"/>
      <c r="P73" s="1165"/>
      <c r="Q73" s="1359" t="s">
        <v>516</v>
      </c>
      <c r="R73" s="1360"/>
      <c r="S73" s="1360"/>
      <c r="T73" s="1361"/>
      <c r="U73" s="1352" t="s">
        <v>20</v>
      </c>
      <c r="V73" s="1354"/>
      <c r="W73" s="1163" t="s">
        <v>5977</v>
      </c>
      <c r="X73" s="1164"/>
      <c r="Y73" s="1164"/>
      <c r="Z73" s="1164"/>
      <c r="AA73" s="1164"/>
      <c r="AB73" s="1164"/>
      <c r="AC73" s="1164"/>
      <c r="AD73" s="1164"/>
      <c r="AE73" s="1164"/>
      <c r="AF73" s="1165"/>
    </row>
    <row r="74" spans="1:32" ht="47.25" customHeight="1" x14ac:dyDescent="0.3">
      <c r="A74" s="1349" t="s">
        <v>6043</v>
      </c>
      <c r="B74" s="1350"/>
      <c r="C74" s="1350"/>
      <c r="D74" s="1351"/>
      <c r="E74" s="1163" t="s">
        <v>5979</v>
      </c>
      <c r="F74" s="1164"/>
      <c r="G74" s="1164"/>
      <c r="H74" s="1164"/>
      <c r="I74" s="1164"/>
      <c r="J74" s="1164"/>
      <c r="K74" s="1164"/>
      <c r="L74" s="1164"/>
      <c r="M74" s="1164"/>
      <c r="N74" s="1164"/>
      <c r="O74" s="1164"/>
      <c r="P74" s="1165"/>
      <c r="Q74" s="1362">
        <v>0.5</v>
      </c>
      <c r="R74" s="1363"/>
      <c r="S74" s="1363"/>
      <c r="T74" s="1364"/>
      <c r="U74" s="1352" t="s">
        <v>20</v>
      </c>
      <c r="V74" s="1354"/>
      <c r="W74" s="1163" t="s">
        <v>5970</v>
      </c>
      <c r="X74" s="1164"/>
      <c r="Y74" s="1164"/>
      <c r="Z74" s="1164"/>
      <c r="AA74" s="1164"/>
      <c r="AB74" s="1164"/>
      <c r="AC74" s="1164"/>
      <c r="AD74" s="1164"/>
      <c r="AE74" s="1164"/>
      <c r="AF74" s="1165"/>
    </row>
    <row r="75" spans="1:32" ht="48" customHeight="1" x14ac:dyDescent="0.3">
      <c r="A75" s="1349" t="s">
        <v>6044</v>
      </c>
      <c r="B75" s="1350"/>
      <c r="C75" s="1350"/>
      <c r="D75" s="1351"/>
      <c r="E75" s="1163" t="s">
        <v>585</v>
      </c>
      <c r="F75" s="1164"/>
      <c r="G75" s="1164"/>
      <c r="H75" s="1164"/>
      <c r="I75" s="1164"/>
      <c r="J75" s="1164"/>
      <c r="K75" s="1164"/>
      <c r="L75" s="1164"/>
      <c r="M75" s="1164"/>
      <c r="N75" s="1164"/>
      <c r="O75" s="1164"/>
      <c r="P75" s="1165"/>
      <c r="Q75" s="1362">
        <v>0.5</v>
      </c>
      <c r="R75" s="1363"/>
      <c r="S75" s="1363"/>
      <c r="T75" s="1364"/>
      <c r="U75" s="1352" t="s">
        <v>20</v>
      </c>
      <c r="V75" s="1354"/>
      <c r="W75" s="1163" t="s">
        <v>5970</v>
      </c>
      <c r="X75" s="1164"/>
      <c r="Y75" s="1164"/>
      <c r="Z75" s="1164"/>
      <c r="AA75" s="1164"/>
      <c r="AB75" s="1164"/>
      <c r="AC75" s="1164"/>
      <c r="AD75" s="1164"/>
      <c r="AE75" s="1164"/>
      <c r="AF75" s="1165"/>
    </row>
    <row r="76" spans="1:32" ht="45" customHeight="1" x14ac:dyDescent="0.3">
      <c r="A76" s="1349" t="s">
        <v>6045</v>
      </c>
      <c r="B76" s="1350"/>
      <c r="C76" s="1350"/>
      <c r="D76" s="1351"/>
      <c r="E76" s="1163" t="s">
        <v>5980</v>
      </c>
      <c r="F76" s="1164"/>
      <c r="G76" s="1164"/>
      <c r="H76" s="1164"/>
      <c r="I76" s="1164"/>
      <c r="J76" s="1164"/>
      <c r="K76" s="1164"/>
      <c r="L76" s="1164"/>
      <c r="M76" s="1164"/>
      <c r="N76" s="1164"/>
      <c r="O76" s="1164"/>
      <c r="P76" s="1165"/>
      <c r="Q76" s="1359">
        <v>1</v>
      </c>
      <c r="R76" s="1360"/>
      <c r="S76" s="1360"/>
      <c r="T76" s="1361"/>
      <c r="U76" s="1352" t="s">
        <v>20</v>
      </c>
      <c r="V76" s="1354"/>
      <c r="W76" s="1163" t="s">
        <v>5970</v>
      </c>
      <c r="X76" s="1164"/>
      <c r="Y76" s="1164"/>
      <c r="Z76" s="1164"/>
      <c r="AA76" s="1164"/>
      <c r="AB76" s="1164"/>
      <c r="AC76" s="1164"/>
      <c r="AD76" s="1164"/>
      <c r="AE76" s="1164"/>
      <c r="AF76" s="1165"/>
    </row>
    <row r="77" spans="1:32" ht="43.5" customHeight="1" x14ac:dyDescent="0.3">
      <c r="A77" s="1349" t="s">
        <v>6046</v>
      </c>
      <c r="B77" s="1350"/>
      <c r="C77" s="1350"/>
      <c r="D77" s="1351"/>
      <c r="E77" s="1163" t="s">
        <v>5981</v>
      </c>
      <c r="F77" s="1164"/>
      <c r="G77" s="1164"/>
      <c r="H77" s="1164"/>
      <c r="I77" s="1164"/>
      <c r="J77" s="1164"/>
      <c r="K77" s="1164"/>
      <c r="L77" s="1164"/>
      <c r="M77" s="1164"/>
      <c r="N77" s="1164"/>
      <c r="O77" s="1164"/>
      <c r="P77" s="1165"/>
      <c r="Q77" s="1359">
        <v>15</v>
      </c>
      <c r="R77" s="1360"/>
      <c r="S77" s="1360"/>
      <c r="T77" s="1361"/>
      <c r="U77" s="1352" t="s">
        <v>5982</v>
      </c>
      <c r="V77" s="1354"/>
      <c r="W77" s="1163" t="s">
        <v>5970</v>
      </c>
      <c r="X77" s="1164"/>
      <c r="Y77" s="1164"/>
      <c r="Z77" s="1164"/>
      <c r="AA77" s="1164"/>
      <c r="AB77" s="1164"/>
      <c r="AC77" s="1164"/>
      <c r="AD77" s="1164"/>
      <c r="AE77" s="1164"/>
      <c r="AF77" s="1165"/>
    </row>
    <row r="78" spans="1:32" ht="15" customHeight="1" x14ac:dyDescent="0.3">
      <c r="A78" s="1349" t="s">
        <v>6047</v>
      </c>
      <c r="B78" s="1350"/>
      <c r="C78" s="1350"/>
      <c r="D78" s="1351"/>
      <c r="E78" s="1163" t="s">
        <v>5983</v>
      </c>
      <c r="F78" s="1164"/>
      <c r="G78" s="1164"/>
      <c r="H78" s="1164"/>
      <c r="I78" s="1164"/>
      <c r="J78" s="1164"/>
      <c r="K78" s="1164"/>
      <c r="L78" s="1164"/>
      <c r="M78" s="1164"/>
      <c r="N78" s="1164"/>
      <c r="O78" s="1164"/>
      <c r="P78" s="1165"/>
      <c r="Q78" s="1359" t="s">
        <v>516</v>
      </c>
      <c r="R78" s="1360"/>
      <c r="S78" s="1360"/>
      <c r="T78" s="1361"/>
      <c r="U78" s="1352" t="s">
        <v>37</v>
      </c>
      <c r="V78" s="1354"/>
      <c r="W78" s="1163" t="s">
        <v>35</v>
      </c>
      <c r="X78" s="1164"/>
      <c r="Y78" s="1164"/>
      <c r="Z78" s="1164"/>
      <c r="AA78" s="1164"/>
      <c r="AB78" s="1164"/>
      <c r="AC78" s="1164"/>
      <c r="AD78" s="1164"/>
      <c r="AE78" s="1164"/>
      <c r="AF78" s="1165"/>
    </row>
    <row r="79" spans="1:32" ht="15" customHeight="1" x14ac:dyDescent="0.3">
      <c r="A79" s="1349" t="s">
        <v>6048</v>
      </c>
      <c r="B79" s="1350"/>
      <c r="C79" s="1350"/>
      <c r="D79" s="1351"/>
      <c r="E79" s="1163" t="s">
        <v>5984</v>
      </c>
      <c r="F79" s="1164"/>
      <c r="G79" s="1164"/>
      <c r="H79" s="1164"/>
      <c r="I79" s="1164"/>
      <c r="J79" s="1164"/>
      <c r="K79" s="1164"/>
      <c r="L79" s="1164"/>
      <c r="M79" s="1164"/>
      <c r="N79" s="1164"/>
      <c r="O79" s="1164"/>
      <c r="P79" s="1165"/>
      <c r="Q79" s="1359" t="s">
        <v>516</v>
      </c>
      <c r="R79" s="1360"/>
      <c r="S79" s="1360"/>
      <c r="T79" s="1361"/>
      <c r="U79" s="1352" t="s">
        <v>37</v>
      </c>
      <c r="V79" s="1354"/>
      <c r="W79" s="1163" t="s">
        <v>35</v>
      </c>
      <c r="X79" s="1164"/>
      <c r="Y79" s="1164"/>
      <c r="Z79" s="1164"/>
      <c r="AA79" s="1164"/>
      <c r="AB79" s="1164"/>
      <c r="AC79" s="1164"/>
      <c r="AD79" s="1164"/>
      <c r="AE79" s="1164"/>
      <c r="AF79" s="1165"/>
    </row>
    <row r="80" spans="1:32" ht="45" customHeight="1" x14ac:dyDescent="0.3">
      <c r="A80" s="1349" t="s">
        <v>6049</v>
      </c>
      <c r="B80" s="1350"/>
      <c r="C80" s="1350"/>
      <c r="D80" s="1351"/>
      <c r="E80" s="1163" t="s">
        <v>632</v>
      </c>
      <c r="F80" s="1164"/>
      <c r="G80" s="1164"/>
      <c r="H80" s="1164"/>
      <c r="I80" s="1164"/>
      <c r="J80" s="1164"/>
      <c r="K80" s="1164"/>
      <c r="L80" s="1164"/>
      <c r="M80" s="1164"/>
      <c r="N80" s="1164"/>
      <c r="O80" s="1164"/>
      <c r="P80" s="1165"/>
      <c r="Q80" s="1359" t="s">
        <v>516</v>
      </c>
      <c r="R80" s="1360"/>
      <c r="S80" s="1360"/>
      <c r="T80" s="1361"/>
      <c r="U80" s="1352" t="s">
        <v>269</v>
      </c>
      <c r="V80" s="1354"/>
      <c r="W80" s="1163" t="s">
        <v>5970</v>
      </c>
      <c r="X80" s="1164"/>
      <c r="Y80" s="1164"/>
      <c r="Z80" s="1164"/>
      <c r="AA80" s="1164"/>
      <c r="AB80" s="1164"/>
      <c r="AC80" s="1164"/>
      <c r="AD80" s="1164"/>
      <c r="AE80" s="1164"/>
      <c r="AF80" s="1165"/>
    </row>
    <row r="81" spans="1:32" ht="45" customHeight="1" x14ac:dyDescent="0.3">
      <c r="A81" s="1349" t="s">
        <v>6050</v>
      </c>
      <c r="B81" s="1350"/>
      <c r="C81" s="1350"/>
      <c r="D81" s="1351"/>
      <c r="E81" s="1163" t="s">
        <v>5985</v>
      </c>
      <c r="F81" s="1164"/>
      <c r="G81" s="1164"/>
      <c r="H81" s="1164"/>
      <c r="I81" s="1164"/>
      <c r="J81" s="1164"/>
      <c r="K81" s="1164"/>
      <c r="L81" s="1164"/>
      <c r="M81" s="1164"/>
      <c r="N81" s="1164"/>
      <c r="O81" s="1164"/>
      <c r="P81" s="1165"/>
      <c r="Q81" s="1359" t="s">
        <v>516</v>
      </c>
      <c r="R81" s="1360"/>
      <c r="S81" s="1360"/>
      <c r="T81" s="1361"/>
      <c r="U81" s="1352" t="s">
        <v>269</v>
      </c>
      <c r="V81" s="1354"/>
      <c r="W81" s="1163" t="s">
        <v>5970</v>
      </c>
      <c r="X81" s="1164"/>
      <c r="Y81" s="1164"/>
      <c r="Z81" s="1164"/>
      <c r="AA81" s="1164"/>
      <c r="AB81" s="1164"/>
      <c r="AC81" s="1164"/>
      <c r="AD81" s="1164"/>
      <c r="AE81" s="1164"/>
      <c r="AF81" s="1165"/>
    </row>
    <row r="82" spans="1:32" x14ac:dyDescent="0.3">
      <c r="A82" s="1349" t="s">
        <v>5986</v>
      </c>
      <c r="B82" s="1350"/>
      <c r="C82" s="1350"/>
      <c r="D82" s="1351"/>
      <c r="E82" s="1163" t="s">
        <v>5987</v>
      </c>
      <c r="F82" s="1164"/>
      <c r="G82" s="1164"/>
      <c r="H82" s="1164"/>
      <c r="I82" s="1164"/>
      <c r="J82" s="1164"/>
      <c r="K82" s="1164"/>
      <c r="L82" s="1164"/>
      <c r="M82" s="1164"/>
      <c r="N82" s="1164"/>
      <c r="O82" s="1164"/>
      <c r="P82" s="1165"/>
      <c r="Q82" s="1359" t="s">
        <v>516</v>
      </c>
      <c r="R82" s="1360"/>
      <c r="S82" s="1360"/>
      <c r="T82" s="1361"/>
      <c r="U82" s="1352" t="s">
        <v>5988</v>
      </c>
      <c r="V82" s="1354"/>
      <c r="W82" s="1163" t="s">
        <v>5989</v>
      </c>
      <c r="X82" s="1164"/>
      <c r="Y82" s="1164"/>
      <c r="Z82" s="1164"/>
      <c r="AA82" s="1164"/>
      <c r="AB82" s="1164"/>
      <c r="AC82" s="1164"/>
      <c r="AD82" s="1164"/>
      <c r="AE82" s="1164"/>
      <c r="AF82" s="1165"/>
    </row>
    <row r="83" spans="1:32" ht="57.75" customHeight="1" x14ac:dyDescent="0.3">
      <c r="A83" s="1349" t="s">
        <v>6051</v>
      </c>
      <c r="B83" s="1350"/>
      <c r="C83" s="1350"/>
      <c r="D83" s="1351"/>
      <c r="E83" s="1163" t="s">
        <v>5990</v>
      </c>
      <c r="F83" s="1164"/>
      <c r="G83" s="1164"/>
      <c r="H83" s="1164"/>
      <c r="I83" s="1164"/>
      <c r="J83" s="1164"/>
      <c r="K83" s="1164"/>
      <c r="L83" s="1164"/>
      <c r="M83" s="1164"/>
      <c r="N83" s="1164"/>
      <c r="O83" s="1164"/>
      <c r="P83" s="1165"/>
      <c r="Q83" s="1359" t="s">
        <v>516</v>
      </c>
      <c r="R83" s="1360"/>
      <c r="S83" s="1360"/>
      <c r="T83" s="1361"/>
      <c r="U83" s="1352" t="s">
        <v>5991</v>
      </c>
      <c r="V83" s="1354"/>
      <c r="W83" s="1163" t="s">
        <v>5992</v>
      </c>
      <c r="X83" s="1164"/>
      <c r="Y83" s="1164"/>
      <c r="Z83" s="1164"/>
      <c r="AA83" s="1164"/>
      <c r="AB83" s="1164"/>
      <c r="AC83" s="1164"/>
      <c r="AD83" s="1164"/>
      <c r="AE83" s="1164"/>
      <c r="AF83" s="1165"/>
    </row>
    <row r="84" spans="1:32" ht="56.25" customHeight="1" x14ac:dyDescent="0.3">
      <c r="A84" s="1349" t="s">
        <v>6052</v>
      </c>
      <c r="B84" s="1350"/>
      <c r="C84" s="1350"/>
      <c r="D84" s="1351"/>
      <c r="E84" s="1163" t="s">
        <v>5993</v>
      </c>
      <c r="F84" s="1164"/>
      <c r="G84" s="1164"/>
      <c r="H84" s="1164"/>
      <c r="I84" s="1164"/>
      <c r="J84" s="1164"/>
      <c r="K84" s="1164"/>
      <c r="L84" s="1164"/>
      <c r="M84" s="1164"/>
      <c r="N84" s="1164"/>
      <c r="O84" s="1164"/>
      <c r="P84" s="1165"/>
      <c r="Q84" s="1359" t="s">
        <v>516</v>
      </c>
      <c r="R84" s="1360"/>
      <c r="S84" s="1360"/>
      <c r="T84" s="1361"/>
      <c r="U84" s="1352" t="s">
        <v>5991</v>
      </c>
      <c r="V84" s="1354"/>
      <c r="W84" s="1163" t="s">
        <v>5992</v>
      </c>
      <c r="X84" s="1164"/>
      <c r="Y84" s="1164"/>
      <c r="Z84" s="1164"/>
      <c r="AA84" s="1164"/>
      <c r="AB84" s="1164"/>
      <c r="AC84" s="1164"/>
      <c r="AD84" s="1164"/>
      <c r="AE84" s="1164"/>
      <c r="AF84" s="1165"/>
    </row>
    <row r="85" spans="1:32" ht="33" customHeight="1" x14ac:dyDescent="0.3">
      <c r="A85" s="1349" t="s">
        <v>318</v>
      </c>
      <c r="B85" s="1350"/>
      <c r="C85" s="1350"/>
      <c r="D85" s="1351"/>
      <c r="E85" s="1349" t="s">
        <v>5994</v>
      </c>
      <c r="F85" s="1350"/>
      <c r="G85" s="1350"/>
      <c r="H85" s="1350"/>
      <c r="I85" s="1350"/>
      <c r="J85" s="1350"/>
      <c r="K85" s="1350"/>
      <c r="L85" s="1350"/>
      <c r="M85" s="1350"/>
      <c r="N85" s="1350"/>
      <c r="O85" s="1350"/>
      <c r="P85" s="1351"/>
      <c r="Q85" s="1325" t="s">
        <v>5995</v>
      </c>
      <c r="R85" s="1326"/>
      <c r="S85" s="1326"/>
      <c r="T85" s="1327"/>
      <c r="U85" s="1352" t="s">
        <v>20</v>
      </c>
      <c r="V85" s="1354"/>
      <c r="W85" s="1163" t="s">
        <v>5996</v>
      </c>
      <c r="X85" s="1164"/>
      <c r="Y85" s="1164"/>
      <c r="Z85" s="1164"/>
      <c r="AA85" s="1164"/>
      <c r="AB85" s="1164"/>
      <c r="AC85" s="1164"/>
      <c r="AD85" s="1164"/>
      <c r="AE85" s="1164"/>
      <c r="AF85" s="1165"/>
    </row>
    <row r="86" spans="1:32" ht="45" customHeight="1" x14ac:dyDescent="0.3">
      <c r="A86" s="1349" t="s">
        <v>64</v>
      </c>
      <c r="B86" s="1350"/>
      <c r="C86" s="1350"/>
      <c r="D86" s="1351"/>
      <c r="E86" s="1349" t="s">
        <v>117</v>
      </c>
      <c r="F86" s="1350"/>
      <c r="G86" s="1350"/>
      <c r="H86" s="1350"/>
      <c r="I86" s="1350"/>
      <c r="J86" s="1350"/>
      <c r="K86" s="1350"/>
      <c r="L86" s="1350"/>
      <c r="M86" s="1350"/>
      <c r="N86" s="1350"/>
      <c r="O86" s="1350"/>
      <c r="P86" s="1351"/>
      <c r="Q86" s="1352">
        <v>365</v>
      </c>
      <c r="R86" s="1353"/>
      <c r="S86" s="1353"/>
      <c r="T86" s="1354"/>
      <c r="U86" s="1352" t="s">
        <v>66</v>
      </c>
      <c r="V86" s="1354"/>
      <c r="W86" s="1163" t="s">
        <v>5970</v>
      </c>
      <c r="X86" s="1164"/>
      <c r="Y86" s="1164"/>
      <c r="Z86" s="1164"/>
      <c r="AA86" s="1164"/>
      <c r="AB86" s="1164"/>
      <c r="AC86" s="1164"/>
      <c r="AD86" s="1164"/>
      <c r="AE86" s="1164"/>
      <c r="AF86" s="1165"/>
    </row>
    <row r="87" spans="1:32" ht="45" customHeight="1" x14ac:dyDescent="0.3">
      <c r="A87" s="1349" t="s">
        <v>5997</v>
      </c>
      <c r="B87" s="1350"/>
      <c r="C87" s="1350"/>
      <c r="D87" s="1351"/>
      <c r="E87" s="1349" t="s">
        <v>134</v>
      </c>
      <c r="F87" s="1350"/>
      <c r="G87" s="1350"/>
      <c r="H87" s="1350"/>
      <c r="I87" s="1350"/>
      <c r="J87" s="1350"/>
      <c r="K87" s="1350"/>
      <c r="L87" s="1350"/>
      <c r="M87" s="1350"/>
      <c r="N87" s="1350"/>
      <c r="O87" s="1350"/>
      <c r="P87" s="1351"/>
      <c r="Q87" s="1352">
        <v>12</v>
      </c>
      <c r="R87" s="1353"/>
      <c r="S87" s="1353"/>
      <c r="T87" s="1354"/>
      <c r="U87" s="1352" t="s">
        <v>37</v>
      </c>
      <c r="V87" s="1354"/>
      <c r="W87" s="1163" t="s">
        <v>5970</v>
      </c>
      <c r="X87" s="1164"/>
      <c r="Y87" s="1164"/>
      <c r="Z87" s="1164"/>
      <c r="AA87" s="1164"/>
      <c r="AB87" s="1164"/>
      <c r="AC87" s="1164"/>
      <c r="AD87" s="1164"/>
      <c r="AE87" s="1164"/>
      <c r="AF87" s="1165"/>
    </row>
    <row r="88" spans="1:32" ht="15" customHeight="1" x14ac:dyDescent="0.3">
      <c r="A88" s="1349" t="s">
        <v>24</v>
      </c>
      <c r="B88" s="1350"/>
      <c r="C88" s="1350"/>
      <c r="D88" s="1351"/>
      <c r="E88" s="1349" t="s">
        <v>155</v>
      </c>
      <c r="F88" s="1350"/>
      <c r="G88" s="1350"/>
      <c r="H88" s="1350"/>
      <c r="I88" s="1350"/>
      <c r="J88" s="1350"/>
      <c r="K88" s="1350"/>
      <c r="L88" s="1350"/>
      <c r="M88" s="1350"/>
      <c r="N88" s="1350"/>
      <c r="O88" s="1350"/>
      <c r="P88" s="1351"/>
      <c r="Q88" s="1369">
        <f>Q86*Q87</f>
        <v>4380</v>
      </c>
      <c r="R88" s="1370"/>
      <c r="S88" s="1370"/>
      <c r="T88" s="1371"/>
      <c r="U88" s="1352" t="s">
        <v>37</v>
      </c>
      <c r="V88" s="1354"/>
      <c r="W88" s="1163" t="s">
        <v>5998</v>
      </c>
      <c r="X88" s="1164"/>
      <c r="Y88" s="1164"/>
      <c r="Z88" s="1164"/>
      <c r="AA88" s="1164"/>
      <c r="AB88" s="1164"/>
      <c r="AC88" s="1164"/>
      <c r="AD88" s="1164"/>
      <c r="AE88" s="1164"/>
      <c r="AF88" s="1165"/>
    </row>
    <row r="89" spans="1:32" x14ac:dyDescent="0.3">
      <c r="A89" s="1349" t="s">
        <v>21</v>
      </c>
      <c r="B89" s="1350"/>
      <c r="C89" s="1350"/>
      <c r="D89" s="1351"/>
      <c r="E89" s="1349" t="s">
        <v>96</v>
      </c>
      <c r="F89" s="1350"/>
      <c r="G89" s="1350"/>
      <c r="H89" s="1350"/>
      <c r="I89" s="1350"/>
      <c r="J89" s="1350"/>
      <c r="K89" s="1350"/>
      <c r="L89" s="1350"/>
      <c r="M89" s="1350"/>
      <c r="N89" s="1350"/>
      <c r="O89" s="1350"/>
      <c r="P89" s="1351"/>
      <c r="Q89" s="1352">
        <v>0.9</v>
      </c>
      <c r="R89" s="1353"/>
      <c r="S89" s="1353"/>
      <c r="T89" s="1354"/>
      <c r="U89" s="1352" t="s">
        <v>20</v>
      </c>
      <c r="V89" s="1354"/>
      <c r="W89" s="1163" t="s">
        <v>6053</v>
      </c>
      <c r="X89" s="1164"/>
      <c r="Y89" s="1164"/>
      <c r="Z89" s="1164"/>
      <c r="AA89" s="1164"/>
      <c r="AB89" s="1164"/>
      <c r="AC89" s="1164"/>
      <c r="AD89" s="1164"/>
      <c r="AE89" s="1164"/>
      <c r="AF89" s="1165"/>
    </row>
    <row r="90" spans="1:32" ht="45" customHeight="1" x14ac:dyDescent="0.3">
      <c r="A90" s="1349" t="s">
        <v>2562</v>
      </c>
      <c r="B90" s="1350"/>
      <c r="C90" s="1350"/>
      <c r="D90" s="1351"/>
      <c r="E90" s="1349" t="s">
        <v>5999</v>
      </c>
      <c r="F90" s="1350"/>
      <c r="G90" s="1350"/>
      <c r="H90" s="1350"/>
      <c r="I90" s="1350"/>
      <c r="J90" s="1350"/>
      <c r="K90" s="1350"/>
      <c r="L90" s="1350"/>
      <c r="M90" s="1350"/>
      <c r="N90" s="1350"/>
      <c r="O90" s="1350"/>
      <c r="P90" s="1351"/>
      <c r="Q90" s="1352">
        <f>'Master EUL'!X120</f>
        <v>12</v>
      </c>
      <c r="R90" s="1353"/>
      <c r="S90" s="1353"/>
      <c r="T90" s="1354"/>
      <c r="U90" s="1352" t="s">
        <v>38</v>
      </c>
      <c r="V90" s="1354"/>
      <c r="W90" s="1163" t="s">
        <v>6000</v>
      </c>
      <c r="X90" s="1164"/>
      <c r="Y90" s="1164"/>
      <c r="Z90" s="1164"/>
      <c r="AA90" s="1164"/>
      <c r="AB90" s="1164"/>
      <c r="AC90" s="1164"/>
      <c r="AD90" s="1164"/>
      <c r="AE90" s="1164"/>
      <c r="AF90" s="1165"/>
    </row>
    <row r="91" spans="1:32" x14ac:dyDescent="0.3">
      <c r="A91" s="482" t="s">
        <v>830</v>
      </c>
      <c r="B91" s="483"/>
      <c r="C91" s="483"/>
      <c r="D91" s="483"/>
      <c r="E91" s="483"/>
      <c r="F91" s="483"/>
      <c r="G91" s="484"/>
      <c r="H91" s="484"/>
      <c r="I91" s="484"/>
      <c r="J91" s="484"/>
      <c r="K91" s="484"/>
      <c r="L91" s="484"/>
      <c r="M91" s="484"/>
      <c r="N91" s="484"/>
      <c r="O91" s="484"/>
      <c r="P91" s="761"/>
      <c r="Q91" s="761"/>
      <c r="R91" s="761"/>
      <c r="S91" s="761"/>
      <c r="T91" s="761"/>
      <c r="U91" s="761"/>
      <c r="V91" s="761"/>
      <c r="W91" s="761"/>
      <c r="X91" s="761"/>
      <c r="Y91" s="484"/>
      <c r="Z91" s="484"/>
      <c r="AA91" s="484"/>
      <c r="AB91" s="484"/>
      <c r="AC91" s="484"/>
      <c r="AD91" s="484"/>
      <c r="AE91" s="484"/>
      <c r="AF91" s="484"/>
    </row>
    <row r="92" spans="1:32" ht="61.5" customHeight="1" x14ac:dyDescent="0.3">
      <c r="A92" s="1355" t="s">
        <v>6001</v>
      </c>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row>
    <row r="93" spans="1:32" x14ac:dyDescent="0.3">
      <c r="A93" s="483"/>
      <c r="B93" s="483"/>
      <c r="C93" s="483"/>
      <c r="D93" s="483"/>
      <c r="E93" s="483"/>
      <c r="F93" s="483"/>
      <c r="G93" s="483"/>
      <c r="H93" s="483"/>
      <c r="I93" s="483"/>
      <c r="J93" s="483"/>
      <c r="K93" s="483"/>
      <c r="L93" s="483"/>
      <c r="M93" s="483"/>
      <c r="N93" s="483"/>
      <c r="O93" s="483"/>
      <c r="P93" s="483"/>
      <c r="Q93" s="486"/>
      <c r="R93" s="486"/>
      <c r="S93" s="486"/>
      <c r="T93" s="486"/>
      <c r="U93" s="486"/>
      <c r="V93" s="486"/>
      <c r="W93" s="761"/>
      <c r="X93" s="761"/>
      <c r="Y93" s="761"/>
      <c r="Z93" s="761"/>
      <c r="AA93" s="761"/>
      <c r="AB93" s="761"/>
      <c r="AC93" s="761"/>
      <c r="AD93" s="761"/>
      <c r="AE93" s="761"/>
      <c r="AF93" s="761"/>
    </row>
    <row r="94" spans="1:32" ht="15" customHeight="1" x14ac:dyDescent="0.3">
      <c r="A94" s="1356" t="s">
        <v>5188</v>
      </c>
      <c r="B94" s="1356"/>
      <c r="C94" s="1356"/>
      <c r="D94" s="1356"/>
      <c r="E94" s="1356"/>
      <c r="F94" s="1356"/>
      <c r="G94" s="1356"/>
      <c r="H94" s="1356"/>
      <c r="I94" s="1356"/>
      <c r="J94" s="1356"/>
      <c r="K94" s="1356"/>
      <c r="L94" s="1356"/>
      <c r="M94" s="1356"/>
      <c r="N94" s="1356"/>
      <c r="O94" s="1356"/>
      <c r="P94" s="1356"/>
      <c r="Q94" s="1356"/>
      <c r="R94" s="1356"/>
      <c r="S94" s="1356"/>
      <c r="T94" s="1356"/>
      <c r="U94" s="1356"/>
      <c r="V94" s="1356"/>
      <c r="W94" s="1356"/>
      <c r="X94" s="1356"/>
      <c r="Y94" s="1356"/>
      <c r="Z94" s="1356"/>
      <c r="AA94" s="1356"/>
      <c r="AB94" s="1356"/>
      <c r="AC94" s="1356"/>
      <c r="AD94" s="1356"/>
      <c r="AE94" s="1356"/>
      <c r="AF94" s="1356"/>
    </row>
    <row r="95" spans="1:32" x14ac:dyDescent="0.3">
      <c r="A95" s="1336" t="s">
        <v>6002</v>
      </c>
      <c r="B95" s="1357"/>
      <c r="C95" s="1357"/>
      <c r="D95" s="1357"/>
      <c r="E95" s="1357"/>
      <c r="F95" s="1357"/>
      <c r="G95" s="1357"/>
      <c r="H95" s="1357"/>
      <c r="I95" s="1357"/>
      <c r="J95" s="1357"/>
      <c r="K95" s="1357"/>
      <c r="L95" s="1357"/>
      <c r="M95" s="1357"/>
      <c r="N95" s="1357"/>
      <c r="O95" s="1357"/>
      <c r="P95" s="1357"/>
      <c r="Q95" s="1357"/>
      <c r="R95" s="1357"/>
      <c r="S95" s="1357"/>
      <c r="T95" s="1357"/>
      <c r="U95" s="1357"/>
      <c r="V95" s="1357"/>
      <c r="W95" s="1357"/>
      <c r="X95" s="1357"/>
      <c r="Y95" s="1357"/>
      <c r="Z95" s="1357"/>
      <c r="AA95" s="1357"/>
      <c r="AB95" s="1357"/>
      <c r="AC95" s="1357"/>
      <c r="AD95" s="1357"/>
      <c r="AE95" s="1357"/>
      <c r="AF95" s="1358"/>
    </row>
    <row r="96" spans="1:32" ht="15" customHeight="1" x14ac:dyDescent="0.3">
      <c r="A96" s="1346"/>
      <c r="B96" s="1346"/>
      <c r="C96" s="1346"/>
      <c r="D96" s="1346"/>
      <c r="E96" s="1346"/>
      <c r="F96" s="1346"/>
      <c r="G96" s="1346"/>
      <c r="H96" s="1347"/>
      <c r="I96" s="1348" t="s">
        <v>121</v>
      </c>
      <c r="J96" s="1348"/>
      <c r="K96" s="1348"/>
      <c r="L96" s="1348"/>
      <c r="M96" s="1348"/>
      <c r="N96" s="1348"/>
      <c r="O96" s="1348"/>
      <c r="P96" s="1348"/>
      <c r="Q96" s="1348"/>
      <c r="R96" s="1348"/>
      <c r="S96" s="1348"/>
      <c r="T96" s="1348"/>
      <c r="U96" s="1348" t="s">
        <v>137</v>
      </c>
      <c r="V96" s="1348"/>
      <c r="W96" s="1348"/>
      <c r="X96" s="1348"/>
      <c r="Y96" s="1348"/>
      <c r="Z96" s="1348"/>
      <c r="AA96" s="1348"/>
      <c r="AB96" s="1348"/>
      <c r="AC96" s="1348"/>
      <c r="AD96" s="1348"/>
      <c r="AE96" s="1348"/>
      <c r="AF96" s="1348"/>
    </row>
    <row r="97" spans="1:32" ht="15" customHeight="1" x14ac:dyDescent="0.3">
      <c r="A97" s="1201"/>
      <c r="B97" s="1201"/>
      <c r="C97" s="1201"/>
      <c r="D97" s="1201"/>
      <c r="E97" s="1201"/>
      <c r="F97" s="1201"/>
      <c r="G97" s="1201"/>
      <c r="H97" s="1202"/>
      <c r="I97" s="1343" t="s">
        <v>6003</v>
      </c>
      <c r="J97" s="1343"/>
      <c r="K97" s="1343"/>
      <c r="L97" s="1343"/>
      <c r="M97" s="1343"/>
      <c r="N97" s="1343"/>
      <c r="O97" s="1343" t="s">
        <v>6004</v>
      </c>
      <c r="P97" s="1343"/>
      <c r="Q97" s="1343"/>
      <c r="R97" s="1343"/>
      <c r="S97" s="1343"/>
      <c r="T97" s="1343"/>
      <c r="U97" s="1343" t="s">
        <v>6003</v>
      </c>
      <c r="V97" s="1343"/>
      <c r="W97" s="1343"/>
      <c r="X97" s="1343"/>
      <c r="Y97" s="1343"/>
      <c r="Z97" s="1343"/>
      <c r="AA97" s="1343" t="s">
        <v>6004</v>
      </c>
      <c r="AB97" s="1343"/>
      <c r="AC97" s="1343"/>
      <c r="AD97" s="1343"/>
      <c r="AE97" s="1343"/>
      <c r="AF97" s="1343"/>
    </row>
    <row r="98" spans="1:32" ht="48" customHeight="1" x14ac:dyDescent="0.3">
      <c r="A98" s="1322" t="s">
        <v>6054</v>
      </c>
      <c r="B98" s="1323"/>
      <c r="C98" s="1323"/>
      <c r="D98" s="1323"/>
      <c r="E98" s="1323"/>
      <c r="F98" s="1323"/>
      <c r="G98" s="1323"/>
      <c r="H98" s="1324"/>
      <c r="I98" s="1345">
        <v>0.5</v>
      </c>
      <c r="J98" s="1343"/>
      <c r="K98" s="1343"/>
      <c r="L98" s="1343"/>
      <c r="M98" s="1343"/>
      <c r="N98" s="1343"/>
      <c r="O98" s="1345">
        <v>0.5</v>
      </c>
      <c r="P98" s="1343"/>
      <c r="Q98" s="1343"/>
      <c r="R98" s="1343"/>
      <c r="S98" s="1343"/>
      <c r="T98" s="1343"/>
      <c r="U98" s="1345">
        <v>0.5</v>
      </c>
      <c r="V98" s="1343"/>
      <c r="W98" s="1343"/>
      <c r="X98" s="1343"/>
      <c r="Y98" s="1343"/>
      <c r="Z98" s="1343"/>
      <c r="AA98" s="1345">
        <v>0.5</v>
      </c>
      <c r="AB98" s="1343"/>
      <c r="AC98" s="1343"/>
      <c r="AD98" s="1343"/>
      <c r="AE98" s="1343"/>
      <c r="AF98" s="1343"/>
    </row>
    <row r="99" spans="1:32" ht="53.25" customHeight="1" x14ac:dyDescent="0.3">
      <c r="A99" s="1322" t="s">
        <v>6055</v>
      </c>
      <c r="B99" s="1323"/>
      <c r="C99" s="1323"/>
      <c r="D99" s="1323"/>
      <c r="E99" s="1323"/>
      <c r="F99" s="1323"/>
      <c r="G99" s="1323"/>
      <c r="H99" s="1324"/>
      <c r="I99" s="1345">
        <v>0.7</v>
      </c>
      <c r="J99" s="1343"/>
      <c r="K99" s="1343"/>
      <c r="L99" s="1343"/>
      <c r="M99" s="1343"/>
      <c r="N99" s="1343"/>
      <c r="O99" s="1345">
        <v>0.49</v>
      </c>
      <c r="P99" s="1343"/>
      <c r="Q99" s="1343"/>
      <c r="R99" s="1343"/>
      <c r="S99" s="1343"/>
      <c r="T99" s="1343"/>
      <c r="U99" s="1345">
        <v>0.7</v>
      </c>
      <c r="V99" s="1343"/>
      <c r="W99" s="1343"/>
      <c r="X99" s="1343"/>
      <c r="Y99" s="1343"/>
      <c r="Z99" s="1343"/>
      <c r="AA99" s="1345">
        <v>0.51</v>
      </c>
      <c r="AB99" s="1343"/>
      <c r="AC99" s="1343"/>
      <c r="AD99" s="1343"/>
      <c r="AE99" s="1343"/>
      <c r="AF99" s="1343"/>
    </row>
    <row r="100" spans="1:32" ht="58.5" customHeight="1" x14ac:dyDescent="0.3">
      <c r="A100" s="1322" t="s">
        <v>6056</v>
      </c>
      <c r="B100" s="1323"/>
      <c r="C100" s="1323"/>
      <c r="D100" s="1323"/>
      <c r="E100" s="1323"/>
      <c r="F100" s="1323"/>
      <c r="G100" s="1323"/>
      <c r="H100" s="1324"/>
      <c r="I100" s="1343">
        <v>79</v>
      </c>
      <c r="J100" s="1343"/>
      <c r="K100" s="1343"/>
      <c r="L100" s="1343"/>
      <c r="M100" s="1343"/>
      <c r="N100" s="1343"/>
      <c r="O100" s="1343">
        <v>126</v>
      </c>
      <c r="P100" s="1343"/>
      <c r="Q100" s="1343"/>
      <c r="R100" s="1343"/>
      <c r="S100" s="1343"/>
      <c r="T100" s="1343"/>
      <c r="U100" s="1343">
        <v>119</v>
      </c>
      <c r="V100" s="1343"/>
      <c r="W100" s="1343"/>
      <c r="X100" s="1343"/>
      <c r="Y100" s="1343"/>
      <c r="Z100" s="1343"/>
      <c r="AA100" s="1343">
        <v>177</v>
      </c>
      <c r="AB100" s="1343"/>
      <c r="AC100" s="1343"/>
      <c r="AD100" s="1343"/>
      <c r="AE100" s="1343"/>
      <c r="AF100" s="1343"/>
    </row>
    <row r="101" spans="1:32" ht="42" customHeight="1" x14ac:dyDescent="0.3">
      <c r="A101" s="1322" t="s">
        <v>6057</v>
      </c>
      <c r="B101" s="1323"/>
      <c r="C101" s="1323"/>
      <c r="D101" s="1323"/>
      <c r="E101" s="1323"/>
      <c r="F101" s="1323"/>
      <c r="G101" s="1323"/>
      <c r="H101" s="1324"/>
      <c r="I101" s="1166">
        <v>1</v>
      </c>
      <c r="J101" s="1167"/>
      <c r="K101" s="1167"/>
      <c r="L101" s="1167"/>
      <c r="M101" s="1167"/>
      <c r="N101" s="1167"/>
      <c r="O101" s="1339"/>
      <c r="P101" s="1339"/>
      <c r="Q101" s="1339"/>
      <c r="R101" s="1339"/>
      <c r="S101" s="1339"/>
      <c r="T101" s="1339"/>
      <c r="U101" s="1339"/>
      <c r="V101" s="1339"/>
      <c r="W101" s="1339"/>
      <c r="X101" s="1339"/>
      <c r="Y101" s="1339"/>
      <c r="Z101" s="1339"/>
      <c r="AA101" s="1339"/>
      <c r="AB101" s="1339"/>
      <c r="AC101" s="1339"/>
      <c r="AD101" s="1339"/>
      <c r="AE101" s="1339"/>
      <c r="AF101" s="1340"/>
    </row>
    <row r="102" spans="1:32" ht="43.5" customHeight="1" x14ac:dyDescent="0.3">
      <c r="A102" s="1322" t="s">
        <v>6058</v>
      </c>
      <c r="B102" s="1323"/>
      <c r="C102" s="1323"/>
      <c r="D102" s="1323"/>
      <c r="E102" s="1323"/>
      <c r="F102" s="1323"/>
      <c r="G102" s="1323"/>
      <c r="H102" s="1324"/>
      <c r="I102" s="1166">
        <v>15</v>
      </c>
      <c r="J102" s="1167"/>
      <c r="K102" s="1167"/>
      <c r="L102" s="1167"/>
      <c r="M102" s="1167"/>
      <c r="N102" s="1167"/>
      <c r="O102" s="1339"/>
      <c r="P102" s="1339"/>
      <c r="Q102" s="1339"/>
      <c r="R102" s="1339"/>
      <c r="S102" s="1339"/>
      <c r="T102" s="1339"/>
      <c r="U102" s="1339"/>
      <c r="V102" s="1339"/>
      <c r="W102" s="1339"/>
      <c r="X102" s="1339"/>
      <c r="Y102" s="1339"/>
      <c r="Z102" s="1339"/>
      <c r="AA102" s="1339"/>
      <c r="AB102" s="1339"/>
      <c r="AC102" s="1339"/>
      <c r="AD102" s="1339"/>
      <c r="AE102" s="1339"/>
      <c r="AF102" s="1340"/>
    </row>
    <row r="103" spans="1:32" ht="39" customHeight="1" x14ac:dyDescent="0.3">
      <c r="A103" s="1322" t="s">
        <v>6059</v>
      </c>
      <c r="B103" s="1323"/>
      <c r="C103" s="1323"/>
      <c r="D103" s="1323"/>
      <c r="E103" s="1323"/>
      <c r="F103" s="1323"/>
      <c r="G103" s="1323"/>
      <c r="H103" s="1324"/>
      <c r="I103" s="1166">
        <v>3000</v>
      </c>
      <c r="J103" s="1167"/>
      <c r="K103" s="1167"/>
      <c r="L103" s="1167"/>
      <c r="M103" s="1167"/>
      <c r="N103" s="1167"/>
      <c r="O103" s="1339"/>
      <c r="P103" s="1339"/>
      <c r="Q103" s="1339"/>
      <c r="R103" s="1339"/>
      <c r="S103" s="1339"/>
      <c r="T103" s="1340"/>
      <c r="U103" s="1166">
        <v>1500</v>
      </c>
      <c r="V103" s="1167"/>
      <c r="W103" s="1167"/>
      <c r="X103" s="1167"/>
      <c r="Y103" s="1167"/>
      <c r="Z103" s="1167"/>
      <c r="AA103" s="1339"/>
      <c r="AB103" s="1339"/>
      <c r="AC103" s="1339"/>
      <c r="AD103" s="1339"/>
      <c r="AE103" s="1339"/>
      <c r="AF103" s="1340"/>
    </row>
    <row r="104" spans="1:32" ht="62.25" customHeight="1" x14ac:dyDescent="0.3">
      <c r="A104" s="1322" t="s">
        <v>6060</v>
      </c>
      <c r="B104" s="1323"/>
      <c r="C104" s="1323"/>
      <c r="D104" s="1323"/>
      <c r="E104" s="1323"/>
      <c r="F104" s="1323"/>
      <c r="G104" s="1323"/>
      <c r="H104" s="1324"/>
      <c r="I104" s="1343">
        <v>1320</v>
      </c>
      <c r="J104" s="1343"/>
      <c r="K104" s="1343"/>
      <c r="L104" s="1343"/>
      <c r="M104" s="1343"/>
      <c r="N104" s="1343"/>
      <c r="O104" s="1343">
        <v>5260</v>
      </c>
      <c r="P104" s="1343"/>
      <c r="Q104" s="1343"/>
      <c r="R104" s="1343"/>
      <c r="S104" s="1343"/>
      <c r="T104" s="1343"/>
      <c r="U104" s="1343">
        <f>(0.05*4+0.55)*1000</f>
        <v>750</v>
      </c>
      <c r="V104" s="1343"/>
      <c r="W104" s="1343"/>
      <c r="X104" s="1343"/>
      <c r="Y104" s="1343"/>
      <c r="Z104" s="1343"/>
      <c r="AA104" s="1343">
        <f>(0.6*4)*1000</f>
        <v>2400</v>
      </c>
      <c r="AB104" s="1343"/>
      <c r="AC104" s="1343"/>
      <c r="AD104" s="1343"/>
      <c r="AE104" s="1343"/>
      <c r="AF104" s="1343"/>
    </row>
    <row r="105" spans="1:32" ht="59.25" customHeight="1" x14ac:dyDescent="0.3">
      <c r="A105" s="1322" t="s">
        <v>6061</v>
      </c>
      <c r="B105" s="1323"/>
      <c r="C105" s="1323"/>
      <c r="D105" s="1323"/>
      <c r="E105" s="1323"/>
      <c r="F105" s="1323"/>
      <c r="G105" s="1323"/>
      <c r="H105" s="1324"/>
      <c r="I105" s="1343">
        <v>73.2</v>
      </c>
      <c r="J105" s="1343"/>
      <c r="K105" s="1343"/>
      <c r="L105" s="1343"/>
      <c r="M105" s="1343"/>
      <c r="N105" s="1343"/>
      <c r="O105" s="1343">
        <v>30.8</v>
      </c>
      <c r="P105" s="1343"/>
      <c r="Q105" s="1343"/>
      <c r="R105" s="1343"/>
      <c r="S105" s="1343"/>
      <c r="T105" s="1343"/>
      <c r="U105" s="1343">
        <v>73.2</v>
      </c>
      <c r="V105" s="1343"/>
      <c r="W105" s="1343"/>
      <c r="X105" s="1343"/>
      <c r="Y105" s="1343"/>
      <c r="Z105" s="1343"/>
      <c r="AA105" s="1343">
        <v>30.8</v>
      </c>
      <c r="AB105" s="1343"/>
      <c r="AC105" s="1343"/>
      <c r="AD105" s="1343"/>
      <c r="AE105" s="1343"/>
      <c r="AF105" s="1343"/>
    </row>
    <row r="106" spans="1:32" ht="40.5" customHeight="1" x14ac:dyDescent="0.3">
      <c r="A106" s="1322" t="s">
        <v>6005</v>
      </c>
      <c r="B106" s="1323"/>
      <c r="C106" s="1323"/>
      <c r="D106" s="1323"/>
      <c r="E106" s="1323"/>
      <c r="F106" s="1323"/>
      <c r="G106" s="1323"/>
      <c r="H106" s="1324"/>
      <c r="I106" s="1166">
        <v>200</v>
      </c>
      <c r="J106" s="1167"/>
      <c r="K106" s="1167"/>
      <c r="L106" s="1167"/>
      <c r="M106" s="1167"/>
      <c r="N106" s="1167"/>
      <c r="O106" s="1339"/>
      <c r="P106" s="1339"/>
      <c r="Q106" s="1339"/>
      <c r="R106" s="1339"/>
      <c r="S106" s="1339"/>
      <c r="T106" s="1339"/>
      <c r="U106" s="1339"/>
      <c r="V106" s="1339"/>
      <c r="W106" s="1339"/>
      <c r="X106" s="1339"/>
      <c r="Y106" s="1339"/>
      <c r="Z106" s="1339"/>
      <c r="AA106" s="1339"/>
      <c r="AB106" s="1339"/>
      <c r="AC106" s="1339"/>
      <c r="AD106" s="1339"/>
      <c r="AE106" s="1339"/>
      <c r="AF106" s="1340"/>
    </row>
    <row r="107" spans="1:32" ht="57.75" customHeight="1" x14ac:dyDescent="0.3">
      <c r="A107" s="1322" t="s">
        <v>6062</v>
      </c>
      <c r="B107" s="1323"/>
      <c r="C107" s="1323"/>
      <c r="D107" s="1323"/>
      <c r="E107" s="1323"/>
      <c r="F107" s="1323"/>
      <c r="G107" s="1323"/>
      <c r="H107" s="1324"/>
      <c r="I107" s="1344">
        <f>I105*I106*I98/I99</f>
        <v>10457.142857142859</v>
      </c>
      <c r="J107" s="1343"/>
      <c r="K107" s="1343"/>
      <c r="L107" s="1343"/>
      <c r="M107" s="1343"/>
      <c r="N107" s="1343"/>
      <c r="O107" s="1344">
        <f>O105*I106*O98/O99</f>
        <v>6285.7142857142862</v>
      </c>
      <c r="P107" s="1343"/>
      <c r="Q107" s="1343"/>
      <c r="R107" s="1343"/>
      <c r="S107" s="1343"/>
      <c r="T107" s="1343"/>
      <c r="U107" s="1344">
        <f>U105*I106*U98/U99</f>
        <v>10457.142857142859</v>
      </c>
      <c r="V107" s="1343"/>
      <c r="W107" s="1343"/>
      <c r="X107" s="1343"/>
      <c r="Y107" s="1343"/>
      <c r="Z107" s="1343"/>
      <c r="AA107" s="1344">
        <f>AA105*I106*AA98/AA99</f>
        <v>6039.2156862745096</v>
      </c>
      <c r="AB107" s="1343"/>
      <c r="AC107" s="1343"/>
      <c r="AD107" s="1343"/>
      <c r="AE107" s="1343"/>
      <c r="AF107" s="1343"/>
    </row>
    <row r="108" spans="1:32" ht="65.25" customHeight="1" x14ac:dyDescent="0.3">
      <c r="A108" s="1322" t="s">
        <v>6063</v>
      </c>
      <c r="B108" s="1323"/>
      <c r="C108" s="1323"/>
      <c r="D108" s="1323"/>
      <c r="E108" s="1323"/>
      <c r="F108" s="1323"/>
      <c r="G108" s="1323"/>
      <c r="H108" s="1324"/>
      <c r="I108" s="1341">
        <f>$Q$87-(I106*I98/I100)-(I102/60)</f>
        <v>10.484177215189874</v>
      </c>
      <c r="J108" s="1341"/>
      <c r="K108" s="1341"/>
      <c r="L108" s="1341"/>
      <c r="M108" s="1341"/>
      <c r="N108" s="1341"/>
      <c r="O108" s="1341">
        <f>$Q$87-(I106*O98/O100)-(I102/60)</f>
        <v>10.956349206349206</v>
      </c>
      <c r="P108" s="1341"/>
      <c r="Q108" s="1341"/>
      <c r="R108" s="1341"/>
      <c r="S108" s="1341"/>
      <c r="T108" s="1341"/>
      <c r="U108" s="1341">
        <f>$Q$87-(I106*U98/U100)-(I102/60)</f>
        <v>10.909663865546218</v>
      </c>
      <c r="V108" s="1341"/>
      <c r="W108" s="1341"/>
      <c r="X108" s="1341"/>
      <c r="Y108" s="1341"/>
      <c r="Z108" s="1341"/>
      <c r="AA108" s="1341">
        <f>$Q$87-(I106*AA98/AA100)-(I102/60)</f>
        <v>11.185028248587571</v>
      </c>
      <c r="AB108" s="1341"/>
      <c r="AC108" s="1341"/>
      <c r="AD108" s="1341"/>
      <c r="AE108" s="1341"/>
      <c r="AF108" s="1341"/>
    </row>
    <row r="109" spans="1:32" x14ac:dyDescent="0.3">
      <c r="A109" s="1316" t="s">
        <v>6006</v>
      </c>
      <c r="B109" s="1317"/>
      <c r="C109" s="1317"/>
      <c r="D109" s="1317"/>
      <c r="E109" s="1317"/>
      <c r="F109" s="1317"/>
      <c r="G109" s="1317"/>
      <c r="H109" s="1318"/>
      <c r="I109" s="1342">
        <f>I104*I108</f>
        <v>13839.113924050633</v>
      </c>
      <c r="J109" s="1342"/>
      <c r="K109" s="1342"/>
      <c r="L109" s="1342"/>
      <c r="M109" s="1342"/>
      <c r="N109" s="1342"/>
      <c r="O109" s="1342">
        <f t="shared" ref="O109" si="0">O104*O108</f>
        <v>57630.39682539682</v>
      </c>
      <c r="P109" s="1342"/>
      <c r="Q109" s="1342"/>
      <c r="R109" s="1342"/>
      <c r="S109" s="1342"/>
      <c r="T109" s="1342"/>
      <c r="U109" s="1342">
        <f t="shared" ref="U109" si="1">U104*U108</f>
        <v>8182.2478991596636</v>
      </c>
      <c r="V109" s="1342"/>
      <c r="W109" s="1342"/>
      <c r="X109" s="1342"/>
      <c r="Y109" s="1342"/>
      <c r="Z109" s="1342"/>
      <c r="AA109" s="1342">
        <f t="shared" ref="AA109" si="2">AA104*AA108</f>
        <v>26844.067796610172</v>
      </c>
      <c r="AB109" s="1342"/>
      <c r="AC109" s="1342"/>
      <c r="AD109" s="1342"/>
      <c r="AE109" s="1342"/>
      <c r="AF109" s="1342"/>
    </row>
    <row r="110" spans="1:32" ht="30" customHeight="1" x14ac:dyDescent="0.3">
      <c r="A110" s="1322" t="s">
        <v>6007</v>
      </c>
      <c r="B110" s="1323"/>
      <c r="C110" s="1323"/>
      <c r="D110" s="1323"/>
      <c r="E110" s="1323"/>
      <c r="F110" s="1323"/>
      <c r="G110" s="1323"/>
      <c r="H110" s="1324"/>
      <c r="I110" s="1325">
        <f>SUM(I103,I107,O107,I109,O109)</f>
        <v>91212.367892304595</v>
      </c>
      <c r="J110" s="1167"/>
      <c r="K110" s="1167"/>
      <c r="L110" s="1167"/>
      <c r="M110" s="1167"/>
      <c r="N110" s="1167"/>
      <c r="O110" s="1339"/>
      <c r="P110" s="1339"/>
      <c r="Q110" s="1339"/>
      <c r="R110" s="1339"/>
      <c r="S110" s="1339"/>
      <c r="T110" s="1340"/>
      <c r="U110" s="1325">
        <f>SUM(U103,U107,AA107,U109,AA109)</f>
        <v>53022.674239187203</v>
      </c>
      <c r="V110" s="1167"/>
      <c r="W110" s="1167"/>
      <c r="X110" s="1167"/>
      <c r="Y110" s="1167"/>
      <c r="Z110" s="1167"/>
      <c r="AA110" s="1339"/>
      <c r="AB110" s="1339"/>
      <c r="AC110" s="1339"/>
      <c r="AD110" s="1339"/>
      <c r="AE110" s="1339"/>
      <c r="AF110" s="1340"/>
    </row>
    <row r="111" spans="1:32" x14ac:dyDescent="0.3">
      <c r="A111" s="1336" t="s">
        <v>6008</v>
      </c>
      <c r="B111" s="1337"/>
      <c r="C111" s="1337"/>
      <c r="D111" s="1337"/>
      <c r="E111" s="1337"/>
      <c r="F111" s="1337"/>
      <c r="G111" s="1337"/>
      <c r="H111" s="1337"/>
      <c r="I111" s="1337"/>
      <c r="J111" s="1337"/>
      <c r="K111" s="1337"/>
      <c r="L111" s="1337"/>
      <c r="M111" s="1337"/>
      <c r="N111" s="1337"/>
      <c r="O111" s="1337"/>
      <c r="P111" s="1337"/>
      <c r="Q111" s="1337"/>
      <c r="R111" s="1337"/>
      <c r="S111" s="1337"/>
      <c r="T111" s="1337"/>
      <c r="U111" s="1337"/>
      <c r="V111" s="1337"/>
      <c r="W111" s="1337"/>
      <c r="X111" s="1337"/>
      <c r="Y111" s="1337"/>
      <c r="Z111" s="1337"/>
      <c r="AA111" s="1337"/>
      <c r="AB111" s="1337"/>
      <c r="AC111" s="1337"/>
      <c r="AD111" s="1337"/>
      <c r="AE111" s="1337"/>
      <c r="AF111" s="1338"/>
    </row>
    <row r="112" spans="1:32" ht="15" customHeight="1" x14ac:dyDescent="0.3">
      <c r="A112" s="1198"/>
      <c r="B112" s="1198"/>
      <c r="C112" s="1198"/>
      <c r="D112" s="1198"/>
      <c r="E112" s="1198"/>
      <c r="F112" s="1198"/>
      <c r="G112" s="1198"/>
      <c r="H112" s="1199"/>
      <c r="I112" s="1203" t="s">
        <v>121</v>
      </c>
      <c r="J112" s="1204"/>
      <c r="K112" s="1204"/>
      <c r="L112" s="1204"/>
      <c r="M112" s="1204"/>
      <c r="N112" s="1204"/>
      <c r="O112" s="1204"/>
      <c r="P112" s="1204"/>
      <c r="Q112" s="1204"/>
      <c r="R112" s="1204"/>
      <c r="S112" s="1204"/>
      <c r="T112" s="1205"/>
      <c r="U112" s="1203" t="s">
        <v>137</v>
      </c>
      <c r="V112" s="1204"/>
      <c r="W112" s="1204"/>
      <c r="X112" s="1204"/>
      <c r="Y112" s="1204"/>
      <c r="Z112" s="1204"/>
      <c r="AA112" s="1204"/>
      <c r="AB112" s="1204"/>
      <c r="AC112" s="1204"/>
      <c r="AD112" s="1204"/>
      <c r="AE112" s="1204"/>
      <c r="AF112" s="1205"/>
    </row>
    <row r="113" spans="1:32" ht="15" customHeight="1" x14ac:dyDescent="0.3">
      <c r="A113" s="1201"/>
      <c r="B113" s="1201"/>
      <c r="C113" s="1201"/>
      <c r="D113" s="1201"/>
      <c r="E113" s="1201"/>
      <c r="F113" s="1201"/>
      <c r="G113" s="1201"/>
      <c r="H113" s="1202"/>
      <c r="I113" s="1166" t="s">
        <v>6003</v>
      </c>
      <c r="J113" s="1167"/>
      <c r="K113" s="1167"/>
      <c r="L113" s="1167"/>
      <c r="M113" s="1167"/>
      <c r="N113" s="1168"/>
      <c r="O113" s="1166" t="s">
        <v>6004</v>
      </c>
      <c r="P113" s="1167"/>
      <c r="Q113" s="1167"/>
      <c r="R113" s="1167"/>
      <c r="S113" s="1167"/>
      <c r="T113" s="1168"/>
      <c r="U113" s="1166" t="s">
        <v>6003</v>
      </c>
      <c r="V113" s="1167"/>
      <c r="W113" s="1167"/>
      <c r="X113" s="1167"/>
      <c r="Y113" s="1167"/>
      <c r="Z113" s="1168"/>
      <c r="AA113" s="1166" t="s">
        <v>6004</v>
      </c>
      <c r="AB113" s="1167"/>
      <c r="AC113" s="1167"/>
      <c r="AD113" s="1167"/>
      <c r="AE113" s="1167"/>
      <c r="AF113" s="1168"/>
    </row>
    <row r="114" spans="1:32" ht="48" customHeight="1" x14ac:dyDescent="0.3">
      <c r="A114" s="1322" t="s">
        <v>6054</v>
      </c>
      <c r="B114" s="1323"/>
      <c r="C114" s="1323"/>
      <c r="D114" s="1323"/>
      <c r="E114" s="1323"/>
      <c r="F114" s="1323"/>
      <c r="G114" s="1323"/>
      <c r="H114" s="1324"/>
      <c r="I114" s="1333">
        <v>0.5</v>
      </c>
      <c r="J114" s="1334"/>
      <c r="K114" s="1334"/>
      <c r="L114" s="1334"/>
      <c r="M114" s="1334"/>
      <c r="N114" s="1335"/>
      <c r="O114" s="1333">
        <v>0.5</v>
      </c>
      <c r="P114" s="1334"/>
      <c r="Q114" s="1334"/>
      <c r="R114" s="1334"/>
      <c r="S114" s="1334"/>
      <c r="T114" s="1335"/>
      <c r="U114" s="1333">
        <v>0.5</v>
      </c>
      <c r="V114" s="1334"/>
      <c r="W114" s="1334"/>
      <c r="X114" s="1334"/>
      <c r="Y114" s="1334"/>
      <c r="Z114" s="1335"/>
      <c r="AA114" s="1333">
        <v>0.5</v>
      </c>
      <c r="AB114" s="1334"/>
      <c r="AC114" s="1334"/>
      <c r="AD114" s="1334"/>
      <c r="AE114" s="1334"/>
      <c r="AF114" s="1335"/>
    </row>
    <row r="115" spans="1:32" ht="53.25" customHeight="1" x14ac:dyDescent="0.3">
      <c r="A115" s="1322" t="s">
        <v>6055</v>
      </c>
      <c r="B115" s="1323"/>
      <c r="C115" s="1323"/>
      <c r="D115" s="1323"/>
      <c r="E115" s="1323"/>
      <c r="F115" s="1323"/>
      <c r="G115" s="1323"/>
      <c r="H115" s="1324"/>
      <c r="I115" s="1333">
        <v>0.72</v>
      </c>
      <c r="J115" s="1334"/>
      <c r="K115" s="1334"/>
      <c r="L115" s="1334"/>
      <c r="M115" s="1334"/>
      <c r="N115" s="1335"/>
      <c r="O115" s="1333">
        <v>0.49</v>
      </c>
      <c r="P115" s="1334"/>
      <c r="Q115" s="1334"/>
      <c r="R115" s="1334"/>
      <c r="S115" s="1334"/>
      <c r="T115" s="1335"/>
      <c r="U115" s="1333">
        <v>0.78</v>
      </c>
      <c r="V115" s="1334"/>
      <c r="W115" s="1334"/>
      <c r="X115" s="1334"/>
      <c r="Y115" s="1334"/>
      <c r="Z115" s="1335"/>
      <c r="AA115" s="1333">
        <v>0.55000000000000004</v>
      </c>
      <c r="AB115" s="1334"/>
      <c r="AC115" s="1334"/>
      <c r="AD115" s="1334"/>
      <c r="AE115" s="1334"/>
      <c r="AF115" s="1335"/>
    </row>
    <row r="116" spans="1:32" ht="58.5" customHeight="1" x14ac:dyDescent="0.3">
      <c r="A116" s="1322" t="s">
        <v>6056</v>
      </c>
      <c r="B116" s="1323"/>
      <c r="C116" s="1323"/>
      <c r="D116" s="1323"/>
      <c r="E116" s="1323"/>
      <c r="F116" s="1323"/>
      <c r="G116" s="1323"/>
      <c r="H116" s="1324"/>
      <c r="I116" s="1166">
        <v>79</v>
      </c>
      <c r="J116" s="1167"/>
      <c r="K116" s="1167"/>
      <c r="L116" s="1167"/>
      <c r="M116" s="1167"/>
      <c r="N116" s="1168"/>
      <c r="O116" s="1166">
        <v>126</v>
      </c>
      <c r="P116" s="1167"/>
      <c r="Q116" s="1167"/>
      <c r="R116" s="1167"/>
      <c r="S116" s="1167"/>
      <c r="T116" s="1168"/>
      <c r="U116" s="1166">
        <v>119</v>
      </c>
      <c r="V116" s="1167"/>
      <c r="W116" s="1167"/>
      <c r="X116" s="1167"/>
      <c r="Y116" s="1167"/>
      <c r="Z116" s="1168"/>
      <c r="AA116" s="1166">
        <v>177</v>
      </c>
      <c r="AB116" s="1167"/>
      <c r="AC116" s="1167"/>
      <c r="AD116" s="1167"/>
      <c r="AE116" s="1167"/>
      <c r="AF116" s="1168"/>
    </row>
    <row r="117" spans="1:32" ht="42" customHeight="1" x14ac:dyDescent="0.3">
      <c r="A117" s="1322" t="s">
        <v>6057</v>
      </c>
      <c r="B117" s="1323"/>
      <c r="C117" s="1323"/>
      <c r="D117" s="1323"/>
      <c r="E117" s="1323"/>
      <c r="F117" s="1323"/>
      <c r="G117" s="1323"/>
      <c r="H117" s="1324"/>
      <c r="I117" s="1166">
        <v>1</v>
      </c>
      <c r="J117" s="1167"/>
      <c r="K117" s="1167"/>
      <c r="L117" s="1167"/>
      <c r="M117" s="1167"/>
      <c r="N117" s="1167"/>
      <c r="O117" s="1167"/>
      <c r="P117" s="1167"/>
      <c r="Q117" s="1167"/>
      <c r="R117" s="1167"/>
      <c r="S117" s="1167"/>
      <c r="T117" s="1167"/>
      <c r="U117" s="1167"/>
      <c r="V117" s="1167"/>
      <c r="W117" s="1167"/>
      <c r="X117" s="1167"/>
      <c r="Y117" s="1167"/>
      <c r="Z117" s="1167"/>
      <c r="AA117" s="1167"/>
      <c r="AB117" s="1167"/>
      <c r="AC117" s="1167"/>
      <c r="AD117" s="1167"/>
      <c r="AE117" s="1167"/>
      <c r="AF117" s="1168"/>
    </row>
    <row r="118" spans="1:32" ht="43.5" customHeight="1" x14ac:dyDescent="0.3">
      <c r="A118" s="1322" t="s">
        <v>6058</v>
      </c>
      <c r="B118" s="1323"/>
      <c r="C118" s="1323"/>
      <c r="D118" s="1323"/>
      <c r="E118" s="1323"/>
      <c r="F118" s="1323"/>
      <c r="G118" s="1323"/>
      <c r="H118" s="1324"/>
      <c r="I118" s="1166">
        <v>15</v>
      </c>
      <c r="J118" s="1167"/>
      <c r="K118" s="1167"/>
      <c r="L118" s="1167"/>
      <c r="M118" s="1167"/>
      <c r="N118" s="1167"/>
      <c r="O118" s="1167"/>
      <c r="P118" s="1167"/>
      <c r="Q118" s="1167"/>
      <c r="R118" s="1167"/>
      <c r="S118" s="1167"/>
      <c r="T118" s="1167"/>
      <c r="U118" s="1167"/>
      <c r="V118" s="1167"/>
      <c r="W118" s="1167"/>
      <c r="X118" s="1167"/>
      <c r="Y118" s="1167"/>
      <c r="Z118" s="1167"/>
      <c r="AA118" s="1167"/>
      <c r="AB118" s="1167"/>
      <c r="AC118" s="1167"/>
      <c r="AD118" s="1167"/>
      <c r="AE118" s="1167"/>
      <c r="AF118" s="1168"/>
    </row>
    <row r="119" spans="1:32" ht="39" customHeight="1" x14ac:dyDescent="0.3">
      <c r="A119" s="1322" t="s">
        <v>6059</v>
      </c>
      <c r="B119" s="1323"/>
      <c r="C119" s="1323"/>
      <c r="D119" s="1323"/>
      <c r="E119" s="1323"/>
      <c r="F119" s="1323"/>
      <c r="G119" s="1323"/>
      <c r="H119" s="1324"/>
      <c r="I119" s="1166">
        <v>3000</v>
      </c>
      <c r="J119" s="1167"/>
      <c r="K119" s="1167"/>
      <c r="L119" s="1167"/>
      <c r="M119" s="1167"/>
      <c r="N119" s="1167"/>
      <c r="O119" s="1167"/>
      <c r="P119" s="1167"/>
      <c r="Q119" s="1167"/>
      <c r="R119" s="1167"/>
      <c r="S119" s="1167"/>
      <c r="T119" s="1168"/>
      <c r="U119" s="1166">
        <v>1500</v>
      </c>
      <c r="V119" s="1167"/>
      <c r="W119" s="1167"/>
      <c r="X119" s="1167"/>
      <c r="Y119" s="1167"/>
      <c r="Z119" s="1167"/>
      <c r="AA119" s="1167"/>
      <c r="AB119" s="1167"/>
      <c r="AC119" s="1167"/>
      <c r="AD119" s="1167"/>
      <c r="AE119" s="1167"/>
      <c r="AF119" s="1168"/>
    </row>
    <row r="120" spans="1:32" ht="62.25" customHeight="1" x14ac:dyDescent="0.3">
      <c r="A120" s="1322" t="s">
        <v>6064</v>
      </c>
      <c r="B120" s="1323"/>
      <c r="C120" s="1323"/>
      <c r="D120" s="1323"/>
      <c r="E120" s="1323"/>
      <c r="F120" s="1323"/>
      <c r="G120" s="1323"/>
      <c r="H120" s="1324"/>
      <c r="I120" s="1166">
        <v>1320</v>
      </c>
      <c r="J120" s="1167"/>
      <c r="K120" s="1167"/>
      <c r="L120" s="1167"/>
      <c r="M120" s="1167"/>
      <c r="N120" s="1168"/>
      <c r="O120" s="1166">
        <v>5260</v>
      </c>
      <c r="P120" s="1167"/>
      <c r="Q120" s="1167"/>
      <c r="R120" s="1167"/>
      <c r="S120" s="1167"/>
      <c r="T120" s="1168"/>
      <c r="U120" s="1166">
        <f>((0.083*10)+0.35)*1000</f>
        <v>1180.0000000000002</v>
      </c>
      <c r="V120" s="1167"/>
      <c r="W120" s="1167"/>
      <c r="X120" s="1167"/>
      <c r="Y120" s="1167"/>
      <c r="Z120" s="1168"/>
      <c r="AA120" s="1166">
        <f>((0.133*10)+0.64)*1000</f>
        <v>1970.0000000000002</v>
      </c>
      <c r="AB120" s="1167"/>
      <c r="AC120" s="1167"/>
      <c r="AD120" s="1167"/>
      <c r="AE120" s="1167"/>
      <c r="AF120" s="1168"/>
    </row>
    <row r="121" spans="1:32" ht="59.25" customHeight="1" x14ac:dyDescent="0.3">
      <c r="A121" s="1322" t="s">
        <v>6061</v>
      </c>
      <c r="B121" s="1323"/>
      <c r="C121" s="1323"/>
      <c r="D121" s="1323"/>
      <c r="E121" s="1323"/>
      <c r="F121" s="1323"/>
      <c r="G121" s="1323"/>
      <c r="H121" s="1324"/>
      <c r="I121" s="1166">
        <v>73.2</v>
      </c>
      <c r="J121" s="1167"/>
      <c r="K121" s="1167"/>
      <c r="L121" s="1167"/>
      <c r="M121" s="1167"/>
      <c r="N121" s="1168"/>
      <c r="O121" s="1166">
        <v>30.8</v>
      </c>
      <c r="P121" s="1167"/>
      <c r="Q121" s="1167"/>
      <c r="R121" s="1167"/>
      <c r="S121" s="1167"/>
      <c r="T121" s="1168"/>
      <c r="U121" s="1166">
        <v>73.2</v>
      </c>
      <c r="V121" s="1167"/>
      <c r="W121" s="1167"/>
      <c r="X121" s="1167"/>
      <c r="Y121" s="1167"/>
      <c r="Z121" s="1168"/>
      <c r="AA121" s="1166">
        <v>30.8</v>
      </c>
      <c r="AB121" s="1167"/>
      <c r="AC121" s="1167"/>
      <c r="AD121" s="1167"/>
      <c r="AE121" s="1167"/>
      <c r="AF121" s="1168"/>
    </row>
    <row r="122" spans="1:32" ht="40.5" customHeight="1" x14ac:dyDescent="0.3">
      <c r="A122" s="1322" t="s">
        <v>6005</v>
      </c>
      <c r="B122" s="1323"/>
      <c r="C122" s="1323"/>
      <c r="D122" s="1323"/>
      <c r="E122" s="1323"/>
      <c r="F122" s="1323"/>
      <c r="G122" s="1323"/>
      <c r="H122" s="1324"/>
      <c r="I122" s="1166">
        <v>200</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8"/>
    </row>
    <row r="123" spans="1:32" ht="57.75" customHeight="1" x14ac:dyDescent="0.3">
      <c r="A123" s="1322" t="s">
        <v>6062</v>
      </c>
      <c r="B123" s="1323"/>
      <c r="C123" s="1323"/>
      <c r="D123" s="1323"/>
      <c r="E123" s="1323"/>
      <c r="F123" s="1323"/>
      <c r="G123" s="1323"/>
      <c r="H123" s="1324"/>
      <c r="I123" s="1325">
        <f>I121*I122*I114/I115</f>
        <v>10166.666666666668</v>
      </c>
      <c r="J123" s="1326"/>
      <c r="K123" s="1326"/>
      <c r="L123" s="1326"/>
      <c r="M123" s="1326"/>
      <c r="N123" s="1327"/>
      <c r="O123" s="1325">
        <f>O121*I122*O114/O115</f>
        <v>6285.7142857142862</v>
      </c>
      <c r="P123" s="1326"/>
      <c r="Q123" s="1326"/>
      <c r="R123" s="1326"/>
      <c r="S123" s="1326"/>
      <c r="T123" s="1327"/>
      <c r="U123" s="1325">
        <f>U121*I122*U114/U115</f>
        <v>9384.6153846153848</v>
      </c>
      <c r="V123" s="1326"/>
      <c r="W123" s="1326"/>
      <c r="X123" s="1326"/>
      <c r="Y123" s="1326"/>
      <c r="Z123" s="1327"/>
      <c r="AA123" s="1325">
        <f>AA121*I122*AA114/AA115</f>
        <v>5600</v>
      </c>
      <c r="AB123" s="1326"/>
      <c r="AC123" s="1326"/>
      <c r="AD123" s="1326"/>
      <c r="AE123" s="1326"/>
      <c r="AF123" s="1327"/>
    </row>
    <row r="124" spans="1:32" ht="65.25" customHeight="1" x14ac:dyDescent="0.3">
      <c r="A124" s="1322" t="s">
        <v>6063</v>
      </c>
      <c r="B124" s="1323"/>
      <c r="C124" s="1323"/>
      <c r="D124" s="1323"/>
      <c r="E124" s="1323"/>
      <c r="F124" s="1323"/>
      <c r="G124" s="1323"/>
      <c r="H124" s="1324"/>
      <c r="I124" s="1330">
        <f>$Q$87-(I122*I114/I116)-(I118/60)</f>
        <v>10.484177215189874</v>
      </c>
      <c r="J124" s="1331"/>
      <c r="K124" s="1331"/>
      <c r="L124" s="1331"/>
      <c r="M124" s="1331"/>
      <c r="N124" s="1332"/>
      <c r="O124" s="1330">
        <f>$Q$87-(I122*O114/O116)-(I118/60)</f>
        <v>10.956349206349206</v>
      </c>
      <c r="P124" s="1331"/>
      <c r="Q124" s="1331"/>
      <c r="R124" s="1331"/>
      <c r="S124" s="1331"/>
      <c r="T124" s="1332"/>
      <c r="U124" s="1330">
        <f>$Q$87-(I122*U114/U116)-(I118/60)</f>
        <v>10.909663865546218</v>
      </c>
      <c r="V124" s="1331"/>
      <c r="W124" s="1331"/>
      <c r="X124" s="1331"/>
      <c r="Y124" s="1331"/>
      <c r="Z124" s="1332"/>
      <c r="AA124" s="1330">
        <f>$Q$87-(I122*AA114/AA116)-(I118/60)</f>
        <v>11.185028248587571</v>
      </c>
      <c r="AB124" s="1331"/>
      <c r="AC124" s="1331"/>
      <c r="AD124" s="1331"/>
      <c r="AE124" s="1331"/>
      <c r="AF124" s="1332"/>
    </row>
    <row r="125" spans="1:32" ht="15.6" x14ac:dyDescent="0.3">
      <c r="A125" s="1316" t="s">
        <v>6065</v>
      </c>
      <c r="B125" s="1317"/>
      <c r="C125" s="1317"/>
      <c r="D125" s="1317"/>
      <c r="E125" s="1317"/>
      <c r="F125" s="1317"/>
      <c r="G125" s="1317"/>
      <c r="H125" s="1318"/>
      <c r="I125" s="1319">
        <f>I120*I124</f>
        <v>13839.113924050633</v>
      </c>
      <c r="J125" s="1320"/>
      <c r="K125" s="1320"/>
      <c r="L125" s="1320"/>
      <c r="M125" s="1320"/>
      <c r="N125" s="1321"/>
      <c r="O125" s="1319">
        <f t="shared" ref="O125" si="3">O120*O124</f>
        <v>57630.39682539682</v>
      </c>
      <c r="P125" s="1320"/>
      <c r="Q125" s="1320"/>
      <c r="R125" s="1320"/>
      <c r="S125" s="1320"/>
      <c r="T125" s="1321"/>
      <c r="U125" s="1319">
        <f>U120*U124</f>
        <v>12873.403361344539</v>
      </c>
      <c r="V125" s="1320"/>
      <c r="W125" s="1320"/>
      <c r="X125" s="1320"/>
      <c r="Y125" s="1320"/>
      <c r="Z125" s="1321"/>
      <c r="AA125" s="1319">
        <f t="shared" ref="AA125" si="4">AA120*AA124</f>
        <v>22034.505649717517</v>
      </c>
      <c r="AB125" s="1320"/>
      <c r="AC125" s="1320"/>
      <c r="AD125" s="1320"/>
      <c r="AE125" s="1320"/>
      <c r="AF125" s="1321"/>
    </row>
    <row r="126" spans="1:32" ht="30" customHeight="1" x14ac:dyDescent="0.3">
      <c r="A126" s="1322" t="s">
        <v>6007</v>
      </c>
      <c r="B126" s="1323"/>
      <c r="C126" s="1323"/>
      <c r="D126" s="1323"/>
      <c r="E126" s="1323"/>
      <c r="F126" s="1323"/>
      <c r="G126" s="1323"/>
      <c r="H126" s="1324"/>
      <c r="I126" s="1325">
        <f>SUM(I119,I123:T123,I125:T125)</f>
        <v>90921.891701828397</v>
      </c>
      <c r="J126" s="1326"/>
      <c r="K126" s="1326"/>
      <c r="L126" s="1326"/>
      <c r="M126" s="1326"/>
      <c r="N126" s="1326"/>
      <c r="O126" s="1326"/>
      <c r="P126" s="1326"/>
      <c r="Q126" s="1326"/>
      <c r="R126" s="1326"/>
      <c r="S126" s="1326"/>
      <c r="T126" s="1327"/>
      <c r="U126" s="1325">
        <f>SUM(U119,U123:AF123,U125:AF125)</f>
        <v>51392.524395677436</v>
      </c>
      <c r="V126" s="1326"/>
      <c r="W126" s="1326"/>
      <c r="X126" s="1326"/>
      <c r="Y126" s="1326"/>
      <c r="Z126" s="1326"/>
      <c r="AA126" s="1326"/>
      <c r="AB126" s="1326"/>
      <c r="AC126" s="1326"/>
      <c r="AD126" s="1326"/>
      <c r="AE126" s="1326"/>
      <c r="AF126" s="1327"/>
    </row>
    <row r="127" spans="1:32" x14ac:dyDescent="0.3">
      <c r="A127" s="1336" t="s">
        <v>6009</v>
      </c>
      <c r="B127" s="1337"/>
      <c r="C127" s="1337"/>
      <c r="D127" s="1337"/>
      <c r="E127" s="1337"/>
      <c r="F127" s="1337"/>
      <c r="G127" s="1337"/>
      <c r="H127" s="1337"/>
      <c r="I127" s="1337"/>
      <c r="J127" s="1337"/>
      <c r="K127" s="1337"/>
      <c r="L127" s="1337"/>
      <c r="M127" s="1337"/>
      <c r="N127" s="1337"/>
      <c r="O127" s="1337"/>
      <c r="P127" s="1337"/>
      <c r="Q127" s="1337"/>
      <c r="R127" s="1337"/>
      <c r="S127" s="1337"/>
      <c r="T127" s="1337"/>
      <c r="U127" s="1337"/>
      <c r="V127" s="1337"/>
      <c r="W127" s="1337"/>
      <c r="X127" s="1337"/>
      <c r="Y127" s="1337"/>
      <c r="Z127" s="1337"/>
      <c r="AA127" s="1337"/>
      <c r="AB127" s="1337"/>
      <c r="AC127" s="1337"/>
      <c r="AD127" s="1337"/>
      <c r="AE127" s="1337"/>
      <c r="AF127" s="1338"/>
    </row>
    <row r="128" spans="1:32" ht="15" customHeight="1" x14ac:dyDescent="0.3">
      <c r="A128" s="1198"/>
      <c r="B128" s="1198"/>
      <c r="C128" s="1198"/>
      <c r="D128" s="1198"/>
      <c r="E128" s="1198"/>
      <c r="F128" s="1198"/>
      <c r="G128" s="1198"/>
      <c r="H128" s="1199"/>
      <c r="I128" s="1203" t="s">
        <v>121</v>
      </c>
      <c r="J128" s="1204"/>
      <c r="K128" s="1204"/>
      <c r="L128" s="1204"/>
      <c r="M128" s="1204"/>
      <c r="N128" s="1204"/>
      <c r="O128" s="1204"/>
      <c r="P128" s="1204"/>
      <c r="Q128" s="1204"/>
      <c r="R128" s="1204"/>
      <c r="S128" s="1204"/>
      <c r="T128" s="1205"/>
      <c r="U128" s="1203" t="s">
        <v>137</v>
      </c>
      <c r="V128" s="1204"/>
      <c r="W128" s="1204"/>
      <c r="X128" s="1204"/>
      <c r="Y128" s="1204"/>
      <c r="Z128" s="1204"/>
      <c r="AA128" s="1204"/>
      <c r="AB128" s="1204"/>
      <c r="AC128" s="1204"/>
      <c r="AD128" s="1204"/>
      <c r="AE128" s="1204"/>
      <c r="AF128" s="1205"/>
    </row>
    <row r="129" spans="1:32" ht="15" customHeight="1" x14ac:dyDescent="0.3">
      <c r="A129" s="1201"/>
      <c r="B129" s="1201"/>
      <c r="C129" s="1201"/>
      <c r="D129" s="1201"/>
      <c r="E129" s="1201"/>
      <c r="F129" s="1201"/>
      <c r="G129" s="1201"/>
      <c r="H129" s="1202"/>
      <c r="I129" s="1166" t="s">
        <v>6003</v>
      </c>
      <c r="J129" s="1167"/>
      <c r="K129" s="1167"/>
      <c r="L129" s="1167"/>
      <c r="M129" s="1167"/>
      <c r="N129" s="1168"/>
      <c r="O129" s="1166" t="s">
        <v>6004</v>
      </c>
      <c r="P129" s="1167"/>
      <c r="Q129" s="1167"/>
      <c r="R129" s="1167"/>
      <c r="S129" s="1167"/>
      <c r="T129" s="1168"/>
      <c r="U129" s="1166" t="s">
        <v>6003</v>
      </c>
      <c r="V129" s="1167"/>
      <c r="W129" s="1167"/>
      <c r="X129" s="1167"/>
      <c r="Y129" s="1167"/>
      <c r="Z129" s="1168"/>
      <c r="AA129" s="1166" t="s">
        <v>6004</v>
      </c>
      <c r="AB129" s="1167"/>
      <c r="AC129" s="1167"/>
      <c r="AD129" s="1167"/>
      <c r="AE129" s="1167"/>
      <c r="AF129" s="1168"/>
    </row>
    <row r="130" spans="1:32" ht="48" customHeight="1" x14ac:dyDescent="0.3">
      <c r="A130" s="1322" t="s">
        <v>6054</v>
      </c>
      <c r="B130" s="1323"/>
      <c r="C130" s="1323"/>
      <c r="D130" s="1323"/>
      <c r="E130" s="1323"/>
      <c r="F130" s="1323"/>
      <c r="G130" s="1323"/>
      <c r="H130" s="1324"/>
      <c r="I130" s="1333">
        <v>0.5</v>
      </c>
      <c r="J130" s="1334"/>
      <c r="K130" s="1334"/>
      <c r="L130" s="1334"/>
      <c r="M130" s="1334"/>
      <c r="N130" s="1335"/>
      <c r="O130" s="1333">
        <v>0.5</v>
      </c>
      <c r="P130" s="1334"/>
      <c r="Q130" s="1334"/>
      <c r="R130" s="1334"/>
      <c r="S130" s="1334"/>
      <c r="T130" s="1335"/>
      <c r="U130" s="1333">
        <v>0.5</v>
      </c>
      <c r="V130" s="1334"/>
      <c r="W130" s="1334"/>
      <c r="X130" s="1334"/>
      <c r="Y130" s="1334"/>
      <c r="Z130" s="1335"/>
      <c r="AA130" s="1333">
        <v>0.5</v>
      </c>
      <c r="AB130" s="1334"/>
      <c r="AC130" s="1334"/>
      <c r="AD130" s="1334"/>
      <c r="AE130" s="1334"/>
      <c r="AF130" s="1335"/>
    </row>
    <row r="131" spans="1:32" ht="53.25" customHeight="1" x14ac:dyDescent="0.3">
      <c r="A131" s="1322" t="s">
        <v>6055</v>
      </c>
      <c r="B131" s="1323"/>
      <c r="C131" s="1323"/>
      <c r="D131" s="1323"/>
      <c r="E131" s="1323"/>
      <c r="F131" s="1323"/>
      <c r="G131" s="1323"/>
      <c r="H131" s="1324"/>
      <c r="I131" s="1333">
        <v>0.72</v>
      </c>
      <c r="J131" s="1334"/>
      <c r="K131" s="1334"/>
      <c r="L131" s="1334"/>
      <c r="M131" s="1334"/>
      <c r="N131" s="1335"/>
      <c r="O131" s="1333">
        <v>0.49</v>
      </c>
      <c r="P131" s="1334"/>
      <c r="Q131" s="1334"/>
      <c r="R131" s="1334"/>
      <c r="S131" s="1334"/>
      <c r="T131" s="1335"/>
      <c r="U131" s="1333">
        <v>0.78</v>
      </c>
      <c r="V131" s="1334"/>
      <c r="W131" s="1334"/>
      <c r="X131" s="1334"/>
      <c r="Y131" s="1334"/>
      <c r="Z131" s="1335"/>
      <c r="AA131" s="1333">
        <v>0.55000000000000004</v>
      </c>
      <c r="AB131" s="1334"/>
      <c r="AC131" s="1334"/>
      <c r="AD131" s="1334"/>
      <c r="AE131" s="1334"/>
      <c r="AF131" s="1335"/>
    </row>
    <row r="132" spans="1:32" ht="58.5" customHeight="1" x14ac:dyDescent="0.3">
      <c r="A132" s="1322" t="s">
        <v>6056</v>
      </c>
      <c r="B132" s="1323"/>
      <c r="C132" s="1323"/>
      <c r="D132" s="1323"/>
      <c r="E132" s="1323"/>
      <c r="F132" s="1323"/>
      <c r="G132" s="1323"/>
      <c r="H132" s="1324"/>
      <c r="I132" s="1166">
        <v>166</v>
      </c>
      <c r="J132" s="1167"/>
      <c r="K132" s="1167"/>
      <c r="L132" s="1167"/>
      <c r="M132" s="1167"/>
      <c r="N132" s="1168"/>
      <c r="O132" s="1166">
        <v>201</v>
      </c>
      <c r="P132" s="1167"/>
      <c r="Q132" s="1167"/>
      <c r="R132" s="1167"/>
      <c r="S132" s="1167"/>
      <c r="T132" s="1168"/>
      <c r="U132" s="1166">
        <v>295</v>
      </c>
      <c r="V132" s="1167"/>
      <c r="W132" s="1167"/>
      <c r="X132" s="1167"/>
      <c r="Y132" s="1167"/>
      <c r="Z132" s="1168"/>
      <c r="AA132" s="1166">
        <v>349</v>
      </c>
      <c r="AB132" s="1167"/>
      <c r="AC132" s="1167"/>
      <c r="AD132" s="1167"/>
      <c r="AE132" s="1167"/>
      <c r="AF132" s="1168"/>
    </row>
    <row r="133" spans="1:32" ht="42" customHeight="1" x14ac:dyDescent="0.3">
      <c r="A133" s="1322" t="s">
        <v>6057</v>
      </c>
      <c r="B133" s="1323"/>
      <c r="C133" s="1323"/>
      <c r="D133" s="1323"/>
      <c r="E133" s="1323"/>
      <c r="F133" s="1323"/>
      <c r="G133" s="1323"/>
      <c r="H133" s="1324"/>
      <c r="I133" s="1166">
        <v>1</v>
      </c>
      <c r="J133" s="1167"/>
      <c r="K133" s="1167"/>
      <c r="L133" s="1167"/>
      <c r="M133" s="1167"/>
      <c r="N133" s="1167"/>
      <c r="O133" s="1167"/>
      <c r="P133" s="1167"/>
      <c r="Q133" s="1167"/>
      <c r="R133" s="1167"/>
      <c r="S133" s="1167"/>
      <c r="T133" s="1167"/>
      <c r="U133" s="1167"/>
      <c r="V133" s="1167"/>
      <c r="W133" s="1167"/>
      <c r="X133" s="1167"/>
      <c r="Y133" s="1167"/>
      <c r="Z133" s="1167"/>
      <c r="AA133" s="1167"/>
      <c r="AB133" s="1167"/>
      <c r="AC133" s="1167"/>
      <c r="AD133" s="1167"/>
      <c r="AE133" s="1167"/>
      <c r="AF133" s="1168"/>
    </row>
    <row r="134" spans="1:32" ht="43.5" customHeight="1" x14ac:dyDescent="0.3">
      <c r="A134" s="1322" t="s">
        <v>6058</v>
      </c>
      <c r="B134" s="1323"/>
      <c r="C134" s="1323"/>
      <c r="D134" s="1323"/>
      <c r="E134" s="1323"/>
      <c r="F134" s="1323"/>
      <c r="G134" s="1323"/>
      <c r="H134" s="1324"/>
      <c r="I134" s="1166">
        <v>15</v>
      </c>
      <c r="J134" s="1167"/>
      <c r="K134" s="1167"/>
      <c r="L134" s="1167"/>
      <c r="M134" s="1167"/>
      <c r="N134" s="1167"/>
      <c r="O134" s="1167"/>
      <c r="P134" s="1167"/>
      <c r="Q134" s="1167"/>
      <c r="R134" s="1167"/>
      <c r="S134" s="1167"/>
      <c r="T134" s="1167"/>
      <c r="U134" s="1167"/>
      <c r="V134" s="1167"/>
      <c r="W134" s="1167"/>
      <c r="X134" s="1167"/>
      <c r="Y134" s="1167"/>
      <c r="Z134" s="1167"/>
      <c r="AA134" s="1167"/>
      <c r="AB134" s="1167"/>
      <c r="AC134" s="1167"/>
      <c r="AD134" s="1167"/>
      <c r="AE134" s="1167"/>
      <c r="AF134" s="1168"/>
    </row>
    <row r="135" spans="1:32" ht="39" customHeight="1" x14ac:dyDescent="0.3">
      <c r="A135" s="1322" t="s">
        <v>6059</v>
      </c>
      <c r="B135" s="1323"/>
      <c r="C135" s="1323"/>
      <c r="D135" s="1323"/>
      <c r="E135" s="1323"/>
      <c r="F135" s="1323"/>
      <c r="G135" s="1323"/>
      <c r="H135" s="1324"/>
      <c r="I135" s="1166">
        <v>3750</v>
      </c>
      <c r="J135" s="1167"/>
      <c r="K135" s="1167"/>
      <c r="L135" s="1167"/>
      <c r="M135" s="1167"/>
      <c r="N135" s="1167"/>
      <c r="O135" s="1167"/>
      <c r="P135" s="1167"/>
      <c r="Q135" s="1167"/>
      <c r="R135" s="1167"/>
      <c r="S135" s="1167"/>
      <c r="T135" s="1168"/>
      <c r="U135" s="1166">
        <v>2000</v>
      </c>
      <c r="V135" s="1167"/>
      <c r="W135" s="1167"/>
      <c r="X135" s="1167"/>
      <c r="Y135" s="1167"/>
      <c r="Z135" s="1167"/>
      <c r="AA135" s="1167"/>
      <c r="AB135" s="1167"/>
      <c r="AC135" s="1167"/>
      <c r="AD135" s="1167"/>
      <c r="AE135" s="1167"/>
      <c r="AF135" s="1168"/>
    </row>
    <row r="136" spans="1:32" ht="62.25" customHeight="1" x14ac:dyDescent="0.3">
      <c r="A136" s="1322" t="s">
        <v>6066</v>
      </c>
      <c r="B136" s="1323"/>
      <c r="C136" s="1323"/>
      <c r="D136" s="1323"/>
      <c r="E136" s="1323"/>
      <c r="F136" s="1323"/>
      <c r="G136" s="1323"/>
      <c r="H136" s="1324"/>
      <c r="I136" s="1166">
        <v>2280</v>
      </c>
      <c r="J136" s="1167"/>
      <c r="K136" s="1167"/>
      <c r="L136" s="1167"/>
      <c r="M136" s="1167"/>
      <c r="N136" s="1168"/>
      <c r="O136" s="1166">
        <v>8710</v>
      </c>
      <c r="P136" s="1167"/>
      <c r="Q136" s="1167"/>
      <c r="R136" s="1167"/>
      <c r="S136" s="1167"/>
      <c r="T136" s="1168"/>
      <c r="U136" s="1166">
        <f>((0.083*22)+0.35)*1000</f>
        <v>2176</v>
      </c>
      <c r="V136" s="1167"/>
      <c r="W136" s="1167"/>
      <c r="X136" s="1167"/>
      <c r="Y136" s="1167"/>
      <c r="Z136" s="1168"/>
      <c r="AA136" s="1166">
        <f>((0.133*22)+0.64)*1000</f>
        <v>3566.0000000000005</v>
      </c>
      <c r="AB136" s="1167"/>
      <c r="AC136" s="1167"/>
      <c r="AD136" s="1167"/>
      <c r="AE136" s="1167"/>
      <c r="AF136" s="1168"/>
    </row>
    <row r="137" spans="1:32" ht="59.25" customHeight="1" x14ac:dyDescent="0.3">
      <c r="A137" s="1322" t="s">
        <v>6061</v>
      </c>
      <c r="B137" s="1323"/>
      <c r="C137" s="1323"/>
      <c r="D137" s="1323"/>
      <c r="E137" s="1323"/>
      <c r="F137" s="1323"/>
      <c r="G137" s="1323"/>
      <c r="H137" s="1324"/>
      <c r="I137" s="1166">
        <v>73.2</v>
      </c>
      <c r="J137" s="1167"/>
      <c r="K137" s="1167"/>
      <c r="L137" s="1167"/>
      <c r="M137" s="1167"/>
      <c r="N137" s="1168"/>
      <c r="O137" s="1166">
        <v>30.8</v>
      </c>
      <c r="P137" s="1167"/>
      <c r="Q137" s="1167"/>
      <c r="R137" s="1167"/>
      <c r="S137" s="1167"/>
      <c r="T137" s="1168"/>
      <c r="U137" s="1166">
        <v>73.2</v>
      </c>
      <c r="V137" s="1167"/>
      <c r="W137" s="1167"/>
      <c r="X137" s="1167"/>
      <c r="Y137" s="1167"/>
      <c r="Z137" s="1168"/>
      <c r="AA137" s="1166">
        <v>30.8</v>
      </c>
      <c r="AB137" s="1167"/>
      <c r="AC137" s="1167"/>
      <c r="AD137" s="1167"/>
      <c r="AE137" s="1167"/>
      <c r="AF137" s="1168"/>
    </row>
    <row r="138" spans="1:32" ht="40.5" customHeight="1" x14ac:dyDescent="0.3">
      <c r="A138" s="1322" t="s">
        <v>6005</v>
      </c>
      <c r="B138" s="1323"/>
      <c r="C138" s="1323"/>
      <c r="D138" s="1323"/>
      <c r="E138" s="1323"/>
      <c r="F138" s="1323"/>
      <c r="G138" s="1323"/>
      <c r="H138" s="1324"/>
      <c r="I138" s="1166">
        <v>250</v>
      </c>
      <c r="J138" s="1167"/>
      <c r="K138" s="1167"/>
      <c r="L138" s="1167"/>
      <c r="M138" s="1167"/>
      <c r="N138" s="1167"/>
      <c r="O138" s="1167"/>
      <c r="P138" s="1167"/>
      <c r="Q138" s="1167"/>
      <c r="R138" s="1167"/>
      <c r="S138" s="1167"/>
      <c r="T138" s="1167"/>
      <c r="U138" s="1167"/>
      <c r="V138" s="1167"/>
      <c r="W138" s="1167"/>
      <c r="X138" s="1167"/>
      <c r="Y138" s="1167"/>
      <c r="Z138" s="1167"/>
      <c r="AA138" s="1167"/>
      <c r="AB138" s="1167"/>
      <c r="AC138" s="1167"/>
      <c r="AD138" s="1167"/>
      <c r="AE138" s="1167"/>
      <c r="AF138" s="1168"/>
    </row>
    <row r="139" spans="1:32" ht="57.75" customHeight="1" x14ac:dyDescent="0.3">
      <c r="A139" s="1322" t="s">
        <v>6062</v>
      </c>
      <c r="B139" s="1323"/>
      <c r="C139" s="1323"/>
      <c r="D139" s="1323"/>
      <c r="E139" s="1323"/>
      <c r="F139" s="1323"/>
      <c r="G139" s="1323"/>
      <c r="H139" s="1324"/>
      <c r="I139" s="1325">
        <f>I137*I138*I130/I131</f>
        <v>12708.333333333334</v>
      </c>
      <c r="J139" s="1326"/>
      <c r="K139" s="1326"/>
      <c r="L139" s="1326"/>
      <c r="M139" s="1326"/>
      <c r="N139" s="1327"/>
      <c r="O139" s="1325">
        <f>O137*I138*O130/O131</f>
        <v>7857.1428571428569</v>
      </c>
      <c r="P139" s="1326"/>
      <c r="Q139" s="1326"/>
      <c r="R139" s="1326"/>
      <c r="S139" s="1326"/>
      <c r="T139" s="1327"/>
      <c r="U139" s="1325">
        <f>U137*I138*U130/U131</f>
        <v>11730.76923076923</v>
      </c>
      <c r="V139" s="1326"/>
      <c r="W139" s="1326"/>
      <c r="X139" s="1326"/>
      <c r="Y139" s="1326"/>
      <c r="Z139" s="1327"/>
      <c r="AA139" s="1325">
        <f>AA137*I138*AA130/AA131</f>
        <v>6999.9999999999991</v>
      </c>
      <c r="AB139" s="1326"/>
      <c r="AC139" s="1326"/>
      <c r="AD139" s="1326"/>
      <c r="AE139" s="1326"/>
      <c r="AF139" s="1327"/>
    </row>
    <row r="140" spans="1:32" ht="65.25" customHeight="1" x14ac:dyDescent="0.3">
      <c r="A140" s="1322" t="s">
        <v>6063</v>
      </c>
      <c r="B140" s="1323"/>
      <c r="C140" s="1323"/>
      <c r="D140" s="1323"/>
      <c r="E140" s="1323"/>
      <c r="F140" s="1323"/>
      <c r="G140" s="1323"/>
      <c r="H140" s="1324"/>
      <c r="I140" s="1330">
        <f>$Q$87-(I138*I130/I132)-(I134/60)</f>
        <v>10.996987951807229</v>
      </c>
      <c r="J140" s="1331"/>
      <c r="K140" s="1331"/>
      <c r="L140" s="1331"/>
      <c r="M140" s="1331"/>
      <c r="N140" s="1332"/>
      <c r="O140" s="1330">
        <f>$Q$87-(I138*O130/O132)-(I134/60)</f>
        <v>11.128109452736318</v>
      </c>
      <c r="P140" s="1331"/>
      <c r="Q140" s="1331"/>
      <c r="R140" s="1331"/>
      <c r="S140" s="1331"/>
      <c r="T140" s="1332"/>
      <c r="U140" s="1330">
        <f>$Q$87-(I138*U130/U132)-(I134/60)</f>
        <v>11.326271186440678</v>
      </c>
      <c r="V140" s="1331"/>
      <c r="W140" s="1331"/>
      <c r="X140" s="1331"/>
      <c r="Y140" s="1331"/>
      <c r="Z140" s="1332"/>
      <c r="AA140" s="1330">
        <f>$Q$87-(I138*AA130/AA132)-(I134/60)</f>
        <v>11.391833810888253</v>
      </c>
      <c r="AB140" s="1331"/>
      <c r="AC140" s="1331"/>
      <c r="AD140" s="1331"/>
      <c r="AE140" s="1331"/>
      <c r="AF140" s="1332"/>
    </row>
    <row r="141" spans="1:32" ht="15.6" x14ac:dyDescent="0.3">
      <c r="A141" s="1316" t="s">
        <v>6065</v>
      </c>
      <c r="B141" s="1317"/>
      <c r="C141" s="1317"/>
      <c r="D141" s="1317"/>
      <c r="E141" s="1317"/>
      <c r="F141" s="1317"/>
      <c r="G141" s="1317"/>
      <c r="H141" s="1318"/>
      <c r="I141" s="1319">
        <f>I136*I140</f>
        <v>25073.132530120482</v>
      </c>
      <c r="J141" s="1320"/>
      <c r="K141" s="1320"/>
      <c r="L141" s="1320"/>
      <c r="M141" s="1320"/>
      <c r="N141" s="1321"/>
      <c r="O141" s="1319">
        <f t="shared" ref="O141" si="5">O136*O140</f>
        <v>96925.833333333328</v>
      </c>
      <c r="P141" s="1320"/>
      <c r="Q141" s="1320"/>
      <c r="R141" s="1320"/>
      <c r="S141" s="1320"/>
      <c r="T141" s="1321"/>
      <c r="U141" s="1319">
        <f t="shared" ref="U141" si="6">U136*U140</f>
        <v>24645.966101694918</v>
      </c>
      <c r="V141" s="1320"/>
      <c r="W141" s="1320"/>
      <c r="X141" s="1320"/>
      <c r="Y141" s="1320"/>
      <c r="Z141" s="1321"/>
      <c r="AA141" s="1319">
        <f t="shared" ref="AA141" si="7">AA136*AA140</f>
        <v>40623.279369627511</v>
      </c>
      <c r="AB141" s="1320"/>
      <c r="AC141" s="1320"/>
      <c r="AD141" s="1320"/>
      <c r="AE141" s="1320"/>
      <c r="AF141" s="1321"/>
    </row>
    <row r="142" spans="1:32" ht="30" customHeight="1" x14ac:dyDescent="0.3">
      <c r="A142" s="1322" t="s">
        <v>6007</v>
      </c>
      <c r="B142" s="1323"/>
      <c r="C142" s="1323"/>
      <c r="D142" s="1323"/>
      <c r="E142" s="1323"/>
      <c r="F142" s="1323"/>
      <c r="G142" s="1323"/>
      <c r="H142" s="1324"/>
      <c r="I142" s="1325">
        <f>SUM(I135,I139:T139,I141:T141)</f>
        <v>146314.44205393002</v>
      </c>
      <c r="J142" s="1326"/>
      <c r="K142" s="1326"/>
      <c r="L142" s="1326"/>
      <c r="M142" s="1326"/>
      <c r="N142" s="1326"/>
      <c r="O142" s="1326"/>
      <c r="P142" s="1326"/>
      <c r="Q142" s="1326"/>
      <c r="R142" s="1326"/>
      <c r="S142" s="1326"/>
      <c r="T142" s="1327"/>
      <c r="U142" s="1325">
        <f>SUM(U135,U139:AF139,U141:AF141)</f>
        <v>86000.014702091663</v>
      </c>
      <c r="V142" s="1326"/>
      <c r="W142" s="1326"/>
      <c r="X142" s="1326"/>
      <c r="Y142" s="1326"/>
      <c r="Z142" s="1326"/>
      <c r="AA142" s="1326"/>
      <c r="AB142" s="1326"/>
      <c r="AC142" s="1326"/>
      <c r="AD142" s="1326"/>
      <c r="AE142" s="1326"/>
      <c r="AF142" s="1327"/>
    </row>
    <row r="143" spans="1:32" x14ac:dyDescent="0.3">
      <c r="A143" s="1336" t="s">
        <v>6010</v>
      </c>
      <c r="B143" s="1337"/>
      <c r="C143" s="1337"/>
      <c r="D143" s="1337"/>
      <c r="E143" s="1337"/>
      <c r="F143" s="1337"/>
      <c r="G143" s="1337"/>
      <c r="H143" s="1337"/>
      <c r="I143" s="1337"/>
      <c r="J143" s="1337"/>
      <c r="K143" s="1337"/>
      <c r="L143" s="1337"/>
      <c r="M143" s="1337"/>
      <c r="N143" s="1337"/>
      <c r="O143" s="1337"/>
      <c r="P143" s="1337"/>
      <c r="Q143" s="1337"/>
      <c r="R143" s="1337"/>
      <c r="S143" s="1337"/>
      <c r="T143" s="1337"/>
      <c r="U143" s="1337"/>
      <c r="V143" s="1337"/>
      <c r="W143" s="1337"/>
      <c r="X143" s="1337"/>
      <c r="Y143" s="1337"/>
      <c r="Z143" s="1337"/>
      <c r="AA143" s="1337"/>
      <c r="AB143" s="1337"/>
      <c r="AC143" s="1337"/>
      <c r="AD143" s="1337"/>
      <c r="AE143" s="1337"/>
      <c r="AF143" s="1338"/>
    </row>
    <row r="144" spans="1:32" ht="15" customHeight="1" x14ac:dyDescent="0.3">
      <c r="A144" s="1198"/>
      <c r="B144" s="1198"/>
      <c r="C144" s="1198"/>
      <c r="D144" s="1198"/>
      <c r="E144" s="1198"/>
      <c r="F144" s="1198"/>
      <c r="G144" s="1198"/>
      <c r="H144" s="1199"/>
      <c r="I144" s="1203" t="s">
        <v>121</v>
      </c>
      <c r="J144" s="1204"/>
      <c r="K144" s="1204"/>
      <c r="L144" s="1204"/>
      <c r="M144" s="1204"/>
      <c r="N144" s="1204"/>
      <c r="O144" s="1204"/>
      <c r="P144" s="1204"/>
      <c r="Q144" s="1204"/>
      <c r="R144" s="1204"/>
      <c r="S144" s="1204"/>
      <c r="T144" s="1205"/>
      <c r="U144" s="1203" t="s">
        <v>137</v>
      </c>
      <c r="V144" s="1204"/>
      <c r="W144" s="1204"/>
      <c r="X144" s="1204"/>
      <c r="Y144" s="1204"/>
      <c r="Z144" s="1204"/>
      <c r="AA144" s="1204"/>
      <c r="AB144" s="1204"/>
      <c r="AC144" s="1204"/>
      <c r="AD144" s="1204"/>
      <c r="AE144" s="1204"/>
      <c r="AF144" s="1205"/>
    </row>
    <row r="145" spans="1:32" ht="15" customHeight="1" x14ac:dyDescent="0.3">
      <c r="A145" s="1201"/>
      <c r="B145" s="1201"/>
      <c r="C145" s="1201"/>
      <c r="D145" s="1201"/>
      <c r="E145" s="1201"/>
      <c r="F145" s="1201"/>
      <c r="G145" s="1201"/>
      <c r="H145" s="1202"/>
      <c r="I145" s="1166" t="s">
        <v>6003</v>
      </c>
      <c r="J145" s="1167"/>
      <c r="K145" s="1167"/>
      <c r="L145" s="1167"/>
      <c r="M145" s="1167"/>
      <c r="N145" s="1168"/>
      <c r="O145" s="1166" t="s">
        <v>6004</v>
      </c>
      <c r="P145" s="1167"/>
      <c r="Q145" s="1167"/>
      <c r="R145" s="1167"/>
      <c r="S145" s="1167"/>
      <c r="T145" s="1168"/>
      <c r="U145" s="1166" t="s">
        <v>6003</v>
      </c>
      <c r="V145" s="1167"/>
      <c r="W145" s="1167"/>
      <c r="X145" s="1167"/>
      <c r="Y145" s="1167"/>
      <c r="Z145" s="1168"/>
      <c r="AA145" s="1166" t="s">
        <v>6004</v>
      </c>
      <c r="AB145" s="1167"/>
      <c r="AC145" s="1167"/>
      <c r="AD145" s="1167"/>
      <c r="AE145" s="1167"/>
      <c r="AF145" s="1168"/>
    </row>
    <row r="146" spans="1:32" ht="48" customHeight="1" x14ac:dyDescent="0.3">
      <c r="A146" s="1322" t="s">
        <v>6054</v>
      </c>
      <c r="B146" s="1323"/>
      <c r="C146" s="1323"/>
      <c r="D146" s="1323"/>
      <c r="E146" s="1323"/>
      <c r="F146" s="1323"/>
      <c r="G146" s="1323"/>
      <c r="H146" s="1324"/>
      <c r="I146" s="1333">
        <v>0.5</v>
      </c>
      <c r="J146" s="1334"/>
      <c r="K146" s="1334"/>
      <c r="L146" s="1334"/>
      <c r="M146" s="1334"/>
      <c r="N146" s="1335"/>
      <c r="O146" s="1333">
        <v>0.5</v>
      </c>
      <c r="P146" s="1334"/>
      <c r="Q146" s="1334"/>
      <c r="R146" s="1334"/>
      <c r="S146" s="1334"/>
      <c r="T146" s="1335"/>
      <c r="U146" s="1333">
        <v>0.5</v>
      </c>
      <c r="V146" s="1334"/>
      <c r="W146" s="1334"/>
      <c r="X146" s="1334"/>
      <c r="Y146" s="1334"/>
      <c r="Z146" s="1335"/>
      <c r="AA146" s="1333">
        <v>0.5</v>
      </c>
      <c r="AB146" s="1334"/>
      <c r="AC146" s="1334"/>
      <c r="AD146" s="1334"/>
      <c r="AE146" s="1334"/>
      <c r="AF146" s="1335"/>
    </row>
    <row r="147" spans="1:32" ht="53.25" customHeight="1" x14ac:dyDescent="0.3">
      <c r="A147" s="1322" t="s">
        <v>6055</v>
      </c>
      <c r="B147" s="1323"/>
      <c r="C147" s="1323"/>
      <c r="D147" s="1323"/>
      <c r="E147" s="1323"/>
      <c r="F147" s="1323"/>
      <c r="G147" s="1323"/>
      <c r="H147" s="1324"/>
      <c r="I147" s="1333">
        <v>0.72</v>
      </c>
      <c r="J147" s="1334"/>
      <c r="K147" s="1334"/>
      <c r="L147" s="1334"/>
      <c r="M147" s="1334"/>
      <c r="N147" s="1335"/>
      <c r="O147" s="1333">
        <v>0.49</v>
      </c>
      <c r="P147" s="1334"/>
      <c r="Q147" s="1334"/>
      <c r="R147" s="1334"/>
      <c r="S147" s="1334"/>
      <c r="T147" s="1335"/>
      <c r="U147" s="1333">
        <v>0.78</v>
      </c>
      <c r="V147" s="1334"/>
      <c r="W147" s="1334"/>
      <c r="X147" s="1334"/>
      <c r="Y147" s="1334"/>
      <c r="Z147" s="1335"/>
      <c r="AA147" s="1333">
        <v>0.55000000000000004</v>
      </c>
      <c r="AB147" s="1334"/>
      <c r="AC147" s="1334"/>
      <c r="AD147" s="1334"/>
      <c r="AE147" s="1334"/>
      <c r="AF147" s="1335"/>
    </row>
    <row r="148" spans="1:32" ht="58.5" customHeight="1" x14ac:dyDescent="0.3">
      <c r="A148" s="1322" t="s">
        <v>6056</v>
      </c>
      <c r="B148" s="1323"/>
      <c r="C148" s="1323"/>
      <c r="D148" s="1323"/>
      <c r="E148" s="1323"/>
      <c r="F148" s="1323"/>
      <c r="G148" s="1323"/>
      <c r="H148" s="1324"/>
      <c r="I148" s="1166">
        <v>166</v>
      </c>
      <c r="J148" s="1167"/>
      <c r="K148" s="1167"/>
      <c r="L148" s="1167"/>
      <c r="M148" s="1167"/>
      <c r="N148" s="1168"/>
      <c r="O148" s="1166">
        <v>201</v>
      </c>
      <c r="P148" s="1167"/>
      <c r="Q148" s="1167"/>
      <c r="R148" s="1167"/>
      <c r="S148" s="1167"/>
      <c r="T148" s="1168"/>
      <c r="U148" s="1166">
        <v>295</v>
      </c>
      <c r="V148" s="1167"/>
      <c r="W148" s="1167"/>
      <c r="X148" s="1167"/>
      <c r="Y148" s="1167"/>
      <c r="Z148" s="1168"/>
      <c r="AA148" s="1166">
        <v>349</v>
      </c>
      <c r="AB148" s="1167"/>
      <c r="AC148" s="1167"/>
      <c r="AD148" s="1167"/>
      <c r="AE148" s="1167"/>
      <c r="AF148" s="1168"/>
    </row>
    <row r="149" spans="1:32" ht="42" customHeight="1" x14ac:dyDescent="0.3">
      <c r="A149" s="1322" t="s">
        <v>6057</v>
      </c>
      <c r="B149" s="1323"/>
      <c r="C149" s="1323"/>
      <c r="D149" s="1323"/>
      <c r="E149" s="1323"/>
      <c r="F149" s="1323"/>
      <c r="G149" s="1323"/>
      <c r="H149" s="1324"/>
      <c r="I149" s="1166">
        <v>1</v>
      </c>
      <c r="J149" s="1167"/>
      <c r="K149" s="1167"/>
      <c r="L149" s="1167"/>
      <c r="M149" s="1167"/>
      <c r="N149" s="1167"/>
      <c r="O149" s="1167"/>
      <c r="P149" s="1167"/>
      <c r="Q149" s="1167"/>
      <c r="R149" s="1167"/>
      <c r="S149" s="1167"/>
      <c r="T149" s="1167"/>
      <c r="U149" s="1167"/>
      <c r="V149" s="1167"/>
      <c r="W149" s="1167"/>
      <c r="X149" s="1167"/>
      <c r="Y149" s="1167"/>
      <c r="Z149" s="1167"/>
      <c r="AA149" s="1167"/>
      <c r="AB149" s="1167"/>
      <c r="AC149" s="1167"/>
      <c r="AD149" s="1167"/>
      <c r="AE149" s="1167"/>
      <c r="AF149" s="1168"/>
    </row>
    <row r="150" spans="1:32" ht="43.5" customHeight="1" x14ac:dyDescent="0.3">
      <c r="A150" s="1322" t="s">
        <v>6058</v>
      </c>
      <c r="B150" s="1323"/>
      <c r="C150" s="1323"/>
      <c r="D150" s="1323"/>
      <c r="E150" s="1323"/>
      <c r="F150" s="1323"/>
      <c r="G150" s="1323"/>
      <c r="H150" s="1324"/>
      <c r="I150" s="1166">
        <v>15</v>
      </c>
      <c r="J150" s="1167"/>
      <c r="K150" s="1167"/>
      <c r="L150" s="1167"/>
      <c r="M150" s="1167"/>
      <c r="N150" s="1167"/>
      <c r="O150" s="1167"/>
      <c r="P150" s="1167"/>
      <c r="Q150" s="1167"/>
      <c r="R150" s="1167"/>
      <c r="S150" s="1167"/>
      <c r="T150" s="1167"/>
      <c r="U150" s="1167"/>
      <c r="V150" s="1167"/>
      <c r="W150" s="1167"/>
      <c r="X150" s="1167"/>
      <c r="Y150" s="1167"/>
      <c r="Z150" s="1167"/>
      <c r="AA150" s="1167"/>
      <c r="AB150" s="1167"/>
      <c r="AC150" s="1167"/>
      <c r="AD150" s="1167"/>
      <c r="AE150" s="1167"/>
      <c r="AF150" s="1168"/>
    </row>
    <row r="151" spans="1:32" ht="39" customHeight="1" x14ac:dyDescent="0.3">
      <c r="A151" s="1322" t="s">
        <v>6059</v>
      </c>
      <c r="B151" s="1323"/>
      <c r="C151" s="1323"/>
      <c r="D151" s="1323"/>
      <c r="E151" s="1323"/>
      <c r="F151" s="1323"/>
      <c r="G151" s="1323"/>
      <c r="H151" s="1324"/>
      <c r="I151" s="1166">
        <v>5630</v>
      </c>
      <c r="J151" s="1167"/>
      <c r="K151" s="1167"/>
      <c r="L151" s="1167"/>
      <c r="M151" s="1167"/>
      <c r="N151" s="1167"/>
      <c r="O151" s="1167"/>
      <c r="P151" s="1167"/>
      <c r="Q151" s="1167"/>
      <c r="R151" s="1167"/>
      <c r="S151" s="1167"/>
      <c r="T151" s="1168"/>
      <c r="U151" s="1166">
        <v>3000</v>
      </c>
      <c r="V151" s="1167"/>
      <c r="W151" s="1167"/>
      <c r="X151" s="1167"/>
      <c r="Y151" s="1167"/>
      <c r="Z151" s="1167"/>
      <c r="AA151" s="1167"/>
      <c r="AB151" s="1167"/>
      <c r="AC151" s="1167"/>
      <c r="AD151" s="1167"/>
      <c r="AE151" s="1167"/>
      <c r="AF151" s="1168"/>
    </row>
    <row r="152" spans="1:32" ht="62.25" customHeight="1" x14ac:dyDescent="0.3">
      <c r="A152" s="1322" t="s">
        <v>6060</v>
      </c>
      <c r="B152" s="1323"/>
      <c r="C152" s="1323"/>
      <c r="D152" s="1323"/>
      <c r="E152" s="1323"/>
      <c r="F152" s="1323"/>
      <c r="G152" s="1323"/>
      <c r="H152" s="1324"/>
      <c r="I152" s="1166">
        <v>2280</v>
      </c>
      <c r="J152" s="1167"/>
      <c r="K152" s="1167"/>
      <c r="L152" s="1167"/>
      <c r="M152" s="1167"/>
      <c r="N152" s="1168"/>
      <c r="O152" s="1166">
        <v>8710</v>
      </c>
      <c r="P152" s="1167"/>
      <c r="Q152" s="1167"/>
      <c r="R152" s="1167"/>
      <c r="S152" s="1167"/>
      <c r="T152" s="1168"/>
      <c r="U152" s="1166">
        <f>((0.083*34)+0.35)*1000</f>
        <v>3172</v>
      </c>
      <c r="V152" s="1167"/>
      <c r="W152" s="1167"/>
      <c r="X152" s="1167"/>
      <c r="Y152" s="1167"/>
      <c r="Z152" s="1168"/>
      <c r="AA152" s="1166">
        <f>((0.133*34)+0.64)*1000</f>
        <v>5162</v>
      </c>
      <c r="AB152" s="1167"/>
      <c r="AC152" s="1167"/>
      <c r="AD152" s="1167"/>
      <c r="AE152" s="1167"/>
      <c r="AF152" s="1168"/>
    </row>
    <row r="153" spans="1:32" ht="59.25" customHeight="1" x14ac:dyDescent="0.3">
      <c r="A153" s="1322" t="s">
        <v>6061</v>
      </c>
      <c r="B153" s="1323"/>
      <c r="C153" s="1323"/>
      <c r="D153" s="1323"/>
      <c r="E153" s="1323"/>
      <c r="F153" s="1323"/>
      <c r="G153" s="1323"/>
      <c r="H153" s="1324"/>
      <c r="I153" s="1166">
        <v>73.2</v>
      </c>
      <c r="J153" s="1167"/>
      <c r="K153" s="1167"/>
      <c r="L153" s="1167"/>
      <c r="M153" s="1167"/>
      <c r="N153" s="1168"/>
      <c r="O153" s="1166">
        <v>30.8</v>
      </c>
      <c r="P153" s="1167"/>
      <c r="Q153" s="1167"/>
      <c r="R153" s="1167"/>
      <c r="S153" s="1167"/>
      <c r="T153" s="1168"/>
      <c r="U153" s="1166">
        <v>73.2</v>
      </c>
      <c r="V153" s="1167"/>
      <c r="W153" s="1167"/>
      <c r="X153" s="1167"/>
      <c r="Y153" s="1167"/>
      <c r="Z153" s="1168"/>
      <c r="AA153" s="1166">
        <v>30.8</v>
      </c>
      <c r="AB153" s="1167"/>
      <c r="AC153" s="1167"/>
      <c r="AD153" s="1167"/>
      <c r="AE153" s="1167"/>
      <c r="AF153" s="1168"/>
    </row>
    <row r="154" spans="1:32" ht="40.5" customHeight="1" x14ac:dyDescent="0.3">
      <c r="A154" s="1322" t="s">
        <v>6005</v>
      </c>
      <c r="B154" s="1323"/>
      <c r="C154" s="1323"/>
      <c r="D154" s="1323"/>
      <c r="E154" s="1323"/>
      <c r="F154" s="1323"/>
      <c r="G154" s="1323"/>
      <c r="H154" s="1324"/>
      <c r="I154" s="1166">
        <v>400</v>
      </c>
      <c r="J154" s="1167"/>
      <c r="K154" s="1167"/>
      <c r="L154" s="1167"/>
      <c r="M154" s="1167"/>
      <c r="N154" s="1167"/>
      <c r="O154" s="1167"/>
      <c r="P154" s="1167"/>
      <c r="Q154" s="1167"/>
      <c r="R154" s="1167"/>
      <c r="S154" s="1167"/>
      <c r="T154" s="1167"/>
      <c r="U154" s="1167"/>
      <c r="V154" s="1167"/>
      <c r="W154" s="1167"/>
      <c r="X154" s="1167"/>
      <c r="Y154" s="1167"/>
      <c r="Z154" s="1167"/>
      <c r="AA154" s="1167"/>
      <c r="AB154" s="1167"/>
      <c r="AC154" s="1167"/>
      <c r="AD154" s="1167"/>
      <c r="AE154" s="1167"/>
      <c r="AF154" s="1168"/>
    </row>
    <row r="155" spans="1:32" ht="57.75" customHeight="1" x14ac:dyDescent="0.3">
      <c r="A155" s="1322" t="s">
        <v>6062</v>
      </c>
      <c r="B155" s="1323"/>
      <c r="C155" s="1323"/>
      <c r="D155" s="1323"/>
      <c r="E155" s="1323"/>
      <c r="F155" s="1323"/>
      <c r="G155" s="1323"/>
      <c r="H155" s="1324"/>
      <c r="I155" s="1325">
        <f>I153*I154*I146/I147</f>
        <v>20333.333333333336</v>
      </c>
      <c r="J155" s="1326"/>
      <c r="K155" s="1326"/>
      <c r="L155" s="1326"/>
      <c r="M155" s="1326"/>
      <c r="N155" s="1327"/>
      <c r="O155" s="1325">
        <f>O153*I154*O146/O147</f>
        <v>12571.428571428572</v>
      </c>
      <c r="P155" s="1326"/>
      <c r="Q155" s="1326"/>
      <c r="R155" s="1326"/>
      <c r="S155" s="1326"/>
      <c r="T155" s="1327"/>
      <c r="U155" s="1325">
        <f>U153*I154*U146/U147</f>
        <v>18769.23076923077</v>
      </c>
      <c r="V155" s="1326"/>
      <c r="W155" s="1326"/>
      <c r="X155" s="1326"/>
      <c r="Y155" s="1326"/>
      <c r="Z155" s="1327"/>
      <c r="AA155" s="1325">
        <f>AA153*I154*AA146/AA147</f>
        <v>11200</v>
      </c>
      <c r="AB155" s="1326"/>
      <c r="AC155" s="1326"/>
      <c r="AD155" s="1326"/>
      <c r="AE155" s="1326"/>
      <c r="AF155" s="1327"/>
    </row>
    <row r="156" spans="1:32" ht="65.25" customHeight="1" x14ac:dyDescent="0.3">
      <c r="A156" s="1322" t="s">
        <v>6063</v>
      </c>
      <c r="B156" s="1323"/>
      <c r="C156" s="1323"/>
      <c r="D156" s="1323"/>
      <c r="E156" s="1323"/>
      <c r="F156" s="1323"/>
      <c r="G156" s="1323"/>
      <c r="H156" s="1324"/>
      <c r="I156" s="1330">
        <f>$Q$87-(I154*I146/I148)-(I150/60)</f>
        <v>10.545180722891565</v>
      </c>
      <c r="J156" s="1331"/>
      <c r="K156" s="1331"/>
      <c r="L156" s="1331"/>
      <c r="M156" s="1331"/>
      <c r="N156" s="1332"/>
      <c r="O156" s="1330">
        <f>$Q$87-(I154*O146/O148)-(I150/60)</f>
        <v>10.75497512437811</v>
      </c>
      <c r="P156" s="1331"/>
      <c r="Q156" s="1331"/>
      <c r="R156" s="1331"/>
      <c r="S156" s="1331"/>
      <c r="T156" s="1332"/>
      <c r="U156" s="1330">
        <f>$Q$87-(I154*U146/U148)-(I150/60)</f>
        <v>11.072033898305085</v>
      </c>
      <c r="V156" s="1331"/>
      <c r="W156" s="1331"/>
      <c r="X156" s="1331"/>
      <c r="Y156" s="1331"/>
      <c r="Z156" s="1332"/>
      <c r="AA156" s="1330">
        <f>$Q$87-(I154*AA146/AA148)-(I150/60)</f>
        <v>11.176934097421203</v>
      </c>
      <c r="AB156" s="1331"/>
      <c r="AC156" s="1331"/>
      <c r="AD156" s="1331"/>
      <c r="AE156" s="1331"/>
      <c r="AF156" s="1332"/>
    </row>
    <row r="157" spans="1:32" ht="15.6" x14ac:dyDescent="0.3">
      <c r="A157" s="1316" t="s">
        <v>6065</v>
      </c>
      <c r="B157" s="1317"/>
      <c r="C157" s="1317"/>
      <c r="D157" s="1317"/>
      <c r="E157" s="1317"/>
      <c r="F157" s="1317"/>
      <c r="G157" s="1317"/>
      <c r="H157" s="1318"/>
      <c r="I157" s="1319">
        <f>I152*I156</f>
        <v>24043.01204819277</v>
      </c>
      <c r="J157" s="1320"/>
      <c r="K157" s="1320"/>
      <c r="L157" s="1320"/>
      <c r="M157" s="1320"/>
      <c r="N157" s="1321"/>
      <c r="O157" s="1319">
        <f t="shared" ref="O157" si="8">O152*O156</f>
        <v>93675.833333333328</v>
      </c>
      <c r="P157" s="1320"/>
      <c r="Q157" s="1320"/>
      <c r="R157" s="1320"/>
      <c r="S157" s="1320"/>
      <c r="T157" s="1321"/>
      <c r="U157" s="1319">
        <f>U152*U156</f>
        <v>35120.491525423728</v>
      </c>
      <c r="V157" s="1320"/>
      <c r="W157" s="1320"/>
      <c r="X157" s="1320"/>
      <c r="Y157" s="1320"/>
      <c r="Z157" s="1321"/>
      <c r="AA157" s="1319">
        <f t="shared" ref="AA157" si="9">AA152*AA156</f>
        <v>57695.333810888245</v>
      </c>
      <c r="AB157" s="1320"/>
      <c r="AC157" s="1320"/>
      <c r="AD157" s="1320"/>
      <c r="AE157" s="1320"/>
      <c r="AF157" s="1321"/>
    </row>
    <row r="158" spans="1:32" ht="30" customHeight="1" x14ac:dyDescent="0.3">
      <c r="A158" s="1322" t="s">
        <v>6007</v>
      </c>
      <c r="B158" s="1323"/>
      <c r="C158" s="1323"/>
      <c r="D158" s="1323"/>
      <c r="E158" s="1323"/>
      <c r="F158" s="1323"/>
      <c r="G158" s="1323"/>
      <c r="H158" s="1324"/>
      <c r="I158" s="1325">
        <f>SUM(I151,I155:T155,I157:T157)</f>
        <v>156253.607286288</v>
      </c>
      <c r="J158" s="1326"/>
      <c r="K158" s="1326"/>
      <c r="L158" s="1326"/>
      <c r="M158" s="1326"/>
      <c r="N158" s="1326"/>
      <c r="O158" s="1326"/>
      <c r="P158" s="1326"/>
      <c r="Q158" s="1326"/>
      <c r="R158" s="1326"/>
      <c r="S158" s="1326"/>
      <c r="T158" s="1327"/>
      <c r="U158" s="1325">
        <f>SUM(U151,U155:AF155,U157:AF157)</f>
        <v>125785.05610554274</v>
      </c>
      <c r="V158" s="1326"/>
      <c r="W158" s="1326"/>
      <c r="X158" s="1326"/>
      <c r="Y158" s="1326"/>
      <c r="Z158" s="1326"/>
      <c r="AA158" s="1326"/>
      <c r="AB158" s="1326"/>
      <c r="AC158" s="1326"/>
      <c r="AD158" s="1326"/>
      <c r="AE158" s="1326"/>
      <c r="AF158" s="1327"/>
    </row>
    <row r="159" spans="1:32" ht="32.25" customHeight="1" x14ac:dyDescent="0.3">
      <c r="A159" s="1328" t="s">
        <v>6011</v>
      </c>
      <c r="B159" s="1329"/>
      <c r="C159" s="1329"/>
      <c r="D159" s="1329"/>
      <c r="E159" s="1329"/>
      <c r="F159" s="1329"/>
      <c r="G159" s="1329"/>
      <c r="H159" s="1329"/>
      <c r="I159" s="1329"/>
      <c r="J159" s="1329"/>
      <c r="K159" s="1329"/>
      <c r="L159" s="1329"/>
      <c r="M159" s="1329"/>
      <c r="N159" s="1329"/>
      <c r="O159" s="1329"/>
      <c r="P159" s="1329"/>
      <c r="Q159" s="1329"/>
      <c r="R159" s="1329"/>
      <c r="S159" s="1329"/>
      <c r="T159" s="1329"/>
      <c r="U159" s="1329"/>
      <c r="V159" s="1329"/>
      <c r="W159" s="1329"/>
      <c r="X159" s="1329"/>
      <c r="Y159" s="1329"/>
      <c r="Z159" s="1329"/>
      <c r="AA159" s="1329"/>
      <c r="AB159" s="1329"/>
      <c r="AC159" s="1329"/>
      <c r="AD159" s="1329"/>
      <c r="AE159" s="1329"/>
      <c r="AF159" s="1329"/>
    </row>
    <row r="160" spans="1:32" ht="29.25" customHeight="1" x14ac:dyDescent="0.3">
      <c r="A160" s="1309" t="s">
        <v>6012</v>
      </c>
      <c r="B160" s="1258"/>
      <c r="C160" s="1258"/>
      <c r="D160" s="1258"/>
      <c r="E160" s="1258"/>
      <c r="F160" s="1258"/>
      <c r="G160" s="1258"/>
      <c r="H160" s="1258"/>
      <c r="I160" s="1258"/>
      <c r="J160" s="1258"/>
      <c r="K160" s="1258"/>
      <c r="L160" s="1258"/>
      <c r="M160" s="1258"/>
      <c r="N160" s="1258"/>
      <c r="O160" s="1258"/>
      <c r="P160" s="1258"/>
      <c r="Q160" s="1258"/>
      <c r="R160" s="1258"/>
      <c r="S160" s="1258"/>
      <c r="T160" s="1258"/>
      <c r="U160" s="1258"/>
      <c r="V160" s="1258"/>
      <c r="W160" s="1258"/>
      <c r="X160" s="1258"/>
      <c r="Y160" s="1258"/>
      <c r="Z160" s="1258"/>
      <c r="AA160" s="1258"/>
      <c r="AB160" s="1258"/>
      <c r="AC160" s="1258"/>
      <c r="AD160" s="1258"/>
      <c r="AE160" s="1258"/>
      <c r="AF160" s="1258"/>
    </row>
    <row r="161" spans="1:38" ht="31.5" customHeight="1" x14ac:dyDescent="0.3">
      <c r="A161" s="1309" t="s">
        <v>6013</v>
      </c>
      <c r="B161" s="1258"/>
      <c r="C161" s="1258"/>
      <c r="D161" s="1258"/>
      <c r="E161" s="1258"/>
      <c r="F161" s="1258"/>
      <c r="G161" s="1258"/>
      <c r="H161" s="1258"/>
      <c r="I161" s="1258"/>
      <c r="J161" s="1258"/>
      <c r="K161" s="1258"/>
      <c r="L161" s="1258"/>
      <c r="M161" s="1258"/>
      <c r="N161" s="1258"/>
      <c r="O161" s="1258"/>
      <c r="P161" s="1258"/>
      <c r="Q161" s="1258"/>
      <c r="R161" s="1258"/>
      <c r="S161" s="1258"/>
      <c r="T161" s="1258"/>
      <c r="U161" s="1258"/>
      <c r="V161" s="1258"/>
      <c r="W161" s="1258"/>
      <c r="X161" s="1258"/>
      <c r="Y161" s="1258"/>
      <c r="Z161" s="1258"/>
      <c r="AA161" s="1258"/>
      <c r="AB161" s="1258"/>
      <c r="AC161" s="1258"/>
      <c r="AD161" s="1258"/>
      <c r="AE161" s="1258"/>
      <c r="AF161" s="1258"/>
    </row>
    <row r="162" spans="1:38" ht="31.5" customHeight="1" x14ac:dyDescent="0.3">
      <c r="A162" s="1309" t="s">
        <v>6014</v>
      </c>
      <c r="B162" s="1258"/>
      <c r="C162" s="1258"/>
      <c r="D162" s="1258"/>
      <c r="E162" s="1258"/>
      <c r="F162" s="1258"/>
      <c r="G162" s="1258"/>
      <c r="H162" s="1258"/>
      <c r="I162" s="1258"/>
      <c r="J162" s="1258"/>
      <c r="K162" s="1258"/>
      <c r="L162" s="1258"/>
      <c r="M162" s="1258"/>
      <c r="N162" s="1258"/>
      <c r="O162" s="1258"/>
      <c r="P162" s="1258"/>
      <c r="Q162" s="1258"/>
      <c r="R162" s="1258"/>
      <c r="S162" s="1258"/>
      <c r="T162" s="1258"/>
      <c r="U162" s="1258"/>
      <c r="V162" s="1258"/>
      <c r="W162" s="1258"/>
      <c r="X162" s="1258"/>
      <c r="Y162" s="1258"/>
      <c r="Z162" s="1258"/>
      <c r="AA162" s="1258"/>
      <c r="AB162" s="1258"/>
      <c r="AC162" s="1258"/>
      <c r="AD162" s="1258"/>
      <c r="AE162" s="1258"/>
      <c r="AF162" s="1258"/>
    </row>
    <row r="163" spans="1:38" x14ac:dyDescent="0.3">
      <c r="A163" s="762"/>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row>
    <row r="164" spans="1:38" x14ac:dyDescent="0.3">
      <c r="A164" s="763"/>
      <c r="B164" s="540"/>
      <c r="C164" s="540"/>
      <c r="D164" s="540"/>
      <c r="E164" s="540"/>
      <c r="F164" s="540"/>
      <c r="G164" s="540"/>
      <c r="H164" s="540"/>
      <c r="I164" s="764"/>
      <c r="J164" s="761"/>
      <c r="K164" s="761"/>
      <c r="L164" s="761"/>
      <c r="M164" s="761"/>
      <c r="N164" s="761"/>
      <c r="O164" s="764"/>
      <c r="P164" s="761"/>
      <c r="Q164" s="761"/>
      <c r="R164" s="761"/>
      <c r="S164" s="761"/>
      <c r="T164" s="761"/>
      <c r="U164" s="764"/>
      <c r="V164" s="761"/>
      <c r="W164" s="761"/>
      <c r="X164" s="761"/>
      <c r="Y164" s="761"/>
      <c r="Z164" s="761"/>
      <c r="AA164" s="764"/>
      <c r="AB164" s="761"/>
      <c r="AC164" s="761"/>
      <c r="AD164" s="761"/>
      <c r="AE164" s="761"/>
      <c r="AF164" s="761"/>
    </row>
    <row r="165" spans="1:38" x14ac:dyDescent="0.3">
      <c r="A165" s="1290" t="s">
        <v>14</v>
      </c>
      <c r="B165" s="1290"/>
      <c r="C165" s="1290"/>
      <c r="D165" s="1290"/>
      <c r="E165" s="1290"/>
      <c r="F165" s="1290"/>
      <c r="G165" s="1290"/>
      <c r="H165" s="1290"/>
      <c r="I165" s="1290"/>
      <c r="J165" s="1290"/>
      <c r="K165" s="1290"/>
      <c r="L165" s="1290"/>
      <c r="M165" s="1290"/>
      <c r="N165" s="1290"/>
      <c r="O165" s="1290"/>
      <c r="P165" s="1290"/>
      <c r="Q165" s="1290"/>
      <c r="R165" s="1290"/>
      <c r="S165" s="1290"/>
      <c r="T165" s="1290"/>
      <c r="U165" s="1290"/>
      <c r="V165" s="1290"/>
      <c r="W165" s="1290"/>
      <c r="X165" s="1290"/>
      <c r="Y165" s="1290"/>
      <c r="Z165" s="1290"/>
      <c r="AA165" s="1290"/>
      <c r="AB165" s="1290"/>
      <c r="AC165" s="1290"/>
      <c r="AD165" s="1290"/>
      <c r="AE165" s="1290"/>
      <c r="AF165" s="1290"/>
    </row>
    <row r="166" spans="1:38" ht="15" thickBot="1" x14ac:dyDescent="0.35">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8" ht="15" customHeight="1" x14ac:dyDescent="0.3">
      <c r="A167" s="1310" t="s">
        <v>6015</v>
      </c>
      <c r="B167" s="1311"/>
      <c r="C167" s="1311"/>
      <c r="D167" s="1311"/>
      <c r="E167" s="1311"/>
      <c r="F167" s="1311"/>
      <c r="G167" s="1311"/>
      <c r="H167" s="1311"/>
      <c r="I167" s="1312" t="s">
        <v>16</v>
      </c>
      <c r="J167" s="1312"/>
      <c r="K167" s="1312"/>
      <c r="L167" s="1312"/>
      <c r="M167" s="1312"/>
      <c r="N167" s="1312"/>
      <c r="O167" s="1312"/>
      <c r="P167" s="1312"/>
      <c r="Q167" s="1312" t="s">
        <v>17</v>
      </c>
      <c r="R167" s="1312"/>
      <c r="S167" s="1312"/>
      <c r="T167" s="1312"/>
      <c r="U167" s="1312"/>
      <c r="V167" s="1312"/>
      <c r="W167" s="1312"/>
      <c r="X167" s="1312"/>
      <c r="Y167" s="1312" t="s">
        <v>1826</v>
      </c>
      <c r="Z167" s="1312"/>
      <c r="AA167" s="1312"/>
      <c r="AB167" s="1312"/>
      <c r="AC167" s="1312"/>
      <c r="AD167" s="1312"/>
      <c r="AE167" s="1312"/>
      <c r="AF167" s="1313"/>
    </row>
    <row r="168" spans="1:38" x14ac:dyDescent="0.3">
      <c r="A168" s="1314" t="s">
        <v>6016</v>
      </c>
      <c r="B168" s="993"/>
      <c r="C168" s="993"/>
      <c r="D168" s="993"/>
      <c r="E168" s="993"/>
      <c r="F168" s="993"/>
      <c r="G168" s="993"/>
      <c r="H168" s="993"/>
      <c r="I168" s="1293">
        <f>ROUND(Q168*$Q$89/$Q$88,3)</f>
        <v>2.8639999999999999</v>
      </c>
      <c r="J168" s="1293"/>
      <c r="K168" s="1293"/>
      <c r="L168" s="1293"/>
      <c r="M168" s="1293"/>
      <c r="N168" s="1293"/>
      <c r="O168" s="1293"/>
      <c r="P168" s="1293"/>
      <c r="Q168" s="1315">
        <f>ROUND((I110-U110)*$Q$86/1000,2)</f>
        <v>13939.24</v>
      </c>
      <c r="R168" s="1315"/>
      <c r="S168" s="1315"/>
      <c r="T168" s="1315"/>
      <c r="U168" s="1315"/>
      <c r="V168" s="1315"/>
      <c r="W168" s="1315"/>
      <c r="X168" s="1315"/>
      <c r="Y168" s="1297">
        <f>ROUND(Q168*$Q$90,2)</f>
        <v>167270.88</v>
      </c>
      <c r="Z168" s="1297"/>
      <c r="AA168" s="1297"/>
      <c r="AB168" s="1297"/>
      <c r="AC168" s="1297"/>
      <c r="AD168" s="1297"/>
      <c r="AE168" s="1297"/>
      <c r="AF168" s="1298"/>
    </row>
    <row r="169" spans="1:38" x14ac:dyDescent="0.3">
      <c r="A169" s="1292">
        <v>9</v>
      </c>
      <c r="B169" s="993"/>
      <c r="C169" s="993"/>
      <c r="D169" s="993"/>
      <c r="E169" s="993"/>
      <c r="F169" s="993"/>
      <c r="G169" s="993"/>
      <c r="H169" s="993"/>
      <c r="I169" s="1293">
        <f>ROUND(Q169*$Q$89/$Q$88,3)</f>
        <v>2.9649999999999999</v>
      </c>
      <c r="J169" s="1293"/>
      <c r="K169" s="1293"/>
      <c r="L169" s="1293"/>
      <c r="M169" s="1293"/>
      <c r="N169" s="1293"/>
      <c r="O169" s="1293"/>
      <c r="P169" s="1293"/>
      <c r="Q169" s="1294">
        <f>ROUND((I126-U126)*$Q$86/1000,2)</f>
        <v>14428.22</v>
      </c>
      <c r="R169" s="1295"/>
      <c r="S169" s="1295"/>
      <c r="T169" s="1295"/>
      <c r="U169" s="1295"/>
      <c r="V169" s="1295"/>
      <c r="W169" s="1295"/>
      <c r="X169" s="1296"/>
      <c r="Y169" s="1297">
        <f>ROUND(Q169*$Q$90,2)</f>
        <v>173138.64</v>
      </c>
      <c r="Z169" s="1297"/>
      <c r="AA169" s="1297"/>
      <c r="AB169" s="1297"/>
      <c r="AC169" s="1297"/>
      <c r="AD169" s="1297"/>
      <c r="AE169" s="1297"/>
      <c r="AF169" s="1298"/>
    </row>
    <row r="170" spans="1:38" x14ac:dyDescent="0.3">
      <c r="A170" s="1299" t="s">
        <v>6017</v>
      </c>
      <c r="B170" s="1300"/>
      <c r="C170" s="1300"/>
      <c r="D170" s="1300"/>
      <c r="E170" s="1300"/>
      <c r="F170" s="1300"/>
      <c r="G170" s="1300"/>
      <c r="H170" s="1300"/>
      <c r="I170" s="1293">
        <f>ROUND(Q170*$Q$89/$Q$88,3)</f>
        <v>4.524</v>
      </c>
      <c r="J170" s="1293"/>
      <c r="K170" s="1293"/>
      <c r="L170" s="1293"/>
      <c r="M170" s="1293"/>
      <c r="N170" s="1293"/>
      <c r="O170" s="1293"/>
      <c r="P170" s="1293"/>
      <c r="Q170" s="1294">
        <f>ROUND((I142-U142)*$Q$86/1000,2)</f>
        <v>22014.77</v>
      </c>
      <c r="R170" s="1295"/>
      <c r="S170" s="1295"/>
      <c r="T170" s="1295"/>
      <c r="U170" s="1295"/>
      <c r="V170" s="1295"/>
      <c r="W170" s="1295"/>
      <c r="X170" s="1296"/>
      <c r="Y170" s="1297">
        <f>ROUND(Q170*$Q$90,2)</f>
        <v>264177.24</v>
      </c>
      <c r="Z170" s="1297"/>
      <c r="AA170" s="1297"/>
      <c r="AB170" s="1297"/>
      <c r="AC170" s="1297"/>
      <c r="AD170" s="1297"/>
      <c r="AE170" s="1297"/>
      <c r="AF170" s="1298"/>
    </row>
    <row r="171" spans="1:38" ht="15" thickBot="1" x14ac:dyDescent="0.35">
      <c r="A171" s="1301" t="s">
        <v>6018</v>
      </c>
      <c r="B171" s="1302"/>
      <c r="C171" s="1302"/>
      <c r="D171" s="1302"/>
      <c r="E171" s="1302"/>
      <c r="F171" s="1302"/>
      <c r="G171" s="1302"/>
      <c r="H171" s="1302"/>
      <c r="I171" s="1303">
        <f>ROUND(Q171*$Q$89/$Q$88,3)</f>
        <v>2.2850000000000001</v>
      </c>
      <c r="J171" s="1303"/>
      <c r="K171" s="1303"/>
      <c r="L171" s="1303"/>
      <c r="M171" s="1303"/>
      <c r="N171" s="1303"/>
      <c r="O171" s="1303"/>
      <c r="P171" s="1303"/>
      <c r="Q171" s="1304">
        <f>ROUND((I158-U158)*$Q$86/1000,2)</f>
        <v>11121.02</v>
      </c>
      <c r="R171" s="1305"/>
      <c r="S171" s="1305"/>
      <c r="T171" s="1305"/>
      <c r="U171" s="1305"/>
      <c r="V171" s="1305"/>
      <c r="W171" s="1305"/>
      <c r="X171" s="1306"/>
      <c r="Y171" s="1307">
        <f>ROUND(Q171*$Q$90,2)</f>
        <v>133452.24</v>
      </c>
      <c r="Z171" s="1307"/>
      <c r="AA171" s="1307"/>
      <c r="AB171" s="1307"/>
      <c r="AC171" s="1307"/>
      <c r="AD171" s="1307"/>
      <c r="AE171" s="1307"/>
      <c r="AF171" s="1308"/>
    </row>
    <row r="172" spans="1:38"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row r="173" spans="1:38" x14ac:dyDescent="0.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row>
    <row r="174" spans="1:38" x14ac:dyDescent="0.3">
      <c r="A174" s="1290" t="s">
        <v>1514</v>
      </c>
      <c r="B174" s="1290"/>
      <c r="C174" s="1290"/>
      <c r="D174" s="1290"/>
      <c r="E174" s="1290"/>
      <c r="F174" s="1290"/>
      <c r="G174" s="1290"/>
      <c r="H174" s="1290"/>
      <c r="I174" s="1290"/>
      <c r="J174" s="1290"/>
      <c r="K174" s="1290"/>
      <c r="L174" s="1290"/>
      <c r="M174" s="1290"/>
      <c r="N174" s="1290"/>
      <c r="O174" s="1290"/>
      <c r="P174" s="1290"/>
      <c r="Q174" s="1290"/>
      <c r="R174" s="1290"/>
      <c r="S174" s="1290"/>
      <c r="T174" s="1290"/>
      <c r="U174" s="1290"/>
      <c r="V174" s="1290"/>
      <c r="W174" s="1290"/>
      <c r="X174" s="1290"/>
      <c r="Y174" s="1290"/>
      <c r="Z174" s="1290"/>
      <c r="AA174" s="1290"/>
      <c r="AB174" s="1290"/>
      <c r="AC174" s="1290"/>
      <c r="AD174" s="1290"/>
      <c r="AE174" s="1290"/>
      <c r="AF174" s="1290"/>
    </row>
    <row r="175" spans="1:38" x14ac:dyDescent="0.3">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row>
    <row r="176" spans="1:38" s="1" customFormat="1" ht="15" customHeight="1" x14ac:dyDescent="0.3">
      <c r="A176" s="370" t="s">
        <v>803</v>
      </c>
      <c r="B176" s="1291" t="s">
        <v>6019</v>
      </c>
      <c r="C176" s="889"/>
      <c r="D176" s="889"/>
      <c r="E176" s="889"/>
      <c r="F176" s="889"/>
      <c r="G176" s="889"/>
      <c r="H176" s="889"/>
      <c r="I176" s="889"/>
      <c r="J176" s="889"/>
      <c r="K176" s="889"/>
      <c r="L176" s="889"/>
      <c r="M176" s="889"/>
      <c r="N176" s="889"/>
      <c r="O176" s="889"/>
      <c r="P176" s="889"/>
      <c r="Q176" s="889"/>
      <c r="R176" s="889"/>
      <c r="S176" s="889"/>
      <c r="T176" s="889"/>
      <c r="U176" s="889"/>
      <c r="V176" s="889"/>
      <c r="W176" s="889"/>
      <c r="X176" s="889"/>
      <c r="Y176" s="889"/>
      <c r="Z176" s="889"/>
      <c r="AA176" s="889"/>
      <c r="AB176" s="889"/>
      <c r="AC176" s="889"/>
      <c r="AD176" s="889"/>
      <c r="AE176" s="889"/>
      <c r="AF176" s="889"/>
      <c r="AG176" s="121"/>
      <c r="AL176" s="759"/>
    </row>
    <row r="177" spans="1:43" s="1" customFormat="1" ht="33.75" customHeight="1" x14ac:dyDescent="0.3">
      <c r="A177" s="370" t="s">
        <v>803</v>
      </c>
      <c r="B177" s="889" t="s">
        <v>5212</v>
      </c>
      <c r="C177" s="889"/>
      <c r="D177" s="889"/>
      <c r="E177" s="889"/>
      <c r="F177" s="889"/>
      <c r="G177" s="889"/>
      <c r="H177" s="889"/>
      <c r="I177" s="889"/>
      <c r="J177" s="889"/>
      <c r="K177" s="889"/>
      <c r="L177" s="889"/>
      <c r="M177" s="889"/>
      <c r="N177" s="889"/>
      <c r="O177" s="889"/>
      <c r="P177" s="889"/>
      <c r="Q177" s="889"/>
      <c r="R177" s="889"/>
      <c r="S177" s="889"/>
      <c r="T177" s="889"/>
      <c r="U177" s="889"/>
      <c r="V177" s="889"/>
      <c r="W177" s="889"/>
      <c r="X177" s="889"/>
      <c r="Y177" s="889"/>
      <c r="Z177" s="889"/>
      <c r="AA177" s="889"/>
      <c r="AB177" s="889"/>
      <c r="AC177" s="889"/>
      <c r="AD177" s="889"/>
      <c r="AE177" s="889"/>
      <c r="AF177" s="889"/>
      <c r="AG177" s="121"/>
      <c r="AL177" s="544"/>
      <c r="AM177" s="544"/>
      <c r="AN177" s="544"/>
      <c r="AO177" s="544"/>
      <c r="AP177" s="544"/>
      <c r="AQ177" s="544"/>
    </row>
    <row r="178" spans="1:43" s="1" customFormat="1" ht="62.25" customHeight="1" x14ac:dyDescent="0.3">
      <c r="A178" s="370" t="s">
        <v>803</v>
      </c>
      <c r="B178" s="889" t="s">
        <v>6020</v>
      </c>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c r="AG178" s="121"/>
      <c r="AL178" s="544"/>
    </row>
    <row r="179" spans="1:43" s="1" customFormat="1" ht="48.75" customHeight="1" x14ac:dyDescent="0.3">
      <c r="A179" s="370" t="s">
        <v>803</v>
      </c>
      <c r="B179" s="889" t="s">
        <v>6021</v>
      </c>
      <c r="C179" s="889"/>
      <c r="D179" s="889"/>
      <c r="E179" s="889"/>
      <c r="F179" s="889"/>
      <c r="G179" s="889"/>
      <c r="H179" s="889"/>
      <c r="I179" s="889"/>
      <c r="J179" s="889"/>
      <c r="K179" s="889"/>
      <c r="L179" s="889"/>
      <c r="M179" s="889"/>
      <c r="N179" s="889"/>
      <c r="O179" s="889"/>
      <c r="P179" s="889"/>
      <c r="Q179" s="889"/>
      <c r="R179" s="889"/>
      <c r="S179" s="889"/>
      <c r="T179" s="889"/>
      <c r="U179" s="889"/>
      <c r="V179" s="889"/>
      <c r="W179" s="889"/>
      <c r="X179" s="889"/>
      <c r="Y179" s="889"/>
      <c r="Z179" s="889"/>
      <c r="AA179" s="889"/>
      <c r="AB179" s="889"/>
      <c r="AC179" s="889"/>
      <c r="AD179" s="889"/>
      <c r="AE179" s="889"/>
      <c r="AF179" s="889"/>
      <c r="AG179" s="121"/>
      <c r="AL179" s="544"/>
    </row>
    <row r="180" spans="1:43" s="1" customFormat="1" ht="30.75" customHeight="1" x14ac:dyDescent="0.3">
      <c r="A180" s="370" t="s">
        <v>803</v>
      </c>
      <c r="B180" s="889" t="s">
        <v>6022</v>
      </c>
      <c r="C180" s="889"/>
      <c r="D180" s="889"/>
      <c r="E180" s="889"/>
      <c r="F180" s="889"/>
      <c r="G180" s="889"/>
      <c r="H180" s="889"/>
      <c r="I180" s="889"/>
      <c r="J180" s="889"/>
      <c r="K180" s="889"/>
      <c r="L180" s="889"/>
      <c r="M180" s="889"/>
      <c r="N180" s="889"/>
      <c r="O180" s="889"/>
      <c r="P180" s="889"/>
      <c r="Q180" s="889"/>
      <c r="R180" s="889"/>
      <c r="S180" s="889"/>
      <c r="T180" s="889"/>
      <c r="U180" s="889"/>
      <c r="V180" s="889"/>
      <c r="W180" s="889"/>
      <c r="X180" s="889"/>
      <c r="Y180" s="889"/>
      <c r="Z180" s="889"/>
      <c r="AA180" s="889"/>
      <c r="AB180" s="889"/>
      <c r="AC180" s="889"/>
      <c r="AD180" s="889"/>
      <c r="AE180" s="889"/>
      <c r="AF180" s="889"/>
      <c r="AG180" s="121"/>
      <c r="AL180" s="544"/>
    </row>
    <row r="181" spans="1:43" s="1" customFormat="1" ht="30.75" customHeight="1" x14ac:dyDescent="0.3">
      <c r="A181" s="370" t="s">
        <v>803</v>
      </c>
      <c r="B181" s="889" t="s">
        <v>6023</v>
      </c>
      <c r="C181" s="889"/>
      <c r="D181" s="889"/>
      <c r="E181" s="889"/>
      <c r="F181" s="889"/>
      <c r="G181" s="889"/>
      <c r="H181" s="889"/>
      <c r="I181" s="889"/>
      <c r="J181" s="889"/>
      <c r="K181" s="889"/>
      <c r="L181" s="889"/>
      <c r="M181" s="889"/>
      <c r="N181" s="889"/>
      <c r="O181" s="889"/>
      <c r="P181" s="889"/>
      <c r="Q181" s="889"/>
      <c r="R181" s="889"/>
      <c r="S181" s="889"/>
      <c r="T181" s="889"/>
      <c r="U181" s="889"/>
      <c r="V181" s="889"/>
      <c r="W181" s="889"/>
      <c r="X181" s="889"/>
      <c r="Y181" s="889"/>
      <c r="Z181" s="889"/>
      <c r="AA181" s="889"/>
      <c r="AB181" s="889"/>
      <c r="AC181" s="889"/>
      <c r="AD181" s="889"/>
      <c r="AE181" s="889"/>
      <c r="AF181" s="889"/>
      <c r="AG181" s="121"/>
      <c r="AL181" s="544"/>
    </row>
    <row r="182" spans="1:43" s="1" customFormat="1" ht="30.75" customHeight="1" x14ac:dyDescent="0.3">
      <c r="A182" s="370" t="s">
        <v>803</v>
      </c>
      <c r="B182" s="889" t="s">
        <v>6024</v>
      </c>
      <c r="C182" s="889"/>
      <c r="D182" s="889"/>
      <c r="E182" s="889"/>
      <c r="F182" s="889"/>
      <c r="G182" s="889"/>
      <c r="H182" s="889"/>
      <c r="I182" s="889"/>
      <c r="J182" s="889"/>
      <c r="K182" s="889"/>
      <c r="L182" s="889"/>
      <c r="M182" s="889"/>
      <c r="N182" s="889"/>
      <c r="O182" s="889"/>
      <c r="P182" s="889"/>
      <c r="Q182" s="889"/>
      <c r="R182" s="889"/>
      <c r="S182" s="889"/>
      <c r="T182" s="889"/>
      <c r="U182" s="889"/>
      <c r="V182" s="889"/>
      <c r="W182" s="889"/>
      <c r="X182" s="889"/>
      <c r="Y182" s="889"/>
      <c r="Z182" s="889"/>
      <c r="AA182" s="889"/>
      <c r="AB182" s="889"/>
      <c r="AC182" s="889"/>
      <c r="AD182" s="889"/>
      <c r="AE182" s="889"/>
      <c r="AF182" s="889"/>
      <c r="AG182" s="121"/>
      <c r="AL182" s="544"/>
    </row>
    <row r="183" spans="1:43" s="1" customFormat="1" ht="33" customHeight="1" x14ac:dyDescent="0.3">
      <c r="A183" s="370" t="s">
        <v>803</v>
      </c>
      <c r="B183" s="889" t="s">
        <v>6025</v>
      </c>
      <c r="C183" s="889"/>
      <c r="D183" s="889"/>
      <c r="E183" s="889"/>
      <c r="F183" s="889"/>
      <c r="G183" s="889"/>
      <c r="H183" s="889"/>
      <c r="I183" s="889"/>
      <c r="J183" s="889"/>
      <c r="K183" s="889"/>
      <c r="L183" s="889"/>
      <c r="M183" s="889"/>
      <c r="N183" s="889"/>
      <c r="O183" s="889"/>
      <c r="P183" s="889"/>
      <c r="Q183" s="889"/>
      <c r="R183" s="889"/>
      <c r="S183" s="889"/>
      <c r="T183" s="889"/>
      <c r="U183" s="889"/>
      <c r="V183" s="889"/>
      <c r="W183" s="889"/>
      <c r="X183" s="889"/>
      <c r="Y183" s="889"/>
      <c r="Z183" s="889"/>
      <c r="AA183" s="889"/>
      <c r="AB183" s="889"/>
      <c r="AC183" s="889"/>
      <c r="AD183" s="889"/>
      <c r="AE183" s="889"/>
      <c r="AF183" s="889"/>
      <c r="AG183" s="121"/>
      <c r="AL183" s="544"/>
    </row>
    <row r="184" spans="1:43" s="1" customFormat="1" ht="30" customHeight="1" x14ac:dyDescent="0.3">
      <c r="A184" s="370" t="s">
        <v>803</v>
      </c>
      <c r="B184" s="889" t="s">
        <v>6026</v>
      </c>
      <c r="C184" s="889"/>
      <c r="D184" s="889"/>
      <c r="E184" s="889"/>
      <c r="F184" s="889"/>
      <c r="G184" s="889"/>
      <c r="H184" s="889"/>
      <c r="I184" s="889"/>
      <c r="J184" s="889"/>
      <c r="K184" s="889"/>
      <c r="L184" s="889"/>
      <c r="M184" s="889"/>
      <c r="N184" s="889"/>
      <c r="O184" s="889"/>
      <c r="P184" s="889"/>
      <c r="Q184" s="889"/>
      <c r="R184" s="889"/>
      <c r="S184" s="889"/>
      <c r="T184" s="889"/>
      <c r="U184" s="889"/>
      <c r="V184" s="889"/>
      <c r="W184" s="889"/>
      <c r="X184" s="889"/>
      <c r="Y184" s="889"/>
      <c r="Z184" s="889"/>
      <c r="AA184" s="889"/>
      <c r="AB184" s="889"/>
      <c r="AC184" s="889"/>
      <c r="AD184" s="889"/>
      <c r="AE184" s="889"/>
      <c r="AF184" s="889"/>
      <c r="AG184" s="121"/>
      <c r="AL184" s="544"/>
    </row>
    <row r="185" spans="1:43" s="1" customFormat="1" ht="32.25" customHeight="1" x14ac:dyDescent="0.3">
      <c r="A185" s="370" t="s">
        <v>803</v>
      </c>
      <c r="B185" s="889" t="s">
        <v>5214</v>
      </c>
      <c r="C185" s="889"/>
      <c r="D185" s="889"/>
      <c r="E185" s="889"/>
      <c r="F185" s="889"/>
      <c r="G185" s="889"/>
      <c r="H185" s="889"/>
      <c r="I185" s="889"/>
      <c r="J185" s="889"/>
      <c r="K185" s="889"/>
      <c r="L185" s="889"/>
      <c r="M185" s="889"/>
      <c r="N185" s="889"/>
      <c r="O185" s="889"/>
      <c r="P185" s="889"/>
      <c r="Q185" s="889"/>
      <c r="R185" s="889"/>
      <c r="S185" s="889"/>
      <c r="T185" s="889"/>
      <c r="U185" s="889"/>
      <c r="V185" s="889"/>
      <c r="W185" s="889"/>
      <c r="X185" s="889"/>
      <c r="Y185" s="889"/>
      <c r="Z185" s="889"/>
      <c r="AA185" s="889"/>
      <c r="AB185" s="889"/>
      <c r="AC185" s="889"/>
      <c r="AD185" s="889"/>
      <c r="AE185" s="889"/>
      <c r="AF185" s="889"/>
      <c r="AG185" s="121"/>
      <c r="AL185" s="544"/>
    </row>
    <row r="186" spans="1:43" s="1" customFormat="1" ht="30" customHeight="1" x14ac:dyDescent="0.3">
      <c r="A186" s="370" t="s">
        <v>803</v>
      </c>
      <c r="B186" s="889" t="s">
        <v>6027</v>
      </c>
      <c r="C186" s="889"/>
      <c r="D186" s="889"/>
      <c r="E186" s="889"/>
      <c r="F186" s="889"/>
      <c r="G186" s="889"/>
      <c r="H186" s="889"/>
      <c r="I186" s="889"/>
      <c r="J186" s="889"/>
      <c r="K186" s="889"/>
      <c r="L186" s="889"/>
      <c r="M186" s="889"/>
      <c r="N186" s="889"/>
      <c r="O186" s="889"/>
      <c r="P186" s="889"/>
      <c r="Q186" s="889"/>
      <c r="R186" s="889"/>
      <c r="S186" s="889"/>
      <c r="T186" s="889"/>
      <c r="U186" s="889"/>
      <c r="V186" s="889"/>
      <c r="W186" s="889"/>
      <c r="X186" s="889"/>
      <c r="Y186" s="889"/>
      <c r="Z186" s="889"/>
      <c r="AA186" s="889"/>
      <c r="AB186" s="889"/>
      <c r="AC186" s="889"/>
      <c r="AD186" s="889"/>
      <c r="AE186" s="889"/>
      <c r="AF186" s="889"/>
      <c r="AG186" s="121"/>
      <c r="AL186" s="544"/>
    </row>
  </sheetData>
  <sheetProtection algorithmName="SHA-512" hashValue="LuBTK/RIZKC26e8NIi060P1+m/vtDqxKl/AKIvxP9h+EW/rfXs7CM1IrAW5EUlI1M4dU9OO3XT9liwz0tqUyXA==" saltValue="dWqc1AGQ2j2qUbRTnu/uSg==" spinCount="100000" sheet="1" objects="1" scenarios="1"/>
  <mergeCells count="435">
    <mergeCell ref="A1:AF1"/>
    <mergeCell ref="A3:AF3"/>
    <mergeCell ref="B5:AF5"/>
    <mergeCell ref="A7:AF7"/>
    <mergeCell ref="B10:AF10"/>
    <mergeCell ref="B13:AF13"/>
    <mergeCell ref="A68:D68"/>
    <mergeCell ref="Q68:T68"/>
    <mergeCell ref="E68:P68"/>
    <mergeCell ref="U68:V68"/>
    <mergeCell ref="W68:AF68"/>
    <mergeCell ref="A63:D63"/>
    <mergeCell ref="Q63:T63"/>
    <mergeCell ref="A64:D64"/>
    <mergeCell ref="A62:D62"/>
    <mergeCell ref="Q62:T62"/>
    <mergeCell ref="Q64:T64"/>
    <mergeCell ref="E64:P64"/>
    <mergeCell ref="U64:V64"/>
    <mergeCell ref="W64:AF64"/>
    <mergeCell ref="B16:AF16"/>
    <mergeCell ref="B19:AF19"/>
    <mergeCell ref="B22:AF22"/>
    <mergeCell ref="A25:AF25"/>
    <mergeCell ref="A77:D77"/>
    <mergeCell ref="E77:P77"/>
    <mergeCell ref="Q77:T77"/>
    <mergeCell ref="U77:V77"/>
    <mergeCell ref="W77:AF77"/>
    <mergeCell ref="A78:D78"/>
    <mergeCell ref="E78:P78"/>
    <mergeCell ref="Q78:T78"/>
    <mergeCell ref="U78:V78"/>
    <mergeCell ref="W78:AF78"/>
    <mergeCell ref="A82:D82"/>
    <mergeCell ref="E82:P82"/>
    <mergeCell ref="Q82:T82"/>
    <mergeCell ref="U82:V82"/>
    <mergeCell ref="W82:AF82"/>
    <mergeCell ref="A83:D83"/>
    <mergeCell ref="E83:P83"/>
    <mergeCell ref="Q83:T83"/>
    <mergeCell ref="U83:V83"/>
    <mergeCell ref="W83:AF83"/>
    <mergeCell ref="A87:D87"/>
    <mergeCell ref="E87:P87"/>
    <mergeCell ref="Q87:T87"/>
    <mergeCell ref="U87:V87"/>
    <mergeCell ref="W87:AF87"/>
    <mergeCell ref="A88:D88"/>
    <mergeCell ref="E88:P88"/>
    <mergeCell ref="Q88:T88"/>
    <mergeCell ref="U88:V88"/>
    <mergeCell ref="W88:AF88"/>
    <mergeCell ref="A61:AF61"/>
    <mergeCell ref="E62:P62"/>
    <mergeCell ref="U62:V62"/>
    <mergeCell ref="W62:AF62"/>
    <mergeCell ref="E63:P63"/>
    <mergeCell ref="U63:V63"/>
    <mergeCell ref="W63:AF63"/>
    <mergeCell ref="A65:D65"/>
    <mergeCell ref="E65:P65"/>
    <mergeCell ref="Q65:T65"/>
    <mergeCell ref="U65:V65"/>
    <mergeCell ref="W65:AF65"/>
    <mergeCell ref="E66:P66"/>
    <mergeCell ref="U66:V66"/>
    <mergeCell ref="W66:AF66"/>
    <mergeCell ref="E67:P67"/>
    <mergeCell ref="U67:V67"/>
    <mergeCell ref="W67:AF67"/>
    <mergeCell ref="A66:D66"/>
    <mergeCell ref="Q66:T66"/>
    <mergeCell ref="A67:D67"/>
    <mergeCell ref="Q67:T67"/>
    <mergeCell ref="A69:D69"/>
    <mergeCell ref="E69:P69"/>
    <mergeCell ref="Q69:T69"/>
    <mergeCell ref="U69:V69"/>
    <mergeCell ref="W69:AF69"/>
    <mergeCell ref="A70:D70"/>
    <mergeCell ref="E70:P70"/>
    <mergeCell ref="Q70:T70"/>
    <mergeCell ref="U70:V70"/>
    <mergeCell ref="W70:AF70"/>
    <mergeCell ref="E71:P71"/>
    <mergeCell ref="Q71:T71"/>
    <mergeCell ref="U71:V71"/>
    <mergeCell ref="W71:AF71"/>
    <mergeCell ref="A72:D72"/>
    <mergeCell ref="E72:P72"/>
    <mergeCell ref="Q72:T72"/>
    <mergeCell ref="U72:V72"/>
    <mergeCell ref="W72:AF72"/>
    <mergeCell ref="A71:D71"/>
    <mergeCell ref="A73:D73"/>
    <mergeCell ref="E73:P73"/>
    <mergeCell ref="Q73:T73"/>
    <mergeCell ref="U73:V73"/>
    <mergeCell ref="W73:AF73"/>
    <mergeCell ref="A74:D74"/>
    <mergeCell ref="E74:P74"/>
    <mergeCell ref="Q74:T74"/>
    <mergeCell ref="U74:V74"/>
    <mergeCell ref="W74:AF74"/>
    <mergeCell ref="A75:D75"/>
    <mergeCell ref="E75:P75"/>
    <mergeCell ref="Q75:T75"/>
    <mergeCell ref="U75:V75"/>
    <mergeCell ref="W75:AF75"/>
    <mergeCell ref="A76:D76"/>
    <mergeCell ref="E76:P76"/>
    <mergeCell ref="Q76:T76"/>
    <mergeCell ref="U76:V76"/>
    <mergeCell ref="W76:AF76"/>
    <mergeCell ref="Q79:T79"/>
    <mergeCell ref="U79:V79"/>
    <mergeCell ref="W79:AF79"/>
    <mergeCell ref="A80:D80"/>
    <mergeCell ref="E80:P80"/>
    <mergeCell ref="Q80:T80"/>
    <mergeCell ref="U80:V80"/>
    <mergeCell ref="W80:AF80"/>
    <mergeCell ref="A81:D81"/>
    <mergeCell ref="E81:P81"/>
    <mergeCell ref="Q81:T81"/>
    <mergeCell ref="U81:V81"/>
    <mergeCell ref="W81:AF81"/>
    <mergeCell ref="A79:D79"/>
    <mergeCell ref="E79:P79"/>
    <mergeCell ref="Q84:T84"/>
    <mergeCell ref="U84:V84"/>
    <mergeCell ref="W84:AF84"/>
    <mergeCell ref="A85:D85"/>
    <mergeCell ref="E85:P85"/>
    <mergeCell ref="Q85:T85"/>
    <mergeCell ref="U85:V85"/>
    <mergeCell ref="W85:AF85"/>
    <mergeCell ref="A86:D86"/>
    <mergeCell ref="E86:P86"/>
    <mergeCell ref="Q86:T86"/>
    <mergeCell ref="U86:V86"/>
    <mergeCell ref="W86:AF86"/>
    <mergeCell ref="A84:D84"/>
    <mergeCell ref="E84:P84"/>
    <mergeCell ref="W89:AF89"/>
    <mergeCell ref="A90:D90"/>
    <mergeCell ref="E90:P90"/>
    <mergeCell ref="Q90:T90"/>
    <mergeCell ref="U90:V90"/>
    <mergeCell ref="W90:AF90"/>
    <mergeCell ref="A92:AF92"/>
    <mergeCell ref="A94:AF94"/>
    <mergeCell ref="A95:AF95"/>
    <mergeCell ref="A89:D89"/>
    <mergeCell ref="E89:P89"/>
    <mergeCell ref="Q89:T89"/>
    <mergeCell ref="U89:V89"/>
    <mergeCell ref="A96:H97"/>
    <mergeCell ref="I96:T96"/>
    <mergeCell ref="U96:AF96"/>
    <mergeCell ref="I97:N97"/>
    <mergeCell ref="O97:T97"/>
    <mergeCell ref="U97:Z97"/>
    <mergeCell ref="AA97:AF97"/>
    <mergeCell ref="A98:H98"/>
    <mergeCell ref="I98:N98"/>
    <mergeCell ref="O98:T98"/>
    <mergeCell ref="U98:Z98"/>
    <mergeCell ref="AA98:AF98"/>
    <mergeCell ref="A99:H99"/>
    <mergeCell ref="I99:N99"/>
    <mergeCell ref="O99:T99"/>
    <mergeCell ref="U99:Z99"/>
    <mergeCell ref="AA99:AF99"/>
    <mergeCell ref="A100:H100"/>
    <mergeCell ref="I100:N100"/>
    <mergeCell ref="O100:T100"/>
    <mergeCell ref="U100:Z100"/>
    <mergeCell ref="AA100:AF100"/>
    <mergeCell ref="A101:H101"/>
    <mergeCell ref="I101:AF101"/>
    <mergeCell ref="A102:H102"/>
    <mergeCell ref="I102:AF102"/>
    <mergeCell ref="A103:H103"/>
    <mergeCell ref="I103:T103"/>
    <mergeCell ref="U103:AF103"/>
    <mergeCell ref="A104:H104"/>
    <mergeCell ref="I104:N104"/>
    <mergeCell ref="O104:T104"/>
    <mergeCell ref="U104:Z104"/>
    <mergeCell ref="AA104:AF104"/>
    <mergeCell ref="A105:H105"/>
    <mergeCell ref="I105:N105"/>
    <mergeCell ref="O105:T105"/>
    <mergeCell ref="U105:Z105"/>
    <mergeCell ref="AA105:AF105"/>
    <mergeCell ref="A106:H106"/>
    <mergeCell ref="I106:AF106"/>
    <mergeCell ref="A107:H107"/>
    <mergeCell ref="I107:N107"/>
    <mergeCell ref="O107:T107"/>
    <mergeCell ref="U107:Z107"/>
    <mergeCell ref="AA107:AF107"/>
    <mergeCell ref="A108:H108"/>
    <mergeCell ref="I108:N108"/>
    <mergeCell ref="O108:T108"/>
    <mergeCell ref="U108:Z108"/>
    <mergeCell ref="AA108:AF108"/>
    <mergeCell ref="A109:H109"/>
    <mergeCell ref="I109:N109"/>
    <mergeCell ref="O109:T109"/>
    <mergeCell ref="U109:Z109"/>
    <mergeCell ref="AA109:AF109"/>
    <mergeCell ref="A110:H110"/>
    <mergeCell ref="I110:T110"/>
    <mergeCell ref="U110:AF110"/>
    <mergeCell ref="A111:AF111"/>
    <mergeCell ref="A112:H113"/>
    <mergeCell ref="I112:T112"/>
    <mergeCell ref="U112:AF112"/>
    <mergeCell ref="I113:N113"/>
    <mergeCell ref="O113:T113"/>
    <mergeCell ref="U113:Z113"/>
    <mergeCell ref="AA113:AF113"/>
    <mergeCell ref="A114:H114"/>
    <mergeCell ref="I114:N114"/>
    <mergeCell ref="O114:T114"/>
    <mergeCell ref="U114:Z114"/>
    <mergeCell ref="AA114:AF114"/>
    <mergeCell ref="A115:H115"/>
    <mergeCell ref="I115:N115"/>
    <mergeCell ref="O115:T115"/>
    <mergeCell ref="U115:Z115"/>
    <mergeCell ref="AA115:AF115"/>
    <mergeCell ref="A116:H116"/>
    <mergeCell ref="I116:N116"/>
    <mergeCell ref="O116:T116"/>
    <mergeCell ref="U116:Z116"/>
    <mergeCell ref="AA116:AF116"/>
    <mergeCell ref="A117:H117"/>
    <mergeCell ref="I117:AF117"/>
    <mergeCell ref="A118:H118"/>
    <mergeCell ref="I118:AF118"/>
    <mergeCell ref="A119:H119"/>
    <mergeCell ref="I119:T119"/>
    <mergeCell ref="U119:AF119"/>
    <mergeCell ref="A120:H120"/>
    <mergeCell ref="I120:N120"/>
    <mergeCell ref="O120:T120"/>
    <mergeCell ref="U120:Z120"/>
    <mergeCell ref="AA120:AF120"/>
    <mergeCell ref="A121:H121"/>
    <mergeCell ref="I121:N121"/>
    <mergeCell ref="O121:T121"/>
    <mergeCell ref="U121:Z121"/>
    <mergeCell ref="AA121:AF121"/>
    <mergeCell ref="A122:H122"/>
    <mergeCell ref="I122:AF122"/>
    <mergeCell ref="A123:H123"/>
    <mergeCell ref="I123:N123"/>
    <mergeCell ref="O123:T123"/>
    <mergeCell ref="U123:Z123"/>
    <mergeCell ref="AA123:AF123"/>
    <mergeCell ref="A124:H124"/>
    <mergeCell ref="I124:N124"/>
    <mergeCell ref="O124:T124"/>
    <mergeCell ref="U124:Z124"/>
    <mergeCell ref="AA124:AF124"/>
    <mergeCell ref="A125:H125"/>
    <mergeCell ref="I125:N125"/>
    <mergeCell ref="O125:T125"/>
    <mergeCell ref="U125:Z125"/>
    <mergeCell ref="AA125:AF125"/>
    <mergeCell ref="A126:H126"/>
    <mergeCell ref="I126:T126"/>
    <mergeCell ref="U126:AF126"/>
    <mergeCell ref="A127:AF127"/>
    <mergeCell ref="A128:H129"/>
    <mergeCell ref="I128:T128"/>
    <mergeCell ref="U128:AF128"/>
    <mergeCell ref="I129:N129"/>
    <mergeCell ref="O129:T129"/>
    <mergeCell ref="U129:Z129"/>
    <mergeCell ref="AA129:AF129"/>
    <mergeCell ref="A130:H130"/>
    <mergeCell ref="I130:N130"/>
    <mergeCell ref="O130:T130"/>
    <mergeCell ref="U130:Z130"/>
    <mergeCell ref="AA130:AF130"/>
    <mergeCell ref="A131:H131"/>
    <mergeCell ref="I131:N131"/>
    <mergeCell ref="O131:T131"/>
    <mergeCell ref="U131:Z131"/>
    <mergeCell ref="AA131:AF131"/>
    <mergeCell ref="A132:H132"/>
    <mergeCell ref="I132:N132"/>
    <mergeCell ref="O132:T132"/>
    <mergeCell ref="U132:Z132"/>
    <mergeCell ref="AA132:AF132"/>
    <mergeCell ref="A133:H133"/>
    <mergeCell ref="I133:AF133"/>
    <mergeCell ref="A134:H134"/>
    <mergeCell ref="I134:AF134"/>
    <mergeCell ref="A135:H135"/>
    <mergeCell ref="I135:T135"/>
    <mergeCell ref="U135:AF135"/>
    <mergeCell ref="A136:H136"/>
    <mergeCell ref="I136:N136"/>
    <mergeCell ref="O136:T136"/>
    <mergeCell ref="U136:Z136"/>
    <mergeCell ref="AA136:AF136"/>
    <mergeCell ref="A137:H137"/>
    <mergeCell ref="I137:N137"/>
    <mergeCell ref="O137:T137"/>
    <mergeCell ref="U137:Z137"/>
    <mergeCell ref="AA137:AF137"/>
    <mergeCell ref="A138:H138"/>
    <mergeCell ref="I138:AF138"/>
    <mergeCell ref="A139:H139"/>
    <mergeCell ref="I139:N139"/>
    <mergeCell ref="O139:T139"/>
    <mergeCell ref="U139:Z139"/>
    <mergeCell ref="AA139:AF139"/>
    <mergeCell ref="A140:H140"/>
    <mergeCell ref="I140:N140"/>
    <mergeCell ref="O140:T140"/>
    <mergeCell ref="U140:Z140"/>
    <mergeCell ref="AA140:AF140"/>
    <mergeCell ref="A141:H141"/>
    <mergeCell ref="I141:N141"/>
    <mergeCell ref="O141:T141"/>
    <mergeCell ref="U141:Z141"/>
    <mergeCell ref="AA141:AF141"/>
    <mergeCell ref="A142:H142"/>
    <mergeCell ref="I142:T142"/>
    <mergeCell ref="U142:AF142"/>
    <mergeCell ref="A143:AF143"/>
    <mergeCell ref="A144:H145"/>
    <mergeCell ref="I144:T144"/>
    <mergeCell ref="U144:AF144"/>
    <mergeCell ref="I145:N145"/>
    <mergeCell ref="O145:T145"/>
    <mergeCell ref="U145:Z145"/>
    <mergeCell ref="AA145:AF145"/>
    <mergeCell ref="A146:H146"/>
    <mergeCell ref="I146:N146"/>
    <mergeCell ref="O146:T146"/>
    <mergeCell ref="U146:Z146"/>
    <mergeCell ref="AA146:AF146"/>
    <mergeCell ref="A147:H147"/>
    <mergeCell ref="I147:N147"/>
    <mergeCell ref="O147:T147"/>
    <mergeCell ref="U147:Z147"/>
    <mergeCell ref="AA147:AF147"/>
    <mergeCell ref="A148:H148"/>
    <mergeCell ref="I148:N148"/>
    <mergeCell ref="O148:T148"/>
    <mergeCell ref="U148:Z148"/>
    <mergeCell ref="AA148:AF148"/>
    <mergeCell ref="A149:H149"/>
    <mergeCell ref="I149:AF149"/>
    <mergeCell ref="A150:H150"/>
    <mergeCell ref="I150:AF150"/>
    <mergeCell ref="A151:H151"/>
    <mergeCell ref="I151:T151"/>
    <mergeCell ref="U151:AF151"/>
    <mergeCell ref="A152:H152"/>
    <mergeCell ref="I152:N152"/>
    <mergeCell ref="O152:T152"/>
    <mergeCell ref="U152:Z152"/>
    <mergeCell ref="AA152:AF152"/>
    <mergeCell ref="A153:H153"/>
    <mergeCell ref="I153:N153"/>
    <mergeCell ref="O153:T153"/>
    <mergeCell ref="U153:Z153"/>
    <mergeCell ref="AA153:AF153"/>
    <mergeCell ref="A154:H154"/>
    <mergeCell ref="I154:AF154"/>
    <mergeCell ref="A155:H155"/>
    <mergeCell ref="I155:N155"/>
    <mergeCell ref="O155:T155"/>
    <mergeCell ref="U155:Z155"/>
    <mergeCell ref="AA155:AF155"/>
    <mergeCell ref="A156:H156"/>
    <mergeCell ref="I156:N156"/>
    <mergeCell ref="O156:T156"/>
    <mergeCell ref="U156:Z156"/>
    <mergeCell ref="AA156:AF156"/>
    <mergeCell ref="A157:H157"/>
    <mergeCell ref="I157:N157"/>
    <mergeCell ref="O157:T157"/>
    <mergeCell ref="U157:Z157"/>
    <mergeCell ref="AA157:AF157"/>
    <mergeCell ref="A158:H158"/>
    <mergeCell ref="I158:T158"/>
    <mergeCell ref="U158:AF158"/>
    <mergeCell ref="A159:AF159"/>
    <mergeCell ref="A160:AF160"/>
    <mergeCell ref="A161:AF161"/>
    <mergeCell ref="A162:AF162"/>
    <mergeCell ref="A165:AF165"/>
    <mergeCell ref="A167:H167"/>
    <mergeCell ref="I167:P167"/>
    <mergeCell ref="Q167:X167"/>
    <mergeCell ref="Y167:AF167"/>
    <mergeCell ref="A168:H168"/>
    <mergeCell ref="I168:P168"/>
    <mergeCell ref="Q168:X168"/>
    <mergeCell ref="Y168:AF168"/>
    <mergeCell ref="A169:H169"/>
    <mergeCell ref="I169:P169"/>
    <mergeCell ref="Q169:X169"/>
    <mergeCell ref="Y169:AF169"/>
    <mergeCell ref="A170:H170"/>
    <mergeCell ref="I170:P170"/>
    <mergeCell ref="Q170:X170"/>
    <mergeCell ref="Y170:AF170"/>
    <mergeCell ref="A171:H171"/>
    <mergeCell ref="I171:P171"/>
    <mergeCell ref="Q171:X171"/>
    <mergeCell ref="Y171:AF171"/>
    <mergeCell ref="B184:AF184"/>
    <mergeCell ref="B185:AF185"/>
    <mergeCell ref="B186:AF186"/>
    <mergeCell ref="A174:AF174"/>
    <mergeCell ref="B176:AF176"/>
    <mergeCell ref="B177:AF177"/>
    <mergeCell ref="B178:AF178"/>
    <mergeCell ref="B179:AF179"/>
    <mergeCell ref="B180:AF180"/>
    <mergeCell ref="B181:AF181"/>
    <mergeCell ref="B182:AF182"/>
    <mergeCell ref="B183:AF183"/>
  </mergeCells>
  <hyperlinks>
    <hyperlink ref="A2" location="TOC!A1" display="Return to TOC" xr:uid="{3195BFC7-C574-48A2-BDE5-964F9531544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5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7" tint="0.79998168889431442"/>
    <pageSetUpPr autoPageBreaks="0"/>
  </sheetPr>
  <dimension ref="A1:BP114"/>
  <sheetViews>
    <sheetView zoomScaleNormal="100" workbookViewId="0">
      <selection activeCell="A2" sqref="A2"/>
    </sheetView>
  </sheetViews>
  <sheetFormatPr defaultColWidth="2.6640625" defaultRowHeight="14.4" customHeight="1" x14ac:dyDescent="0.3"/>
  <cols>
    <col min="1" max="16384" width="2.6640625" style="1"/>
  </cols>
  <sheetData>
    <row r="1" spans="1:55" ht="18" x14ac:dyDescent="0.3">
      <c r="A1" s="1131" t="s">
        <v>869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L1" s="765"/>
    </row>
    <row r="2" spans="1:55"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766"/>
    </row>
    <row r="3" spans="1:55"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c r="AL3" s="709"/>
    </row>
    <row r="4" spans="1:55"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L4" s="709"/>
    </row>
    <row r="5" spans="1:55" x14ac:dyDescent="0.3">
      <c r="A5" s="121"/>
      <c r="B5" s="1258" t="s">
        <v>5962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L5" s="767"/>
    </row>
    <row r="6" spans="1:55" ht="14.4" customHeight="1"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55" x14ac:dyDescent="0.3">
      <c r="A7" s="1053" t="s">
        <v>2</v>
      </c>
      <c r="B7" s="1054"/>
      <c r="C7" s="1054"/>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5"/>
    </row>
    <row r="8" spans="1:55"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55"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55" s="4" customFormat="1" ht="137.25" customHeight="1" x14ac:dyDescent="0.3">
      <c r="A10" s="122"/>
      <c r="B10" s="889" t="s">
        <v>6074</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J10" s="757"/>
      <c r="AK10" s="757"/>
      <c r="AL10" s="767"/>
      <c r="AM10" s="757"/>
      <c r="AN10" s="757"/>
      <c r="AO10" s="757"/>
      <c r="AP10" s="757"/>
      <c r="AQ10" s="757"/>
      <c r="AR10" s="757"/>
      <c r="AS10" s="757"/>
      <c r="AT10" s="757"/>
      <c r="AU10" s="757"/>
      <c r="AV10" s="757"/>
      <c r="AW10" s="757"/>
      <c r="AX10" s="757"/>
      <c r="AY10" s="757"/>
      <c r="AZ10" s="757"/>
      <c r="BA10" s="757"/>
      <c r="BB10" s="757"/>
      <c r="BC10" s="757"/>
    </row>
    <row r="11" spans="1:55" ht="14.4" customHeight="1"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55" x14ac:dyDescent="0.3">
      <c r="A12" s="121"/>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55" ht="108" customHeight="1" x14ac:dyDescent="0.3">
      <c r="A13" s="121"/>
      <c r="B13" s="884" t="s">
        <v>6075</v>
      </c>
      <c r="C13" s="884"/>
      <c r="D13" s="884"/>
      <c r="E13" s="884"/>
      <c r="F13" s="884"/>
      <c r="G13" s="884"/>
      <c r="H13" s="884"/>
      <c r="I13" s="884"/>
      <c r="J13" s="884"/>
      <c r="K13" s="884"/>
      <c r="L13" s="884"/>
      <c r="M13" s="884"/>
      <c r="N13" s="884"/>
      <c r="O13" s="884"/>
      <c r="P13" s="884"/>
      <c r="Q13" s="884"/>
      <c r="R13" s="884"/>
      <c r="S13" s="884"/>
      <c r="T13" s="884"/>
      <c r="U13" s="884"/>
      <c r="V13" s="884"/>
      <c r="W13" s="884"/>
      <c r="X13" s="884"/>
      <c r="Y13" s="884"/>
      <c r="Z13" s="884"/>
      <c r="AA13" s="884"/>
      <c r="AB13" s="884"/>
      <c r="AC13" s="884"/>
      <c r="AD13" s="884"/>
      <c r="AE13" s="884"/>
      <c r="AF13" s="884"/>
      <c r="AJ13" s="544"/>
      <c r="AL13" s="767"/>
    </row>
    <row r="14" spans="1:55" ht="14.4" customHeight="1"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55" x14ac:dyDescent="0.3">
      <c r="A15" s="121"/>
      <c r="B15" s="267" t="s">
        <v>5</v>
      </c>
      <c r="C15" s="267"/>
      <c r="D15" s="267"/>
      <c r="E15" s="267"/>
      <c r="F15" s="267"/>
      <c r="G15" s="267"/>
      <c r="H15" s="267"/>
      <c r="I15" s="267"/>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55" x14ac:dyDescent="0.3">
      <c r="A16" s="121"/>
      <c r="B16" s="1372" t="s">
        <v>630</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8" ht="14.4" customHeight="1"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8" x14ac:dyDescent="0.3">
      <c r="A18" s="121"/>
      <c r="B18" s="267" t="s">
        <v>6</v>
      </c>
      <c r="C18" s="267"/>
      <c r="D18" s="267"/>
      <c r="E18" s="267"/>
      <c r="F18" s="267"/>
      <c r="G18" s="267"/>
      <c r="H18" s="267"/>
      <c r="I18" s="267"/>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8" ht="34.5" customHeight="1" x14ac:dyDescent="0.3">
      <c r="A19" s="121"/>
      <c r="B19" s="889" t="s">
        <v>6076</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8" ht="14.4" customHeight="1" x14ac:dyDescent="0.3">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8" x14ac:dyDescent="0.3">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J21" s="544"/>
    </row>
    <row r="22" spans="1:38" ht="34.5" customHeight="1" x14ac:dyDescent="0.3">
      <c r="A22" s="121"/>
      <c r="B22" s="1373" t="s">
        <v>6077</v>
      </c>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row>
    <row r="23" spans="1:38" x14ac:dyDescent="0.3">
      <c r="A23" s="121"/>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row>
    <row r="24" spans="1:38" ht="14.4" customHeight="1" x14ac:dyDescent="0.3">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8" x14ac:dyDescent="0.3">
      <c r="A25" s="1053" t="s">
        <v>7</v>
      </c>
      <c r="B25" s="1054"/>
      <c r="C25" s="1054"/>
      <c r="D25" s="1054"/>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4"/>
      <c r="AC25" s="1054"/>
      <c r="AD25" s="1054"/>
      <c r="AE25" s="1054"/>
      <c r="AF25" s="1055"/>
      <c r="AJ25" s="544"/>
      <c r="AL25" s="767"/>
    </row>
    <row r="26" spans="1:38" ht="14.4"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8" ht="14.4" customHeight="1" x14ac:dyDescent="0.3">
      <c r="A27" s="741"/>
      <c r="B27" s="372" t="s">
        <v>2027</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L27" s="709"/>
    </row>
    <row r="28" spans="1:38" x14ac:dyDescent="0.3">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L28" s="709"/>
    </row>
    <row r="29" spans="1:38" x14ac:dyDescent="0.3">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1463</v>
      </c>
      <c r="AL29" s="709"/>
    </row>
    <row r="30" spans="1:38" x14ac:dyDescent="0.3">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546"/>
      <c r="AL30" s="709"/>
    </row>
    <row r="31" spans="1:38" x14ac:dyDescent="0.3">
      <c r="A31" s="741"/>
      <c r="B31" s="741"/>
      <c r="C31" s="760" t="s">
        <v>4311</v>
      </c>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546"/>
      <c r="AL31" s="709"/>
    </row>
    <row r="32" spans="1:38" x14ac:dyDescent="0.3">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L32" s="709"/>
    </row>
    <row r="33" spans="1:38" x14ac:dyDescent="0.3">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272" t="s">
        <v>1464</v>
      </c>
      <c r="AL33" s="709"/>
    </row>
    <row r="34" spans="1:38" x14ac:dyDescent="0.3">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L34" s="709"/>
    </row>
    <row r="35" spans="1:38" ht="14.4" customHeight="1" x14ac:dyDescent="0.3">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t="s">
        <v>1465</v>
      </c>
    </row>
    <row r="36" spans="1:38" ht="14.4" customHeigh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272"/>
    </row>
    <row r="37" spans="1:38" ht="14.4" customHeight="1"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1517</v>
      </c>
    </row>
    <row r="38" spans="1:38" ht="14.4" customHeight="1"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row>
    <row r="39" spans="1:38" ht="14.4" customHeight="1"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t="s">
        <v>1556</v>
      </c>
    </row>
    <row r="40" spans="1:38" ht="14.4" customHeight="1" x14ac:dyDescent="0.3">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272"/>
    </row>
    <row r="41" spans="1:38" ht="14.4" customHeight="1" x14ac:dyDescent="0.3">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1558</v>
      </c>
    </row>
    <row r="42" spans="1:38" ht="14.4" customHeight="1"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8" x14ac:dyDescent="0.3">
      <c r="A43" s="741"/>
      <c r="B43" s="372" t="s">
        <v>2137</v>
      </c>
      <c r="C43" s="741"/>
      <c r="D43" s="741"/>
      <c r="E43" s="741"/>
      <c r="F43" s="741"/>
      <c r="G43" s="741"/>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L43" s="709"/>
    </row>
    <row r="44" spans="1:38" x14ac:dyDescent="0.3">
      <c r="A44" s="741"/>
      <c r="B44" s="741"/>
      <c r="C44" s="741"/>
      <c r="D44" s="741"/>
      <c r="E44" s="741"/>
      <c r="F44" s="741"/>
      <c r="G44" s="741"/>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L44" s="709"/>
    </row>
    <row r="45" spans="1:38" x14ac:dyDescent="0.3">
      <c r="A45" s="741"/>
      <c r="B45" s="741"/>
      <c r="C45" s="741"/>
      <c r="D45" s="741"/>
      <c r="E45" s="741"/>
      <c r="F45" s="741"/>
      <c r="G45" s="741"/>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t="s">
        <v>1607</v>
      </c>
      <c r="AL45" s="709"/>
    </row>
    <row r="46" spans="1:38" x14ac:dyDescent="0.3">
      <c r="A46" s="741"/>
      <c r="B46" s="741"/>
      <c r="C46" s="741"/>
      <c r="D46" s="741"/>
      <c r="E46" s="741"/>
      <c r="F46" s="741"/>
      <c r="G46" s="741"/>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L46" s="709"/>
    </row>
    <row r="47" spans="1:38" x14ac:dyDescent="0.3">
      <c r="A47" s="741"/>
      <c r="B47" s="372" t="s">
        <v>1811</v>
      </c>
      <c r="C47" s="741"/>
      <c r="D47" s="741"/>
      <c r="E47" s="741"/>
      <c r="F47" s="741"/>
      <c r="G47" s="741"/>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L47" s="709"/>
    </row>
    <row r="48" spans="1:38" x14ac:dyDescent="0.3">
      <c r="A48" s="741"/>
      <c r="B48" s="741"/>
      <c r="C48" s="741"/>
      <c r="D48" s="741"/>
      <c r="E48" s="741"/>
      <c r="F48" s="741"/>
      <c r="G48" s="741"/>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L48" s="709"/>
    </row>
    <row r="49" spans="1:38" x14ac:dyDescent="0.3">
      <c r="A49" s="741"/>
      <c r="B49" s="741"/>
      <c r="C49" s="741"/>
      <c r="D49" s="741"/>
      <c r="E49" s="741"/>
      <c r="F49" s="741"/>
      <c r="G49" s="741"/>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272" t="s">
        <v>1608</v>
      </c>
      <c r="AL49" s="709"/>
    </row>
    <row r="50" spans="1:38" x14ac:dyDescent="0.3">
      <c r="A50" s="741"/>
      <c r="B50" s="741"/>
      <c r="C50" s="741"/>
      <c r="D50" s="741"/>
      <c r="E50" s="741"/>
      <c r="F50" s="741"/>
      <c r="G50" s="741"/>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L50" s="709"/>
    </row>
    <row r="51" spans="1:38" ht="14.4" customHeight="1"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8" ht="14.4" customHeight="1" x14ac:dyDescent="0.3">
      <c r="A52" s="1053" t="s">
        <v>8</v>
      </c>
      <c r="B52" s="1054"/>
      <c r="C52" s="1054"/>
      <c r="D52" s="1054"/>
      <c r="E52" s="1054"/>
      <c r="F52" s="1054"/>
      <c r="G52" s="1054"/>
      <c r="H52" s="1054"/>
      <c r="I52" s="1054"/>
      <c r="J52" s="1054"/>
      <c r="K52" s="1054"/>
      <c r="L52" s="1054"/>
      <c r="M52" s="1054"/>
      <c r="N52" s="1054"/>
      <c r="O52" s="1054"/>
      <c r="P52" s="1054"/>
      <c r="Q52" s="1054"/>
      <c r="R52" s="1054"/>
      <c r="S52" s="1054"/>
      <c r="T52" s="1054"/>
      <c r="U52" s="1054"/>
      <c r="V52" s="1054"/>
      <c r="W52" s="1054"/>
      <c r="X52" s="1054"/>
      <c r="Y52" s="1054"/>
      <c r="Z52" s="1054"/>
      <c r="AA52" s="1054"/>
      <c r="AB52" s="1054"/>
      <c r="AC52" s="1054"/>
      <c r="AD52" s="1054"/>
      <c r="AE52" s="1054"/>
      <c r="AF52" s="1055"/>
      <c r="AL52" s="767"/>
    </row>
    <row r="53" spans="1:38" ht="14.4" customHeight="1" x14ac:dyDescent="0.3">
      <c r="A53" s="1366" t="s">
        <v>9</v>
      </c>
      <c r="B53" s="1367"/>
      <c r="C53" s="1367"/>
      <c r="D53" s="1368"/>
      <c r="E53" s="1366" t="s">
        <v>3</v>
      </c>
      <c r="F53" s="1367"/>
      <c r="G53" s="1367"/>
      <c r="H53" s="1367"/>
      <c r="I53" s="1367"/>
      <c r="J53" s="1367"/>
      <c r="K53" s="1367"/>
      <c r="L53" s="1367"/>
      <c r="M53" s="1367"/>
      <c r="N53" s="1367"/>
      <c r="O53" s="1367"/>
      <c r="P53" s="1368"/>
      <c r="Q53" s="1366" t="s">
        <v>10</v>
      </c>
      <c r="R53" s="1367"/>
      <c r="S53" s="1367"/>
      <c r="T53" s="1368"/>
      <c r="U53" s="1366" t="s">
        <v>11</v>
      </c>
      <c r="V53" s="1368"/>
      <c r="W53" s="1366" t="s">
        <v>1466</v>
      </c>
      <c r="X53" s="1367"/>
      <c r="Y53" s="1367"/>
      <c r="Z53" s="1367"/>
      <c r="AA53" s="1367"/>
      <c r="AB53" s="1367"/>
      <c r="AC53" s="1367"/>
      <c r="AD53" s="1367"/>
      <c r="AE53" s="1367"/>
      <c r="AF53" s="1368"/>
    </row>
    <row r="54" spans="1:38" ht="14.4" customHeight="1" x14ac:dyDescent="0.3">
      <c r="A54" s="1349" t="s">
        <v>6032</v>
      </c>
      <c r="B54" s="1350"/>
      <c r="C54" s="1350"/>
      <c r="D54" s="1351"/>
      <c r="E54" s="1349" t="s">
        <v>5967</v>
      </c>
      <c r="F54" s="1350"/>
      <c r="G54" s="1350"/>
      <c r="H54" s="1350"/>
      <c r="I54" s="1350"/>
      <c r="J54" s="1350"/>
      <c r="K54" s="1350"/>
      <c r="L54" s="1350"/>
      <c r="M54" s="1350"/>
      <c r="N54" s="1350"/>
      <c r="O54" s="1350"/>
      <c r="P54" s="1351"/>
      <c r="Q54" s="1359" t="s">
        <v>304</v>
      </c>
      <c r="R54" s="1360"/>
      <c r="S54" s="1360"/>
      <c r="T54" s="1361"/>
      <c r="U54" s="1352" t="s">
        <v>562</v>
      </c>
      <c r="V54" s="1354"/>
      <c r="W54" s="1349" t="s">
        <v>35</v>
      </c>
      <c r="X54" s="1350"/>
      <c r="Y54" s="1350"/>
      <c r="Z54" s="1350"/>
      <c r="AA54" s="1350"/>
      <c r="AB54" s="1350"/>
      <c r="AC54" s="1350"/>
      <c r="AD54" s="1350"/>
      <c r="AE54" s="1350"/>
      <c r="AF54" s="1351"/>
      <c r="AL54" s="767"/>
    </row>
    <row r="55" spans="1:38" ht="14.25" customHeight="1" x14ac:dyDescent="0.3">
      <c r="A55" s="1349" t="s">
        <v>6033</v>
      </c>
      <c r="B55" s="1350"/>
      <c r="C55" s="1350"/>
      <c r="D55" s="1351"/>
      <c r="E55" s="1163" t="s">
        <v>5968</v>
      </c>
      <c r="F55" s="1164"/>
      <c r="G55" s="1164"/>
      <c r="H55" s="1164"/>
      <c r="I55" s="1164"/>
      <c r="J55" s="1164"/>
      <c r="K55" s="1164"/>
      <c r="L55" s="1164"/>
      <c r="M55" s="1164"/>
      <c r="N55" s="1164"/>
      <c r="O55" s="1164"/>
      <c r="P55" s="1165"/>
      <c r="Q55" s="1359" t="s">
        <v>304</v>
      </c>
      <c r="R55" s="1360"/>
      <c r="S55" s="1360"/>
      <c r="T55" s="1361"/>
      <c r="U55" s="1352" t="s">
        <v>562</v>
      </c>
      <c r="V55" s="1354"/>
      <c r="W55" s="1349" t="s">
        <v>35</v>
      </c>
      <c r="X55" s="1350"/>
      <c r="Y55" s="1350"/>
      <c r="Z55" s="1350"/>
      <c r="AA55" s="1350"/>
      <c r="AB55" s="1350"/>
      <c r="AC55" s="1350"/>
      <c r="AD55" s="1350"/>
      <c r="AE55" s="1350"/>
      <c r="AF55" s="1351"/>
    </row>
    <row r="56" spans="1:38" ht="45.75" customHeight="1" x14ac:dyDescent="0.3">
      <c r="A56" s="1349" t="s">
        <v>6034</v>
      </c>
      <c r="B56" s="1350"/>
      <c r="C56" s="1350"/>
      <c r="D56" s="1351"/>
      <c r="E56" s="1163" t="s">
        <v>5969</v>
      </c>
      <c r="F56" s="1164"/>
      <c r="G56" s="1164"/>
      <c r="H56" s="1164"/>
      <c r="I56" s="1164"/>
      <c r="J56" s="1164"/>
      <c r="K56" s="1164"/>
      <c r="L56" s="1164"/>
      <c r="M56" s="1164"/>
      <c r="N56" s="1164"/>
      <c r="O56" s="1164"/>
      <c r="P56" s="1165"/>
      <c r="Q56" s="1359" t="s">
        <v>304</v>
      </c>
      <c r="R56" s="1360"/>
      <c r="S56" s="1360"/>
      <c r="T56" s="1361"/>
      <c r="U56" s="1352" t="s">
        <v>562</v>
      </c>
      <c r="V56" s="1354"/>
      <c r="W56" s="1163" t="s">
        <v>5970</v>
      </c>
      <c r="X56" s="1164"/>
      <c r="Y56" s="1164"/>
      <c r="Z56" s="1164"/>
      <c r="AA56" s="1164"/>
      <c r="AB56" s="1164"/>
      <c r="AC56" s="1164"/>
      <c r="AD56" s="1164"/>
      <c r="AE56" s="1164"/>
      <c r="AF56" s="1165"/>
    </row>
    <row r="57" spans="1:38" ht="14.4" customHeight="1" x14ac:dyDescent="0.3">
      <c r="A57" s="1349" t="s">
        <v>6098</v>
      </c>
      <c r="B57" s="1350"/>
      <c r="C57" s="1350"/>
      <c r="D57" s="1351"/>
      <c r="E57" s="1349" t="s">
        <v>6078</v>
      </c>
      <c r="F57" s="1350"/>
      <c r="G57" s="1350"/>
      <c r="H57" s="1350"/>
      <c r="I57" s="1350"/>
      <c r="J57" s="1350"/>
      <c r="K57" s="1350"/>
      <c r="L57" s="1350"/>
      <c r="M57" s="1350"/>
      <c r="N57" s="1350"/>
      <c r="O57" s="1350"/>
      <c r="P57" s="1351"/>
      <c r="Q57" s="1359" t="s">
        <v>304</v>
      </c>
      <c r="R57" s="1360"/>
      <c r="S57" s="1360"/>
      <c r="T57" s="1361"/>
      <c r="U57" s="1352" t="s">
        <v>562</v>
      </c>
      <c r="V57" s="1354"/>
      <c r="W57" s="1349" t="s">
        <v>35</v>
      </c>
      <c r="X57" s="1350"/>
      <c r="Y57" s="1350"/>
      <c r="Z57" s="1350"/>
      <c r="AA57" s="1350"/>
      <c r="AB57" s="1350"/>
      <c r="AC57" s="1350"/>
      <c r="AD57" s="1350"/>
      <c r="AE57" s="1350"/>
      <c r="AF57" s="1351"/>
    </row>
    <row r="58" spans="1:38" ht="14.4" customHeight="1" x14ac:dyDescent="0.3">
      <c r="A58" s="1349" t="s">
        <v>6099</v>
      </c>
      <c r="B58" s="1350"/>
      <c r="C58" s="1350"/>
      <c r="D58" s="1351"/>
      <c r="E58" s="1163" t="s">
        <v>6079</v>
      </c>
      <c r="F58" s="1164"/>
      <c r="G58" s="1164"/>
      <c r="H58" s="1164"/>
      <c r="I58" s="1164"/>
      <c r="J58" s="1164"/>
      <c r="K58" s="1164"/>
      <c r="L58" s="1164"/>
      <c r="M58" s="1164"/>
      <c r="N58" s="1164"/>
      <c r="O58" s="1164"/>
      <c r="P58" s="1165"/>
      <c r="Q58" s="1359" t="s">
        <v>304</v>
      </c>
      <c r="R58" s="1360"/>
      <c r="S58" s="1360"/>
      <c r="T58" s="1361"/>
      <c r="U58" s="1352" t="s">
        <v>562</v>
      </c>
      <c r="V58" s="1354"/>
      <c r="W58" s="1349" t="s">
        <v>35</v>
      </c>
      <c r="X58" s="1350"/>
      <c r="Y58" s="1350"/>
      <c r="Z58" s="1350"/>
      <c r="AA58" s="1350"/>
      <c r="AB58" s="1350"/>
      <c r="AC58" s="1350"/>
      <c r="AD58" s="1350"/>
      <c r="AE58" s="1350"/>
      <c r="AF58" s="1351"/>
    </row>
    <row r="59" spans="1:38" ht="47.25" customHeight="1" x14ac:dyDescent="0.3">
      <c r="A59" s="1349" t="s">
        <v>6080</v>
      </c>
      <c r="B59" s="1350"/>
      <c r="C59" s="1350"/>
      <c r="D59" s="1351"/>
      <c r="E59" s="1349" t="s">
        <v>5975</v>
      </c>
      <c r="F59" s="1350"/>
      <c r="G59" s="1350"/>
      <c r="H59" s="1350"/>
      <c r="I59" s="1350"/>
      <c r="J59" s="1350"/>
      <c r="K59" s="1350"/>
      <c r="L59" s="1350"/>
      <c r="M59" s="1350"/>
      <c r="N59" s="1350"/>
      <c r="O59" s="1350"/>
      <c r="P59" s="1351"/>
      <c r="Q59" s="1352">
        <v>73.2</v>
      </c>
      <c r="R59" s="1353"/>
      <c r="S59" s="1353"/>
      <c r="T59" s="1354"/>
      <c r="U59" s="1352" t="s">
        <v>574</v>
      </c>
      <c r="V59" s="1354"/>
      <c r="W59" s="1163" t="s">
        <v>5970</v>
      </c>
      <c r="X59" s="1164"/>
      <c r="Y59" s="1164"/>
      <c r="Z59" s="1164"/>
      <c r="AA59" s="1164"/>
      <c r="AB59" s="1164"/>
      <c r="AC59" s="1164"/>
      <c r="AD59" s="1164"/>
      <c r="AE59" s="1164"/>
      <c r="AF59" s="1165"/>
      <c r="AL59" s="767"/>
    </row>
    <row r="60" spans="1:38" ht="60.75" customHeight="1" x14ac:dyDescent="0.3">
      <c r="A60" s="1349" t="s">
        <v>6100</v>
      </c>
      <c r="B60" s="1350"/>
      <c r="C60" s="1350"/>
      <c r="D60" s="1351"/>
      <c r="E60" s="1163" t="s">
        <v>6081</v>
      </c>
      <c r="F60" s="1164"/>
      <c r="G60" s="1164"/>
      <c r="H60" s="1164"/>
      <c r="I60" s="1164"/>
      <c r="J60" s="1164"/>
      <c r="K60" s="1164"/>
      <c r="L60" s="1164"/>
      <c r="M60" s="1164"/>
      <c r="N60" s="1164"/>
      <c r="O60" s="1164"/>
      <c r="P60" s="1165"/>
      <c r="Q60" s="1359" t="s">
        <v>304</v>
      </c>
      <c r="R60" s="1360"/>
      <c r="S60" s="1360"/>
      <c r="T60" s="1361"/>
      <c r="U60" s="1365" t="s">
        <v>20</v>
      </c>
      <c r="V60" s="1354"/>
      <c r="W60" s="1163" t="s">
        <v>6082</v>
      </c>
      <c r="X60" s="1164"/>
      <c r="Y60" s="1164"/>
      <c r="Z60" s="1164"/>
      <c r="AA60" s="1164"/>
      <c r="AB60" s="1164"/>
      <c r="AC60" s="1164"/>
      <c r="AD60" s="1164"/>
      <c r="AE60" s="1164"/>
      <c r="AF60" s="1165"/>
    </row>
    <row r="61" spans="1:38" ht="45" customHeight="1" x14ac:dyDescent="0.3">
      <c r="A61" s="1349" t="s">
        <v>6045</v>
      </c>
      <c r="B61" s="1350"/>
      <c r="C61" s="1350"/>
      <c r="D61" s="1351"/>
      <c r="E61" s="1163" t="s">
        <v>5980</v>
      </c>
      <c r="F61" s="1164"/>
      <c r="G61" s="1164"/>
      <c r="H61" s="1164"/>
      <c r="I61" s="1164"/>
      <c r="J61" s="1164"/>
      <c r="K61" s="1164"/>
      <c r="L61" s="1164"/>
      <c r="M61" s="1164"/>
      <c r="N61" s="1164"/>
      <c r="O61" s="1164"/>
      <c r="P61" s="1165"/>
      <c r="Q61" s="1359">
        <v>1</v>
      </c>
      <c r="R61" s="1360"/>
      <c r="S61" s="1360"/>
      <c r="T61" s="1361"/>
      <c r="U61" s="1352" t="s">
        <v>20</v>
      </c>
      <c r="V61" s="1354"/>
      <c r="W61" s="1163" t="s">
        <v>6083</v>
      </c>
      <c r="X61" s="1164"/>
      <c r="Y61" s="1164"/>
      <c r="Z61" s="1164"/>
      <c r="AA61" s="1164"/>
      <c r="AB61" s="1164"/>
      <c r="AC61" s="1164"/>
      <c r="AD61" s="1164"/>
      <c r="AE61" s="1164"/>
      <c r="AF61" s="1165"/>
    </row>
    <row r="62" spans="1:38" ht="44.25" customHeight="1" x14ac:dyDescent="0.3">
      <c r="A62" s="1349" t="s">
        <v>6046</v>
      </c>
      <c r="B62" s="1350"/>
      <c r="C62" s="1350"/>
      <c r="D62" s="1351"/>
      <c r="E62" s="1163" t="s">
        <v>5981</v>
      </c>
      <c r="F62" s="1164"/>
      <c r="G62" s="1164"/>
      <c r="H62" s="1164"/>
      <c r="I62" s="1164"/>
      <c r="J62" s="1164"/>
      <c r="K62" s="1164"/>
      <c r="L62" s="1164"/>
      <c r="M62" s="1164"/>
      <c r="N62" s="1164"/>
      <c r="O62" s="1164"/>
      <c r="P62" s="1165"/>
      <c r="Q62" s="1359" t="s">
        <v>304</v>
      </c>
      <c r="R62" s="1360"/>
      <c r="S62" s="1360"/>
      <c r="T62" s="1361"/>
      <c r="U62" s="1352" t="s">
        <v>5982</v>
      </c>
      <c r="V62" s="1354"/>
      <c r="W62" s="1163" t="s">
        <v>5970</v>
      </c>
      <c r="X62" s="1164"/>
      <c r="Y62" s="1164"/>
      <c r="Z62" s="1164"/>
      <c r="AA62" s="1164"/>
      <c r="AB62" s="1164"/>
      <c r="AC62" s="1164"/>
      <c r="AD62" s="1164"/>
      <c r="AE62" s="1164"/>
      <c r="AF62" s="1165"/>
    </row>
    <row r="63" spans="1:38" ht="15.75" customHeight="1" x14ac:dyDescent="0.3">
      <c r="A63" s="1349" t="s">
        <v>6101</v>
      </c>
      <c r="B63" s="1350"/>
      <c r="C63" s="1350"/>
      <c r="D63" s="1351"/>
      <c r="E63" s="1163" t="s">
        <v>6084</v>
      </c>
      <c r="F63" s="1164"/>
      <c r="G63" s="1164"/>
      <c r="H63" s="1164"/>
      <c r="I63" s="1164"/>
      <c r="J63" s="1164"/>
      <c r="K63" s="1164"/>
      <c r="L63" s="1164"/>
      <c r="M63" s="1164"/>
      <c r="N63" s="1164"/>
      <c r="O63" s="1164"/>
      <c r="P63" s="1165"/>
      <c r="Q63" s="1359" t="s">
        <v>304</v>
      </c>
      <c r="R63" s="1360"/>
      <c r="S63" s="1360"/>
      <c r="T63" s="1361"/>
      <c r="U63" s="1352" t="s">
        <v>37</v>
      </c>
      <c r="V63" s="1354"/>
      <c r="W63" s="1349" t="s">
        <v>35</v>
      </c>
      <c r="X63" s="1350"/>
      <c r="Y63" s="1350"/>
      <c r="Z63" s="1350"/>
      <c r="AA63" s="1350"/>
      <c r="AB63" s="1350"/>
      <c r="AC63" s="1350"/>
      <c r="AD63" s="1350"/>
      <c r="AE63" s="1350"/>
      <c r="AF63" s="1351"/>
      <c r="AL63" s="768"/>
    </row>
    <row r="64" spans="1:38" ht="60.75" customHeight="1" x14ac:dyDescent="0.3">
      <c r="A64" s="1349" t="s">
        <v>6102</v>
      </c>
      <c r="B64" s="1350"/>
      <c r="C64" s="1350"/>
      <c r="D64" s="1351"/>
      <c r="E64" s="1163" t="s">
        <v>6085</v>
      </c>
      <c r="F64" s="1164"/>
      <c r="G64" s="1164"/>
      <c r="H64" s="1164"/>
      <c r="I64" s="1164"/>
      <c r="J64" s="1164"/>
      <c r="K64" s="1164"/>
      <c r="L64" s="1164"/>
      <c r="M64" s="1164"/>
      <c r="N64" s="1164"/>
      <c r="O64" s="1164"/>
      <c r="P64" s="1165"/>
      <c r="Q64" s="1359" t="s">
        <v>304</v>
      </c>
      <c r="R64" s="1360"/>
      <c r="S64" s="1360"/>
      <c r="T64" s="1361"/>
      <c r="U64" s="1352" t="s">
        <v>269</v>
      </c>
      <c r="V64" s="1354"/>
      <c r="W64" s="1163" t="s">
        <v>6082</v>
      </c>
      <c r="X64" s="1164"/>
      <c r="Y64" s="1164"/>
      <c r="Z64" s="1164"/>
      <c r="AA64" s="1164"/>
      <c r="AB64" s="1164"/>
      <c r="AC64" s="1164"/>
      <c r="AD64" s="1164"/>
      <c r="AE64" s="1164"/>
      <c r="AF64" s="1165"/>
    </row>
    <row r="65" spans="1:68" ht="14.4" customHeight="1" x14ac:dyDescent="0.3">
      <c r="A65" s="1349" t="s">
        <v>5986</v>
      </c>
      <c r="B65" s="1350"/>
      <c r="C65" s="1350"/>
      <c r="D65" s="1351"/>
      <c r="E65" s="1163" t="s">
        <v>5987</v>
      </c>
      <c r="F65" s="1164"/>
      <c r="G65" s="1164"/>
      <c r="H65" s="1164"/>
      <c r="I65" s="1164"/>
      <c r="J65" s="1164"/>
      <c r="K65" s="1164"/>
      <c r="L65" s="1164"/>
      <c r="M65" s="1164"/>
      <c r="N65" s="1164"/>
      <c r="O65" s="1164"/>
      <c r="P65" s="1165"/>
      <c r="Q65" s="1359">
        <v>122</v>
      </c>
      <c r="R65" s="1360"/>
      <c r="S65" s="1360"/>
      <c r="T65" s="1361"/>
      <c r="U65" s="1352" t="s">
        <v>409</v>
      </c>
      <c r="V65" s="1354"/>
      <c r="W65" s="1163" t="s">
        <v>5989</v>
      </c>
      <c r="X65" s="1164"/>
      <c r="Y65" s="1164"/>
      <c r="Z65" s="1164"/>
      <c r="AA65" s="1164"/>
      <c r="AB65" s="1164"/>
      <c r="AC65" s="1164"/>
      <c r="AD65" s="1164"/>
      <c r="AE65" s="1164"/>
      <c r="AF65" s="1165"/>
    </row>
    <row r="66" spans="1:68" ht="47.25" customHeight="1" x14ac:dyDescent="0.3">
      <c r="A66" s="1349" t="s">
        <v>70</v>
      </c>
      <c r="B66" s="1350"/>
      <c r="C66" s="1350"/>
      <c r="D66" s="1351"/>
      <c r="E66" s="1163" t="s">
        <v>71</v>
      </c>
      <c r="F66" s="1164"/>
      <c r="G66" s="1164"/>
      <c r="H66" s="1164"/>
      <c r="I66" s="1164"/>
      <c r="J66" s="1164"/>
      <c r="K66" s="1164"/>
      <c r="L66" s="1164"/>
      <c r="M66" s="1164"/>
      <c r="N66" s="1164"/>
      <c r="O66" s="1164"/>
      <c r="P66" s="1165"/>
      <c r="Q66" s="1359" t="s">
        <v>304</v>
      </c>
      <c r="R66" s="1360"/>
      <c r="S66" s="1360"/>
      <c r="T66" s="1361"/>
      <c r="U66" s="1352" t="s">
        <v>72</v>
      </c>
      <c r="V66" s="1354"/>
      <c r="W66" s="1163" t="s">
        <v>5970</v>
      </c>
      <c r="X66" s="1164"/>
      <c r="Y66" s="1164"/>
      <c r="Z66" s="1164"/>
      <c r="AA66" s="1164"/>
      <c r="AB66" s="1164"/>
      <c r="AC66" s="1164"/>
      <c r="AD66" s="1164"/>
      <c r="AE66" s="1164"/>
      <c r="AF66" s="1165"/>
    </row>
    <row r="67" spans="1:68" ht="14.4" customHeight="1" x14ac:dyDescent="0.3">
      <c r="A67" s="1349" t="s">
        <v>64</v>
      </c>
      <c r="B67" s="1350"/>
      <c r="C67" s="1350"/>
      <c r="D67" s="1351"/>
      <c r="E67" s="1349" t="s">
        <v>117</v>
      </c>
      <c r="F67" s="1350"/>
      <c r="G67" s="1350"/>
      <c r="H67" s="1350"/>
      <c r="I67" s="1350"/>
      <c r="J67" s="1350"/>
      <c r="K67" s="1350"/>
      <c r="L67" s="1350"/>
      <c r="M67" s="1350"/>
      <c r="N67" s="1350"/>
      <c r="O67" s="1350"/>
      <c r="P67" s="1351"/>
      <c r="Q67" s="1352">
        <v>270</v>
      </c>
      <c r="R67" s="1353"/>
      <c r="S67" s="1353"/>
      <c r="T67" s="1354"/>
      <c r="U67" s="1352" t="s">
        <v>66</v>
      </c>
      <c r="V67" s="1354"/>
      <c r="W67" s="1163" t="s">
        <v>5989</v>
      </c>
      <c r="X67" s="1164"/>
      <c r="Y67" s="1164"/>
      <c r="Z67" s="1164"/>
      <c r="AA67" s="1164"/>
      <c r="AB67" s="1164"/>
      <c r="AC67" s="1164"/>
      <c r="AD67" s="1164"/>
      <c r="AE67" s="1164"/>
      <c r="AF67" s="1165"/>
    </row>
    <row r="68" spans="1:68" ht="14.4" customHeight="1" x14ac:dyDescent="0.3">
      <c r="A68" s="1349" t="s">
        <v>5997</v>
      </c>
      <c r="B68" s="1350"/>
      <c r="C68" s="1350"/>
      <c r="D68" s="1351"/>
      <c r="E68" s="1349" t="s">
        <v>134</v>
      </c>
      <c r="F68" s="1350"/>
      <c r="G68" s="1350"/>
      <c r="H68" s="1350"/>
      <c r="I68" s="1350"/>
      <c r="J68" s="1350"/>
      <c r="K68" s="1350"/>
      <c r="L68" s="1350"/>
      <c r="M68" s="1350"/>
      <c r="N68" s="1350"/>
      <c r="O68" s="1350"/>
      <c r="P68" s="1351"/>
      <c r="Q68" s="1352">
        <v>10</v>
      </c>
      <c r="R68" s="1353"/>
      <c r="S68" s="1353"/>
      <c r="T68" s="1354"/>
      <c r="U68" s="1352" t="s">
        <v>37</v>
      </c>
      <c r="V68" s="1354"/>
      <c r="W68" s="1163" t="s">
        <v>5989</v>
      </c>
      <c r="X68" s="1164"/>
      <c r="Y68" s="1164"/>
      <c r="Z68" s="1164"/>
      <c r="AA68" s="1164"/>
      <c r="AB68" s="1164"/>
      <c r="AC68" s="1164"/>
      <c r="AD68" s="1164"/>
      <c r="AE68" s="1164"/>
      <c r="AF68" s="1165"/>
    </row>
    <row r="69" spans="1:68" ht="14.4" customHeight="1" x14ac:dyDescent="0.3">
      <c r="A69" s="1349" t="s">
        <v>24</v>
      </c>
      <c r="B69" s="1350"/>
      <c r="C69" s="1350"/>
      <c r="D69" s="1351"/>
      <c r="E69" s="1349" t="s">
        <v>155</v>
      </c>
      <c r="F69" s="1350"/>
      <c r="G69" s="1350"/>
      <c r="H69" s="1350"/>
      <c r="I69" s="1350"/>
      <c r="J69" s="1350"/>
      <c r="K69" s="1350"/>
      <c r="L69" s="1350"/>
      <c r="M69" s="1350"/>
      <c r="N69" s="1350"/>
      <c r="O69" s="1350"/>
      <c r="P69" s="1351"/>
      <c r="Q69" s="1369">
        <f>Q67*Q68</f>
        <v>2700</v>
      </c>
      <c r="R69" s="1370"/>
      <c r="S69" s="1370"/>
      <c r="T69" s="1371"/>
      <c r="U69" s="1352" t="s">
        <v>37</v>
      </c>
      <c r="V69" s="1354"/>
      <c r="W69" s="1349" t="s">
        <v>6086</v>
      </c>
      <c r="X69" s="1350"/>
      <c r="Y69" s="1350"/>
      <c r="Z69" s="1350"/>
      <c r="AA69" s="1350"/>
      <c r="AB69" s="1350"/>
      <c r="AC69" s="1350"/>
      <c r="AD69" s="1350"/>
      <c r="AE69" s="1350"/>
      <c r="AF69" s="1351"/>
    </row>
    <row r="70" spans="1:68" ht="32.25" customHeight="1" x14ac:dyDescent="0.3">
      <c r="A70" s="1349" t="s">
        <v>21</v>
      </c>
      <c r="B70" s="1350"/>
      <c r="C70" s="1350"/>
      <c r="D70" s="1351"/>
      <c r="E70" s="1349" t="s">
        <v>96</v>
      </c>
      <c r="F70" s="1350"/>
      <c r="G70" s="1350"/>
      <c r="H70" s="1350"/>
      <c r="I70" s="1350"/>
      <c r="J70" s="1350"/>
      <c r="K70" s="1350"/>
      <c r="L70" s="1350"/>
      <c r="M70" s="1350"/>
      <c r="N70" s="1350"/>
      <c r="O70" s="1350"/>
      <c r="P70" s="1351"/>
      <c r="Q70" s="1352">
        <v>0.9</v>
      </c>
      <c r="R70" s="1353"/>
      <c r="S70" s="1353"/>
      <c r="T70" s="1354"/>
      <c r="U70" s="1352" t="s">
        <v>20</v>
      </c>
      <c r="V70" s="1354"/>
      <c r="W70" s="1163" t="s">
        <v>6053</v>
      </c>
      <c r="X70" s="1164"/>
      <c r="Y70" s="1164"/>
      <c r="Z70" s="1164"/>
      <c r="AA70" s="1164"/>
      <c r="AB70" s="1164"/>
      <c r="AC70" s="1164"/>
      <c r="AD70" s="1164"/>
      <c r="AE70" s="1164"/>
      <c r="AF70" s="1165"/>
      <c r="AL70" s="767"/>
    </row>
    <row r="71" spans="1:68" ht="43.5" customHeight="1" x14ac:dyDescent="0.3">
      <c r="A71" s="1349" t="s">
        <v>2562</v>
      </c>
      <c r="B71" s="1350"/>
      <c r="C71" s="1350"/>
      <c r="D71" s="1351"/>
      <c r="E71" s="1349" t="s">
        <v>6087</v>
      </c>
      <c r="F71" s="1350"/>
      <c r="G71" s="1350"/>
      <c r="H71" s="1350"/>
      <c r="I71" s="1350"/>
      <c r="J71" s="1350"/>
      <c r="K71" s="1350"/>
      <c r="L71" s="1350"/>
      <c r="M71" s="1350"/>
      <c r="N71" s="1350"/>
      <c r="O71" s="1350"/>
      <c r="P71" s="1351"/>
      <c r="Q71" s="1352">
        <f>'Master EUL'!X120</f>
        <v>12</v>
      </c>
      <c r="R71" s="1353"/>
      <c r="S71" s="1353"/>
      <c r="T71" s="1354"/>
      <c r="U71" s="1352" t="s">
        <v>38</v>
      </c>
      <c r="V71" s="1354"/>
      <c r="W71" s="1163" t="s">
        <v>6088</v>
      </c>
      <c r="X71" s="1164"/>
      <c r="Y71" s="1164"/>
      <c r="Z71" s="1164"/>
      <c r="AA71" s="1164"/>
      <c r="AB71" s="1164"/>
      <c r="AC71" s="1164"/>
      <c r="AD71" s="1164"/>
      <c r="AE71" s="1164"/>
      <c r="AF71" s="1165"/>
      <c r="AL71" s="766"/>
    </row>
    <row r="72" spans="1:68" ht="14.4" customHeight="1" x14ac:dyDescent="0.3">
      <c r="A72" s="482" t="s">
        <v>830</v>
      </c>
      <c r="B72" s="483"/>
      <c r="C72" s="483"/>
      <c r="D72" s="483"/>
      <c r="E72" s="483"/>
      <c r="F72" s="483"/>
      <c r="G72" s="484"/>
      <c r="H72" s="484"/>
      <c r="I72" s="484"/>
      <c r="J72" s="484"/>
      <c r="K72" s="484"/>
      <c r="L72" s="484"/>
      <c r="M72" s="484"/>
      <c r="N72" s="484"/>
      <c r="O72" s="484"/>
      <c r="P72" s="761"/>
      <c r="Q72" s="761"/>
      <c r="R72" s="761"/>
      <c r="S72" s="761"/>
      <c r="T72" s="761"/>
      <c r="U72" s="761"/>
      <c r="V72" s="761"/>
      <c r="W72" s="761"/>
      <c r="X72" s="761"/>
      <c r="Y72" s="484"/>
      <c r="Z72" s="484"/>
      <c r="AA72" s="484"/>
      <c r="AB72" s="484"/>
      <c r="AC72" s="484"/>
      <c r="AD72" s="484"/>
      <c r="AE72" s="484"/>
      <c r="AF72" s="484"/>
    </row>
    <row r="73" spans="1:68" ht="65.25" customHeight="1" x14ac:dyDescent="0.3">
      <c r="A73" s="1355" t="s">
        <v>6089</v>
      </c>
      <c r="B73" s="1355"/>
      <c r="C73" s="1355"/>
      <c r="D73" s="1355"/>
      <c r="E73" s="1355"/>
      <c r="F73" s="1355"/>
      <c r="G73" s="1355"/>
      <c r="H73" s="1355"/>
      <c r="I73" s="1355"/>
      <c r="J73" s="1355"/>
      <c r="K73" s="1355"/>
      <c r="L73" s="1355"/>
      <c r="M73" s="1355"/>
      <c r="N73" s="1355"/>
      <c r="O73" s="1355"/>
      <c r="P73" s="1355"/>
      <c r="Q73" s="1355"/>
      <c r="R73" s="1355"/>
      <c r="S73" s="1355"/>
      <c r="T73" s="1355"/>
      <c r="U73" s="1355"/>
      <c r="V73" s="1355"/>
      <c r="W73" s="1355"/>
      <c r="X73" s="1355"/>
      <c r="Y73" s="1355"/>
      <c r="Z73" s="1355"/>
      <c r="AA73" s="1355"/>
      <c r="AB73" s="1355"/>
      <c r="AC73" s="1355"/>
      <c r="AD73" s="1355"/>
      <c r="AE73" s="1355"/>
      <c r="AF73" s="1355"/>
    </row>
    <row r="74" spans="1:68" ht="15" customHeight="1" x14ac:dyDescent="0.3">
      <c r="A74" s="743"/>
      <c r="B74" s="743"/>
      <c r="C74" s="743"/>
      <c r="D74" s="743"/>
      <c r="E74" s="743"/>
      <c r="F74" s="743"/>
      <c r="G74" s="743"/>
      <c r="H74" s="743"/>
      <c r="I74" s="743"/>
      <c r="J74" s="743"/>
      <c r="K74" s="743"/>
      <c r="L74" s="743"/>
      <c r="M74" s="743"/>
      <c r="N74" s="743"/>
      <c r="O74" s="743"/>
      <c r="P74" s="743"/>
      <c r="Q74" s="743"/>
      <c r="R74" s="743"/>
      <c r="S74" s="743"/>
      <c r="T74" s="743"/>
      <c r="U74" s="743"/>
      <c r="V74" s="743"/>
      <c r="W74" s="743"/>
      <c r="X74" s="743"/>
      <c r="Y74" s="743"/>
      <c r="Z74" s="743"/>
      <c r="AA74" s="743"/>
      <c r="AB74" s="743"/>
      <c r="AC74" s="743"/>
      <c r="AD74" s="743"/>
      <c r="AE74" s="743"/>
      <c r="AF74" s="743"/>
    </row>
    <row r="75" spans="1:68" ht="16.5" customHeight="1" x14ac:dyDescent="0.3">
      <c r="A75" s="743"/>
      <c r="B75" s="743"/>
      <c r="C75" s="743"/>
      <c r="D75" s="743"/>
      <c r="E75" s="743"/>
      <c r="F75" s="743"/>
      <c r="G75" s="743"/>
      <c r="H75" s="743"/>
      <c r="I75" s="743"/>
      <c r="J75" s="743"/>
      <c r="K75" s="743"/>
      <c r="L75" s="743"/>
      <c r="M75" s="743"/>
      <c r="N75" s="743"/>
      <c r="O75" s="743"/>
      <c r="P75" s="743"/>
      <c r="Q75" s="743"/>
      <c r="R75" s="743"/>
      <c r="S75" s="743"/>
      <c r="T75" s="743"/>
      <c r="U75" s="743"/>
      <c r="V75" s="743"/>
      <c r="W75" s="743"/>
      <c r="X75" s="743"/>
      <c r="Y75" s="743"/>
      <c r="Z75" s="743"/>
      <c r="AA75" s="743"/>
      <c r="AB75" s="743"/>
      <c r="AC75" s="743"/>
      <c r="AD75" s="743"/>
      <c r="AE75" s="743"/>
      <c r="AF75" s="743"/>
    </row>
    <row r="76" spans="1:68" ht="14.4" customHeight="1" x14ac:dyDescent="0.3">
      <c r="A76" s="187" t="s">
        <v>5188</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L76" s="767"/>
    </row>
    <row r="77" spans="1:68" ht="21.75" customHeight="1" x14ac:dyDescent="0.3">
      <c r="A77" s="1390"/>
      <c r="B77" s="1391"/>
      <c r="C77" s="1391"/>
      <c r="D77" s="1391"/>
      <c r="E77" s="1391"/>
      <c r="F77" s="1391"/>
      <c r="G77" s="1391"/>
      <c r="H77" s="1392"/>
      <c r="I77" s="1366" t="s">
        <v>6103</v>
      </c>
      <c r="J77" s="1367"/>
      <c r="K77" s="1367"/>
      <c r="L77" s="1367"/>
      <c r="M77" s="1367"/>
      <c r="N77" s="1367"/>
      <c r="O77" s="1367"/>
      <c r="P77" s="1368"/>
      <c r="Q77" s="1366" t="s">
        <v>6104</v>
      </c>
      <c r="R77" s="1367"/>
      <c r="S77" s="1367"/>
      <c r="T77" s="1367"/>
      <c r="U77" s="1367"/>
      <c r="V77" s="1367"/>
      <c r="W77" s="1367"/>
      <c r="X77" s="1368"/>
      <c r="Y77" s="1366" t="s">
        <v>6090</v>
      </c>
      <c r="Z77" s="1367"/>
      <c r="AA77" s="1367"/>
      <c r="AB77" s="1367"/>
      <c r="AC77" s="1367"/>
      <c r="AD77" s="1367"/>
      <c r="AE77" s="1367"/>
      <c r="AF77" s="1368"/>
      <c r="AL77" s="767"/>
    </row>
    <row r="78" spans="1:68" ht="21.75" customHeight="1" x14ac:dyDescent="0.3">
      <c r="A78" s="1393"/>
      <c r="B78" s="1393"/>
      <c r="C78" s="1393"/>
      <c r="D78" s="1393"/>
      <c r="E78" s="1393"/>
      <c r="F78" s="1393"/>
      <c r="G78" s="1393"/>
      <c r="H78" s="1394"/>
      <c r="I78" s="1366" t="s">
        <v>121</v>
      </c>
      <c r="J78" s="1367"/>
      <c r="K78" s="1367"/>
      <c r="L78" s="1368"/>
      <c r="M78" s="1366" t="s">
        <v>6091</v>
      </c>
      <c r="N78" s="1367"/>
      <c r="O78" s="1367"/>
      <c r="P78" s="1368"/>
      <c r="Q78" s="1366" t="s">
        <v>121</v>
      </c>
      <c r="R78" s="1367"/>
      <c r="S78" s="1367"/>
      <c r="T78" s="1368"/>
      <c r="U78" s="1366" t="s">
        <v>6091</v>
      </c>
      <c r="V78" s="1367"/>
      <c r="W78" s="1367"/>
      <c r="X78" s="1368"/>
      <c r="Y78" s="1366" t="s">
        <v>121</v>
      </c>
      <c r="Z78" s="1367"/>
      <c r="AA78" s="1367"/>
      <c r="AB78" s="1368"/>
      <c r="AC78" s="1366" t="s">
        <v>6091</v>
      </c>
      <c r="AD78" s="1367"/>
      <c r="AE78" s="1367"/>
      <c r="AF78" s="1368"/>
      <c r="AH78" s="50"/>
      <c r="AI78" s="50"/>
      <c r="AJ78" s="50"/>
      <c r="AK78" s="50"/>
      <c r="AL78" s="767"/>
    </row>
    <row r="79" spans="1:68" ht="30" customHeight="1" x14ac:dyDescent="0.3">
      <c r="A79" s="1384" t="s">
        <v>6105</v>
      </c>
      <c r="B79" s="1385"/>
      <c r="C79" s="1385"/>
      <c r="D79" s="1385"/>
      <c r="E79" s="1385"/>
      <c r="F79" s="1385"/>
      <c r="G79" s="1385"/>
      <c r="H79" s="1385"/>
      <c r="I79" s="1395">
        <v>0.65</v>
      </c>
      <c r="J79" s="1396"/>
      <c r="K79" s="1396"/>
      <c r="L79" s="1397"/>
      <c r="M79" s="1395">
        <v>0.76</v>
      </c>
      <c r="N79" s="1396"/>
      <c r="O79" s="1396"/>
      <c r="P79" s="1397"/>
      <c r="Q79" s="1395">
        <v>0.65</v>
      </c>
      <c r="R79" s="1396"/>
      <c r="S79" s="1396"/>
      <c r="T79" s="1397"/>
      <c r="U79" s="1395">
        <v>0.76</v>
      </c>
      <c r="V79" s="1396"/>
      <c r="W79" s="1396"/>
      <c r="X79" s="1397"/>
      <c r="Y79" s="1395">
        <v>0.68</v>
      </c>
      <c r="Z79" s="1396"/>
      <c r="AA79" s="1396"/>
      <c r="AB79" s="1397"/>
      <c r="AC79" s="1395">
        <v>0.71</v>
      </c>
      <c r="AD79" s="1396"/>
      <c r="AE79" s="1396"/>
      <c r="AF79" s="1397"/>
      <c r="AH79" s="50"/>
      <c r="AI79" s="50"/>
      <c r="AJ79" s="50"/>
      <c r="AK79" s="50"/>
      <c r="AV79" s="769"/>
      <c r="AW79" s="769"/>
      <c r="AX79" s="769"/>
      <c r="AY79" s="769"/>
      <c r="AZ79" s="769"/>
      <c r="BA79" s="769"/>
      <c r="BB79" s="769"/>
      <c r="BC79" s="769"/>
      <c r="BD79" s="769"/>
      <c r="BE79" s="769"/>
      <c r="BF79" s="769"/>
      <c r="BG79" s="769"/>
      <c r="BH79" s="769"/>
      <c r="BI79" s="769"/>
      <c r="BK79" s="769"/>
      <c r="BL79" s="769"/>
      <c r="BM79" s="769"/>
      <c r="BN79" s="769"/>
      <c r="BO79" s="769"/>
      <c r="BP79" s="3"/>
    </row>
    <row r="80" spans="1:68" ht="27.75" customHeight="1" x14ac:dyDescent="0.3">
      <c r="A80" s="1384" t="s">
        <v>6092</v>
      </c>
      <c r="B80" s="1385"/>
      <c r="C80" s="1385"/>
      <c r="D80" s="1385"/>
      <c r="E80" s="1385"/>
      <c r="F80" s="1385"/>
      <c r="G80" s="1385"/>
      <c r="H80" s="1385"/>
      <c r="I80" s="1369">
        <v>90</v>
      </c>
      <c r="J80" s="1370"/>
      <c r="K80" s="1370"/>
      <c r="L80" s="1371"/>
      <c r="M80" s="1369">
        <v>90</v>
      </c>
      <c r="N80" s="1370"/>
      <c r="O80" s="1370"/>
      <c r="P80" s="1371"/>
      <c r="Q80" s="1369">
        <v>90</v>
      </c>
      <c r="R80" s="1370"/>
      <c r="S80" s="1370"/>
      <c r="T80" s="1371"/>
      <c r="U80" s="1369">
        <v>90</v>
      </c>
      <c r="V80" s="1370"/>
      <c r="W80" s="1370"/>
      <c r="X80" s="1371"/>
      <c r="Y80" s="1369">
        <v>45</v>
      </c>
      <c r="Z80" s="1370"/>
      <c r="AA80" s="1370"/>
      <c r="AB80" s="1371"/>
      <c r="AC80" s="1369">
        <v>50</v>
      </c>
      <c r="AD80" s="1370"/>
      <c r="AE80" s="1370"/>
      <c r="AF80" s="1371"/>
      <c r="AH80" s="50"/>
      <c r="AI80" s="50"/>
      <c r="AJ80" s="50"/>
      <c r="AK80" s="50"/>
      <c r="AV80" s="769"/>
      <c r="AW80" s="769"/>
      <c r="AX80" s="769"/>
      <c r="AY80" s="769"/>
      <c r="AZ80" s="769"/>
      <c r="BA80" s="769"/>
      <c r="BB80" s="769"/>
      <c r="BC80" s="769"/>
      <c r="BD80" s="769"/>
      <c r="BE80" s="769"/>
      <c r="BF80" s="769"/>
      <c r="BG80" s="769"/>
      <c r="BH80" s="769"/>
      <c r="BI80" s="769"/>
      <c r="BJ80" s="769"/>
      <c r="BK80" s="769"/>
      <c r="BL80" s="769"/>
      <c r="BM80" s="769"/>
      <c r="BN80" s="769"/>
      <c r="BO80" s="769"/>
      <c r="BP80" s="3"/>
    </row>
    <row r="81" spans="1:68" ht="30" customHeight="1" x14ac:dyDescent="0.3">
      <c r="A81" s="1384" t="s">
        <v>6106</v>
      </c>
      <c r="B81" s="1385"/>
      <c r="C81" s="1385"/>
      <c r="D81" s="1385"/>
      <c r="E81" s="1385"/>
      <c r="F81" s="1385"/>
      <c r="G81" s="1385"/>
      <c r="H81" s="1385"/>
      <c r="I81" s="1369">
        <v>1</v>
      </c>
      <c r="J81" s="1370"/>
      <c r="K81" s="1370"/>
      <c r="L81" s="1371"/>
      <c r="M81" s="1369">
        <v>1</v>
      </c>
      <c r="N81" s="1370"/>
      <c r="O81" s="1370"/>
      <c r="P81" s="1371"/>
      <c r="Q81" s="1369">
        <v>1</v>
      </c>
      <c r="R81" s="1370"/>
      <c r="S81" s="1370"/>
      <c r="T81" s="1371"/>
      <c r="U81" s="1369">
        <v>1</v>
      </c>
      <c r="V81" s="1370"/>
      <c r="W81" s="1370"/>
      <c r="X81" s="1371"/>
      <c r="Y81" s="1369">
        <v>1</v>
      </c>
      <c r="Z81" s="1370"/>
      <c r="AA81" s="1370"/>
      <c r="AB81" s="1371"/>
      <c r="AC81" s="1369">
        <v>1</v>
      </c>
      <c r="AD81" s="1370"/>
      <c r="AE81" s="1370"/>
      <c r="AF81" s="1371"/>
      <c r="AH81" s="50"/>
      <c r="AI81" s="769"/>
      <c r="AJ81" s="3"/>
    </row>
    <row r="82" spans="1:68" ht="30" customHeight="1" x14ac:dyDescent="0.3">
      <c r="A82" s="1384" t="s">
        <v>6058</v>
      </c>
      <c r="B82" s="1385"/>
      <c r="C82" s="1385"/>
      <c r="D82" s="1385"/>
      <c r="E82" s="1385"/>
      <c r="F82" s="1385"/>
      <c r="G82" s="1385"/>
      <c r="H82" s="1385"/>
      <c r="I82" s="1369">
        <v>9</v>
      </c>
      <c r="J82" s="1370"/>
      <c r="K82" s="1370"/>
      <c r="L82" s="1371"/>
      <c r="M82" s="1369">
        <v>9</v>
      </c>
      <c r="N82" s="1370"/>
      <c r="O82" s="1370"/>
      <c r="P82" s="1371"/>
      <c r="Q82" s="1369">
        <v>9</v>
      </c>
      <c r="R82" s="1370"/>
      <c r="S82" s="1370"/>
      <c r="T82" s="1371"/>
      <c r="U82" s="1369">
        <v>9</v>
      </c>
      <c r="V82" s="1370"/>
      <c r="W82" s="1370"/>
      <c r="X82" s="1371"/>
      <c r="Y82" s="1369">
        <v>9</v>
      </c>
      <c r="Z82" s="1370"/>
      <c r="AA82" s="1370"/>
      <c r="AB82" s="1371"/>
      <c r="AC82" s="1369">
        <v>8</v>
      </c>
      <c r="AD82" s="1370"/>
      <c r="AE82" s="1370"/>
      <c r="AF82" s="1371"/>
      <c r="AH82" s="50"/>
      <c r="AI82" s="769"/>
      <c r="AJ82" s="3"/>
    </row>
    <row r="83" spans="1:68" ht="30.75" customHeight="1" x14ac:dyDescent="0.3">
      <c r="A83" s="1384" t="s">
        <v>6107</v>
      </c>
      <c r="B83" s="1385"/>
      <c r="C83" s="1385"/>
      <c r="D83" s="1385"/>
      <c r="E83" s="1385"/>
      <c r="F83" s="1385"/>
      <c r="G83" s="1385"/>
      <c r="H83" s="1385"/>
      <c r="I83" s="1369">
        <v>1563</v>
      </c>
      <c r="J83" s="1370"/>
      <c r="K83" s="1370"/>
      <c r="L83" s="1371"/>
      <c r="M83" s="1369">
        <v>1389</v>
      </c>
      <c r="N83" s="1370"/>
      <c r="O83" s="1370"/>
      <c r="P83" s="1371"/>
      <c r="Q83" s="1369">
        <v>1563</v>
      </c>
      <c r="R83" s="1370"/>
      <c r="S83" s="1370"/>
      <c r="T83" s="1371"/>
      <c r="U83" s="1369">
        <v>1389</v>
      </c>
      <c r="V83" s="1370"/>
      <c r="W83" s="1370"/>
      <c r="X83" s="1371"/>
      <c r="Y83" s="1369">
        <v>890</v>
      </c>
      <c r="Z83" s="1370"/>
      <c r="AA83" s="1370"/>
      <c r="AB83" s="1371"/>
      <c r="AC83" s="1369">
        <v>700</v>
      </c>
      <c r="AD83" s="1370"/>
      <c r="AE83" s="1370"/>
      <c r="AF83" s="1371"/>
      <c r="AH83" s="50"/>
      <c r="AI83" s="769"/>
      <c r="AJ83" s="3"/>
    </row>
    <row r="84" spans="1:68" ht="33.75" customHeight="1" x14ac:dyDescent="0.3">
      <c r="A84" s="1384" t="s">
        <v>6108</v>
      </c>
      <c r="B84" s="1385"/>
      <c r="C84" s="1385"/>
      <c r="D84" s="1385"/>
      <c r="E84" s="1385"/>
      <c r="F84" s="1385"/>
      <c r="G84" s="1385"/>
      <c r="H84" s="1385"/>
      <c r="I84" s="1369">
        <v>2000</v>
      </c>
      <c r="J84" s="1370"/>
      <c r="K84" s="1370"/>
      <c r="L84" s="1371"/>
      <c r="M84" s="1369">
        <v>1400</v>
      </c>
      <c r="N84" s="1370"/>
      <c r="O84" s="1370"/>
      <c r="P84" s="1371"/>
      <c r="Q84" s="1369">
        <v>2000</v>
      </c>
      <c r="R84" s="1370"/>
      <c r="S84" s="1370"/>
      <c r="T84" s="1371"/>
      <c r="U84" s="1369">
        <v>1000</v>
      </c>
      <c r="V84" s="1370"/>
      <c r="W84" s="1370"/>
      <c r="X84" s="1371"/>
      <c r="Y84" s="1369">
        <v>1030</v>
      </c>
      <c r="Z84" s="1370"/>
      <c r="AA84" s="1370"/>
      <c r="AB84" s="1371"/>
      <c r="AC84" s="1369">
        <v>1000</v>
      </c>
      <c r="AD84" s="1370"/>
      <c r="AE84" s="1370"/>
      <c r="AF84" s="1371"/>
      <c r="AH84" s="50"/>
      <c r="AI84" s="50"/>
      <c r="AJ84" s="50"/>
      <c r="AK84" s="50"/>
      <c r="AV84" s="769"/>
      <c r="AW84" s="769"/>
      <c r="AX84" s="769"/>
      <c r="AY84" s="769"/>
      <c r="AZ84" s="769"/>
      <c r="BA84" s="769"/>
      <c r="BB84" s="769"/>
      <c r="BC84" s="769"/>
      <c r="BD84" s="769"/>
      <c r="BE84" s="769"/>
      <c r="BF84" s="769"/>
      <c r="BG84" s="769"/>
      <c r="BH84" s="769"/>
      <c r="BI84" s="769"/>
      <c r="BJ84" s="769"/>
      <c r="BK84" s="769"/>
      <c r="BL84" s="769"/>
      <c r="BM84" s="769"/>
      <c r="BN84" s="769"/>
      <c r="BO84" s="769"/>
      <c r="BP84" s="3"/>
    </row>
    <row r="85" spans="1:68" ht="32.25" customHeight="1" x14ac:dyDescent="0.3">
      <c r="A85" s="1384" t="s">
        <v>6093</v>
      </c>
      <c r="B85" s="1385"/>
      <c r="C85" s="1385"/>
      <c r="D85" s="1385"/>
      <c r="E85" s="1385"/>
      <c r="F85" s="1385"/>
      <c r="G85" s="1385"/>
      <c r="H85" s="1385"/>
      <c r="I85" s="1386">
        <v>73.2</v>
      </c>
      <c r="J85" s="1387"/>
      <c r="K85" s="1387"/>
      <c r="L85" s="1387"/>
      <c r="M85" s="1388"/>
      <c r="N85" s="1388"/>
      <c r="O85" s="1388"/>
      <c r="P85" s="1389"/>
      <c r="Q85" s="1386">
        <v>73.2</v>
      </c>
      <c r="R85" s="1387"/>
      <c r="S85" s="1387"/>
      <c r="T85" s="1387"/>
      <c r="U85" s="1388"/>
      <c r="V85" s="1388"/>
      <c r="W85" s="1388"/>
      <c r="X85" s="1389"/>
      <c r="Y85" s="1386">
        <v>73.2</v>
      </c>
      <c r="Z85" s="1387"/>
      <c r="AA85" s="1387"/>
      <c r="AB85" s="1387"/>
      <c r="AC85" s="1388"/>
      <c r="AD85" s="1388"/>
      <c r="AE85" s="1388"/>
      <c r="AF85" s="1389"/>
      <c r="AH85" s="1374"/>
      <c r="AI85" s="1374"/>
      <c r="AJ85" s="1374"/>
      <c r="AK85" s="1374"/>
      <c r="AV85" s="769"/>
      <c r="AW85" s="769"/>
      <c r="AX85" s="769"/>
      <c r="AY85" s="769"/>
      <c r="AZ85" s="769"/>
      <c r="BA85" s="769"/>
      <c r="BB85" s="769"/>
      <c r="BC85" s="769"/>
      <c r="BD85" s="769"/>
      <c r="BE85" s="769"/>
      <c r="BF85" s="769"/>
      <c r="BG85" s="769"/>
      <c r="BH85" s="769"/>
      <c r="BI85" s="769"/>
      <c r="BJ85" s="769"/>
      <c r="BK85" s="769"/>
      <c r="BL85" s="769"/>
      <c r="BM85" s="769"/>
      <c r="BN85" s="769"/>
      <c r="BO85" s="769"/>
      <c r="BP85" s="3"/>
    </row>
    <row r="86" spans="1:68" ht="36.75" customHeight="1" x14ac:dyDescent="0.3">
      <c r="A86" s="1384" t="s">
        <v>6109</v>
      </c>
      <c r="B86" s="1385"/>
      <c r="C86" s="1385"/>
      <c r="D86" s="1385"/>
      <c r="E86" s="1385"/>
      <c r="F86" s="1385"/>
      <c r="G86" s="1385"/>
      <c r="H86" s="1385"/>
      <c r="I86" s="1375">
        <f>I85*$Q$65/I79</f>
        <v>13739.076923076922</v>
      </c>
      <c r="J86" s="1376"/>
      <c r="K86" s="1376"/>
      <c r="L86" s="1377"/>
      <c r="M86" s="1375">
        <f>I85*$Q$65/M79</f>
        <v>11750.526315789473</v>
      </c>
      <c r="N86" s="1376"/>
      <c r="O86" s="1376"/>
      <c r="P86" s="1377"/>
      <c r="Q86" s="1375">
        <f>Q85*$Q$65/Q79</f>
        <v>13739.076923076922</v>
      </c>
      <c r="R86" s="1376"/>
      <c r="S86" s="1376"/>
      <c r="T86" s="1377"/>
      <c r="U86" s="1375">
        <f>Q85*$Q$65/U79</f>
        <v>11750.526315789473</v>
      </c>
      <c r="V86" s="1376"/>
      <c r="W86" s="1376"/>
      <c r="X86" s="1377"/>
      <c r="Y86" s="1375">
        <f>Y85*$Q$65/Y79</f>
        <v>13132.941176470587</v>
      </c>
      <c r="Z86" s="1376"/>
      <c r="AA86" s="1376"/>
      <c r="AB86" s="1377"/>
      <c r="AC86" s="1375">
        <f>Y85*$Q$65/AC79</f>
        <v>12578.028169014086</v>
      </c>
      <c r="AD86" s="1376"/>
      <c r="AE86" s="1376"/>
      <c r="AF86" s="1377"/>
      <c r="AL86" s="767"/>
    </row>
    <row r="87" spans="1:68" ht="31.5" customHeight="1" x14ac:dyDescent="0.3">
      <c r="A87" s="1322" t="s">
        <v>6110</v>
      </c>
      <c r="B87" s="1379"/>
      <c r="C87" s="1379"/>
      <c r="D87" s="1379"/>
      <c r="E87" s="1379"/>
      <c r="F87" s="1379"/>
      <c r="G87" s="1379"/>
      <c r="H87" s="1380"/>
      <c r="I87" s="1381">
        <f>$Q$68-($Q$65/I80)-(I82/60)</f>
        <v>8.4944444444444436</v>
      </c>
      <c r="J87" s="1382"/>
      <c r="K87" s="1382"/>
      <c r="L87" s="1383"/>
      <c r="M87" s="1381">
        <f>$Q$68-($Q$65/M80)-(M82/60)</f>
        <v>8.4944444444444436</v>
      </c>
      <c r="N87" s="1382"/>
      <c r="O87" s="1382"/>
      <c r="P87" s="1383"/>
      <c r="Q87" s="1381">
        <f>$Q$68-($Q$65/Q80)-(Q82/60)</f>
        <v>8.4944444444444436</v>
      </c>
      <c r="R87" s="1382"/>
      <c r="S87" s="1382"/>
      <c r="T87" s="1383"/>
      <c r="U87" s="1381">
        <f>$Q$68-($Q$65/U80)-(U82/60)</f>
        <v>8.4944444444444436</v>
      </c>
      <c r="V87" s="1382"/>
      <c r="W87" s="1382"/>
      <c r="X87" s="1383"/>
      <c r="Y87" s="1381">
        <f>$Q$68-($Q$65/Y80)-(Y82/60)</f>
        <v>7.1388888888888884</v>
      </c>
      <c r="Z87" s="1382"/>
      <c r="AA87" s="1382"/>
      <c r="AB87" s="1383"/>
      <c r="AC87" s="1381">
        <f>$Q$68-($Q$65/AC80)-(AC82/60)</f>
        <v>7.4266666666666667</v>
      </c>
      <c r="AD87" s="1382"/>
      <c r="AE87" s="1382"/>
      <c r="AF87" s="1383"/>
    </row>
    <row r="88" spans="1:68" ht="30.75" customHeight="1" x14ac:dyDescent="0.3">
      <c r="A88" s="1384" t="s">
        <v>6111</v>
      </c>
      <c r="B88" s="1385"/>
      <c r="C88" s="1385"/>
      <c r="D88" s="1385"/>
      <c r="E88" s="1385"/>
      <c r="F88" s="1385"/>
      <c r="G88" s="1385"/>
      <c r="H88" s="1385"/>
      <c r="I88" s="1375">
        <f>I84*I87</f>
        <v>16988.888888888887</v>
      </c>
      <c r="J88" s="1376"/>
      <c r="K88" s="1376"/>
      <c r="L88" s="1377"/>
      <c r="M88" s="1375">
        <f>M84*M87</f>
        <v>11892.222222222221</v>
      </c>
      <c r="N88" s="1376"/>
      <c r="O88" s="1376"/>
      <c r="P88" s="1377"/>
      <c r="Q88" s="1375">
        <f t="shared" ref="Q88" si="0">Q84*Q87</f>
        <v>16988.888888888887</v>
      </c>
      <c r="R88" s="1376"/>
      <c r="S88" s="1376"/>
      <c r="T88" s="1377"/>
      <c r="U88" s="1375">
        <f t="shared" ref="U88" si="1">U84*U87</f>
        <v>8494.4444444444434</v>
      </c>
      <c r="V88" s="1376"/>
      <c r="W88" s="1376"/>
      <c r="X88" s="1377"/>
      <c r="Y88" s="1375">
        <f t="shared" ref="Y88" si="2">Y84*Y87</f>
        <v>7353.0555555555547</v>
      </c>
      <c r="Z88" s="1376"/>
      <c r="AA88" s="1376"/>
      <c r="AB88" s="1377"/>
      <c r="AC88" s="1375">
        <f>AC84*AC87</f>
        <v>7426.666666666667</v>
      </c>
      <c r="AD88" s="1376"/>
      <c r="AE88" s="1376"/>
      <c r="AF88" s="1377"/>
      <c r="AI88" s="770"/>
    </row>
    <row r="89" spans="1:68" ht="15.75" customHeight="1" x14ac:dyDescent="0.3">
      <c r="A89" s="1398" t="s">
        <v>6094</v>
      </c>
      <c r="B89" s="1399"/>
      <c r="C89" s="1399"/>
      <c r="D89" s="1399"/>
      <c r="E89" s="1399"/>
      <c r="F89" s="1399"/>
      <c r="G89" s="1399"/>
      <c r="H89" s="1399"/>
      <c r="I89" s="1375">
        <f>SUM(I83,I86,I88)</f>
        <v>32290.965811965809</v>
      </c>
      <c r="J89" s="1376"/>
      <c r="K89" s="1376"/>
      <c r="L89" s="1377"/>
      <c r="M89" s="1375">
        <f>SUM(M83,M86,M88)</f>
        <v>25031.748538011692</v>
      </c>
      <c r="N89" s="1376"/>
      <c r="O89" s="1376"/>
      <c r="P89" s="1377"/>
      <c r="Q89" s="1375">
        <f>SUM(Q83,Q86,Q88)</f>
        <v>32290.965811965809</v>
      </c>
      <c r="R89" s="1376"/>
      <c r="S89" s="1376"/>
      <c r="T89" s="1377"/>
      <c r="U89" s="1375">
        <f>SUM(U83,U86,U88)</f>
        <v>21633.970760233919</v>
      </c>
      <c r="V89" s="1376"/>
      <c r="W89" s="1376"/>
      <c r="X89" s="1377"/>
      <c r="Y89" s="1375">
        <f>SUM(Y83,Y86,Y88)</f>
        <v>21375.996732026142</v>
      </c>
      <c r="Z89" s="1376"/>
      <c r="AA89" s="1376"/>
      <c r="AB89" s="1377"/>
      <c r="AC89" s="1375">
        <f>SUM(AC83,AC86,AC88)</f>
        <v>20704.694835680752</v>
      </c>
      <c r="AD89" s="1376"/>
      <c r="AE89" s="1376"/>
      <c r="AF89" s="1377"/>
    </row>
    <row r="90" spans="1:68" ht="14.4" customHeight="1" x14ac:dyDescent="0.3">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68" ht="14.4" customHeight="1" x14ac:dyDescent="0.3">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row>
    <row r="92" spans="1:68" ht="14.4" customHeight="1" x14ac:dyDescent="0.3">
      <c r="A92" s="1053" t="s">
        <v>14</v>
      </c>
      <c r="B92" s="1054"/>
      <c r="C92" s="1054"/>
      <c r="D92" s="1054"/>
      <c r="E92" s="1054"/>
      <c r="F92" s="1054"/>
      <c r="G92" s="1054"/>
      <c r="H92" s="1054"/>
      <c r="I92" s="1054"/>
      <c r="J92" s="1054"/>
      <c r="K92" s="1054"/>
      <c r="L92" s="1054"/>
      <c r="M92" s="1054"/>
      <c r="N92" s="1054"/>
      <c r="O92" s="1054"/>
      <c r="P92" s="1054"/>
      <c r="Q92" s="1054"/>
      <c r="R92" s="1054"/>
      <c r="S92" s="1054"/>
      <c r="T92" s="1054"/>
      <c r="U92" s="1054"/>
      <c r="V92" s="1054"/>
      <c r="W92" s="1054"/>
      <c r="X92" s="1054"/>
      <c r="Y92" s="1054"/>
      <c r="Z92" s="1054"/>
      <c r="AA92" s="1054"/>
      <c r="AB92" s="1054"/>
      <c r="AC92" s="1054"/>
      <c r="AD92" s="1054"/>
      <c r="AE92" s="1054"/>
      <c r="AF92" s="1055"/>
    </row>
    <row r="93" spans="1:68" ht="14.4" customHeight="1" x14ac:dyDescent="0.3">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row>
    <row r="94" spans="1:68" s="72" customFormat="1" ht="14.4" customHeight="1" x14ac:dyDescent="0.3">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68" s="72" customFormat="1" ht="14.4" customHeight="1" x14ac:dyDescent="0.3">
      <c r="A95" s="1378" t="s">
        <v>1</v>
      </c>
      <c r="B95" s="1378"/>
      <c r="C95" s="1378"/>
      <c r="D95" s="1378"/>
      <c r="E95" s="1378"/>
      <c r="F95" s="1378"/>
      <c r="G95" s="1378"/>
      <c r="H95" s="1378"/>
      <c r="I95" s="1378" t="s">
        <v>16</v>
      </c>
      <c r="J95" s="1378"/>
      <c r="K95" s="1378"/>
      <c r="L95" s="1378"/>
      <c r="M95" s="1378"/>
      <c r="N95" s="1378"/>
      <c r="O95" s="1378"/>
      <c r="P95" s="1378"/>
      <c r="Q95" s="1378" t="s">
        <v>17</v>
      </c>
      <c r="R95" s="1378"/>
      <c r="S95" s="1378"/>
      <c r="T95" s="1378"/>
      <c r="U95" s="1378"/>
      <c r="V95" s="1378"/>
      <c r="W95" s="1378"/>
      <c r="X95" s="1378"/>
      <c r="Y95" s="1378" t="s">
        <v>1826</v>
      </c>
      <c r="Z95" s="1378"/>
      <c r="AA95" s="1378"/>
      <c r="AB95" s="1378"/>
      <c r="AC95" s="1378"/>
      <c r="AD95" s="1378"/>
      <c r="AE95" s="1378"/>
      <c r="AF95" s="1378"/>
      <c r="AL95" s="771"/>
    </row>
    <row r="96" spans="1:68" s="49" customFormat="1" ht="14.4" customHeight="1" x14ac:dyDescent="0.3">
      <c r="A96" s="993" t="s">
        <v>6112</v>
      </c>
      <c r="B96" s="993"/>
      <c r="C96" s="993"/>
      <c r="D96" s="993"/>
      <c r="E96" s="993"/>
      <c r="F96" s="993"/>
      <c r="G96" s="993"/>
      <c r="H96" s="993"/>
      <c r="I96" s="1293">
        <f>ROUND(Q96*$Q$70/$Q$69,3)</f>
        <v>0.65300000000000002</v>
      </c>
      <c r="J96" s="1293"/>
      <c r="K96" s="1293"/>
      <c r="L96" s="1293"/>
      <c r="M96" s="1293"/>
      <c r="N96" s="1293"/>
      <c r="O96" s="1293"/>
      <c r="P96" s="1293"/>
      <c r="Q96" s="1315">
        <f>ROUND((I89-M89)*$Q$67/1000,2)</f>
        <v>1959.99</v>
      </c>
      <c r="R96" s="1315"/>
      <c r="S96" s="1315"/>
      <c r="T96" s="1315"/>
      <c r="U96" s="1315"/>
      <c r="V96" s="1315"/>
      <c r="W96" s="1315"/>
      <c r="X96" s="1315"/>
      <c r="Y96" s="1297">
        <f>ROUND(Q96*$Q$71,2)</f>
        <v>23519.88</v>
      </c>
      <c r="Z96" s="1297"/>
      <c r="AA96" s="1297"/>
      <c r="AB96" s="1297"/>
      <c r="AC96" s="1297"/>
      <c r="AD96" s="1297"/>
      <c r="AE96" s="1297"/>
      <c r="AF96" s="1297"/>
      <c r="AL96" s="771"/>
    </row>
    <row r="97" spans="1:43" s="49" customFormat="1" ht="14.4" customHeight="1" x14ac:dyDescent="0.3">
      <c r="A97" s="993" t="s">
        <v>6113</v>
      </c>
      <c r="B97" s="993"/>
      <c r="C97" s="993"/>
      <c r="D97" s="993"/>
      <c r="E97" s="993"/>
      <c r="F97" s="993"/>
      <c r="G97" s="993"/>
      <c r="H97" s="993"/>
      <c r="I97" s="1293">
        <f>ROUND(Q97*$Q$70/$Q$69,3)</f>
        <v>0.95899999999999996</v>
      </c>
      <c r="J97" s="1293"/>
      <c r="K97" s="1293"/>
      <c r="L97" s="1293"/>
      <c r="M97" s="1293"/>
      <c r="N97" s="1293"/>
      <c r="O97" s="1293"/>
      <c r="P97" s="1293"/>
      <c r="Q97" s="1315">
        <f>ROUND((Q89-U89)*$Q$67/1000,2)</f>
        <v>2877.39</v>
      </c>
      <c r="R97" s="1315"/>
      <c r="S97" s="1315"/>
      <c r="T97" s="1315"/>
      <c r="U97" s="1315"/>
      <c r="V97" s="1315"/>
      <c r="W97" s="1315"/>
      <c r="X97" s="1315"/>
      <c r="Y97" s="1297">
        <f>ROUND(Q97*$Q$71,2)</f>
        <v>34528.68</v>
      </c>
      <c r="Z97" s="1297"/>
      <c r="AA97" s="1297"/>
      <c r="AB97" s="1297"/>
      <c r="AC97" s="1297"/>
      <c r="AD97" s="1297"/>
      <c r="AE97" s="1297"/>
      <c r="AF97" s="1297"/>
    </row>
    <row r="98" spans="1:43" s="44" customFormat="1" ht="14.4" customHeight="1" x14ac:dyDescent="0.3">
      <c r="A98" s="993" t="s">
        <v>6090</v>
      </c>
      <c r="B98" s="993"/>
      <c r="C98" s="993"/>
      <c r="D98" s="993"/>
      <c r="E98" s="993"/>
      <c r="F98" s="993"/>
      <c r="G98" s="993"/>
      <c r="H98" s="993"/>
      <c r="I98" s="1293">
        <f>ROUND(Q98*$Q$70/$Q$69,3)</f>
        <v>0.06</v>
      </c>
      <c r="J98" s="1293"/>
      <c r="K98" s="1293"/>
      <c r="L98" s="1293"/>
      <c r="M98" s="1293"/>
      <c r="N98" s="1293"/>
      <c r="O98" s="1293"/>
      <c r="P98" s="1293"/>
      <c r="Q98" s="1315">
        <f>ROUND((Y89-AC89)*$Q$67/1000,2)</f>
        <v>181.25</v>
      </c>
      <c r="R98" s="1315"/>
      <c r="S98" s="1315"/>
      <c r="T98" s="1315"/>
      <c r="U98" s="1315"/>
      <c r="V98" s="1315"/>
      <c r="W98" s="1315"/>
      <c r="X98" s="1315"/>
      <c r="Y98" s="1297">
        <f>ROUND(Q98*$Q$71,2)</f>
        <v>2175</v>
      </c>
      <c r="Z98" s="1297"/>
      <c r="AA98" s="1297"/>
      <c r="AB98" s="1297"/>
      <c r="AC98" s="1297"/>
      <c r="AD98" s="1297"/>
      <c r="AE98" s="1297"/>
      <c r="AF98" s="1297"/>
    </row>
    <row r="99" spans="1:43" s="44" customFormat="1" ht="14.4" customHeight="1" x14ac:dyDescent="0.3">
      <c r="A99" s="58"/>
      <c r="B99" s="58"/>
      <c r="C99" s="58"/>
      <c r="D99" s="58"/>
      <c r="E99" s="58"/>
      <c r="F99" s="58"/>
      <c r="G99" s="58"/>
      <c r="H99" s="58"/>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43" s="45" customFormat="1" ht="14.4" customHeight="1" x14ac:dyDescent="0.3">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43" x14ac:dyDescent="0.3">
      <c r="A101" s="1290" t="s">
        <v>1514</v>
      </c>
      <c r="B101" s="1290"/>
      <c r="C101" s="1290"/>
      <c r="D101" s="1290"/>
      <c r="E101" s="1290"/>
      <c r="F101" s="1290"/>
      <c r="G101" s="1290"/>
      <c r="H101" s="1290"/>
      <c r="I101" s="1290"/>
      <c r="J101" s="1290"/>
      <c r="K101" s="1290"/>
      <c r="L101" s="1290"/>
      <c r="M101" s="1290"/>
      <c r="N101" s="1290"/>
      <c r="O101" s="1290"/>
      <c r="P101" s="1290"/>
      <c r="Q101" s="1290"/>
      <c r="R101" s="1290"/>
      <c r="S101" s="1290"/>
      <c r="T101" s="1290"/>
      <c r="U101" s="1290"/>
      <c r="V101" s="1290"/>
      <c r="W101" s="1290"/>
      <c r="X101" s="1290"/>
      <c r="Y101" s="1290"/>
      <c r="Z101" s="1290"/>
      <c r="AA101" s="1290"/>
      <c r="AB101" s="1290"/>
      <c r="AC101" s="1290"/>
      <c r="AD101" s="1290"/>
      <c r="AE101" s="1290"/>
      <c r="AF101" s="1290"/>
      <c r="AL101" s="709"/>
    </row>
    <row r="102" spans="1:43" x14ac:dyDescent="0.3">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L102" s="709"/>
    </row>
    <row r="103" spans="1:43" ht="15" customHeight="1" x14ac:dyDescent="0.3">
      <c r="A103" s="370" t="s">
        <v>803</v>
      </c>
      <c r="B103" s="889" t="s">
        <v>6095</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L103" s="544"/>
    </row>
    <row r="104" spans="1:43" ht="45.75" customHeight="1" x14ac:dyDescent="0.3">
      <c r="A104" s="370" t="s">
        <v>803</v>
      </c>
      <c r="B104" s="889" t="s">
        <v>5212</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I104" s="544"/>
      <c r="AM104" s="544"/>
      <c r="AN104" s="544"/>
      <c r="AO104" s="544"/>
      <c r="AP104" s="544"/>
      <c r="AQ104" s="544"/>
    </row>
    <row r="105" spans="1:43" ht="62.25" customHeight="1" x14ac:dyDescent="0.3">
      <c r="A105" s="370" t="s">
        <v>803</v>
      </c>
      <c r="B105" s="889" t="s">
        <v>6020</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L105" s="544"/>
    </row>
    <row r="106" spans="1:43" ht="59.25" customHeight="1" x14ac:dyDescent="0.3">
      <c r="A106" s="370" t="s">
        <v>803</v>
      </c>
      <c r="B106" s="889" t="s">
        <v>6021</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L106" s="544"/>
    </row>
    <row r="107" spans="1:43" ht="30.75" customHeight="1" x14ac:dyDescent="0.3">
      <c r="A107" s="370" t="s">
        <v>803</v>
      </c>
      <c r="B107" s="889" t="s">
        <v>6096</v>
      </c>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c r="AL107" s="544"/>
    </row>
    <row r="108" spans="1:43" ht="48" customHeight="1" x14ac:dyDescent="0.3">
      <c r="A108" s="370" t="s">
        <v>803</v>
      </c>
      <c r="B108" s="889" t="s">
        <v>6097</v>
      </c>
      <c r="C108" s="889"/>
      <c r="D108" s="889"/>
      <c r="E108" s="889"/>
      <c r="F108" s="889"/>
      <c r="G108" s="889"/>
      <c r="H108" s="889"/>
      <c r="I108" s="889"/>
      <c r="J108" s="889"/>
      <c r="K108" s="889"/>
      <c r="L108" s="889"/>
      <c r="M108" s="889"/>
      <c r="N108" s="889"/>
      <c r="O108" s="889"/>
      <c r="P108" s="889"/>
      <c r="Q108" s="889"/>
      <c r="R108" s="889"/>
      <c r="S108" s="889"/>
      <c r="T108" s="889"/>
      <c r="U108" s="889"/>
      <c r="V108" s="889"/>
      <c r="W108" s="889"/>
      <c r="X108" s="889"/>
      <c r="Y108" s="889"/>
      <c r="Z108" s="889"/>
      <c r="AA108" s="889"/>
      <c r="AB108" s="889"/>
      <c r="AC108" s="889"/>
      <c r="AD108" s="889"/>
      <c r="AE108" s="889"/>
      <c r="AF108" s="889"/>
      <c r="AL108" s="544"/>
    </row>
    <row r="109" spans="1:43" ht="30.75" customHeight="1" x14ac:dyDescent="0.3">
      <c r="A109" s="370" t="s">
        <v>803</v>
      </c>
      <c r="B109" s="889" t="s">
        <v>6023</v>
      </c>
      <c r="C109" s="889"/>
      <c r="D109" s="889"/>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c r="AE109" s="889"/>
      <c r="AF109" s="889"/>
      <c r="AL109" s="767"/>
    </row>
    <row r="110" spans="1:43" ht="30.75" customHeight="1" x14ac:dyDescent="0.3">
      <c r="A110" s="370" t="s">
        <v>803</v>
      </c>
      <c r="B110" s="889" t="s">
        <v>6024</v>
      </c>
      <c r="C110" s="889"/>
      <c r="D110" s="889"/>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c r="AE110" s="889"/>
      <c r="AF110" s="889"/>
      <c r="AL110" s="544"/>
    </row>
    <row r="111" spans="1:43" ht="33" customHeight="1" x14ac:dyDescent="0.3">
      <c r="A111" s="370" t="s">
        <v>803</v>
      </c>
      <c r="B111" s="889" t="s">
        <v>6025</v>
      </c>
      <c r="C111" s="889"/>
      <c r="D111" s="889"/>
      <c r="E111" s="889"/>
      <c r="F111" s="889"/>
      <c r="G111" s="889"/>
      <c r="H111" s="889"/>
      <c r="I111" s="889"/>
      <c r="J111" s="889"/>
      <c r="K111" s="889"/>
      <c r="L111" s="889"/>
      <c r="M111" s="889"/>
      <c r="N111" s="889"/>
      <c r="O111" s="889"/>
      <c r="P111" s="889"/>
      <c r="Q111" s="889"/>
      <c r="R111" s="889"/>
      <c r="S111" s="889"/>
      <c r="T111" s="889"/>
      <c r="U111" s="889"/>
      <c r="V111" s="889"/>
      <c r="W111" s="889"/>
      <c r="X111" s="889"/>
      <c r="Y111" s="889"/>
      <c r="Z111" s="889"/>
      <c r="AA111" s="889"/>
      <c r="AB111" s="889"/>
      <c r="AC111" s="889"/>
      <c r="AD111" s="889"/>
      <c r="AE111" s="889"/>
      <c r="AF111" s="889"/>
      <c r="AL111" s="544"/>
    </row>
    <row r="112" spans="1:43" ht="30" customHeight="1" x14ac:dyDescent="0.3">
      <c r="A112" s="370" t="s">
        <v>803</v>
      </c>
      <c r="B112" s="889" t="s">
        <v>6026</v>
      </c>
      <c r="C112" s="889"/>
      <c r="D112" s="889"/>
      <c r="E112" s="889"/>
      <c r="F112" s="889"/>
      <c r="G112" s="889"/>
      <c r="H112" s="889"/>
      <c r="I112" s="889"/>
      <c r="J112" s="889"/>
      <c r="K112" s="889"/>
      <c r="L112" s="889"/>
      <c r="M112" s="889"/>
      <c r="N112" s="889"/>
      <c r="O112" s="889"/>
      <c r="P112" s="889"/>
      <c r="Q112" s="889"/>
      <c r="R112" s="889"/>
      <c r="S112" s="889"/>
      <c r="T112" s="889"/>
      <c r="U112" s="889"/>
      <c r="V112" s="889"/>
      <c r="W112" s="889"/>
      <c r="X112" s="889"/>
      <c r="Y112" s="889"/>
      <c r="Z112" s="889"/>
      <c r="AA112" s="889"/>
      <c r="AB112" s="889"/>
      <c r="AC112" s="889"/>
      <c r="AD112" s="889"/>
      <c r="AE112" s="889"/>
      <c r="AF112" s="889"/>
      <c r="AL112" s="544"/>
    </row>
    <row r="113" spans="1:38" ht="32.25" customHeight="1" x14ac:dyDescent="0.3">
      <c r="A113" s="370" t="s">
        <v>803</v>
      </c>
      <c r="B113" s="889" t="s">
        <v>5214</v>
      </c>
      <c r="C113" s="889"/>
      <c r="D113" s="889"/>
      <c r="E113" s="889"/>
      <c r="F113" s="889"/>
      <c r="G113" s="889"/>
      <c r="H113" s="889"/>
      <c r="I113" s="889"/>
      <c r="J113" s="889"/>
      <c r="K113" s="889"/>
      <c r="L113" s="889"/>
      <c r="M113" s="889"/>
      <c r="N113" s="889"/>
      <c r="O113" s="889"/>
      <c r="P113" s="889"/>
      <c r="Q113" s="889"/>
      <c r="R113" s="889"/>
      <c r="S113" s="889"/>
      <c r="T113" s="889"/>
      <c r="U113" s="889"/>
      <c r="V113" s="889"/>
      <c r="W113" s="889"/>
      <c r="X113" s="889"/>
      <c r="Y113" s="889"/>
      <c r="Z113" s="889"/>
      <c r="AA113" s="889"/>
      <c r="AB113" s="889"/>
      <c r="AC113" s="889"/>
      <c r="AD113" s="889"/>
      <c r="AE113" s="889"/>
      <c r="AF113" s="889"/>
      <c r="AL113" s="544"/>
    </row>
    <row r="114" spans="1:38" ht="30" customHeight="1" x14ac:dyDescent="0.3">
      <c r="A114" s="370" t="s">
        <v>803</v>
      </c>
      <c r="B114" s="889" t="s">
        <v>6027</v>
      </c>
      <c r="C114" s="889"/>
      <c r="D114" s="889"/>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c r="AE114" s="889"/>
      <c r="AF114" s="889"/>
      <c r="AL114" s="544"/>
    </row>
  </sheetData>
  <sheetProtection algorithmName="SHA-512" hashValue="KpiE+Al3lovc9yXuFnYE8aYhF0pUl2jaCERjaBKNwE/V+dbKZPgP7d5bbAzaJ8b22F2Sfk39xlEXm8adyNxcPg==" saltValue="oMR/jGMvNgazZE6r9vO2SA==" spinCount="100000" sheet="1" objects="1" scenarios="1"/>
  <mergeCells count="222">
    <mergeCell ref="A53:D53"/>
    <mergeCell ref="E53:P53"/>
    <mergeCell ref="Q53:T53"/>
    <mergeCell ref="U53:V53"/>
    <mergeCell ref="W53:AF53"/>
    <mergeCell ref="A54:D54"/>
    <mergeCell ref="E54:P54"/>
    <mergeCell ref="A1:AF1"/>
    <mergeCell ref="A3:AF3"/>
    <mergeCell ref="A86:H86"/>
    <mergeCell ref="I86:L86"/>
    <mergeCell ref="M86:P86"/>
    <mergeCell ref="Q86:T86"/>
    <mergeCell ref="U86:X86"/>
    <mergeCell ref="A89:H89"/>
    <mergeCell ref="I89:L89"/>
    <mergeCell ref="M89:P89"/>
    <mergeCell ref="Q89:T89"/>
    <mergeCell ref="U88:X88"/>
    <mergeCell ref="U89:X89"/>
    <mergeCell ref="M87:P87"/>
    <mergeCell ref="Q87:T87"/>
    <mergeCell ref="A73:AF73"/>
    <mergeCell ref="A77:H78"/>
    <mergeCell ref="Y77:AF77"/>
    <mergeCell ref="Y78:AB78"/>
    <mergeCell ref="AC78:AF78"/>
    <mergeCell ref="A79:H79"/>
    <mergeCell ref="Y79:AB79"/>
    <mergeCell ref="AC79:AF79"/>
    <mergeCell ref="A80:H80"/>
    <mergeCell ref="Y80:AB80"/>
    <mergeCell ref="AC80:AF80"/>
    <mergeCell ref="I77:P77"/>
    <mergeCell ref="Q77:X77"/>
    <mergeCell ref="I78:L78"/>
    <mergeCell ref="M78:P78"/>
    <mergeCell ref="Q78:T78"/>
    <mergeCell ref="I79:L79"/>
    <mergeCell ref="M79:P79"/>
    <mergeCell ref="Q79:T79"/>
    <mergeCell ref="I80:L80"/>
    <mergeCell ref="M80:P80"/>
    <mergeCell ref="Q80:T80"/>
    <mergeCell ref="U78:X78"/>
    <mergeCell ref="U79:X79"/>
    <mergeCell ref="U80:X80"/>
    <mergeCell ref="B5:AF5"/>
    <mergeCell ref="A7:AF7"/>
    <mergeCell ref="B10:AF10"/>
    <mergeCell ref="B13:AF13"/>
    <mergeCell ref="B16:AF16"/>
    <mergeCell ref="B19:AF19"/>
    <mergeCell ref="B22:AF22"/>
    <mergeCell ref="A25:AF25"/>
    <mergeCell ref="A52:AF52"/>
    <mergeCell ref="Q54:T54"/>
    <mergeCell ref="U54:V54"/>
    <mergeCell ref="W54:AF54"/>
    <mergeCell ref="A55:D55"/>
    <mergeCell ref="E55:P55"/>
    <mergeCell ref="Q55:T55"/>
    <mergeCell ref="U55:V55"/>
    <mergeCell ref="W55:AF55"/>
    <mergeCell ref="A56:D56"/>
    <mergeCell ref="E56:P56"/>
    <mergeCell ref="Q56:T56"/>
    <mergeCell ref="U56:V56"/>
    <mergeCell ref="W56:AF56"/>
    <mergeCell ref="A57:D57"/>
    <mergeCell ref="E57:P57"/>
    <mergeCell ref="Q57:T57"/>
    <mergeCell ref="U57:V57"/>
    <mergeCell ref="W57:AF57"/>
    <mergeCell ref="A58:D58"/>
    <mergeCell ref="E58:P58"/>
    <mergeCell ref="Q58:T58"/>
    <mergeCell ref="U58:V58"/>
    <mergeCell ref="W58:AF58"/>
    <mergeCell ref="Q59:T59"/>
    <mergeCell ref="U59:V59"/>
    <mergeCell ref="W59:AF59"/>
    <mergeCell ref="A60:D60"/>
    <mergeCell ref="E60:P60"/>
    <mergeCell ref="Q60:T60"/>
    <mergeCell ref="U60:V60"/>
    <mergeCell ref="W60:AF60"/>
    <mergeCell ref="A61:D61"/>
    <mergeCell ref="E61:P61"/>
    <mergeCell ref="Q61:T61"/>
    <mergeCell ref="U61:V61"/>
    <mergeCell ref="W61:AF61"/>
    <mergeCell ref="A59:D59"/>
    <mergeCell ref="E59:P59"/>
    <mergeCell ref="A62:D62"/>
    <mergeCell ref="E62:P62"/>
    <mergeCell ref="Q62:T62"/>
    <mergeCell ref="U62:V62"/>
    <mergeCell ref="W62:AF62"/>
    <mergeCell ref="A63:D63"/>
    <mergeCell ref="E63:P63"/>
    <mergeCell ref="Q63:T63"/>
    <mergeCell ref="U63:V63"/>
    <mergeCell ref="W63:AF63"/>
    <mergeCell ref="A64:D64"/>
    <mergeCell ref="E64:P64"/>
    <mergeCell ref="Q64:T64"/>
    <mergeCell ref="U64:V64"/>
    <mergeCell ref="W64:AF64"/>
    <mergeCell ref="A65:D65"/>
    <mergeCell ref="E65:P65"/>
    <mergeCell ref="Q65:T65"/>
    <mergeCell ref="U65:V65"/>
    <mergeCell ref="W65:AF65"/>
    <mergeCell ref="A66:D66"/>
    <mergeCell ref="E66:P66"/>
    <mergeCell ref="Q66:T66"/>
    <mergeCell ref="U66:V66"/>
    <mergeCell ref="W66:AF66"/>
    <mergeCell ref="A67:D67"/>
    <mergeCell ref="E67:P67"/>
    <mergeCell ref="Q67:T67"/>
    <mergeCell ref="U67:V67"/>
    <mergeCell ref="W67:AF67"/>
    <mergeCell ref="A68:D68"/>
    <mergeCell ref="E68:P68"/>
    <mergeCell ref="Q68:T68"/>
    <mergeCell ref="U68:V68"/>
    <mergeCell ref="W68:AF68"/>
    <mergeCell ref="A69:D69"/>
    <mergeCell ref="E69:P69"/>
    <mergeCell ref="Q69:T69"/>
    <mergeCell ref="U69:V69"/>
    <mergeCell ref="W69:AF69"/>
    <mergeCell ref="A70:D70"/>
    <mergeCell ref="E70:P70"/>
    <mergeCell ref="Q70:T70"/>
    <mergeCell ref="U70:V70"/>
    <mergeCell ref="W70:AF70"/>
    <mergeCell ref="A71:D71"/>
    <mergeCell ref="E71:P71"/>
    <mergeCell ref="Q71:T71"/>
    <mergeCell ref="U71:V71"/>
    <mergeCell ref="W71:AF71"/>
    <mergeCell ref="M81:P81"/>
    <mergeCell ref="Q81:T81"/>
    <mergeCell ref="Y81:AB81"/>
    <mergeCell ref="AC81:AF81"/>
    <mergeCell ref="A82:H82"/>
    <mergeCell ref="I82:L82"/>
    <mergeCell ref="M82:P82"/>
    <mergeCell ref="Q82:T82"/>
    <mergeCell ref="Y82:AB82"/>
    <mergeCell ref="AC82:AF82"/>
    <mergeCell ref="I81:L81"/>
    <mergeCell ref="U81:X81"/>
    <mergeCell ref="U82:X82"/>
    <mergeCell ref="A81:H81"/>
    <mergeCell ref="Y83:AB83"/>
    <mergeCell ref="AC83:AF83"/>
    <mergeCell ref="A84:H84"/>
    <mergeCell ref="I84:L84"/>
    <mergeCell ref="M84:P84"/>
    <mergeCell ref="Q84:T84"/>
    <mergeCell ref="Y84:AB84"/>
    <mergeCell ref="AC84:AF84"/>
    <mergeCell ref="A85:H85"/>
    <mergeCell ref="I85:P85"/>
    <mergeCell ref="Q85:X85"/>
    <mergeCell ref="Y85:AF85"/>
    <mergeCell ref="U83:X83"/>
    <mergeCell ref="U84:X84"/>
    <mergeCell ref="A83:H83"/>
    <mergeCell ref="I83:L83"/>
    <mergeCell ref="M83:P83"/>
    <mergeCell ref="Q83:T83"/>
    <mergeCell ref="Y87:AB87"/>
    <mergeCell ref="AC87:AF87"/>
    <mergeCell ref="A88:H88"/>
    <mergeCell ref="I88:L88"/>
    <mergeCell ref="M88:P88"/>
    <mergeCell ref="Q88:T88"/>
    <mergeCell ref="Y88:AB88"/>
    <mergeCell ref="AC88:AF88"/>
    <mergeCell ref="U87:X87"/>
    <mergeCell ref="B114:AF114"/>
    <mergeCell ref="A97:H97"/>
    <mergeCell ref="I97:P97"/>
    <mergeCell ref="Q97:X97"/>
    <mergeCell ref="Y97:AF97"/>
    <mergeCell ref="Y98:AF98"/>
    <mergeCell ref="A101:AF101"/>
    <mergeCell ref="B103:AF103"/>
    <mergeCell ref="B104:AF104"/>
    <mergeCell ref="B105:AF105"/>
    <mergeCell ref="A98:H98"/>
    <mergeCell ref="I98:P98"/>
    <mergeCell ref="Q98:X98"/>
    <mergeCell ref="AH85:AK85"/>
    <mergeCell ref="B106:AF106"/>
    <mergeCell ref="B107:AF107"/>
    <mergeCell ref="B108:AF108"/>
    <mergeCell ref="B109:AF109"/>
    <mergeCell ref="B110:AF110"/>
    <mergeCell ref="B111:AF111"/>
    <mergeCell ref="B112:AF112"/>
    <mergeCell ref="B113:AF113"/>
    <mergeCell ref="Y89:AB89"/>
    <mergeCell ref="AC89:AF89"/>
    <mergeCell ref="A92:AF92"/>
    <mergeCell ref="A95:H95"/>
    <mergeCell ref="I95:P95"/>
    <mergeCell ref="Q95:X95"/>
    <mergeCell ref="Y95:AF95"/>
    <mergeCell ref="A96:H96"/>
    <mergeCell ref="I96:P96"/>
    <mergeCell ref="Q96:X96"/>
    <mergeCell ref="Y96:AF96"/>
    <mergeCell ref="Y86:AB86"/>
    <mergeCell ref="AC86:AF86"/>
    <mergeCell ref="A87:H87"/>
    <mergeCell ref="I87:L87"/>
  </mergeCells>
  <hyperlinks>
    <hyperlink ref="A2" location="TOC!A1" display="Return to TOC" xr:uid="{F825B9A1-B237-4CEC-9A1D-606EC1B0A9AE}"/>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9"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F32"/>
  <sheetViews>
    <sheetView showGridLines="0" tabSelected="1" zoomScaleNormal="100" workbookViewId="0"/>
  </sheetViews>
  <sheetFormatPr defaultColWidth="2.6640625" defaultRowHeight="14.4" x14ac:dyDescent="0.3"/>
  <sheetData>
    <row r="1" spans="1:32" x14ac:dyDescent="0.3">
      <c r="A1" s="238"/>
    </row>
    <row r="11" spans="1:32" ht="23.4" x14ac:dyDescent="0.45">
      <c r="A11" s="848" t="s">
        <v>2896</v>
      </c>
      <c r="B11" s="848"/>
      <c r="C11" s="848"/>
      <c r="D11" s="848"/>
      <c r="E11" s="848"/>
      <c r="F11" s="848"/>
      <c r="G11" s="848"/>
      <c r="H11" s="848"/>
      <c r="I11" s="848"/>
      <c r="J11" s="848"/>
      <c r="K11" s="848"/>
      <c r="L11" s="848"/>
      <c r="M11" s="848"/>
      <c r="N11" s="848"/>
      <c r="O11" s="848"/>
      <c r="P11" s="848"/>
      <c r="Q11" s="848"/>
      <c r="R11" s="848"/>
      <c r="S11" s="848"/>
      <c r="T11" s="848"/>
      <c r="U11" s="848"/>
      <c r="V11" s="848"/>
      <c r="W11" s="848"/>
      <c r="X11" s="848"/>
      <c r="Y11" s="848"/>
      <c r="Z11" s="848"/>
      <c r="AA11" s="848"/>
      <c r="AB11" s="848"/>
      <c r="AC11" s="848"/>
      <c r="AD11" s="848"/>
      <c r="AE11" s="848"/>
      <c r="AF11" s="848"/>
    </row>
    <row r="13" spans="1:32" ht="21" x14ac:dyDescent="0.4">
      <c r="A13" s="849" t="s">
        <v>5923</v>
      </c>
      <c r="B13" s="849"/>
      <c r="C13" s="849"/>
      <c r="D13" s="849"/>
      <c r="E13" s="849"/>
      <c r="F13" s="849"/>
      <c r="G13" s="849"/>
      <c r="H13" s="849"/>
      <c r="I13" s="849"/>
      <c r="J13" s="849"/>
      <c r="K13" s="849"/>
      <c r="L13" s="849"/>
      <c r="M13" s="849"/>
      <c r="N13" s="849"/>
      <c r="O13" s="849"/>
      <c r="P13" s="849"/>
      <c r="Q13" s="849"/>
      <c r="R13" s="849"/>
      <c r="S13" s="849"/>
      <c r="T13" s="849"/>
      <c r="U13" s="849"/>
      <c r="V13" s="849"/>
      <c r="W13" s="849"/>
      <c r="X13" s="849"/>
      <c r="Y13" s="849"/>
      <c r="Z13" s="849"/>
      <c r="AA13" s="849"/>
      <c r="AB13" s="849"/>
      <c r="AC13" s="849"/>
      <c r="AD13" s="849"/>
      <c r="AE13" s="849"/>
      <c r="AF13" s="849"/>
    </row>
    <row r="14" spans="1:32" ht="21" x14ac:dyDescent="0.4">
      <c r="A14" s="390"/>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row>
    <row r="15" spans="1:32" ht="21" x14ac:dyDescent="0.4">
      <c r="A15" s="390"/>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row>
    <row r="18" spans="1:32" ht="23.4" x14ac:dyDescent="0.45">
      <c r="A18" s="850" t="s">
        <v>2894</v>
      </c>
      <c r="B18" s="850"/>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row>
    <row r="20" spans="1:32" ht="21" x14ac:dyDescent="0.4">
      <c r="A20" s="849" t="s">
        <v>5924</v>
      </c>
      <c r="B20" s="849"/>
      <c r="C20" s="849"/>
      <c r="D20" s="849"/>
      <c r="E20" s="849"/>
      <c r="F20" s="849"/>
      <c r="G20" s="849"/>
      <c r="H20" s="849"/>
      <c r="I20" s="849"/>
      <c r="J20" s="849"/>
      <c r="K20" s="849"/>
      <c r="L20" s="849"/>
      <c r="M20" s="849"/>
      <c r="N20" s="849"/>
      <c r="O20" s="849"/>
      <c r="P20" s="849"/>
      <c r="Q20" s="849"/>
      <c r="R20" s="849"/>
      <c r="S20" s="849"/>
      <c r="T20" s="849"/>
      <c r="U20" s="849"/>
      <c r="V20" s="849"/>
      <c r="W20" s="849"/>
      <c r="X20" s="849"/>
      <c r="Y20" s="849"/>
      <c r="Z20" s="849"/>
      <c r="AA20" s="849"/>
      <c r="AB20" s="849"/>
      <c r="AC20" s="849"/>
      <c r="AD20" s="849"/>
      <c r="AE20" s="849"/>
      <c r="AF20" s="849"/>
    </row>
    <row r="21" spans="1:32" ht="21" x14ac:dyDescent="0.4">
      <c r="A21" s="390"/>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row>
    <row r="22" spans="1:32" ht="21" x14ac:dyDescent="0.4">
      <c r="A22" s="849" t="s">
        <v>6463</v>
      </c>
      <c r="B22" s="849"/>
      <c r="C22" s="849"/>
      <c r="D22" s="849"/>
      <c r="E22" s="849"/>
      <c r="F22" s="849"/>
      <c r="G22" s="849"/>
      <c r="H22" s="849"/>
      <c r="I22" s="849"/>
      <c r="J22" s="849"/>
      <c r="K22" s="849"/>
      <c r="L22" s="849"/>
      <c r="M22" s="849"/>
      <c r="N22" s="849"/>
      <c r="O22" s="849"/>
      <c r="P22" s="849"/>
      <c r="Q22" s="849"/>
      <c r="R22" s="849"/>
      <c r="S22" s="849"/>
      <c r="T22" s="849"/>
      <c r="U22" s="849"/>
      <c r="V22" s="849"/>
      <c r="W22" s="849"/>
      <c r="X22" s="849"/>
      <c r="Y22" s="849"/>
      <c r="Z22" s="849"/>
      <c r="AA22" s="849"/>
      <c r="AB22" s="849"/>
      <c r="AC22" s="849"/>
      <c r="AD22" s="849"/>
      <c r="AE22" s="849"/>
      <c r="AF22" s="849"/>
    </row>
    <row r="25" spans="1:32" ht="21" x14ac:dyDescent="0.4">
      <c r="A25" s="849" t="s">
        <v>2895</v>
      </c>
      <c r="B25" s="849"/>
      <c r="C25" s="849"/>
      <c r="D25" s="849"/>
      <c r="E25" s="849"/>
      <c r="F25" s="849"/>
      <c r="G25" s="849"/>
      <c r="H25" s="849"/>
      <c r="I25" s="849"/>
      <c r="J25" s="849"/>
      <c r="K25" s="849"/>
      <c r="L25" s="849"/>
      <c r="M25" s="849"/>
      <c r="N25" s="849"/>
      <c r="O25" s="849"/>
      <c r="P25" s="849"/>
      <c r="Q25" s="849"/>
      <c r="R25" s="849"/>
      <c r="S25" s="849"/>
      <c r="T25" s="849"/>
      <c r="U25" s="849"/>
      <c r="V25" s="849"/>
      <c r="W25" s="849"/>
      <c r="X25" s="849"/>
      <c r="Y25" s="849"/>
      <c r="Z25" s="849"/>
      <c r="AA25" s="849"/>
      <c r="AB25" s="849"/>
      <c r="AC25" s="849"/>
      <c r="AD25" s="849"/>
      <c r="AE25" s="849"/>
      <c r="AF25" s="849"/>
    </row>
    <row r="32" spans="1:32" ht="15.6" x14ac:dyDescent="0.3">
      <c r="A32" s="846" t="s">
        <v>6652</v>
      </c>
      <c r="B32" s="847"/>
      <c r="C32" s="847"/>
      <c r="D32" s="847"/>
      <c r="E32" s="847"/>
      <c r="F32" s="847"/>
      <c r="G32" s="847"/>
      <c r="H32" s="847"/>
      <c r="I32" s="847"/>
      <c r="J32" s="847"/>
      <c r="K32" s="847"/>
      <c r="L32" s="847"/>
      <c r="M32" s="847"/>
      <c r="N32" s="847"/>
      <c r="O32" s="847"/>
      <c r="P32" s="847"/>
      <c r="Q32" s="847"/>
      <c r="R32" s="847"/>
      <c r="S32" s="847"/>
      <c r="T32" s="847"/>
      <c r="U32" s="847"/>
      <c r="V32" s="847"/>
      <c r="W32" s="847"/>
      <c r="X32" s="847"/>
      <c r="Y32" s="847"/>
      <c r="Z32" s="847"/>
      <c r="AA32" s="847"/>
      <c r="AB32" s="847"/>
      <c r="AC32" s="847"/>
      <c r="AD32" s="847"/>
      <c r="AE32" s="847"/>
      <c r="AF32" s="847"/>
    </row>
  </sheetData>
  <sheetProtection algorithmName="SHA-512" hashValue="hQCdXtd710fmqUn2pI3uuVgDDVcB7jHYSUsOY+8yVeAhkd5IxsHFTJtxYPStXmo2CqiNXag9+M2BH8k4EiElCw==" saltValue="u0c4TnaKYAfE9akJ/jcjiA==" spinCount="100000" sheet="1" objects="1" scenarios="1"/>
  <mergeCells count="7">
    <mergeCell ref="A32:AF32"/>
    <mergeCell ref="A11:AF11"/>
    <mergeCell ref="A13:AF13"/>
    <mergeCell ref="A18:AF18"/>
    <mergeCell ref="A20:AF20"/>
    <mergeCell ref="A25:AF25"/>
    <mergeCell ref="A22:AF22"/>
  </mergeCell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7" tint="0.79998168889431442"/>
    <pageSetUpPr autoPageBreaks="0"/>
  </sheetPr>
  <dimension ref="A1:AF70"/>
  <sheetViews>
    <sheetView workbookViewId="0">
      <selection activeCell="A2" sqref="A2"/>
    </sheetView>
  </sheetViews>
  <sheetFormatPr defaultColWidth="2.6640625" defaultRowHeight="14.4" x14ac:dyDescent="0.3"/>
  <cols>
    <col min="1" max="16384" width="2.6640625" style="1"/>
  </cols>
  <sheetData>
    <row r="1" spans="1:32" ht="18" x14ac:dyDescent="0.3">
      <c r="A1" s="1131" t="s">
        <v>5157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8" x14ac:dyDescent="0.3">
      <c r="A4" s="228"/>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row>
    <row r="5" spans="1:32" ht="18" x14ac:dyDescent="0.3">
      <c r="A5" s="228"/>
      <c r="B5" s="59" t="s">
        <v>5133</v>
      </c>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s="4" customFormat="1" ht="18"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144" t="s">
        <v>3</v>
      </c>
      <c r="C9" s="1144"/>
      <c r="D9" s="1144"/>
      <c r="E9" s="1144"/>
      <c r="F9" s="1144"/>
      <c r="G9" s="1144"/>
      <c r="H9" s="1144"/>
      <c r="I9" s="1144"/>
    </row>
    <row r="10" spans="1:32" ht="153" customHeight="1" x14ac:dyDescent="0.3">
      <c r="A10" s="4"/>
      <c r="B10" s="953" t="s">
        <v>5158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1144" t="s">
        <v>4</v>
      </c>
      <c r="C12" s="1144"/>
      <c r="D12" s="1144"/>
      <c r="E12" s="1144"/>
      <c r="F12" s="1144"/>
      <c r="G12" s="1144"/>
      <c r="H12" s="1144"/>
      <c r="I12" s="1144"/>
    </row>
    <row r="13" spans="1:32" ht="125.25" customHeight="1" x14ac:dyDescent="0.3">
      <c r="B13" s="953" t="s">
        <v>5159</v>
      </c>
      <c r="C13" s="1145"/>
      <c r="D13" s="1145"/>
      <c r="E13" s="1145"/>
      <c r="F13" s="1145"/>
      <c r="G13" s="1145"/>
      <c r="H13" s="1145"/>
      <c r="I13" s="1145"/>
      <c r="J13" s="1145"/>
      <c r="K13" s="1145"/>
      <c r="L13" s="1145"/>
      <c r="M13" s="1145"/>
      <c r="N13" s="1145"/>
      <c r="O13" s="1145"/>
      <c r="P13" s="1145"/>
      <c r="Q13" s="1145"/>
      <c r="R13" s="1145"/>
      <c r="S13" s="1145"/>
      <c r="T13" s="1145"/>
      <c r="U13" s="1145"/>
      <c r="V13" s="1145"/>
      <c r="W13" s="1145"/>
      <c r="X13" s="1145"/>
      <c r="Y13" s="1145"/>
      <c r="Z13" s="1145"/>
      <c r="AA13" s="1145"/>
      <c r="AB13" s="1145"/>
      <c r="AC13" s="1145"/>
      <c r="AD13" s="1145"/>
      <c r="AE13" s="1145"/>
      <c r="AF13" s="1145"/>
    </row>
    <row r="15" spans="1:32" x14ac:dyDescent="0.3">
      <c r="B15" s="1144" t="s">
        <v>5</v>
      </c>
      <c r="C15" s="1144"/>
      <c r="D15" s="1144"/>
      <c r="E15" s="1144"/>
      <c r="F15" s="1144"/>
      <c r="G15" s="1144"/>
      <c r="H15" s="1144"/>
      <c r="I15" s="1144"/>
    </row>
    <row r="16" spans="1:32" x14ac:dyDescent="0.3">
      <c r="B16" s="1142" t="s">
        <v>5160</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ht="32.25" customHeight="1" x14ac:dyDescent="0.3">
      <c r="B19" s="953" t="s">
        <v>5161</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53.25" customHeight="1" x14ac:dyDescent="0.3">
      <c r="B22" s="953" t="s">
        <v>5162</v>
      </c>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x14ac:dyDescent="0.3">
      <c r="A27" s="3"/>
      <c r="B27" s="231" t="s">
        <v>2027</v>
      </c>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546" t="s">
        <v>1463</v>
      </c>
    </row>
    <row r="30" spans="1:32" x14ac:dyDescent="0.3">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3">
      <c r="A32" s="3"/>
      <c r="B32" s="231" t="s">
        <v>2137</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3">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546" t="s">
        <v>1464</v>
      </c>
    </row>
    <row r="35" spans="1:32"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3">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3">
      <c r="A37" s="3"/>
      <c r="B37" s="231" t="s">
        <v>1811</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546" t="s">
        <v>1465</v>
      </c>
    </row>
    <row r="40" spans="1:32"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546"/>
    </row>
    <row r="42" spans="1:32" x14ac:dyDescent="0.3">
      <c r="A42" s="1141" t="s">
        <v>8</v>
      </c>
      <c r="B42" s="1141"/>
      <c r="C42" s="1141"/>
      <c r="D42" s="1141"/>
      <c r="E42" s="1141"/>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row>
    <row r="43" spans="1:32" x14ac:dyDescent="0.3">
      <c r="A43" s="1143" t="s">
        <v>9</v>
      </c>
      <c r="B43" s="1143"/>
      <c r="C43" s="1143"/>
      <c r="D43" s="1143"/>
      <c r="E43" s="1143" t="s">
        <v>3</v>
      </c>
      <c r="F43" s="1143"/>
      <c r="G43" s="1143"/>
      <c r="H43" s="1143"/>
      <c r="I43" s="1143"/>
      <c r="J43" s="1143"/>
      <c r="K43" s="1143"/>
      <c r="L43" s="1143"/>
      <c r="M43" s="1143"/>
      <c r="N43" s="1143"/>
      <c r="O43" s="1143"/>
      <c r="P43" s="1143"/>
      <c r="Q43" s="1143" t="s">
        <v>10</v>
      </c>
      <c r="R43" s="1143"/>
      <c r="S43" s="1143"/>
      <c r="T43" s="1143"/>
      <c r="U43" s="1143" t="s">
        <v>11</v>
      </c>
      <c r="V43" s="1143"/>
      <c r="W43" s="1405" t="s">
        <v>1466</v>
      </c>
      <c r="X43" s="1405"/>
      <c r="Y43" s="1405"/>
      <c r="Z43" s="1405"/>
      <c r="AA43" s="1405"/>
      <c r="AB43" s="1405"/>
      <c r="AC43" s="1405"/>
      <c r="AD43" s="1405"/>
      <c r="AE43" s="1405"/>
      <c r="AF43" s="1405"/>
    </row>
    <row r="44" spans="1:32" ht="89.25" customHeight="1" x14ac:dyDescent="0.3">
      <c r="A44" s="1243" t="s">
        <v>5163</v>
      </c>
      <c r="B44" s="1244"/>
      <c r="C44" s="1244"/>
      <c r="D44" s="1245"/>
      <c r="E44" s="1148" t="s">
        <v>5164</v>
      </c>
      <c r="F44" s="1149"/>
      <c r="G44" s="1149"/>
      <c r="H44" s="1149"/>
      <c r="I44" s="1149"/>
      <c r="J44" s="1149"/>
      <c r="K44" s="1149"/>
      <c r="L44" s="1149"/>
      <c r="M44" s="1149"/>
      <c r="N44" s="1149"/>
      <c r="O44" s="1149"/>
      <c r="P44" s="1150"/>
      <c r="Q44" s="1403">
        <v>4423</v>
      </c>
      <c r="R44" s="1244"/>
      <c r="S44" s="1244"/>
      <c r="T44" s="1245"/>
      <c r="U44" s="1151" t="s">
        <v>4499</v>
      </c>
      <c r="V44" s="1153"/>
      <c r="W44" s="1400" t="s">
        <v>5165</v>
      </c>
      <c r="X44" s="1401"/>
      <c r="Y44" s="1401"/>
      <c r="Z44" s="1401"/>
      <c r="AA44" s="1401"/>
      <c r="AB44" s="1401"/>
      <c r="AC44" s="1401"/>
      <c r="AD44" s="1401"/>
      <c r="AE44" s="1401"/>
      <c r="AF44" s="1402"/>
    </row>
    <row r="45" spans="1:32" ht="91.5" customHeight="1" x14ac:dyDescent="0.3">
      <c r="A45" s="1243" t="s">
        <v>5166</v>
      </c>
      <c r="B45" s="1244"/>
      <c r="C45" s="1244"/>
      <c r="D45" s="1245"/>
      <c r="E45" s="1148" t="s">
        <v>5167</v>
      </c>
      <c r="F45" s="1149"/>
      <c r="G45" s="1149"/>
      <c r="H45" s="1149"/>
      <c r="I45" s="1149"/>
      <c r="J45" s="1149"/>
      <c r="K45" s="1149"/>
      <c r="L45" s="1149"/>
      <c r="M45" s="1149"/>
      <c r="N45" s="1149"/>
      <c r="O45" s="1149"/>
      <c r="P45" s="1150"/>
      <c r="Q45" s="1243">
        <v>0.38</v>
      </c>
      <c r="R45" s="1244"/>
      <c r="S45" s="1244"/>
      <c r="T45" s="1245"/>
      <c r="U45" s="1151" t="s">
        <v>5168</v>
      </c>
      <c r="V45" s="1153"/>
      <c r="W45" s="1400" t="s">
        <v>5169</v>
      </c>
      <c r="X45" s="1401"/>
      <c r="Y45" s="1401"/>
      <c r="Z45" s="1401"/>
      <c r="AA45" s="1401"/>
      <c r="AB45" s="1401"/>
      <c r="AC45" s="1401"/>
      <c r="AD45" s="1401"/>
      <c r="AE45" s="1401"/>
      <c r="AF45" s="1402"/>
    </row>
    <row r="46" spans="1:32" ht="74.25" customHeight="1" x14ac:dyDescent="0.3">
      <c r="A46" s="1243" t="s">
        <v>2554</v>
      </c>
      <c r="B46" s="1244"/>
      <c r="C46" s="1244"/>
      <c r="D46" s="1245"/>
      <c r="E46" s="1148" t="s">
        <v>5170</v>
      </c>
      <c r="F46" s="1149"/>
      <c r="G46" s="1149"/>
      <c r="H46" s="1149"/>
      <c r="I46" s="1149"/>
      <c r="J46" s="1149"/>
      <c r="K46" s="1149"/>
      <c r="L46" s="1149"/>
      <c r="M46" s="1149"/>
      <c r="N46" s="1149"/>
      <c r="O46" s="1149"/>
      <c r="P46" s="1150"/>
      <c r="Q46" s="1243" t="s">
        <v>156</v>
      </c>
      <c r="R46" s="1244"/>
      <c r="S46" s="1244"/>
      <c r="T46" s="1245"/>
      <c r="U46" s="1243" t="s">
        <v>4368</v>
      </c>
      <c r="V46" s="1245"/>
      <c r="W46" s="1400" t="s">
        <v>5171</v>
      </c>
      <c r="X46" s="1401"/>
      <c r="Y46" s="1401"/>
      <c r="Z46" s="1401"/>
      <c r="AA46" s="1401"/>
      <c r="AB46" s="1401"/>
      <c r="AC46" s="1401"/>
      <c r="AD46" s="1401"/>
      <c r="AE46" s="1401"/>
      <c r="AF46" s="1402"/>
    </row>
    <row r="47" spans="1:32" ht="60" customHeight="1" x14ac:dyDescent="0.3">
      <c r="A47" s="1352" t="s">
        <v>2562</v>
      </c>
      <c r="B47" s="1353"/>
      <c r="C47" s="1353"/>
      <c r="D47" s="1354"/>
      <c r="E47" s="1349" t="s">
        <v>2050</v>
      </c>
      <c r="F47" s="1350"/>
      <c r="G47" s="1350"/>
      <c r="H47" s="1350"/>
      <c r="I47" s="1350"/>
      <c r="J47" s="1350"/>
      <c r="K47" s="1350"/>
      <c r="L47" s="1350"/>
      <c r="M47" s="1350"/>
      <c r="N47" s="1350"/>
      <c r="O47" s="1350"/>
      <c r="P47" s="1351"/>
      <c r="Q47" s="1352">
        <f>'Master EUL'!X118</f>
        <v>15</v>
      </c>
      <c r="R47" s="1353"/>
      <c r="S47" s="1353"/>
      <c r="T47" s="1354"/>
      <c r="U47" s="1352" t="s">
        <v>28</v>
      </c>
      <c r="V47" s="1354"/>
      <c r="W47" s="1400" t="s">
        <v>5172</v>
      </c>
      <c r="X47" s="1401"/>
      <c r="Y47" s="1401"/>
      <c r="Z47" s="1401"/>
      <c r="AA47" s="1401"/>
      <c r="AB47" s="1401"/>
      <c r="AC47" s="1401"/>
      <c r="AD47" s="1401"/>
      <c r="AE47" s="1401"/>
      <c r="AF47" s="1402"/>
    </row>
    <row r="48" spans="1:32" x14ac:dyDescent="0.3">
      <c r="A48" s="1406" t="s">
        <v>5173</v>
      </c>
      <c r="B48" s="1406"/>
      <c r="C48" s="1406"/>
      <c r="D48" s="1406"/>
      <c r="E48" s="1406"/>
      <c r="F48" s="1406"/>
      <c r="G48" s="1406"/>
      <c r="H48" s="1406"/>
      <c r="I48" s="1406"/>
      <c r="J48" s="1406"/>
      <c r="K48" s="1406"/>
      <c r="L48" s="1406"/>
      <c r="M48" s="1406"/>
      <c r="N48" s="1406"/>
      <c r="O48" s="1406"/>
      <c r="P48" s="1406"/>
      <c r="Q48" s="1406"/>
      <c r="R48" s="1406"/>
      <c r="S48" s="1406"/>
      <c r="T48" s="1406"/>
      <c r="U48" s="1406"/>
      <c r="V48" s="1406"/>
      <c r="W48" s="1406"/>
      <c r="X48" s="1406"/>
      <c r="Y48" s="1406"/>
      <c r="Z48" s="1406"/>
      <c r="AA48" s="1406"/>
      <c r="AB48" s="1406"/>
      <c r="AC48" s="1406"/>
      <c r="AD48" s="1406"/>
      <c r="AE48" s="1406"/>
      <c r="AF48" s="1406"/>
    </row>
    <row r="49" spans="1:32" ht="42" customHeight="1" x14ac:dyDescent="0.3">
      <c r="A49" s="998" t="s">
        <v>5174</v>
      </c>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row>
    <row r="51" spans="1:32" x14ac:dyDescent="0.3">
      <c r="A51" s="1141" t="s">
        <v>14</v>
      </c>
      <c r="B51" s="1141"/>
      <c r="C51" s="1141"/>
      <c r="D51" s="1141"/>
      <c r="E51" s="1141"/>
      <c r="F51" s="1141"/>
      <c r="G51" s="1141"/>
      <c r="H51" s="1141"/>
      <c r="I51" s="1141"/>
      <c r="J51" s="1141"/>
      <c r="K51" s="1141"/>
      <c r="L51" s="1141"/>
      <c r="M51" s="1141"/>
      <c r="N51" s="1141"/>
      <c r="O51" s="1141"/>
      <c r="P51" s="1141"/>
      <c r="Q51" s="1141"/>
      <c r="R51" s="1141"/>
      <c r="S51" s="1141"/>
      <c r="T51" s="1141"/>
      <c r="U51" s="1141"/>
      <c r="V51" s="1141"/>
      <c r="W51" s="1141"/>
      <c r="X51" s="1141"/>
      <c r="Y51" s="1141"/>
      <c r="Z51" s="1141"/>
      <c r="AA51" s="1141"/>
      <c r="AB51" s="1141"/>
      <c r="AC51" s="1141"/>
      <c r="AD51" s="1141"/>
      <c r="AE51" s="1141"/>
      <c r="AF51" s="1141"/>
    </row>
    <row r="52" spans="1:32"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3">
      <c r="A53" s="3"/>
      <c r="B53" s="232" t="s">
        <v>4402</v>
      </c>
      <c r="C53"/>
      <c r="D53"/>
      <c r="E53"/>
      <c r="F53"/>
      <c r="G53"/>
      <c r="H53"/>
      <c r="I53"/>
      <c r="J53"/>
      <c r="K53"/>
      <c r="L53"/>
      <c r="M53"/>
      <c r="N53"/>
      <c r="O53"/>
      <c r="P53"/>
      <c r="Q53"/>
      <c r="R53"/>
      <c r="S53"/>
      <c r="T53"/>
      <c r="U53"/>
      <c r="V53"/>
      <c r="W53"/>
      <c r="X53"/>
      <c r="Y53" s="3"/>
      <c r="Z53" s="3"/>
      <c r="AA53" s="3"/>
      <c r="AB53" s="3"/>
      <c r="AC53" s="3"/>
      <c r="AD53" s="3"/>
      <c r="AE53" s="3"/>
      <c r="AF53" s="3"/>
    </row>
    <row r="54" spans="1:32"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3"/>
      <c r="B55" s="3"/>
      <c r="C55" s="3" t="s">
        <v>646</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3">
      <c r="A56" s="3"/>
      <c r="B56" s="3"/>
      <c r="C56" t="s">
        <v>5175</v>
      </c>
      <c r="D56"/>
      <c r="E56"/>
      <c r="F56"/>
      <c r="G56"/>
      <c r="H56"/>
      <c r="I56"/>
      <c r="J56"/>
      <c r="K56"/>
      <c r="L56"/>
      <c r="M56"/>
      <c r="N56"/>
      <c r="O56"/>
      <c r="P56"/>
      <c r="Q56"/>
      <c r="R56" s="1288">
        <v>1</v>
      </c>
      <c r="S56" s="1288"/>
      <c r="T56" s="1288"/>
      <c r="U56" s="1288"/>
      <c r="V56" s="1288"/>
      <c r="W56" s="3"/>
      <c r="X56" s="3"/>
      <c r="Y56" s="3"/>
      <c r="Z56" s="3"/>
      <c r="AA56" s="3"/>
      <c r="AB56" s="3"/>
      <c r="AC56" s="3"/>
      <c r="AD56" s="3"/>
      <c r="AE56" s="3"/>
      <c r="AF56" s="3"/>
    </row>
    <row r="57" spans="1:32"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ht="15" thickBot="1" x14ac:dyDescent="0.35"/>
    <row r="59" spans="1:32" x14ac:dyDescent="0.3">
      <c r="A59" s="1252" t="s">
        <v>15</v>
      </c>
      <c r="B59" s="1253"/>
      <c r="C59" s="1253"/>
      <c r="D59" s="1253"/>
      <c r="E59" s="1253"/>
      <c r="F59" s="1253"/>
      <c r="G59" s="1253"/>
      <c r="H59" s="1253"/>
      <c r="I59" s="1253" t="s">
        <v>16</v>
      </c>
      <c r="J59" s="1253"/>
      <c r="K59" s="1253"/>
      <c r="L59" s="1253"/>
      <c r="M59" s="1253"/>
      <c r="N59" s="1253"/>
      <c r="O59" s="1253"/>
      <c r="P59" s="1253"/>
      <c r="Q59" s="1253" t="s">
        <v>17</v>
      </c>
      <c r="R59" s="1253"/>
      <c r="S59" s="1253"/>
      <c r="T59" s="1253"/>
      <c r="U59" s="1253"/>
      <c r="V59" s="1253"/>
      <c r="W59" s="1253"/>
      <c r="X59" s="1253"/>
      <c r="Y59" s="1278" t="s">
        <v>1769</v>
      </c>
      <c r="Z59" s="1278"/>
      <c r="AA59" s="1278"/>
      <c r="AB59" s="1278"/>
      <c r="AC59" s="1278"/>
      <c r="AD59" s="1278"/>
      <c r="AE59" s="1278"/>
      <c r="AF59" s="1407"/>
    </row>
    <row r="60" spans="1:32" ht="48.75" customHeight="1" thickBot="1" x14ac:dyDescent="0.35">
      <c r="A60" s="1408" t="s">
        <v>5176</v>
      </c>
      <c r="B60" s="1409"/>
      <c r="C60" s="1409"/>
      <c r="D60" s="1409"/>
      <c r="E60" s="1409"/>
      <c r="F60" s="1409"/>
      <c r="G60" s="1409"/>
      <c r="H60" s="1409"/>
      <c r="I60" s="1410">
        <f>ROUND(R56*$Q$45,3)</f>
        <v>0.38</v>
      </c>
      <c r="J60" s="1410"/>
      <c r="K60" s="1410"/>
      <c r="L60" s="1410"/>
      <c r="M60" s="1410"/>
      <c r="N60" s="1410"/>
      <c r="O60" s="1410"/>
      <c r="P60" s="1410"/>
      <c r="Q60" s="1411">
        <f>ROUND(R56*$Q$44,2)</f>
        <v>4423</v>
      </c>
      <c r="R60" s="1411"/>
      <c r="S60" s="1411"/>
      <c r="T60" s="1411"/>
      <c r="U60" s="1411"/>
      <c r="V60" s="1411"/>
      <c r="W60" s="1411"/>
      <c r="X60" s="1411"/>
      <c r="Y60" s="1412">
        <f>ROUND(Q60*$Q$47,2)</f>
        <v>66345</v>
      </c>
      <c r="Z60" s="1412"/>
      <c r="AA60" s="1412"/>
      <c r="AB60" s="1412"/>
      <c r="AC60" s="1412"/>
      <c r="AD60" s="1412"/>
      <c r="AE60" s="1412"/>
      <c r="AF60" s="1413"/>
    </row>
    <row r="63" spans="1:32" x14ac:dyDescent="0.3">
      <c r="A63" s="1141" t="s">
        <v>1514</v>
      </c>
      <c r="B63" s="1141"/>
      <c r="C63" s="1141"/>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row>
    <row r="64" spans="1:32" ht="35.25" customHeight="1" x14ac:dyDescent="0.3">
      <c r="A64" s="370" t="s">
        <v>803</v>
      </c>
      <c r="B64" s="889" t="s">
        <v>5177</v>
      </c>
      <c r="C64" s="889"/>
      <c r="D64" s="889"/>
      <c r="E64" s="889"/>
      <c r="F64" s="889"/>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row>
    <row r="65" spans="1:32" ht="48.75" customHeight="1" x14ac:dyDescent="0.3">
      <c r="A65" s="370" t="s">
        <v>803</v>
      </c>
      <c r="B65" s="953" t="s">
        <v>5178</v>
      </c>
      <c r="C65" s="1404"/>
      <c r="D65" s="1404"/>
      <c r="E65" s="1404"/>
      <c r="F65" s="1404"/>
      <c r="G65" s="1404"/>
      <c r="H65" s="1404"/>
      <c r="I65" s="1404"/>
      <c r="J65" s="1404"/>
      <c r="K65" s="1404"/>
      <c r="L65" s="1404"/>
      <c r="M65" s="1404"/>
      <c r="N65" s="1404"/>
      <c r="O65" s="1404"/>
      <c r="P65" s="1404"/>
      <c r="Q65" s="1404"/>
      <c r="R65" s="1404"/>
      <c r="S65" s="1404"/>
      <c r="T65" s="1404"/>
      <c r="U65" s="1404"/>
      <c r="V65" s="1404"/>
      <c r="W65" s="1404"/>
      <c r="X65" s="1404"/>
      <c r="Y65" s="1404"/>
      <c r="Z65" s="1404"/>
      <c r="AA65" s="1404"/>
      <c r="AB65" s="1404"/>
      <c r="AC65" s="1404"/>
      <c r="AD65" s="1404"/>
      <c r="AE65" s="1404"/>
      <c r="AF65" s="1404"/>
    </row>
    <row r="66" spans="1:32" ht="33.75" customHeight="1" x14ac:dyDescent="0.3">
      <c r="A66" s="370" t="s">
        <v>803</v>
      </c>
      <c r="B66" s="953" t="s">
        <v>5179</v>
      </c>
      <c r="C66" s="1404"/>
      <c r="D66" s="1404"/>
      <c r="E66" s="1404"/>
      <c r="F66" s="1404"/>
      <c r="G66" s="1404"/>
      <c r="H66" s="1404"/>
      <c r="I66" s="1404"/>
      <c r="J66" s="1404"/>
      <c r="K66" s="1404"/>
      <c r="L66" s="1404"/>
      <c r="M66" s="1404"/>
      <c r="N66" s="1404"/>
      <c r="O66" s="1404"/>
      <c r="P66" s="1404"/>
      <c r="Q66" s="1404"/>
      <c r="R66" s="1404"/>
      <c r="S66" s="1404"/>
      <c r="T66" s="1404"/>
      <c r="U66" s="1404"/>
      <c r="V66" s="1404"/>
      <c r="W66" s="1404"/>
      <c r="X66" s="1404"/>
      <c r="Y66" s="1404"/>
      <c r="Z66" s="1404"/>
      <c r="AA66" s="1404"/>
      <c r="AB66" s="1404"/>
      <c r="AC66" s="1404"/>
      <c r="AD66" s="1404"/>
      <c r="AE66" s="1404"/>
      <c r="AF66" s="1404"/>
    </row>
    <row r="67" spans="1:32" ht="77.25" customHeight="1" x14ac:dyDescent="0.3">
      <c r="A67" s="370" t="s">
        <v>803</v>
      </c>
      <c r="B67" s="889" t="s">
        <v>5180</v>
      </c>
      <c r="C67" s="953"/>
      <c r="D67" s="953"/>
      <c r="E67" s="953"/>
      <c r="F67" s="953"/>
      <c r="G67" s="953"/>
      <c r="H67" s="953"/>
      <c r="I67" s="953"/>
      <c r="J67" s="953"/>
      <c r="K67" s="953"/>
      <c r="L67" s="953"/>
      <c r="M67" s="953"/>
      <c r="N67" s="953"/>
      <c r="O67" s="953"/>
      <c r="P67" s="953"/>
      <c r="Q67" s="953"/>
      <c r="R67" s="953"/>
      <c r="S67" s="953"/>
      <c r="T67" s="953"/>
      <c r="U67" s="953"/>
      <c r="V67" s="953"/>
      <c r="W67" s="953"/>
      <c r="X67" s="953"/>
      <c r="Y67" s="953"/>
      <c r="Z67" s="953"/>
      <c r="AA67" s="953"/>
      <c r="AB67" s="953"/>
      <c r="AC67" s="953"/>
      <c r="AD67" s="953"/>
      <c r="AE67" s="953"/>
      <c r="AF67" s="953"/>
    </row>
    <row r="68" spans="1:32" ht="50.25" customHeight="1" x14ac:dyDescent="0.3">
      <c r="A68" s="370" t="s">
        <v>803</v>
      </c>
      <c r="B68" s="953" t="s">
        <v>5181</v>
      </c>
      <c r="C68" s="953"/>
      <c r="D68" s="953"/>
      <c r="E68" s="953"/>
      <c r="F68" s="953"/>
      <c r="G68" s="953"/>
      <c r="H68" s="953"/>
      <c r="I68" s="953"/>
      <c r="J68" s="953"/>
      <c r="K68" s="953"/>
      <c r="L68" s="953"/>
      <c r="M68" s="953"/>
      <c r="N68" s="953"/>
      <c r="O68" s="953"/>
      <c r="P68" s="953"/>
      <c r="Q68" s="953"/>
      <c r="R68" s="953"/>
      <c r="S68" s="953"/>
      <c r="T68" s="953"/>
      <c r="U68" s="953"/>
      <c r="V68" s="953"/>
      <c r="W68" s="953"/>
      <c r="X68" s="953"/>
      <c r="Y68" s="953"/>
      <c r="Z68" s="953"/>
      <c r="AA68" s="953"/>
      <c r="AB68" s="953"/>
      <c r="AC68" s="953"/>
      <c r="AD68" s="953"/>
      <c r="AE68" s="953"/>
      <c r="AF68" s="953"/>
    </row>
    <row r="69" spans="1:32" ht="65.25" customHeight="1" x14ac:dyDescent="0.3">
      <c r="A69" s="370" t="s">
        <v>803</v>
      </c>
      <c r="B69" s="889" t="s">
        <v>5182</v>
      </c>
      <c r="C69" s="889"/>
      <c r="D69" s="889"/>
      <c r="E69" s="889"/>
      <c r="F69" s="889"/>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row>
    <row r="70" spans="1:32" ht="51" customHeight="1" x14ac:dyDescent="0.3">
      <c r="A70" s="370" t="s">
        <v>803</v>
      </c>
      <c r="B70" s="889" t="s">
        <v>5183</v>
      </c>
      <c r="C70" s="889"/>
      <c r="D70" s="889"/>
      <c r="E70" s="889"/>
      <c r="F70" s="889"/>
      <c r="G70" s="889"/>
      <c r="H70" s="889"/>
      <c r="I70" s="889"/>
      <c r="J70" s="889"/>
      <c r="K70" s="889"/>
      <c r="L70" s="889"/>
      <c r="M70" s="889"/>
      <c r="N70" s="889"/>
      <c r="O70" s="889"/>
      <c r="P70" s="889"/>
      <c r="Q70" s="889"/>
      <c r="R70" s="889"/>
      <c r="S70" s="889"/>
      <c r="T70" s="889"/>
      <c r="U70" s="889"/>
      <c r="V70" s="889"/>
      <c r="W70" s="889"/>
      <c r="X70" s="889"/>
      <c r="Y70" s="889"/>
      <c r="Z70" s="889"/>
      <c r="AA70" s="889"/>
      <c r="AB70" s="889"/>
      <c r="AC70" s="889"/>
      <c r="AD70" s="889"/>
      <c r="AE70" s="889"/>
      <c r="AF70" s="889"/>
    </row>
  </sheetData>
  <sheetProtection algorithmName="SHA-512" hashValue="98GRFxw5dic4tZ05GiMyDxdBnS4shzwKxuQBplOHyx+1uRc+WsmHso2Wt4G7oytHmIl9HcDcvFEeCNhZiWQiKA==" saltValue="geFLM2X673oR3mAi7iv8tw==" spinCount="100000" sheet="1" objects="1" scenarios="1"/>
  <mergeCells count="59">
    <mergeCell ref="B67:AF67"/>
    <mergeCell ref="B68:AF68"/>
    <mergeCell ref="B69:AF69"/>
    <mergeCell ref="B70:AF70"/>
    <mergeCell ref="R56:V56"/>
    <mergeCell ref="A59:H59"/>
    <mergeCell ref="I59:P59"/>
    <mergeCell ref="Q59:X59"/>
    <mergeCell ref="Y59:AF59"/>
    <mergeCell ref="A60:H60"/>
    <mergeCell ref="I60:P60"/>
    <mergeCell ref="Q60:X60"/>
    <mergeCell ref="Y60:AF60"/>
    <mergeCell ref="A63:AF63"/>
    <mergeCell ref="B64:AF64"/>
    <mergeCell ref="B65:AF65"/>
    <mergeCell ref="B66:AF66"/>
    <mergeCell ref="Q43:T43"/>
    <mergeCell ref="U43:V43"/>
    <mergeCell ref="W43:AF43"/>
    <mergeCell ref="A45:D45"/>
    <mergeCell ref="E45:P45"/>
    <mergeCell ref="Q45:T45"/>
    <mergeCell ref="A51:AF51"/>
    <mergeCell ref="U45:V45"/>
    <mergeCell ref="W45:AF45"/>
    <mergeCell ref="A46:D46"/>
    <mergeCell ref="E46:P46"/>
    <mergeCell ref="Q46:T46"/>
    <mergeCell ref="A48:AF48"/>
    <mergeCell ref="A49:AF49"/>
    <mergeCell ref="U46:V46"/>
    <mergeCell ref="A1:AF1"/>
    <mergeCell ref="A3:AF3"/>
    <mergeCell ref="A7:AF7"/>
    <mergeCell ref="B9:I9"/>
    <mergeCell ref="B10:AF10"/>
    <mergeCell ref="B12:I12"/>
    <mergeCell ref="B13:AF13"/>
    <mergeCell ref="B15:I15"/>
    <mergeCell ref="A44:D44"/>
    <mergeCell ref="E44:P44"/>
    <mergeCell ref="Q44:T44"/>
    <mergeCell ref="U44:V44"/>
    <mergeCell ref="W44:AF44"/>
    <mergeCell ref="B16:AF16"/>
    <mergeCell ref="B18:I18"/>
    <mergeCell ref="B19:AF19"/>
    <mergeCell ref="B22:AF22"/>
    <mergeCell ref="A25:AF25"/>
    <mergeCell ref="A42:AF42"/>
    <mergeCell ref="A43:D43"/>
    <mergeCell ref="E43:P43"/>
    <mergeCell ref="W46:AF46"/>
    <mergeCell ref="A47:D47"/>
    <mergeCell ref="E47:P47"/>
    <mergeCell ref="Q47:T47"/>
    <mergeCell ref="U47:V47"/>
    <mergeCell ref="W47:AF47"/>
  </mergeCells>
  <hyperlinks>
    <hyperlink ref="A2" location="TOC!A1" display="Return to TOC" xr:uid="{00000000-0004-0000-1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9"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theme="7" tint="0.79998168889431442"/>
    <pageSetUpPr autoPageBreaks="0"/>
  </sheetPr>
  <dimension ref="A1:AS69"/>
  <sheetViews>
    <sheetView workbookViewId="0">
      <selection activeCell="A2" sqref="A2"/>
    </sheetView>
  </sheetViews>
  <sheetFormatPr defaultColWidth="2.6640625" defaultRowHeight="14.4" x14ac:dyDescent="0.3"/>
  <cols>
    <col min="1" max="16384" width="2.6640625" style="1"/>
  </cols>
  <sheetData>
    <row r="1" spans="1:45" ht="18" x14ac:dyDescent="0.3">
      <c r="A1" s="1131" t="s">
        <v>871</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45"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45"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45"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45" x14ac:dyDescent="0.3">
      <c r="B5" s="1144" t="s">
        <v>3</v>
      </c>
      <c r="C5" s="1144"/>
      <c r="D5" s="1144"/>
      <c r="E5" s="1144"/>
      <c r="F5" s="1144"/>
      <c r="G5" s="1144"/>
      <c r="H5" s="1144"/>
      <c r="I5" s="1144"/>
    </row>
    <row r="6" spans="1:45" s="4" customFormat="1" ht="36" customHeight="1" x14ac:dyDescent="0.3">
      <c r="B6" s="953" t="s">
        <v>100</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c r="AS6" s="12"/>
    </row>
    <row r="8" spans="1:45" x14ac:dyDescent="0.3">
      <c r="B8" s="1144" t="s">
        <v>4</v>
      </c>
      <c r="C8" s="1144"/>
      <c r="D8" s="1144"/>
      <c r="E8" s="1144"/>
      <c r="F8" s="1144"/>
      <c r="G8" s="1144"/>
      <c r="H8" s="1144"/>
      <c r="I8" s="1144"/>
    </row>
    <row r="9" spans="1:45" s="4" customFormat="1" ht="65.25" customHeight="1" x14ac:dyDescent="0.3">
      <c r="B9" s="953" t="s">
        <v>99</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1" spans="1:45" x14ac:dyDescent="0.3">
      <c r="B11" s="1144" t="s">
        <v>5</v>
      </c>
      <c r="C11" s="1144"/>
      <c r="D11" s="1144"/>
      <c r="E11" s="1144"/>
      <c r="F11" s="1144"/>
      <c r="G11" s="1144"/>
      <c r="H11" s="1144"/>
      <c r="I11" s="1144"/>
    </row>
    <row r="12" spans="1:45" x14ac:dyDescent="0.3">
      <c r="B12" s="1142" t="s">
        <v>101</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45" x14ac:dyDescent="0.3">
      <c r="B14" s="1144" t="s">
        <v>6</v>
      </c>
      <c r="C14" s="1144"/>
      <c r="D14" s="1144"/>
      <c r="E14" s="1144"/>
      <c r="F14" s="1144"/>
      <c r="G14" s="1144"/>
      <c r="H14" s="1144"/>
      <c r="I14" s="1144"/>
    </row>
    <row r="15" spans="1:45" x14ac:dyDescent="0.3">
      <c r="B15" s="1142" t="s">
        <v>50</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7" spans="1:32" x14ac:dyDescent="0.3">
      <c r="B17" s="51" t="s">
        <v>13</v>
      </c>
      <c r="C17" s="51"/>
      <c r="D17" s="51"/>
      <c r="E17" s="51"/>
      <c r="F17" s="51"/>
      <c r="G17" s="51"/>
      <c r="H17" s="51"/>
      <c r="I17" s="51"/>
    </row>
    <row r="18" spans="1:32" ht="36" customHeight="1" x14ac:dyDescent="0.3">
      <c r="B18" s="953" t="s">
        <v>1453</v>
      </c>
      <c r="C18" s="953"/>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20" spans="1:32" x14ac:dyDescent="0.3">
      <c r="B20" s="1175" t="s">
        <v>51</v>
      </c>
      <c r="C20" s="1175"/>
      <c r="D20" s="1175"/>
      <c r="E20" s="1175"/>
      <c r="F20" s="1175"/>
      <c r="G20" s="1175"/>
      <c r="H20" s="1175"/>
      <c r="I20" s="1175"/>
      <c r="J20" s="1175"/>
      <c r="K20" s="1175"/>
      <c r="L20" s="1175"/>
      <c r="M20" s="1175"/>
      <c r="N20" s="1175"/>
      <c r="O20" s="1011" t="s">
        <v>52</v>
      </c>
      <c r="P20" s="1011"/>
      <c r="Q20" s="1011"/>
      <c r="R20" s="1011"/>
      <c r="S20" s="1011"/>
      <c r="T20" s="1011"/>
      <c r="U20" s="1011"/>
    </row>
    <row r="21" spans="1:32" x14ac:dyDescent="0.3">
      <c r="B21" s="1424" t="s">
        <v>53</v>
      </c>
      <c r="C21" s="1424"/>
      <c r="D21" s="1424"/>
      <c r="E21" s="1424"/>
      <c r="F21" s="1424"/>
      <c r="G21" s="1424"/>
      <c r="H21" s="1424"/>
      <c r="I21" s="1424"/>
      <c r="J21" s="1424"/>
      <c r="K21" s="1424"/>
      <c r="L21" s="1424"/>
      <c r="M21" s="1424"/>
      <c r="N21" s="1424"/>
      <c r="O21" s="949" t="s">
        <v>55</v>
      </c>
      <c r="P21" s="949"/>
      <c r="Q21" s="949"/>
      <c r="R21" s="949"/>
      <c r="S21" s="949"/>
      <c r="T21" s="949"/>
      <c r="U21" s="949"/>
    </row>
    <row r="22" spans="1:32" ht="16.2" x14ac:dyDescent="0.3">
      <c r="B22" s="1424" t="s">
        <v>54</v>
      </c>
      <c r="C22" s="1424"/>
      <c r="D22" s="1424"/>
      <c r="E22" s="1424"/>
      <c r="F22" s="1424"/>
      <c r="G22" s="1424"/>
      <c r="H22" s="1424"/>
      <c r="I22" s="1424"/>
      <c r="J22" s="1424"/>
      <c r="K22" s="1424"/>
      <c r="L22" s="1424"/>
      <c r="M22" s="1424"/>
      <c r="N22" s="1424"/>
      <c r="O22" s="949" t="s">
        <v>793</v>
      </c>
      <c r="P22" s="949"/>
      <c r="Q22" s="949"/>
      <c r="R22" s="949"/>
      <c r="S22" s="949"/>
      <c r="T22" s="949"/>
      <c r="U22" s="949"/>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7" spans="1:32" ht="15.6" x14ac:dyDescent="0.3">
      <c r="A27" s="1422" t="s">
        <v>1244</v>
      </c>
      <c r="B27" s="1255"/>
      <c r="C27" s="1255"/>
      <c r="D27" s="1255"/>
      <c r="E27" s="1255"/>
      <c r="F27" s="1255"/>
      <c r="G27" s="1255"/>
      <c r="H27" s="1256" t="s">
        <v>1236</v>
      </c>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row>
    <row r="28" spans="1:32" ht="15.6" x14ac:dyDescent="0.3">
      <c r="A28" s="1422" t="s">
        <v>1245</v>
      </c>
      <c r="B28" s="1255"/>
      <c r="C28" s="1255"/>
      <c r="D28" s="1255"/>
      <c r="E28" s="1255"/>
      <c r="F28" s="1255"/>
      <c r="G28" s="1255"/>
      <c r="H28" s="1256" t="s">
        <v>1239</v>
      </c>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row>
    <row r="29" spans="1:32" ht="15.6" x14ac:dyDescent="0.3">
      <c r="A29" s="1422" t="s">
        <v>1246</v>
      </c>
      <c r="B29" s="1255"/>
      <c r="C29" s="1255"/>
      <c r="D29" s="1255"/>
      <c r="E29" s="1255"/>
      <c r="F29" s="1255"/>
      <c r="G29" s="1255"/>
      <c r="H29" s="1256" t="s">
        <v>1240</v>
      </c>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row>
    <row r="30" spans="1:32" ht="15.6" x14ac:dyDescent="0.3">
      <c r="A30" s="1422" t="s">
        <v>1247</v>
      </c>
      <c r="B30" s="1255"/>
      <c r="C30" s="1255"/>
      <c r="D30" s="1255"/>
      <c r="E30" s="1255"/>
      <c r="F30" s="1255"/>
      <c r="G30" s="1255"/>
      <c r="H30" s="1256" t="s">
        <v>1242</v>
      </c>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row>
    <row r="31" spans="1:32" ht="15.6" x14ac:dyDescent="0.3">
      <c r="A31" s="1422" t="s">
        <v>1248</v>
      </c>
      <c r="B31" s="1255"/>
      <c r="C31" s="1255"/>
      <c r="D31" s="1255"/>
      <c r="E31" s="1255"/>
      <c r="F31" s="1255"/>
      <c r="G31" s="1255"/>
      <c r="H31" s="1256" t="s">
        <v>1241</v>
      </c>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row>
    <row r="34" spans="1:32" x14ac:dyDescent="0.3">
      <c r="A34" s="1141" t="s">
        <v>8</v>
      </c>
      <c r="B34" s="1141"/>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row>
    <row r="35" spans="1:32" x14ac:dyDescent="0.3">
      <c r="A35" s="1143" t="s">
        <v>9</v>
      </c>
      <c r="B35" s="1143"/>
      <c r="C35" s="1143"/>
      <c r="D35" s="1143"/>
      <c r="E35" s="1143" t="s">
        <v>3</v>
      </c>
      <c r="F35" s="1143"/>
      <c r="G35" s="1143"/>
      <c r="H35" s="1143"/>
      <c r="I35" s="1143"/>
      <c r="J35" s="1143"/>
      <c r="K35" s="1143"/>
      <c r="L35" s="1143"/>
      <c r="M35" s="1143"/>
      <c r="N35" s="1143"/>
      <c r="O35" s="1143"/>
      <c r="P35" s="1143"/>
      <c r="Q35" s="1143" t="s">
        <v>10</v>
      </c>
      <c r="R35" s="1143"/>
      <c r="S35" s="1143"/>
      <c r="T35" s="1143"/>
      <c r="U35" s="1259" t="s">
        <v>11</v>
      </c>
      <c r="V35" s="1260"/>
      <c r="W35" s="1421"/>
      <c r="X35" s="1259" t="s">
        <v>12</v>
      </c>
      <c r="Y35" s="1260"/>
      <c r="Z35" s="1260"/>
      <c r="AA35" s="1260"/>
      <c r="AB35" s="1260"/>
      <c r="AC35" s="1260"/>
      <c r="AD35" s="1260"/>
      <c r="AE35" s="1260"/>
      <c r="AF35" s="1421"/>
    </row>
    <row r="36" spans="1:32" ht="15.6" x14ac:dyDescent="0.3">
      <c r="A36" s="1154" t="s">
        <v>1446</v>
      </c>
      <c r="B36" s="1155"/>
      <c r="C36" s="1155"/>
      <c r="D36" s="1156"/>
      <c r="E36" s="1154" t="s">
        <v>60</v>
      </c>
      <c r="F36" s="1155"/>
      <c r="G36" s="1155"/>
      <c r="H36" s="1155"/>
      <c r="I36" s="1155"/>
      <c r="J36" s="1155"/>
      <c r="K36" s="1155"/>
      <c r="L36" s="1155"/>
      <c r="M36" s="1155"/>
      <c r="N36" s="1155"/>
      <c r="O36" s="1155"/>
      <c r="P36" s="1156"/>
      <c r="Q36" s="1243">
        <v>12</v>
      </c>
      <c r="R36" s="1244"/>
      <c r="S36" s="1244"/>
      <c r="T36" s="1245"/>
      <c r="U36" s="1243" t="s">
        <v>37</v>
      </c>
      <c r="V36" s="1244"/>
      <c r="W36" s="1245"/>
      <c r="X36" s="1243" t="s">
        <v>79</v>
      </c>
      <c r="Y36" s="1244"/>
      <c r="Z36" s="1244"/>
      <c r="AA36" s="1244"/>
      <c r="AB36" s="1244"/>
      <c r="AC36" s="1244"/>
      <c r="AD36" s="1244"/>
      <c r="AE36" s="1244"/>
      <c r="AF36" s="1245"/>
    </row>
    <row r="37" spans="1:32" ht="15.6" x14ac:dyDescent="0.3">
      <c r="A37" s="1154" t="s">
        <v>1447</v>
      </c>
      <c r="B37" s="1155"/>
      <c r="C37" s="1155"/>
      <c r="D37" s="1156"/>
      <c r="E37" s="1154" t="s">
        <v>58</v>
      </c>
      <c r="F37" s="1155"/>
      <c r="G37" s="1155"/>
      <c r="H37" s="1155"/>
      <c r="I37" s="1155"/>
      <c r="J37" s="1155"/>
      <c r="K37" s="1155"/>
      <c r="L37" s="1155"/>
      <c r="M37" s="1155"/>
      <c r="N37" s="1155"/>
      <c r="O37" s="1155"/>
      <c r="P37" s="1156"/>
      <c r="Q37" s="1243">
        <v>15</v>
      </c>
      <c r="R37" s="1244"/>
      <c r="S37" s="1244"/>
      <c r="T37" s="1245"/>
      <c r="U37" s="1243" t="s">
        <v>59</v>
      </c>
      <c r="V37" s="1244"/>
      <c r="W37" s="1245"/>
      <c r="X37" s="1243" t="s">
        <v>79</v>
      </c>
      <c r="Y37" s="1244"/>
      <c r="Z37" s="1244"/>
      <c r="AA37" s="1244"/>
      <c r="AB37" s="1244"/>
      <c r="AC37" s="1244"/>
      <c r="AD37" s="1244"/>
      <c r="AE37" s="1244"/>
      <c r="AF37" s="1245"/>
    </row>
    <row r="38" spans="1:32" ht="15.6" x14ac:dyDescent="0.3">
      <c r="A38" s="1154" t="s">
        <v>1448</v>
      </c>
      <c r="B38" s="1155"/>
      <c r="C38" s="1155"/>
      <c r="D38" s="1156"/>
      <c r="E38" s="1154" t="s">
        <v>62</v>
      </c>
      <c r="F38" s="1155"/>
      <c r="G38" s="1155"/>
      <c r="H38" s="1155"/>
      <c r="I38" s="1155"/>
      <c r="J38" s="1155"/>
      <c r="K38" s="1155"/>
      <c r="L38" s="1155"/>
      <c r="M38" s="1155"/>
      <c r="N38" s="1155"/>
      <c r="O38" s="1155"/>
      <c r="P38" s="1156"/>
      <c r="Q38" s="1243">
        <v>0.13900000000000001</v>
      </c>
      <c r="R38" s="1244"/>
      <c r="S38" s="1244"/>
      <c r="T38" s="1245"/>
      <c r="U38" s="1243" t="s">
        <v>63</v>
      </c>
      <c r="V38" s="1244"/>
      <c r="W38" s="1245"/>
      <c r="X38" s="1243" t="s">
        <v>79</v>
      </c>
      <c r="Y38" s="1244"/>
      <c r="Z38" s="1244"/>
      <c r="AA38" s="1244"/>
      <c r="AB38" s="1244"/>
      <c r="AC38" s="1244"/>
      <c r="AD38" s="1244"/>
      <c r="AE38" s="1244"/>
      <c r="AF38" s="1245"/>
    </row>
    <row r="39" spans="1:32" x14ac:dyDescent="0.3">
      <c r="A39" s="1154" t="s">
        <v>64</v>
      </c>
      <c r="B39" s="1155"/>
      <c r="C39" s="1155"/>
      <c r="D39" s="1156"/>
      <c r="E39" s="1154" t="s">
        <v>65</v>
      </c>
      <c r="F39" s="1155"/>
      <c r="G39" s="1155"/>
      <c r="H39" s="1155"/>
      <c r="I39" s="1155"/>
      <c r="J39" s="1155"/>
      <c r="K39" s="1155"/>
      <c r="L39" s="1155"/>
      <c r="M39" s="1155"/>
      <c r="N39" s="1155"/>
      <c r="O39" s="1155"/>
      <c r="P39" s="1156"/>
      <c r="Q39" s="1243">
        <v>365</v>
      </c>
      <c r="R39" s="1244"/>
      <c r="S39" s="1244"/>
      <c r="T39" s="1245"/>
      <c r="U39" s="1243" t="s">
        <v>66</v>
      </c>
      <c r="V39" s="1244"/>
      <c r="W39" s="1245"/>
      <c r="X39" s="1243" t="s">
        <v>79</v>
      </c>
      <c r="Y39" s="1244"/>
      <c r="Z39" s="1244"/>
      <c r="AA39" s="1244"/>
      <c r="AB39" s="1244"/>
      <c r="AC39" s="1244"/>
      <c r="AD39" s="1244"/>
      <c r="AE39" s="1244"/>
      <c r="AF39" s="1245"/>
    </row>
    <row r="40" spans="1:32" ht="15.6" x14ac:dyDescent="0.3">
      <c r="A40" s="1246" t="s">
        <v>1449</v>
      </c>
      <c r="B40" s="1155"/>
      <c r="C40" s="1155"/>
      <c r="D40" s="1156"/>
      <c r="E40" s="1154" t="s">
        <v>68</v>
      </c>
      <c r="F40" s="1155"/>
      <c r="G40" s="1155"/>
      <c r="H40" s="1155"/>
      <c r="I40" s="1155"/>
      <c r="J40" s="1155"/>
      <c r="K40" s="1155"/>
      <c r="L40" s="1155"/>
      <c r="M40" s="1155"/>
      <c r="N40" s="1155"/>
      <c r="O40" s="1155"/>
      <c r="P40" s="1156"/>
      <c r="Q40" s="1243" t="s">
        <v>23</v>
      </c>
      <c r="R40" s="1244"/>
      <c r="S40" s="1244"/>
      <c r="T40" s="1245"/>
      <c r="U40" s="1243" t="s">
        <v>22</v>
      </c>
      <c r="V40" s="1244"/>
      <c r="W40" s="1245"/>
      <c r="X40" s="1243" t="s">
        <v>80</v>
      </c>
      <c r="Y40" s="1244"/>
      <c r="Z40" s="1244"/>
      <c r="AA40" s="1244"/>
      <c r="AB40" s="1244"/>
      <c r="AC40" s="1244"/>
      <c r="AD40" s="1244"/>
      <c r="AE40" s="1244"/>
      <c r="AF40" s="1245"/>
    </row>
    <row r="41" spans="1:32" ht="15.6" x14ac:dyDescent="0.3">
      <c r="A41" s="1154" t="s">
        <v>1450</v>
      </c>
      <c r="B41" s="1155"/>
      <c r="C41" s="1155"/>
      <c r="D41" s="1156"/>
      <c r="E41" s="1154" t="s">
        <v>69</v>
      </c>
      <c r="F41" s="1155"/>
      <c r="G41" s="1155"/>
      <c r="H41" s="1155"/>
      <c r="I41" s="1155"/>
      <c r="J41" s="1155"/>
      <c r="K41" s="1155"/>
      <c r="L41" s="1155"/>
      <c r="M41" s="1155"/>
      <c r="N41" s="1155"/>
      <c r="O41" s="1155"/>
      <c r="P41" s="1156"/>
      <c r="Q41" s="1243" t="s">
        <v>23</v>
      </c>
      <c r="R41" s="1244"/>
      <c r="S41" s="1244"/>
      <c r="T41" s="1245"/>
      <c r="U41" s="1243" t="s">
        <v>612</v>
      </c>
      <c r="V41" s="1244"/>
      <c r="W41" s="1245"/>
      <c r="X41" s="1243" t="s">
        <v>80</v>
      </c>
      <c r="Y41" s="1244"/>
      <c r="Z41" s="1244"/>
      <c r="AA41" s="1244"/>
      <c r="AB41" s="1244"/>
      <c r="AC41" s="1244"/>
      <c r="AD41" s="1244"/>
      <c r="AE41" s="1244"/>
      <c r="AF41" s="1245"/>
    </row>
    <row r="42" spans="1:32" x14ac:dyDescent="0.3">
      <c r="A42" s="1154" t="s">
        <v>70</v>
      </c>
      <c r="B42" s="1155"/>
      <c r="C42" s="1155"/>
      <c r="D42" s="1156"/>
      <c r="E42" s="1154" t="s">
        <v>71</v>
      </c>
      <c r="F42" s="1155"/>
      <c r="G42" s="1155"/>
      <c r="H42" s="1155"/>
      <c r="I42" s="1155"/>
      <c r="J42" s="1155"/>
      <c r="K42" s="1155"/>
      <c r="L42" s="1155"/>
      <c r="M42" s="1155"/>
      <c r="N42" s="1155"/>
      <c r="O42" s="1155"/>
      <c r="P42" s="1156"/>
      <c r="Q42" s="1243" t="s">
        <v>23</v>
      </c>
      <c r="R42" s="1244"/>
      <c r="S42" s="1244"/>
      <c r="T42" s="1245"/>
      <c r="U42" s="1243" t="s">
        <v>72</v>
      </c>
      <c r="V42" s="1244"/>
      <c r="W42" s="1245"/>
      <c r="X42" s="1243" t="s">
        <v>79</v>
      </c>
      <c r="Y42" s="1244"/>
      <c r="Z42" s="1244"/>
      <c r="AA42" s="1244"/>
      <c r="AB42" s="1244"/>
      <c r="AC42" s="1244"/>
      <c r="AD42" s="1244"/>
      <c r="AE42" s="1244"/>
      <c r="AF42" s="1245"/>
    </row>
    <row r="43" spans="1:32" ht="15.6" x14ac:dyDescent="0.3">
      <c r="A43" s="1154" t="s">
        <v>1451</v>
      </c>
      <c r="B43" s="1155"/>
      <c r="C43" s="1155"/>
      <c r="D43" s="1156"/>
      <c r="E43" s="1154" t="s">
        <v>75</v>
      </c>
      <c r="F43" s="1155"/>
      <c r="G43" s="1155"/>
      <c r="H43" s="1155"/>
      <c r="I43" s="1155"/>
      <c r="J43" s="1155"/>
      <c r="K43" s="1155"/>
      <c r="L43" s="1155"/>
      <c r="M43" s="1155"/>
      <c r="N43" s="1155"/>
      <c r="O43" s="1155"/>
      <c r="P43" s="1156"/>
      <c r="Q43" s="1243" t="s">
        <v>23</v>
      </c>
      <c r="R43" s="1244"/>
      <c r="S43" s="1244"/>
      <c r="T43" s="1245"/>
      <c r="U43" s="1243" t="s">
        <v>654</v>
      </c>
      <c r="V43" s="1244"/>
      <c r="W43" s="1245"/>
      <c r="X43" s="1243" t="s">
        <v>79</v>
      </c>
      <c r="Y43" s="1244"/>
      <c r="Z43" s="1244"/>
      <c r="AA43" s="1244"/>
      <c r="AB43" s="1244"/>
      <c r="AC43" s="1244"/>
      <c r="AD43" s="1244"/>
      <c r="AE43" s="1244"/>
      <c r="AF43" s="1245"/>
    </row>
    <row r="44" spans="1:32" ht="15.6" x14ac:dyDescent="0.3">
      <c r="A44" s="1154" t="s">
        <v>1452</v>
      </c>
      <c r="B44" s="1155"/>
      <c r="C44" s="1155"/>
      <c r="D44" s="1156"/>
      <c r="E44" s="1154" t="s">
        <v>77</v>
      </c>
      <c r="F44" s="1155"/>
      <c r="G44" s="1155"/>
      <c r="H44" s="1155"/>
      <c r="I44" s="1155"/>
      <c r="J44" s="1155"/>
      <c r="K44" s="1155"/>
      <c r="L44" s="1155"/>
      <c r="M44" s="1155"/>
      <c r="N44" s="1155"/>
      <c r="O44" s="1155"/>
      <c r="P44" s="1156"/>
      <c r="Q44" s="1243" t="s">
        <v>23</v>
      </c>
      <c r="R44" s="1244"/>
      <c r="S44" s="1244"/>
      <c r="T44" s="1245"/>
      <c r="U44" s="1243" t="s">
        <v>78</v>
      </c>
      <c r="V44" s="1244"/>
      <c r="W44" s="1245"/>
      <c r="X44" s="1243" t="s">
        <v>79</v>
      </c>
      <c r="Y44" s="1244"/>
      <c r="Z44" s="1244"/>
      <c r="AA44" s="1244"/>
      <c r="AB44" s="1244"/>
      <c r="AC44" s="1244"/>
      <c r="AD44" s="1244"/>
      <c r="AE44" s="1244"/>
      <c r="AF44" s="1245"/>
    </row>
    <row r="45" spans="1:32" x14ac:dyDescent="0.3">
      <c r="A45" s="1154" t="s">
        <v>21</v>
      </c>
      <c r="B45" s="1155"/>
      <c r="C45" s="1155"/>
      <c r="D45" s="1156"/>
      <c r="E45" s="1154" t="s">
        <v>96</v>
      </c>
      <c r="F45" s="1155"/>
      <c r="G45" s="1155"/>
      <c r="H45" s="1155"/>
      <c r="I45" s="1155"/>
      <c r="J45" s="1155"/>
      <c r="K45" s="1155"/>
      <c r="L45" s="1155"/>
      <c r="M45" s="1155"/>
      <c r="N45" s="1155"/>
      <c r="O45" s="1155"/>
      <c r="P45" s="1156"/>
      <c r="Q45" s="1243">
        <v>100</v>
      </c>
      <c r="R45" s="1244"/>
      <c r="S45" s="1244"/>
      <c r="T45" s="1245"/>
      <c r="U45" s="1243" t="s">
        <v>22</v>
      </c>
      <c r="V45" s="1244"/>
      <c r="W45" s="1245"/>
      <c r="X45" s="1243"/>
      <c r="Y45" s="1244"/>
      <c r="Z45" s="1244"/>
      <c r="AA45" s="1244"/>
      <c r="AB45" s="1244"/>
      <c r="AC45" s="1244"/>
      <c r="AD45" s="1244"/>
      <c r="AE45" s="1244"/>
      <c r="AF45" s="1245"/>
    </row>
    <row r="46" spans="1:32" x14ac:dyDescent="0.3">
      <c r="A46" s="1154" t="s">
        <v>34</v>
      </c>
      <c r="B46" s="1155"/>
      <c r="C46" s="1155"/>
      <c r="D46" s="1156"/>
      <c r="E46" s="1154" t="s">
        <v>97</v>
      </c>
      <c r="F46" s="1155"/>
      <c r="G46" s="1155"/>
      <c r="H46" s="1155"/>
      <c r="I46" s="1155"/>
      <c r="J46" s="1155"/>
      <c r="K46" s="1155"/>
      <c r="L46" s="1155"/>
      <c r="M46" s="1155"/>
      <c r="N46" s="1155"/>
      <c r="O46" s="1155"/>
      <c r="P46" s="1156"/>
      <c r="Q46" s="1243">
        <v>100</v>
      </c>
      <c r="R46" s="1244"/>
      <c r="S46" s="1244"/>
      <c r="T46" s="1245"/>
      <c r="U46" s="1243" t="s">
        <v>22</v>
      </c>
      <c r="V46" s="1244"/>
      <c r="W46" s="1245"/>
      <c r="X46" s="1243"/>
      <c r="Y46" s="1244"/>
      <c r="Z46" s="1244"/>
      <c r="AA46" s="1244"/>
      <c r="AB46" s="1244"/>
      <c r="AC46" s="1244"/>
      <c r="AD46" s="1244"/>
      <c r="AE46" s="1244"/>
      <c r="AF46" s="1245"/>
    </row>
    <row r="47" spans="1:32" x14ac:dyDescent="0.3">
      <c r="A47" s="1154" t="s">
        <v>26</v>
      </c>
      <c r="B47" s="1155"/>
      <c r="C47" s="1155"/>
      <c r="D47" s="1156"/>
      <c r="E47" s="1154" t="s">
        <v>27</v>
      </c>
      <c r="F47" s="1155"/>
      <c r="G47" s="1155"/>
      <c r="H47" s="1155"/>
      <c r="I47" s="1155"/>
      <c r="J47" s="1155"/>
      <c r="K47" s="1155"/>
      <c r="L47" s="1155"/>
      <c r="M47" s="1155"/>
      <c r="N47" s="1155"/>
      <c r="O47" s="1155"/>
      <c r="P47" s="1156"/>
      <c r="Q47" s="1243">
        <f>'Master EUL'!X120</f>
        <v>12</v>
      </c>
      <c r="R47" s="1244"/>
      <c r="S47" s="1244"/>
      <c r="T47" s="1245"/>
      <c r="U47" s="1243" t="s">
        <v>28</v>
      </c>
      <c r="V47" s="1244"/>
      <c r="W47" s="1245"/>
      <c r="X47" s="1243" t="s">
        <v>558</v>
      </c>
      <c r="Y47" s="1244"/>
      <c r="Z47" s="1244"/>
      <c r="AA47" s="1244"/>
      <c r="AB47" s="1244"/>
      <c r="AC47" s="1244"/>
      <c r="AD47" s="1244"/>
      <c r="AE47" s="1244"/>
      <c r="AF47" s="1245"/>
    </row>
    <row r="49" spans="1:32" s="2" customFormat="1" ht="50.25" customHeight="1" x14ac:dyDescent="0.3">
      <c r="A49" s="863" t="s">
        <v>98</v>
      </c>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row>
    <row r="50" spans="1:32" x14ac:dyDescent="0.3">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row>
    <row r="51" spans="1:32" x14ac:dyDescent="0.3">
      <c r="A51" s="1011" t="s">
        <v>81</v>
      </c>
      <c r="B51" s="1011"/>
      <c r="C51" s="1011"/>
      <c r="D51" s="1011"/>
      <c r="E51" s="1011"/>
      <c r="F51" s="1011"/>
      <c r="G51" s="1011"/>
      <c r="H51" s="1011"/>
      <c r="I51" s="1011"/>
      <c r="J51" s="1011"/>
      <c r="K51" s="1011"/>
      <c r="L51" s="1011"/>
      <c r="M51" s="1011"/>
      <c r="N51" s="1011"/>
      <c r="O51" s="1011" t="s">
        <v>87</v>
      </c>
      <c r="P51" s="1011"/>
      <c r="Q51" s="1011"/>
      <c r="R51" s="1011"/>
      <c r="S51" s="1011"/>
      <c r="T51" s="1011"/>
      <c r="U51" s="1011"/>
      <c r="V51" s="1011"/>
      <c r="W51" s="1011"/>
      <c r="X51" s="1011" t="s">
        <v>88</v>
      </c>
      <c r="Y51" s="1011"/>
      <c r="Z51" s="1011"/>
      <c r="AA51" s="1011"/>
      <c r="AB51" s="1011"/>
      <c r="AC51" s="1011"/>
      <c r="AD51" s="1011"/>
      <c r="AE51" s="1011"/>
      <c r="AF51" s="1011"/>
    </row>
    <row r="52" spans="1:32" x14ac:dyDescent="0.3">
      <c r="A52" s="949" t="s">
        <v>82</v>
      </c>
      <c r="B52" s="949"/>
      <c r="C52" s="949"/>
      <c r="D52" s="949"/>
      <c r="E52" s="949"/>
      <c r="F52" s="949"/>
      <c r="G52" s="949"/>
      <c r="H52" s="949"/>
      <c r="I52" s="949"/>
      <c r="J52" s="949"/>
      <c r="K52" s="949"/>
      <c r="L52" s="949"/>
      <c r="M52" s="949"/>
      <c r="N52" s="949"/>
      <c r="O52" s="1419">
        <v>1.33</v>
      </c>
      <c r="P52" s="1419"/>
      <c r="Q52" s="1419"/>
      <c r="R52" s="1419"/>
      <c r="S52" s="1419"/>
      <c r="T52" s="1419"/>
      <c r="U52" s="1419"/>
      <c r="V52" s="1419"/>
      <c r="W52" s="1419"/>
      <c r="X52" s="1419">
        <v>0.67</v>
      </c>
      <c r="Y52" s="1419"/>
      <c r="Z52" s="1419"/>
      <c r="AA52" s="1419"/>
      <c r="AB52" s="1419"/>
      <c r="AC52" s="1419"/>
      <c r="AD52" s="1419"/>
      <c r="AE52" s="1419"/>
      <c r="AF52" s="1419"/>
    </row>
    <row r="53" spans="1:32" x14ac:dyDescent="0.3">
      <c r="A53" s="949" t="s">
        <v>83</v>
      </c>
      <c r="B53" s="949"/>
      <c r="C53" s="949"/>
      <c r="D53" s="949"/>
      <c r="E53" s="949"/>
      <c r="F53" s="949"/>
      <c r="G53" s="949"/>
      <c r="H53" s="949"/>
      <c r="I53" s="949"/>
      <c r="J53" s="949"/>
      <c r="K53" s="949"/>
      <c r="L53" s="949"/>
      <c r="M53" s="949"/>
      <c r="N53" s="949"/>
      <c r="O53" s="1419">
        <v>0.8</v>
      </c>
      <c r="P53" s="1419"/>
      <c r="Q53" s="1419"/>
      <c r="R53" s="1419"/>
      <c r="S53" s="1419"/>
      <c r="T53" s="1419"/>
      <c r="U53" s="1419"/>
      <c r="V53" s="1419"/>
      <c r="W53" s="1419"/>
      <c r="X53" s="1419">
        <v>0.64</v>
      </c>
      <c r="Y53" s="1419"/>
      <c r="Z53" s="1419"/>
      <c r="AA53" s="1419"/>
      <c r="AB53" s="1419"/>
      <c r="AC53" s="1419"/>
      <c r="AD53" s="1419"/>
      <c r="AE53" s="1419"/>
      <c r="AF53" s="1419"/>
    </row>
    <row r="54" spans="1:32" x14ac:dyDescent="0.3">
      <c r="A54" s="949" t="s">
        <v>84</v>
      </c>
      <c r="B54" s="949"/>
      <c r="C54" s="949"/>
      <c r="D54" s="949"/>
      <c r="E54" s="949"/>
      <c r="F54" s="949"/>
      <c r="G54" s="949"/>
      <c r="H54" s="949"/>
      <c r="I54" s="949"/>
      <c r="J54" s="949"/>
      <c r="K54" s="949"/>
      <c r="L54" s="949"/>
      <c r="M54" s="949"/>
      <c r="N54" s="949"/>
      <c r="O54" s="1420">
        <v>0.65</v>
      </c>
      <c r="P54" s="1420"/>
      <c r="Q54" s="1420"/>
      <c r="R54" s="1420"/>
      <c r="S54" s="1420"/>
      <c r="T54" s="1420"/>
      <c r="U54" s="1420"/>
      <c r="V54" s="1420"/>
      <c r="W54" s="1420"/>
      <c r="X54" s="1420">
        <v>0.7</v>
      </c>
      <c r="Y54" s="1420"/>
      <c r="Z54" s="1420"/>
      <c r="AA54" s="1420"/>
      <c r="AB54" s="1420"/>
      <c r="AC54" s="1420"/>
      <c r="AD54" s="1420"/>
      <c r="AE54" s="1420"/>
      <c r="AF54" s="1420"/>
    </row>
    <row r="55" spans="1:32" x14ac:dyDescent="0.3">
      <c r="A55" s="949" t="s">
        <v>85</v>
      </c>
      <c r="B55" s="949"/>
      <c r="C55" s="949"/>
      <c r="D55" s="949"/>
      <c r="E55" s="949"/>
      <c r="F55" s="949"/>
      <c r="G55" s="949"/>
      <c r="H55" s="949"/>
      <c r="I55" s="949"/>
      <c r="J55" s="949"/>
      <c r="K55" s="949"/>
      <c r="L55" s="949"/>
      <c r="M55" s="949"/>
      <c r="N55" s="949"/>
      <c r="O55" s="1419">
        <v>11.7</v>
      </c>
      <c r="P55" s="1419"/>
      <c r="Q55" s="1419"/>
      <c r="R55" s="1419"/>
      <c r="S55" s="1419"/>
      <c r="T55" s="1419"/>
      <c r="U55" s="1419"/>
      <c r="V55" s="1419"/>
      <c r="W55" s="1419"/>
      <c r="X55" s="1419">
        <v>16.329999999999998</v>
      </c>
      <c r="Y55" s="1419"/>
      <c r="Z55" s="1419"/>
      <c r="AA55" s="1419"/>
      <c r="AB55" s="1419"/>
      <c r="AC55" s="1419"/>
      <c r="AD55" s="1419"/>
      <c r="AE55" s="1419"/>
      <c r="AF55" s="1419"/>
    </row>
    <row r="56" spans="1:32" x14ac:dyDescent="0.3">
      <c r="A56" s="949" t="s">
        <v>86</v>
      </c>
      <c r="B56" s="949"/>
      <c r="C56" s="949"/>
      <c r="D56" s="949"/>
      <c r="E56" s="949"/>
      <c r="F56" s="949"/>
      <c r="G56" s="949"/>
      <c r="H56" s="949"/>
      <c r="I56" s="949"/>
      <c r="J56" s="949"/>
      <c r="K56" s="949"/>
      <c r="L56" s="949"/>
      <c r="M56" s="949"/>
      <c r="N56" s="949"/>
      <c r="O56" s="1419">
        <v>33.33</v>
      </c>
      <c r="P56" s="1419"/>
      <c r="Q56" s="1419"/>
      <c r="R56" s="1419"/>
      <c r="S56" s="1419"/>
      <c r="T56" s="1419"/>
      <c r="U56" s="1419"/>
      <c r="V56" s="1419"/>
      <c r="W56" s="1419"/>
      <c r="X56" s="1419">
        <v>33.33</v>
      </c>
      <c r="Y56" s="1419"/>
      <c r="Z56" s="1419"/>
      <c r="AA56" s="1419"/>
      <c r="AB56" s="1419"/>
      <c r="AC56" s="1419"/>
      <c r="AD56" s="1419"/>
      <c r="AE56" s="1419"/>
      <c r="AF56" s="1419"/>
    </row>
    <row r="59" spans="1:32" x14ac:dyDescent="0.3">
      <c r="A59" s="1141" t="s">
        <v>14</v>
      </c>
      <c r="B59" s="1141"/>
      <c r="C59" s="1141"/>
      <c r="D59" s="1141"/>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row>
    <row r="61" spans="1:32" x14ac:dyDescent="0.3">
      <c r="A61" s="1011" t="s">
        <v>89</v>
      </c>
      <c r="B61" s="1011"/>
      <c r="C61" s="1011"/>
      <c r="D61" s="1011"/>
      <c r="E61" s="1011"/>
      <c r="F61" s="1011"/>
      <c r="G61" s="1011"/>
      <c r="H61" s="1011"/>
      <c r="I61" s="1011"/>
      <c r="J61" s="1011"/>
      <c r="K61" s="1011"/>
      <c r="L61" s="1011"/>
      <c r="M61" s="10"/>
      <c r="N61" s="10"/>
      <c r="O61" s="10"/>
      <c r="P61" s="10"/>
      <c r="Q61" s="1011" t="s">
        <v>94</v>
      </c>
      <c r="R61" s="1011"/>
      <c r="S61" s="1011"/>
      <c r="T61" s="1011"/>
      <c r="U61" s="1011"/>
      <c r="V61" s="1011"/>
      <c r="W61" s="1011"/>
      <c r="X61" s="1011"/>
      <c r="Y61" s="1011"/>
      <c r="Z61" s="1011"/>
      <c r="AA61" s="1011"/>
      <c r="AB61" s="1011"/>
    </row>
    <row r="62" spans="1:32" x14ac:dyDescent="0.3">
      <c r="A62" s="983" t="s">
        <v>90</v>
      </c>
      <c r="B62" s="983"/>
      <c r="C62" s="983"/>
      <c r="D62" s="983"/>
      <c r="E62" s="983"/>
      <c r="F62" s="983"/>
      <c r="G62" s="983"/>
      <c r="H62" s="983"/>
      <c r="I62" s="1417">
        <f>Q39*(Q38*O56)/O54</f>
        <v>2601.5346923076927</v>
      </c>
      <c r="J62" s="1417"/>
      <c r="K62" s="1417"/>
      <c r="L62" s="1417"/>
      <c r="Q62" s="983" t="s">
        <v>90</v>
      </c>
      <c r="R62" s="983"/>
      <c r="S62" s="983"/>
      <c r="T62" s="983"/>
      <c r="U62" s="983"/>
      <c r="V62" s="983"/>
      <c r="W62" s="983"/>
      <c r="X62" s="983"/>
      <c r="Y62" s="1417">
        <f>Q39*(Q38*X56)/X54</f>
        <v>2415.7107857142864</v>
      </c>
      <c r="Z62" s="1417"/>
      <c r="AA62" s="1417"/>
      <c r="AB62" s="1417"/>
    </row>
    <row r="63" spans="1:32" x14ac:dyDescent="0.3">
      <c r="A63" s="983" t="s">
        <v>91</v>
      </c>
      <c r="B63" s="983"/>
      <c r="C63" s="983"/>
      <c r="D63" s="983"/>
      <c r="E63" s="983"/>
      <c r="F63" s="983"/>
      <c r="G63" s="983"/>
      <c r="H63" s="983"/>
      <c r="I63" s="1417">
        <f>Q39*O53*(Q36-(Q37/60)-(O56/O55))</f>
        <v>2599.1743589743587</v>
      </c>
      <c r="J63" s="1417"/>
      <c r="K63" s="1417"/>
      <c r="L63" s="1417"/>
      <c r="Q63" s="983" t="s">
        <v>91</v>
      </c>
      <c r="R63" s="983"/>
      <c r="S63" s="983"/>
      <c r="T63" s="983"/>
      <c r="U63" s="983"/>
      <c r="V63" s="983"/>
      <c r="W63" s="983"/>
      <c r="X63" s="983"/>
      <c r="Y63" s="1417">
        <f>Q39*X53*(Q36-(Q37/60)-(X56/X55))</f>
        <v>2268.0156766687078</v>
      </c>
      <c r="Z63" s="1417"/>
      <c r="AA63" s="1417"/>
      <c r="AB63" s="1417"/>
    </row>
    <row r="64" spans="1:32" x14ac:dyDescent="0.3">
      <c r="A64" s="983" t="s">
        <v>92</v>
      </c>
      <c r="B64" s="983"/>
      <c r="C64" s="983"/>
      <c r="D64" s="983"/>
      <c r="E64" s="983"/>
      <c r="F64" s="983"/>
      <c r="G64" s="983"/>
      <c r="H64" s="983"/>
      <c r="I64" s="1417">
        <f>O52*Q39</f>
        <v>485.45000000000005</v>
      </c>
      <c r="J64" s="1417"/>
      <c r="K64" s="1417"/>
      <c r="L64" s="1417"/>
      <c r="Q64" s="983" t="s">
        <v>92</v>
      </c>
      <c r="R64" s="983"/>
      <c r="S64" s="983"/>
      <c r="T64" s="983"/>
      <c r="U64" s="983"/>
      <c r="V64" s="983"/>
      <c r="W64" s="983"/>
      <c r="X64" s="983"/>
      <c r="Y64" s="1417">
        <f>X52*Q39</f>
        <v>244.55</v>
      </c>
      <c r="Z64" s="1417"/>
      <c r="AA64" s="1417"/>
      <c r="AB64" s="1417"/>
    </row>
    <row r="65" spans="1:34" x14ac:dyDescent="0.3">
      <c r="A65" s="983" t="s">
        <v>653</v>
      </c>
      <c r="B65" s="983"/>
      <c r="C65" s="983"/>
      <c r="D65" s="983"/>
      <c r="E65" s="983"/>
      <c r="F65" s="983"/>
      <c r="G65" s="983"/>
      <c r="H65" s="983"/>
      <c r="I65" s="1417">
        <f>SUM(I62:L64)</f>
        <v>5686.1590512820512</v>
      </c>
      <c r="J65" s="1417"/>
      <c r="K65" s="1417"/>
      <c r="L65" s="1417"/>
      <c r="Q65" s="983" t="s">
        <v>653</v>
      </c>
      <c r="R65" s="983"/>
      <c r="S65" s="983"/>
      <c r="T65" s="983"/>
      <c r="U65" s="983"/>
      <c r="V65" s="983"/>
      <c r="W65" s="983"/>
      <c r="X65" s="983"/>
      <c r="Y65" s="1417">
        <f>SUM(Y62:AB64)</f>
        <v>4928.2764623829944</v>
      </c>
      <c r="Z65" s="1417"/>
      <c r="AA65" s="1417"/>
      <c r="AB65" s="1417"/>
      <c r="AH65" s="11"/>
    </row>
    <row r="66" spans="1:34" x14ac:dyDescent="0.3">
      <c r="A66" s="983" t="s">
        <v>93</v>
      </c>
      <c r="B66" s="983"/>
      <c r="C66" s="983"/>
      <c r="D66" s="983"/>
      <c r="E66" s="983"/>
      <c r="F66" s="983"/>
      <c r="G66" s="983"/>
      <c r="H66" s="983"/>
      <c r="I66" s="1418">
        <f>I65/($Q$36*$Q$39)</f>
        <v>1.298209829059829</v>
      </c>
      <c r="J66" s="1418"/>
      <c r="K66" s="1418"/>
      <c r="L66" s="1418"/>
      <c r="Q66" s="983" t="s">
        <v>93</v>
      </c>
      <c r="R66" s="983"/>
      <c r="S66" s="983"/>
      <c r="T66" s="983"/>
      <c r="U66" s="983"/>
      <c r="V66" s="983"/>
      <c r="W66" s="983"/>
      <c r="X66" s="983"/>
      <c r="Y66" s="1418">
        <f>Y65/($Q$36*$Q$39)</f>
        <v>1.1251772745166655</v>
      </c>
      <c r="Z66" s="1418"/>
      <c r="AA66" s="1418"/>
      <c r="AB66" s="1418"/>
    </row>
    <row r="67" spans="1:34" ht="15" thickBot="1" x14ac:dyDescent="0.35"/>
    <row r="68" spans="1:34" x14ac:dyDescent="0.3">
      <c r="A68" s="1252" t="s">
        <v>15</v>
      </c>
      <c r="B68" s="1253"/>
      <c r="C68" s="1253"/>
      <c r="D68" s="1253"/>
      <c r="E68" s="1253"/>
      <c r="F68" s="1253"/>
      <c r="G68" s="1253"/>
      <c r="H68" s="1253"/>
      <c r="I68" s="1253" t="s">
        <v>16</v>
      </c>
      <c r="J68" s="1253"/>
      <c r="K68" s="1253"/>
      <c r="L68" s="1253"/>
      <c r="M68" s="1253"/>
      <c r="N68" s="1253"/>
      <c r="O68" s="1253"/>
      <c r="P68" s="1253"/>
      <c r="Q68" s="1253" t="s">
        <v>17</v>
      </c>
      <c r="R68" s="1253"/>
      <c r="S68" s="1253"/>
      <c r="T68" s="1253"/>
      <c r="U68" s="1253"/>
      <c r="V68" s="1253"/>
      <c r="W68" s="1253"/>
      <c r="X68" s="1254"/>
    </row>
    <row r="69" spans="1:34" ht="15" thickBot="1" x14ac:dyDescent="0.35">
      <c r="A69" s="1247" t="s">
        <v>95</v>
      </c>
      <c r="B69" s="1248"/>
      <c r="C69" s="1248"/>
      <c r="D69" s="1248"/>
      <c r="E69" s="1248"/>
      <c r="F69" s="1248"/>
      <c r="G69" s="1248"/>
      <c r="H69" s="1248"/>
      <c r="I69" s="1414">
        <f>ROUND(I66-Y66,3)</f>
        <v>0.17299999999999999</v>
      </c>
      <c r="J69" s="1414"/>
      <c r="K69" s="1414"/>
      <c r="L69" s="1414"/>
      <c r="M69" s="1414"/>
      <c r="N69" s="1414"/>
      <c r="O69" s="1414"/>
      <c r="P69" s="1414"/>
      <c r="Q69" s="1415">
        <f>ROUND(I65-Y65,2)</f>
        <v>757.88</v>
      </c>
      <c r="R69" s="1415"/>
      <c r="S69" s="1415"/>
      <c r="T69" s="1415"/>
      <c r="U69" s="1415"/>
      <c r="V69" s="1415"/>
      <c r="W69" s="1415"/>
      <c r="X69" s="1416"/>
    </row>
  </sheetData>
  <sheetProtection algorithmName="SHA-512" hashValue="XHjkeuV+JxxkaUcqzQBmAWLCIa6HNtoUsYFPrNaAvFl2CYmM01vQ2jjBYoXOthCX+bSN78KirL5MjhRRvHbQLA==" saltValue="O+JyN77Iu4KEX4DkNKIYKw==" spinCount="100000" sheet="1" objects="1" scenarios="1"/>
  <mergeCells count="142">
    <mergeCell ref="A1:AF1"/>
    <mergeCell ref="B6:AF6"/>
    <mergeCell ref="B8:I8"/>
    <mergeCell ref="B9:AF9"/>
    <mergeCell ref="B11:I11"/>
    <mergeCell ref="B12:AF12"/>
    <mergeCell ref="B14:I14"/>
    <mergeCell ref="A3:AF3"/>
    <mergeCell ref="B5:I5"/>
    <mergeCell ref="B22:N22"/>
    <mergeCell ref="A25:AF25"/>
    <mergeCell ref="A27:G27"/>
    <mergeCell ref="H27:AF27"/>
    <mergeCell ref="A28:G28"/>
    <mergeCell ref="H28:AF28"/>
    <mergeCell ref="B15:AF15"/>
    <mergeCell ref="B18:AF18"/>
    <mergeCell ref="B20:N20"/>
    <mergeCell ref="B21:N21"/>
    <mergeCell ref="O20:U20"/>
    <mergeCell ref="O21:U21"/>
    <mergeCell ref="O22:U22"/>
    <mergeCell ref="A34:AF34"/>
    <mergeCell ref="A35:D35"/>
    <mergeCell ref="E35:P35"/>
    <mergeCell ref="Q35:T35"/>
    <mergeCell ref="U35:W35"/>
    <mergeCell ref="X35:AF35"/>
    <mergeCell ref="A29:G29"/>
    <mergeCell ref="H29:AF29"/>
    <mergeCell ref="A30:G30"/>
    <mergeCell ref="H30:AF30"/>
    <mergeCell ref="A31:G31"/>
    <mergeCell ref="H31:AF31"/>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53:N53"/>
    <mergeCell ref="O53:W53"/>
    <mergeCell ref="X53:AF53"/>
    <mergeCell ref="A54:N54"/>
    <mergeCell ref="O54:W54"/>
    <mergeCell ref="X54:AF54"/>
    <mergeCell ref="A49:AF49"/>
    <mergeCell ref="A51:N51"/>
    <mergeCell ref="O51:W51"/>
    <mergeCell ref="X51:AF51"/>
    <mergeCell ref="A52:N52"/>
    <mergeCell ref="O52:W52"/>
    <mergeCell ref="X52:AF52"/>
    <mergeCell ref="A59:AF59"/>
    <mergeCell ref="A61:L61"/>
    <mergeCell ref="Q61:AB61"/>
    <mergeCell ref="A62:H62"/>
    <mergeCell ref="I62:L62"/>
    <mergeCell ref="Q62:X62"/>
    <mergeCell ref="Y62:AB62"/>
    <mergeCell ref="A55:N55"/>
    <mergeCell ref="O55:W55"/>
    <mergeCell ref="X55:AF55"/>
    <mergeCell ref="A56:N56"/>
    <mergeCell ref="O56:W56"/>
    <mergeCell ref="X56:AF56"/>
    <mergeCell ref="Y65:AB65"/>
    <mergeCell ref="A66:H66"/>
    <mergeCell ref="I66:L66"/>
    <mergeCell ref="Q66:X66"/>
    <mergeCell ref="Y66:AB66"/>
    <mergeCell ref="A63:H63"/>
    <mergeCell ref="I63:L63"/>
    <mergeCell ref="Q63:X63"/>
    <mergeCell ref="Y63:AB63"/>
    <mergeCell ref="A64:H64"/>
    <mergeCell ref="I64:L64"/>
    <mergeCell ref="Q64:X64"/>
    <mergeCell ref="Y64:AB64"/>
    <mergeCell ref="A68:H68"/>
    <mergeCell ref="I68:P68"/>
    <mergeCell ref="Q68:X68"/>
    <mergeCell ref="A69:H69"/>
    <mergeCell ref="I69:P69"/>
    <mergeCell ref="Q69:X69"/>
    <mergeCell ref="A65:H65"/>
    <mergeCell ref="I65:L65"/>
    <mergeCell ref="Q65:X65"/>
  </mergeCells>
  <hyperlinks>
    <hyperlink ref="A2" location="TOC!A1" display="Return to TOC" xr:uid="{00000000-0004-0000-1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5">
    <tabColor theme="7" tint="0.79998168889431442"/>
    <pageSetUpPr autoPageBreaks="0"/>
  </sheetPr>
  <dimension ref="A1:AF84"/>
  <sheetViews>
    <sheetView workbookViewId="0">
      <selection sqref="A1:AF1"/>
    </sheetView>
  </sheetViews>
  <sheetFormatPr defaultColWidth="2.6640625" defaultRowHeight="14.4" customHeight="1" x14ac:dyDescent="0.3"/>
  <cols>
    <col min="1" max="16384" width="2.6640625" style="1"/>
  </cols>
  <sheetData>
    <row r="1" spans="1:32" ht="18" x14ac:dyDescent="0.3">
      <c r="A1" s="1131" t="s">
        <v>877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144" t="s">
        <v>3</v>
      </c>
      <c r="C5" s="1144"/>
      <c r="D5" s="1144"/>
      <c r="E5" s="1144"/>
      <c r="F5" s="1144"/>
      <c r="G5" s="1144"/>
      <c r="H5" s="1144"/>
      <c r="I5" s="1144"/>
    </row>
    <row r="6" spans="1:32" ht="48.75" customHeight="1" x14ac:dyDescent="0.3">
      <c r="B6" s="953" t="s">
        <v>102</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1144" t="s">
        <v>4</v>
      </c>
      <c r="C8" s="1144"/>
      <c r="D8" s="1144"/>
      <c r="E8" s="1144"/>
      <c r="F8" s="1144"/>
      <c r="G8" s="1144"/>
      <c r="H8" s="1144"/>
      <c r="I8" s="1144"/>
    </row>
    <row r="9" spans="1:32" x14ac:dyDescent="0.3">
      <c r="B9" s="1142" t="s">
        <v>103</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32" x14ac:dyDescent="0.3">
      <c r="B11" s="1144" t="s">
        <v>5</v>
      </c>
      <c r="C11" s="1144"/>
      <c r="D11" s="1144"/>
      <c r="E11" s="1144"/>
      <c r="F11" s="1144"/>
      <c r="G11" s="1144"/>
      <c r="H11" s="1144"/>
      <c r="I11" s="1144"/>
    </row>
    <row r="12" spans="1:32" x14ac:dyDescent="0.3">
      <c r="B12" s="1142" t="s">
        <v>107</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1144" t="s">
        <v>6</v>
      </c>
      <c r="C14" s="1144"/>
      <c r="D14" s="1144"/>
      <c r="E14" s="1144"/>
      <c r="F14" s="1144"/>
      <c r="G14" s="1144"/>
      <c r="H14" s="1144"/>
      <c r="I14" s="1144"/>
    </row>
    <row r="15" spans="1:32" s="4" customFormat="1" ht="37.5" customHeight="1" x14ac:dyDescent="0.3">
      <c r="B15" s="953" t="s">
        <v>104</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6" spans="1:32" x14ac:dyDescent="0.3">
      <c r="L16" s="11"/>
    </row>
    <row r="17" spans="1:32" x14ac:dyDescent="0.3">
      <c r="B17" s="51" t="s">
        <v>13</v>
      </c>
      <c r="C17" s="51"/>
      <c r="D17" s="51"/>
      <c r="E17" s="51"/>
      <c r="F17" s="51"/>
      <c r="G17" s="51"/>
      <c r="H17" s="51"/>
      <c r="I17" s="51"/>
    </row>
    <row r="18" spans="1:32" ht="48.75" customHeight="1" x14ac:dyDescent="0.3">
      <c r="B18" s="872" t="s">
        <v>105</v>
      </c>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ht="14.4" customHeight="1" x14ac:dyDescent="0.3">
      <c r="A23" s="1449" t="s">
        <v>1243</v>
      </c>
      <c r="B23" s="1449"/>
      <c r="C23" s="1449"/>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row>
    <row r="26" spans="1:32" x14ac:dyDescent="0.3">
      <c r="A26" s="1141" t="s">
        <v>8</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7" spans="1:32" x14ac:dyDescent="0.3">
      <c r="A27" s="1143" t="s">
        <v>9</v>
      </c>
      <c r="B27" s="1143"/>
      <c r="C27" s="1143"/>
      <c r="D27" s="1143"/>
      <c r="E27" s="1143" t="s">
        <v>3</v>
      </c>
      <c r="F27" s="1143"/>
      <c r="G27" s="1143"/>
      <c r="H27" s="1143"/>
      <c r="I27" s="1143"/>
      <c r="J27" s="1143"/>
      <c r="K27" s="1143"/>
      <c r="L27" s="1143"/>
      <c r="M27" s="1143"/>
      <c r="N27" s="1143"/>
      <c r="O27" s="1143"/>
      <c r="P27" s="1143"/>
      <c r="Q27" s="1143" t="s">
        <v>10</v>
      </c>
      <c r="R27" s="1143"/>
      <c r="S27" s="1143"/>
      <c r="T27" s="1143"/>
      <c r="U27" s="1259" t="s">
        <v>11</v>
      </c>
      <c r="V27" s="1260"/>
      <c r="W27" s="1421"/>
      <c r="X27" s="1259" t="s">
        <v>12</v>
      </c>
      <c r="Y27" s="1260"/>
      <c r="Z27" s="1260"/>
      <c r="AA27" s="1260"/>
      <c r="AB27" s="1260"/>
      <c r="AC27" s="1260"/>
      <c r="AD27" s="1260"/>
      <c r="AE27" s="1260"/>
      <c r="AF27" s="1421"/>
    </row>
    <row r="28" spans="1:32" x14ac:dyDescent="0.3">
      <c r="A28" s="1154" t="s">
        <v>57</v>
      </c>
      <c r="B28" s="1155"/>
      <c r="C28" s="1155"/>
      <c r="D28" s="1156"/>
      <c r="E28" s="1154" t="s">
        <v>60</v>
      </c>
      <c r="F28" s="1155"/>
      <c r="G28" s="1155"/>
      <c r="H28" s="1155"/>
      <c r="I28" s="1155"/>
      <c r="J28" s="1155"/>
      <c r="K28" s="1155"/>
      <c r="L28" s="1155"/>
      <c r="M28" s="1155"/>
      <c r="N28" s="1155"/>
      <c r="O28" s="1155"/>
      <c r="P28" s="1156"/>
      <c r="Q28" s="1243">
        <v>12</v>
      </c>
      <c r="R28" s="1244"/>
      <c r="S28" s="1244"/>
      <c r="T28" s="1245"/>
      <c r="U28" s="1243" t="s">
        <v>37</v>
      </c>
      <c r="V28" s="1244"/>
      <c r="W28" s="1245"/>
      <c r="X28" s="1243" t="s">
        <v>79</v>
      </c>
      <c r="Y28" s="1244"/>
      <c r="Z28" s="1244"/>
      <c r="AA28" s="1244"/>
      <c r="AB28" s="1244"/>
      <c r="AC28" s="1244"/>
      <c r="AD28" s="1244"/>
      <c r="AE28" s="1244"/>
      <c r="AF28" s="1245"/>
    </row>
    <row r="29" spans="1:32" x14ac:dyDescent="0.3">
      <c r="A29" s="1154" t="s">
        <v>586</v>
      </c>
      <c r="B29" s="1155"/>
      <c r="C29" s="1155"/>
      <c r="D29" s="1156"/>
      <c r="E29" s="1154" t="s">
        <v>585</v>
      </c>
      <c r="F29" s="1155"/>
      <c r="G29" s="1155"/>
      <c r="H29" s="1155"/>
      <c r="I29" s="1155"/>
      <c r="J29" s="1155"/>
      <c r="K29" s="1155"/>
      <c r="L29" s="1155"/>
      <c r="M29" s="1155"/>
      <c r="N29" s="1155"/>
      <c r="O29" s="1155"/>
      <c r="P29" s="1156"/>
      <c r="Q29" s="1446">
        <v>0.4</v>
      </c>
      <c r="R29" s="1447"/>
      <c r="S29" s="1447"/>
      <c r="T29" s="1448"/>
      <c r="U29" s="1243" t="s">
        <v>20</v>
      </c>
      <c r="V29" s="1244"/>
      <c r="W29" s="1245"/>
      <c r="X29" s="1243" t="s">
        <v>79</v>
      </c>
      <c r="Y29" s="1244"/>
      <c r="Z29" s="1244"/>
      <c r="AA29" s="1244"/>
      <c r="AB29" s="1244"/>
      <c r="AC29" s="1244"/>
      <c r="AD29" s="1244"/>
      <c r="AE29" s="1244"/>
      <c r="AF29" s="1245"/>
    </row>
    <row r="30" spans="1:32" x14ac:dyDescent="0.3">
      <c r="A30" s="1154" t="s">
        <v>61</v>
      </c>
      <c r="B30" s="1155"/>
      <c r="C30" s="1155"/>
      <c r="D30" s="1156"/>
      <c r="E30" s="1154" t="s">
        <v>62</v>
      </c>
      <c r="F30" s="1155"/>
      <c r="G30" s="1155"/>
      <c r="H30" s="1155"/>
      <c r="I30" s="1155"/>
      <c r="J30" s="1155"/>
      <c r="K30" s="1155"/>
      <c r="L30" s="1155"/>
      <c r="M30" s="1155"/>
      <c r="N30" s="1155"/>
      <c r="O30" s="1155"/>
      <c r="P30" s="1156"/>
      <c r="Q30" s="1243">
        <v>30.8</v>
      </c>
      <c r="R30" s="1244"/>
      <c r="S30" s="1244"/>
      <c r="T30" s="1245"/>
      <c r="U30" s="1243" t="s">
        <v>574</v>
      </c>
      <c r="V30" s="1244"/>
      <c r="W30" s="1245"/>
      <c r="X30" s="1243" t="s">
        <v>79</v>
      </c>
      <c r="Y30" s="1244"/>
      <c r="Z30" s="1244"/>
      <c r="AA30" s="1244"/>
      <c r="AB30" s="1244"/>
      <c r="AC30" s="1244"/>
      <c r="AD30" s="1244"/>
      <c r="AE30" s="1244"/>
      <c r="AF30" s="1245"/>
    </row>
    <row r="31" spans="1:32" x14ac:dyDescent="0.3">
      <c r="A31" s="1154" t="s">
        <v>64</v>
      </c>
      <c r="B31" s="1155"/>
      <c r="C31" s="1155"/>
      <c r="D31" s="1156"/>
      <c r="E31" s="1154" t="s">
        <v>117</v>
      </c>
      <c r="F31" s="1155"/>
      <c r="G31" s="1155"/>
      <c r="H31" s="1155"/>
      <c r="I31" s="1155"/>
      <c r="J31" s="1155"/>
      <c r="K31" s="1155"/>
      <c r="L31" s="1155"/>
      <c r="M31" s="1155"/>
      <c r="N31" s="1155"/>
      <c r="O31" s="1155"/>
      <c r="P31" s="1156"/>
      <c r="Q31" s="1243">
        <v>365</v>
      </c>
      <c r="R31" s="1244"/>
      <c r="S31" s="1244"/>
      <c r="T31" s="1245"/>
      <c r="U31" s="1243" t="s">
        <v>66</v>
      </c>
      <c r="V31" s="1244"/>
      <c r="W31" s="1245"/>
      <c r="X31" s="1243" t="s">
        <v>79</v>
      </c>
      <c r="Y31" s="1244"/>
      <c r="Z31" s="1244"/>
      <c r="AA31" s="1244"/>
      <c r="AB31" s="1244"/>
      <c r="AC31" s="1244"/>
      <c r="AD31" s="1244"/>
      <c r="AE31" s="1244"/>
      <c r="AF31" s="1245"/>
    </row>
    <row r="32" spans="1:32" x14ac:dyDescent="0.3">
      <c r="A32" s="1154" t="s">
        <v>67</v>
      </c>
      <c r="B32" s="1155"/>
      <c r="C32" s="1155"/>
      <c r="D32" s="1156"/>
      <c r="E32" s="1154" t="s">
        <v>68</v>
      </c>
      <c r="F32" s="1155"/>
      <c r="G32" s="1155"/>
      <c r="H32" s="1155"/>
      <c r="I32" s="1155"/>
      <c r="J32" s="1155"/>
      <c r="K32" s="1155"/>
      <c r="L32" s="1155"/>
      <c r="M32" s="1155"/>
      <c r="N32" s="1155"/>
      <c r="O32" s="1155"/>
      <c r="P32" s="1156"/>
      <c r="Q32" s="1243" t="s">
        <v>23</v>
      </c>
      <c r="R32" s="1244"/>
      <c r="S32" s="1244"/>
      <c r="T32" s="1245"/>
      <c r="U32" s="1243" t="s">
        <v>20</v>
      </c>
      <c r="V32" s="1244"/>
      <c r="W32" s="1245"/>
      <c r="X32" s="1243" t="s">
        <v>80</v>
      </c>
      <c r="Y32" s="1244"/>
      <c r="Z32" s="1244"/>
      <c r="AA32" s="1244"/>
      <c r="AB32" s="1244"/>
      <c r="AC32" s="1244"/>
      <c r="AD32" s="1244"/>
      <c r="AE32" s="1244"/>
      <c r="AF32" s="1245"/>
    </row>
    <row r="33" spans="1:32" x14ac:dyDescent="0.3">
      <c r="A33" s="1154" t="s">
        <v>56</v>
      </c>
      <c r="B33" s="1155"/>
      <c r="C33" s="1155"/>
      <c r="D33" s="1156"/>
      <c r="E33" s="1154" t="s">
        <v>69</v>
      </c>
      <c r="F33" s="1155"/>
      <c r="G33" s="1155"/>
      <c r="H33" s="1155"/>
      <c r="I33" s="1155"/>
      <c r="J33" s="1155"/>
      <c r="K33" s="1155"/>
      <c r="L33" s="1155"/>
      <c r="M33" s="1155"/>
      <c r="N33" s="1155"/>
      <c r="O33" s="1155"/>
      <c r="P33" s="1156"/>
      <c r="Q33" s="1243" t="s">
        <v>23</v>
      </c>
      <c r="R33" s="1244"/>
      <c r="S33" s="1244"/>
      <c r="T33" s="1245"/>
      <c r="U33" s="1243" t="s">
        <v>269</v>
      </c>
      <c r="V33" s="1244"/>
      <c r="W33" s="1245"/>
      <c r="X33" s="1243" t="s">
        <v>80</v>
      </c>
      <c r="Y33" s="1244"/>
      <c r="Z33" s="1244"/>
      <c r="AA33" s="1244"/>
      <c r="AB33" s="1244"/>
      <c r="AC33" s="1244"/>
      <c r="AD33" s="1244"/>
      <c r="AE33" s="1244"/>
      <c r="AF33" s="1245"/>
    </row>
    <row r="34" spans="1:32" x14ac:dyDescent="0.3">
      <c r="A34" s="1154" t="s">
        <v>70</v>
      </c>
      <c r="B34" s="1155"/>
      <c r="C34" s="1155"/>
      <c r="D34" s="1156"/>
      <c r="E34" s="1154" t="s">
        <v>71</v>
      </c>
      <c r="F34" s="1155"/>
      <c r="G34" s="1155"/>
      <c r="H34" s="1155"/>
      <c r="I34" s="1155"/>
      <c r="J34" s="1155"/>
      <c r="K34" s="1155"/>
      <c r="L34" s="1155"/>
      <c r="M34" s="1155"/>
      <c r="N34" s="1155"/>
      <c r="O34" s="1155"/>
      <c r="P34" s="1156"/>
      <c r="Q34" s="1243" t="s">
        <v>23</v>
      </c>
      <c r="R34" s="1244"/>
      <c r="S34" s="1244"/>
      <c r="T34" s="1245"/>
      <c r="U34" s="1243" t="s">
        <v>72</v>
      </c>
      <c r="V34" s="1244"/>
      <c r="W34" s="1245"/>
      <c r="X34" s="1243" t="s">
        <v>79</v>
      </c>
      <c r="Y34" s="1244"/>
      <c r="Z34" s="1244"/>
      <c r="AA34" s="1244"/>
      <c r="AB34" s="1244"/>
      <c r="AC34" s="1244"/>
      <c r="AD34" s="1244"/>
      <c r="AE34" s="1244"/>
      <c r="AF34" s="1245"/>
    </row>
    <row r="35" spans="1:32" x14ac:dyDescent="0.3">
      <c r="A35" s="1154" t="s">
        <v>76</v>
      </c>
      <c r="B35" s="1155"/>
      <c r="C35" s="1155"/>
      <c r="D35" s="1156"/>
      <c r="E35" s="1154" t="s">
        <v>77</v>
      </c>
      <c r="F35" s="1155"/>
      <c r="G35" s="1155"/>
      <c r="H35" s="1155"/>
      <c r="I35" s="1155"/>
      <c r="J35" s="1155"/>
      <c r="K35" s="1155"/>
      <c r="L35" s="1155"/>
      <c r="M35" s="1155"/>
      <c r="N35" s="1155"/>
      <c r="O35" s="1155"/>
      <c r="P35" s="1156"/>
      <c r="Q35" s="1243">
        <v>100</v>
      </c>
      <c r="R35" s="1244"/>
      <c r="S35" s="1244"/>
      <c r="T35" s="1245"/>
      <c r="U35" s="1243" t="s">
        <v>78</v>
      </c>
      <c r="V35" s="1244"/>
      <c r="W35" s="1245"/>
      <c r="X35" s="1243" t="s">
        <v>79</v>
      </c>
      <c r="Y35" s="1244"/>
      <c r="Z35" s="1244"/>
      <c r="AA35" s="1244"/>
      <c r="AB35" s="1244"/>
      <c r="AC35" s="1244"/>
      <c r="AD35" s="1244"/>
      <c r="AE35" s="1244"/>
      <c r="AF35" s="1245"/>
    </row>
    <row r="36" spans="1:32" x14ac:dyDescent="0.3">
      <c r="A36" s="1154" t="s">
        <v>21</v>
      </c>
      <c r="B36" s="1155"/>
      <c r="C36" s="1155"/>
      <c r="D36" s="1156"/>
      <c r="E36" s="1154" t="s">
        <v>96</v>
      </c>
      <c r="F36" s="1155"/>
      <c r="G36" s="1155"/>
      <c r="H36" s="1155"/>
      <c r="I36" s="1155"/>
      <c r="J36" s="1155"/>
      <c r="K36" s="1155"/>
      <c r="L36" s="1155"/>
      <c r="M36" s="1155"/>
      <c r="N36" s="1155"/>
      <c r="O36" s="1155"/>
      <c r="P36" s="1156"/>
      <c r="Q36" s="1243">
        <v>1</v>
      </c>
      <c r="R36" s="1244"/>
      <c r="S36" s="1244"/>
      <c r="T36" s="1245"/>
      <c r="U36" s="1243" t="s">
        <v>20</v>
      </c>
      <c r="V36" s="1244"/>
      <c r="W36" s="1245"/>
      <c r="X36" s="1243"/>
      <c r="Y36" s="1244"/>
      <c r="Z36" s="1244"/>
      <c r="AA36" s="1244"/>
      <c r="AB36" s="1244"/>
      <c r="AC36" s="1244"/>
      <c r="AD36" s="1244"/>
      <c r="AE36" s="1244"/>
      <c r="AF36" s="1245"/>
    </row>
    <row r="37" spans="1:32" x14ac:dyDescent="0.3">
      <c r="A37" s="1154" t="s">
        <v>26</v>
      </c>
      <c r="B37" s="1155"/>
      <c r="C37" s="1155"/>
      <c r="D37" s="1156"/>
      <c r="E37" s="1154" t="s">
        <v>27</v>
      </c>
      <c r="F37" s="1155"/>
      <c r="G37" s="1155"/>
      <c r="H37" s="1155"/>
      <c r="I37" s="1155"/>
      <c r="J37" s="1155"/>
      <c r="K37" s="1155"/>
      <c r="L37" s="1155"/>
      <c r="M37" s="1155"/>
      <c r="N37" s="1155"/>
      <c r="O37" s="1155"/>
      <c r="P37" s="1156"/>
      <c r="Q37" s="1243">
        <f>'Master EUL'!X120</f>
        <v>12</v>
      </c>
      <c r="R37" s="1244"/>
      <c r="S37" s="1244"/>
      <c r="T37" s="1245"/>
      <c r="U37" s="1243" t="s">
        <v>38</v>
      </c>
      <c r="V37" s="1244"/>
      <c r="W37" s="1245"/>
      <c r="X37" s="1243"/>
      <c r="Y37" s="1244"/>
      <c r="Z37" s="1244"/>
      <c r="AA37" s="1244"/>
      <c r="AB37" s="1244"/>
      <c r="AC37" s="1244"/>
      <c r="AD37" s="1244"/>
      <c r="AE37" s="1244"/>
      <c r="AF37" s="1245"/>
    </row>
    <row r="38" spans="1:32" x14ac:dyDescent="0.3">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x14ac:dyDescent="0.3">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row>
    <row r="40" spans="1:32" x14ac:dyDescent="0.3">
      <c r="A40" s="1141" t="s">
        <v>14</v>
      </c>
      <c r="B40" s="1141"/>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row>
    <row r="42" spans="1:32" s="73" customFormat="1" ht="14.4" customHeight="1" x14ac:dyDescent="0.3">
      <c r="A42" s="57"/>
      <c r="B42" s="1430" t="s">
        <v>555</v>
      </c>
      <c r="C42" s="1430"/>
      <c r="D42" s="1430"/>
      <c r="E42" s="1430"/>
      <c r="F42" s="1430"/>
      <c r="G42" s="1430"/>
      <c r="H42" s="1430"/>
      <c r="I42" s="1430"/>
      <c r="J42" s="1430"/>
      <c r="K42" s="1430"/>
      <c r="L42" s="1441">
        <v>12</v>
      </c>
      <c r="M42" s="1441"/>
      <c r="N42" s="1441"/>
      <c r="O42" s="1441"/>
      <c r="P42" s="1441"/>
      <c r="Q42" s="1444" t="s">
        <v>25</v>
      </c>
      <c r="R42" s="1444"/>
      <c r="S42" s="1444"/>
      <c r="T42" s="1444"/>
      <c r="U42" s="1444"/>
      <c r="V42" s="74" t="s">
        <v>587</v>
      </c>
      <c r="W42" s="75"/>
    </row>
    <row r="43" spans="1:32" s="73" customFormat="1" ht="14.4" customHeight="1" x14ac:dyDescent="0.3">
      <c r="A43" s="57"/>
      <c r="B43" s="1430" t="s">
        <v>117</v>
      </c>
      <c r="C43" s="1430"/>
      <c r="D43" s="1430"/>
      <c r="E43" s="1430"/>
      <c r="F43" s="1430"/>
      <c r="G43" s="1430"/>
      <c r="H43" s="1430"/>
      <c r="I43" s="1430"/>
      <c r="J43" s="1430"/>
      <c r="K43" s="1430"/>
      <c r="L43" s="1441">
        <v>365</v>
      </c>
      <c r="M43" s="1441"/>
      <c r="N43" s="1441"/>
      <c r="O43" s="1441"/>
      <c r="P43" s="1441"/>
      <c r="Q43" s="1444" t="s">
        <v>66</v>
      </c>
      <c r="R43" s="1444"/>
      <c r="S43" s="1444"/>
      <c r="T43" s="1444"/>
      <c r="U43" s="1444"/>
      <c r="V43" s="76"/>
      <c r="W43" s="75"/>
    </row>
    <row r="44" spans="1:32" s="73" customFormat="1" ht="14.4" customHeight="1" x14ac:dyDescent="0.3">
      <c r="A44" s="57"/>
      <c r="B44" s="1430" t="s">
        <v>77</v>
      </c>
      <c r="C44" s="1430"/>
      <c r="D44" s="1430"/>
      <c r="E44" s="1430"/>
      <c r="F44" s="1430"/>
      <c r="G44" s="1430"/>
      <c r="H44" s="1430"/>
      <c r="I44" s="1430"/>
      <c r="J44" s="1430"/>
      <c r="K44" s="1430"/>
      <c r="L44" s="1441">
        <v>100</v>
      </c>
      <c r="M44" s="1441"/>
      <c r="N44" s="1441"/>
      <c r="O44" s="1441"/>
      <c r="P44" s="1441"/>
      <c r="Q44" s="1444" t="s">
        <v>556</v>
      </c>
      <c r="R44" s="1444"/>
      <c r="S44" s="1444"/>
      <c r="T44" s="1444"/>
      <c r="U44" s="1444"/>
      <c r="V44" s="76"/>
      <c r="W44" s="75"/>
    </row>
    <row r="45" spans="1:32" s="73" customFormat="1" ht="14.4" customHeight="1" x14ac:dyDescent="0.3">
      <c r="A45" s="57"/>
      <c r="B45" s="1430" t="s">
        <v>588</v>
      </c>
      <c r="C45" s="1430"/>
      <c r="D45" s="1430"/>
      <c r="E45" s="1430"/>
      <c r="F45" s="1430"/>
      <c r="G45" s="1430"/>
      <c r="H45" s="1430"/>
      <c r="I45" s="1430"/>
      <c r="J45" s="1430"/>
      <c r="K45" s="1430"/>
      <c r="L45" s="1441">
        <v>3</v>
      </c>
      <c r="M45" s="1441"/>
      <c r="N45" s="1441"/>
      <c r="O45" s="1441"/>
      <c r="P45" s="1441"/>
      <c r="Q45" s="1441"/>
      <c r="R45" s="1441"/>
      <c r="S45" s="1441"/>
      <c r="T45" s="1441"/>
      <c r="U45" s="1441"/>
      <c r="V45" s="76"/>
      <c r="W45" s="75"/>
    </row>
    <row r="46" spans="1:32" s="59" customFormat="1" ht="14.4" customHeight="1" x14ac:dyDescent="0.3">
      <c r="A46" s="57"/>
      <c r="W46" s="57"/>
      <c r="Y46" s="57"/>
      <c r="Z46" s="77"/>
      <c r="AA46" s="78"/>
      <c r="AB46" s="77"/>
      <c r="AC46" s="79"/>
    </row>
    <row r="47" spans="1:32" s="73" customFormat="1" ht="14.4" customHeight="1" x14ac:dyDescent="0.3">
      <c r="A47" s="57"/>
      <c r="B47" s="8"/>
      <c r="L47" s="93" t="s">
        <v>557</v>
      </c>
      <c r="M47" s="93"/>
      <c r="N47" s="93"/>
      <c r="O47" s="93"/>
      <c r="P47" s="93"/>
      <c r="Q47" s="93" t="s">
        <v>558</v>
      </c>
      <c r="R47" s="93"/>
      <c r="S47" s="93"/>
      <c r="T47" s="93"/>
      <c r="U47" s="93"/>
      <c r="V47" s="8"/>
      <c r="W47" s="80"/>
      <c r="X47" s="81"/>
      <c r="Y47" s="77"/>
      <c r="Z47" s="79"/>
    </row>
    <row r="48" spans="1:32" s="73" customFormat="1" ht="14.4" customHeight="1" x14ac:dyDescent="0.3">
      <c r="A48" s="57"/>
      <c r="B48" s="1430" t="s">
        <v>224</v>
      </c>
      <c r="C48" s="1430"/>
      <c r="D48" s="1430"/>
      <c r="E48" s="1430"/>
      <c r="F48" s="1430"/>
      <c r="G48" s="1430"/>
      <c r="H48" s="1430"/>
      <c r="I48" s="1430"/>
      <c r="J48" s="1430"/>
      <c r="K48" s="1430"/>
      <c r="L48" s="1445" t="s">
        <v>650</v>
      </c>
      <c r="M48" s="1445"/>
      <c r="N48" s="1445"/>
      <c r="O48" s="1445"/>
      <c r="P48" s="1445"/>
      <c r="Q48" s="1445" t="s">
        <v>589</v>
      </c>
      <c r="R48" s="1445"/>
      <c r="S48" s="1445"/>
      <c r="T48" s="1445"/>
      <c r="U48" s="1445"/>
      <c r="V48" s="1439"/>
      <c r="W48" s="1439"/>
      <c r="X48" s="1439"/>
      <c r="Y48" s="1439"/>
      <c r="Z48" s="1439"/>
      <c r="AA48" s="1439"/>
    </row>
    <row r="49" spans="1:29" s="73" customFormat="1" ht="14.4" customHeight="1" x14ac:dyDescent="0.3">
      <c r="A49" s="57"/>
      <c r="B49" s="1430" t="s">
        <v>590</v>
      </c>
      <c r="C49" s="1430"/>
      <c r="D49" s="1430"/>
      <c r="E49" s="1430"/>
      <c r="F49" s="1430"/>
      <c r="G49" s="1430"/>
      <c r="H49" s="1430"/>
      <c r="I49" s="1430"/>
      <c r="J49" s="1430"/>
      <c r="K49" s="1430"/>
      <c r="L49" s="1442">
        <v>0.4</v>
      </c>
      <c r="M49" s="1442"/>
      <c r="N49" s="1442"/>
      <c r="O49" s="1442"/>
      <c r="P49" s="1442"/>
      <c r="Q49" s="1442">
        <v>0.4</v>
      </c>
      <c r="R49" s="1442"/>
      <c r="S49" s="1442"/>
      <c r="T49" s="1442"/>
      <c r="U49" s="1442"/>
      <c r="V49" s="983"/>
      <c r="W49" s="983"/>
      <c r="X49" s="983"/>
      <c r="Y49" s="983"/>
      <c r="Z49" s="983"/>
      <c r="AA49" s="983"/>
    </row>
    <row r="50" spans="1:29" s="73" customFormat="1" ht="14.4" customHeight="1" x14ac:dyDescent="0.3">
      <c r="B50" s="1430" t="s">
        <v>68</v>
      </c>
      <c r="C50" s="1430"/>
      <c r="D50" s="1430"/>
      <c r="E50" s="1430"/>
      <c r="F50" s="1430"/>
      <c r="G50" s="1430"/>
      <c r="H50" s="1430"/>
      <c r="I50" s="1430"/>
      <c r="J50" s="1430"/>
      <c r="K50" s="1430"/>
      <c r="L50" s="1443">
        <v>0.3</v>
      </c>
      <c r="M50" s="1443"/>
      <c r="N50" s="1443"/>
      <c r="O50" s="1443"/>
      <c r="P50" s="1443"/>
      <c r="Q50" s="1442">
        <v>0.5</v>
      </c>
      <c r="R50" s="1442"/>
      <c r="S50" s="1442"/>
      <c r="T50" s="1442"/>
      <c r="U50" s="1442"/>
      <c r="V50" s="983"/>
      <c r="W50" s="983"/>
      <c r="X50" s="983"/>
      <c r="Y50" s="983"/>
      <c r="Z50" s="983"/>
      <c r="AA50" s="983"/>
    </row>
    <row r="51" spans="1:29" s="73" customFormat="1" ht="14.4" customHeight="1" x14ac:dyDescent="0.3">
      <c r="B51" s="1430" t="s">
        <v>591</v>
      </c>
      <c r="C51" s="1430"/>
      <c r="D51" s="1430"/>
      <c r="E51" s="1430"/>
      <c r="F51" s="1430"/>
      <c r="G51" s="1430"/>
      <c r="H51" s="1430"/>
      <c r="I51" s="1430"/>
      <c r="J51" s="1430"/>
      <c r="K51" s="1430"/>
      <c r="L51" s="1440">
        <v>23.3</v>
      </c>
      <c r="M51" s="1440"/>
      <c r="N51" s="1440"/>
      <c r="O51" s="1440"/>
      <c r="P51" s="1440"/>
      <c r="Q51" s="1440">
        <v>16.7</v>
      </c>
      <c r="R51" s="1440"/>
      <c r="S51" s="1440"/>
      <c r="T51" s="1440"/>
      <c r="U51" s="1440"/>
      <c r="V51" s="1439" t="s">
        <v>651</v>
      </c>
      <c r="W51" s="1439"/>
      <c r="X51" s="1439"/>
      <c r="Y51" s="1439"/>
      <c r="Z51" s="1439"/>
      <c r="AA51" s="1439"/>
    </row>
    <row r="52" spans="1:29" s="73" customFormat="1" ht="14.4" customHeight="1" x14ac:dyDescent="0.3">
      <c r="B52" s="1430" t="s">
        <v>69</v>
      </c>
      <c r="C52" s="1430"/>
      <c r="D52" s="1430"/>
      <c r="E52" s="1430"/>
      <c r="F52" s="1430"/>
      <c r="G52" s="1430"/>
      <c r="H52" s="1430"/>
      <c r="I52" s="1430"/>
      <c r="J52" s="1430"/>
      <c r="K52" s="1430"/>
      <c r="L52" s="1441">
        <v>1200</v>
      </c>
      <c r="M52" s="1441"/>
      <c r="N52" s="1441"/>
      <c r="O52" s="1441"/>
      <c r="P52" s="1441"/>
      <c r="Q52" s="1441">
        <f>IF(L45=3,400,IF(L45=4,530,IF(L45=5,670,800)))</f>
        <v>400</v>
      </c>
      <c r="R52" s="1441"/>
      <c r="S52" s="1441"/>
      <c r="T52" s="1441"/>
      <c r="U52" s="1441"/>
      <c r="V52" s="1439" t="s">
        <v>269</v>
      </c>
      <c r="W52" s="1439"/>
      <c r="X52" s="1439"/>
      <c r="Y52" s="1439"/>
      <c r="Z52" s="1439"/>
      <c r="AA52" s="1439"/>
    </row>
    <row r="53" spans="1:29" s="73" customFormat="1" ht="14.4" customHeight="1" x14ac:dyDescent="0.3">
      <c r="B53" s="1430" t="s">
        <v>559</v>
      </c>
      <c r="C53" s="1430"/>
      <c r="D53" s="1430"/>
      <c r="E53" s="1430"/>
      <c r="F53" s="1430"/>
      <c r="G53" s="1430"/>
      <c r="H53" s="1430"/>
      <c r="I53" s="1430"/>
      <c r="J53" s="1430"/>
      <c r="K53" s="1430"/>
      <c r="L53" s="1437">
        <v>30.8</v>
      </c>
      <c r="M53" s="1437"/>
      <c r="N53" s="1437"/>
      <c r="O53" s="1437"/>
      <c r="P53" s="1437"/>
      <c r="Q53" s="1437"/>
      <c r="R53" s="1437"/>
      <c r="S53" s="1437"/>
      <c r="T53" s="1437"/>
      <c r="U53" s="1437"/>
      <c r="V53" s="1439" t="s">
        <v>592</v>
      </c>
      <c r="W53" s="1439"/>
      <c r="X53" s="1439"/>
      <c r="Y53" s="1439"/>
      <c r="Z53" s="1439"/>
      <c r="AA53" s="1439"/>
    </row>
    <row r="54" spans="1:29" s="46" customFormat="1" ht="14.4" customHeight="1" x14ac:dyDescent="0.3">
      <c r="A54" s="73"/>
      <c r="B54" s="1430" t="s">
        <v>560</v>
      </c>
      <c r="C54" s="1430"/>
      <c r="D54" s="1430"/>
      <c r="E54" s="1430"/>
      <c r="F54" s="1430"/>
      <c r="G54" s="1430"/>
      <c r="H54" s="1430"/>
      <c r="I54" s="1430"/>
      <c r="J54" s="1430"/>
      <c r="K54" s="1430"/>
      <c r="L54" s="1438">
        <f>'Master EUL'!X120</f>
        <v>12</v>
      </c>
      <c r="M54" s="1438"/>
      <c r="N54" s="1438"/>
      <c r="O54" s="1438"/>
      <c r="P54" s="1438"/>
      <c r="Q54" s="1438"/>
      <c r="R54" s="1438"/>
      <c r="S54" s="1438"/>
      <c r="T54" s="1438"/>
      <c r="U54" s="1438"/>
      <c r="V54" s="1439" t="s">
        <v>28</v>
      </c>
      <c r="W54" s="1439"/>
      <c r="X54" s="1439"/>
      <c r="Y54" s="1439"/>
      <c r="Z54" s="1439"/>
      <c r="AA54" s="1439"/>
    </row>
    <row r="55" spans="1:29" s="59" customFormat="1" ht="14.4" customHeight="1" x14ac:dyDescent="0.3">
      <c r="A55" s="57"/>
      <c r="W55" s="80"/>
      <c r="X55" s="82"/>
      <c r="Y55" s="80"/>
      <c r="Z55" s="83"/>
    </row>
    <row r="56" spans="1:29" s="84" customFormat="1" ht="14.4" customHeight="1" x14ac:dyDescent="0.3">
      <c r="A56" s="57"/>
      <c r="B56" s="59"/>
      <c r="L56" s="57"/>
      <c r="Q56" s="59"/>
      <c r="V56" s="59"/>
      <c r="W56" s="85"/>
      <c r="X56" s="86"/>
      <c r="Y56" s="87"/>
      <c r="Z56" s="87"/>
      <c r="AA56" s="88"/>
    </row>
    <row r="57" spans="1:29" s="46" customFormat="1" ht="14.4" customHeight="1" x14ac:dyDescent="0.3">
      <c r="A57" s="73"/>
      <c r="B57" s="8"/>
      <c r="L57" s="93" t="s">
        <v>557</v>
      </c>
      <c r="M57" s="93"/>
      <c r="N57" s="93"/>
      <c r="O57" s="93"/>
      <c r="P57" s="93"/>
      <c r="Q57" s="93" t="s">
        <v>558</v>
      </c>
      <c r="R57" s="93"/>
      <c r="S57" s="93"/>
      <c r="T57" s="93"/>
      <c r="U57" s="93"/>
      <c r="V57" s="8"/>
      <c r="W57" s="85"/>
      <c r="X57" s="86"/>
      <c r="Y57" s="85"/>
      <c r="Z57" s="85"/>
      <c r="AA57" s="68"/>
    </row>
    <row r="58" spans="1:29" s="46" customFormat="1" ht="14.4" customHeight="1" x14ac:dyDescent="0.3">
      <c r="A58" s="73"/>
      <c r="B58" s="1430" t="s">
        <v>561</v>
      </c>
      <c r="C58" s="1430"/>
      <c r="D58" s="1430"/>
      <c r="E58" s="1430"/>
      <c r="F58" s="1430"/>
      <c r="G58" s="1430"/>
      <c r="H58" s="1430"/>
      <c r="I58" s="1430"/>
      <c r="J58" s="1430"/>
      <c r="K58" s="1430"/>
      <c r="L58" s="1429">
        <f>L42*L43</f>
        <v>4380</v>
      </c>
      <c r="M58" s="1429"/>
      <c r="N58" s="1429"/>
      <c r="O58" s="1429"/>
      <c r="P58" s="1429"/>
      <c r="Q58" s="1429"/>
      <c r="R58" s="1429"/>
      <c r="S58" s="1429"/>
      <c r="T58" s="1429"/>
      <c r="U58" s="1429"/>
      <c r="V58" s="1076" t="s">
        <v>25</v>
      </c>
      <c r="W58" s="1077"/>
      <c r="X58" s="1077"/>
      <c r="Y58" s="1078"/>
      <c r="Z58" s="85"/>
      <c r="AA58" s="68"/>
    </row>
    <row r="59" spans="1:29" s="46" customFormat="1" ht="14.4" customHeight="1" x14ac:dyDescent="0.3">
      <c r="A59" s="73"/>
      <c r="B59" s="1430" t="s">
        <v>652</v>
      </c>
      <c r="C59" s="1430"/>
      <c r="D59" s="1430"/>
      <c r="E59" s="1430"/>
      <c r="F59" s="1430"/>
      <c r="G59" s="1430"/>
      <c r="H59" s="1430"/>
      <c r="I59" s="1430"/>
      <c r="J59" s="1430"/>
      <c r="K59" s="1430"/>
      <c r="L59" s="1431">
        <v>1500</v>
      </c>
      <c r="M59" s="1432"/>
      <c r="N59" s="1432"/>
      <c r="O59" s="1432"/>
      <c r="P59" s="1433"/>
      <c r="Q59" s="1431">
        <v>1500</v>
      </c>
      <c r="R59" s="1432"/>
      <c r="S59" s="1432"/>
      <c r="T59" s="1432"/>
      <c r="U59" s="1433"/>
      <c r="V59" s="1434" t="s">
        <v>562</v>
      </c>
      <c r="W59" s="1435"/>
      <c r="X59" s="1435"/>
      <c r="Y59" s="1436"/>
      <c r="Z59" s="85"/>
      <c r="AA59" s="68"/>
    </row>
    <row r="60" spans="1:29" s="46" customFormat="1" ht="14.4" customHeight="1" x14ac:dyDescent="0.3">
      <c r="A60" s="73"/>
      <c r="B60" s="1430" t="s">
        <v>563</v>
      </c>
      <c r="C60" s="1430"/>
      <c r="D60" s="1430"/>
      <c r="E60" s="1430"/>
      <c r="F60" s="1430"/>
      <c r="G60" s="1430"/>
      <c r="H60" s="1430"/>
      <c r="I60" s="1430"/>
      <c r="J60" s="1430"/>
      <c r="K60" s="1430"/>
      <c r="L60" s="1429">
        <f>L44*L53/L50</f>
        <v>10266.666666666668</v>
      </c>
      <c r="M60" s="1429"/>
      <c r="N60" s="1429"/>
      <c r="O60" s="1429"/>
      <c r="P60" s="1429"/>
      <c r="Q60" s="1429">
        <f>L44*L53/Q50</f>
        <v>6160</v>
      </c>
      <c r="R60" s="1429"/>
      <c r="S60" s="1429"/>
      <c r="T60" s="1429"/>
      <c r="U60" s="1429"/>
      <c r="V60" s="1076" t="s">
        <v>562</v>
      </c>
      <c r="W60" s="1077"/>
      <c r="X60" s="1077"/>
      <c r="Y60" s="1078"/>
    </row>
    <row r="61" spans="1:29" s="46" customFormat="1" ht="14.4" customHeight="1" x14ac:dyDescent="0.3">
      <c r="A61" s="73"/>
      <c r="B61" s="1430" t="s">
        <v>564</v>
      </c>
      <c r="C61" s="1430"/>
      <c r="D61" s="1430"/>
      <c r="E61" s="1430"/>
      <c r="F61" s="1430"/>
      <c r="G61" s="1430"/>
      <c r="H61" s="1430"/>
      <c r="I61" s="1430"/>
      <c r="J61" s="1430"/>
      <c r="K61" s="1430"/>
      <c r="L61" s="1429">
        <f>L42-(L44/(L51*L45))</f>
        <v>10.569384835479257</v>
      </c>
      <c r="M61" s="1429"/>
      <c r="N61" s="1429"/>
      <c r="O61" s="1429"/>
      <c r="P61" s="1429"/>
      <c r="Q61" s="1431">
        <f>L42-(L44/(Q51*L45))</f>
        <v>10.003992015968064</v>
      </c>
      <c r="R61" s="1432"/>
      <c r="S61" s="1432"/>
      <c r="T61" s="1432"/>
      <c r="U61" s="1433"/>
      <c r="V61" s="1076" t="s">
        <v>593</v>
      </c>
      <c r="W61" s="1077"/>
      <c r="X61" s="1077"/>
      <c r="Y61" s="1078"/>
    </row>
    <row r="62" spans="1:29" s="46" customFormat="1" ht="14.4" customHeight="1" x14ac:dyDescent="0.3">
      <c r="A62" s="73"/>
      <c r="B62" s="1430" t="s">
        <v>565</v>
      </c>
      <c r="C62" s="1430"/>
      <c r="D62" s="1430"/>
      <c r="E62" s="1430"/>
      <c r="F62" s="1430"/>
      <c r="G62" s="1430"/>
      <c r="H62" s="1430"/>
      <c r="I62" s="1430"/>
      <c r="J62" s="1430"/>
      <c r="K62" s="1430"/>
      <c r="L62" s="1429">
        <f>((1-L49)*L52*L61)+(L49*L51*L45*L53*L61/L50)</f>
        <v>37950.010414878408</v>
      </c>
      <c r="M62" s="1429"/>
      <c r="N62" s="1429"/>
      <c r="O62" s="1429"/>
      <c r="P62" s="1429"/>
      <c r="Q62" s="1429">
        <f>((1-Q49)*Q52*Q61)+(Q49*Q51*L45*L53*Q61/Q50)</f>
        <v>14750.526083832334</v>
      </c>
      <c r="R62" s="1429"/>
      <c r="S62" s="1429"/>
      <c r="T62" s="1429"/>
      <c r="U62" s="1429"/>
      <c r="V62" s="1076" t="s">
        <v>562</v>
      </c>
      <c r="W62" s="1077"/>
      <c r="X62" s="1077"/>
      <c r="Y62" s="1078"/>
    </row>
    <row r="63" spans="1:29" s="46" customFormat="1" ht="14.4" customHeight="1" x14ac:dyDescent="0.3">
      <c r="A63" s="73"/>
      <c r="B63" s="1430" t="s">
        <v>566</v>
      </c>
      <c r="C63" s="1430"/>
      <c r="D63" s="1430"/>
      <c r="E63" s="1430"/>
      <c r="F63" s="1430"/>
      <c r="G63" s="1430"/>
      <c r="H63" s="1430"/>
      <c r="I63" s="1430"/>
      <c r="J63" s="1430"/>
      <c r="K63" s="1430"/>
      <c r="L63" s="1429">
        <f>L60+L62+L59</f>
        <v>49716.677081545073</v>
      </c>
      <c r="M63" s="1429"/>
      <c r="N63" s="1429"/>
      <c r="O63" s="1429"/>
      <c r="P63" s="1429"/>
      <c r="Q63" s="1429">
        <f>Q60+Q62+Q59</f>
        <v>22410.526083832334</v>
      </c>
      <c r="R63" s="1429"/>
      <c r="S63" s="1429"/>
      <c r="T63" s="1429"/>
      <c r="U63" s="1429"/>
      <c r="V63" s="1076" t="s">
        <v>562</v>
      </c>
      <c r="W63" s="1077"/>
      <c r="X63" s="1077"/>
      <c r="Y63" s="1078"/>
    </row>
    <row r="64" spans="1:29" s="59" customFormat="1" ht="14.4" customHeight="1" x14ac:dyDescent="0.3">
      <c r="A64" s="57"/>
      <c r="W64" s="57"/>
      <c r="X64" s="89"/>
      <c r="Y64" s="57"/>
      <c r="Z64" s="77"/>
      <c r="AA64" s="78"/>
      <c r="AB64" s="77"/>
      <c r="AC64" s="79"/>
    </row>
    <row r="65" spans="1:32" s="73" customFormat="1" ht="14.4" customHeight="1" x14ac:dyDescent="0.3">
      <c r="L65" s="93" t="s">
        <v>557</v>
      </c>
      <c r="M65" s="93"/>
      <c r="N65" s="93"/>
      <c r="O65" s="93"/>
      <c r="P65" s="93"/>
      <c r="Q65" s="93" t="s">
        <v>558</v>
      </c>
      <c r="R65" s="93"/>
      <c r="S65" s="93"/>
      <c r="T65" s="93"/>
      <c r="U65" s="93"/>
      <c r="V65" s="1378" t="s">
        <v>595</v>
      </c>
      <c r="W65" s="1378"/>
      <c r="X65" s="1378"/>
      <c r="Y65" s="1378"/>
      <c r="Z65" s="1378"/>
      <c r="AA65" s="1378"/>
    </row>
    <row r="66" spans="1:32" s="73" customFormat="1" ht="14.4" customHeight="1" x14ac:dyDescent="0.3">
      <c r="A66" s="59"/>
      <c r="B66" s="1428" t="s">
        <v>633</v>
      </c>
      <c r="C66" s="1428"/>
      <c r="D66" s="1428"/>
      <c r="E66" s="1428"/>
      <c r="F66" s="1428"/>
      <c r="G66" s="1428"/>
      <c r="H66" s="1428"/>
      <c r="I66" s="1428"/>
      <c r="J66" s="1428"/>
      <c r="K66" s="1428"/>
      <c r="L66" s="1429">
        <f>L63*L43/1000</f>
        <v>18146.587134763951</v>
      </c>
      <c r="M66" s="1429"/>
      <c r="N66" s="1429"/>
      <c r="O66" s="1429"/>
      <c r="P66" s="1429"/>
      <c r="Q66" s="1429">
        <f>Q63*L43/1000</f>
        <v>8179.8420205988014</v>
      </c>
      <c r="R66" s="1429"/>
      <c r="S66" s="1429"/>
      <c r="T66" s="1429"/>
      <c r="U66" s="1429"/>
      <c r="V66" s="1429">
        <f>L66-Q66</f>
        <v>9966.7451141651509</v>
      </c>
      <c r="W66" s="1429"/>
      <c r="X66" s="1429"/>
      <c r="Y66" s="1429"/>
      <c r="Z66" s="1429"/>
      <c r="AA66" s="1429"/>
    </row>
    <row r="67" spans="1:32" s="73" customFormat="1" ht="14.4" customHeight="1" thickBot="1" x14ac:dyDescent="0.35">
      <c r="A67" s="59"/>
      <c r="B67" s="90"/>
      <c r="K67" s="91"/>
      <c r="P67" s="91"/>
      <c r="U67" s="91"/>
      <c r="V67" s="59"/>
      <c r="W67" s="59"/>
    </row>
    <row r="68" spans="1:32" s="73" customFormat="1" ht="14.4" customHeight="1" x14ac:dyDescent="0.3">
      <c r="A68" s="1252" t="s">
        <v>15</v>
      </c>
      <c r="B68" s="1253"/>
      <c r="C68" s="1253"/>
      <c r="D68" s="1253"/>
      <c r="E68" s="1253"/>
      <c r="F68" s="1253"/>
      <c r="G68" s="1253"/>
      <c r="H68" s="1253"/>
      <c r="I68" s="1253" t="s">
        <v>16</v>
      </c>
      <c r="J68" s="1253"/>
      <c r="K68" s="1253"/>
      <c r="L68" s="1253"/>
      <c r="M68" s="1253"/>
      <c r="N68" s="1253"/>
      <c r="O68" s="1253"/>
      <c r="P68" s="1253"/>
      <c r="Q68" s="1253" t="s">
        <v>17</v>
      </c>
      <c r="R68" s="1253"/>
      <c r="S68" s="1253"/>
      <c r="T68" s="1253"/>
      <c r="U68" s="1253"/>
      <c r="V68" s="1253"/>
      <c r="W68" s="1253"/>
      <c r="X68" s="1254"/>
    </row>
    <row r="69" spans="1:32" s="92" customFormat="1" ht="14.4" customHeight="1" thickBot="1" x14ac:dyDescent="0.35">
      <c r="A69" s="1247" t="s">
        <v>743</v>
      </c>
      <c r="B69" s="1248"/>
      <c r="C69" s="1248"/>
      <c r="D69" s="1248"/>
      <c r="E69" s="1248"/>
      <c r="F69" s="1248"/>
      <c r="G69" s="1248"/>
      <c r="H69" s="1248"/>
      <c r="I69" s="1425">
        <f>ROUND(Q69/L58*Q36,3)</f>
        <v>0.75900000000000001</v>
      </c>
      <c r="J69" s="1425"/>
      <c r="K69" s="1425"/>
      <c r="L69" s="1425"/>
      <c r="M69" s="1425"/>
      <c r="N69" s="1425"/>
      <c r="O69" s="1425"/>
      <c r="P69" s="1425"/>
      <c r="Q69" s="1426">
        <f>ROUND(V66/L45,2)</f>
        <v>3322.25</v>
      </c>
      <c r="R69" s="1426"/>
      <c r="S69" s="1426"/>
      <c r="T69" s="1426"/>
      <c r="U69" s="1426"/>
      <c r="V69" s="1426"/>
      <c r="W69" s="1426"/>
      <c r="X69" s="1427"/>
    </row>
    <row r="70" spans="1:32" s="38" customFormat="1" ht="14.4" customHeight="1" x14ac:dyDescent="0.2">
      <c r="A70" s="59"/>
      <c r="B70" s="123"/>
      <c r="C70" s="73"/>
      <c r="D70" s="73"/>
      <c r="E70" s="73"/>
      <c r="F70" s="73"/>
      <c r="G70" s="73"/>
      <c r="H70" s="73"/>
      <c r="I70" s="73"/>
      <c r="J70" s="73"/>
      <c r="K70" s="69"/>
      <c r="L70" s="73"/>
      <c r="M70" s="73"/>
      <c r="N70" s="73"/>
      <c r="O70" s="73"/>
      <c r="P70" s="70"/>
      <c r="Q70" s="73"/>
      <c r="R70" s="73"/>
      <c r="S70" s="73"/>
      <c r="T70" s="73"/>
      <c r="U70" s="67"/>
      <c r="V70" s="124"/>
      <c r="W70" s="59"/>
      <c r="X70" s="73"/>
    </row>
    <row r="71" spans="1:32" s="38" customFormat="1" ht="14.4" customHeight="1" x14ac:dyDescent="0.3">
      <c r="A71" s="92"/>
      <c r="B71" s="167"/>
      <c r="C71" s="168"/>
      <c r="D71" s="168"/>
      <c r="E71" s="92"/>
      <c r="F71" s="92"/>
      <c r="G71" s="92"/>
      <c r="H71" s="92"/>
      <c r="I71" s="92"/>
      <c r="J71" s="92"/>
      <c r="K71" s="92"/>
      <c r="L71" s="92"/>
      <c r="M71" s="92"/>
      <c r="N71" s="92"/>
      <c r="O71" s="92"/>
      <c r="P71" s="92"/>
      <c r="Q71" s="92"/>
      <c r="R71" s="92"/>
      <c r="S71" s="92"/>
      <c r="T71" s="92"/>
      <c r="U71" s="92"/>
      <c r="V71" s="92"/>
      <c r="W71" s="92"/>
      <c r="X71" s="92"/>
    </row>
    <row r="72" spans="1:32" s="46" customFormat="1" ht="14.4" customHeight="1" x14ac:dyDescent="0.3">
      <c r="A72" s="57" t="s">
        <v>567</v>
      </c>
      <c r="B72" s="169"/>
      <c r="C72" s="170"/>
      <c r="D72" s="170"/>
      <c r="E72" s="94"/>
      <c r="F72" s="94"/>
      <c r="G72" s="94"/>
      <c r="H72" s="94"/>
      <c r="I72" s="94"/>
      <c r="J72" s="94"/>
      <c r="K72" s="94"/>
      <c r="L72" s="94"/>
      <c r="M72" s="94"/>
      <c r="N72" s="94"/>
      <c r="O72" s="94"/>
      <c r="P72" s="94"/>
      <c r="Q72" s="94"/>
      <c r="R72" s="94"/>
      <c r="S72" s="94"/>
      <c r="T72" s="94"/>
      <c r="U72" s="94"/>
      <c r="V72" s="94"/>
      <c r="W72" s="94"/>
      <c r="X72" s="94"/>
    </row>
    <row r="73" spans="1:32" s="46" customFormat="1" ht="28.95" customHeight="1" x14ac:dyDescent="0.3">
      <c r="A73" s="57"/>
      <c r="B73" s="1451" t="s">
        <v>342</v>
      </c>
      <c r="C73" s="1451"/>
      <c r="D73" s="1451"/>
      <c r="E73" s="1451"/>
      <c r="F73" s="1451"/>
      <c r="G73" s="1451"/>
      <c r="H73" s="1404" t="s">
        <v>656</v>
      </c>
      <c r="I73" s="1404"/>
      <c r="J73" s="1404"/>
      <c r="K73" s="1404"/>
      <c r="L73" s="1404"/>
      <c r="M73" s="1404"/>
      <c r="N73" s="1404"/>
      <c r="O73" s="1404"/>
      <c r="P73" s="1404"/>
      <c r="Q73" s="1404"/>
      <c r="R73" s="1404"/>
      <c r="S73" s="1404"/>
      <c r="T73" s="1404"/>
      <c r="U73" s="1404"/>
      <c r="V73" s="1404"/>
      <c r="W73" s="1404"/>
      <c r="X73" s="1404"/>
      <c r="Y73" s="1404"/>
      <c r="Z73" s="1404"/>
      <c r="AA73" s="1404"/>
      <c r="AB73" s="1404"/>
      <c r="AC73" s="1404"/>
      <c r="AD73" s="1404"/>
      <c r="AE73" s="1404"/>
      <c r="AF73" s="1404"/>
    </row>
    <row r="74" spans="1:32" s="84" customFormat="1" ht="28.95" customHeight="1" x14ac:dyDescent="0.3">
      <c r="A74" s="46"/>
      <c r="B74" s="1452" t="s">
        <v>568</v>
      </c>
      <c r="C74" s="1452"/>
      <c r="D74" s="1452"/>
      <c r="E74" s="1452"/>
      <c r="F74" s="1452"/>
      <c r="G74" s="1452"/>
      <c r="H74" s="19" t="s">
        <v>569</v>
      </c>
      <c r="I74"/>
      <c r="J74"/>
      <c r="K74"/>
      <c r="L74" s="46"/>
      <c r="N74" s="46"/>
      <c r="O74" s="46"/>
      <c r="P74" s="46"/>
      <c r="Q74" s="46"/>
      <c r="R74" s="46"/>
      <c r="S74" s="46"/>
      <c r="T74" s="46"/>
      <c r="U74" s="46"/>
      <c r="V74" s="46"/>
      <c r="W74" s="46"/>
      <c r="X74" s="46"/>
      <c r="Y74" s="46"/>
      <c r="Z74" s="46"/>
      <c r="AA74" s="46"/>
      <c r="AB74" s="46"/>
      <c r="AC74" s="46"/>
      <c r="AD74" s="46"/>
      <c r="AE74" s="46"/>
    </row>
    <row r="75" spans="1:32" s="59" customFormat="1" ht="14.4" customHeight="1" x14ac:dyDescent="0.3">
      <c r="A75" s="46"/>
      <c r="B75" s="95"/>
      <c r="H75" s="96" t="s">
        <v>570</v>
      </c>
      <c r="K75" s="46"/>
      <c r="L75" s="46"/>
      <c r="M75" s="84"/>
      <c r="N75" s="84"/>
      <c r="O75" s="84"/>
      <c r="P75" s="46"/>
      <c r="Q75" s="46"/>
      <c r="R75" s="46"/>
      <c r="S75" s="46"/>
      <c r="T75" s="46"/>
      <c r="U75" s="46"/>
      <c r="V75" s="46"/>
      <c r="W75" s="46"/>
      <c r="X75" s="46"/>
      <c r="Y75" s="46"/>
      <c r="Z75" s="46"/>
      <c r="AA75" s="46"/>
      <c r="AB75" s="46"/>
      <c r="AC75" s="46"/>
      <c r="AD75" s="46"/>
      <c r="AE75" s="46"/>
    </row>
    <row r="76" spans="1:32" s="46" customFormat="1" ht="14.4" customHeight="1" x14ac:dyDescent="0.3">
      <c r="A76" s="84"/>
      <c r="B76" s="1453" t="s">
        <v>571</v>
      </c>
      <c r="C76" s="1453"/>
      <c r="D76" s="1453"/>
      <c r="E76" s="1453"/>
      <c r="F76" s="1453"/>
      <c r="G76" s="1453"/>
      <c r="H76" s="96" t="s">
        <v>572</v>
      </c>
      <c r="K76" s="84"/>
      <c r="L76" s="84"/>
      <c r="M76" s="84"/>
      <c r="N76" s="84"/>
      <c r="O76" s="84"/>
      <c r="P76" s="84"/>
      <c r="Q76" s="84"/>
      <c r="R76" s="84"/>
      <c r="S76" s="84"/>
      <c r="T76" s="84"/>
      <c r="U76" s="84"/>
      <c r="V76" s="84"/>
      <c r="W76" s="84"/>
      <c r="X76" s="84"/>
      <c r="Y76" s="84"/>
      <c r="Z76" s="84"/>
      <c r="AA76" s="84"/>
      <c r="AB76" s="84"/>
      <c r="AC76" s="84"/>
      <c r="AD76" s="84"/>
      <c r="AE76" s="84"/>
    </row>
    <row r="77" spans="1:32" s="97" customFormat="1" ht="14.4" customHeight="1" x14ac:dyDescent="0.3">
      <c r="A77" s="46"/>
      <c r="B77" s="1453" t="s">
        <v>2021</v>
      </c>
      <c r="C77" s="1453"/>
      <c r="D77" s="1453"/>
      <c r="E77" s="1453"/>
      <c r="F77" s="1453"/>
      <c r="G77" s="1453"/>
      <c r="H77" s="96" t="s">
        <v>573</v>
      </c>
      <c r="K77" s="46"/>
      <c r="L77" s="84"/>
      <c r="M77" s="84"/>
      <c r="N77" s="84"/>
      <c r="O77" s="84"/>
      <c r="P77" s="46"/>
      <c r="Q77" s="46"/>
      <c r="R77" s="46"/>
      <c r="S77" s="46"/>
      <c r="T77" s="46"/>
      <c r="U77" s="46"/>
      <c r="V77" s="46"/>
      <c r="W77" s="46"/>
      <c r="X77" s="46"/>
      <c r="Y77" s="46"/>
      <c r="Z77" s="46"/>
      <c r="AA77" s="46"/>
      <c r="AB77" s="46"/>
      <c r="AC77" s="46"/>
      <c r="AD77" s="46"/>
      <c r="AE77" s="46"/>
    </row>
    <row r="78" spans="1:32" s="97" customFormat="1" ht="14.4" customHeight="1" x14ac:dyDescent="0.3">
      <c r="A78" s="98"/>
      <c r="B78" s="99"/>
      <c r="D78" s="100"/>
      <c r="E78" s="101"/>
      <c r="F78" s="102"/>
      <c r="G78" s="103"/>
      <c r="H78" s="103"/>
      <c r="I78" s="103"/>
      <c r="J78" s="103"/>
      <c r="K78" s="103"/>
    </row>
    <row r="79" spans="1:32" s="97" customFormat="1" ht="14.4" customHeight="1" x14ac:dyDescent="0.3">
      <c r="A79" s="104" t="s">
        <v>594</v>
      </c>
      <c r="B79" s="103"/>
      <c r="D79" s="100"/>
      <c r="E79" s="105"/>
      <c r="F79" s="102"/>
      <c r="G79" s="103"/>
      <c r="H79" s="103"/>
      <c r="I79" s="103"/>
      <c r="J79" s="103"/>
      <c r="K79" s="103"/>
    </row>
    <row r="80" spans="1:32" s="97" customFormat="1" ht="14.4" customHeight="1" x14ac:dyDescent="0.3">
      <c r="A80" s="106"/>
      <c r="B80" s="103"/>
      <c r="D80" s="100"/>
      <c r="E80" s="105"/>
      <c r="F80" s="102"/>
      <c r="G80" s="103"/>
      <c r="H80" s="103"/>
      <c r="I80" s="103"/>
      <c r="J80" s="103"/>
      <c r="K80" s="103"/>
    </row>
    <row r="81" spans="1:32" s="97" customFormat="1" ht="49.5" customHeight="1" x14ac:dyDescent="0.3">
      <c r="B81" s="1450" t="s">
        <v>1051</v>
      </c>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row>
    <row r="82" spans="1:32" s="97" customFormat="1" ht="14.4" customHeight="1" x14ac:dyDescent="0.3">
      <c r="A82" s="107"/>
      <c r="B82" s="103"/>
      <c r="D82" s="100"/>
      <c r="E82" s="105"/>
      <c r="F82" s="102"/>
      <c r="G82" s="103"/>
      <c r="H82" s="103"/>
      <c r="I82" s="103"/>
      <c r="J82" s="103"/>
      <c r="K82" s="103"/>
    </row>
    <row r="83" spans="1:32" ht="14.4" customHeight="1" x14ac:dyDescent="0.3">
      <c r="A83" s="108"/>
      <c r="B83" s="109"/>
      <c r="C83" s="109"/>
      <c r="D83" s="97"/>
      <c r="E83" s="97"/>
      <c r="F83" s="97"/>
      <c r="G83" s="97"/>
      <c r="H83" s="97"/>
      <c r="I83" s="97"/>
      <c r="J83" s="97"/>
      <c r="K83" s="97"/>
      <c r="L83" s="97"/>
      <c r="M83" s="97"/>
      <c r="N83" s="97"/>
      <c r="O83" s="97"/>
      <c r="P83" s="97"/>
      <c r="Q83" s="97"/>
      <c r="R83" s="97"/>
      <c r="S83" s="97"/>
      <c r="T83" s="97"/>
      <c r="U83" s="97"/>
      <c r="V83" s="97"/>
      <c r="W83" s="97"/>
      <c r="X83" s="97"/>
    </row>
    <row r="84" spans="1:32" ht="14.4" customHeight="1" x14ac:dyDescent="0.3">
      <c r="A84" s="97"/>
      <c r="C84" s="109"/>
      <c r="D84" s="97"/>
      <c r="E84" s="97"/>
      <c r="F84" s="97"/>
      <c r="G84" s="97"/>
      <c r="H84" s="97"/>
      <c r="I84" s="97"/>
      <c r="J84" s="97"/>
      <c r="K84" s="97"/>
      <c r="L84" s="97"/>
      <c r="M84" s="97"/>
      <c r="N84" s="97"/>
      <c r="O84" s="97"/>
      <c r="P84" s="97"/>
      <c r="Q84" s="97"/>
      <c r="R84" s="97"/>
      <c r="S84" s="97"/>
      <c r="T84" s="97"/>
      <c r="U84" s="97"/>
      <c r="V84" s="97"/>
      <c r="W84" s="97"/>
      <c r="X84" s="97"/>
    </row>
  </sheetData>
  <sheetProtection algorithmName="SHA-512" hashValue="o/vlQ4G7obPlMonel5PRK2PdMgeffUxRLkfx+fIjJb6QXC61gYEVAin0rSDYH+ez2L4rL4cTBkNQg/kSU7aSrA==" saltValue="KpYZ05TkrP7IEApacS3IMQ==" spinCount="100000" sheet="1" objects="1" scenarios="1"/>
  <mergeCells count="147">
    <mergeCell ref="V65:AA65"/>
    <mergeCell ref="B81:AF81"/>
    <mergeCell ref="B73:G73"/>
    <mergeCell ref="B74:G74"/>
    <mergeCell ref="B76:G76"/>
    <mergeCell ref="B77:G77"/>
    <mergeCell ref="H73:AF73"/>
    <mergeCell ref="A1:AF1"/>
    <mergeCell ref="B6:AF6"/>
    <mergeCell ref="B8:I8"/>
    <mergeCell ref="B9:AF9"/>
    <mergeCell ref="B11:I11"/>
    <mergeCell ref="B12:AF12"/>
    <mergeCell ref="B14:I14"/>
    <mergeCell ref="A3:AF3"/>
    <mergeCell ref="B5:I5"/>
    <mergeCell ref="A26:AF26"/>
    <mergeCell ref="A27:D27"/>
    <mergeCell ref="E27:P27"/>
    <mergeCell ref="Q27:T27"/>
    <mergeCell ref="U27:W27"/>
    <mergeCell ref="X27:AF27"/>
    <mergeCell ref="B15:AF15"/>
    <mergeCell ref="B18:AF18"/>
    <mergeCell ref="A21:AF21"/>
    <mergeCell ref="A28:D28"/>
    <mergeCell ref="E28:P28"/>
    <mergeCell ref="Q28:T28"/>
    <mergeCell ref="U28:W28"/>
    <mergeCell ref="X28:AF28"/>
    <mergeCell ref="A29:D29"/>
    <mergeCell ref="E29:P29"/>
    <mergeCell ref="Q29:T29"/>
    <mergeCell ref="U29:W29"/>
    <mergeCell ref="X29:AF29"/>
    <mergeCell ref="A23:AF23"/>
    <mergeCell ref="A30:D30"/>
    <mergeCell ref="E30:P30"/>
    <mergeCell ref="Q30:T30"/>
    <mergeCell ref="U30:W30"/>
    <mergeCell ref="X30:AF30"/>
    <mergeCell ref="A31:D31"/>
    <mergeCell ref="E31:P31"/>
    <mergeCell ref="Q31:T31"/>
    <mergeCell ref="U31:W31"/>
    <mergeCell ref="X31:AF31"/>
    <mergeCell ref="A32:D32"/>
    <mergeCell ref="E32:P32"/>
    <mergeCell ref="Q32:T32"/>
    <mergeCell ref="U32:W32"/>
    <mergeCell ref="X32:AF32"/>
    <mergeCell ref="A33:D33"/>
    <mergeCell ref="E33:P33"/>
    <mergeCell ref="Q33:T33"/>
    <mergeCell ref="U33:W33"/>
    <mergeCell ref="X33:AF33"/>
    <mergeCell ref="A34:D34"/>
    <mergeCell ref="E34:P34"/>
    <mergeCell ref="Q34:T34"/>
    <mergeCell ref="U34:W34"/>
    <mergeCell ref="X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B44:K44"/>
    <mergeCell ref="L44:P44"/>
    <mergeCell ref="Q44:U44"/>
    <mergeCell ref="B45:K45"/>
    <mergeCell ref="L45:U45"/>
    <mergeCell ref="B48:K48"/>
    <mergeCell ref="L48:P48"/>
    <mergeCell ref="Q48:U48"/>
    <mergeCell ref="A40:AF40"/>
    <mergeCell ref="B42:K42"/>
    <mergeCell ref="L42:P42"/>
    <mergeCell ref="Q42:U42"/>
    <mergeCell ref="B43:K43"/>
    <mergeCell ref="L43:P43"/>
    <mergeCell ref="Q43:U43"/>
    <mergeCell ref="V48:AA48"/>
    <mergeCell ref="B51:K51"/>
    <mergeCell ref="L51:P51"/>
    <mergeCell ref="Q51:U51"/>
    <mergeCell ref="V51:AA51"/>
    <mergeCell ref="B52:K52"/>
    <mergeCell ref="L52:P52"/>
    <mergeCell ref="Q52:U52"/>
    <mergeCell ref="B49:K49"/>
    <mergeCell ref="L49:P49"/>
    <mergeCell ref="Q49:U49"/>
    <mergeCell ref="B50:K50"/>
    <mergeCell ref="L50:P50"/>
    <mergeCell ref="Q50:U50"/>
    <mergeCell ref="V49:AA49"/>
    <mergeCell ref="V50:AA50"/>
    <mergeCell ref="V52:AA52"/>
    <mergeCell ref="B58:K58"/>
    <mergeCell ref="L58:U58"/>
    <mergeCell ref="V58:Y58"/>
    <mergeCell ref="B59:K59"/>
    <mergeCell ref="L59:P59"/>
    <mergeCell ref="Q59:U59"/>
    <mergeCell ref="V59:Y59"/>
    <mergeCell ref="B53:K53"/>
    <mergeCell ref="L53:U53"/>
    <mergeCell ref="B54:K54"/>
    <mergeCell ref="L54:U54"/>
    <mergeCell ref="V53:AA53"/>
    <mergeCell ref="V54:AA54"/>
    <mergeCell ref="B62:K62"/>
    <mergeCell ref="L62:P62"/>
    <mergeCell ref="Q62:U62"/>
    <mergeCell ref="V62:Y62"/>
    <mergeCell ref="B63:K63"/>
    <mergeCell ref="L63:P63"/>
    <mergeCell ref="Q63:U63"/>
    <mergeCell ref="V63:Y63"/>
    <mergeCell ref="B60:K60"/>
    <mergeCell ref="L60:P60"/>
    <mergeCell ref="Q60:U60"/>
    <mergeCell ref="V60:Y60"/>
    <mergeCell ref="B61:K61"/>
    <mergeCell ref="L61:P61"/>
    <mergeCell ref="Q61:U61"/>
    <mergeCell ref="V61:Y61"/>
    <mergeCell ref="A69:H69"/>
    <mergeCell ref="I69:P69"/>
    <mergeCell ref="Q69:X69"/>
    <mergeCell ref="B66:K66"/>
    <mergeCell ref="L66:P66"/>
    <mergeCell ref="Q66:U66"/>
    <mergeCell ref="A68:H68"/>
    <mergeCell ref="I68:P68"/>
    <mergeCell ref="Q68:X68"/>
    <mergeCell ref="V66:AA66"/>
  </mergeCells>
  <conditionalFormatting sqref="L42 L56 L48:L54 Q56 V56:V57 Q48:Q50 V47:V49 Q52 B66:B69 K67:K69 P67:P69 U67:U69">
    <cfRule type="expression" dxfId="40" priority="17">
      <formula>#REF!=0</formula>
    </cfRule>
  </conditionalFormatting>
  <conditionalFormatting sqref="V42:W45">
    <cfRule type="expression" dxfId="39" priority="14">
      <formula>SUM(#REF!)=0</formula>
    </cfRule>
  </conditionalFormatting>
  <conditionalFormatting sqref="V42">
    <cfRule type="expression" dxfId="38" priority="16">
      <formula>#REF!="error"</formula>
    </cfRule>
  </conditionalFormatting>
  <conditionalFormatting sqref="V42 L42 L51">
    <cfRule type="expression" dxfId="37" priority="15">
      <formula>#REF!="error"</formula>
    </cfRule>
  </conditionalFormatting>
  <conditionalFormatting sqref="L43">
    <cfRule type="expression" dxfId="36" priority="13">
      <formula>#REF!=0</formula>
    </cfRule>
  </conditionalFormatting>
  <conditionalFormatting sqref="L43">
    <cfRule type="expression" dxfId="35" priority="12">
      <formula>#REF!="error"</formula>
    </cfRule>
  </conditionalFormatting>
  <conditionalFormatting sqref="Q51">
    <cfRule type="expression" dxfId="34" priority="11">
      <formula>#REF!=0</formula>
    </cfRule>
  </conditionalFormatting>
  <conditionalFormatting sqref="Q51">
    <cfRule type="expression" dxfId="33" priority="10">
      <formula>#REF!="error"</formula>
    </cfRule>
  </conditionalFormatting>
  <conditionalFormatting sqref="L43">
    <cfRule type="expression" dxfId="32" priority="9">
      <formula>#REF!=0</formula>
    </cfRule>
  </conditionalFormatting>
  <conditionalFormatting sqref="V58:V63">
    <cfRule type="expression" dxfId="31" priority="2">
      <formula>#REF!=0</formula>
    </cfRule>
  </conditionalFormatting>
  <conditionalFormatting sqref="L43">
    <cfRule type="expression" dxfId="30" priority="8">
      <formula>#REF!="error"</formula>
    </cfRule>
  </conditionalFormatting>
  <conditionalFormatting sqref="L44:L45">
    <cfRule type="expression" dxfId="29" priority="7">
      <formula>#REF!=0</formula>
    </cfRule>
  </conditionalFormatting>
  <conditionalFormatting sqref="L44:L45">
    <cfRule type="expression" dxfId="28" priority="6">
      <formula>#REF!="error"</formula>
    </cfRule>
  </conditionalFormatting>
  <conditionalFormatting sqref="Q42:Q44">
    <cfRule type="expression" dxfId="27" priority="5">
      <formula>#REF!=0</formula>
    </cfRule>
  </conditionalFormatting>
  <conditionalFormatting sqref="Q42:Q44">
    <cfRule type="expression" dxfId="26" priority="4">
      <formula>#REF!="error"</formula>
    </cfRule>
  </conditionalFormatting>
  <conditionalFormatting sqref="V50">
    <cfRule type="expression" dxfId="25" priority="3">
      <formula>#REF!=0</formula>
    </cfRule>
  </conditionalFormatting>
  <conditionalFormatting sqref="V51:V54">
    <cfRule type="expression" dxfId="24" priority="1">
      <formula>#REF!=0</formula>
    </cfRule>
  </conditionalFormatting>
  <hyperlinks>
    <hyperlink ref="A2" location="TOC!A1" display="Return to TOC" xr:uid="{00000000-0004-0000-1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7" tint="0.79998168889431442"/>
    <pageSetUpPr autoPageBreaks="0"/>
  </sheetPr>
  <dimension ref="A1:AH71"/>
  <sheetViews>
    <sheetView workbookViewId="0">
      <selection activeCell="A2" sqref="A2"/>
    </sheetView>
  </sheetViews>
  <sheetFormatPr defaultColWidth="2.6640625" defaultRowHeight="14.4" x14ac:dyDescent="0.3"/>
  <cols>
    <col min="1" max="16384" width="2.6640625" style="1"/>
  </cols>
  <sheetData>
    <row r="1" spans="1:32" ht="18" x14ac:dyDescent="0.3">
      <c r="A1" s="1131" t="s">
        <v>873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144" t="s">
        <v>3</v>
      </c>
      <c r="C5" s="1144"/>
      <c r="D5" s="1144"/>
      <c r="E5" s="1144"/>
      <c r="F5" s="1144"/>
      <c r="G5" s="1144"/>
      <c r="H5" s="1144"/>
      <c r="I5" s="1144"/>
    </row>
    <row r="6" spans="1:32" ht="110.25" customHeight="1" x14ac:dyDescent="0.3">
      <c r="B6" s="953" t="s">
        <v>108</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1144" t="s">
        <v>4</v>
      </c>
      <c r="C8" s="1144"/>
      <c r="D8" s="1144"/>
      <c r="E8" s="1144"/>
      <c r="F8" s="1144"/>
      <c r="G8" s="1144"/>
      <c r="H8" s="1144"/>
      <c r="I8" s="1144"/>
    </row>
    <row r="9" spans="1:32" ht="66.75" customHeight="1" x14ac:dyDescent="0.3">
      <c r="B9" s="953" t="s">
        <v>115</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0" spans="1:32" x14ac:dyDescent="0.3">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row>
    <row r="11" spans="1:32" x14ac:dyDescent="0.3">
      <c r="B11" s="1175" t="s">
        <v>51</v>
      </c>
      <c r="C11" s="1175"/>
      <c r="D11" s="1175"/>
      <c r="E11" s="1175"/>
      <c r="F11" s="1175"/>
      <c r="G11" s="1175"/>
      <c r="H11" s="1175"/>
      <c r="I11" s="1175"/>
      <c r="J11" s="1175"/>
      <c r="K11" s="1175"/>
      <c r="L11" s="1175"/>
      <c r="M11" s="1175"/>
      <c r="N11" s="1175"/>
      <c r="O11" s="1011" t="s">
        <v>110</v>
      </c>
      <c r="P11" s="1011"/>
      <c r="Q11" s="1011"/>
      <c r="R11" s="1011"/>
      <c r="S11" s="1011"/>
      <c r="T11" s="1011" t="s">
        <v>111</v>
      </c>
      <c r="U11" s="1011"/>
      <c r="V11" s="1011"/>
      <c r="W11" s="1011"/>
      <c r="X11" s="1011"/>
      <c r="Y11" s="4"/>
      <c r="Z11" s="4"/>
      <c r="AA11" s="4"/>
      <c r="AC11" s="4"/>
      <c r="AD11" s="4"/>
      <c r="AE11" s="4"/>
      <c r="AF11" s="4"/>
    </row>
    <row r="12" spans="1:32" x14ac:dyDescent="0.3">
      <c r="B12" s="1424" t="s">
        <v>53</v>
      </c>
      <c r="C12" s="1424"/>
      <c r="D12" s="1424"/>
      <c r="E12" s="1424"/>
      <c r="F12" s="1424"/>
      <c r="G12" s="1424"/>
      <c r="H12" s="1424"/>
      <c r="I12" s="1424"/>
      <c r="J12" s="1424"/>
      <c r="K12" s="1424"/>
      <c r="L12" s="1424"/>
      <c r="M12" s="1424"/>
      <c r="N12" s="1424"/>
      <c r="O12" s="949" t="s">
        <v>112</v>
      </c>
      <c r="P12" s="949"/>
      <c r="Q12" s="949"/>
      <c r="R12" s="949"/>
      <c r="S12" s="949"/>
      <c r="T12" s="949" t="s">
        <v>112</v>
      </c>
      <c r="U12" s="949"/>
      <c r="V12" s="949"/>
      <c r="W12" s="949"/>
      <c r="X12" s="949"/>
    </row>
    <row r="13" spans="1:32" x14ac:dyDescent="0.3">
      <c r="B13" s="1424" t="s">
        <v>54</v>
      </c>
      <c r="C13" s="1424"/>
      <c r="D13" s="1424"/>
      <c r="E13" s="1424"/>
      <c r="F13" s="1424"/>
      <c r="G13" s="1424"/>
      <c r="H13" s="1424"/>
      <c r="I13" s="1424"/>
      <c r="J13" s="1424"/>
      <c r="K13" s="1424"/>
      <c r="L13" s="1424"/>
      <c r="M13" s="1424"/>
      <c r="N13" s="1424"/>
      <c r="O13" s="949" t="s">
        <v>113</v>
      </c>
      <c r="P13" s="949"/>
      <c r="Q13" s="949"/>
      <c r="R13" s="949"/>
      <c r="S13" s="949"/>
      <c r="T13" s="949" t="s">
        <v>114</v>
      </c>
      <c r="U13" s="949"/>
      <c r="V13" s="949"/>
      <c r="W13" s="949"/>
      <c r="X13" s="949"/>
    </row>
    <row r="15" spans="1:32" x14ac:dyDescent="0.3">
      <c r="B15" s="1144" t="s">
        <v>5</v>
      </c>
      <c r="C15" s="1144"/>
      <c r="D15" s="1144"/>
      <c r="E15" s="1144"/>
      <c r="F15" s="1144"/>
      <c r="G15" s="1144"/>
      <c r="H15" s="1144"/>
      <c r="I15" s="1144"/>
    </row>
    <row r="16" spans="1:32" x14ac:dyDescent="0.3">
      <c r="B16" s="1142" t="s">
        <v>1052</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x14ac:dyDescent="0.3">
      <c r="B19" s="1142" t="s">
        <v>116</v>
      </c>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row>
    <row r="21" spans="1:32" x14ac:dyDescent="0.3">
      <c r="B21" s="51" t="s">
        <v>13</v>
      </c>
      <c r="C21" s="51"/>
      <c r="D21" s="51"/>
      <c r="E21" s="51"/>
      <c r="F21" s="51"/>
      <c r="G21" s="51"/>
      <c r="H21" s="51"/>
      <c r="I21" s="51"/>
    </row>
    <row r="22" spans="1:32" x14ac:dyDescent="0.3">
      <c r="B22" s="1142" t="s">
        <v>116</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7" spans="1:32" ht="15.6" x14ac:dyDescent="0.3">
      <c r="A27" s="1422" t="s">
        <v>1244</v>
      </c>
      <c r="B27" s="1255"/>
      <c r="C27" s="1255"/>
      <c r="D27" s="1255"/>
      <c r="E27" s="1255"/>
      <c r="F27" s="1255"/>
      <c r="G27" s="1255"/>
      <c r="H27" s="1256" t="s">
        <v>1236</v>
      </c>
      <c r="I27" s="1423"/>
      <c r="J27" s="1423"/>
      <c r="K27" s="1423"/>
      <c r="L27" s="1423"/>
      <c r="M27" s="1423"/>
      <c r="N27" s="1423"/>
      <c r="O27" s="1423"/>
      <c r="P27" s="1423"/>
      <c r="Q27" s="1423"/>
      <c r="R27" s="1423"/>
      <c r="S27" s="1423"/>
      <c r="T27" s="1423"/>
      <c r="U27" s="1423"/>
      <c r="V27" s="1423"/>
      <c r="W27" s="1423"/>
      <c r="X27" s="1423"/>
      <c r="Y27" s="1423"/>
      <c r="Z27" s="1423"/>
      <c r="AA27" s="1423"/>
      <c r="AB27" s="1423"/>
      <c r="AC27" s="1423"/>
      <c r="AD27" s="1423"/>
      <c r="AE27" s="1423"/>
      <c r="AF27" s="1423"/>
    </row>
    <row r="28" spans="1:32" ht="15.6" x14ac:dyDescent="0.3">
      <c r="A28" s="1422" t="s">
        <v>1245</v>
      </c>
      <c r="B28" s="1255"/>
      <c r="C28" s="1255"/>
      <c r="D28" s="1255"/>
      <c r="E28" s="1255"/>
      <c r="F28" s="1255"/>
      <c r="G28" s="1255"/>
      <c r="H28" s="1256" t="s">
        <v>1239</v>
      </c>
      <c r="I28" s="1423"/>
      <c r="J28" s="1423"/>
      <c r="K28" s="1423"/>
      <c r="L28" s="1423"/>
      <c r="M28" s="1423"/>
      <c r="N28" s="1423"/>
      <c r="O28" s="1423"/>
      <c r="P28" s="1423"/>
      <c r="Q28" s="1423"/>
      <c r="R28" s="1423"/>
      <c r="S28" s="1423"/>
      <c r="T28" s="1423"/>
      <c r="U28" s="1423"/>
      <c r="V28" s="1423"/>
      <c r="W28" s="1423"/>
      <c r="X28" s="1423"/>
      <c r="Y28" s="1423"/>
      <c r="Z28" s="1423"/>
      <c r="AA28" s="1423"/>
      <c r="AB28" s="1423"/>
      <c r="AC28" s="1423"/>
      <c r="AD28" s="1423"/>
      <c r="AE28" s="1423"/>
      <c r="AF28" s="1423"/>
    </row>
    <row r="29" spans="1:32" ht="15.6" x14ac:dyDescent="0.3">
      <c r="A29" s="1255" t="s">
        <v>1249</v>
      </c>
      <c r="B29" s="1255"/>
      <c r="C29" s="1255"/>
      <c r="D29" s="1255"/>
      <c r="E29" s="1255"/>
      <c r="F29" s="1255"/>
      <c r="G29" s="1255"/>
      <c r="H29" s="1256" t="s">
        <v>1252</v>
      </c>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row>
    <row r="30" spans="1:32" ht="15.6" x14ac:dyDescent="0.3">
      <c r="A30" s="1255" t="s">
        <v>1250</v>
      </c>
      <c r="B30" s="1255"/>
      <c r="C30" s="1255"/>
      <c r="D30" s="1255"/>
      <c r="E30" s="1255"/>
      <c r="F30" s="1255"/>
      <c r="G30" s="1255"/>
      <c r="H30" s="1256" t="s">
        <v>1242</v>
      </c>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row>
    <row r="31" spans="1:32" ht="15.6" x14ac:dyDescent="0.3">
      <c r="A31" s="1255" t="s">
        <v>1251</v>
      </c>
      <c r="B31" s="1255"/>
      <c r="C31" s="1255"/>
      <c r="D31" s="1255"/>
      <c r="E31" s="1255"/>
      <c r="F31" s="1255"/>
      <c r="G31" s="1255"/>
      <c r="H31" s="1256" t="s">
        <v>1241</v>
      </c>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row>
    <row r="34" spans="1:32" x14ac:dyDescent="0.3">
      <c r="A34" s="1141" t="s">
        <v>8</v>
      </c>
      <c r="B34" s="1141"/>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row>
    <row r="35" spans="1:32" x14ac:dyDescent="0.3">
      <c r="A35" s="1143" t="s">
        <v>9</v>
      </c>
      <c r="B35" s="1143"/>
      <c r="C35" s="1143"/>
      <c r="D35" s="1143"/>
      <c r="E35" s="1143" t="s">
        <v>3</v>
      </c>
      <c r="F35" s="1143"/>
      <c r="G35" s="1143"/>
      <c r="H35" s="1143"/>
      <c r="I35" s="1143"/>
      <c r="J35" s="1143"/>
      <c r="K35" s="1143"/>
      <c r="L35" s="1143"/>
      <c r="M35" s="1143"/>
      <c r="N35" s="1143"/>
      <c r="O35" s="1143"/>
      <c r="P35" s="1143"/>
      <c r="Q35" s="1143" t="s">
        <v>10</v>
      </c>
      <c r="R35" s="1143"/>
      <c r="S35" s="1143"/>
      <c r="T35" s="1143"/>
      <c r="U35" s="1259" t="s">
        <v>11</v>
      </c>
      <c r="V35" s="1260"/>
      <c r="W35" s="1421"/>
      <c r="X35" s="1259" t="s">
        <v>12</v>
      </c>
      <c r="Y35" s="1260"/>
      <c r="Z35" s="1260"/>
      <c r="AA35" s="1260"/>
      <c r="AB35" s="1260"/>
      <c r="AC35" s="1260"/>
      <c r="AD35" s="1260"/>
      <c r="AE35" s="1260"/>
      <c r="AF35" s="1421"/>
    </row>
    <row r="36" spans="1:32" ht="15.6" x14ac:dyDescent="0.3">
      <c r="A36" s="1154" t="s">
        <v>1446</v>
      </c>
      <c r="B36" s="1155"/>
      <c r="C36" s="1155"/>
      <c r="D36" s="1156"/>
      <c r="E36" s="1154" t="s">
        <v>60</v>
      </c>
      <c r="F36" s="1155"/>
      <c r="G36" s="1155"/>
      <c r="H36" s="1155"/>
      <c r="I36" s="1155"/>
      <c r="J36" s="1155"/>
      <c r="K36" s="1155"/>
      <c r="L36" s="1155"/>
      <c r="M36" s="1155"/>
      <c r="N36" s="1155"/>
      <c r="O36" s="1155"/>
      <c r="P36" s="1156"/>
      <c r="Q36" s="1243">
        <v>12</v>
      </c>
      <c r="R36" s="1244"/>
      <c r="S36" s="1244"/>
      <c r="T36" s="1245"/>
      <c r="U36" s="1243" t="s">
        <v>37</v>
      </c>
      <c r="V36" s="1244"/>
      <c r="W36" s="1245"/>
      <c r="X36" s="1243" t="s">
        <v>79</v>
      </c>
      <c r="Y36" s="1244"/>
      <c r="Z36" s="1244"/>
      <c r="AA36" s="1244"/>
      <c r="AB36" s="1244"/>
      <c r="AC36" s="1244"/>
      <c r="AD36" s="1244"/>
      <c r="AE36" s="1244"/>
      <c r="AF36" s="1245"/>
    </row>
    <row r="37" spans="1:32" ht="15.6" x14ac:dyDescent="0.3">
      <c r="A37" s="1154" t="s">
        <v>1447</v>
      </c>
      <c r="B37" s="1155"/>
      <c r="C37" s="1155"/>
      <c r="D37" s="1156"/>
      <c r="E37" s="1154" t="s">
        <v>58</v>
      </c>
      <c r="F37" s="1155"/>
      <c r="G37" s="1155"/>
      <c r="H37" s="1155"/>
      <c r="I37" s="1155"/>
      <c r="J37" s="1155"/>
      <c r="K37" s="1155"/>
      <c r="L37" s="1155"/>
      <c r="M37" s="1155"/>
      <c r="N37" s="1155"/>
      <c r="O37" s="1155"/>
      <c r="P37" s="1156"/>
      <c r="Q37" s="1243">
        <v>15</v>
      </c>
      <c r="R37" s="1244"/>
      <c r="S37" s="1244"/>
      <c r="T37" s="1245"/>
      <c r="U37" s="1243" t="s">
        <v>59</v>
      </c>
      <c r="V37" s="1244"/>
      <c r="W37" s="1245"/>
      <c r="X37" s="1243" t="s">
        <v>79</v>
      </c>
      <c r="Y37" s="1244"/>
      <c r="Z37" s="1244"/>
      <c r="AA37" s="1244"/>
      <c r="AB37" s="1244"/>
      <c r="AC37" s="1244"/>
      <c r="AD37" s="1244"/>
      <c r="AE37" s="1244"/>
      <c r="AF37" s="1245"/>
    </row>
    <row r="38" spans="1:32" ht="15.6" x14ac:dyDescent="0.3">
      <c r="A38" s="1154" t="s">
        <v>1448</v>
      </c>
      <c r="B38" s="1155"/>
      <c r="C38" s="1155"/>
      <c r="D38" s="1156"/>
      <c r="E38" s="1154" t="s">
        <v>62</v>
      </c>
      <c r="F38" s="1155"/>
      <c r="G38" s="1155"/>
      <c r="H38" s="1155"/>
      <c r="I38" s="1155"/>
      <c r="J38" s="1155"/>
      <c r="K38" s="1155"/>
      <c r="L38" s="1155"/>
      <c r="M38" s="1155"/>
      <c r="N38" s="1155"/>
      <c r="O38" s="1155"/>
      <c r="P38" s="1156"/>
      <c r="Q38" s="1243">
        <v>0.16700000000000001</v>
      </c>
      <c r="R38" s="1244"/>
      <c r="S38" s="1244"/>
      <c r="T38" s="1245"/>
      <c r="U38" s="1243" t="s">
        <v>63</v>
      </c>
      <c r="V38" s="1244"/>
      <c r="W38" s="1245"/>
      <c r="X38" s="1243" t="s">
        <v>79</v>
      </c>
      <c r="Y38" s="1244"/>
      <c r="Z38" s="1244"/>
      <c r="AA38" s="1244"/>
      <c r="AB38" s="1244"/>
      <c r="AC38" s="1244"/>
      <c r="AD38" s="1244"/>
      <c r="AE38" s="1244"/>
      <c r="AF38" s="1245"/>
    </row>
    <row r="39" spans="1:32" x14ac:dyDescent="0.3">
      <c r="A39" s="1154" t="s">
        <v>64</v>
      </c>
      <c r="B39" s="1155"/>
      <c r="C39" s="1155"/>
      <c r="D39" s="1156"/>
      <c r="E39" s="1154" t="s">
        <v>117</v>
      </c>
      <c r="F39" s="1155"/>
      <c r="G39" s="1155"/>
      <c r="H39" s="1155"/>
      <c r="I39" s="1155"/>
      <c r="J39" s="1155"/>
      <c r="K39" s="1155"/>
      <c r="L39" s="1155"/>
      <c r="M39" s="1155"/>
      <c r="N39" s="1155"/>
      <c r="O39" s="1155"/>
      <c r="P39" s="1156"/>
      <c r="Q39" s="1243">
        <v>365</v>
      </c>
      <c r="R39" s="1244"/>
      <c r="S39" s="1244"/>
      <c r="T39" s="1245"/>
      <c r="U39" s="1243" t="s">
        <v>66</v>
      </c>
      <c r="V39" s="1244"/>
      <c r="W39" s="1245"/>
      <c r="X39" s="1243" t="s">
        <v>79</v>
      </c>
      <c r="Y39" s="1244"/>
      <c r="Z39" s="1244"/>
      <c r="AA39" s="1244"/>
      <c r="AB39" s="1244"/>
      <c r="AC39" s="1244"/>
      <c r="AD39" s="1244"/>
      <c r="AE39" s="1244"/>
      <c r="AF39" s="1245"/>
    </row>
    <row r="40" spans="1:32" ht="15.6" x14ac:dyDescent="0.3">
      <c r="A40" s="1246" t="s">
        <v>1449</v>
      </c>
      <c r="B40" s="1155"/>
      <c r="C40" s="1155"/>
      <c r="D40" s="1156"/>
      <c r="E40" s="1154" t="s">
        <v>68</v>
      </c>
      <c r="F40" s="1155"/>
      <c r="G40" s="1155"/>
      <c r="H40" s="1155"/>
      <c r="I40" s="1155"/>
      <c r="J40" s="1155"/>
      <c r="K40" s="1155"/>
      <c r="L40" s="1155"/>
      <c r="M40" s="1155"/>
      <c r="N40" s="1155"/>
      <c r="O40" s="1155"/>
      <c r="P40" s="1156"/>
      <c r="Q40" s="1243" t="s">
        <v>23</v>
      </c>
      <c r="R40" s="1244"/>
      <c r="S40" s="1244"/>
      <c r="T40" s="1245"/>
      <c r="U40" s="1243" t="s">
        <v>22</v>
      </c>
      <c r="V40" s="1244"/>
      <c r="W40" s="1245"/>
      <c r="X40" s="1243" t="s">
        <v>80</v>
      </c>
      <c r="Y40" s="1244"/>
      <c r="Z40" s="1244"/>
      <c r="AA40" s="1244"/>
      <c r="AB40" s="1244"/>
      <c r="AC40" s="1244"/>
      <c r="AD40" s="1244"/>
      <c r="AE40" s="1244"/>
      <c r="AF40" s="1245"/>
    </row>
    <row r="41" spans="1:32" ht="15.6" x14ac:dyDescent="0.3">
      <c r="A41" s="1154" t="s">
        <v>1450</v>
      </c>
      <c r="B41" s="1155"/>
      <c r="C41" s="1155"/>
      <c r="D41" s="1156"/>
      <c r="E41" s="1154" t="s">
        <v>69</v>
      </c>
      <c r="F41" s="1155"/>
      <c r="G41" s="1155"/>
      <c r="H41" s="1155"/>
      <c r="I41" s="1155"/>
      <c r="J41" s="1155"/>
      <c r="K41" s="1155"/>
      <c r="L41" s="1155"/>
      <c r="M41" s="1155"/>
      <c r="N41" s="1155"/>
      <c r="O41" s="1155"/>
      <c r="P41" s="1156"/>
      <c r="Q41" s="1243" t="s">
        <v>23</v>
      </c>
      <c r="R41" s="1244"/>
      <c r="S41" s="1244"/>
      <c r="T41" s="1245"/>
      <c r="U41" s="1243" t="s">
        <v>18</v>
      </c>
      <c r="V41" s="1244"/>
      <c r="W41" s="1245"/>
      <c r="X41" s="1243" t="s">
        <v>80</v>
      </c>
      <c r="Y41" s="1244"/>
      <c r="Z41" s="1244"/>
      <c r="AA41" s="1244"/>
      <c r="AB41" s="1244"/>
      <c r="AC41" s="1244"/>
      <c r="AD41" s="1244"/>
      <c r="AE41" s="1244"/>
      <c r="AF41" s="1245"/>
    </row>
    <row r="42" spans="1:32" x14ac:dyDescent="0.3">
      <c r="A42" s="1154" t="s">
        <v>70</v>
      </c>
      <c r="B42" s="1155"/>
      <c r="C42" s="1155"/>
      <c r="D42" s="1156"/>
      <c r="E42" s="1154" t="s">
        <v>71</v>
      </c>
      <c r="F42" s="1155"/>
      <c r="G42" s="1155"/>
      <c r="H42" s="1155"/>
      <c r="I42" s="1155"/>
      <c r="J42" s="1155"/>
      <c r="K42" s="1155"/>
      <c r="L42" s="1155"/>
      <c r="M42" s="1155"/>
      <c r="N42" s="1155"/>
      <c r="O42" s="1155"/>
      <c r="P42" s="1156"/>
      <c r="Q42" s="1243" t="s">
        <v>23</v>
      </c>
      <c r="R42" s="1244"/>
      <c r="S42" s="1244"/>
      <c r="T42" s="1245"/>
      <c r="U42" s="1243" t="s">
        <v>72</v>
      </c>
      <c r="V42" s="1244"/>
      <c r="W42" s="1245"/>
      <c r="X42" s="1243" t="s">
        <v>79</v>
      </c>
      <c r="Y42" s="1244"/>
      <c r="Z42" s="1244"/>
      <c r="AA42" s="1244"/>
      <c r="AB42" s="1244"/>
      <c r="AC42" s="1244"/>
      <c r="AD42" s="1244"/>
      <c r="AE42" s="1244"/>
      <c r="AF42" s="1245"/>
    </row>
    <row r="43" spans="1:32" ht="15.6" x14ac:dyDescent="0.3">
      <c r="A43" s="1154" t="s">
        <v>1451</v>
      </c>
      <c r="B43" s="1155"/>
      <c r="C43" s="1155"/>
      <c r="D43" s="1156"/>
      <c r="E43" s="1154" t="s">
        <v>73</v>
      </c>
      <c r="F43" s="1155"/>
      <c r="G43" s="1155"/>
      <c r="H43" s="1155"/>
      <c r="I43" s="1155"/>
      <c r="J43" s="1155"/>
      <c r="K43" s="1155"/>
      <c r="L43" s="1155"/>
      <c r="M43" s="1155"/>
      <c r="N43" s="1155"/>
      <c r="O43" s="1155"/>
      <c r="P43" s="1156"/>
      <c r="Q43" s="1243" t="s">
        <v>23</v>
      </c>
      <c r="R43" s="1244"/>
      <c r="S43" s="1244"/>
      <c r="T43" s="1245"/>
      <c r="U43" s="1243" t="s">
        <v>74</v>
      </c>
      <c r="V43" s="1244"/>
      <c r="W43" s="1245"/>
      <c r="X43" s="1243" t="s">
        <v>79</v>
      </c>
      <c r="Y43" s="1244"/>
      <c r="Z43" s="1244"/>
      <c r="AA43" s="1244"/>
      <c r="AB43" s="1244"/>
      <c r="AC43" s="1244"/>
      <c r="AD43" s="1244"/>
      <c r="AE43" s="1244"/>
      <c r="AF43" s="1245"/>
    </row>
    <row r="44" spans="1:32" ht="15.6" x14ac:dyDescent="0.3">
      <c r="A44" s="1154" t="s">
        <v>1452</v>
      </c>
      <c r="B44" s="1155"/>
      <c r="C44" s="1155"/>
      <c r="D44" s="1156"/>
      <c r="E44" s="1154" t="s">
        <v>77</v>
      </c>
      <c r="F44" s="1155"/>
      <c r="G44" s="1155"/>
      <c r="H44" s="1155"/>
      <c r="I44" s="1155"/>
      <c r="J44" s="1155"/>
      <c r="K44" s="1155"/>
      <c r="L44" s="1155"/>
      <c r="M44" s="1155"/>
      <c r="N44" s="1155"/>
      <c r="O44" s="1155"/>
      <c r="P44" s="1156"/>
      <c r="Q44" s="1243" t="s">
        <v>23</v>
      </c>
      <c r="R44" s="1244"/>
      <c r="S44" s="1244"/>
      <c r="T44" s="1245"/>
      <c r="U44" s="1243" t="s">
        <v>78</v>
      </c>
      <c r="V44" s="1244"/>
      <c r="W44" s="1245"/>
      <c r="X44" s="1243" t="s">
        <v>79</v>
      </c>
      <c r="Y44" s="1244"/>
      <c r="Z44" s="1244"/>
      <c r="AA44" s="1244"/>
      <c r="AB44" s="1244"/>
      <c r="AC44" s="1244"/>
      <c r="AD44" s="1244"/>
      <c r="AE44" s="1244"/>
      <c r="AF44" s="1245"/>
    </row>
    <row r="45" spans="1:32" x14ac:dyDescent="0.3">
      <c r="A45" s="1154" t="s">
        <v>21</v>
      </c>
      <c r="B45" s="1155"/>
      <c r="C45" s="1155"/>
      <c r="D45" s="1156"/>
      <c r="E45" s="1154" t="s">
        <v>96</v>
      </c>
      <c r="F45" s="1155"/>
      <c r="G45" s="1155"/>
      <c r="H45" s="1155"/>
      <c r="I45" s="1155"/>
      <c r="J45" s="1155"/>
      <c r="K45" s="1155"/>
      <c r="L45" s="1155"/>
      <c r="M45" s="1155"/>
      <c r="N45" s="1155"/>
      <c r="O45" s="1155"/>
      <c r="P45" s="1156"/>
      <c r="Q45" s="1243">
        <v>100</v>
      </c>
      <c r="R45" s="1244"/>
      <c r="S45" s="1244"/>
      <c r="T45" s="1245"/>
      <c r="U45" s="1243" t="s">
        <v>22</v>
      </c>
      <c r="V45" s="1244"/>
      <c r="W45" s="1245"/>
      <c r="X45" s="1243"/>
      <c r="Y45" s="1244"/>
      <c r="Z45" s="1244"/>
      <c r="AA45" s="1244"/>
      <c r="AB45" s="1244"/>
      <c r="AC45" s="1244"/>
      <c r="AD45" s="1244"/>
      <c r="AE45" s="1244"/>
      <c r="AF45" s="1245"/>
    </row>
    <row r="46" spans="1:32" x14ac:dyDescent="0.3">
      <c r="A46" s="1154" t="s">
        <v>34</v>
      </c>
      <c r="B46" s="1155"/>
      <c r="C46" s="1155"/>
      <c r="D46" s="1156"/>
      <c r="E46" s="1154" t="s">
        <v>97</v>
      </c>
      <c r="F46" s="1155"/>
      <c r="G46" s="1155"/>
      <c r="H46" s="1155"/>
      <c r="I46" s="1155"/>
      <c r="J46" s="1155"/>
      <c r="K46" s="1155"/>
      <c r="L46" s="1155"/>
      <c r="M46" s="1155"/>
      <c r="N46" s="1155"/>
      <c r="O46" s="1155"/>
      <c r="P46" s="1156"/>
      <c r="Q46" s="1243">
        <v>100</v>
      </c>
      <c r="R46" s="1244"/>
      <c r="S46" s="1244"/>
      <c r="T46" s="1245"/>
      <c r="U46" s="1243" t="s">
        <v>22</v>
      </c>
      <c r="V46" s="1244"/>
      <c r="W46" s="1245"/>
      <c r="X46" s="1243"/>
      <c r="Y46" s="1244"/>
      <c r="Z46" s="1244"/>
      <c r="AA46" s="1244"/>
      <c r="AB46" s="1244"/>
      <c r="AC46" s="1244"/>
      <c r="AD46" s="1244"/>
      <c r="AE46" s="1244"/>
      <c r="AF46" s="1245"/>
    </row>
    <row r="47" spans="1:32" x14ac:dyDescent="0.3">
      <c r="A47" s="1154" t="s">
        <v>26</v>
      </c>
      <c r="B47" s="1155"/>
      <c r="C47" s="1155"/>
      <c r="D47" s="1156"/>
      <c r="E47" s="1154" t="s">
        <v>27</v>
      </c>
      <c r="F47" s="1155"/>
      <c r="G47" s="1155"/>
      <c r="H47" s="1155"/>
      <c r="I47" s="1155"/>
      <c r="J47" s="1155"/>
      <c r="K47" s="1155"/>
      <c r="L47" s="1155"/>
      <c r="M47" s="1155"/>
      <c r="N47" s="1155"/>
      <c r="O47" s="1155"/>
      <c r="P47" s="1156"/>
      <c r="Q47" s="1243">
        <f>'Master EUL'!X120</f>
        <v>12</v>
      </c>
      <c r="R47" s="1244"/>
      <c r="S47" s="1244"/>
      <c r="T47" s="1245"/>
      <c r="U47" s="1243" t="s">
        <v>38</v>
      </c>
      <c r="V47" s="1244"/>
      <c r="W47" s="1245"/>
      <c r="X47" s="1243"/>
      <c r="Y47" s="1244"/>
      <c r="Z47" s="1244"/>
      <c r="AA47" s="1244"/>
      <c r="AB47" s="1244"/>
      <c r="AC47" s="1244"/>
      <c r="AD47" s="1244"/>
      <c r="AE47" s="1244"/>
      <c r="AF47" s="1245"/>
    </row>
    <row r="48" spans="1:32" x14ac:dyDescent="0.3">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ht="33.75" customHeight="1" x14ac:dyDescent="0.3">
      <c r="A49" s="863" t="s">
        <v>124</v>
      </c>
      <c r="B49" s="863"/>
      <c r="C49" s="863"/>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row>
    <row r="50" spans="1:32" x14ac:dyDescent="0.3">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x14ac:dyDescent="0.3">
      <c r="A51" s="1011" t="s">
        <v>81</v>
      </c>
      <c r="B51" s="1011"/>
      <c r="C51" s="1011"/>
      <c r="D51" s="1011"/>
      <c r="E51" s="1011"/>
      <c r="F51" s="1011"/>
      <c r="G51" s="1011"/>
      <c r="H51" s="1011"/>
      <c r="I51" s="1011"/>
      <c r="J51" s="1011"/>
      <c r="K51" s="1011"/>
      <c r="L51" s="1011"/>
      <c r="M51" s="1011"/>
      <c r="N51" s="1011"/>
      <c r="O51" s="1011" t="s">
        <v>123</v>
      </c>
      <c r="P51" s="1011"/>
      <c r="Q51" s="1011"/>
      <c r="R51" s="1011"/>
      <c r="S51" s="1011"/>
      <c r="T51" s="1011"/>
      <c r="U51" s="1011"/>
      <c r="V51" s="1011"/>
      <c r="W51" s="1011" t="s">
        <v>122</v>
      </c>
      <c r="X51" s="1011"/>
      <c r="Y51" s="1011"/>
      <c r="Z51" s="1011"/>
      <c r="AA51" s="1011"/>
      <c r="AB51" s="1011"/>
      <c r="AC51" s="1011"/>
      <c r="AD51" s="1011"/>
      <c r="AE51" s="8"/>
      <c r="AF51" s="8"/>
    </row>
    <row r="52" spans="1:32" x14ac:dyDescent="0.3">
      <c r="A52" s="1011"/>
      <c r="B52" s="1011"/>
      <c r="C52" s="1011"/>
      <c r="D52" s="1011"/>
      <c r="E52" s="1011"/>
      <c r="F52" s="1011"/>
      <c r="G52" s="1011"/>
      <c r="H52" s="1011"/>
      <c r="I52" s="1011"/>
      <c r="J52" s="1011"/>
      <c r="K52" s="1011"/>
      <c r="L52" s="1011"/>
      <c r="M52" s="1011"/>
      <c r="N52" s="1011"/>
      <c r="O52" s="1011" t="s">
        <v>109</v>
      </c>
      <c r="P52" s="1011"/>
      <c r="Q52" s="1011"/>
      <c r="R52" s="1011"/>
      <c r="S52" s="1011" t="s">
        <v>120</v>
      </c>
      <c r="T52" s="1011"/>
      <c r="U52" s="1011"/>
      <c r="V52" s="1011"/>
      <c r="W52" s="1011" t="s">
        <v>109</v>
      </c>
      <c r="X52" s="1011"/>
      <c r="Y52" s="1011"/>
      <c r="Z52" s="1011"/>
      <c r="AA52" s="1011" t="s">
        <v>120</v>
      </c>
      <c r="AB52" s="1011"/>
      <c r="AC52" s="1011"/>
      <c r="AD52" s="1011"/>
      <c r="AE52" s="8"/>
      <c r="AF52" s="8"/>
    </row>
    <row r="53" spans="1:32" x14ac:dyDescent="0.3">
      <c r="A53" s="855" t="s">
        <v>82</v>
      </c>
      <c r="B53" s="855"/>
      <c r="C53" s="855"/>
      <c r="D53" s="855"/>
      <c r="E53" s="855"/>
      <c r="F53" s="855"/>
      <c r="G53" s="855"/>
      <c r="H53" s="855"/>
      <c r="I53" s="855"/>
      <c r="J53" s="855"/>
      <c r="K53" s="855"/>
      <c r="L53" s="855"/>
      <c r="M53" s="855"/>
      <c r="N53" s="855"/>
      <c r="O53" s="949">
        <v>2.2999999999999998</v>
      </c>
      <c r="P53" s="949"/>
      <c r="Q53" s="949"/>
      <c r="R53" s="949"/>
      <c r="S53" s="949">
        <v>2.5</v>
      </c>
      <c r="T53" s="949"/>
      <c r="U53" s="949"/>
      <c r="V53" s="949"/>
      <c r="W53" s="949">
        <v>1.7</v>
      </c>
      <c r="X53" s="949"/>
      <c r="Y53" s="949"/>
      <c r="Z53" s="949"/>
      <c r="AA53" s="949">
        <v>2.1</v>
      </c>
      <c r="AB53" s="949"/>
      <c r="AC53" s="949"/>
      <c r="AD53" s="949"/>
      <c r="AE53" s="8"/>
      <c r="AF53" s="8"/>
    </row>
    <row r="54" spans="1:32" x14ac:dyDescent="0.3">
      <c r="A54" s="855" t="s">
        <v>83</v>
      </c>
      <c r="B54" s="855"/>
      <c r="C54" s="855"/>
      <c r="D54" s="855"/>
      <c r="E54" s="855"/>
      <c r="F54" s="855"/>
      <c r="G54" s="855"/>
      <c r="H54" s="855"/>
      <c r="I54" s="855"/>
      <c r="J54" s="855"/>
      <c r="K54" s="855"/>
      <c r="L54" s="855"/>
      <c r="M54" s="855"/>
      <c r="N54" s="855"/>
      <c r="O54" s="949">
        <v>1.05</v>
      </c>
      <c r="P54" s="949"/>
      <c r="Q54" s="949"/>
      <c r="R54" s="949"/>
      <c r="S54" s="949">
        <v>1.35</v>
      </c>
      <c r="T54" s="949"/>
      <c r="U54" s="949"/>
      <c r="V54" s="949"/>
      <c r="W54" s="949">
        <v>1</v>
      </c>
      <c r="X54" s="949"/>
      <c r="Y54" s="949"/>
      <c r="Z54" s="949"/>
      <c r="AA54" s="949">
        <v>1.1000000000000001</v>
      </c>
      <c r="AB54" s="949"/>
      <c r="AC54" s="949"/>
      <c r="AD54" s="949"/>
      <c r="AE54" s="8"/>
      <c r="AF54" s="8"/>
    </row>
    <row r="55" spans="1:32" x14ac:dyDescent="0.3">
      <c r="A55" s="855" t="s">
        <v>2020</v>
      </c>
      <c r="B55" s="855"/>
      <c r="C55" s="855"/>
      <c r="D55" s="855"/>
      <c r="E55" s="855"/>
      <c r="F55" s="855"/>
      <c r="G55" s="855"/>
      <c r="H55" s="855"/>
      <c r="I55" s="855"/>
      <c r="J55" s="855"/>
      <c r="K55" s="855"/>
      <c r="L55" s="855"/>
      <c r="M55" s="855"/>
      <c r="N55" s="855"/>
      <c r="O55" s="1420">
        <v>0.75</v>
      </c>
      <c r="P55" s="1420"/>
      <c r="Q55" s="1420"/>
      <c r="R55" s="1420"/>
      <c r="S55" s="1420">
        <v>0.7</v>
      </c>
      <c r="T55" s="1420"/>
      <c r="U55" s="1420"/>
      <c r="V55" s="1420"/>
      <c r="W55" s="1420">
        <v>0.8</v>
      </c>
      <c r="X55" s="1420"/>
      <c r="Y55" s="1420"/>
      <c r="Z55" s="1420"/>
      <c r="AA55" s="1420">
        <v>0.8</v>
      </c>
      <c r="AB55" s="1420"/>
      <c r="AC55" s="1420"/>
      <c r="AD55" s="1420"/>
      <c r="AE55" s="8"/>
      <c r="AF55" s="8"/>
    </row>
    <row r="56" spans="1:32" x14ac:dyDescent="0.3">
      <c r="A56" s="855" t="s">
        <v>119</v>
      </c>
      <c r="B56" s="855"/>
      <c r="C56" s="855"/>
      <c r="D56" s="855"/>
      <c r="E56" s="855"/>
      <c r="F56" s="855"/>
      <c r="G56" s="855"/>
      <c r="H56" s="855"/>
      <c r="I56" s="855"/>
      <c r="J56" s="855"/>
      <c r="K56" s="855"/>
      <c r="L56" s="855"/>
      <c r="M56" s="855"/>
      <c r="N56" s="855"/>
      <c r="O56" s="949">
        <v>65</v>
      </c>
      <c r="P56" s="949"/>
      <c r="Q56" s="949"/>
      <c r="R56" s="949"/>
      <c r="S56" s="949">
        <v>100</v>
      </c>
      <c r="T56" s="949"/>
      <c r="U56" s="949"/>
      <c r="V56" s="949"/>
      <c r="W56" s="949">
        <v>70</v>
      </c>
      <c r="X56" s="949"/>
      <c r="Y56" s="949"/>
      <c r="Z56" s="949"/>
      <c r="AA56" s="949">
        <v>110</v>
      </c>
      <c r="AB56" s="949"/>
      <c r="AC56" s="949"/>
      <c r="AD56" s="949"/>
      <c r="AE56" s="8"/>
      <c r="AF56" s="8"/>
    </row>
    <row r="57" spans="1:32" x14ac:dyDescent="0.3">
      <c r="A57" s="855" t="s">
        <v>118</v>
      </c>
      <c r="B57" s="855"/>
      <c r="C57" s="855"/>
      <c r="D57" s="855"/>
      <c r="E57" s="855"/>
      <c r="F57" s="855"/>
      <c r="G57" s="855"/>
      <c r="H57" s="855"/>
      <c r="I57" s="855"/>
      <c r="J57" s="855"/>
      <c r="K57" s="855"/>
      <c r="L57" s="855"/>
      <c r="M57" s="855"/>
      <c r="N57" s="855"/>
      <c r="O57" s="949">
        <v>150</v>
      </c>
      <c r="P57" s="949"/>
      <c r="Q57" s="949"/>
      <c r="R57" s="949"/>
      <c r="S57" s="949">
        <v>150</v>
      </c>
      <c r="T57" s="949"/>
      <c r="U57" s="949"/>
      <c r="V57" s="949"/>
      <c r="W57" s="949">
        <v>150</v>
      </c>
      <c r="X57" s="949"/>
      <c r="Y57" s="949"/>
      <c r="Z57" s="949"/>
      <c r="AA57" s="949">
        <v>150</v>
      </c>
      <c r="AB57" s="949"/>
      <c r="AC57" s="949"/>
      <c r="AD57" s="949"/>
      <c r="AE57" s="8"/>
      <c r="AF57" s="8"/>
    </row>
    <row r="58" spans="1:32" x14ac:dyDescent="0.3">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row>
    <row r="59" spans="1:32" x14ac:dyDescent="0.3">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row>
    <row r="60" spans="1:32" x14ac:dyDescent="0.3">
      <c r="A60" s="1141" t="s">
        <v>14</v>
      </c>
      <c r="B60" s="1141"/>
      <c r="C60" s="1141"/>
      <c r="D60" s="1141"/>
      <c r="E60" s="1141"/>
      <c r="F60" s="1141"/>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row>
    <row r="62" spans="1:32" x14ac:dyDescent="0.3">
      <c r="A62" s="1460" t="s">
        <v>126</v>
      </c>
      <c r="B62" s="1461"/>
      <c r="C62" s="1461"/>
      <c r="D62" s="1461"/>
      <c r="E62" s="1461"/>
      <c r="F62" s="1462"/>
      <c r="G62" s="1011" t="s">
        <v>109</v>
      </c>
      <c r="H62" s="1011"/>
      <c r="I62" s="1011"/>
      <c r="J62" s="1011"/>
      <c r="K62" s="1011" t="s">
        <v>120</v>
      </c>
      <c r="L62" s="1011"/>
      <c r="M62" s="1011"/>
      <c r="N62" s="1011"/>
      <c r="O62" s="10"/>
      <c r="P62" s="10"/>
      <c r="Q62" s="10"/>
      <c r="R62" s="10"/>
      <c r="S62" s="1460" t="s">
        <v>127</v>
      </c>
      <c r="T62" s="1461"/>
      <c r="U62" s="1461"/>
      <c r="V62" s="1461"/>
      <c r="W62" s="1461"/>
      <c r="X62" s="1462"/>
      <c r="Y62" s="1011" t="s">
        <v>109</v>
      </c>
      <c r="Z62" s="1011"/>
      <c r="AA62" s="1011"/>
      <c r="AB62" s="1011"/>
      <c r="AC62" s="1011" t="s">
        <v>120</v>
      </c>
      <c r="AD62" s="1011"/>
      <c r="AE62" s="1011"/>
      <c r="AF62" s="1011"/>
    </row>
    <row r="63" spans="1:32" x14ac:dyDescent="0.3">
      <c r="A63" s="1424" t="s">
        <v>90</v>
      </c>
      <c r="B63" s="1424"/>
      <c r="C63" s="1424"/>
      <c r="D63" s="1424"/>
      <c r="E63" s="1424"/>
      <c r="F63" s="1424"/>
      <c r="G63" s="1459">
        <f>Q39*Q38/O55*O57</f>
        <v>12191.000000000002</v>
      </c>
      <c r="H63" s="1459"/>
      <c r="I63" s="1459"/>
      <c r="J63" s="1459"/>
      <c r="K63" s="1459">
        <f>Q39*Q38/S55*S57</f>
        <v>13061.785714285716</v>
      </c>
      <c r="L63" s="1459"/>
      <c r="M63" s="1459"/>
      <c r="N63" s="1459"/>
      <c r="S63" s="1424" t="s">
        <v>90</v>
      </c>
      <c r="T63" s="1424"/>
      <c r="U63" s="1424"/>
      <c r="V63" s="1424"/>
      <c r="W63" s="1424"/>
      <c r="X63" s="1424"/>
      <c r="Y63" s="1459">
        <f>Q39*Q38/W55*W57</f>
        <v>11429.062500000002</v>
      </c>
      <c r="Z63" s="1459"/>
      <c r="AA63" s="1459"/>
      <c r="AB63" s="1459"/>
      <c r="AC63" s="1459">
        <f>Q39*Q38/AA55*AA57</f>
        <v>11429.062500000002</v>
      </c>
      <c r="AD63" s="1459"/>
      <c r="AE63" s="1459"/>
      <c r="AF63" s="1459"/>
    </row>
    <row r="64" spans="1:32" x14ac:dyDescent="0.3">
      <c r="A64" s="1424" t="s">
        <v>91</v>
      </c>
      <c r="B64" s="1424"/>
      <c r="C64" s="1424"/>
      <c r="D64" s="1424"/>
      <c r="E64" s="1424"/>
      <c r="F64" s="1424"/>
      <c r="G64" s="1459">
        <f>$Q$39*O54*($Q$36-($Q$37/60)-(O57/O56))</f>
        <v>3618.7644230769233</v>
      </c>
      <c r="H64" s="1459"/>
      <c r="I64" s="1459"/>
      <c r="J64" s="1459"/>
      <c r="K64" s="1459">
        <f>$Q$39*S54*($Q$36-($Q$37/60)-(S57/S56))</f>
        <v>5050.6875000000009</v>
      </c>
      <c r="L64" s="1459"/>
      <c r="M64" s="1459"/>
      <c r="N64" s="1459"/>
      <c r="S64" s="1424" t="s">
        <v>91</v>
      </c>
      <c r="T64" s="1424"/>
      <c r="U64" s="1424"/>
      <c r="V64" s="1424"/>
      <c r="W64" s="1424"/>
      <c r="X64" s="1424"/>
      <c r="Y64" s="1459">
        <f>$Q$39*W54*($Q$36-($Q$37/60)-(W57/W56))</f>
        <v>3506.6071428571431</v>
      </c>
      <c r="Z64" s="1459"/>
      <c r="AA64" s="1459"/>
      <c r="AB64" s="1459"/>
      <c r="AC64" s="1459">
        <f>$Q$39*AA54*($Q$36-($Q$37/60)-(AA57/AA56))</f>
        <v>4170.1250000000009</v>
      </c>
      <c r="AD64" s="1459"/>
      <c r="AE64" s="1459"/>
      <c r="AF64" s="1459"/>
    </row>
    <row r="65" spans="1:34" x14ac:dyDescent="0.3">
      <c r="A65" s="1424" t="s">
        <v>92</v>
      </c>
      <c r="B65" s="1424"/>
      <c r="C65" s="1424"/>
      <c r="D65" s="1424"/>
      <c r="E65" s="1424"/>
      <c r="F65" s="1424"/>
      <c r="G65" s="1459">
        <f>O53*Q39</f>
        <v>839.49999999999989</v>
      </c>
      <c r="H65" s="1459"/>
      <c r="I65" s="1459"/>
      <c r="J65" s="1459"/>
      <c r="K65" s="1459">
        <f>S53*Q39</f>
        <v>912.5</v>
      </c>
      <c r="L65" s="1459"/>
      <c r="M65" s="1459"/>
      <c r="N65" s="1459"/>
      <c r="S65" s="1424" t="s">
        <v>92</v>
      </c>
      <c r="T65" s="1424"/>
      <c r="U65" s="1424"/>
      <c r="V65" s="1424"/>
      <c r="W65" s="1424"/>
      <c r="X65" s="1424"/>
      <c r="Y65" s="1459">
        <f>W53*Q39</f>
        <v>620.5</v>
      </c>
      <c r="Z65" s="1459"/>
      <c r="AA65" s="1459"/>
      <c r="AB65" s="1459"/>
      <c r="AC65" s="1459">
        <f>AA53*Q39</f>
        <v>766.5</v>
      </c>
      <c r="AD65" s="1459"/>
      <c r="AE65" s="1459"/>
      <c r="AF65" s="1459"/>
    </row>
    <row r="66" spans="1:34" x14ac:dyDescent="0.3">
      <c r="A66" s="1424" t="s">
        <v>125</v>
      </c>
      <c r="B66" s="1424"/>
      <c r="C66" s="1424"/>
      <c r="D66" s="1424"/>
      <c r="E66" s="1424"/>
      <c r="F66" s="1424"/>
      <c r="G66" s="1459">
        <f>SUM(G63:J65)</f>
        <v>16649.264423076926</v>
      </c>
      <c r="H66" s="1459"/>
      <c r="I66" s="1459"/>
      <c r="J66" s="1459"/>
      <c r="K66" s="1459">
        <f>SUM(K63:N65)</f>
        <v>19024.973214285717</v>
      </c>
      <c r="L66" s="1459"/>
      <c r="M66" s="1459"/>
      <c r="N66" s="1459"/>
      <c r="S66" s="1424" t="s">
        <v>125</v>
      </c>
      <c r="T66" s="1424"/>
      <c r="U66" s="1424"/>
      <c r="V66" s="1424"/>
      <c r="W66" s="1424"/>
      <c r="X66" s="1424"/>
      <c r="Y66" s="1459">
        <f>SUM(Y63:AB65)</f>
        <v>15556.169642857145</v>
      </c>
      <c r="Z66" s="1459"/>
      <c r="AA66" s="1459"/>
      <c r="AB66" s="1459"/>
      <c r="AC66" s="1459">
        <f>SUM(AC63:AF65)</f>
        <v>16365.687500000004</v>
      </c>
      <c r="AD66" s="1459"/>
      <c r="AE66" s="1459"/>
      <c r="AF66" s="1459"/>
      <c r="AH66" s="11"/>
    </row>
    <row r="67" spans="1:34" x14ac:dyDescent="0.3">
      <c r="A67" s="1424" t="s">
        <v>93</v>
      </c>
      <c r="B67" s="1424"/>
      <c r="C67" s="1424"/>
      <c r="D67" s="1424"/>
      <c r="E67" s="1424"/>
      <c r="F67" s="1424"/>
      <c r="G67" s="1458">
        <f>G66/($Q$36*$Q$39)</f>
        <v>3.8012019230769236</v>
      </c>
      <c r="H67" s="1458"/>
      <c r="I67" s="1458"/>
      <c r="J67" s="1458"/>
      <c r="K67" s="1458">
        <f>K66/($Q$36*$Q$39)</f>
        <v>4.3436011904761909</v>
      </c>
      <c r="L67" s="1458"/>
      <c r="M67" s="1458"/>
      <c r="N67" s="1458"/>
      <c r="S67" s="1424" t="s">
        <v>93</v>
      </c>
      <c r="T67" s="1424"/>
      <c r="U67" s="1424"/>
      <c r="V67" s="1424"/>
      <c r="W67" s="1424"/>
      <c r="X67" s="1424"/>
      <c r="Y67" s="1458">
        <f>Y66/($Q$36*$Q$39)</f>
        <v>3.5516369047619052</v>
      </c>
      <c r="Z67" s="1458"/>
      <c r="AA67" s="1458"/>
      <c r="AB67" s="1458"/>
      <c r="AC67" s="1458">
        <f>AC66/($Q$36*$Q$39)</f>
        <v>3.7364583333333341</v>
      </c>
      <c r="AD67" s="1458"/>
      <c r="AE67" s="1458"/>
      <c r="AF67" s="1458"/>
    </row>
    <row r="68" spans="1:34" ht="15" thickBot="1" x14ac:dyDescent="0.35"/>
    <row r="69" spans="1:34" x14ac:dyDescent="0.3">
      <c r="A69" s="1252" t="s">
        <v>15</v>
      </c>
      <c r="B69" s="1253"/>
      <c r="C69" s="1253"/>
      <c r="D69" s="1253"/>
      <c r="E69" s="1253"/>
      <c r="F69" s="1253"/>
      <c r="G69" s="1253"/>
      <c r="H69" s="1253"/>
      <c r="I69" s="1253" t="s">
        <v>16</v>
      </c>
      <c r="J69" s="1253"/>
      <c r="K69" s="1253"/>
      <c r="L69" s="1253"/>
      <c r="M69" s="1253"/>
      <c r="N69" s="1253"/>
      <c r="O69" s="1253"/>
      <c r="P69" s="1253"/>
      <c r="Q69" s="1253" t="s">
        <v>17</v>
      </c>
      <c r="R69" s="1253"/>
      <c r="S69" s="1253"/>
      <c r="T69" s="1253"/>
      <c r="U69" s="1253"/>
      <c r="V69" s="1253"/>
      <c r="W69" s="1253"/>
      <c r="X69" s="1254"/>
    </row>
    <row r="70" spans="1:34" x14ac:dyDescent="0.3">
      <c r="A70" s="1454" t="s">
        <v>128</v>
      </c>
      <c r="B70" s="949"/>
      <c r="C70" s="949"/>
      <c r="D70" s="949"/>
      <c r="E70" s="949"/>
      <c r="F70" s="949"/>
      <c r="G70" s="949"/>
      <c r="H70" s="949"/>
      <c r="I70" s="1455">
        <f>ROUND(G67-Y67,3)</f>
        <v>0.25</v>
      </c>
      <c r="J70" s="1455"/>
      <c r="K70" s="1455"/>
      <c r="L70" s="1455"/>
      <c r="M70" s="1455"/>
      <c r="N70" s="1455"/>
      <c r="O70" s="1455"/>
      <c r="P70" s="1455"/>
      <c r="Q70" s="1456">
        <f>ROUND(G66-Y66,2)</f>
        <v>1093.0899999999999</v>
      </c>
      <c r="R70" s="1456"/>
      <c r="S70" s="1456"/>
      <c r="T70" s="1456"/>
      <c r="U70" s="1456"/>
      <c r="V70" s="1456"/>
      <c r="W70" s="1456"/>
      <c r="X70" s="1457"/>
    </row>
    <row r="71" spans="1:34" ht="15" thickBot="1" x14ac:dyDescent="0.35">
      <c r="A71" s="1247" t="s">
        <v>129</v>
      </c>
      <c r="B71" s="1248"/>
      <c r="C71" s="1248"/>
      <c r="D71" s="1248"/>
      <c r="E71" s="1248"/>
      <c r="F71" s="1248"/>
      <c r="G71" s="1248"/>
      <c r="H71" s="1248"/>
      <c r="I71" s="1414">
        <f>ROUND(K67-AC67,3)</f>
        <v>0.60699999999999998</v>
      </c>
      <c r="J71" s="1414"/>
      <c r="K71" s="1414"/>
      <c r="L71" s="1414"/>
      <c r="M71" s="1414"/>
      <c r="N71" s="1414"/>
      <c r="O71" s="1414"/>
      <c r="P71" s="1414"/>
      <c r="Q71" s="1415">
        <f>ROUND(K66-AC66,2)</f>
        <v>2659.29</v>
      </c>
      <c r="R71" s="1415"/>
      <c r="S71" s="1415"/>
      <c r="T71" s="1415"/>
      <c r="U71" s="1415"/>
      <c r="V71" s="1415"/>
      <c r="W71" s="1415"/>
      <c r="X71" s="1416"/>
    </row>
  </sheetData>
  <sheetProtection algorithmName="SHA-512" hashValue="EBth/NOTf3klSgu8mBC7zhaE7vPB39kt6PWOblRzgYiqPvRmHyGXXBiNPkCYHuDsxOpGIxj5MqRLELzEMKK5Eg==" saltValue="uJyNq/C85oR2BZrfpkYA7g==" spinCount="100000" sheet="1" objects="1" scenarios="1"/>
  <mergeCells count="176">
    <mergeCell ref="A1:AF1"/>
    <mergeCell ref="A3:AF3"/>
    <mergeCell ref="B5:I5"/>
    <mergeCell ref="B12:N12"/>
    <mergeCell ref="O12:S12"/>
    <mergeCell ref="T12:X12"/>
    <mergeCell ref="B13:N13"/>
    <mergeCell ref="O13:S13"/>
    <mergeCell ref="T13:X13"/>
    <mergeCell ref="B6:AF6"/>
    <mergeCell ref="B8:I8"/>
    <mergeCell ref="B9:AF9"/>
    <mergeCell ref="B11:N11"/>
    <mergeCell ref="O11:S11"/>
    <mergeCell ref="T11:X11"/>
    <mergeCell ref="A25:AF25"/>
    <mergeCell ref="A27:G27"/>
    <mergeCell ref="H27:AF27"/>
    <mergeCell ref="A28:G28"/>
    <mergeCell ref="H28:AF28"/>
    <mergeCell ref="A29:G29"/>
    <mergeCell ref="H29:AF29"/>
    <mergeCell ref="B15:I15"/>
    <mergeCell ref="B16:AF16"/>
    <mergeCell ref="B18:I18"/>
    <mergeCell ref="B19:AF19"/>
    <mergeCell ref="B22:AF22"/>
    <mergeCell ref="A30:G30"/>
    <mergeCell ref="H30:AF30"/>
    <mergeCell ref="A31:G31"/>
    <mergeCell ref="H31:AF31"/>
    <mergeCell ref="A34:AF34"/>
    <mergeCell ref="A35:D35"/>
    <mergeCell ref="E35:P35"/>
    <mergeCell ref="Q35:T35"/>
    <mergeCell ref="U35:W35"/>
    <mergeCell ref="X35:AF35"/>
    <mergeCell ref="A36:D36"/>
    <mergeCell ref="E36:P36"/>
    <mergeCell ref="Q36:T36"/>
    <mergeCell ref="U36:W36"/>
    <mergeCell ref="X36:AF36"/>
    <mergeCell ref="A37:D37"/>
    <mergeCell ref="E37:P37"/>
    <mergeCell ref="Q37:T37"/>
    <mergeCell ref="U37:W37"/>
    <mergeCell ref="X37:AF37"/>
    <mergeCell ref="A38:D38"/>
    <mergeCell ref="E38:P38"/>
    <mergeCell ref="Q38:T38"/>
    <mergeCell ref="U38:W38"/>
    <mergeCell ref="X38:AF38"/>
    <mergeCell ref="A39:D39"/>
    <mergeCell ref="E39:P39"/>
    <mergeCell ref="Q39:T39"/>
    <mergeCell ref="U39:W39"/>
    <mergeCell ref="X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9:AF49"/>
    <mergeCell ref="A51:N52"/>
    <mergeCell ref="O51:V51"/>
    <mergeCell ref="W51:AD51"/>
    <mergeCell ref="O52:R52"/>
    <mergeCell ref="S52:V52"/>
    <mergeCell ref="W52:Z52"/>
    <mergeCell ref="AA52:AD52"/>
    <mergeCell ref="A46:D46"/>
    <mergeCell ref="E46:P46"/>
    <mergeCell ref="Q46:T46"/>
    <mergeCell ref="U46:W46"/>
    <mergeCell ref="X46:AF46"/>
    <mergeCell ref="A47:D47"/>
    <mergeCell ref="E47:P47"/>
    <mergeCell ref="Q47:T47"/>
    <mergeCell ref="U47:W47"/>
    <mergeCell ref="X47:AF47"/>
    <mergeCell ref="A53:N53"/>
    <mergeCell ref="O53:R53"/>
    <mergeCell ref="S53:V53"/>
    <mergeCell ref="W53:Z53"/>
    <mergeCell ref="AA53:AD53"/>
    <mergeCell ref="A54:N54"/>
    <mergeCell ref="O54:R54"/>
    <mergeCell ref="S54:V54"/>
    <mergeCell ref="W54:Z54"/>
    <mergeCell ref="AA54:AD54"/>
    <mergeCell ref="A57:N57"/>
    <mergeCell ref="O57:R57"/>
    <mergeCell ref="S57:V57"/>
    <mergeCell ref="W57:Z57"/>
    <mergeCell ref="AA57:AD57"/>
    <mergeCell ref="A60:AF60"/>
    <mergeCell ref="A55:N55"/>
    <mergeCell ref="O55:R55"/>
    <mergeCell ref="S55:V55"/>
    <mergeCell ref="W55:Z55"/>
    <mergeCell ref="AA55:AD55"/>
    <mergeCell ref="A56:N56"/>
    <mergeCell ref="O56:R56"/>
    <mergeCell ref="S56:V56"/>
    <mergeCell ref="W56:Z56"/>
    <mergeCell ref="AA56:AD56"/>
    <mergeCell ref="A63:F63"/>
    <mergeCell ref="G63:J63"/>
    <mergeCell ref="K63:N63"/>
    <mergeCell ref="S63:X63"/>
    <mergeCell ref="Y63:AB63"/>
    <mergeCell ref="AC63:AF63"/>
    <mergeCell ref="A62:F62"/>
    <mergeCell ref="G62:J62"/>
    <mergeCell ref="K62:N62"/>
    <mergeCell ref="S62:X62"/>
    <mergeCell ref="Y62:AB62"/>
    <mergeCell ref="AC62:AF62"/>
    <mergeCell ref="A65:F65"/>
    <mergeCell ref="G65:J65"/>
    <mergeCell ref="K65:N65"/>
    <mergeCell ref="S65:X65"/>
    <mergeCell ref="Y65:AB65"/>
    <mergeCell ref="AC65:AF65"/>
    <mergeCell ref="A64:F64"/>
    <mergeCell ref="G64:J64"/>
    <mergeCell ref="K64:N64"/>
    <mergeCell ref="S64:X64"/>
    <mergeCell ref="Y64:AB64"/>
    <mergeCell ref="AC64:AF64"/>
    <mergeCell ref="A67:F67"/>
    <mergeCell ref="G67:J67"/>
    <mergeCell ref="K67:N67"/>
    <mergeCell ref="S67:X67"/>
    <mergeCell ref="Y67:AB67"/>
    <mergeCell ref="AC67:AF67"/>
    <mergeCell ref="A66:F66"/>
    <mergeCell ref="G66:J66"/>
    <mergeCell ref="K66:N66"/>
    <mergeCell ref="S66:X66"/>
    <mergeCell ref="Y66:AB66"/>
    <mergeCell ref="AC66:AF66"/>
    <mergeCell ref="A71:H71"/>
    <mergeCell ref="I71:P71"/>
    <mergeCell ref="Q71:X71"/>
    <mergeCell ref="A69:H69"/>
    <mergeCell ref="I69:P69"/>
    <mergeCell ref="Q69:X69"/>
    <mergeCell ref="A70:H70"/>
    <mergeCell ref="I70:P70"/>
    <mergeCell ref="Q70:X70"/>
  </mergeCells>
  <hyperlinks>
    <hyperlink ref="A2" location="TOC!A1" display="Return to TOC" xr:uid="{00000000-0004-0000-1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7" tint="0.79998168889431442"/>
    <pageSetUpPr autoPageBreaks="0"/>
  </sheetPr>
  <dimension ref="A1:AJ56"/>
  <sheetViews>
    <sheetView workbookViewId="0">
      <selection sqref="A1:AF1"/>
    </sheetView>
  </sheetViews>
  <sheetFormatPr defaultColWidth="2.6640625" defaultRowHeight="14.4" x14ac:dyDescent="0.3"/>
  <cols>
    <col min="1" max="16384" width="2.6640625" style="1"/>
  </cols>
  <sheetData>
    <row r="1" spans="1:32" ht="18" x14ac:dyDescent="0.3">
      <c r="A1" s="1131" t="s">
        <v>872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1144" t="s">
        <v>3</v>
      </c>
      <c r="C5" s="1144"/>
      <c r="D5" s="1144"/>
      <c r="E5" s="1144"/>
      <c r="F5" s="1144"/>
      <c r="G5" s="1144"/>
      <c r="H5" s="1144"/>
      <c r="I5" s="1144"/>
    </row>
    <row r="6" spans="1:32" s="4" customFormat="1" ht="96" customHeight="1" x14ac:dyDescent="0.3">
      <c r="B6" s="953" t="s">
        <v>130</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1144" t="s">
        <v>4</v>
      </c>
      <c r="C8" s="1144"/>
      <c r="D8" s="1144"/>
      <c r="E8" s="1144"/>
      <c r="F8" s="1144"/>
      <c r="G8" s="1144"/>
      <c r="H8" s="1144"/>
      <c r="I8" s="1144"/>
    </row>
    <row r="9" spans="1:32" ht="159" customHeight="1" x14ac:dyDescent="0.3">
      <c r="B9" s="953" t="s">
        <v>131</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row>
    <row r="11" spans="1:32" x14ac:dyDescent="0.3">
      <c r="B11" s="1144" t="s">
        <v>5</v>
      </c>
      <c r="C11" s="1144"/>
      <c r="D11" s="1144"/>
      <c r="E11" s="1144"/>
      <c r="F11" s="1144"/>
      <c r="G11" s="1144"/>
      <c r="H11" s="1144"/>
      <c r="I11" s="1144"/>
    </row>
    <row r="12" spans="1:32" x14ac:dyDescent="0.3">
      <c r="B12" s="1142" t="s">
        <v>150</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1144" t="s">
        <v>6</v>
      </c>
      <c r="C14" s="1144"/>
      <c r="D14" s="1144"/>
      <c r="E14" s="1144"/>
      <c r="F14" s="1144"/>
      <c r="G14" s="1144"/>
      <c r="H14" s="1144"/>
      <c r="I14" s="1144"/>
    </row>
    <row r="15" spans="1:32" ht="33.75" customHeight="1" x14ac:dyDescent="0.3">
      <c r="B15" s="953" t="s">
        <v>132</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7" spans="1:32" x14ac:dyDescent="0.3">
      <c r="B17" s="51" t="s">
        <v>13</v>
      </c>
      <c r="C17" s="51"/>
      <c r="D17" s="51"/>
      <c r="E17" s="51"/>
      <c r="F17" s="51"/>
      <c r="G17" s="51"/>
      <c r="H17" s="51"/>
      <c r="I17" s="51"/>
    </row>
    <row r="18" spans="1:32" ht="33.75" customHeight="1" x14ac:dyDescent="0.3">
      <c r="B18" s="953" t="s">
        <v>133</v>
      </c>
      <c r="C18" s="953"/>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ht="15.6" x14ac:dyDescent="0.3">
      <c r="A23" s="1422" t="s">
        <v>1253</v>
      </c>
      <c r="B23" s="1422"/>
      <c r="C23" s="1422"/>
      <c r="D23" s="1422"/>
      <c r="E23" s="1422"/>
      <c r="F23" s="1422"/>
      <c r="G23" s="71" t="s">
        <v>1255</v>
      </c>
    </row>
    <row r="24" spans="1:32" x14ac:dyDescent="0.3">
      <c r="A24" s="1422" t="s">
        <v>1254</v>
      </c>
      <c r="B24" s="1422"/>
      <c r="C24" s="1422"/>
      <c r="D24" s="1422"/>
      <c r="E24" s="1422"/>
      <c r="F24" s="1422"/>
      <c r="G24" s="71" t="s">
        <v>1256</v>
      </c>
      <c r="H24" s="8"/>
      <c r="I24" s="8"/>
      <c r="J24" s="8"/>
      <c r="K24" s="8"/>
      <c r="L24" s="8"/>
      <c r="M24" s="8"/>
      <c r="N24" s="8"/>
      <c r="O24" s="8"/>
      <c r="P24" s="8"/>
      <c r="Q24" s="8"/>
      <c r="R24" s="8"/>
      <c r="S24" s="8"/>
      <c r="T24" s="8"/>
      <c r="U24" s="8"/>
      <c r="V24" s="8"/>
      <c r="W24" s="8"/>
      <c r="X24" s="8"/>
      <c r="Y24" s="8"/>
      <c r="Z24" s="8"/>
      <c r="AA24" s="8"/>
      <c r="AB24" s="8"/>
      <c r="AC24" s="8"/>
      <c r="AD24" s="8"/>
      <c r="AE24" s="8"/>
      <c r="AF24" s="8"/>
    </row>
    <row r="25" spans="1:32" x14ac:dyDescent="0.3">
      <c r="A25" s="55"/>
      <c r="B25" s="55"/>
      <c r="C25" s="55"/>
      <c r="D25" s="55"/>
      <c r="E25" s="55"/>
      <c r="F25" s="55"/>
      <c r="G25" s="55"/>
      <c r="H25" s="8"/>
      <c r="I25" s="8"/>
      <c r="J25" s="8"/>
      <c r="K25" s="8"/>
      <c r="L25" s="8"/>
      <c r="M25" s="8"/>
      <c r="N25" s="8"/>
      <c r="O25" s="8"/>
      <c r="P25" s="8"/>
      <c r="Q25" s="8"/>
      <c r="R25" s="8"/>
      <c r="S25" s="8"/>
      <c r="T25" s="8"/>
      <c r="U25" s="8"/>
      <c r="V25" s="8"/>
      <c r="W25" s="8"/>
      <c r="X25" s="8"/>
      <c r="Y25" s="8"/>
      <c r="Z25" s="8"/>
      <c r="AA25" s="8"/>
      <c r="AB25" s="8"/>
      <c r="AC25" s="8"/>
      <c r="AD25" s="8"/>
      <c r="AE25" s="8"/>
      <c r="AF25" s="8"/>
    </row>
    <row r="26" spans="1:32" x14ac:dyDescent="0.3">
      <c r="A26" s="55"/>
      <c r="B26" s="55"/>
      <c r="C26" s="55"/>
      <c r="D26" s="55"/>
      <c r="E26" s="55"/>
      <c r="F26" s="55"/>
      <c r="G26" s="55"/>
      <c r="H26" s="8"/>
      <c r="I26" s="8"/>
      <c r="J26" s="8"/>
      <c r="K26" s="8"/>
      <c r="L26" s="8"/>
      <c r="M26" s="8"/>
      <c r="N26" s="8"/>
      <c r="O26" s="8"/>
      <c r="P26" s="8"/>
      <c r="Q26" s="8"/>
      <c r="R26" s="8"/>
      <c r="S26" s="8"/>
      <c r="T26" s="8"/>
      <c r="U26" s="8"/>
      <c r="V26" s="8"/>
      <c r="W26" s="8"/>
      <c r="X26" s="8"/>
      <c r="Y26" s="8"/>
      <c r="Z26" s="8"/>
      <c r="AA26" s="8"/>
      <c r="AB26" s="8"/>
      <c r="AC26" s="8"/>
      <c r="AD26" s="8"/>
      <c r="AE26" s="8"/>
      <c r="AF26" s="8"/>
    </row>
    <row r="27" spans="1:32"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c r="U28" s="1143" t="s">
        <v>11</v>
      </c>
      <c r="V28" s="1143"/>
      <c r="W28" s="1143" t="s">
        <v>12</v>
      </c>
      <c r="X28" s="1143"/>
      <c r="Y28" s="1143"/>
      <c r="Z28" s="1143"/>
      <c r="AA28" s="1143"/>
      <c r="AB28" s="1143"/>
      <c r="AC28" s="1143"/>
      <c r="AD28" s="1143"/>
      <c r="AE28" s="1143"/>
      <c r="AF28" s="1143"/>
    </row>
    <row r="29" spans="1:32" ht="15.6" x14ac:dyDescent="0.3">
      <c r="A29" s="1154" t="s">
        <v>1444</v>
      </c>
      <c r="B29" s="1155"/>
      <c r="C29" s="1155"/>
      <c r="D29" s="1156"/>
      <c r="E29" s="1154" t="s">
        <v>1257</v>
      </c>
      <c r="F29" s="1155"/>
      <c r="G29" s="1155"/>
      <c r="H29" s="1155"/>
      <c r="I29" s="1155"/>
      <c r="J29" s="1155"/>
      <c r="K29" s="1155"/>
      <c r="L29" s="1155"/>
      <c r="M29" s="1155"/>
      <c r="N29" s="1155"/>
      <c r="O29" s="1155"/>
      <c r="P29" s="1156"/>
      <c r="Q29" s="1243" t="s">
        <v>1259</v>
      </c>
      <c r="R29" s="1244"/>
      <c r="S29" s="1244"/>
      <c r="T29" s="1245"/>
      <c r="U29" s="1243" t="s">
        <v>18</v>
      </c>
      <c r="V29" s="1245"/>
      <c r="W29" s="1243"/>
      <c r="X29" s="1244"/>
      <c r="Y29" s="1244"/>
      <c r="Z29" s="1244"/>
      <c r="AA29" s="1244"/>
      <c r="AB29" s="1244"/>
      <c r="AC29" s="1244"/>
      <c r="AD29" s="1244"/>
      <c r="AE29" s="1244"/>
      <c r="AF29" s="1245"/>
    </row>
    <row r="30" spans="1:32" ht="15.6" x14ac:dyDescent="0.3">
      <c r="A30" s="1154" t="s">
        <v>1445</v>
      </c>
      <c r="B30" s="1155"/>
      <c r="C30" s="1155"/>
      <c r="D30" s="1156"/>
      <c r="E30" s="1154" t="s">
        <v>1258</v>
      </c>
      <c r="F30" s="1155"/>
      <c r="G30" s="1155"/>
      <c r="H30" s="1155"/>
      <c r="I30" s="1155"/>
      <c r="J30" s="1155"/>
      <c r="K30" s="1155"/>
      <c r="L30" s="1155"/>
      <c r="M30" s="1155"/>
      <c r="N30" s="1155"/>
      <c r="O30" s="1155"/>
      <c r="P30" s="1156"/>
      <c r="Q30" s="1243" t="s">
        <v>1259</v>
      </c>
      <c r="R30" s="1244"/>
      <c r="S30" s="1244"/>
      <c r="T30" s="1245"/>
      <c r="U30" s="1243" t="s">
        <v>18</v>
      </c>
      <c r="V30" s="1245"/>
      <c r="W30" s="1243"/>
      <c r="X30" s="1244"/>
      <c r="Y30" s="1244"/>
      <c r="Z30" s="1244"/>
      <c r="AA30" s="1244"/>
      <c r="AB30" s="1244"/>
      <c r="AC30" s="1244"/>
      <c r="AD30" s="1244"/>
      <c r="AE30" s="1244"/>
      <c r="AF30" s="1245"/>
    </row>
    <row r="31" spans="1:32" x14ac:dyDescent="0.3">
      <c r="A31" s="1154" t="s">
        <v>57</v>
      </c>
      <c r="B31" s="1155"/>
      <c r="C31" s="1155"/>
      <c r="D31" s="1156"/>
      <c r="E31" s="1154" t="s">
        <v>134</v>
      </c>
      <c r="F31" s="1155"/>
      <c r="G31" s="1155"/>
      <c r="H31" s="1155"/>
      <c r="I31" s="1155"/>
      <c r="J31" s="1155"/>
      <c r="K31" s="1155"/>
      <c r="L31" s="1155"/>
      <c r="M31" s="1155"/>
      <c r="N31" s="1155"/>
      <c r="O31" s="1155"/>
      <c r="P31" s="1156"/>
      <c r="Q31" s="1243">
        <v>15</v>
      </c>
      <c r="R31" s="1244"/>
      <c r="S31" s="1244"/>
      <c r="T31" s="1245"/>
      <c r="U31" s="1243" t="s">
        <v>37</v>
      </c>
      <c r="V31" s="1245"/>
      <c r="W31" s="1243"/>
      <c r="X31" s="1244"/>
      <c r="Y31" s="1244"/>
      <c r="Z31" s="1244"/>
      <c r="AA31" s="1244"/>
      <c r="AB31" s="1244"/>
      <c r="AC31" s="1244"/>
      <c r="AD31" s="1244"/>
      <c r="AE31" s="1244"/>
      <c r="AF31" s="1245"/>
    </row>
    <row r="32" spans="1:32" x14ac:dyDescent="0.3">
      <c r="A32" s="1154" t="s">
        <v>64</v>
      </c>
      <c r="B32" s="1155"/>
      <c r="C32" s="1155"/>
      <c r="D32" s="1156"/>
      <c r="E32" s="1154" t="s">
        <v>117</v>
      </c>
      <c r="F32" s="1155"/>
      <c r="G32" s="1155"/>
      <c r="H32" s="1155"/>
      <c r="I32" s="1155"/>
      <c r="J32" s="1155"/>
      <c r="K32" s="1155"/>
      <c r="L32" s="1155"/>
      <c r="M32" s="1155"/>
      <c r="N32" s="1155"/>
      <c r="O32" s="1155"/>
      <c r="P32" s="1156"/>
      <c r="Q32" s="1243">
        <v>365</v>
      </c>
      <c r="R32" s="1244"/>
      <c r="S32" s="1244"/>
      <c r="T32" s="1245"/>
      <c r="U32" s="1243" t="s">
        <v>66</v>
      </c>
      <c r="V32" s="1245"/>
      <c r="W32" s="1243"/>
      <c r="X32" s="1244"/>
      <c r="Y32" s="1244"/>
      <c r="Z32" s="1244"/>
      <c r="AA32" s="1244"/>
      <c r="AB32" s="1244"/>
      <c r="AC32" s="1244"/>
      <c r="AD32" s="1244"/>
      <c r="AE32" s="1244"/>
      <c r="AF32" s="1245"/>
    </row>
    <row r="33" spans="1:32" x14ac:dyDescent="0.3">
      <c r="A33" s="1154" t="s">
        <v>21</v>
      </c>
      <c r="B33" s="1155"/>
      <c r="C33" s="1155"/>
      <c r="D33" s="1156"/>
      <c r="E33" s="1154" t="s">
        <v>96</v>
      </c>
      <c r="F33" s="1155"/>
      <c r="G33" s="1155"/>
      <c r="H33" s="1155"/>
      <c r="I33" s="1155"/>
      <c r="J33" s="1155"/>
      <c r="K33" s="1155"/>
      <c r="L33" s="1155"/>
      <c r="M33" s="1155"/>
      <c r="N33" s="1155"/>
      <c r="O33" s="1155"/>
      <c r="P33" s="1156"/>
      <c r="Q33" s="1243">
        <v>100</v>
      </c>
      <c r="R33" s="1244"/>
      <c r="S33" s="1244"/>
      <c r="T33" s="1245"/>
      <c r="U33" s="1243" t="s">
        <v>22</v>
      </c>
      <c r="V33" s="1245"/>
      <c r="W33" s="1243"/>
      <c r="X33" s="1244"/>
      <c r="Y33" s="1244"/>
      <c r="Z33" s="1244"/>
      <c r="AA33" s="1244"/>
      <c r="AB33" s="1244"/>
      <c r="AC33" s="1244"/>
      <c r="AD33" s="1244"/>
      <c r="AE33" s="1244"/>
      <c r="AF33" s="1245"/>
    </row>
    <row r="34" spans="1:32" x14ac:dyDescent="0.3">
      <c r="A34" s="1154" t="s">
        <v>26</v>
      </c>
      <c r="B34" s="1155"/>
      <c r="C34" s="1155"/>
      <c r="D34" s="1156"/>
      <c r="E34" s="1154" t="s">
        <v>27</v>
      </c>
      <c r="F34" s="1155"/>
      <c r="G34" s="1155"/>
      <c r="H34" s="1155"/>
      <c r="I34" s="1155"/>
      <c r="J34" s="1155"/>
      <c r="K34" s="1155"/>
      <c r="L34" s="1155"/>
      <c r="M34" s="1155"/>
      <c r="N34" s="1155"/>
      <c r="O34" s="1155"/>
      <c r="P34" s="1156"/>
      <c r="Q34" s="1243">
        <f>'Master EUL'!X120</f>
        <v>12</v>
      </c>
      <c r="R34" s="1244"/>
      <c r="S34" s="1244"/>
      <c r="T34" s="1245"/>
      <c r="U34" s="1243" t="s">
        <v>38</v>
      </c>
      <c r="V34" s="1245"/>
      <c r="W34" s="1243"/>
      <c r="X34" s="1244"/>
      <c r="Y34" s="1244"/>
      <c r="Z34" s="1244"/>
      <c r="AA34" s="1244"/>
      <c r="AB34" s="1244"/>
      <c r="AC34" s="1244"/>
      <c r="AD34" s="1244"/>
      <c r="AE34" s="1244"/>
      <c r="AF34" s="1245"/>
    </row>
    <row r="37" spans="1:32" x14ac:dyDescent="0.3">
      <c r="A37" s="1141" t="s">
        <v>14</v>
      </c>
      <c r="B37" s="1141"/>
      <c r="C37" s="1141"/>
      <c r="D37" s="1141"/>
      <c r="E37" s="1141"/>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row>
    <row r="39" spans="1:32" ht="110.25" customHeight="1" x14ac:dyDescent="0.3">
      <c r="A39" s="953" t="s">
        <v>135</v>
      </c>
      <c r="B39" s="1145"/>
      <c r="C39" s="1145"/>
      <c r="D39" s="1145"/>
      <c r="E39" s="1145"/>
      <c r="F39" s="1145"/>
      <c r="G39" s="1145"/>
      <c r="H39" s="1145"/>
      <c r="I39" s="1145"/>
      <c r="J39" s="1145"/>
      <c r="K39" s="1145"/>
      <c r="L39" s="1145"/>
      <c r="M39" s="1145"/>
      <c r="N39" s="1145"/>
      <c r="O39" s="1145"/>
      <c r="P39" s="1145"/>
      <c r="Q39" s="1145"/>
      <c r="R39" s="1145"/>
      <c r="S39" s="1145"/>
      <c r="T39" s="1145"/>
      <c r="U39" s="1145"/>
      <c r="V39" s="1145"/>
      <c r="W39" s="1145"/>
      <c r="X39" s="1145"/>
      <c r="Y39" s="1145"/>
      <c r="Z39" s="1145"/>
      <c r="AA39" s="1145"/>
      <c r="AB39" s="1145"/>
      <c r="AC39" s="1145"/>
      <c r="AD39" s="1145"/>
      <c r="AE39" s="1145"/>
      <c r="AF39" s="1145"/>
    </row>
    <row r="41" spans="1:32" x14ac:dyDescent="0.3">
      <c r="A41" s="1011" t="s">
        <v>136</v>
      </c>
      <c r="B41" s="1011"/>
      <c r="C41" s="1011"/>
      <c r="D41" s="1011"/>
      <c r="E41" s="1011"/>
      <c r="F41" s="1011"/>
      <c r="G41" s="1011"/>
      <c r="H41" s="1011"/>
      <c r="I41" s="1011" t="s">
        <v>146</v>
      </c>
      <c r="J41" s="1011"/>
      <c r="K41" s="1011"/>
      <c r="L41" s="1011"/>
      <c r="M41" s="1011"/>
      <c r="N41" s="1011"/>
      <c r="O41" s="1011"/>
      <c r="P41" s="1011"/>
      <c r="Q41" s="1011"/>
      <c r="R41" s="1011"/>
      <c r="S41" s="1011" t="s">
        <v>147</v>
      </c>
      <c r="T41" s="1011"/>
      <c r="U41" s="1011"/>
      <c r="V41" s="1011"/>
      <c r="W41" s="1011"/>
      <c r="X41" s="1011"/>
      <c r="Y41" s="1011"/>
      <c r="Z41" s="1011"/>
      <c r="AA41" s="1011"/>
      <c r="AB41" s="1011"/>
    </row>
    <row r="42" spans="1:32" x14ac:dyDescent="0.3">
      <c r="A42" s="1011"/>
      <c r="B42" s="1011"/>
      <c r="C42" s="1011"/>
      <c r="D42" s="1011"/>
      <c r="E42" s="1011"/>
      <c r="F42" s="1011"/>
      <c r="G42" s="1011"/>
      <c r="H42" s="1011"/>
      <c r="I42" s="1011" t="s">
        <v>121</v>
      </c>
      <c r="J42" s="1011"/>
      <c r="K42" s="1011"/>
      <c r="L42" s="1011"/>
      <c r="M42" s="1011"/>
      <c r="N42" s="1011" t="s">
        <v>137</v>
      </c>
      <c r="O42" s="1011"/>
      <c r="P42" s="1011"/>
      <c r="Q42" s="1011"/>
      <c r="R42" s="1011"/>
      <c r="S42" s="1011" t="s">
        <v>121</v>
      </c>
      <c r="T42" s="1011"/>
      <c r="U42" s="1011"/>
      <c r="V42" s="1011"/>
      <c r="W42" s="1011"/>
      <c r="X42" s="1011" t="s">
        <v>137</v>
      </c>
      <c r="Y42" s="1011"/>
      <c r="Z42" s="1011"/>
      <c r="AA42" s="1011"/>
      <c r="AB42" s="1011"/>
    </row>
    <row r="43" spans="1:32" x14ac:dyDescent="0.3">
      <c r="A43" s="1217" t="s">
        <v>93</v>
      </c>
      <c r="B43" s="1217"/>
      <c r="C43" s="1217"/>
      <c r="D43" s="1217"/>
      <c r="E43" s="1217"/>
      <c r="F43" s="1217"/>
      <c r="G43" s="1217"/>
      <c r="H43" s="1217"/>
      <c r="I43" s="1465">
        <v>1</v>
      </c>
      <c r="J43" s="1465"/>
      <c r="K43" s="1465"/>
      <c r="L43" s="1465"/>
      <c r="M43" s="1465"/>
      <c r="N43" s="1465">
        <v>0.28000000000000003</v>
      </c>
      <c r="O43" s="1465"/>
      <c r="P43" s="1465"/>
      <c r="Q43" s="1465"/>
      <c r="R43" s="1465"/>
      <c r="S43" s="1465">
        <v>0.38</v>
      </c>
      <c r="T43" s="1465"/>
      <c r="U43" s="1465"/>
      <c r="V43" s="1465"/>
      <c r="W43" s="1465"/>
      <c r="X43" s="1465">
        <v>0.05</v>
      </c>
      <c r="Y43" s="1465"/>
      <c r="Z43" s="1465"/>
      <c r="AA43" s="1465"/>
      <c r="AB43" s="1465"/>
    </row>
    <row r="44" spans="1:32" x14ac:dyDescent="0.3">
      <c r="A44" s="1217" t="s">
        <v>138</v>
      </c>
      <c r="B44" s="1217"/>
      <c r="C44" s="1217"/>
      <c r="D44" s="1217"/>
      <c r="E44" s="1217"/>
      <c r="F44" s="1217"/>
      <c r="G44" s="1217"/>
      <c r="H44" s="1217"/>
      <c r="I44" s="1466">
        <f>I43*$Q$31*$Q$32</f>
        <v>5475</v>
      </c>
      <c r="J44" s="1466"/>
      <c r="K44" s="1466"/>
      <c r="L44" s="1466"/>
      <c r="M44" s="1466"/>
      <c r="N44" s="1466">
        <f>N43*$Q$31*$Q$32</f>
        <v>1533</v>
      </c>
      <c r="O44" s="1466"/>
      <c r="P44" s="1466"/>
      <c r="Q44" s="1466"/>
      <c r="R44" s="1466"/>
      <c r="S44" s="1466">
        <f>S43*$Q$31*$Q$32</f>
        <v>2080.5</v>
      </c>
      <c r="T44" s="1466"/>
      <c r="U44" s="1466"/>
      <c r="V44" s="1466"/>
      <c r="W44" s="1466"/>
      <c r="X44" s="1466">
        <f>X43*$Q$31*$Q$32</f>
        <v>273.75</v>
      </c>
      <c r="Y44" s="1466"/>
      <c r="Z44" s="1466"/>
      <c r="AA44" s="1466"/>
      <c r="AB44" s="1466"/>
    </row>
    <row r="45" spans="1:32" x14ac:dyDescent="0.3">
      <c r="A45" s="1217" t="s">
        <v>139</v>
      </c>
      <c r="B45" s="1217"/>
      <c r="C45" s="1217"/>
      <c r="D45" s="1217"/>
      <c r="E45" s="1217"/>
      <c r="F45" s="1217"/>
      <c r="G45" s="1217"/>
      <c r="H45" s="1217"/>
      <c r="I45" s="1465">
        <f>I43-N43</f>
        <v>0.72</v>
      </c>
      <c r="J45" s="1465"/>
      <c r="K45" s="1465"/>
      <c r="L45" s="1465"/>
      <c r="M45" s="1465"/>
      <c r="N45" s="1465"/>
      <c r="O45" s="1465"/>
      <c r="P45" s="1465"/>
      <c r="Q45" s="1465"/>
      <c r="R45" s="1465"/>
      <c r="S45" s="1465">
        <f>S43-X43</f>
        <v>0.33</v>
      </c>
      <c r="T45" s="1465"/>
      <c r="U45" s="1465"/>
      <c r="V45" s="1465"/>
      <c r="W45" s="1465"/>
      <c r="X45" s="1465"/>
      <c r="Y45" s="1465"/>
      <c r="Z45" s="1465"/>
      <c r="AA45" s="1465"/>
      <c r="AB45" s="1465"/>
    </row>
    <row r="46" spans="1:32" x14ac:dyDescent="0.3">
      <c r="A46" s="1217" t="s">
        <v>140</v>
      </c>
      <c r="B46" s="1217"/>
      <c r="C46" s="1217"/>
      <c r="D46" s="1217"/>
      <c r="E46" s="1217"/>
      <c r="F46" s="1217"/>
      <c r="G46" s="1217"/>
      <c r="H46" s="1217"/>
      <c r="I46" s="1466">
        <f>I44-N44</f>
        <v>3942</v>
      </c>
      <c r="J46" s="1466"/>
      <c r="K46" s="1466"/>
      <c r="L46" s="1466"/>
      <c r="M46" s="1466"/>
      <c r="N46" s="1466"/>
      <c r="O46" s="1466"/>
      <c r="P46" s="1466"/>
      <c r="Q46" s="1466"/>
      <c r="R46" s="1466"/>
      <c r="S46" s="1466">
        <f>S44-X44</f>
        <v>1806.75</v>
      </c>
      <c r="T46" s="1466"/>
      <c r="U46" s="1466"/>
      <c r="V46" s="1466"/>
      <c r="W46" s="1466"/>
      <c r="X46" s="1466"/>
      <c r="Y46" s="1466"/>
      <c r="Z46" s="1466"/>
      <c r="AA46" s="1466"/>
      <c r="AB46" s="1466"/>
    </row>
    <row r="48" spans="1:32" s="8" customFormat="1" ht="65.25" customHeight="1" x14ac:dyDescent="0.3">
      <c r="A48" s="863" t="s">
        <v>141</v>
      </c>
      <c r="B48" s="863"/>
      <c r="C48" s="863"/>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63"/>
    </row>
    <row r="50" spans="1:36" x14ac:dyDescent="0.3">
      <c r="A50" s="1143" t="s">
        <v>142</v>
      </c>
      <c r="B50" s="1143"/>
      <c r="C50" s="1143"/>
      <c r="D50" s="1143"/>
      <c r="E50" s="1143"/>
      <c r="F50" s="1143" t="s">
        <v>143</v>
      </c>
      <c r="G50" s="1143"/>
      <c r="H50" s="1143"/>
      <c r="I50" s="1143"/>
      <c r="J50" s="1143"/>
      <c r="K50" s="1143"/>
      <c r="L50" s="1143" t="s">
        <v>144</v>
      </c>
      <c r="M50" s="1143"/>
      <c r="N50" s="1143"/>
      <c r="O50" s="1143"/>
      <c r="P50" s="1143"/>
      <c r="Q50" s="1143"/>
      <c r="R50" s="1143"/>
      <c r="S50" s="1143"/>
      <c r="T50" s="1143"/>
      <c r="U50" s="1143" t="s">
        <v>145</v>
      </c>
      <c r="V50" s="1143"/>
      <c r="W50" s="1143"/>
      <c r="X50" s="1143"/>
      <c r="Y50" s="1143"/>
      <c r="Z50" s="1143"/>
      <c r="AA50" s="1143"/>
      <c r="AB50" s="1143"/>
      <c r="AJ50" s="5"/>
    </row>
    <row r="51" spans="1:36" x14ac:dyDescent="0.3">
      <c r="A51" s="949" t="s">
        <v>146</v>
      </c>
      <c r="B51" s="949"/>
      <c r="C51" s="949"/>
      <c r="D51" s="949"/>
      <c r="E51" s="949"/>
      <c r="F51" s="1463">
        <v>25</v>
      </c>
      <c r="G51" s="1463"/>
      <c r="H51" s="1463"/>
      <c r="I51" s="1463"/>
      <c r="J51" s="1463"/>
      <c r="K51" s="1463"/>
      <c r="L51" s="1464">
        <v>11.3</v>
      </c>
      <c r="M51" s="1464"/>
      <c r="N51" s="1464"/>
      <c r="O51" s="1464"/>
      <c r="P51" s="1464"/>
      <c r="Q51" s="1464"/>
      <c r="R51" s="1464"/>
      <c r="S51" s="1464"/>
      <c r="T51" s="1464"/>
      <c r="U51" s="1465">
        <v>0.28000000000000003</v>
      </c>
      <c r="V51" s="1465"/>
      <c r="W51" s="1465"/>
      <c r="X51" s="1465"/>
      <c r="Y51" s="1465"/>
      <c r="Z51" s="1465"/>
      <c r="AA51" s="1465"/>
      <c r="AB51" s="1465"/>
      <c r="AJ51" s="5"/>
    </row>
    <row r="52" spans="1:36" x14ac:dyDescent="0.3">
      <c r="A52" s="949" t="s">
        <v>147</v>
      </c>
      <c r="B52" s="949"/>
      <c r="C52" s="949"/>
      <c r="D52" s="949"/>
      <c r="E52" s="949"/>
      <c r="F52" s="1463">
        <v>10</v>
      </c>
      <c r="G52" s="1463"/>
      <c r="H52" s="1463"/>
      <c r="I52" s="1463"/>
      <c r="J52" s="1463"/>
      <c r="K52" s="1463"/>
      <c r="L52" s="1464">
        <v>5.7</v>
      </c>
      <c r="M52" s="1464"/>
      <c r="N52" s="1464"/>
      <c r="O52" s="1464"/>
      <c r="P52" s="1464"/>
      <c r="Q52" s="1464"/>
      <c r="R52" s="1464"/>
      <c r="S52" s="1464"/>
      <c r="T52" s="1464"/>
      <c r="U52" s="1465">
        <v>0.05</v>
      </c>
      <c r="V52" s="1465"/>
      <c r="W52" s="1465"/>
      <c r="X52" s="1465"/>
      <c r="Y52" s="1465"/>
      <c r="Z52" s="1465"/>
      <c r="AA52" s="1465"/>
      <c r="AB52" s="1465"/>
    </row>
    <row r="53" spans="1:36" ht="15" thickBot="1" x14ac:dyDescent="0.35"/>
    <row r="54" spans="1:36" x14ac:dyDescent="0.3">
      <c r="A54" s="1252" t="s">
        <v>15</v>
      </c>
      <c r="B54" s="1253"/>
      <c r="C54" s="1253"/>
      <c r="D54" s="1253"/>
      <c r="E54" s="1253"/>
      <c r="F54" s="1253"/>
      <c r="G54" s="1253"/>
      <c r="H54" s="1253"/>
      <c r="I54" s="1253" t="s">
        <v>16</v>
      </c>
      <c r="J54" s="1253"/>
      <c r="K54" s="1253"/>
      <c r="L54" s="1253"/>
      <c r="M54" s="1253"/>
      <c r="N54" s="1253"/>
      <c r="O54" s="1253"/>
      <c r="P54" s="1253"/>
      <c r="Q54" s="1253" t="s">
        <v>17</v>
      </c>
      <c r="R54" s="1253"/>
      <c r="S54" s="1253"/>
      <c r="T54" s="1253"/>
      <c r="U54" s="1253"/>
      <c r="V54" s="1253"/>
      <c r="W54" s="1253"/>
      <c r="X54" s="1254"/>
    </row>
    <row r="55" spans="1:36" x14ac:dyDescent="0.3">
      <c r="A55" s="1454" t="s">
        <v>148</v>
      </c>
      <c r="B55" s="949"/>
      <c r="C55" s="949"/>
      <c r="D55" s="949"/>
      <c r="E55" s="949"/>
      <c r="F55" s="949"/>
      <c r="G55" s="949"/>
      <c r="H55" s="949"/>
      <c r="I55" s="1455">
        <f>ROUND(I45,3)</f>
        <v>0.72</v>
      </c>
      <c r="J55" s="1455"/>
      <c r="K55" s="1455"/>
      <c r="L55" s="1455"/>
      <c r="M55" s="1455"/>
      <c r="N55" s="1455"/>
      <c r="O55" s="1455"/>
      <c r="P55" s="1455"/>
      <c r="Q55" s="1456">
        <f>ROUND(I46,2)</f>
        <v>3942</v>
      </c>
      <c r="R55" s="1456"/>
      <c r="S55" s="1456"/>
      <c r="T55" s="1456"/>
      <c r="U55" s="1456"/>
      <c r="V55" s="1456"/>
      <c r="W55" s="1456"/>
      <c r="X55" s="1457"/>
    </row>
    <row r="56" spans="1:36" ht="15" thickBot="1" x14ac:dyDescent="0.35">
      <c r="A56" s="1247" t="s">
        <v>149</v>
      </c>
      <c r="B56" s="1248"/>
      <c r="C56" s="1248"/>
      <c r="D56" s="1248"/>
      <c r="E56" s="1248"/>
      <c r="F56" s="1248"/>
      <c r="G56" s="1248"/>
      <c r="H56" s="1248"/>
      <c r="I56" s="1414">
        <f>ROUND(S45,3)</f>
        <v>0.33</v>
      </c>
      <c r="J56" s="1414"/>
      <c r="K56" s="1414"/>
      <c r="L56" s="1414"/>
      <c r="M56" s="1414"/>
      <c r="N56" s="1414"/>
      <c r="O56" s="1414"/>
      <c r="P56" s="1414"/>
      <c r="Q56" s="1415">
        <f>ROUND(S46,2)</f>
        <v>1806.75</v>
      </c>
      <c r="R56" s="1415"/>
      <c r="S56" s="1415"/>
      <c r="T56" s="1415"/>
      <c r="U56" s="1415"/>
      <c r="V56" s="1415"/>
      <c r="W56" s="1415"/>
      <c r="X56" s="1416"/>
    </row>
  </sheetData>
  <sheetProtection algorithmName="SHA-512" hashValue="I+GIEmQp5iaSKc6sujOrs6g/m5t+cdza2FgzMyW3t4P47xRD78V9aIqzT2Jt7bFKKsBimKPP7xvQlvbpRbdxwQ==" saltValue="/D+vpodZlQvm+7fUAGxlAQ==" spinCount="100000" sheet="1" objects="1" scenarios="1"/>
  <mergeCells count="97">
    <mergeCell ref="A1:AF1"/>
    <mergeCell ref="B14:I14"/>
    <mergeCell ref="A3:AF3"/>
    <mergeCell ref="B5:I5"/>
    <mergeCell ref="B6:AF6"/>
    <mergeCell ref="B8:I8"/>
    <mergeCell ref="B9:AF9"/>
    <mergeCell ref="B11:I11"/>
    <mergeCell ref="B12:AF12"/>
    <mergeCell ref="B15:AF15"/>
    <mergeCell ref="B18:AF18"/>
    <mergeCell ref="A21:AF21"/>
    <mergeCell ref="A23:F23"/>
    <mergeCell ref="A32:D32"/>
    <mergeCell ref="E32:P32"/>
    <mergeCell ref="Q32:T32"/>
    <mergeCell ref="U32:V32"/>
    <mergeCell ref="W32:AF32"/>
    <mergeCell ref="A31:D31"/>
    <mergeCell ref="E31:P31"/>
    <mergeCell ref="Q31:T31"/>
    <mergeCell ref="U31:V31"/>
    <mergeCell ref="W31:AF31"/>
    <mergeCell ref="A24:F24"/>
    <mergeCell ref="A29:D29"/>
    <mergeCell ref="A34:D34"/>
    <mergeCell ref="E34:P34"/>
    <mergeCell ref="Q34:T34"/>
    <mergeCell ref="U34:V34"/>
    <mergeCell ref="W34:AF34"/>
    <mergeCell ref="A33:D33"/>
    <mergeCell ref="E33:P33"/>
    <mergeCell ref="Q33:T33"/>
    <mergeCell ref="U33:V33"/>
    <mergeCell ref="W33:AF33"/>
    <mergeCell ref="A37:AF37"/>
    <mergeCell ref="A39:AF39"/>
    <mergeCell ref="A41:H42"/>
    <mergeCell ref="I41:R41"/>
    <mergeCell ref="S41:AB41"/>
    <mergeCell ref="I42:M42"/>
    <mergeCell ref="N42:R42"/>
    <mergeCell ref="S42:W42"/>
    <mergeCell ref="X42:AB42"/>
    <mergeCell ref="A44:H44"/>
    <mergeCell ref="I44:M44"/>
    <mergeCell ref="N44:R44"/>
    <mergeCell ref="S44:W44"/>
    <mergeCell ref="X44:AB44"/>
    <mergeCell ref="A43:H43"/>
    <mergeCell ref="I43:M43"/>
    <mergeCell ref="N43:R43"/>
    <mergeCell ref="S43:W43"/>
    <mergeCell ref="X43:AB43"/>
    <mergeCell ref="A51:E51"/>
    <mergeCell ref="F51:K51"/>
    <mergeCell ref="L51:T51"/>
    <mergeCell ref="U51:AB51"/>
    <mergeCell ref="A45:H45"/>
    <mergeCell ref="I45:R45"/>
    <mergeCell ref="S45:AB45"/>
    <mergeCell ref="A46:H46"/>
    <mergeCell ref="I46:R46"/>
    <mergeCell ref="S46:AB46"/>
    <mergeCell ref="A48:AB48"/>
    <mergeCell ref="A50:E50"/>
    <mergeCell ref="F50:K50"/>
    <mergeCell ref="L50:T50"/>
    <mergeCell ref="U50:AB50"/>
    <mergeCell ref="A52:E52"/>
    <mergeCell ref="F52:K52"/>
    <mergeCell ref="L52:T52"/>
    <mergeCell ref="U52:AB52"/>
    <mergeCell ref="A54:H54"/>
    <mergeCell ref="I54:P54"/>
    <mergeCell ref="Q54:X54"/>
    <mergeCell ref="A55:H55"/>
    <mergeCell ref="I55:P55"/>
    <mergeCell ref="Q55:X55"/>
    <mergeCell ref="A56:H56"/>
    <mergeCell ref="I56:P56"/>
    <mergeCell ref="Q56:X56"/>
    <mergeCell ref="E29:P29"/>
    <mergeCell ref="Q29:T29"/>
    <mergeCell ref="U29:V29"/>
    <mergeCell ref="A27:AF27"/>
    <mergeCell ref="A28:D28"/>
    <mergeCell ref="E28:P28"/>
    <mergeCell ref="Q28:T28"/>
    <mergeCell ref="U28:V28"/>
    <mergeCell ref="W28:AF28"/>
    <mergeCell ref="W29:AF29"/>
    <mergeCell ref="A30:D30"/>
    <mergeCell ref="E30:P30"/>
    <mergeCell ref="Q30:T30"/>
    <mergeCell ref="U30:V30"/>
    <mergeCell ref="W30:AF30"/>
  </mergeCells>
  <hyperlinks>
    <hyperlink ref="A2" location="TOC!A1" display="Return to TOC" xr:uid="{00000000-0004-0000-1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0">
    <tabColor theme="7" tint="0.79998168889431442"/>
    <pageSetUpPr autoPageBreaks="0"/>
  </sheetPr>
  <dimension ref="A1:AL140"/>
  <sheetViews>
    <sheetView workbookViewId="0">
      <selection sqref="A1:AF1"/>
    </sheetView>
  </sheetViews>
  <sheetFormatPr defaultColWidth="2.6640625" defaultRowHeight="14.4" x14ac:dyDescent="0.3"/>
  <cols>
    <col min="1" max="16384" width="2.6640625" style="1"/>
  </cols>
  <sheetData>
    <row r="1" spans="1:38" ht="18" x14ac:dyDescent="0.3">
      <c r="A1" s="1131" t="s">
        <v>874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L1" s="721"/>
    </row>
    <row r="2" spans="1:38"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496"/>
    </row>
    <row r="3" spans="1:38" s="94" customFormat="1"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c r="AG3" s="121"/>
      <c r="AH3" s="121"/>
      <c r="AI3" s="121"/>
      <c r="AJ3" s="121"/>
      <c r="AL3" s="494"/>
    </row>
    <row r="4" spans="1:38" s="94" customFormat="1"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21"/>
      <c r="AH4" s="121"/>
      <c r="AI4" s="121"/>
      <c r="AJ4" s="121"/>
      <c r="AL4" s="494"/>
    </row>
    <row r="5" spans="1:38" s="94" customFormat="1" x14ac:dyDescent="0.3">
      <c r="A5" s="121"/>
      <c r="B5" s="889" t="s">
        <v>5928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121"/>
      <c r="AH5" s="121"/>
      <c r="AI5" s="121"/>
      <c r="AJ5" s="121"/>
      <c r="AL5" s="494"/>
    </row>
    <row r="6" spans="1:38" s="94" customFormat="1" ht="18"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21"/>
      <c r="AH6" s="121"/>
      <c r="AI6" s="121"/>
      <c r="AJ6" s="121"/>
      <c r="AL6" s="494"/>
    </row>
    <row r="7" spans="1:38" x14ac:dyDescent="0.3">
      <c r="A7" s="1251" t="s">
        <v>2</v>
      </c>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row>
    <row r="8" spans="1:38"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8"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8" ht="159" customHeight="1" x14ac:dyDescent="0.3">
      <c r="A10" s="121"/>
      <c r="B10" s="889" t="s">
        <v>6114</v>
      </c>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row>
    <row r="11" spans="1:38"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8"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8" s="4" customFormat="1" ht="108" customHeight="1" x14ac:dyDescent="0.3">
      <c r="A13" s="122"/>
      <c r="B13" s="889" t="s">
        <v>6115</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L13" s="767"/>
    </row>
    <row r="14" spans="1:38"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8"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8" x14ac:dyDescent="0.3">
      <c r="A16" s="121"/>
      <c r="B16" s="1372" t="s">
        <v>1053</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8"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8"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8" ht="47.25" customHeight="1" x14ac:dyDescent="0.3">
      <c r="A19" s="121"/>
      <c r="B19" s="1258" t="s">
        <v>6116</v>
      </c>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c r="AL19" s="767"/>
    </row>
    <row r="20" spans="1:38" x14ac:dyDescent="0.3">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8" x14ac:dyDescent="0.3">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8" ht="61.5" customHeight="1" x14ac:dyDescent="0.3">
      <c r="A22" s="121"/>
      <c r="B22" s="1258" t="s">
        <v>6117</v>
      </c>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K22" s="544"/>
      <c r="AL22" s="767"/>
    </row>
    <row r="23" spans="1:38" ht="13.5" customHeight="1" x14ac:dyDescent="0.3">
      <c r="A23" s="121"/>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K23" s="544"/>
    </row>
    <row r="24" spans="1:38" x14ac:dyDescent="0.3">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8" x14ac:dyDescent="0.3">
      <c r="A25" s="1290" t="s">
        <v>7</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row>
    <row r="26" spans="1:38"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8" ht="14.4" customHeight="1" x14ac:dyDescent="0.3">
      <c r="A27" s="741"/>
      <c r="B27" s="372" t="s">
        <v>2027</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row>
    <row r="28" spans="1:38" x14ac:dyDescent="0.3">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row>
    <row r="29" spans="1:38" x14ac:dyDescent="0.3">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1463</v>
      </c>
    </row>
    <row r="30" spans="1:38" x14ac:dyDescent="0.3">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row>
    <row r="31" spans="1:38" x14ac:dyDescent="0.3">
      <c r="A31" s="741"/>
      <c r="B31" s="372" t="s">
        <v>2137</v>
      </c>
      <c r="C31" s="741"/>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row>
    <row r="32" spans="1:38" x14ac:dyDescent="0.3">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row>
    <row r="33" spans="1:38" x14ac:dyDescent="0.3">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t="s">
        <v>1464</v>
      </c>
    </row>
    <row r="34" spans="1:38" x14ac:dyDescent="0.3">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row>
    <row r="35" spans="1:38" x14ac:dyDescent="0.3">
      <c r="A35" s="741"/>
      <c r="B35" s="372" t="s">
        <v>1811</v>
      </c>
      <c r="C35" s="741"/>
      <c r="D35" s="741"/>
      <c r="E35" s="741"/>
      <c r="F35" s="741"/>
      <c r="G35" s="741"/>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row>
    <row r="36" spans="1:38" x14ac:dyDescent="0.3">
      <c r="A36" s="741"/>
      <c r="B36" s="741"/>
      <c r="C36" s="741"/>
      <c r="D36" s="741"/>
      <c r="E36" s="741"/>
      <c r="F36" s="741"/>
      <c r="G36" s="741"/>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row>
    <row r="37" spans="1:38" x14ac:dyDescent="0.3">
      <c r="A37" s="741"/>
      <c r="B37" s="741"/>
      <c r="C37" s="741"/>
      <c r="D37" s="741"/>
      <c r="E37" s="741"/>
      <c r="F37" s="741"/>
      <c r="G37" s="741"/>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272" t="s">
        <v>1465</v>
      </c>
    </row>
    <row r="38" spans="1:38" ht="15" customHeight="1" x14ac:dyDescent="0.3">
      <c r="A38" s="741"/>
      <c r="B38" s="741"/>
      <c r="C38" s="741"/>
      <c r="D38" s="741"/>
      <c r="E38" s="741"/>
      <c r="F38" s="741"/>
      <c r="G38" s="741"/>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272"/>
    </row>
    <row r="39" spans="1:38"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8" x14ac:dyDescent="0.3">
      <c r="A40" s="1290" t="s">
        <v>8</v>
      </c>
      <c r="B40" s="1290"/>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0"/>
      <c r="Y40" s="1290"/>
      <c r="Z40" s="1290"/>
      <c r="AA40" s="1290"/>
      <c r="AB40" s="1290"/>
      <c r="AC40" s="1290"/>
      <c r="AD40" s="1290"/>
      <c r="AE40" s="1290"/>
      <c r="AF40" s="1290"/>
      <c r="AL40" s="767"/>
    </row>
    <row r="41" spans="1:38" x14ac:dyDescent="0.3">
      <c r="A41" s="1405" t="s">
        <v>9</v>
      </c>
      <c r="B41" s="1405"/>
      <c r="C41" s="1405"/>
      <c r="D41" s="1405"/>
      <c r="E41" s="1405" t="s">
        <v>3</v>
      </c>
      <c r="F41" s="1405"/>
      <c r="G41" s="1405"/>
      <c r="H41" s="1405"/>
      <c r="I41" s="1405"/>
      <c r="J41" s="1405"/>
      <c r="K41" s="1405"/>
      <c r="L41" s="1405"/>
      <c r="M41" s="1405"/>
      <c r="N41" s="1405"/>
      <c r="O41" s="1405"/>
      <c r="P41" s="1405"/>
      <c r="Q41" s="1366" t="s">
        <v>10</v>
      </c>
      <c r="R41" s="1484"/>
      <c r="S41" s="1485"/>
      <c r="T41" s="1405" t="s">
        <v>11</v>
      </c>
      <c r="U41" s="1515"/>
      <c r="V41" s="1515"/>
      <c r="W41" s="1405" t="s">
        <v>1466</v>
      </c>
      <c r="X41" s="993"/>
      <c r="Y41" s="993"/>
      <c r="Z41" s="993"/>
      <c r="AA41" s="993"/>
      <c r="AB41" s="993"/>
      <c r="AC41" s="993"/>
      <c r="AD41" s="993"/>
      <c r="AE41" s="993"/>
      <c r="AF41" s="993"/>
    </row>
    <row r="42" spans="1:38" ht="31.5" customHeight="1" x14ac:dyDescent="0.3">
      <c r="A42" s="1517" t="s">
        <v>6193</v>
      </c>
      <c r="B42" s="1350"/>
      <c r="C42" s="1350"/>
      <c r="D42" s="1351"/>
      <c r="E42" s="1163" t="s">
        <v>6118</v>
      </c>
      <c r="F42" s="1164"/>
      <c r="G42" s="1164"/>
      <c r="H42" s="1164"/>
      <c r="I42" s="1164"/>
      <c r="J42" s="1164"/>
      <c r="K42" s="1164"/>
      <c r="L42" s="1164"/>
      <c r="M42" s="1164"/>
      <c r="N42" s="1164"/>
      <c r="O42" s="1164"/>
      <c r="P42" s="1165"/>
      <c r="Q42" s="1352" t="s">
        <v>4982</v>
      </c>
      <c r="R42" s="1484"/>
      <c r="S42" s="1484"/>
      <c r="T42" s="1514" t="s">
        <v>36</v>
      </c>
      <c r="U42" s="1515"/>
      <c r="V42" s="1515"/>
      <c r="W42" s="853" t="s">
        <v>35</v>
      </c>
      <c r="X42" s="987"/>
      <c r="Y42" s="987"/>
      <c r="Z42" s="987"/>
      <c r="AA42" s="987"/>
      <c r="AB42" s="987"/>
      <c r="AC42" s="987"/>
      <c r="AD42" s="987"/>
      <c r="AE42" s="987"/>
      <c r="AF42" s="987"/>
      <c r="AL42" s="767"/>
    </row>
    <row r="43" spans="1:38" ht="31.5" customHeight="1" x14ac:dyDescent="0.3">
      <c r="A43" s="1517" t="s">
        <v>6194</v>
      </c>
      <c r="B43" s="1350"/>
      <c r="C43" s="1350"/>
      <c r="D43" s="1351"/>
      <c r="E43" s="1163" t="s">
        <v>6119</v>
      </c>
      <c r="F43" s="1164"/>
      <c r="G43" s="1164"/>
      <c r="H43" s="1164"/>
      <c r="I43" s="1164"/>
      <c r="J43" s="1164"/>
      <c r="K43" s="1164"/>
      <c r="L43" s="1164"/>
      <c r="M43" s="1164"/>
      <c r="N43" s="1164"/>
      <c r="O43" s="1164"/>
      <c r="P43" s="1165"/>
      <c r="Q43" s="1352" t="s">
        <v>4982</v>
      </c>
      <c r="R43" s="1484"/>
      <c r="S43" s="1484"/>
      <c r="T43" s="1514" t="s">
        <v>36</v>
      </c>
      <c r="U43" s="1515"/>
      <c r="V43" s="1515"/>
      <c r="W43" s="853" t="s">
        <v>35</v>
      </c>
      <c r="X43" s="987"/>
      <c r="Y43" s="987"/>
      <c r="Z43" s="987"/>
      <c r="AA43" s="987"/>
      <c r="AB43" s="987"/>
      <c r="AC43" s="987"/>
      <c r="AD43" s="987"/>
      <c r="AE43" s="987"/>
      <c r="AF43" s="987"/>
      <c r="AL43" s="767"/>
    </row>
    <row r="44" spans="1:38" x14ac:dyDescent="0.3">
      <c r="A44" s="1349" t="s">
        <v>151</v>
      </c>
      <c r="B44" s="1350"/>
      <c r="C44" s="1350"/>
      <c r="D44" s="1351"/>
      <c r="E44" s="1349" t="s">
        <v>154</v>
      </c>
      <c r="F44" s="1350"/>
      <c r="G44" s="1350"/>
      <c r="H44" s="1350"/>
      <c r="I44" s="1350"/>
      <c r="J44" s="1350"/>
      <c r="K44" s="1350"/>
      <c r="L44" s="1350"/>
      <c r="M44" s="1350"/>
      <c r="N44" s="1350"/>
      <c r="O44" s="1350"/>
      <c r="P44" s="1351"/>
      <c r="Q44" s="1362">
        <v>0.75</v>
      </c>
      <c r="R44" s="1484"/>
      <c r="S44" s="1484"/>
      <c r="T44" s="1514"/>
      <c r="U44" s="1515"/>
      <c r="V44" s="1515"/>
      <c r="W44" s="853" t="s">
        <v>6120</v>
      </c>
      <c r="X44" s="987"/>
      <c r="Y44" s="987"/>
      <c r="Z44" s="987"/>
      <c r="AA44" s="987"/>
      <c r="AB44" s="987"/>
      <c r="AC44" s="987"/>
      <c r="AD44" s="987"/>
      <c r="AE44" s="987"/>
      <c r="AF44" s="987"/>
      <c r="AJ44" s="544"/>
    </row>
    <row r="45" spans="1:38" ht="34.5" customHeight="1" x14ac:dyDescent="0.3">
      <c r="A45" s="1349" t="s">
        <v>6121</v>
      </c>
      <c r="B45" s="1350"/>
      <c r="C45" s="1350"/>
      <c r="D45" s="1351"/>
      <c r="E45" s="1349" t="s">
        <v>6122</v>
      </c>
      <c r="F45" s="1350"/>
      <c r="G45" s="1350"/>
      <c r="H45" s="1350"/>
      <c r="I45" s="1350"/>
      <c r="J45" s="1350"/>
      <c r="K45" s="1350"/>
      <c r="L45" s="1350"/>
      <c r="M45" s="1350"/>
      <c r="N45" s="1350"/>
      <c r="O45" s="1350"/>
      <c r="P45" s="1351"/>
      <c r="Q45" s="1166" t="s">
        <v>6123</v>
      </c>
      <c r="R45" s="1339"/>
      <c r="S45" s="1339"/>
      <c r="T45" s="1514" t="s">
        <v>6124</v>
      </c>
      <c r="U45" s="1515"/>
      <c r="V45" s="1515"/>
      <c r="W45" s="853"/>
      <c r="X45" s="987"/>
      <c r="Y45" s="987"/>
      <c r="Z45" s="987"/>
      <c r="AA45" s="987"/>
      <c r="AB45" s="987"/>
      <c r="AC45" s="987"/>
      <c r="AD45" s="987"/>
      <c r="AE45" s="987"/>
      <c r="AF45" s="987"/>
    </row>
    <row r="46" spans="1:38" x14ac:dyDescent="0.3">
      <c r="A46" s="1349" t="s">
        <v>64</v>
      </c>
      <c r="B46" s="1350"/>
      <c r="C46" s="1350"/>
      <c r="D46" s="1351"/>
      <c r="E46" s="1349" t="s">
        <v>117</v>
      </c>
      <c r="F46" s="1350"/>
      <c r="G46" s="1350"/>
      <c r="H46" s="1350"/>
      <c r="I46" s="1350"/>
      <c r="J46" s="1350"/>
      <c r="K46" s="1350"/>
      <c r="L46" s="1350"/>
      <c r="M46" s="1350"/>
      <c r="N46" s="1350"/>
      <c r="O46" s="1350"/>
      <c r="P46" s="1351"/>
      <c r="Q46" s="1352">
        <v>365</v>
      </c>
      <c r="R46" s="1484"/>
      <c r="S46" s="1484"/>
      <c r="T46" s="1514" t="s">
        <v>66</v>
      </c>
      <c r="U46" s="1515"/>
      <c r="V46" s="1515"/>
      <c r="W46" s="853"/>
      <c r="X46" s="987"/>
      <c r="Y46" s="987"/>
      <c r="Z46" s="987"/>
      <c r="AA46" s="987"/>
      <c r="AB46" s="987"/>
      <c r="AC46" s="987"/>
      <c r="AD46" s="987"/>
      <c r="AE46" s="987"/>
      <c r="AF46" s="987"/>
    </row>
    <row r="47" spans="1:38" ht="15.6" x14ac:dyDescent="0.3">
      <c r="A47" s="1349" t="s">
        <v>24</v>
      </c>
      <c r="B47" s="1350"/>
      <c r="C47" s="1350"/>
      <c r="D47" s="1351"/>
      <c r="E47" s="1349" t="s">
        <v>155</v>
      </c>
      <c r="F47" s="1350"/>
      <c r="G47" s="1350"/>
      <c r="H47" s="1350"/>
      <c r="I47" s="1350"/>
      <c r="J47" s="1350"/>
      <c r="K47" s="1350"/>
      <c r="L47" s="1350"/>
      <c r="M47" s="1350"/>
      <c r="N47" s="1350"/>
      <c r="O47" s="1350"/>
      <c r="P47" s="1351"/>
      <c r="Q47" s="1352">
        <v>6570</v>
      </c>
      <c r="R47" s="1484"/>
      <c r="S47" s="1484"/>
      <c r="T47" s="1514" t="s">
        <v>37</v>
      </c>
      <c r="U47" s="1515"/>
      <c r="V47" s="1515"/>
      <c r="W47" s="853" t="s">
        <v>6125</v>
      </c>
      <c r="X47" s="987"/>
      <c r="Y47" s="987"/>
      <c r="Z47" s="987"/>
      <c r="AA47" s="987"/>
      <c r="AB47" s="987"/>
      <c r="AC47" s="987"/>
      <c r="AD47" s="987"/>
      <c r="AE47" s="987"/>
      <c r="AF47" s="987"/>
      <c r="AJ47" s="772"/>
    </row>
    <row r="48" spans="1:38" ht="16.2" x14ac:dyDescent="0.3">
      <c r="A48" s="1349" t="s">
        <v>21</v>
      </c>
      <c r="B48" s="1350"/>
      <c r="C48" s="1350"/>
      <c r="D48" s="1351"/>
      <c r="E48" s="1349" t="s">
        <v>96</v>
      </c>
      <c r="F48" s="1350"/>
      <c r="G48" s="1350"/>
      <c r="H48" s="1350"/>
      <c r="I48" s="1350"/>
      <c r="J48" s="1350"/>
      <c r="K48" s="1350"/>
      <c r="L48" s="1350"/>
      <c r="M48" s="1350"/>
      <c r="N48" s="1350"/>
      <c r="O48" s="1350"/>
      <c r="P48" s="1351"/>
      <c r="Q48" s="1362">
        <v>0.9</v>
      </c>
      <c r="R48" s="1484"/>
      <c r="S48" s="1484"/>
      <c r="T48" s="1514"/>
      <c r="U48" s="1515"/>
      <c r="V48" s="1515"/>
      <c r="W48" s="853" t="s">
        <v>6053</v>
      </c>
      <c r="X48" s="987"/>
      <c r="Y48" s="987"/>
      <c r="Z48" s="987"/>
      <c r="AA48" s="987"/>
      <c r="AB48" s="987"/>
      <c r="AC48" s="987"/>
      <c r="AD48" s="987"/>
      <c r="AE48" s="987"/>
      <c r="AF48" s="987"/>
      <c r="AJ48" s="544"/>
      <c r="AL48" s="767"/>
    </row>
    <row r="49" spans="1:38" ht="48.75" customHeight="1" x14ac:dyDescent="0.3">
      <c r="A49" s="1349" t="s">
        <v>2562</v>
      </c>
      <c r="B49" s="1350"/>
      <c r="C49" s="1350"/>
      <c r="D49" s="1351"/>
      <c r="E49" s="1349" t="s">
        <v>2050</v>
      </c>
      <c r="F49" s="1350"/>
      <c r="G49" s="1350"/>
      <c r="H49" s="1350"/>
      <c r="I49" s="1350"/>
      <c r="J49" s="1350"/>
      <c r="K49" s="1350"/>
      <c r="L49" s="1350"/>
      <c r="M49" s="1350"/>
      <c r="N49" s="1350"/>
      <c r="O49" s="1350"/>
      <c r="P49" s="1351"/>
      <c r="Q49" s="1352">
        <f>'Master EUL'!X122</f>
        <v>10</v>
      </c>
      <c r="R49" s="1484"/>
      <c r="S49" s="1484"/>
      <c r="T49" s="1514" t="s">
        <v>38</v>
      </c>
      <c r="U49" s="1515"/>
      <c r="V49" s="1515"/>
      <c r="W49" s="854" t="s">
        <v>6126</v>
      </c>
      <c r="X49" s="1439"/>
      <c r="Y49" s="1439"/>
      <c r="Z49" s="1439"/>
      <c r="AA49" s="1439"/>
      <c r="AB49" s="1439"/>
      <c r="AC49" s="1439"/>
      <c r="AD49" s="1439"/>
      <c r="AE49" s="1439"/>
      <c r="AF49" s="1439"/>
      <c r="AJ49" s="544"/>
      <c r="AL49" s="496"/>
    </row>
    <row r="50" spans="1:38" ht="15" customHeight="1" x14ac:dyDescent="0.3">
      <c r="A50" s="482" t="s">
        <v>830</v>
      </c>
      <c r="B50" s="483"/>
      <c r="C50" s="483"/>
      <c r="D50" s="483"/>
      <c r="E50" s="483"/>
      <c r="F50" s="483"/>
      <c r="G50" s="484"/>
      <c r="H50" s="484"/>
      <c r="I50" s="484"/>
      <c r="J50" s="484"/>
      <c r="K50" s="484"/>
      <c r="L50" s="484"/>
      <c r="M50" s="484"/>
      <c r="N50" s="484"/>
      <c r="O50" s="484"/>
      <c r="P50" s="761"/>
      <c r="Q50" s="761"/>
      <c r="R50" s="761"/>
      <c r="S50" s="761"/>
      <c r="T50" s="761"/>
      <c r="U50" s="761"/>
      <c r="V50" s="761"/>
      <c r="W50" s="761"/>
      <c r="X50" s="761"/>
      <c r="Y50" s="484"/>
      <c r="Z50" s="484"/>
      <c r="AA50" s="484"/>
      <c r="AB50" s="484"/>
      <c r="AC50" s="484"/>
      <c r="AD50" s="484"/>
      <c r="AE50" s="484"/>
      <c r="AF50" s="484"/>
      <c r="AJ50" s="544"/>
    </row>
    <row r="51" spans="1:38" ht="61.5" customHeight="1" x14ac:dyDescent="0.3">
      <c r="A51" s="1355" t="s">
        <v>6127</v>
      </c>
      <c r="B51" s="1355"/>
      <c r="C51" s="1355"/>
      <c r="D51" s="1355"/>
      <c r="E51" s="1355"/>
      <c r="F51" s="1355"/>
      <c r="G51" s="1355"/>
      <c r="H51" s="1355"/>
      <c r="I51" s="1355"/>
      <c r="J51" s="1355"/>
      <c r="K51" s="1355"/>
      <c r="L51" s="1355"/>
      <c r="M51" s="1355"/>
      <c r="N51" s="1355"/>
      <c r="O51" s="1355"/>
      <c r="P51" s="1355"/>
      <c r="Q51" s="1355"/>
      <c r="R51" s="1355"/>
      <c r="S51" s="1355"/>
      <c r="T51" s="1355"/>
      <c r="U51" s="1355"/>
      <c r="V51" s="1355"/>
      <c r="W51" s="1355"/>
      <c r="X51" s="1355"/>
      <c r="Y51" s="1355"/>
      <c r="Z51" s="1355"/>
      <c r="AA51" s="1355"/>
      <c r="AB51" s="1355"/>
      <c r="AC51" s="1355"/>
      <c r="AD51" s="1355"/>
      <c r="AE51" s="1355"/>
      <c r="AF51" s="1355"/>
      <c r="AJ51" s="544"/>
    </row>
    <row r="52" spans="1:38" ht="15" customHeight="1" x14ac:dyDescent="0.3">
      <c r="A52" s="743"/>
      <c r="B52" s="743"/>
      <c r="C52" s="743"/>
      <c r="D52" s="743"/>
      <c r="E52" s="743"/>
      <c r="F52" s="743"/>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J52" s="544"/>
    </row>
    <row r="53" spans="1:38" ht="15" customHeight="1"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row>
    <row r="54" spans="1:38" ht="30" customHeight="1" x14ac:dyDescent="0.3">
      <c r="A54" s="1494" t="s">
        <v>6128</v>
      </c>
      <c r="B54" s="1495"/>
      <c r="C54" s="1495"/>
      <c r="D54" s="1495"/>
      <c r="E54" s="1495"/>
      <c r="F54" s="1495"/>
      <c r="G54" s="1495"/>
      <c r="H54" s="1495"/>
      <c r="I54" s="1495"/>
      <c r="J54" s="1495"/>
      <c r="K54" s="1495"/>
      <c r="L54" s="1495"/>
      <c r="M54" s="1495"/>
      <c r="N54" s="1495"/>
      <c r="O54" s="1495"/>
      <c r="P54" s="1495"/>
      <c r="Q54" s="1495"/>
      <c r="R54" s="1495"/>
      <c r="S54" s="1495"/>
      <c r="T54" s="1495"/>
      <c r="U54" s="1495"/>
      <c r="V54" s="1495"/>
      <c r="W54" s="1495"/>
      <c r="X54" s="1495"/>
      <c r="Y54" s="1495"/>
      <c r="Z54" s="1495"/>
      <c r="AA54" s="1495"/>
      <c r="AB54" s="1495"/>
      <c r="AC54" s="1495"/>
      <c r="AD54" s="1495"/>
      <c r="AE54" s="1495"/>
      <c r="AF54" s="1496"/>
      <c r="AL54" s="767"/>
    </row>
    <row r="55" spans="1:38" ht="64.5" customHeight="1" x14ac:dyDescent="0.3">
      <c r="A55" s="1505" t="s">
        <v>0</v>
      </c>
      <c r="B55" s="1505"/>
      <c r="C55" s="1505"/>
      <c r="D55" s="1505"/>
      <c r="E55" s="1505"/>
      <c r="F55" s="1505"/>
      <c r="G55" s="1505"/>
      <c r="H55" s="1505"/>
      <c r="I55" s="1516" t="s">
        <v>6129</v>
      </c>
      <c r="J55" s="1516"/>
      <c r="K55" s="1516"/>
      <c r="L55" s="1516"/>
      <c r="M55" s="1516"/>
      <c r="N55" s="1516" t="s">
        <v>6130</v>
      </c>
      <c r="O55" s="1516"/>
      <c r="P55" s="1516"/>
      <c r="Q55" s="1516"/>
      <c r="R55" s="1516"/>
      <c r="S55" s="1516"/>
      <c r="T55" s="1516" t="s">
        <v>6131</v>
      </c>
      <c r="U55" s="1516"/>
      <c r="V55" s="1516"/>
      <c r="W55" s="1516"/>
      <c r="X55" s="1516"/>
      <c r="Y55" s="1504" t="s">
        <v>635</v>
      </c>
      <c r="Z55" s="1504"/>
      <c r="AA55" s="1504"/>
      <c r="AB55" s="1504"/>
      <c r="AC55" s="1504"/>
      <c r="AD55" s="1504"/>
      <c r="AE55" s="1504"/>
      <c r="AF55" s="1504"/>
      <c r="AG55" s="42"/>
    </row>
    <row r="56" spans="1:38" ht="14.4" customHeight="1" x14ac:dyDescent="0.3">
      <c r="A56" s="1505" t="s">
        <v>6132</v>
      </c>
      <c r="B56" s="1505"/>
      <c r="C56" s="1505"/>
      <c r="D56" s="1505"/>
      <c r="E56" s="1505"/>
      <c r="F56" s="1505"/>
      <c r="G56" s="1505"/>
      <c r="H56" s="1505"/>
      <c r="I56" s="1506" t="s">
        <v>6133</v>
      </c>
      <c r="J56" s="1506"/>
      <c r="K56" s="1506"/>
      <c r="L56" s="1506"/>
      <c r="M56" s="1506"/>
      <c r="N56" s="1507" t="s">
        <v>6134</v>
      </c>
      <c r="O56" s="1507"/>
      <c r="P56" s="1507"/>
      <c r="Q56" s="1507"/>
      <c r="R56" s="1507"/>
      <c r="S56" s="1507"/>
      <c r="T56" s="1508" t="s">
        <v>6135</v>
      </c>
      <c r="U56" s="1508"/>
      <c r="V56" s="1508"/>
      <c r="W56" s="1508"/>
      <c r="X56" s="1508"/>
      <c r="Y56" s="1509" t="s">
        <v>6136</v>
      </c>
      <c r="Z56" s="1509"/>
      <c r="AA56" s="1509"/>
      <c r="AB56" s="1509"/>
      <c r="AC56" s="1509"/>
      <c r="AD56" s="1509"/>
      <c r="AE56" s="1509"/>
      <c r="AF56" s="1509"/>
      <c r="AG56" s="110"/>
    </row>
    <row r="57" spans="1:38" ht="14.4" customHeight="1" x14ac:dyDescent="0.3">
      <c r="A57" s="1505"/>
      <c r="B57" s="1505"/>
      <c r="C57" s="1505"/>
      <c r="D57" s="1505"/>
      <c r="E57" s="1505"/>
      <c r="F57" s="1505"/>
      <c r="G57" s="1505"/>
      <c r="H57" s="1505"/>
      <c r="I57" s="1506" t="s">
        <v>6195</v>
      </c>
      <c r="J57" s="1506"/>
      <c r="K57" s="1506"/>
      <c r="L57" s="1506"/>
      <c r="M57" s="1506"/>
      <c r="N57" s="1507" t="s">
        <v>6137</v>
      </c>
      <c r="O57" s="1507"/>
      <c r="P57" s="1507"/>
      <c r="Q57" s="1507"/>
      <c r="R57" s="1507"/>
      <c r="S57" s="1507"/>
      <c r="T57" s="1508"/>
      <c r="U57" s="1508"/>
      <c r="V57" s="1508"/>
      <c r="W57" s="1508"/>
      <c r="X57" s="1508"/>
      <c r="Y57" s="1509" t="s">
        <v>6138</v>
      </c>
      <c r="Z57" s="1509"/>
      <c r="AA57" s="1509"/>
      <c r="AB57" s="1509"/>
      <c r="AC57" s="1509"/>
      <c r="AD57" s="1509"/>
      <c r="AE57" s="1509"/>
      <c r="AF57" s="1509"/>
      <c r="AG57" s="110"/>
    </row>
    <row r="58" spans="1:38" ht="14.4" customHeight="1" x14ac:dyDescent="0.3">
      <c r="A58" s="1505"/>
      <c r="B58" s="1505"/>
      <c r="C58" s="1505"/>
      <c r="D58" s="1505"/>
      <c r="E58" s="1505"/>
      <c r="F58" s="1505"/>
      <c r="G58" s="1505"/>
      <c r="H58" s="1505"/>
      <c r="I58" s="1506" t="s">
        <v>6196</v>
      </c>
      <c r="J58" s="1506"/>
      <c r="K58" s="1506"/>
      <c r="L58" s="1506"/>
      <c r="M58" s="1506"/>
      <c r="N58" s="1507" t="s">
        <v>6139</v>
      </c>
      <c r="O58" s="1507"/>
      <c r="P58" s="1507"/>
      <c r="Q58" s="1507"/>
      <c r="R58" s="1507"/>
      <c r="S58" s="1507"/>
      <c r="T58" s="1508"/>
      <c r="U58" s="1508"/>
      <c r="V58" s="1508"/>
      <c r="W58" s="1508"/>
      <c r="X58" s="1508"/>
      <c r="Y58" s="1509" t="s">
        <v>6140</v>
      </c>
      <c r="Z58" s="1509"/>
      <c r="AA58" s="1509"/>
      <c r="AB58" s="1509"/>
      <c r="AC58" s="1509"/>
      <c r="AD58" s="1509"/>
      <c r="AE58" s="1509"/>
      <c r="AF58" s="1509"/>
      <c r="AG58" s="110"/>
    </row>
    <row r="59" spans="1:38" ht="15.75" customHeight="1" x14ac:dyDescent="0.3">
      <c r="A59" s="1505"/>
      <c r="B59" s="1505"/>
      <c r="C59" s="1505"/>
      <c r="D59" s="1505"/>
      <c r="E59" s="1505"/>
      <c r="F59" s="1505"/>
      <c r="G59" s="1505"/>
      <c r="H59" s="1505"/>
      <c r="I59" s="1506" t="s">
        <v>6197</v>
      </c>
      <c r="J59" s="1506"/>
      <c r="K59" s="1506"/>
      <c r="L59" s="1506"/>
      <c r="M59" s="1506"/>
      <c r="N59" s="1507" t="s">
        <v>6141</v>
      </c>
      <c r="O59" s="1507"/>
      <c r="P59" s="1507"/>
      <c r="Q59" s="1507"/>
      <c r="R59" s="1507"/>
      <c r="S59" s="1507"/>
      <c r="T59" s="1508"/>
      <c r="U59" s="1508"/>
      <c r="V59" s="1508"/>
      <c r="W59" s="1508"/>
      <c r="X59" s="1508"/>
      <c r="Y59" s="1509">
        <v>4.6100000000000003</v>
      </c>
      <c r="Z59" s="1509"/>
      <c r="AA59" s="1509"/>
      <c r="AB59" s="1509"/>
      <c r="AC59" s="1509"/>
      <c r="AD59" s="1509"/>
      <c r="AE59" s="1509"/>
      <c r="AF59" s="1509"/>
      <c r="AG59" s="110"/>
    </row>
    <row r="60" spans="1:38" ht="22.5" customHeight="1" x14ac:dyDescent="0.3">
      <c r="A60" s="1513" t="s">
        <v>6142</v>
      </c>
      <c r="B60" s="1513"/>
      <c r="C60" s="1513"/>
      <c r="D60" s="1513"/>
      <c r="E60" s="1513"/>
      <c r="F60" s="1513"/>
      <c r="G60" s="1513"/>
      <c r="H60" s="1513"/>
      <c r="I60" s="1506" t="s">
        <v>6143</v>
      </c>
      <c r="J60" s="1506"/>
      <c r="K60" s="1506"/>
      <c r="L60" s="1506"/>
      <c r="M60" s="1506"/>
      <c r="N60" s="1507" t="s">
        <v>6144</v>
      </c>
      <c r="O60" s="1507"/>
      <c r="P60" s="1507"/>
      <c r="Q60" s="1507"/>
      <c r="R60" s="1507"/>
      <c r="S60" s="1507"/>
      <c r="T60" s="1507" t="s">
        <v>634</v>
      </c>
      <c r="U60" s="1507"/>
      <c r="V60" s="1507"/>
      <c r="W60" s="1507"/>
      <c r="X60" s="1507"/>
      <c r="Y60" s="1509" t="s">
        <v>6145</v>
      </c>
      <c r="Z60" s="1509"/>
      <c r="AA60" s="1509"/>
      <c r="AB60" s="1509"/>
      <c r="AC60" s="1509"/>
      <c r="AD60" s="1509"/>
      <c r="AE60" s="1509"/>
      <c r="AF60" s="1509"/>
      <c r="AG60" s="110"/>
    </row>
    <row r="61" spans="1:38" ht="25.5" customHeight="1" x14ac:dyDescent="0.3">
      <c r="A61" s="1513"/>
      <c r="B61" s="1513"/>
      <c r="C61" s="1513"/>
      <c r="D61" s="1513"/>
      <c r="E61" s="1513"/>
      <c r="F61" s="1513"/>
      <c r="G61" s="1513"/>
      <c r="H61" s="1513"/>
      <c r="I61" s="1506" t="s">
        <v>6198</v>
      </c>
      <c r="J61" s="1506"/>
      <c r="K61" s="1506"/>
      <c r="L61" s="1506"/>
      <c r="M61" s="1506"/>
      <c r="N61" s="1507" t="s">
        <v>6146</v>
      </c>
      <c r="O61" s="1507"/>
      <c r="P61" s="1507"/>
      <c r="Q61" s="1507"/>
      <c r="R61" s="1507"/>
      <c r="S61" s="1507"/>
      <c r="T61" s="1507"/>
      <c r="U61" s="1507"/>
      <c r="V61" s="1507"/>
      <c r="W61" s="1507"/>
      <c r="X61" s="1507"/>
      <c r="Y61" s="1512">
        <v>4.59</v>
      </c>
      <c r="Z61" s="1512"/>
      <c r="AA61" s="1512"/>
      <c r="AB61" s="1512"/>
      <c r="AC61" s="1512"/>
      <c r="AD61" s="1512"/>
      <c r="AE61" s="1512"/>
      <c r="AF61" s="1512"/>
      <c r="AG61" s="110"/>
    </row>
    <row r="62" spans="1:38" ht="14.4" customHeight="1" x14ac:dyDescent="0.3">
      <c r="A62" s="1505" t="s">
        <v>6147</v>
      </c>
      <c r="B62" s="1505"/>
      <c r="C62" s="1505"/>
      <c r="D62" s="1505"/>
      <c r="E62" s="1505"/>
      <c r="F62" s="1505"/>
      <c r="G62" s="1505"/>
      <c r="H62" s="1505"/>
      <c r="I62" s="1506" t="s">
        <v>6148</v>
      </c>
      <c r="J62" s="1506"/>
      <c r="K62" s="1506"/>
      <c r="L62" s="1506"/>
      <c r="M62" s="1506"/>
      <c r="N62" s="1507" t="s">
        <v>6149</v>
      </c>
      <c r="O62" s="1507"/>
      <c r="P62" s="1507"/>
      <c r="Q62" s="1507"/>
      <c r="R62" s="1507"/>
      <c r="S62" s="1507"/>
      <c r="T62" s="1507" t="s">
        <v>6150</v>
      </c>
      <c r="U62" s="1507"/>
      <c r="V62" s="1507"/>
      <c r="W62" s="1507"/>
      <c r="X62" s="1507"/>
      <c r="Y62" s="1509" t="s">
        <v>6151</v>
      </c>
      <c r="Z62" s="1509"/>
      <c r="AA62" s="1509"/>
      <c r="AB62" s="1509"/>
      <c r="AC62" s="1509"/>
      <c r="AD62" s="1509"/>
      <c r="AE62" s="1509"/>
      <c r="AF62" s="1509"/>
      <c r="AG62" s="110"/>
    </row>
    <row r="63" spans="1:38" ht="14.4" customHeight="1" x14ac:dyDescent="0.3">
      <c r="A63" s="1505"/>
      <c r="B63" s="1505"/>
      <c r="C63" s="1505"/>
      <c r="D63" s="1505"/>
      <c r="E63" s="1505"/>
      <c r="F63" s="1505"/>
      <c r="G63" s="1505"/>
      <c r="H63" s="1505"/>
      <c r="I63" s="1506" t="s">
        <v>6199</v>
      </c>
      <c r="J63" s="1506"/>
      <c r="K63" s="1506"/>
      <c r="L63" s="1506"/>
      <c r="M63" s="1506"/>
      <c r="N63" s="1507" t="s">
        <v>6152</v>
      </c>
      <c r="O63" s="1507"/>
      <c r="P63" s="1507"/>
      <c r="Q63" s="1507"/>
      <c r="R63" s="1507"/>
      <c r="S63" s="1507"/>
      <c r="T63" s="1507"/>
      <c r="U63" s="1507"/>
      <c r="V63" s="1507"/>
      <c r="W63" s="1507"/>
      <c r="X63" s="1507"/>
      <c r="Y63" s="1509" t="s">
        <v>6153</v>
      </c>
      <c r="Z63" s="1509"/>
      <c r="AA63" s="1509"/>
      <c r="AB63" s="1509"/>
      <c r="AC63" s="1509"/>
      <c r="AD63" s="1509"/>
      <c r="AE63" s="1509"/>
      <c r="AF63" s="1509"/>
      <c r="AG63" s="110"/>
    </row>
    <row r="64" spans="1:38" x14ac:dyDescent="0.3">
      <c r="A64" s="1505"/>
      <c r="B64" s="1505"/>
      <c r="C64" s="1505"/>
      <c r="D64" s="1505"/>
      <c r="E64" s="1505"/>
      <c r="F64" s="1505"/>
      <c r="G64" s="1505"/>
      <c r="H64" s="1505"/>
      <c r="I64" s="1506" t="s">
        <v>6200</v>
      </c>
      <c r="J64" s="1506"/>
      <c r="K64" s="1506"/>
      <c r="L64" s="1506"/>
      <c r="M64" s="1506"/>
      <c r="N64" s="1507" t="s">
        <v>6154</v>
      </c>
      <c r="O64" s="1507"/>
      <c r="P64" s="1507"/>
      <c r="Q64" s="1507"/>
      <c r="R64" s="1507"/>
      <c r="S64" s="1507"/>
      <c r="T64" s="1507"/>
      <c r="U64" s="1507"/>
      <c r="V64" s="1507"/>
      <c r="W64" s="1507"/>
      <c r="X64" s="1507"/>
      <c r="Y64" s="1512">
        <v>7.35</v>
      </c>
      <c r="Z64" s="1512"/>
      <c r="AA64" s="1512"/>
      <c r="AB64" s="1512"/>
      <c r="AC64" s="1512"/>
      <c r="AD64" s="1512"/>
      <c r="AE64" s="1512"/>
      <c r="AF64" s="1512"/>
    </row>
    <row r="65" spans="1:38" x14ac:dyDescent="0.3">
      <c r="A65" s="64"/>
      <c r="B65" s="64"/>
      <c r="C65" s="64"/>
      <c r="D65" s="64"/>
      <c r="E65" s="64"/>
      <c r="F65" s="64"/>
      <c r="G65" s="64"/>
      <c r="H65" s="64"/>
      <c r="I65" s="304"/>
      <c r="J65" s="304"/>
      <c r="K65" s="304"/>
      <c r="L65" s="304"/>
      <c r="M65" s="304"/>
      <c r="N65" s="303"/>
      <c r="O65" s="303"/>
      <c r="P65" s="303"/>
      <c r="Q65" s="303"/>
      <c r="R65" s="303"/>
      <c r="S65" s="303"/>
      <c r="T65" s="303"/>
      <c r="U65" s="303"/>
      <c r="V65" s="303"/>
      <c r="W65" s="303"/>
      <c r="X65" s="303"/>
      <c r="Y65" s="773"/>
      <c r="Z65" s="773"/>
      <c r="AA65" s="773"/>
      <c r="AB65" s="773"/>
      <c r="AC65" s="773"/>
      <c r="AD65" s="773"/>
      <c r="AE65" s="773"/>
      <c r="AF65" s="773"/>
    </row>
    <row r="66" spans="1:38" x14ac:dyDescent="0.3">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row>
    <row r="67" spans="1:38" ht="33.75" customHeight="1" x14ac:dyDescent="0.3">
      <c r="A67" s="1494" t="s">
        <v>6155</v>
      </c>
      <c r="B67" s="1495"/>
      <c r="C67" s="1495"/>
      <c r="D67" s="1495"/>
      <c r="E67" s="1495"/>
      <c r="F67" s="1495"/>
      <c r="G67" s="1495"/>
      <c r="H67" s="1495"/>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6"/>
      <c r="AL67" s="767"/>
    </row>
    <row r="68" spans="1:38" ht="48.75" customHeight="1" x14ac:dyDescent="0.3">
      <c r="A68" s="1502" t="s">
        <v>0</v>
      </c>
      <c r="B68" s="1502"/>
      <c r="C68" s="1502"/>
      <c r="D68" s="1502"/>
      <c r="E68" s="1502"/>
      <c r="F68" s="1502"/>
      <c r="G68" s="1502"/>
      <c r="H68" s="1502"/>
      <c r="I68" s="1510" t="s">
        <v>6129</v>
      </c>
      <c r="J68" s="1510"/>
      <c r="K68" s="1510"/>
      <c r="L68" s="1510"/>
      <c r="M68" s="1510"/>
      <c r="N68" s="1510" t="s">
        <v>6130</v>
      </c>
      <c r="O68" s="1510"/>
      <c r="P68" s="1510"/>
      <c r="Q68" s="1510"/>
      <c r="R68" s="1510"/>
      <c r="S68" s="1510"/>
      <c r="T68" s="1510" t="s">
        <v>6131</v>
      </c>
      <c r="U68" s="1510"/>
      <c r="V68" s="1510"/>
      <c r="W68" s="1510"/>
      <c r="X68" s="1510"/>
      <c r="Y68" s="1511" t="s">
        <v>635</v>
      </c>
      <c r="Z68" s="1511"/>
      <c r="AA68" s="1511"/>
      <c r="AB68" s="1511"/>
      <c r="AC68" s="1511"/>
      <c r="AD68" s="1511"/>
      <c r="AE68" s="1511"/>
      <c r="AF68" s="1511"/>
    </row>
    <row r="69" spans="1:38" ht="15" customHeight="1" x14ac:dyDescent="0.3">
      <c r="A69" s="1502" t="s">
        <v>6132</v>
      </c>
      <c r="B69" s="1502"/>
      <c r="C69" s="1502"/>
      <c r="D69" s="1502"/>
      <c r="E69" s="1502"/>
      <c r="F69" s="1502"/>
      <c r="G69" s="1502"/>
      <c r="H69" s="1502"/>
      <c r="I69" s="1499" t="s">
        <v>6156</v>
      </c>
      <c r="J69" s="1499"/>
      <c r="K69" s="1499"/>
      <c r="L69" s="1499"/>
      <c r="M69" s="1499"/>
      <c r="N69" s="1497" t="s">
        <v>6157</v>
      </c>
      <c r="O69" s="1497"/>
      <c r="P69" s="1497"/>
      <c r="Q69" s="1497"/>
      <c r="R69" s="1497"/>
      <c r="S69" s="1497"/>
      <c r="T69" s="1503" t="s">
        <v>6158</v>
      </c>
      <c r="U69" s="1503"/>
      <c r="V69" s="1503"/>
      <c r="W69" s="1503"/>
      <c r="X69" s="1503"/>
      <c r="Y69" s="1498" t="s">
        <v>6159</v>
      </c>
      <c r="Z69" s="1498"/>
      <c r="AA69" s="1498"/>
      <c r="AB69" s="1498"/>
      <c r="AC69" s="1498"/>
      <c r="AD69" s="1498"/>
      <c r="AE69" s="1498"/>
      <c r="AF69" s="1498"/>
    </row>
    <row r="70" spans="1:38" ht="15" customHeight="1" x14ac:dyDescent="0.3">
      <c r="A70" s="1502"/>
      <c r="B70" s="1502"/>
      <c r="C70" s="1502"/>
      <c r="D70" s="1502"/>
      <c r="E70" s="1502"/>
      <c r="F70" s="1502"/>
      <c r="G70" s="1502"/>
      <c r="H70" s="1502"/>
      <c r="I70" s="1499" t="s">
        <v>6201</v>
      </c>
      <c r="J70" s="1499"/>
      <c r="K70" s="1499"/>
      <c r="L70" s="1499"/>
      <c r="M70" s="1499"/>
      <c r="N70" s="1497" t="s">
        <v>6160</v>
      </c>
      <c r="O70" s="1497"/>
      <c r="P70" s="1497"/>
      <c r="Q70" s="1497"/>
      <c r="R70" s="1497"/>
      <c r="S70" s="1497"/>
      <c r="T70" s="1503"/>
      <c r="U70" s="1503"/>
      <c r="V70" s="1503"/>
      <c r="W70" s="1503"/>
      <c r="X70" s="1503"/>
      <c r="Y70" s="1498" t="s">
        <v>6161</v>
      </c>
      <c r="Z70" s="1498"/>
      <c r="AA70" s="1498"/>
      <c r="AB70" s="1498"/>
      <c r="AC70" s="1498"/>
      <c r="AD70" s="1498"/>
      <c r="AE70" s="1498"/>
      <c r="AF70" s="1498"/>
    </row>
    <row r="71" spans="1:38" ht="15" customHeight="1" x14ac:dyDescent="0.3">
      <c r="A71" s="1502"/>
      <c r="B71" s="1502"/>
      <c r="C71" s="1502"/>
      <c r="D71" s="1502"/>
      <c r="E71" s="1502"/>
      <c r="F71" s="1502"/>
      <c r="G71" s="1502"/>
      <c r="H71" s="1502"/>
      <c r="I71" s="1499" t="s">
        <v>6202</v>
      </c>
      <c r="J71" s="1499"/>
      <c r="K71" s="1499"/>
      <c r="L71" s="1499"/>
      <c r="M71" s="1499"/>
      <c r="N71" s="1497" t="s">
        <v>6162</v>
      </c>
      <c r="O71" s="1497"/>
      <c r="P71" s="1497"/>
      <c r="Q71" s="1497"/>
      <c r="R71" s="1497"/>
      <c r="S71" s="1497"/>
      <c r="T71" s="1503"/>
      <c r="U71" s="1503"/>
      <c r="V71" s="1503"/>
      <c r="W71" s="1503"/>
      <c r="X71" s="1503"/>
      <c r="Y71" s="1498">
        <v>5.61</v>
      </c>
      <c r="Z71" s="1498"/>
      <c r="AA71" s="1498"/>
      <c r="AB71" s="1498"/>
      <c r="AC71" s="1498"/>
      <c r="AD71" s="1498"/>
      <c r="AE71" s="1498"/>
      <c r="AF71" s="1498"/>
    </row>
    <row r="72" spans="1:38" ht="21" customHeight="1" x14ac:dyDescent="0.3">
      <c r="A72" s="1501" t="s">
        <v>6142</v>
      </c>
      <c r="B72" s="1501"/>
      <c r="C72" s="1501"/>
      <c r="D72" s="1501"/>
      <c r="E72" s="1501"/>
      <c r="F72" s="1501"/>
      <c r="G72" s="1501"/>
      <c r="H72" s="1501"/>
      <c r="I72" s="1499" t="s">
        <v>6163</v>
      </c>
      <c r="J72" s="1499"/>
      <c r="K72" s="1499"/>
      <c r="L72" s="1499"/>
      <c r="M72" s="1499"/>
      <c r="N72" s="1497" t="s">
        <v>6164</v>
      </c>
      <c r="O72" s="1497"/>
      <c r="P72" s="1497"/>
      <c r="Q72" s="1497"/>
      <c r="R72" s="1497"/>
      <c r="S72" s="1497"/>
      <c r="T72" s="1497" t="s">
        <v>6158</v>
      </c>
      <c r="U72" s="1497"/>
      <c r="V72" s="1497"/>
      <c r="W72" s="1497"/>
      <c r="X72" s="1497"/>
      <c r="Y72" s="1498" t="s">
        <v>6165</v>
      </c>
      <c r="Z72" s="1498"/>
      <c r="AA72" s="1498"/>
      <c r="AB72" s="1498"/>
      <c r="AC72" s="1498"/>
      <c r="AD72" s="1498"/>
      <c r="AE72" s="1498"/>
      <c r="AF72" s="1498"/>
    </row>
    <row r="73" spans="1:38" ht="19.5" customHeight="1" x14ac:dyDescent="0.3">
      <c r="A73" s="1501"/>
      <c r="B73" s="1501"/>
      <c r="C73" s="1501"/>
      <c r="D73" s="1501"/>
      <c r="E73" s="1501"/>
      <c r="F73" s="1501"/>
      <c r="G73" s="1501"/>
      <c r="H73" s="1501"/>
      <c r="I73" s="1499" t="s">
        <v>6203</v>
      </c>
      <c r="J73" s="1499"/>
      <c r="K73" s="1499"/>
      <c r="L73" s="1499"/>
      <c r="M73" s="1499"/>
      <c r="N73" s="1497" t="s">
        <v>6166</v>
      </c>
      <c r="O73" s="1497"/>
      <c r="P73" s="1497"/>
      <c r="Q73" s="1497"/>
      <c r="R73" s="1497"/>
      <c r="S73" s="1497"/>
      <c r="T73" s="1497"/>
      <c r="U73" s="1497"/>
      <c r="V73" s="1497"/>
      <c r="W73" s="1497"/>
      <c r="X73" s="1497"/>
      <c r="Y73" s="1500">
        <v>5.0599999999999996</v>
      </c>
      <c r="Z73" s="1500"/>
      <c r="AA73" s="1500"/>
      <c r="AB73" s="1500"/>
      <c r="AC73" s="1500"/>
      <c r="AD73" s="1500"/>
      <c r="AE73" s="1500"/>
      <c r="AF73" s="1500"/>
    </row>
    <row r="74" spans="1:38" ht="15" customHeight="1" x14ac:dyDescent="0.3">
      <c r="A74" s="1502" t="s">
        <v>6147</v>
      </c>
      <c r="B74" s="1502"/>
      <c r="C74" s="1502"/>
      <c r="D74" s="1502"/>
      <c r="E74" s="1502"/>
      <c r="F74" s="1502"/>
      <c r="G74" s="1502"/>
      <c r="H74" s="1502"/>
      <c r="I74" s="1499" t="s">
        <v>6167</v>
      </c>
      <c r="J74" s="1499"/>
      <c r="K74" s="1499"/>
      <c r="L74" s="1499"/>
      <c r="M74" s="1499"/>
      <c r="N74" s="1497" t="s">
        <v>6168</v>
      </c>
      <c r="O74" s="1497"/>
      <c r="P74" s="1497"/>
      <c r="Q74" s="1497"/>
      <c r="R74" s="1497"/>
      <c r="S74" s="1497"/>
      <c r="T74" s="1497" t="s">
        <v>6158</v>
      </c>
      <c r="U74" s="1497"/>
      <c r="V74" s="1497"/>
      <c r="W74" s="1497"/>
      <c r="X74" s="1497"/>
      <c r="Y74" s="1498" t="s">
        <v>6169</v>
      </c>
      <c r="Z74" s="1498"/>
      <c r="AA74" s="1498"/>
      <c r="AB74" s="1498"/>
      <c r="AC74" s="1498"/>
      <c r="AD74" s="1498"/>
      <c r="AE74" s="1498"/>
      <c r="AF74" s="1498"/>
    </row>
    <row r="75" spans="1:38" ht="19.5" customHeight="1" x14ac:dyDescent="0.3">
      <c r="A75" s="1502"/>
      <c r="B75" s="1502"/>
      <c r="C75" s="1502"/>
      <c r="D75" s="1502"/>
      <c r="E75" s="1502"/>
      <c r="F75" s="1502"/>
      <c r="G75" s="1502"/>
      <c r="H75" s="1502"/>
      <c r="I75" s="1499" t="s">
        <v>6204</v>
      </c>
      <c r="J75" s="1499"/>
      <c r="K75" s="1499"/>
      <c r="L75" s="1499"/>
      <c r="M75" s="1499"/>
      <c r="N75" s="1497" t="s">
        <v>6170</v>
      </c>
      <c r="O75" s="1497"/>
      <c r="P75" s="1497"/>
      <c r="Q75" s="1497"/>
      <c r="R75" s="1497"/>
      <c r="S75" s="1497"/>
      <c r="T75" s="1497"/>
      <c r="U75" s="1497"/>
      <c r="V75" s="1497"/>
      <c r="W75" s="1497"/>
      <c r="X75" s="1497"/>
      <c r="Y75" s="1498" t="s">
        <v>6171</v>
      </c>
      <c r="Z75" s="1498"/>
      <c r="AA75" s="1498"/>
      <c r="AB75" s="1498"/>
      <c r="AC75" s="1498"/>
      <c r="AD75" s="1498"/>
      <c r="AE75" s="1498"/>
      <c r="AF75" s="1498"/>
    </row>
    <row r="76" spans="1:38" x14ac:dyDescent="0.3">
      <c r="A76" s="1502"/>
      <c r="B76" s="1502"/>
      <c r="C76" s="1502"/>
      <c r="D76" s="1502"/>
      <c r="E76" s="1502"/>
      <c r="F76" s="1502"/>
      <c r="G76" s="1502"/>
      <c r="H76" s="1502"/>
      <c r="I76" s="1499" t="s">
        <v>6172</v>
      </c>
      <c r="J76" s="1499"/>
      <c r="K76" s="1499"/>
      <c r="L76" s="1499"/>
      <c r="M76" s="1499"/>
      <c r="N76" s="1497" t="s">
        <v>6173</v>
      </c>
      <c r="O76" s="1497"/>
      <c r="P76" s="1497"/>
      <c r="Q76" s="1497"/>
      <c r="R76" s="1497"/>
      <c r="S76" s="1497"/>
      <c r="T76" s="1497"/>
      <c r="U76" s="1497"/>
      <c r="V76" s="1497"/>
      <c r="W76" s="1497"/>
      <c r="X76" s="1497"/>
      <c r="Y76" s="1500">
        <v>5.0999999999999996</v>
      </c>
      <c r="Z76" s="1500"/>
      <c r="AA76" s="1500"/>
      <c r="AB76" s="1500"/>
      <c r="AC76" s="1500"/>
      <c r="AD76" s="1500"/>
      <c r="AE76" s="1500"/>
      <c r="AF76" s="1500"/>
    </row>
    <row r="77" spans="1:38" x14ac:dyDescent="0.3">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row>
    <row r="78" spans="1:38" x14ac:dyDescent="0.3">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row>
    <row r="79" spans="1:38" x14ac:dyDescent="0.3">
      <c r="A79" s="1053" t="s">
        <v>14</v>
      </c>
      <c r="B79" s="1054"/>
      <c r="C79" s="1054"/>
      <c r="D79" s="1054"/>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5"/>
      <c r="AL79" s="767"/>
    </row>
    <row r="80" spans="1:38" x14ac:dyDescent="0.3">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row>
    <row r="81" spans="1:38" ht="21.75" customHeight="1" x14ac:dyDescent="0.3">
      <c r="A81" s="1494" t="s">
        <v>6174</v>
      </c>
      <c r="B81" s="1495"/>
      <c r="C81" s="1495"/>
      <c r="D81" s="1495"/>
      <c r="E81" s="1495"/>
      <c r="F81" s="1495"/>
      <c r="G81" s="1495"/>
      <c r="H81" s="1495"/>
      <c r="I81" s="1495"/>
      <c r="J81" s="1495"/>
      <c r="K81" s="1495"/>
      <c r="L81" s="1495"/>
      <c r="M81" s="1495"/>
      <c r="N81" s="1495"/>
      <c r="O81" s="1495"/>
      <c r="P81" s="1495"/>
      <c r="Q81" s="1495"/>
      <c r="R81" s="1495"/>
      <c r="S81" s="1495"/>
      <c r="T81" s="1495"/>
      <c r="U81" s="1495"/>
      <c r="V81" s="1495"/>
      <c r="W81" s="1495"/>
      <c r="X81" s="1495"/>
      <c r="Y81" s="1495"/>
      <c r="Z81" s="1495"/>
      <c r="AA81" s="1495"/>
      <c r="AB81" s="1495"/>
      <c r="AC81" s="1495"/>
      <c r="AD81" s="1495"/>
      <c r="AE81" s="1495"/>
      <c r="AF81" s="1496"/>
      <c r="AL81" s="767"/>
    </row>
    <row r="82" spans="1:38" ht="27" customHeight="1" x14ac:dyDescent="0.3">
      <c r="A82" s="1106" t="s">
        <v>6175</v>
      </c>
      <c r="B82" s="1339"/>
      <c r="C82" s="1339"/>
      <c r="D82" s="1339"/>
      <c r="E82" s="1339"/>
      <c r="F82" s="1339"/>
      <c r="G82" s="1339"/>
      <c r="H82" s="1339"/>
      <c r="I82" s="1339"/>
      <c r="J82" s="1339"/>
      <c r="K82" s="1339"/>
      <c r="L82" s="1339"/>
      <c r="M82" s="1339"/>
      <c r="N82" s="1339"/>
      <c r="O82" s="1339"/>
      <c r="P82" s="1339"/>
      <c r="Q82" s="1339"/>
      <c r="R82" s="1339"/>
      <c r="S82" s="1339"/>
      <c r="T82" s="1339"/>
      <c r="U82" s="1339"/>
      <c r="V82" s="1339"/>
      <c r="W82" s="1339"/>
      <c r="X82" s="1339"/>
      <c r="Y82" s="1339"/>
      <c r="Z82" s="1339"/>
      <c r="AA82" s="1339"/>
      <c r="AB82" s="1339"/>
      <c r="AC82" s="1339"/>
      <c r="AD82" s="1339"/>
      <c r="AE82" s="1339"/>
      <c r="AF82" s="1340"/>
    </row>
    <row r="83" spans="1:38" ht="48" customHeight="1" x14ac:dyDescent="0.3">
      <c r="A83" s="1390" t="s">
        <v>15</v>
      </c>
      <c r="B83" s="1391"/>
      <c r="C83" s="1391"/>
      <c r="D83" s="1391"/>
      <c r="E83" s="1391"/>
      <c r="F83" s="1392"/>
      <c r="G83" s="1491" t="s">
        <v>6176</v>
      </c>
      <c r="H83" s="1392"/>
      <c r="I83" s="1493" t="s">
        <v>6177</v>
      </c>
      <c r="J83" s="993"/>
      <c r="K83" s="993"/>
      <c r="L83" s="993"/>
      <c r="M83" s="993"/>
      <c r="N83" s="993"/>
      <c r="O83" s="993"/>
      <c r="P83" s="993"/>
      <c r="Q83" s="1493" t="s">
        <v>6178</v>
      </c>
      <c r="R83" s="993"/>
      <c r="S83" s="993"/>
      <c r="T83" s="993"/>
      <c r="U83" s="993"/>
      <c r="V83" s="993"/>
      <c r="W83" s="993"/>
      <c r="X83" s="993"/>
      <c r="Y83" s="1493" t="s">
        <v>6179</v>
      </c>
      <c r="Z83" s="993"/>
      <c r="AA83" s="993"/>
      <c r="AB83" s="993"/>
      <c r="AC83" s="993"/>
      <c r="AD83" s="993"/>
      <c r="AE83" s="993"/>
      <c r="AF83" s="993"/>
    </row>
    <row r="84" spans="1:38" ht="31.5" customHeight="1" x14ac:dyDescent="0.3">
      <c r="A84" s="1393"/>
      <c r="B84" s="1393"/>
      <c r="C84" s="1393"/>
      <c r="D84" s="1393"/>
      <c r="E84" s="1393"/>
      <c r="F84" s="1394"/>
      <c r="G84" s="1492"/>
      <c r="H84" s="1394"/>
      <c r="I84" s="993" t="s">
        <v>121</v>
      </c>
      <c r="J84" s="993"/>
      <c r="K84" s="993"/>
      <c r="L84" s="993"/>
      <c r="M84" s="993" t="s">
        <v>6180</v>
      </c>
      <c r="N84" s="993"/>
      <c r="O84" s="993"/>
      <c r="P84" s="993"/>
      <c r="Q84" s="993" t="s">
        <v>121</v>
      </c>
      <c r="R84" s="993"/>
      <c r="S84" s="993"/>
      <c r="T84" s="993"/>
      <c r="U84" s="993" t="s">
        <v>6180</v>
      </c>
      <c r="V84" s="993"/>
      <c r="W84" s="993"/>
      <c r="X84" s="993"/>
      <c r="Y84" s="993" t="s">
        <v>121</v>
      </c>
      <c r="Z84" s="993"/>
      <c r="AA84" s="993"/>
      <c r="AB84" s="993"/>
      <c r="AC84" s="993" t="s">
        <v>6180</v>
      </c>
      <c r="AD84" s="993"/>
      <c r="AE84" s="993"/>
      <c r="AF84" s="993"/>
    </row>
    <row r="85" spans="1:38" ht="30" customHeight="1" x14ac:dyDescent="0.3">
      <c r="A85" s="1483" t="s">
        <v>6181</v>
      </c>
      <c r="B85" s="1484"/>
      <c r="C85" s="1484"/>
      <c r="D85" s="1484"/>
      <c r="E85" s="1484"/>
      <c r="F85" s="1485"/>
      <c r="G85" s="1486">
        <f>AVERAGE(300,0)</f>
        <v>150</v>
      </c>
      <c r="H85" s="1485"/>
      <c r="I85" s="1429">
        <f>ROUND(10-0.01233*G85,2)</f>
        <v>8.15</v>
      </c>
      <c r="J85" s="1429"/>
      <c r="K85" s="1429"/>
      <c r="L85" s="1429"/>
      <c r="M85" s="1429">
        <f>ROUND(9.2-0.01134*G85,2)</f>
        <v>7.5</v>
      </c>
      <c r="N85" s="1429"/>
      <c r="O85" s="1429"/>
      <c r="P85" s="1429"/>
      <c r="Q85" s="1429">
        <f>I85*G85/100/$Q$44</f>
        <v>16.3</v>
      </c>
      <c r="R85" s="1429"/>
      <c r="S85" s="1429"/>
      <c r="T85" s="1429"/>
      <c r="U85" s="1429">
        <f>M85*G85/100/$Q$44</f>
        <v>15</v>
      </c>
      <c r="V85" s="1429"/>
      <c r="W85" s="1429"/>
      <c r="X85" s="1429"/>
      <c r="Y85" s="1429">
        <f>ROUND(Q85*$Q$46,2)</f>
        <v>5949.5</v>
      </c>
      <c r="Z85" s="1429"/>
      <c r="AA85" s="1429"/>
      <c r="AB85" s="1429"/>
      <c r="AC85" s="1429">
        <f>ROUND(U85*$Q$46,2)</f>
        <v>5475</v>
      </c>
      <c r="AD85" s="1429"/>
      <c r="AE85" s="1429"/>
      <c r="AF85" s="1429"/>
      <c r="AL85" s="767"/>
    </row>
    <row r="86" spans="1:38" ht="30" customHeight="1" x14ac:dyDescent="0.3">
      <c r="A86" s="1483" t="s">
        <v>6205</v>
      </c>
      <c r="B86" s="1484"/>
      <c r="C86" s="1484"/>
      <c r="D86" s="1484"/>
      <c r="E86" s="1484"/>
      <c r="F86" s="1485"/>
      <c r="G86" s="1486">
        <f>AVERAGE(300,800)</f>
        <v>550</v>
      </c>
      <c r="H86" s="1485"/>
      <c r="I86" s="1429">
        <f>ROUND(7.05-0.0025*G86,2)</f>
        <v>5.68</v>
      </c>
      <c r="J86" s="1429"/>
      <c r="K86" s="1429"/>
      <c r="L86" s="1429"/>
      <c r="M86" s="1429">
        <f>6.49-0.0023*G86</f>
        <v>5.2250000000000005</v>
      </c>
      <c r="N86" s="1429"/>
      <c r="O86" s="1429"/>
      <c r="P86" s="1429"/>
      <c r="Q86" s="1429">
        <f t="shared" ref="Q86:Q93" si="0">I86*G86/100/$Q$44</f>
        <v>41.653333333333329</v>
      </c>
      <c r="R86" s="1429"/>
      <c r="S86" s="1429"/>
      <c r="T86" s="1429"/>
      <c r="U86" s="1429">
        <f t="shared" ref="U86:U93" si="1">M86*G86/100/$Q$44</f>
        <v>38.31666666666667</v>
      </c>
      <c r="V86" s="1429"/>
      <c r="W86" s="1429"/>
      <c r="X86" s="1429"/>
      <c r="Y86" s="1429">
        <f t="shared" ref="Y86:Y92" si="2">ROUND(Q86*$Q$46,2)</f>
        <v>15203.47</v>
      </c>
      <c r="Z86" s="1429"/>
      <c r="AA86" s="1429"/>
      <c r="AB86" s="1429"/>
      <c r="AC86" s="1429">
        <f t="shared" ref="AC86:AC93" si="3">ROUND(U86*$Q$46,2)</f>
        <v>13985.58</v>
      </c>
      <c r="AD86" s="1429"/>
      <c r="AE86" s="1429"/>
      <c r="AF86" s="1429"/>
    </row>
    <row r="87" spans="1:38" ht="30" customHeight="1" x14ac:dyDescent="0.3">
      <c r="A87" s="1483" t="s">
        <v>6206</v>
      </c>
      <c r="B87" s="1484"/>
      <c r="C87" s="1484"/>
      <c r="D87" s="1484"/>
      <c r="E87" s="1484"/>
      <c r="F87" s="1485"/>
      <c r="G87" s="1486">
        <f>AVERAGE(800,1500)</f>
        <v>1150</v>
      </c>
      <c r="H87" s="1485"/>
      <c r="I87" s="1429">
        <f>ROUND(5.55-0.00063*G87,2)</f>
        <v>4.83</v>
      </c>
      <c r="J87" s="1429"/>
      <c r="K87" s="1429"/>
      <c r="L87" s="1429"/>
      <c r="M87" s="1429">
        <f>5.11-0.00058*G87</f>
        <v>4.4430000000000005</v>
      </c>
      <c r="N87" s="1429"/>
      <c r="O87" s="1429"/>
      <c r="P87" s="1429"/>
      <c r="Q87" s="1429">
        <f t="shared" si="0"/>
        <v>74.06</v>
      </c>
      <c r="R87" s="1429"/>
      <c r="S87" s="1429"/>
      <c r="T87" s="1429"/>
      <c r="U87" s="1429">
        <f t="shared" si="1"/>
        <v>68.126000000000019</v>
      </c>
      <c r="V87" s="1429"/>
      <c r="W87" s="1429"/>
      <c r="X87" s="1429"/>
      <c r="Y87" s="1429">
        <f t="shared" si="2"/>
        <v>27031.9</v>
      </c>
      <c r="Z87" s="1429"/>
      <c r="AA87" s="1429"/>
      <c r="AB87" s="1429"/>
      <c r="AC87" s="1429">
        <f t="shared" si="3"/>
        <v>24865.99</v>
      </c>
      <c r="AD87" s="1429"/>
      <c r="AE87" s="1429"/>
      <c r="AF87" s="1429"/>
    </row>
    <row r="88" spans="1:38" ht="30" customHeight="1" x14ac:dyDescent="0.3">
      <c r="A88" s="1483" t="s">
        <v>6207</v>
      </c>
      <c r="B88" s="1484"/>
      <c r="C88" s="1484"/>
      <c r="D88" s="1484"/>
      <c r="E88" s="1484"/>
      <c r="F88" s="1485"/>
      <c r="G88" s="1486">
        <f>AVERAGE(1500,4000)</f>
        <v>2750</v>
      </c>
      <c r="H88" s="1485"/>
      <c r="I88" s="1429">
        <v>4.6100000000000003</v>
      </c>
      <c r="J88" s="1429"/>
      <c r="K88" s="1429"/>
      <c r="L88" s="1429"/>
      <c r="M88" s="1429">
        <v>4.24</v>
      </c>
      <c r="N88" s="1429"/>
      <c r="O88" s="1429"/>
      <c r="P88" s="1429"/>
      <c r="Q88" s="1429">
        <f t="shared" si="0"/>
        <v>169.03333333333333</v>
      </c>
      <c r="R88" s="1429"/>
      <c r="S88" s="1429"/>
      <c r="T88" s="1429"/>
      <c r="U88" s="1429">
        <f t="shared" si="1"/>
        <v>155.46666666666667</v>
      </c>
      <c r="V88" s="1429"/>
      <c r="W88" s="1429"/>
      <c r="X88" s="1429"/>
      <c r="Y88" s="1429">
        <f t="shared" si="2"/>
        <v>61697.17</v>
      </c>
      <c r="Z88" s="1429"/>
      <c r="AA88" s="1429"/>
      <c r="AB88" s="1429"/>
      <c r="AC88" s="1429">
        <f t="shared" si="3"/>
        <v>56745.33</v>
      </c>
      <c r="AD88" s="1429"/>
      <c r="AE88" s="1429"/>
      <c r="AF88" s="1429"/>
    </row>
    <row r="89" spans="1:38" ht="30" customHeight="1" x14ac:dyDescent="0.3">
      <c r="A89" s="1483" t="s">
        <v>6208</v>
      </c>
      <c r="B89" s="1484"/>
      <c r="C89" s="1484"/>
      <c r="D89" s="1484"/>
      <c r="E89" s="1484"/>
      <c r="F89" s="1485"/>
      <c r="G89" s="1486">
        <f>AVERAGE(988,0)</f>
        <v>494</v>
      </c>
      <c r="H89" s="1485"/>
      <c r="I89" s="1429">
        <f>ROUND(7.97-0.00342*G89,2)</f>
        <v>6.28</v>
      </c>
      <c r="J89" s="1429"/>
      <c r="K89" s="1429"/>
      <c r="L89" s="1429"/>
      <c r="M89" s="1429">
        <f>7.17-0.00308*G89</f>
        <v>5.6484800000000002</v>
      </c>
      <c r="N89" s="1429"/>
      <c r="O89" s="1429"/>
      <c r="P89" s="1429"/>
      <c r="Q89" s="1429">
        <f t="shared" si="0"/>
        <v>41.364266666666673</v>
      </c>
      <c r="R89" s="1429"/>
      <c r="S89" s="1429"/>
      <c r="T89" s="1429"/>
      <c r="U89" s="1429">
        <f t="shared" si="1"/>
        <v>37.20465493333333</v>
      </c>
      <c r="V89" s="1429"/>
      <c r="W89" s="1429"/>
      <c r="X89" s="1429"/>
      <c r="Y89" s="1429">
        <f t="shared" si="2"/>
        <v>15097.96</v>
      </c>
      <c r="Z89" s="1429"/>
      <c r="AA89" s="1429"/>
      <c r="AB89" s="1429"/>
      <c r="AC89" s="1429">
        <f t="shared" si="3"/>
        <v>13579.7</v>
      </c>
      <c r="AD89" s="1429"/>
      <c r="AE89" s="1429"/>
      <c r="AF89" s="1429"/>
    </row>
    <row r="90" spans="1:38" ht="30" customHeight="1" x14ac:dyDescent="0.3">
      <c r="A90" s="1483" t="s">
        <v>6209</v>
      </c>
      <c r="B90" s="1484"/>
      <c r="C90" s="1484"/>
      <c r="D90" s="1484"/>
      <c r="E90" s="1484"/>
      <c r="F90" s="1485"/>
      <c r="G90" s="1486">
        <f>AVERAGE(988,4000)</f>
        <v>2494</v>
      </c>
      <c r="H90" s="1485"/>
      <c r="I90" s="1429">
        <v>4.59</v>
      </c>
      <c r="J90" s="1429"/>
      <c r="K90" s="1429"/>
      <c r="L90" s="1429"/>
      <c r="M90" s="1429">
        <v>4.13</v>
      </c>
      <c r="N90" s="1429"/>
      <c r="O90" s="1429"/>
      <c r="P90" s="1429"/>
      <c r="Q90" s="1429">
        <f t="shared" si="0"/>
        <v>152.6328</v>
      </c>
      <c r="R90" s="1429"/>
      <c r="S90" s="1429"/>
      <c r="T90" s="1429"/>
      <c r="U90" s="1429">
        <f t="shared" si="1"/>
        <v>137.33626666666666</v>
      </c>
      <c r="V90" s="1429"/>
      <c r="W90" s="1429"/>
      <c r="X90" s="1429"/>
      <c r="Y90" s="1429">
        <f t="shared" si="2"/>
        <v>55710.97</v>
      </c>
      <c r="Z90" s="1429"/>
      <c r="AA90" s="1429"/>
      <c r="AB90" s="1429"/>
      <c r="AC90" s="1429">
        <f t="shared" si="3"/>
        <v>50127.74</v>
      </c>
      <c r="AD90" s="1429"/>
      <c r="AE90" s="1429"/>
      <c r="AF90" s="1429"/>
    </row>
    <row r="91" spans="1:38" ht="30" customHeight="1" x14ac:dyDescent="0.3">
      <c r="A91" s="1483" t="s">
        <v>6182</v>
      </c>
      <c r="B91" s="1484"/>
      <c r="C91" s="1484"/>
      <c r="D91" s="1484"/>
      <c r="E91" s="1484"/>
      <c r="F91" s="1485"/>
      <c r="G91" s="1486">
        <f>AVERAGE(0,110)</f>
        <v>55</v>
      </c>
      <c r="H91" s="1485"/>
      <c r="I91" s="1429">
        <f>ROUND(14.79-0.0469*G91,2)</f>
        <v>12.21</v>
      </c>
      <c r="J91" s="1429"/>
      <c r="K91" s="1429"/>
      <c r="L91" s="1429"/>
      <c r="M91" s="1429">
        <f>12.57-0.0399*G91</f>
        <v>10.375500000000001</v>
      </c>
      <c r="N91" s="1429"/>
      <c r="O91" s="1429"/>
      <c r="P91" s="1429"/>
      <c r="Q91" s="1429">
        <f t="shared" si="0"/>
        <v>8.9540000000000006</v>
      </c>
      <c r="R91" s="1429"/>
      <c r="S91" s="1429"/>
      <c r="T91" s="1429"/>
      <c r="U91" s="1429">
        <f t="shared" si="1"/>
        <v>7.6086999999999998</v>
      </c>
      <c r="V91" s="1429"/>
      <c r="W91" s="1429"/>
      <c r="X91" s="1429"/>
      <c r="Y91" s="1429">
        <f t="shared" si="2"/>
        <v>3268.21</v>
      </c>
      <c r="Z91" s="1429"/>
      <c r="AA91" s="1429"/>
      <c r="AB91" s="1429"/>
      <c r="AC91" s="1429">
        <f t="shared" si="3"/>
        <v>2777.18</v>
      </c>
      <c r="AD91" s="1429"/>
      <c r="AE91" s="1429"/>
      <c r="AF91" s="1429"/>
    </row>
    <row r="92" spans="1:38" ht="30" customHeight="1" x14ac:dyDescent="0.3">
      <c r="A92" s="1483" t="s">
        <v>6210</v>
      </c>
      <c r="B92" s="1484"/>
      <c r="C92" s="1484"/>
      <c r="D92" s="1484"/>
      <c r="E92" s="1484"/>
      <c r="F92" s="1485"/>
      <c r="G92" s="1486">
        <f>AVERAGE(110,200)</f>
        <v>155</v>
      </c>
      <c r="H92" s="1485"/>
      <c r="I92" s="1429">
        <f>ROUND(12.42-0.02533*G92,2)</f>
        <v>8.49</v>
      </c>
      <c r="J92" s="1429"/>
      <c r="K92" s="1429"/>
      <c r="L92" s="1429"/>
      <c r="M92" s="1429">
        <f>10.56-0.0215*G92</f>
        <v>7.2275000000000009</v>
      </c>
      <c r="N92" s="1429"/>
      <c r="O92" s="1429"/>
      <c r="P92" s="1429"/>
      <c r="Q92" s="1429">
        <f t="shared" si="0"/>
        <v>17.546000000000003</v>
      </c>
      <c r="R92" s="1429"/>
      <c r="S92" s="1429"/>
      <c r="T92" s="1429"/>
      <c r="U92" s="1429">
        <f t="shared" si="1"/>
        <v>14.936833333333334</v>
      </c>
      <c r="V92" s="1429"/>
      <c r="W92" s="1429"/>
      <c r="X92" s="1429"/>
      <c r="Y92" s="1429">
        <f t="shared" si="2"/>
        <v>6404.29</v>
      </c>
      <c r="Z92" s="1429"/>
      <c r="AA92" s="1429"/>
      <c r="AB92" s="1429"/>
      <c r="AC92" s="1429">
        <f>ROUND(U92*$Q$46,2)</f>
        <v>5451.94</v>
      </c>
      <c r="AD92" s="1429"/>
      <c r="AE92" s="1429"/>
      <c r="AF92" s="1429"/>
    </row>
    <row r="93" spans="1:38" ht="30" customHeight="1" x14ac:dyDescent="0.3">
      <c r="A93" s="1483" t="s">
        <v>6211</v>
      </c>
      <c r="B93" s="1484"/>
      <c r="C93" s="1484"/>
      <c r="D93" s="1484"/>
      <c r="E93" s="1484"/>
      <c r="F93" s="1485"/>
      <c r="G93" s="1486">
        <f>AVERAGE(200,4000)</f>
        <v>2100</v>
      </c>
      <c r="H93" s="1485"/>
      <c r="I93" s="1429">
        <v>7.35</v>
      </c>
      <c r="J93" s="1429"/>
      <c r="K93" s="1429"/>
      <c r="L93" s="1429"/>
      <c r="M93" s="1429">
        <v>6.25</v>
      </c>
      <c r="N93" s="1429"/>
      <c r="O93" s="1429"/>
      <c r="P93" s="1429"/>
      <c r="Q93" s="1429">
        <f t="shared" si="0"/>
        <v>205.79999999999998</v>
      </c>
      <c r="R93" s="1429"/>
      <c r="S93" s="1429"/>
      <c r="T93" s="1429"/>
      <c r="U93" s="1429">
        <f t="shared" si="1"/>
        <v>175</v>
      </c>
      <c r="V93" s="1429"/>
      <c r="W93" s="1429"/>
      <c r="X93" s="1429"/>
      <c r="Y93" s="1429">
        <f>ROUND(Q93*$Q$46,2)</f>
        <v>75117</v>
      </c>
      <c r="Z93" s="1429"/>
      <c r="AA93" s="1429"/>
      <c r="AB93" s="1429"/>
      <c r="AC93" s="1429">
        <f t="shared" si="3"/>
        <v>63875</v>
      </c>
      <c r="AD93" s="1429"/>
      <c r="AE93" s="1429"/>
      <c r="AF93" s="1429"/>
    </row>
    <row r="94" spans="1:38" ht="30" customHeight="1" x14ac:dyDescent="0.3">
      <c r="A94" s="1107" t="s">
        <v>6183</v>
      </c>
      <c r="B94" s="1107"/>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1107"/>
      <c r="AB94" s="1107"/>
      <c r="AC94" s="1107"/>
      <c r="AD94" s="1107"/>
      <c r="AE94" s="1107"/>
      <c r="AF94" s="1108"/>
    </row>
    <row r="95" spans="1:38" ht="40.5" customHeight="1" x14ac:dyDescent="0.3">
      <c r="A95" s="1491" t="s">
        <v>15</v>
      </c>
      <c r="B95" s="1391"/>
      <c r="C95" s="1391"/>
      <c r="D95" s="1391"/>
      <c r="E95" s="1391"/>
      <c r="F95" s="1392"/>
      <c r="G95" s="1491" t="s">
        <v>6176</v>
      </c>
      <c r="H95" s="1392"/>
      <c r="I95" s="1493" t="s">
        <v>6177</v>
      </c>
      <c r="J95" s="993"/>
      <c r="K95" s="993"/>
      <c r="L95" s="993"/>
      <c r="M95" s="993"/>
      <c r="N95" s="993"/>
      <c r="O95" s="993"/>
      <c r="P95" s="993"/>
      <c r="Q95" s="1493" t="s">
        <v>6178</v>
      </c>
      <c r="R95" s="993"/>
      <c r="S95" s="993"/>
      <c r="T95" s="993"/>
      <c r="U95" s="993"/>
      <c r="V95" s="993"/>
      <c r="W95" s="993"/>
      <c r="X95" s="993"/>
      <c r="Y95" s="1493" t="s">
        <v>6179</v>
      </c>
      <c r="Z95" s="993"/>
      <c r="AA95" s="993"/>
      <c r="AB95" s="993"/>
      <c r="AC95" s="993"/>
      <c r="AD95" s="993"/>
      <c r="AE95" s="993"/>
      <c r="AF95" s="993"/>
    </row>
    <row r="96" spans="1:38" ht="38.25" customHeight="1" x14ac:dyDescent="0.3">
      <c r="A96" s="1492"/>
      <c r="B96" s="1393"/>
      <c r="C96" s="1393"/>
      <c r="D96" s="1393"/>
      <c r="E96" s="1393"/>
      <c r="F96" s="1394"/>
      <c r="G96" s="1492"/>
      <c r="H96" s="1394"/>
      <c r="I96" s="1378" t="s">
        <v>121</v>
      </c>
      <c r="J96" s="1378"/>
      <c r="K96" s="1378"/>
      <c r="L96" s="1378"/>
      <c r="M96" s="1378" t="s">
        <v>6180</v>
      </c>
      <c r="N96" s="1378"/>
      <c r="O96" s="1378"/>
      <c r="P96" s="1378"/>
      <c r="Q96" s="1378" t="s">
        <v>121</v>
      </c>
      <c r="R96" s="1378"/>
      <c r="S96" s="1378"/>
      <c r="T96" s="1378"/>
      <c r="U96" s="1378" t="s">
        <v>6180</v>
      </c>
      <c r="V96" s="1378"/>
      <c r="W96" s="1378"/>
      <c r="X96" s="1378"/>
      <c r="Y96" s="1378" t="s">
        <v>121</v>
      </c>
      <c r="Z96" s="1378"/>
      <c r="AA96" s="1378"/>
      <c r="AB96" s="1378"/>
      <c r="AC96" s="1378" t="s">
        <v>6180</v>
      </c>
      <c r="AD96" s="1378"/>
      <c r="AE96" s="1378"/>
      <c r="AF96" s="1378"/>
    </row>
    <row r="97" spans="1:38" ht="30" customHeight="1" x14ac:dyDescent="0.3">
      <c r="A97" s="1483" t="s">
        <v>6184</v>
      </c>
      <c r="B97" s="1484"/>
      <c r="C97" s="1484"/>
      <c r="D97" s="1484"/>
      <c r="E97" s="1484"/>
      <c r="F97" s="1485"/>
      <c r="G97" s="1486">
        <f>AVERAGE(310,0)</f>
        <v>155</v>
      </c>
      <c r="H97" s="1485"/>
      <c r="I97" s="1488">
        <f>ROUND(9.19-0.00629*G97,2)</f>
        <v>8.2200000000000006</v>
      </c>
      <c r="J97" s="1489"/>
      <c r="K97" s="1489"/>
      <c r="L97" s="1490"/>
      <c r="M97" s="1488">
        <f>ROUND(7.9-0.005409*G97,2)</f>
        <v>7.06</v>
      </c>
      <c r="N97" s="1489"/>
      <c r="O97" s="1489"/>
      <c r="P97" s="1490"/>
      <c r="Q97" s="1487">
        <f>I97*G97/100/$Q$44</f>
        <v>16.988000000000003</v>
      </c>
      <c r="R97" s="1487"/>
      <c r="S97" s="1487"/>
      <c r="T97" s="1487"/>
      <c r="U97" s="1487">
        <f>M97*G97/100/$Q$44</f>
        <v>14.590666666666666</v>
      </c>
      <c r="V97" s="1487"/>
      <c r="W97" s="1487"/>
      <c r="X97" s="1487"/>
      <c r="Y97" s="1429">
        <f>Q97*$Q$46</f>
        <v>6200.6200000000008</v>
      </c>
      <c r="Z97" s="1429"/>
      <c r="AA97" s="1429"/>
      <c r="AB97" s="1429"/>
      <c r="AC97" s="1429">
        <f>ROUND(U97*$Q$46,2)</f>
        <v>5325.59</v>
      </c>
      <c r="AD97" s="1429"/>
      <c r="AE97" s="1429"/>
      <c r="AF97" s="1429"/>
      <c r="AL97" s="767"/>
    </row>
    <row r="98" spans="1:38" ht="30" customHeight="1" x14ac:dyDescent="0.3">
      <c r="A98" s="1483" t="s">
        <v>6212</v>
      </c>
      <c r="B98" s="1484"/>
      <c r="C98" s="1484"/>
      <c r="D98" s="1484"/>
      <c r="E98" s="1484"/>
      <c r="F98" s="1485"/>
      <c r="G98" s="1486">
        <f>AVERAGE(310,820)</f>
        <v>565</v>
      </c>
      <c r="H98" s="1485"/>
      <c r="I98" s="1487">
        <f>ROUND(8.23-0.0032*G98,2)</f>
        <v>6.42</v>
      </c>
      <c r="J98" s="1487"/>
      <c r="K98" s="1487"/>
      <c r="L98" s="1487"/>
      <c r="M98" s="1488">
        <f>ROUND(7.08-0.002752*G98,2)</f>
        <v>5.53</v>
      </c>
      <c r="N98" s="1489"/>
      <c r="O98" s="1489"/>
      <c r="P98" s="1490"/>
      <c r="Q98" s="1487">
        <f t="shared" ref="Q98:Q104" si="4">I98*G98/100/$Q$44</f>
        <v>48.364000000000004</v>
      </c>
      <c r="R98" s="1487"/>
      <c r="S98" s="1487"/>
      <c r="T98" s="1487"/>
      <c r="U98" s="1487">
        <f t="shared" ref="U98:U104" si="5">M98*G98/100/$Q$44</f>
        <v>41.659333333333336</v>
      </c>
      <c r="V98" s="1487"/>
      <c r="W98" s="1487"/>
      <c r="X98" s="1487"/>
      <c r="Y98" s="1429">
        <f t="shared" ref="Y98:Y104" si="6">Q98*$Q$46</f>
        <v>17652.86</v>
      </c>
      <c r="Z98" s="1429"/>
      <c r="AA98" s="1429"/>
      <c r="AB98" s="1429"/>
      <c r="AC98" s="1429">
        <f t="shared" ref="AC98:AC104" si="7">ROUND(U98*$Q$46,2)</f>
        <v>15205.66</v>
      </c>
      <c r="AD98" s="1429"/>
      <c r="AE98" s="1429"/>
      <c r="AF98" s="1429"/>
    </row>
    <row r="99" spans="1:38" ht="30" customHeight="1" x14ac:dyDescent="0.3">
      <c r="A99" s="1483" t="s">
        <v>6213</v>
      </c>
      <c r="B99" s="1484"/>
      <c r="C99" s="1484"/>
      <c r="D99" s="1484"/>
      <c r="E99" s="1484"/>
      <c r="F99" s="1485"/>
      <c r="G99" s="1486">
        <f>AVERAGE(820,4000)</f>
        <v>2410</v>
      </c>
      <c r="H99" s="1485"/>
      <c r="I99" s="1487">
        <v>5.61</v>
      </c>
      <c r="J99" s="1487"/>
      <c r="K99" s="1487"/>
      <c r="L99" s="1487"/>
      <c r="M99" s="1488">
        <v>4.82</v>
      </c>
      <c r="N99" s="1489"/>
      <c r="O99" s="1489"/>
      <c r="P99" s="1490"/>
      <c r="Q99" s="1487">
        <f t="shared" si="4"/>
        <v>180.268</v>
      </c>
      <c r="R99" s="1487"/>
      <c r="S99" s="1487"/>
      <c r="T99" s="1487"/>
      <c r="U99" s="1487">
        <f t="shared" si="5"/>
        <v>154.88266666666667</v>
      </c>
      <c r="V99" s="1487"/>
      <c r="W99" s="1487"/>
      <c r="X99" s="1487"/>
      <c r="Y99" s="1429">
        <f t="shared" si="6"/>
        <v>65797.820000000007</v>
      </c>
      <c r="Z99" s="1429"/>
      <c r="AA99" s="1429"/>
      <c r="AB99" s="1429"/>
      <c r="AC99" s="1429">
        <f t="shared" si="7"/>
        <v>56532.17</v>
      </c>
      <c r="AD99" s="1429"/>
      <c r="AE99" s="1429"/>
      <c r="AF99" s="1429"/>
    </row>
    <row r="100" spans="1:38" ht="30" customHeight="1" x14ac:dyDescent="0.3">
      <c r="A100" s="1483" t="s">
        <v>6214</v>
      </c>
      <c r="B100" s="1484"/>
      <c r="C100" s="1484"/>
      <c r="D100" s="1484"/>
      <c r="E100" s="1484"/>
      <c r="F100" s="1485"/>
      <c r="G100" s="1486">
        <f>AVERAGE(800,0)</f>
        <v>400</v>
      </c>
      <c r="H100" s="1485"/>
      <c r="I100" s="993">
        <f>ROUND(9.7-0.0058*G100,2)</f>
        <v>7.38</v>
      </c>
      <c r="J100" s="993"/>
      <c r="K100" s="993"/>
      <c r="L100" s="993"/>
      <c r="M100" s="1487">
        <f>ROUND(7.76-0.00464*G100,2)</f>
        <v>5.9</v>
      </c>
      <c r="N100" s="1487"/>
      <c r="O100" s="1487"/>
      <c r="P100" s="1487"/>
      <c r="Q100" s="1487">
        <f t="shared" si="4"/>
        <v>39.36</v>
      </c>
      <c r="R100" s="1487"/>
      <c r="S100" s="1487"/>
      <c r="T100" s="1487"/>
      <c r="U100" s="1487">
        <f t="shared" si="5"/>
        <v>31.466666666666669</v>
      </c>
      <c r="V100" s="1487"/>
      <c r="W100" s="1487"/>
      <c r="X100" s="1487"/>
      <c r="Y100" s="1429">
        <f t="shared" si="6"/>
        <v>14366.4</v>
      </c>
      <c r="Z100" s="1429"/>
      <c r="AA100" s="1429"/>
      <c r="AB100" s="1429"/>
      <c r="AC100" s="1429">
        <f t="shared" si="7"/>
        <v>11485.33</v>
      </c>
      <c r="AD100" s="1429"/>
      <c r="AE100" s="1429"/>
      <c r="AF100" s="1429"/>
    </row>
    <row r="101" spans="1:38" ht="30" customHeight="1" x14ac:dyDescent="0.3">
      <c r="A101" s="1483" t="s">
        <v>6215</v>
      </c>
      <c r="B101" s="1484"/>
      <c r="C101" s="1484"/>
      <c r="D101" s="1484"/>
      <c r="E101" s="1484"/>
      <c r="F101" s="1485"/>
      <c r="G101" s="1486">
        <f>AVERAGE(800,4000)</f>
        <v>2400</v>
      </c>
      <c r="H101" s="1485"/>
      <c r="I101" s="993">
        <v>5.0599999999999996</v>
      </c>
      <c r="J101" s="993"/>
      <c r="K101" s="993"/>
      <c r="L101" s="993"/>
      <c r="M101" s="1487">
        <v>4.05</v>
      </c>
      <c r="N101" s="1487"/>
      <c r="O101" s="1487"/>
      <c r="P101" s="1487"/>
      <c r="Q101" s="1487">
        <f t="shared" si="4"/>
        <v>161.91999999999999</v>
      </c>
      <c r="R101" s="1487"/>
      <c r="S101" s="1487"/>
      <c r="T101" s="1487"/>
      <c r="U101" s="1487">
        <f t="shared" si="5"/>
        <v>129.6</v>
      </c>
      <c r="V101" s="1487"/>
      <c r="W101" s="1487"/>
      <c r="X101" s="1487"/>
      <c r="Y101" s="1429">
        <f t="shared" si="6"/>
        <v>59100.799999999996</v>
      </c>
      <c r="Z101" s="1429"/>
      <c r="AA101" s="1429"/>
      <c r="AB101" s="1429"/>
      <c r="AC101" s="1429">
        <f t="shared" si="7"/>
        <v>47304</v>
      </c>
      <c r="AD101" s="1429"/>
      <c r="AE101" s="1429"/>
      <c r="AF101" s="1429"/>
    </row>
    <row r="102" spans="1:38" ht="30" customHeight="1" x14ac:dyDescent="0.3">
      <c r="A102" s="1483" t="s">
        <v>6185</v>
      </c>
      <c r="B102" s="1484"/>
      <c r="C102" s="1484"/>
      <c r="D102" s="1484"/>
      <c r="E102" s="1484"/>
      <c r="F102" s="1485"/>
      <c r="G102" s="1486">
        <f>AVERAGE(0,200)</f>
        <v>100</v>
      </c>
      <c r="H102" s="1485"/>
      <c r="I102" s="993">
        <f>ROUND(14.22-0.03*G102,2)</f>
        <v>11.22</v>
      </c>
      <c r="J102" s="993"/>
      <c r="K102" s="993"/>
      <c r="L102" s="993"/>
      <c r="M102" s="1487">
        <f>ROUND(12.37-0.0261*G102,2)</f>
        <v>9.76</v>
      </c>
      <c r="N102" s="1487"/>
      <c r="O102" s="1487"/>
      <c r="P102" s="1487"/>
      <c r="Q102" s="1487">
        <f t="shared" si="4"/>
        <v>14.96</v>
      </c>
      <c r="R102" s="1487"/>
      <c r="S102" s="1487"/>
      <c r="T102" s="1487"/>
      <c r="U102" s="1487">
        <f t="shared" si="5"/>
        <v>13.013333333333334</v>
      </c>
      <c r="V102" s="1487"/>
      <c r="W102" s="1487"/>
      <c r="X102" s="1487"/>
      <c r="Y102" s="1429">
        <f t="shared" si="6"/>
        <v>5460.4000000000005</v>
      </c>
      <c r="Z102" s="1429"/>
      <c r="AA102" s="1429"/>
      <c r="AB102" s="1429"/>
      <c r="AC102" s="1429">
        <f t="shared" si="7"/>
        <v>4749.87</v>
      </c>
      <c r="AD102" s="1429"/>
      <c r="AE102" s="1429"/>
      <c r="AF102" s="1429"/>
    </row>
    <row r="103" spans="1:38" ht="30" customHeight="1" x14ac:dyDescent="0.3">
      <c r="A103" s="1483" t="s">
        <v>6216</v>
      </c>
      <c r="B103" s="1484"/>
      <c r="C103" s="1484"/>
      <c r="D103" s="1484"/>
      <c r="E103" s="1484"/>
      <c r="F103" s="1485"/>
      <c r="G103" s="1486">
        <f>AVERAGE(200,700)</f>
        <v>450</v>
      </c>
      <c r="H103" s="1485"/>
      <c r="I103" s="993">
        <f>ROUND(9.47-0.00624*G103,2)</f>
        <v>6.66</v>
      </c>
      <c r="J103" s="993"/>
      <c r="K103" s="993"/>
      <c r="L103" s="993"/>
      <c r="M103" s="1487">
        <f>ROUND(8.24-0.005429*G103,2)</f>
        <v>5.8</v>
      </c>
      <c r="N103" s="1487"/>
      <c r="O103" s="1487"/>
      <c r="P103" s="1487"/>
      <c r="Q103" s="1487">
        <f t="shared" si="4"/>
        <v>39.96</v>
      </c>
      <c r="R103" s="1487"/>
      <c r="S103" s="1487"/>
      <c r="T103" s="1487"/>
      <c r="U103" s="1487">
        <f t="shared" si="5"/>
        <v>34.800000000000004</v>
      </c>
      <c r="V103" s="1487"/>
      <c r="W103" s="1487"/>
      <c r="X103" s="1487"/>
      <c r="Y103" s="1429">
        <f t="shared" si="6"/>
        <v>14585.4</v>
      </c>
      <c r="Z103" s="1429"/>
      <c r="AA103" s="1429"/>
      <c r="AB103" s="1429"/>
      <c r="AC103" s="1429">
        <f t="shared" si="7"/>
        <v>12702</v>
      </c>
      <c r="AD103" s="1429"/>
      <c r="AE103" s="1429"/>
      <c r="AF103" s="1429"/>
    </row>
    <row r="104" spans="1:38" ht="30" customHeight="1" x14ac:dyDescent="0.3">
      <c r="A104" s="1483" t="s">
        <v>6217</v>
      </c>
      <c r="B104" s="1484"/>
      <c r="C104" s="1484"/>
      <c r="D104" s="1484"/>
      <c r="E104" s="1484"/>
      <c r="F104" s="1485"/>
      <c r="G104" s="1486">
        <f>AVERAGE(700,4000)</f>
        <v>2350</v>
      </c>
      <c r="H104" s="1485"/>
      <c r="I104" s="993">
        <v>5.0999999999999996</v>
      </c>
      <c r="J104" s="993"/>
      <c r="K104" s="993"/>
      <c r="L104" s="993"/>
      <c r="M104" s="1487">
        <v>4.4400000000000004</v>
      </c>
      <c r="N104" s="1487"/>
      <c r="O104" s="1487"/>
      <c r="P104" s="1487"/>
      <c r="Q104" s="1487">
        <f t="shared" si="4"/>
        <v>159.79999999999998</v>
      </c>
      <c r="R104" s="1487"/>
      <c r="S104" s="1487"/>
      <c r="T104" s="1487"/>
      <c r="U104" s="1487">
        <f t="shared" si="5"/>
        <v>139.12000000000003</v>
      </c>
      <c r="V104" s="1487"/>
      <c r="W104" s="1487"/>
      <c r="X104" s="1487"/>
      <c r="Y104" s="1429">
        <f t="shared" si="6"/>
        <v>58326.999999999993</v>
      </c>
      <c r="Z104" s="1429"/>
      <c r="AA104" s="1429"/>
      <c r="AB104" s="1429"/>
      <c r="AC104" s="1429">
        <f t="shared" si="7"/>
        <v>50778.8</v>
      </c>
      <c r="AD104" s="1429"/>
      <c r="AE104" s="1429"/>
      <c r="AF104" s="1429"/>
    </row>
    <row r="105" spans="1:38" x14ac:dyDescent="0.3">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row>
    <row r="106" spans="1:38" ht="15" thickBot="1" x14ac:dyDescent="0.35">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row>
    <row r="107" spans="1:38" x14ac:dyDescent="0.3">
      <c r="A107" s="1482" t="s">
        <v>15</v>
      </c>
      <c r="B107" s="1312"/>
      <c r="C107" s="1312"/>
      <c r="D107" s="1312"/>
      <c r="E107" s="1312"/>
      <c r="F107" s="1312"/>
      <c r="G107" s="1312"/>
      <c r="H107" s="1312"/>
      <c r="I107" s="1312" t="s">
        <v>16</v>
      </c>
      <c r="J107" s="1312"/>
      <c r="K107" s="1312"/>
      <c r="L107" s="1312"/>
      <c r="M107" s="1312"/>
      <c r="N107" s="1312"/>
      <c r="O107" s="1312"/>
      <c r="P107" s="1312"/>
      <c r="Q107" s="1312" t="s">
        <v>17</v>
      </c>
      <c r="R107" s="1312"/>
      <c r="S107" s="1312"/>
      <c r="T107" s="1312"/>
      <c r="U107" s="1312"/>
      <c r="V107" s="1312"/>
      <c r="W107" s="1312"/>
      <c r="X107" s="1312"/>
      <c r="Y107" s="1312" t="s">
        <v>1826</v>
      </c>
      <c r="Z107" s="1312"/>
      <c r="AA107" s="1312"/>
      <c r="AB107" s="1312"/>
      <c r="AC107" s="1312"/>
      <c r="AD107" s="1312"/>
      <c r="AE107" s="1312"/>
      <c r="AF107" s="1313"/>
      <c r="AL107" s="767"/>
    </row>
    <row r="108" spans="1:38" ht="30" customHeight="1" x14ac:dyDescent="0.3">
      <c r="A108" s="1467" t="s">
        <v>6181</v>
      </c>
      <c r="B108" s="993"/>
      <c r="C108" s="993"/>
      <c r="D108" s="993"/>
      <c r="E108" s="993"/>
      <c r="F108" s="993"/>
      <c r="G108" s="993"/>
      <c r="H108" s="993"/>
      <c r="I108" s="1293">
        <f>ROUND((Q108/$Q$47)*$Q$48,3)</f>
        <v>6.5000000000000002E-2</v>
      </c>
      <c r="J108" s="1293"/>
      <c r="K108" s="1293"/>
      <c r="L108" s="1293"/>
      <c r="M108" s="1293"/>
      <c r="N108" s="1293"/>
      <c r="O108" s="1293"/>
      <c r="P108" s="1293"/>
      <c r="Q108" s="1315">
        <f>ROUND(Y85-AC85,2)</f>
        <v>474.5</v>
      </c>
      <c r="R108" s="1315"/>
      <c r="S108" s="1315"/>
      <c r="T108" s="1315"/>
      <c r="U108" s="1315"/>
      <c r="V108" s="1315"/>
      <c r="W108" s="1315"/>
      <c r="X108" s="1315"/>
      <c r="Y108" s="1297">
        <f>ROUND(Q108*$Q$49,2)</f>
        <v>4745</v>
      </c>
      <c r="Z108" s="1297"/>
      <c r="AA108" s="1297"/>
      <c r="AB108" s="1297"/>
      <c r="AC108" s="1297"/>
      <c r="AD108" s="1297"/>
      <c r="AE108" s="1297"/>
      <c r="AF108" s="1298"/>
      <c r="AL108" s="767"/>
    </row>
    <row r="109" spans="1:38" ht="30" customHeight="1" x14ac:dyDescent="0.3">
      <c r="A109" s="1467" t="s">
        <v>6205</v>
      </c>
      <c r="B109" s="993"/>
      <c r="C109" s="993"/>
      <c r="D109" s="993"/>
      <c r="E109" s="993"/>
      <c r="F109" s="993"/>
      <c r="G109" s="993"/>
      <c r="H109" s="993"/>
      <c r="I109" s="1468">
        <f t="shared" ref="I109:I124" si="8">ROUND((Q109/$Q$47)*$Q$48,3)</f>
        <v>0.16700000000000001</v>
      </c>
      <c r="J109" s="1469"/>
      <c r="K109" s="1469"/>
      <c r="L109" s="1469"/>
      <c r="M109" s="1469"/>
      <c r="N109" s="1469"/>
      <c r="O109" s="1469"/>
      <c r="P109" s="1470"/>
      <c r="Q109" s="1315">
        <f t="shared" ref="Q109:Q116" si="9">ROUND(Y86-AC86,2)</f>
        <v>1217.8900000000001</v>
      </c>
      <c r="R109" s="1315"/>
      <c r="S109" s="1315"/>
      <c r="T109" s="1315"/>
      <c r="U109" s="1315"/>
      <c r="V109" s="1315"/>
      <c r="W109" s="1315"/>
      <c r="X109" s="1315"/>
      <c r="Y109" s="1471">
        <f t="shared" ref="Y109:Y124" si="10">ROUND(Q109*$Q$49,2)</f>
        <v>12178.9</v>
      </c>
      <c r="Z109" s="1472"/>
      <c r="AA109" s="1472"/>
      <c r="AB109" s="1472"/>
      <c r="AC109" s="1472"/>
      <c r="AD109" s="1472"/>
      <c r="AE109" s="1472"/>
      <c r="AF109" s="1473"/>
      <c r="AL109" s="767"/>
    </row>
    <row r="110" spans="1:38" ht="30" customHeight="1" x14ac:dyDescent="0.3">
      <c r="A110" s="1467" t="s">
        <v>6206</v>
      </c>
      <c r="B110" s="993"/>
      <c r="C110" s="993"/>
      <c r="D110" s="993"/>
      <c r="E110" s="993"/>
      <c r="F110" s="993"/>
      <c r="G110" s="993"/>
      <c r="H110" s="993"/>
      <c r="I110" s="1468">
        <f t="shared" si="8"/>
        <v>0.29699999999999999</v>
      </c>
      <c r="J110" s="1469"/>
      <c r="K110" s="1469"/>
      <c r="L110" s="1469"/>
      <c r="M110" s="1469"/>
      <c r="N110" s="1469"/>
      <c r="O110" s="1469"/>
      <c r="P110" s="1470"/>
      <c r="Q110" s="1315">
        <f t="shared" si="9"/>
        <v>2165.91</v>
      </c>
      <c r="R110" s="1315"/>
      <c r="S110" s="1315"/>
      <c r="T110" s="1315"/>
      <c r="U110" s="1315"/>
      <c r="V110" s="1315"/>
      <c r="W110" s="1315"/>
      <c r="X110" s="1315"/>
      <c r="Y110" s="1471">
        <f t="shared" si="10"/>
        <v>21659.1</v>
      </c>
      <c r="Z110" s="1472"/>
      <c r="AA110" s="1472"/>
      <c r="AB110" s="1472"/>
      <c r="AC110" s="1472"/>
      <c r="AD110" s="1472"/>
      <c r="AE110" s="1472"/>
      <c r="AF110" s="1473"/>
      <c r="AL110" s="767"/>
    </row>
    <row r="111" spans="1:38" ht="30" customHeight="1" x14ac:dyDescent="0.3">
      <c r="A111" s="1467" t="s">
        <v>6218</v>
      </c>
      <c r="B111" s="993"/>
      <c r="C111" s="993"/>
      <c r="D111" s="993"/>
      <c r="E111" s="993"/>
      <c r="F111" s="993"/>
      <c r="G111" s="993"/>
      <c r="H111" s="993"/>
      <c r="I111" s="1468">
        <f t="shared" si="8"/>
        <v>0.67800000000000005</v>
      </c>
      <c r="J111" s="1469"/>
      <c r="K111" s="1469"/>
      <c r="L111" s="1469"/>
      <c r="M111" s="1469"/>
      <c r="N111" s="1469"/>
      <c r="O111" s="1469"/>
      <c r="P111" s="1470"/>
      <c r="Q111" s="1315">
        <f t="shared" si="9"/>
        <v>4951.84</v>
      </c>
      <c r="R111" s="1315"/>
      <c r="S111" s="1315"/>
      <c r="T111" s="1315"/>
      <c r="U111" s="1315"/>
      <c r="V111" s="1315"/>
      <c r="W111" s="1315"/>
      <c r="X111" s="1315"/>
      <c r="Y111" s="1471">
        <f t="shared" si="10"/>
        <v>49518.400000000001</v>
      </c>
      <c r="Z111" s="1472"/>
      <c r="AA111" s="1472"/>
      <c r="AB111" s="1472"/>
      <c r="AC111" s="1472"/>
      <c r="AD111" s="1472"/>
      <c r="AE111" s="1472"/>
      <c r="AF111" s="1473"/>
    </row>
    <row r="112" spans="1:38" ht="30" customHeight="1" x14ac:dyDescent="0.3">
      <c r="A112" s="1467" t="s">
        <v>6219</v>
      </c>
      <c r="B112" s="993"/>
      <c r="C112" s="993"/>
      <c r="D112" s="993"/>
      <c r="E112" s="993"/>
      <c r="F112" s="993"/>
      <c r="G112" s="993"/>
      <c r="H112" s="993"/>
      <c r="I112" s="1468">
        <f t="shared" si="8"/>
        <v>0.20799999999999999</v>
      </c>
      <c r="J112" s="1469"/>
      <c r="K112" s="1469"/>
      <c r="L112" s="1469"/>
      <c r="M112" s="1469"/>
      <c r="N112" s="1469"/>
      <c r="O112" s="1469"/>
      <c r="P112" s="1470"/>
      <c r="Q112" s="1315">
        <f t="shared" si="9"/>
        <v>1518.26</v>
      </c>
      <c r="R112" s="1315"/>
      <c r="S112" s="1315"/>
      <c r="T112" s="1315"/>
      <c r="U112" s="1315"/>
      <c r="V112" s="1315"/>
      <c r="W112" s="1315"/>
      <c r="X112" s="1315"/>
      <c r="Y112" s="1471">
        <f t="shared" si="10"/>
        <v>15182.6</v>
      </c>
      <c r="Z112" s="1472"/>
      <c r="AA112" s="1472"/>
      <c r="AB112" s="1472"/>
      <c r="AC112" s="1472"/>
      <c r="AD112" s="1472"/>
      <c r="AE112" s="1472"/>
      <c r="AF112" s="1473"/>
    </row>
    <row r="113" spans="1:32" ht="30" customHeight="1" x14ac:dyDescent="0.3">
      <c r="A113" s="1467" t="s">
        <v>6209</v>
      </c>
      <c r="B113" s="993"/>
      <c r="C113" s="993"/>
      <c r="D113" s="993"/>
      <c r="E113" s="993"/>
      <c r="F113" s="993"/>
      <c r="G113" s="993"/>
      <c r="H113" s="993"/>
      <c r="I113" s="1468">
        <f t="shared" si="8"/>
        <v>0.76500000000000001</v>
      </c>
      <c r="J113" s="1469"/>
      <c r="K113" s="1469"/>
      <c r="L113" s="1469"/>
      <c r="M113" s="1469"/>
      <c r="N113" s="1469"/>
      <c r="O113" s="1469"/>
      <c r="P113" s="1470"/>
      <c r="Q113" s="1315">
        <f t="shared" si="9"/>
        <v>5583.23</v>
      </c>
      <c r="R113" s="1315"/>
      <c r="S113" s="1315"/>
      <c r="T113" s="1315"/>
      <c r="U113" s="1315"/>
      <c r="V113" s="1315"/>
      <c r="W113" s="1315"/>
      <c r="X113" s="1315"/>
      <c r="Y113" s="1471">
        <f t="shared" si="10"/>
        <v>55832.3</v>
      </c>
      <c r="Z113" s="1472"/>
      <c r="AA113" s="1472"/>
      <c r="AB113" s="1472"/>
      <c r="AC113" s="1472"/>
      <c r="AD113" s="1472"/>
      <c r="AE113" s="1472"/>
      <c r="AF113" s="1473"/>
    </row>
    <row r="114" spans="1:32" ht="30" customHeight="1" x14ac:dyDescent="0.3">
      <c r="A114" s="1467" t="s">
        <v>6182</v>
      </c>
      <c r="B114" s="993"/>
      <c r="C114" s="993"/>
      <c r="D114" s="993"/>
      <c r="E114" s="993"/>
      <c r="F114" s="993"/>
      <c r="G114" s="993"/>
      <c r="H114" s="993"/>
      <c r="I114" s="1468">
        <f t="shared" si="8"/>
        <v>6.7000000000000004E-2</v>
      </c>
      <c r="J114" s="1469"/>
      <c r="K114" s="1469"/>
      <c r="L114" s="1469"/>
      <c r="M114" s="1469"/>
      <c r="N114" s="1469"/>
      <c r="O114" s="1469"/>
      <c r="P114" s="1470"/>
      <c r="Q114" s="1315">
        <f t="shared" si="9"/>
        <v>491.03</v>
      </c>
      <c r="R114" s="1315"/>
      <c r="S114" s="1315"/>
      <c r="T114" s="1315"/>
      <c r="U114" s="1315"/>
      <c r="V114" s="1315"/>
      <c r="W114" s="1315"/>
      <c r="X114" s="1315"/>
      <c r="Y114" s="1471">
        <f t="shared" si="10"/>
        <v>4910.3</v>
      </c>
      <c r="Z114" s="1472"/>
      <c r="AA114" s="1472"/>
      <c r="AB114" s="1472"/>
      <c r="AC114" s="1472"/>
      <c r="AD114" s="1472"/>
      <c r="AE114" s="1472"/>
      <c r="AF114" s="1473"/>
    </row>
    <row r="115" spans="1:32" ht="30" customHeight="1" x14ac:dyDescent="0.3">
      <c r="A115" s="1467" t="s">
        <v>6210</v>
      </c>
      <c r="B115" s="993"/>
      <c r="C115" s="993"/>
      <c r="D115" s="993"/>
      <c r="E115" s="993"/>
      <c r="F115" s="993"/>
      <c r="G115" s="993"/>
      <c r="H115" s="993"/>
      <c r="I115" s="1468">
        <f t="shared" si="8"/>
        <v>0.13</v>
      </c>
      <c r="J115" s="1469"/>
      <c r="K115" s="1469"/>
      <c r="L115" s="1469"/>
      <c r="M115" s="1469"/>
      <c r="N115" s="1469"/>
      <c r="O115" s="1469"/>
      <c r="P115" s="1470"/>
      <c r="Q115" s="1315">
        <f t="shared" si="9"/>
        <v>952.35</v>
      </c>
      <c r="R115" s="1315"/>
      <c r="S115" s="1315"/>
      <c r="T115" s="1315"/>
      <c r="U115" s="1315"/>
      <c r="V115" s="1315"/>
      <c r="W115" s="1315"/>
      <c r="X115" s="1315"/>
      <c r="Y115" s="1471">
        <f t="shared" si="10"/>
        <v>9523.5</v>
      </c>
      <c r="Z115" s="1472"/>
      <c r="AA115" s="1472"/>
      <c r="AB115" s="1472"/>
      <c r="AC115" s="1472"/>
      <c r="AD115" s="1472"/>
      <c r="AE115" s="1472"/>
      <c r="AF115" s="1473"/>
    </row>
    <row r="116" spans="1:32" ht="30" customHeight="1" x14ac:dyDescent="0.3">
      <c r="A116" s="1467" t="s">
        <v>6211</v>
      </c>
      <c r="B116" s="993"/>
      <c r="C116" s="993"/>
      <c r="D116" s="993"/>
      <c r="E116" s="993"/>
      <c r="F116" s="993"/>
      <c r="G116" s="993"/>
      <c r="H116" s="993"/>
      <c r="I116" s="1468">
        <f t="shared" si="8"/>
        <v>1.54</v>
      </c>
      <c r="J116" s="1469"/>
      <c r="K116" s="1469"/>
      <c r="L116" s="1469"/>
      <c r="M116" s="1469"/>
      <c r="N116" s="1469"/>
      <c r="O116" s="1469"/>
      <c r="P116" s="1470"/>
      <c r="Q116" s="1315">
        <f t="shared" si="9"/>
        <v>11242</v>
      </c>
      <c r="R116" s="1315"/>
      <c r="S116" s="1315"/>
      <c r="T116" s="1315"/>
      <c r="U116" s="1315"/>
      <c r="V116" s="1315"/>
      <c r="W116" s="1315"/>
      <c r="X116" s="1315"/>
      <c r="Y116" s="1471">
        <f t="shared" si="10"/>
        <v>112420</v>
      </c>
      <c r="Z116" s="1472"/>
      <c r="AA116" s="1472"/>
      <c r="AB116" s="1472"/>
      <c r="AC116" s="1472"/>
      <c r="AD116" s="1472"/>
      <c r="AE116" s="1472"/>
      <c r="AF116" s="1473"/>
    </row>
    <row r="117" spans="1:32" ht="30" customHeight="1" x14ac:dyDescent="0.3">
      <c r="A117" s="1467" t="s">
        <v>6186</v>
      </c>
      <c r="B117" s="993"/>
      <c r="C117" s="993"/>
      <c r="D117" s="993"/>
      <c r="E117" s="993"/>
      <c r="F117" s="993"/>
      <c r="G117" s="993"/>
      <c r="H117" s="993"/>
      <c r="I117" s="1468">
        <f t="shared" si="8"/>
        <v>0.12</v>
      </c>
      <c r="J117" s="1469"/>
      <c r="K117" s="1469"/>
      <c r="L117" s="1469"/>
      <c r="M117" s="1469"/>
      <c r="N117" s="1469"/>
      <c r="O117" s="1469"/>
      <c r="P117" s="1470"/>
      <c r="Q117" s="1294">
        <f>ROUND(Y97-AC97,2)</f>
        <v>875.03</v>
      </c>
      <c r="R117" s="1295"/>
      <c r="S117" s="1295"/>
      <c r="T117" s="1295"/>
      <c r="U117" s="1295"/>
      <c r="V117" s="1295"/>
      <c r="W117" s="1295"/>
      <c r="X117" s="1296"/>
      <c r="Y117" s="1471">
        <f t="shared" si="10"/>
        <v>8750.2999999999993</v>
      </c>
      <c r="Z117" s="1472"/>
      <c r="AA117" s="1472"/>
      <c r="AB117" s="1472"/>
      <c r="AC117" s="1472"/>
      <c r="AD117" s="1472"/>
      <c r="AE117" s="1472"/>
      <c r="AF117" s="1473"/>
    </row>
    <row r="118" spans="1:32" ht="30" customHeight="1" x14ac:dyDescent="0.3">
      <c r="A118" s="1467" t="s">
        <v>6220</v>
      </c>
      <c r="B118" s="993"/>
      <c r="C118" s="993"/>
      <c r="D118" s="993"/>
      <c r="E118" s="993"/>
      <c r="F118" s="993"/>
      <c r="G118" s="993"/>
      <c r="H118" s="993"/>
      <c r="I118" s="1468">
        <f t="shared" si="8"/>
        <v>0.33500000000000002</v>
      </c>
      <c r="J118" s="1469"/>
      <c r="K118" s="1469"/>
      <c r="L118" s="1469"/>
      <c r="M118" s="1469"/>
      <c r="N118" s="1469"/>
      <c r="O118" s="1469"/>
      <c r="P118" s="1470"/>
      <c r="Q118" s="1294">
        <f t="shared" ref="Q118:Q123" si="11">ROUND(Y98-AC98,2)</f>
        <v>2447.1999999999998</v>
      </c>
      <c r="R118" s="1295"/>
      <c r="S118" s="1295"/>
      <c r="T118" s="1295"/>
      <c r="U118" s="1295"/>
      <c r="V118" s="1295"/>
      <c r="W118" s="1295"/>
      <c r="X118" s="1296"/>
      <c r="Y118" s="1471">
        <f t="shared" si="10"/>
        <v>24472</v>
      </c>
      <c r="Z118" s="1472"/>
      <c r="AA118" s="1472"/>
      <c r="AB118" s="1472"/>
      <c r="AC118" s="1472"/>
      <c r="AD118" s="1472"/>
      <c r="AE118" s="1472"/>
      <c r="AF118" s="1473"/>
    </row>
    <row r="119" spans="1:32" ht="30" customHeight="1" x14ac:dyDescent="0.3">
      <c r="A119" s="1467" t="s">
        <v>6221</v>
      </c>
      <c r="B119" s="993"/>
      <c r="C119" s="993"/>
      <c r="D119" s="993"/>
      <c r="E119" s="993"/>
      <c r="F119" s="993"/>
      <c r="G119" s="993"/>
      <c r="H119" s="993"/>
      <c r="I119" s="1468">
        <f t="shared" si="8"/>
        <v>1.2689999999999999</v>
      </c>
      <c r="J119" s="1469"/>
      <c r="K119" s="1469"/>
      <c r="L119" s="1469"/>
      <c r="M119" s="1469"/>
      <c r="N119" s="1469"/>
      <c r="O119" s="1469"/>
      <c r="P119" s="1470"/>
      <c r="Q119" s="1294">
        <f t="shared" si="11"/>
        <v>9265.65</v>
      </c>
      <c r="R119" s="1295"/>
      <c r="S119" s="1295"/>
      <c r="T119" s="1295"/>
      <c r="U119" s="1295"/>
      <c r="V119" s="1295"/>
      <c r="W119" s="1295"/>
      <c r="X119" s="1296"/>
      <c r="Y119" s="1471">
        <f t="shared" si="10"/>
        <v>92656.5</v>
      </c>
      <c r="Z119" s="1472"/>
      <c r="AA119" s="1472"/>
      <c r="AB119" s="1472"/>
      <c r="AC119" s="1472"/>
      <c r="AD119" s="1472"/>
      <c r="AE119" s="1472"/>
      <c r="AF119" s="1473"/>
    </row>
    <row r="120" spans="1:32" ht="30" customHeight="1" x14ac:dyDescent="0.3">
      <c r="A120" s="1467" t="s">
        <v>6222</v>
      </c>
      <c r="B120" s="993"/>
      <c r="C120" s="993"/>
      <c r="D120" s="993"/>
      <c r="E120" s="993"/>
      <c r="F120" s="993"/>
      <c r="G120" s="993"/>
      <c r="H120" s="993"/>
      <c r="I120" s="1468">
        <f t="shared" si="8"/>
        <v>0.39500000000000002</v>
      </c>
      <c r="J120" s="1469"/>
      <c r="K120" s="1469"/>
      <c r="L120" s="1469"/>
      <c r="M120" s="1469"/>
      <c r="N120" s="1469"/>
      <c r="O120" s="1469"/>
      <c r="P120" s="1470"/>
      <c r="Q120" s="1294">
        <f t="shared" si="11"/>
        <v>2881.07</v>
      </c>
      <c r="R120" s="1295"/>
      <c r="S120" s="1295"/>
      <c r="T120" s="1295"/>
      <c r="U120" s="1295"/>
      <c r="V120" s="1295"/>
      <c r="W120" s="1295"/>
      <c r="X120" s="1296"/>
      <c r="Y120" s="1471">
        <f t="shared" si="10"/>
        <v>28810.7</v>
      </c>
      <c r="Z120" s="1472"/>
      <c r="AA120" s="1472"/>
      <c r="AB120" s="1472"/>
      <c r="AC120" s="1472"/>
      <c r="AD120" s="1472"/>
      <c r="AE120" s="1472"/>
      <c r="AF120" s="1473"/>
    </row>
    <row r="121" spans="1:32" ht="30" customHeight="1" x14ac:dyDescent="0.3">
      <c r="A121" s="1467" t="s">
        <v>6223</v>
      </c>
      <c r="B121" s="993"/>
      <c r="C121" s="993"/>
      <c r="D121" s="993"/>
      <c r="E121" s="993"/>
      <c r="F121" s="993"/>
      <c r="G121" s="993"/>
      <c r="H121" s="993"/>
      <c r="I121" s="1468">
        <f t="shared" si="8"/>
        <v>1.6160000000000001</v>
      </c>
      <c r="J121" s="1469"/>
      <c r="K121" s="1469"/>
      <c r="L121" s="1469"/>
      <c r="M121" s="1469"/>
      <c r="N121" s="1469"/>
      <c r="O121" s="1469"/>
      <c r="P121" s="1470"/>
      <c r="Q121" s="1294">
        <f t="shared" si="11"/>
        <v>11796.8</v>
      </c>
      <c r="R121" s="1295"/>
      <c r="S121" s="1295"/>
      <c r="T121" s="1295"/>
      <c r="U121" s="1295"/>
      <c r="V121" s="1295"/>
      <c r="W121" s="1295"/>
      <c r="X121" s="1296"/>
      <c r="Y121" s="1471">
        <f t="shared" si="10"/>
        <v>117968</v>
      </c>
      <c r="Z121" s="1472"/>
      <c r="AA121" s="1472"/>
      <c r="AB121" s="1472"/>
      <c r="AC121" s="1472"/>
      <c r="AD121" s="1472"/>
      <c r="AE121" s="1472"/>
      <c r="AF121" s="1473"/>
    </row>
    <row r="122" spans="1:32" ht="30" customHeight="1" x14ac:dyDescent="0.3">
      <c r="A122" s="1467" t="s">
        <v>6187</v>
      </c>
      <c r="B122" s="993"/>
      <c r="C122" s="993"/>
      <c r="D122" s="993"/>
      <c r="E122" s="993"/>
      <c r="F122" s="993"/>
      <c r="G122" s="993"/>
      <c r="H122" s="993"/>
      <c r="I122" s="1468">
        <f t="shared" si="8"/>
        <v>9.7000000000000003E-2</v>
      </c>
      <c r="J122" s="1469"/>
      <c r="K122" s="1469"/>
      <c r="L122" s="1469"/>
      <c r="M122" s="1469"/>
      <c r="N122" s="1469"/>
      <c r="O122" s="1469"/>
      <c r="P122" s="1470"/>
      <c r="Q122" s="1294">
        <f t="shared" si="11"/>
        <v>710.53</v>
      </c>
      <c r="R122" s="1295"/>
      <c r="S122" s="1295"/>
      <c r="T122" s="1295"/>
      <c r="U122" s="1295"/>
      <c r="V122" s="1295"/>
      <c r="W122" s="1295"/>
      <c r="X122" s="1296"/>
      <c r="Y122" s="1471">
        <f t="shared" si="10"/>
        <v>7105.3</v>
      </c>
      <c r="Z122" s="1472"/>
      <c r="AA122" s="1472"/>
      <c r="AB122" s="1472"/>
      <c r="AC122" s="1472"/>
      <c r="AD122" s="1472"/>
      <c r="AE122" s="1472"/>
      <c r="AF122" s="1473"/>
    </row>
    <row r="123" spans="1:32" ht="30" customHeight="1" x14ac:dyDescent="0.3">
      <c r="A123" s="1467" t="s">
        <v>6224</v>
      </c>
      <c r="B123" s="993"/>
      <c r="C123" s="993"/>
      <c r="D123" s="993"/>
      <c r="E123" s="993"/>
      <c r="F123" s="993"/>
      <c r="G123" s="993"/>
      <c r="H123" s="993"/>
      <c r="I123" s="1468">
        <f t="shared" si="8"/>
        <v>0.25800000000000001</v>
      </c>
      <c r="J123" s="1469"/>
      <c r="K123" s="1469"/>
      <c r="L123" s="1469"/>
      <c r="M123" s="1469"/>
      <c r="N123" s="1469"/>
      <c r="O123" s="1469"/>
      <c r="P123" s="1470"/>
      <c r="Q123" s="1294">
        <f t="shared" si="11"/>
        <v>1883.4</v>
      </c>
      <c r="R123" s="1295"/>
      <c r="S123" s="1295"/>
      <c r="T123" s="1295"/>
      <c r="U123" s="1295"/>
      <c r="V123" s="1295"/>
      <c r="W123" s="1295"/>
      <c r="X123" s="1296"/>
      <c r="Y123" s="1471">
        <f t="shared" si="10"/>
        <v>18834</v>
      </c>
      <c r="Z123" s="1472"/>
      <c r="AA123" s="1472"/>
      <c r="AB123" s="1472"/>
      <c r="AC123" s="1472"/>
      <c r="AD123" s="1472"/>
      <c r="AE123" s="1472"/>
      <c r="AF123" s="1473"/>
    </row>
    <row r="124" spans="1:32" ht="30" customHeight="1" thickBot="1" x14ac:dyDescent="0.35">
      <c r="A124" s="1474" t="s">
        <v>6225</v>
      </c>
      <c r="B124" s="1475"/>
      <c r="C124" s="1475"/>
      <c r="D124" s="1475"/>
      <c r="E124" s="1475"/>
      <c r="F124" s="1475"/>
      <c r="G124" s="1475"/>
      <c r="H124" s="1475"/>
      <c r="I124" s="1476">
        <f t="shared" si="8"/>
        <v>1.034</v>
      </c>
      <c r="J124" s="1477"/>
      <c r="K124" s="1477"/>
      <c r="L124" s="1477"/>
      <c r="M124" s="1477"/>
      <c r="N124" s="1477"/>
      <c r="O124" s="1477"/>
      <c r="P124" s="1478"/>
      <c r="Q124" s="1304">
        <f>ROUND(Y104-AC104,2)</f>
        <v>7548.2</v>
      </c>
      <c r="R124" s="1305"/>
      <c r="S124" s="1305"/>
      <c r="T124" s="1305"/>
      <c r="U124" s="1305"/>
      <c r="V124" s="1305"/>
      <c r="W124" s="1305"/>
      <c r="X124" s="1306"/>
      <c r="Y124" s="1479">
        <f t="shared" si="10"/>
        <v>75482</v>
      </c>
      <c r="Z124" s="1480"/>
      <c r="AA124" s="1480"/>
      <c r="AB124" s="1480"/>
      <c r="AC124" s="1480"/>
      <c r="AD124" s="1480"/>
      <c r="AE124" s="1480"/>
      <c r="AF124" s="1481"/>
    </row>
    <row r="125" spans="1:32" x14ac:dyDescent="0.3">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row>
    <row r="126" spans="1:32" x14ac:dyDescent="0.3">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row>
    <row r="127" spans="1:32" x14ac:dyDescent="0.3">
      <c r="A127" s="1290" t="s">
        <v>1514</v>
      </c>
      <c r="B127" s="1290"/>
      <c r="C127" s="1290"/>
      <c r="D127" s="1290"/>
      <c r="E127" s="1290"/>
      <c r="F127" s="1290"/>
      <c r="G127" s="1290"/>
      <c r="H127" s="1290"/>
      <c r="I127" s="1290"/>
      <c r="J127" s="1290"/>
      <c r="K127" s="1290"/>
      <c r="L127" s="1290"/>
      <c r="M127" s="1290"/>
      <c r="N127" s="1290"/>
      <c r="O127" s="1290"/>
      <c r="P127" s="1290"/>
      <c r="Q127" s="1290"/>
      <c r="R127" s="1290"/>
      <c r="S127" s="1290"/>
      <c r="T127" s="1290"/>
      <c r="U127" s="1290"/>
      <c r="V127" s="1290"/>
      <c r="W127" s="1290"/>
      <c r="X127" s="1290"/>
      <c r="Y127" s="1290"/>
      <c r="Z127" s="1290"/>
      <c r="AA127" s="1290"/>
      <c r="AB127" s="1290"/>
      <c r="AC127" s="1290"/>
      <c r="AD127" s="1290"/>
      <c r="AE127" s="1290"/>
      <c r="AF127" s="1290"/>
    </row>
    <row r="128" spans="1:32" ht="15" customHeight="1" x14ac:dyDescent="0.3">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row>
    <row r="129" spans="1:32" ht="15" customHeight="1" x14ac:dyDescent="0.3">
      <c r="A129" s="370" t="s">
        <v>803</v>
      </c>
      <c r="B129" s="889" t="s">
        <v>6188</v>
      </c>
      <c r="C129" s="889"/>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row>
    <row r="130" spans="1:32" ht="33" customHeight="1" x14ac:dyDescent="0.3">
      <c r="A130" s="370" t="s">
        <v>803</v>
      </c>
      <c r="B130" s="889" t="s">
        <v>6189</v>
      </c>
      <c r="C130" s="889"/>
      <c r="D130" s="889"/>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row>
    <row r="131" spans="1:32" ht="64.5" customHeight="1" x14ac:dyDescent="0.3">
      <c r="A131" s="370" t="s">
        <v>803</v>
      </c>
      <c r="B131" s="889" t="s">
        <v>6190</v>
      </c>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row>
    <row r="132" spans="1:32" ht="60" customHeight="1" x14ac:dyDescent="0.3">
      <c r="A132" s="370" t="s">
        <v>803</v>
      </c>
      <c r="B132" s="889" t="s">
        <v>6021</v>
      </c>
      <c r="C132" s="889"/>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row>
    <row r="133" spans="1:32" ht="30.75" customHeight="1" x14ac:dyDescent="0.3">
      <c r="A133" s="370" t="s">
        <v>803</v>
      </c>
      <c r="B133" s="889" t="s">
        <v>6191</v>
      </c>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row>
    <row r="134" spans="1:32" ht="31.5" customHeight="1" x14ac:dyDescent="0.3">
      <c r="A134" s="370" t="s">
        <v>803</v>
      </c>
      <c r="B134" s="889" t="s">
        <v>6023</v>
      </c>
      <c r="C134" s="889"/>
      <c r="D134" s="889"/>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c r="AE134" s="889"/>
      <c r="AF134" s="889"/>
    </row>
    <row r="135" spans="1:32" ht="33" customHeight="1" x14ac:dyDescent="0.3">
      <c r="A135" s="370" t="s">
        <v>803</v>
      </c>
      <c r="B135" s="889" t="s">
        <v>6024</v>
      </c>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row>
    <row r="136" spans="1:32" ht="34.5" customHeight="1" x14ac:dyDescent="0.3">
      <c r="A136" s="370" t="s">
        <v>803</v>
      </c>
      <c r="B136" s="889" t="s">
        <v>6025</v>
      </c>
      <c r="C136" s="889"/>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row>
    <row r="137" spans="1:32" ht="31.5" customHeight="1" x14ac:dyDescent="0.3">
      <c r="A137" s="370" t="s">
        <v>803</v>
      </c>
      <c r="B137" s="889" t="s">
        <v>6026</v>
      </c>
      <c r="C137" s="889"/>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row>
    <row r="138" spans="1:32" ht="31.5" customHeight="1" x14ac:dyDescent="0.3">
      <c r="A138" s="370" t="s">
        <v>803</v>
      </c>
      <c r="B138" s="889" t="s">
        <v>6192</v>
      </c>
      <c r="C138" s="889"/>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row>
    <row r="139" spans="1:32" ht="33.75" customHeight="1" x14ac:dyDescent="0.3">
      <c r="A139" s="370" t="s">
        <v>803</v>
      </c>
      <c r="B139" s="889" t="s">
        <v>5214</v>
      </c>
      <c r="C139" s="889"/>
      <c r="D139" s="889"/>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c r="AE139" s="889"/>
      <c r="AF139" s="889"/>
    </row>
    <row r="140" spans="1:32" ht="33" customHeight="1" x14ac:dyDescent="0.3">
      <c r="A140" s="370" t="s">
        <v>803</v>
      </c>
      <c r="B140" s="889" t="s">
        <v>6027</v>
      </c>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row>
  </sheetData>
  <sheetProtection algorithmName="SHA-512" hashValue="b/CbkTLHsE8oWaTAfBWqigVcdN3RCvHNNaIKftKeUV9eDplDa//bcIZpKOKy3kUFGsTOvDg3FydGvkWgmrhLGw==" saltValue="O7h8K1KSXcMbslaeJEvnLA==" spinCount="100000" sheet="1" objects="1" scenarios="1"/>
  <mergeCells count="383">
    <mergeCell ref="A40:AF40"/>
    <mergeCell ref="A41:D41"/>
    <mergeCell ref="E41:P41"/>
    <mergeCell ref="Q41:S41"/>
    <mergeCell ref="T41:V41"/>
    <mergeCell ref="W41:AF41"/>
    <mergeCell ref="A25:AF25"/>
    <mergeCell ref="A1:AF1"/>
    <mergeCell ref="A7:AF7"/>
    <mergeCell ref="B9:I9"/>
    <mergeCell ref="B19:AF19"/>
    <mergeCell ref="B22:AF22"/>
    <mergeCell ref="B10:AF10"/>
    <mergeCell ref="B12:I12"/>
    <mergeCell ref="B13:AF13"/>
    <mergeCell ref="B15:I15"/>
    <mergeCell ref="B16:AF16"/>
    <mergeCell ref="B18:I18"/>
    <mergeCell ref="A43:D43"/>
    <mergeCell ref="E43:P43"/>
    <mergeCell ref="A42:D42"/>
    <mergeCell ref="E42:P42"/>
    <mergeCell ref="Q42:S42"/>
    <mergeCell ref="T42:V42"/>
    <mergeCell ref="W42:AF42"/>
    <mergeCell ref="Q43:S43"/>
    <mergeCell ref="T43:V43"/>
    <mergeCell ref="W43:AF43"/>
    <mergeCell ref="A44:D44"/>
    <mergeCell ref="E44:P44"/>
    <mergeCell ref="A45:D45"/>
    <mergeCell ref="E45:P45"/>
    <mergeCell ref="Q44:S44"/>
    <mergeCell ref="T44:V44"/>
    <mergeCell ref="W44:AF44"/>
    <mergeCell ref="Q45:S45"/>
    <mergeCell ref="T45:V45"/>
    <mergeCell ref="W45:AF45"/>
    <mergeCell ref="A46:D46"/>
    <mergeCell ref="E46:P46"/>
    <mergeCell ref="A47:D47"/>
    <mergeCell ref="E47:P47"/>
    <mergeCell ref="Q46:S46"/>
    <mergeCell ref="T46:V46"/>
    <mergeCell ref="W46:AF46"/>
    <mergeCell ref="Q47:S47"/>
    <mergeCell ref="T47:V47"/>
    <mergeCell ref="W47:AF47"/>
    <mergeCell ref="A60:H61"/>
    <mergeCell ref="I60:M60"/>
    <mergeCell ref="N60:S60"/>
    <mergeCell ref="T60:X61"/>
    <mergeCell ref="Y60:AF60"/>
    <mergeCell ref="I61:M61"/>
    <mergeCell ref="N61:S61"/>
    <mergeCell ref="Y61:AF61"/>
    <mergeCell ref="A48:D48"/>
    <mergeCell ref="E48:P48"/>
    <mergeCell ref="A49:D49"/>
    <mergeCell ref="E49:P49"/>
    <mergeCell ref="Q48:S48"/>
    <mergeCell ref="T48:V48"/>
    <mergeCell ref="W48:AF48"/>
    <mergeCell ref="Q49:S49"/>
    <mergeCell ref="T49:V49"/>
    <mergeCell ref="W49:AF49"/>
    <mergeCell ref="A51:AF51"/>
    <mergeCell ref="A54:AF54"/>
    <mergeCell ref="A55:H55"/>
    <mergeCell ref="I55:M55"/>
    <mergeCell ref="N55:S55"/>
    <mergeCell ref="T55:X55"/>
    <mergeCell ref="A74:H76"/>
    <mergeCell ref="I74:M74"/>
    <mergeCell ref="A67:AF67"/>
    <mergeCell ref="A68:H68"/>
    <mergeCell ref="I68:M68"/>
    <mergeCell ref="N68:S68"/>
    <mergeCell ref="T68:X68"/>
    <mergeCell ref="Y68:AF68"/>
    <mergeCell ref="A62:H64"/>
    <mergeCell ref="I62:M62"/>
    <mergeCell ref="N62:S62"/>
    <mergeCell ref="T62:X64"/>
    <mergeCell ref="Y62:AF62"/>
    <mergeCell ref="I63:M63"/>
    <mergeCell ref="N63:S63"/>
    <mergeCell ref="Y63:AF63"/>
    <mergeCell ref="I64:M64"/>
    <mergeCell ref="N64:S64"/>
    <mergeCell ref="Y64:AF64"/>
    <mergeCell ref="Y69:AF69"/>
    <mergeCell ref="I70:M70"/>
    <mergeCell ref="N70:S70"/>
    <mergeCell ref="Y70:AF70"/>
    <mergeCell ref="I71:M71"/>
    <mergeCell ref="Y55:AF55"/>
    <mergeCell ref="A56:H59"/>
    <mergeCell ref="I56:M56"/>
    <mergeCell ref="N56:S56"/>
    <mergeCell ref="T56:X59"/>
    <mergeCell ref="Y56:AF56"/>
    <mergeCell ref="I57:M57"/>
    <mergeCell ref="N57:S57"/>
    <mergeCell ref="Y57:AF57"/>
    <mergeCell ref="I58:M58"/>
    <mergeCell ref="N58:S58"/>
    <mergeCell ref="Y58:AF58"/>
    <mergeCell ref="I59:M59"/>
    <mergeCell ref="N59:S59"/>
    <mergeCell ref="Y59:AF59"/>
    <mergeCell ref="N71:S71"/>
    <mergeCell ref="Y71:AF71"/>
    <mergeCell ref="A72:H73"/>
    <mergeCell ref="I72:M72"/>
    <mergeCell ref="N72:S72"/>
    <mergeCell ref="T72:X73"/>
    <mergeCell ref="Y72:AF72"/>
    <mergeCell ref="I73:M73"/>
    <mergeCell ref="N73:S73"/>
    <mergeCell ref="Y73:AF73"/>
    <mergeCell ref="A69:H71"/>
    <mergeCell ref="I69:M69"/>
    <mergeCell ref="N69:S69"/>
    <mergeCell ref="T69:X71"/>
    <mergeCell ref="N74:S74"/>
    <mergeCell ref="T74:X76"/>
    <mergeCell ref="Y74:AF74"/>
    <mergeCell ref="I75:M75"/>
    <mergeCell ref="N75:S75"/>
    <mergeCell ref="Y75:AF75"/>
    <mergeCell ref="I76:M76"/>
    <mergeCell ref="N76:S76"/>
    <mergeCell ref="Y76:AF76"/>
    <mergeCell ref="A79:AF79"/>
    <mergeCell ref="A81:AF81"/>
    <mergeCell ref="A82:AF82"/>
    <mergeCell ref="A83:F84"/>
    <mergeCell ref="G83:H84"/>
    <mergeCell ref="I83:P83"/>
    <mergeCell ref="Q83:X83"/>
    <mergeCell ref="Y83:AF83"/>
    <mergeCell ref="I84:L84"/>
    <mergeCell ref="M84:P84"/>
    <mergeCell ref="Q84:T84"/>
    <mergeCell ref="U84:X84"/>
    <mergeCell ref="Y84:AB84"/>
    <mergeCell ref="AC84:AF84"/>
    <mergeCell ref="A85:F85"/>
    <mergeCell ref="G85:H85"/>
    <mergeCell ref="I85:L85"/>
    <mergeCell ref="M85:P85"/>
    <mergeCell ref="Q85:T85"/>
    <mergeCell ref="U85:X85"/>
    <mergeCell ref="Y85:AB85"/>
    <mergeCell ref="AC85:AF85"/>
    <mergeCell ref="A86:F86"/>
    <mergeCell ref="G86:H86"/>
    <mergeCell ref="I86:L86"/>
    <mergeCell ref="M86:P86"/>
    <mergeCell ref="Q86:T86"/>
    <mergeCell ref="U86:X86"/>
    <mergeCell ref="Y86:AB86"/>
    <mergeCell ref="AC86:AF86"/>
    <mergeCell ref="A87:F87"/>
    <mergeCell ref="G87:H87"/>
    <mergeCell ref="I87:L87"/>
    <mergeCell ref="M87:P87"/>
    <mergeCell ref="Q87:T87"/>
    <mergeCell ref="U87:X87"/>
    <mergeCell ref="Y87:AB87"/>
    <mergeCell ref="AC87:AF87"/>
    <mergeCell ref="A88:F88"/>
    <mergeCell ref="G88:H88"/>
    <mergeCell ref="I88:L88"/>
    <mergeCell ref="M88:P88"/>
    <mergeCell ref="Q88:T88"/>
    <mergeCell ref="U88:X88"/>
    <mergeCell ref="Y88:AB88"/>
    <mergeCell ref="AC88:AF88"/>
    <mergeCell ref="A89:F89"/>
    <mergeCell ref="G89:H89"/>
    <mergeCell ref="I89:L89"/>
    <mergeCell ref="M89:P89"/>
    <mergeCell ref="Q89:T89"/>
    <mergeCell ref="U89:X89"/>
    <mergeCell ref="Y89:AB89"/>
    <mergeCell ref="AC89:AF89"/>
    <mergeCell ref="A90:F90"/>
    <mergeCell ref="G90:H90"/>
    <mergeCell ref="I90:L90"/>
    <mergeCell ref="M90:P90"/>
    <mergeCell ref="Q90:T90"/>
    <mergeCell ref="U90:X90"/>
    <mergeCell ref="Y90:AB90"/>
    <mergeCell ref="AC90:AF90"/>
    <mergeCell ref="A91:F91"/>
    <mergeCell ref="G91:H91"/>
    <mergeCell ref="I91:L91"/>
    <mergeCell ref="M91:P91"/>
    <mergeCell ref="Q91:T91"/>
    <mergeCell ref="U91:X91"/>
    <mergeCell ref="Y91:AB91"/>
    <mergeCell ref="AC91:AF91"/>
    <mergeCell ref="A92:F92"/>
    <mergeCell ref="G92:H92"/>
    <mergeCell ref="I92:L92"/>
    <mergeCell ref="M92:P92"/>
    <mergeCell ref="Q92:T92"/>
    <mergeCell ref="U92:X92"/>
    <mergeCell ref="Y92:AB92"/>
    <mergeCell ref="AC92:AF92"/>
    <mergeCell ref="A93:F93"/>
    <mergeCell ref="G93:H93"/>
    <mergeCell ref="I93:L93"/>
    <mergeCell ref="M93:P93"/>
    <mergeCell ref="Q93:T93"/>
    <mergeCell ref="U93:X93"/>
    <mergeCell ref="Y93:AB93"/>
    <mergeCell ref="AC93:AF93"/>
    <mergeCell ref="A94:AF94"/>
    <mergeCell ref="A95:F96"/>
    <mergeCell ref="G95:H96"/>
    <mergeCell ref="I95:P95"/>
    <mergeCell ref="Q95:X95"/>
    <mergeCell ref="Y95:AF95"/>
    <mergeCell ref="I96:L96"/>
    <mergeCell ref="M96:P96"/>
    <mergeCell ref="Q96:T96"/>
    <mergeCell ref="U96:X96"/>
    <mergeCell ref="Y96:AB96"/>
    <mergeCell ref="AC96:AF96"/>
    <mergeCell ref="A97:F97"/>
    <mergeCell ref="G97:H97"/>
    <mergeCell ref="I97:L97"/>
    <mergeCell ref="M97:P97"/>
    <mergeCell ref="Q97:T97"/>
    <mergeCell ref="U97:X97"/>
    <mergeCell ref="Y97:AB97"/>
    <mergeCell ref="AC97:AF97"/>
    <mergeCell ref="A98:F98"/>
    <mergeCell ref="G98:H98"/>
    <mergeCell ref="I98:L98"/>
    <mergeCell ref="M98:P98"/>
    <mergeCell ref="Q98:T98"/>
    <mergeCell ref="U98:X98"/>
    <mergeCell ref="Y98:AB98"/>
    <mergeCell ref="AC98:AF98"/>
    <mergeCell ref="A99:F99"/>
    <mergeCell ref="G99:H99"/>
    <mergeCell ref="I99:L99"/>
    <mergeCell ref="M99:P99"/>
    <mergeCell ref="Q99:T99"/>
    <mergeCell ref="U99:X99"/>
    <mergeCell ref="Y99:AB99"/>
    <mergeCell ref="AC99:AF99"/>
    <mergeCell ref="A100:F100"/>
    <mergeCell ref="G100:H100"/>
    <mergeCell ref="I100:L100"/>
    <mergeCell ref="M100:P100"/>
    <mergeCell ref="Q100:T100"/>
    <mergeCell ref="U100:X100"/>
    <mergeCell ref="Y100:AB100"/>
    <mergeCell ref="AC100:AF100"/>
    <mergeCell ref="A101:F101"/>
    <mergeCell ref="G101:H101"/>
    <mergeCell ref="I101:L101"/>
    <mergeCell ref="M101:P101"/>
    <mergeCell ref="Q101:T101"/>
    <mergeCell ref="U101:X101"/>
    <mergeCell ref="Y101:AB101"/>
    <mergeCell ref="AC101:AF101"/>
    <mergeCell ref="A102:F102"/>
    <mergeCell ref="G102:H102"/>
    <mergeCell ref="I102:L102"/>
    <mergeCell ref="M102:P102"/>
    <mergeCell ref="Q102:T102"/>
    <mergeCell ref="U102:X102"/>
    <mergeCell ref="Y102:AB102"/>
    <mergeCell ref="AC102:AF102"/>
    <mergeCell ref="A103:F103"/>
    <mergeCell ref="G103:H103"/>
    <mergeCell ref="I103:L103"/>
    <mergeCell ref="M103:P103"/>
    <mergeCell ref="Q103:T103"/>
    <mergeCell ref="U103:X103"/>
    <mergeCell ref="Y103:AB103"/>
    <mergeCell ref="AC103:AF103"/>
    <mergeCell ref="A104:F104"/>
    <mergeCell ref="G104:H104"/>
    <mergeCell ref="I104:L104"/>
    <mergeCell ref="M104:P104"/>
    <mergeCell ref="Q104:T104"/>
    <mergeCell ref="U104:X104"/>
    <mergeCell ref="Y104:AB104"/>
    <mergeCell ref="AC104:AF104"/>
    <mergeCell ref="A107:H107"/>
    <mergeCell ref="I107:P107"/>
    <mergeCell ref="Q107:X107"/>
    <mergeCell ref="Y107:AF107"/>
    <mergeCell ref="A108:H108"/>
    <mergeCell ref="I108:P108"/>
    <mergeCell ref="Q108:X108"/>
    <mergeCell ref="Y108:AF108"/>
    <mergeCell ref="A109:H109"/>
    <mergeCell ref="I109:P109"/>
    <mergeCell ref="Q109:X109"/>
    <mergeCell ref="Y109:AF109"/>
    <mergeCell ref="A110:H110"/>
    <mergeCell ref="I110:P110"/>
    <mergeCell ref="Q110:X110"/>
    <mergeCell ref="Y110:AF110"/>
    <mergeCell ref="A111:H111"/>
    <mergeCell ref="I111:P111"/>
    <mergeCell ref="Q111:X111"/>
    <mergeCell ref="Y111:AF111"/>
    <mergeCell ref="A112:H112"/>
    <mergeCell ref="I112:P112"/>
    <mergeCell ref="Q112:X112"/>
    <mergeCell ref="Y112:AF112"/>
    <mergeCell ref="A113:H113"/>
    <mergeCell ref="I113:P113"/>
    <mergeCell ref="Q113:X113"/>
    <mergeCell ref="Y113:AF113"/>
    <mergeCell ref="A114:H114"/>
    <mergeCell ref="I114:P114"/>
    <mergeCell ref="Q114:X114"/>
    <mergeCell ref="Y114:AF114"/>
    <mergeCell ref="A115:H115"/>
    <mergeCell ref="I115:P115"/>
    <mergeCell ref="Q115:X115"/>
    <mergeCell ref="Y115:AF115"/>
    <mergeCell ref="A116:H116"/>
    <mergeCell ref="I116:P116"/>
    <mergeCell ref="Q116:X116"/>
    <mergeCell ref="Y116:AF116"/>
    <mergeCell ref="A117:H117"/>
    <mergeCell ref="I117:P117"/>
    <mergeCell ref="Q117:X117"/>
    <mergeCell ref="Y117:AF117"/>
    <mergeCell ref="A118:H118"/>
    <mergeCell ref="I118:P118"/>
    <mergeCell ref="Q118:X118"/>
    <mergeCell ref="Y118:AF118"/>
    <mergeCell ref="I124:P124"/>
    <mergeCell ref="Q124:X124"/>
    <mergeCell ref="Y124:AF124"/>
    <mergeCell ref="A119:H119"/>
    <mergeCell ref="I119:P119"/>
    <mergeCell ref="Q119:X119"/>
    <mergeCell ref="Y119:AF119"/>
    <mergeCell ref="A120:H120"/>
    <mergeCell ref="I120:P120"/>
    <mergeCell ref="Q120:X120"/>
    <mergeCell ref="Y120:AF120"/>
    <mergeCell ref="A121:H121"/>
    <mergeCell ref="I121:P121"/>
    <mergeCell ref="Q121:X121"/>
    <mergeCell ref="Y121:AF121"/>
    <mergeCell ref="B137:AF137"/>
    <mergeCell ref="B138:AF138"/>
    <mergeCell ref="B139:AF139"/>
    <mergeCell ref="B140:AF140"/>
    <mergeCell ref="A3:AF3"/>
    <mergeCell ref="B5:AF5"/>
    <mergeCell ref="A127:AF127"/>
    <mergeCell ref="B129:AF129"/>
    <mergeCell ref="B130:AF130"/>
    <mergeCell ref="B131:AF131"/>
    <mergeCell ref="B132:AF132"/>
    <mergeCell ref="B133:AF133"/>
    <mergeCell ref="B134:AF134"/>
    <mergeCell ref="B135:AF135"/>
    <mergeCell ref="B136:AF136"/>
    <mergeCell ref="A122:H122"/>
    <mergeCell ref="I122:P122"/>
    <mergeCell ref="Q122:X122"/>
    <mergeCell ref="Y122:AF122"/>
    <mergeCell ref="A123:H123"/>
    <mergeCell ref="I123:P123"/>
    <mergeCell ref="Q123:X123"/>
    <mergeCell ref="Y123:AF123"/>
    <mergeCell ref="A124:H124"/>
  </mergeCells>
  <hyperlinks>
    <hyperlink ref="A2" location="TOC!A1" display="Return to TOC" xr:uid="{C57E0302-84C1-47ED-9BF7-7AD65CBD1D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tabColor theme="7" tint="0.79998168889431442"/>
    <pageSetUpPr autoPageBreaks="0"/>
  </sheetPr>
  <dimension ref="A1:BU106"/>
  <sheetViews>
    <sheetView workbookViewId="0">
      <selection activeCell="A2" sqref="A2"/>
    </sheetView>
  </sheetViews>
  <sheetFormatPr defaultColWidth="2.6640625" defaultRowHeight="14.4" x14ac:dyDescent="0.3"/>
  <cols>
    <col min="1" max="16384" width="2.6640625" style="1"/>
  </cols>
  <sheetData>
    <row r="1" spans="1:73" customFormat="1" ht="18" x14ac:dyDescent="0.3">
      <c r="A1" s="1131" t="s">
        <v>875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
      <c r="AH1" s="1"/>
      <c r="AI1" s="1"/>
      <c r="AJ1" s="1"/>
      <c r="AK1" s="1"/>
      <c r="AL1" s="775"/>
      <c r="AM1" s="1"/>
    </row>
    <row r="2" spans="1:73" customFormat="1" ht="18"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J2" s="1"/>
      <c r="AK2" s="1"/>
      <c r="AL2" s="766"/>
      <c r="AM2" s="1"/>
    </row>
    <row r="3" spans="1:73" customForma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c r="AG3" s="1"/>
      <c r="AH3" s="1"/>
      <c r="AI3" s="1"/>
      <c r="AL3" s="709"/>
    </row>
    <row r="4" spans="1:73" customForma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1"/>
      <c r="AH4" s="1"/>
      <c r="AI4" s="1"/>
      <c r="AL4" s="709"/>
    </row>
    <row r="5" spans="1:73" customFormat="1" x14ac:dyDescent="0.3">
      <c r="A5" s="121"/>
      <c r="B5" s="1258" t="s">
        <v>5928</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
      <c r="AH5" s="1"/>
      <c r="AI5" s="1"/>
      <c r="AL5" s="478"/>
    </row>
    <row r="6" spans="1:73" customFormat="1" x14ac:dyDescent="0.3">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L6" s="709"/>
    </row>
    <row r="7" spans="1:73" customForma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
      <c r="AH7" s="1"/>
      <c r="AI7" s="1"/>
      <c r="AJ7" s="1"/>
      <c r="AK7" s="1"/>
      <c r="AL7" s="709"/>
      <c r="AM7" s="1"/>
    </row>
    <row r="8" spans="1:73" customFormat="1"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1"/>
      <c r="AH8" s="1"/>
      <c r="AI8" s="1"/>
      <c r="AJ8" s="1"/>
      <c r="AK8" s="1"/>
      <c r="AL8" s="709"/>
      <c r="AM8" s="1"/>
    </row>
    <row r="9" spans="1:73" customFormat="1"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K9" s="1"/>
      <c r="AL9" s="709"/>
      <c r="AM9" s="1"/>
    </row>
    <row r="10" spans="1:73" customFormat="1" ht="108.75" customHeight="1" x14ac:dyDescent="0.3">
      <c r="A10" s="122"/>
      <c r="B10" s="889" t="s">
        <v>6227</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4"/>
      <c r="AH10" s="4"/>
      <c r="AI10" s="4"/>
      <c r="AJ10" s="4"/>
      <c r="AK10" s="4"/>
      <c r="AL10" s="478"/>
      <c r="AM10" s="758"/>
      <c r="AN10" s="758"/>
      <c r="AO10" s="758"/>
      <c r="AP10" s="758"/>
      <c r="AQ10" s="758"/>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c r="BO10" s="758"/>
      <c r="BP10" s="758"/>
      <c r="BQ10" s="758"/>
      <c r="BR10" s="758"/>
      <c r="BS10" s="758"/>
      <c r="BT10" s="758"/>
      <c r="BU10" s="758"/>
    </row>
    <row r="11" spans="1:73" customFormat="1"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J11" s="1"/>
      <c r="AK11" s="1"/>
      <c r="AL11" s="709"/>
      <c r="AM11" s="1"/>
    </row>
    <row r="12" spans="1:73" customFormat="1"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J12" s="1"/>
      <c r="AK12" s="1"/>
      <c r="AL12" s="709"/>
      <c r="AM12" s="1"/>
    </row>
    <row r="13" spans="1:73" customFormat="1" ht="63" customHeight="1" x14ac:dyDescent="0.3">
      <c r="A13" s="121"/>
      <c r="B13" s="889" t="s">
        <v>6228</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1"/>
      <c r="AH13" s="1"/>
      <c r="AI13" s="1"/>
      <c r="AJ13" s="1"/>
      <c r="AK13" s="1"/>
      <c r="AL13" s="478"/>
      <c r="AM13" s="758"/>
      <c r="AN13" s="758"/>
      <c r="AO13" s="758"/>
      <c r="AP13" s="758"/>
      <c r="AQ13" s="758"/>
      <c r="AR13" s="758"/>
      <c r="AS13" s="758"/>
      <c r="AT13" s="758"/>
      <c r="AU13" s="758"/>
      <c r="AV13" s="758"/>
      <c r="AW13" s="758"/>
      <c r="AX13" s="758"/>
      <c r="AY13" s="758"/>
      <c r="AZ13" s="758"/>
      <c r="BA13" s="758"/>
      <c r="BB13" s="758"/>
      <c r="BC13" s="758"/>
      <c r="BD13" s="758"/>
      <c r="BE13" s="758"/>
      <c r="BF13" s="758"/>
      <c r="BG13" s="758"/>
      <c r="BH13" s="758"/>
      <c r="BI13" s="758"/>
      <c r="BJ13" s="758"/>
      <c r="BK13" s="758"/>
      <c r="BL13" s="758"/>
      <c r="BM13" s="758"/>
      <c r="BN13" s="758"/>
      <c r="BO13" s="758"/>
      <c r="BP13" s="758"/>
      <c r="BQ13" s="758"/>
      <c r="BR13" s="758"/>
      <c r="BS13" s="758"/>
      <c r="BT13" s="758"/>
      <c r="BU13" s="758"/>
    </row>
    <row r="14" spans="1:73" customFormat="1" x14ac:dyDescent="0.3">
      <c r="A14" s="121"/>
      <c r="B14" s="503"/>
      <c r="C14" s="503"/>
      <c r="D14" s="503"/>
      <c r="E14" s="503"/>
      <c r="F14" s="503"/>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1"/>
      <c r="AH14" s="1"/>
      <c r="AI14" s="1"/>
      <c r="AJ14" s="1"/>
      <c r="AK14" s="1"/>
      <c r="AL14" s="758"/>
      <c r="AM14" s="758"/>
      <c r="AN14" s="758"/>
      <c r="AO14" s="758"/>
      <c r="AP14" s="758"/>
      <c r="AQ14" s="758"/>
      <c r="AR14" s="758"/>
      <c r="AS14" s="758"/>
      <c r="AT14" s="758"/>
      <c r="AU14" s="758"/>
      <c r="AV14" s="758"/>
      <c r="AW14" s="758"/>
      <c r="AX14" s="758"/>
      <c r="AY14" s="758"/>
      <c r="AZ14" s="758"/>
      <c r="BA14" s="758"/>
      <c r="BB14" s="758"/>
      <c r="BC14" s="758"/>
      <c r="BD14" s="758"/>
      <c r="BE14" s="758"/>
      <c r="BF14" s="758"/>
      <c r="BG14" s="758"/>
      <c r="BH14" s="758"/>
      <c r="BI14" s="758"/>
      <c r="BJ14" s="758"/>
      <c r="BK14" s="758"/>
      <c r="BL14" s="758"/>
      <c r="BM14" s="758"/>
      <c r="BN14" s="758"/>
      <c r="BO14" s="758"/>
      <c r="BP14" s="758"/>
      <c r="BQ14" s="758"/>
      <c r="BR14" s="758"/>
      <c r="BS14" s="758"/>
      <c r="BT14" s="758"/>
      <c r="BU14" s="758"/>
    </row>
    <row r="15" spans="1:73" customFormat="1" ht="30.75" customHeight="1" x14ac:dyDescent="0.3">
      <c r="A15" s="121"/>
      <c r="B15" s="1541" t="s">
        <v>6272</v>
      </c>
      <c r="C15" s="1541"/>
      <c r="D15" s="1541"/>
      <c r="E15" s="1541"/>
      <c r="F15" s="1541"/>
      <c r="G15" s="1541"/>
      <c r="H15" s="1541"/>
      <c r="I15" s="1541"/>
      <c r="J15" s="1541"/>
      <c r="K15" s="1541"/>
      <c r="L15" s="1541"/>
      <c r="M15" s="1541"/>
      <c r="N15" s="1541"/>
      <c r="O15" s="1541"/>
      <c r="P15" s="1541"/>
      <c r="Q15" s="1541"/>
      <c r="R15" s="1541"/>
      <c r="S15" s="1541"/>
      <c r="T15" s="1541"/>
      <c r="U15" s="1541"/>
      <c r="V15" s="1541"/>
      <c r="W15" s="1541"/>
      <c r="X15" s="1541"/>
      <c r="Y15" s="1541"/>
      <c r="Z15" s="1541"/>
      <c r="AA15" s="1541"/>
      <c r="AB15" s="1541"/>
      <c r="AC15" s="1541"/>
      <c r="AD15" s="1541"/>
      <c r="AE15" s="1541"/>
      <c r="AF15" s="1541"/>
      <c r="AG15" s="1"/>
      <c r="AH15" s="1"/>
      <c r="AI15" s="1"/>
      <c r="AJ15" s="1"/>
      <c r="AK15" s="1"/>
      <c r="AL15" s="47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row>
    <row r="16" spans="1:73" customFormat="1" x14ac:dyDescent="0.3">
      <c r="A16" s="121"/>
      <c r="B16" s="1542" t="s">
        <v>6229</v>
      </c>
      <c r="C16" s="1542"/>
      <c r="D16" s="1542"/>
      <c r="E16" s="1542"/>
      <c r="F16" s="1542"/>
      <c r="G16" s="1542"/>
      <c r="H16" s="1542"/>
      <c r="I16" s="1542"/>
      <c r="J16" s="1542"/>
      <c r="K16" s="1542"/>
      <c r="L16" s="1542"/>
      <c r="M16" s="1542"/>
      <c r="N16" s="1542"/>
      <c r="O16" s="1542"/>
      <c r="P16" s="1542"/>
      <c r="Q16" s="1542"/>
      <c r="R16" s="1542" t="s">
        <v>6230</v>
      </c>
      <c r="S16" s="1542"/>
      <c r="T16" s="1542"/>
      <c r="U16" s="1542"/>
      <c r="V16" s="1542"/>
      <c r="W16" s="1542"/>
      <c r="X16" s="1542"/>
      <c r="Y16" s="1542"/>
      <c r="Z16" s="1542"/>
      <c r="AA16" s="1542"/>
      <c r="AB16" s="1542"/>
      <c r="AC16" s="1542"/>
      <c r="AD16" s="1542"/>
      <c r="AE16" s="1542"/>
      <c r="AF16" s="1542"/>
      <c r="AG16" s="1"/>
      <c r="AH16" s="1"/>
      <c r="AI16" s="1"/>
      <c r="AJ16" s="1"/>
      <c r="AK16" s="1"/>
      <c r="AL16" s="766"/>
      <c r="AM16" s="758"/>
      <c r="AN16" s="758"/>
      <c r="AO16" s="758"/>
      <c r="AP16" s="758"/>
      <c r="AQ16" s="758"/>
      <c r="AR16" s="758"/>
      <c r="AS16" s="758"/>
      <c r="AT16" s="758"/>
      <c r="AU16" s="758"/>
      <c r="AV16" s="758"/>
      <c r="AW16" s="758"/>
      <c r="AX16" s="758"/>
      <c r="AY16" s="758"/>
      <c r="AZ16" s="758"/>
      <c r="BA16" s="758"/>
      <c r="BB16" s="758"/>
      <c r="BC16" s="758"/>
      <c r="BD16" s="758"/>
      <c r="BE16" s="758"/>
      <c r="BF16" s="709"/>
      <c r="BG16" s="758"/>
      <c r="BH16" s="758"/>
      <c r="BI16" s="758"/>
      <c r="BJ16" s="758"/>
      <c r="BK16" s="758"/>
      <c r="BL16" s="758"/>
      <c r="BM16" s="758"/>
      <c r="BN16" s="758"/>
      <c r="BO16" s="758"/>
      <c r="BP16" s="758"/>
      <c r="BQ16" s="758"/>
      <c r="BR16" s="758"/>
      <c r="BS16" s="758"/>
      <c r="BT16" s="758"/>
      <c r="BU16" s="758"/>
    </row>
    <row r="17" spans="1:73" customFormat="1" x14ac:dyDescent="0.3">
      <c r="A17" s="121"/>
      <c r="B17" s="1400" t="s">
        <v>5945</v>
      </c>
      <c r="C17" s="1401"/>
      <c r="D17" s="1401"/>
      <c r="E17" s="1401"/>
      <c r="F17" s="1401"/>
      <c r="G17" s="1401"/>
      <c r="H17" s="1401"/>
      <c r="I17" s="1401"/>
      <c r="J17" s="1401"/>
      <c r="K17" s="1401"/>
      <c r="L17" s="1401"/>
      <c r="M17" s="1401"/>
      <c r="N17" s="1401"/>
      <c r="O17" s="1401"/>
      <c r="P17" s="1401"/>
      <c r="Q17" s="1402"/>
      <c r="R17" s="1543">
        <v>1</v>
      </c>
      <c r="S17" s="1544"/>
      <c r="T17" s="1544"/>
      <c r="U17" s="1544"/>
      <c r="V17" s="1544"/>
      <c r="W17" s="1544"/>
      <c r="X17" s="1544"/>
      <c r="Y17" s="1544"/>
      <c r="Z17" s="1544"/>
      <c r="AA17" s="1544"/>
      <c r="AB17" s="1544"/>
      <c r="AC17" s="1544"/>
      <c r="AD17" s="1544"/>
      <c r="AE17" s="1544"/>
      <c r="AF17" s="1544"/>
      <c r="AG17" s="1"/>
      <c r="AH17" s="1"/>
      <c r="AI17" s="1"/>
      <c r="AJ17" s="1"/>
      <c r="AK17" s="1"/>
      <c r="AL17" s="758"/>
      <c r="AM17" s="758"/>
      <c r="AN17" s="758"/>
      <c r="AO17" s="758"/>
      <c r="AP17" s="758"/>
      <c r="AQ17" s="758"/>
      <c r="AR17" s="758"/>
      <c r="AS17" s="758"/>
      <c r="AT17" s="758"/>
      <c r="AU17" s="758"/>
      <c r="AV17" s="758"/>
      <c r="AW17" s="758"/>
      <c r="AX17" s="758"/>
      <c r="AY17" s="758"/>
      <c r="AZ17" s="758"/>
      <c r="BA17" s="758"/>
      <c r="BB17" s="758"/>
      <c r="BC17" s="758"/>
      <c r="BD17" s="758"/>
      <c r="BE17" s="758"/>
      <c r="BF17" s="758"/>
      <c r="BG17" s="758"/>
      <c r="BH17" s="758"/>
      <c r="BI17" s="758"/>
      <c r="BJ17" s="758"/>
      <c r="BK17" s="758"/>
      <c r="BL17" s="758"/>
      <c r="BM17" s="758"/>
      <c r="BN17" s="758"/>
      <c r="BO17" s="758"/>
      <c r="BP17" s="758"/>
      <c r="BQ17" s="758"/>
      <c r="BR17" s="758"/>
      <c r="BS17" s="758"/>
      <c r="BT17" s="758"/>
      <c r="BU17" s="758"/>
    </row>
    <row r="18" spans="1:73" customFormat="1" x14ac:dyDescent="0.3">
      <c r="A18" s="121"/>
      <c r="B18" s="1400" t="s">
        <v>5948</v>
      </c>
      <c r="C18" s="1401"/>
      <c r="D18" s="1401"/>
      <c r="E18" s="1401"/>
      <c r="F18" s="1401"/>
      <c r="G18" s="1401"/>
      <c r="H18" s="1401"/>
      <c r="I18" s="1401"/>
      <c r="J18" s="1401"/>
      <c r="K18" s="1401"/>
      <c r="L18" s="1401"/>
      <c r="M18" s="1401"/>
      <c r="N18" s="1401"/>
      <c r="O18" s="1401"/>
      <c r="P18" s="1401"/>
      <c r="Q18" s="1402"/>
      <c r="R18" s="1543">
        <v>1.2</v>
      </c>
      <c r="S18" s="1544"/>
      <c r="T18" s="1544"/>
      <c r="U18" s="1544"/>
      <c r="V18" s="1544"/>
      <c r="W18" s="1544"/>
      <c r="X18" s="1544"/>
      <c r="Y18" s="1544"/>
      <c r="Z18" s="1544"/>
      <c r="AA18" s="1544"/>
      <c r="AB18" s="1544"/>
      <c r="AC18" s="1544"/>
      <c r="AD18" s="1544"/>
      <c r="AE18" s="1544"/>
      <c r="AF18" s="1544"/>
      <c r="AG18" s="1"/>
      <c r="AH18" s="1"/>
      <c r="AI18" s="1"/>
      <c r="AJ18" s="1"/>
      <c r="AK18" s="1"/>
      <c r="AL18" s="758"/>
      <c r="AM18" s="758"/>
      <c r="AN18" s="758"/>
      <c r="AO18" s="758"/>
      <c r="AP18" s="758"/>
      <c r="AQ18" s="758"/>
      <c r="AR18" s="758"/>
      <c r="AS18" s="758"/>
      <c r="AT18" s="758"/>
      <c r="AU18" s="758"/>
      <c r="AV18" s="758"/>
      <c r="AW18" s="758"/>
      <c r="AX18" s="758"/>
      <c r="AY18" s="758"/>
      <c r="AZ18" s="758"/>
      <c r="BA18" s="758"/>
      <c r="BB18" s="758"/>
      <c r="BC18" s="758"/>
      <c r="BD18" s="758"/>
      <c r="BE18" s="758"/>
      <c r="BF18" s="758"/>
      <c r="BG18" s="758"/>
      <c r="BH18" s="758"/>
      <c r="BI18" s="758"/>
      <c r="BJ18" s="758"/>
      <c r="BK18" s="758"/>
      <c r="BL18" s="758"/>
      <c r="BM18" s="758"/>
      <c r="BN18" s="758"/>
      <c r="BO18" s="758"/>
      <c r="BP18" s="758"/>
      <c r="BQ18" s="758"/>
      <c r="BR18" s="758"/>
      <c r="BS18" s="758"/>
      <c r="BT18" s="758"/>
      <c r="BU18" s="758"/>
    </row>
    <row r="19" spans="1:73" customFormat="1" x14ac:dyDescent="0.3">
      <c r="A19" s="121"/>
      <c r="B19" s="1400" t="s">
        <v>5950</v>
      </c>
      <c r="C19" s="1401"/>
      <c r="D19" s="1401"/>
      <c r="E19" s="1401"/>
      <c r="F19" s="1401"/>
      <c r="G19" s="1401"/>
      <c r="H19" s="1401"/>
      <c r="I19" s="1401"/>
      <c r="J19" s="1401"/>
      <c r="K19" s="1401"/>
      <c r="L19" s="1401"/>
      <c r="M19" s="1401"/>
      <c r="N19" s="1401"/>
      <c r="O19" s="1401"/>
      <c r="P19" s="1401"/>
      <c r="Q19" s="1402"/>
      <c r="R19" s="1543">
        <v>1.28</v>
      </c>
      <c r="S19" s="1544"/>
      <c r="T19" s="1544"/>
      <c r="U19" s="1544"/>
      <c r="V19" s="1544"/>
      <c r="W19" s="1544"/>
      <c r="X19" s="1544"/>
      <c r="Y19" s="1544"/>
      <c r="Z19" s="1544"/>
      <c r="AA19" s="1544"/>
      <c r="AB19" s="1544"/>
      <c r="AC19" s="1544"/>
      <c r="AD19" s="1544"/>
      <c r="AE19" s="1544"/>
      <c r="AF19" s="1544"/>
      <c r="AG19" s="1"/>
      <c r="AH19" s="1"/>
      <c r="AI19" s="1"/>
      <c r="AJ19" s="1"/>
      <c r="AK19" s="1"/>
      <c r="AL19" s="758"/>
      <c r="AM19" s="758"/>
      <c r="AN19" s="758"/>
      <c r="AO19" s="758"/>
      <c r="AP19" s="758"/>
      <c r="AQ19" s="758"/>
      <c r="AR19" s="758"/>
      <c r="AS19" s="758"/>
      <c r="AT19" s="758"/>
      <c r="AU19" s="758"/>
      <c r="AV19" s="758"/>
      <c r="AW19" s="758"/>
      <c r="AX19" s="758"/>
      <c r="AY19" s="758"/>
      <c r="AZ19" s="758"/>
      <c r="BA19" s="758"/>
      <c r="BB19" s="758"/>
      <c r="BC19" s="758"/>
      <c r="BD19" s="758"/>
      <c r="BE19" s="758"/>
      <c r="BF19" s="758"/>
      <c r="BG19" s="758"/>
      <c r="BH19" s="758"/>
      <c r="BI19" s="758"/>
      <c r="BJ19" s="758"/>
      <c r="BK19" s="758"/>
      <c r="BL19" s="758"/>
      <c r="BM19" s="758"/>
      <c r="BN19" s="758"/>
      <c r="BO19" s="758"/>
      <c r="BP19" s="758"/>
      <c r="BQ19" s="758"/>
      <c r="BR19" s="758"/>
      <c r="BS19" s="758"/>
      <c r="BT19" s="758"/>
      <c r="BU19" s="758"/>
    </row>
    <row r="20" spans="1:73" customFormat="1" x14ac:dyDescent="0.3">
      <c r="A20" s="121"/>
      <c r="B20" s="491" t="s">
        <v>831</v>
      </c>
      <c r="C20" s="743"/>
      <c r="D20" s="743"/>
      <c r="E20" s="743"/>
      <c r="F20" s="743"/>
      <c r="G20" s="743"/>
      <c r="H20" s="743"/>
      <c r="I20" s="743"/>
      <c r="J20" s="743"/>
      <c r="K20" s="743"/>
      <c r="L20" s="743"/>
      <c r="M20" s="743"/>
      <c r="N20" s="743"/>
      <c r="O20" s="743"/>
      <c r="P20" s="743"/>
      <c r="Q20" s="743"/>
      <c r="R20" s="776"/>
      <c r="S20" s="777"/>
      <c r="T20" s="777"/>
      <c r="U20" s="777"/>
      <c r="V20" s="777"/>
      <c r="W20" s="777"/>
      <c r="X20" s="777"/>
      <c r="Y20" s="777"/>
      <c r="Z20" s="777"/>
      <c r="AA20" s="777"/>
      <c r="AB20" s="777"/>
      <c r="AC20" s="777"/>
      <c r="AD20" s="777"/>
      <c r="AE20" s="777"/>
      <c r="AF20" s="777"/>
      <c r="AG20" s="1"/>
      <c r="AH20" s="1"/>
      <c r="AI20" s="1"/>
      <c r="AJ20" s="1"/>
      <c r="AK20" s="1"/>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c r="BN20" s="758"/>
      <c r="BO20" s="758"/>
      <c r="BP20" s="758"/>
      <c r="BQ20" s="758"/>
      <c r="BR20" s="758"/>
      <c r="BS20" s="758"/>
      <c r="BT20" s="758"/>
      <c r="BU20" s="758"/>
    </row>
    <row r="21" spans="1:73" customFormat="1" ht="39" customHeight="1" x14ac:dyDescent="0.3">
      <c r="A21" s="121"/>
      <c r="B21" s="1355" t="s">
        <v>6231</v>
      </c>
      <c r="C21" s="1355"/>
      <c r="D21" s="1355"/>
      <c r="E21" s="1355"/>
      <c r="F21" s="1355"/>
      <c r="G21" s="1355"/>
      <c r="H21" s="1355"/>
      <c r="I21" s="1355"/>
      <c r="J21" s="1355"/>
      <c r="K21" s="1355"/>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
      <c r="AH21" s="1"/>
      <c r="AI21" s="1"/>
      <c r="AJ21" s="1"/>
      <c r="AK21" s="1"/>
      <c r="AL21" s="758"/>
      <c r="AM21" s="758"/>
      <c r="AN21" s="758"/>
      <c r="AO21" s="758"/>
      <c r="AP21" s="758"/>
      <c r="AQ21" s="758"/>
      <c r="AR21" s="758"/>
      <c r="AS21" s="758"/>
      <c r="AT21" s="758"/>
      <c r="AU21" s="758"/>
      <c r="AV21" s="758"/>
      <c r="AW21" s="758"/>
      <c r="AX21" s="758"/>
      <c r="AY21" s="758"/>
      <c r="AZ21" s="758"/>
      <c r="BA21" s="758"/>
      <c r="BB21" s="758"/>
      <c r="BC21" s="758"/>
      <c r="BD21" s="758"/>
      <c r="BE21" s="758"/>
      <c r="BF21" s="758"/>
      <c r="BG21" s="758"/>
      <c r="BH21" s="758"/>
      <c r="BI21" s="758"/>
      <c r="BJ21" s="758"/>
      <c r="BK21" s="758"/>
      <c r="BL21" s="758"/>
      <c r="BM21" s="758"/>
      <c r="BN21" s="758"/>
      <c r="BO21" s="758"/>
      <c r="BP21" s="758"/>
      <c r="BQ21" s="758"/>
      <c r="BR21" s="758"/>
      <c r="BS21" s="758"/>
      <c r="BT21" s="758"/>
      <c r="BU21" s="758"/>
    </row>
    <row r="22" spans="1:73" customFormat="1" x14ac:dyDescent="0.3">
      <c r="A22" s="121"/>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
      <c r="AH22" s="1"/>
      <c r="AI22" s="1"/>
      <c r="AJ22" s="1"/>
      <c r="AK22" s="1"/>
      <c r="AL22" s="758"/>
      <c r="AM22" s="758"/>
      <c r="AN22" s="758"/>
      <c r="AO22" s="758"/>
      <c r="AP22" s="758"/>
      <c r="AQ22" s="758"/>
      <c r="AR22" s="758"/>
      <c r="AS22" s="758"/>
      <c r="AT22" s="758"/>
      <c r="AU22" s="758"/>
      <c r="AV22" s="758"/>
      <c r="AW22" s="758"/>
      <c r="AX22" s="758"/>
      <c r="AY22" s="758"/>
      <c r="AZ22" s="758"/>
      <c r="BA22" s="758"/>
      <c r="BB22" s="758"/>
      <c r="BC22" s="758"/>
      <c r="BD22" s="758"/>
      <c r="BE22" s="758"/>
      <c r="BF22" s="758"/>
      <c r="BG22" s="758"/>
      <c r="BH22" s="758"/>
      <c r="BI22" s="758"/>
      <c r="BJ22" s="758"/>
      <c r="BK22" s="758"/>
      <c r="BL22" s="758"/>
      <c r="BM22" s="758"/>
      <c r="BN22" s="758"/>
      <c r="BO22" s="758"/>
      <c r="BP22" s="758"/>
      <c r="BQ22" s="758"/>
      <c r="BR22" s="758"/>
      <c r="BS22" s="758"/>
      <c r="BT22" s="758"/>
      <c r="BU22" s="758"/>
    </row>
    <row r="23" spans="1:73" customFormat="1" x14ac:dyDescent="0.3">
      <c r="A23" s="121"/>
      <c r="B23" s="1518" t="s">
        <v>5</v>
      </c>
      <c r="C23" s="1518"/>
      <c r="D23" s="1518"/>
      <c r="E23" s="1518"/>
      <c r="F23" s="1518"/>
      <c r="G23" s="1518"/>
      <c r="H23" s="1518"/>
      <c r="I23" s="1518"/>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
      <c r="AH23" s="1"/>
      <c r="AI23" s="1"/>
      <c r="AJ23" s="1"/>
      <c r="AK23" s="1"/>
      <c r="AL23" s="709"/>
      <c r="AM23" s="1"/>
    </row>
    <row r="24" spans="1:73" customFormat="1" x14ac:dyDescent="0.3">
      <c r="A24" s="121"/>
      <c r="B24" s="1372" t="s">
        <v>6232</v>
      </c>
      <c r="C24" s="1372"/>
      <c r="D24" s="1372"/>
      <c r="E24" s="1372"/>
      <c r="F24" s="1372"/>
      <c r="G24" s="1372"/>
      <c r="H24" s="1372"/>
      <c r="I24" s="1372"/>
      <c r="J24" s="1372"/>
      <c r="K24" s="1372"/>
      <c r="L24" s="1372"/>
      <c r="M24" s="1372"/>
      <c r="N24" s="1372"/>
      <c r="O24" s="1372"/>
      <c r="P24" s="1372"/>
      <c r="Q24" s="1372"/>
      <c r="R24" s="1372"/>
      <c r="S24" s="1372"/>
      <c r="T24" s="1372"/>
      <c r="U24" s="1372"/>
      <c r="V24" s="1372"/>
      <c r="W24" s="1372"/>
      <c r="X24" s="1372"/>
      <c r="Y24" s="1372"/>
      <c r="Z24" s="1372"/>
      <c r="AA24" s="1372"/>
      <c r="AB24" s="1372"/>
      <c r="AC24" s="1372"/>
      <c r="AD24" s="1372"/>
      <c r="AE24" s="1372"/>
      <c r="AF24" s="1372"/>
      <c r="AG24" s="1"/>
      <c r="AH24" s="1"/>
      <c r="AI24" s="1"/>
      <c r="AJ24" s="1"/>
      <c r="AK24" s="1"/>
      <c r="AL24" s="709"/>
      <c r="AM24" s="1"/>
    </row>
    <row r="25" spans="1:73" customFormat="1" x14ac:dyDescent="0.3">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
      <c r="AH25" s="1"/>
      <c r="AI25" s="1"/>
      <c r="AJ25" s="1"/>
      <c r="AK25" s="1"/>
      <c r="AL25" s="709"/>
      <c r="AM25" s="1"/>
    </row>
    <row r="26" spans="1:73" customFormat="1" x14ac:dyDescent="0.3">
      <c r="A26" s="121"/>
      <c r="B26" s="1518" t="s">
        <v>6</v>
      </c>
      <c r="C26" s="1518"/>
      <c r="D26" s="1518"/>
      <c r="E26" s="1518"/>
      <c r="F26" s="1518"/>
      <c r="G26" s="1518"/>
      <c r="H26" s="1518"/>
      <c r="I26" s="1518"/>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
      <c r="AH26" s="1"/>
      <c r="AI26" s="1"/>
      <c r="AJ26" s="1"/>
      <c r="AK26" s="1"/>
      <c r="AL26" s="709"/>
      <c r="AM26" s="1"/>
    </row>
    <row r="27" spans="1:73" customFormat="1" ht="50.25" customHeight="1" x14ac:dyDescent="0.3">
      <c r="A27" s="121"/>
      <c r="B27" s="889" t="s">
        <v>6273</v>
      </c>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c r="AG27" s="1"/>
      <c r="AH27" s="1"/>
      <c r="AI27" s="1"/>
      <c r="AJ27" s="1"/>
      <c r="AK27" s="1"/>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c r="BO27" s="478"/>
      <c r="BP27" s="478"/>
      <c r="BQ27" s="478"/>
      <c r="BR27" s="478"/>
      <c r="BS27" s="478"/>
      <c r="BT27" s="478"/>
      <c r="BU27" s="478"/>
    </row>
    <row r="28" spans="1:73" customFormat="1" x14ac:dyDescent="0.3">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
      <c r="AH28" s="1"/>
      <c r="AI28" s="1"/>
      <c r="AJ28" s="1"/>
      <c r="AK28" s="1"/>
      <c r="AL28" s="709"/>
      <c r="AM28" s="1"/>
    </row>
    <row r="29" spans="1:73" customFormat="1" x14ac:dyDescent="0.3">
      <c r="A29" s="121"/>
      <c r="B29" s="267" t="s">
        <v>13</v>
      </c>
      <c r="C29" s="267"/>
      <c r="D29" s="267"/>
      <c r="E29" s="267"/>
      <c r="F29" s="267"/>
      <c r="G29" s="267"/>
      <c r="H29" s="267"/>
      <c r="I29" s="267"/>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
      <c r="AH29" s="1"/>
      <c r="AI29" s="1"/>
      <c r="AJ29" s="1"/>
      <c r="AK29" s="1"/>
      <c r="AL29" s="709"/>
      <c r="AM29" s="1"/>
    </row>
    <row r="30" spans="1:73" customFormat="1" ht="51" customHeight="1" x14ac:dyDescent="0.3">
      <c r="A30" s="121"/>
      <c r="B30" s="889" t="s">
        <v>6274</v>
      </c>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c r="AG30" s="1"/>
      <c r="AH30" s="1"/>
      <c r="AI30" s="1"/>
      <c r="AJ30" s="1"/>
      <c r="AK30" s="1"/>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c r="BO30" s="478"/>
      <c r="BP30" s="478"/>
      <c r="BQ30" s="478"/>
      <c r="BR30" s="478"/>
      <c r="BS30" s="478"/>
      <c r="BT30" s="478"/>
      <c r="BU30" s="478"/>
    </row>
    <row r="31" spans="1:73" customFormat="1" x14ac:dyDescent="0.3">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
      <c r="AH31" s="1"/>
      <c r="AI31" s="1"/>
      <c r="AJ31" s="1"/>
      <c r="AK31" s="1"/>
      <c r="AL31" s="709"/>
      <c r="AM31" s="1"/>
    </row>
    <row r="32" spans="1:73" customFormat="1"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
      <c r="AH32" s="1"/>
      <c r="AI32" s="1"/>
      <c r="AJ32" s="1"/>
      <c r="AK32" s="1"/>
      <c r="AL32" s="709"/>
      <c r="AM32" s="1"/>
    </row>
    <row r="33" spans="1:71" customFormat="1" x14ac:dyDescent="0.3">
      <c r="A33" s="1290" t="s">
        <v>7</v>
      </c>
      <c r="B33" s="1290"/>
      <c r="C33" s="1290"/>
      <c r="D33" s="1290"/>
      <c r="E33" s="1290"/>
      <c r="F33" s="1290"/>
      <c r="G33" s="1290"/>
      <c r="H33" s="1290"/>
      <c r="I33" s="1290"/>
      <c r="J33" s="1290"/>
      <c r="K33" s="1290"/>
      <c r="L33" s="1290"/>
      <c r="M33" s="1290"/>
      <c r="N33" s="1290"/>
      <c r="O33" s="1290"/>
      <c r="P33" s="1290"/>
      <c r="Q33" s="1290"/>
      <c r="R33" s="1290"/>
      <c r="S33" s="1290"/>
      <c r="T33" s="1290"/>
      <c r="U33" s="1290"/>
      <c r="V33" s="1290"/>
      <c r="W33" s="1290"/>
      <c r="X33" s="1290"/>
      <c r="Y33" s="1290"/>
      <c r="Z33" s="1290"/>
      <c r="AA33" s="1290"/>
      <c r="AB33" s="1290"/>
      <c r="AC33" s="1290"/>
      <c r="AD33" s="1290"/>
      <c r="AE33" s="1290"/>
      <c r="AF33" s="1290"/>
      <c r="AG33" s="1"/>
      <c r="AH33" s="1"/>
      <c r="AI33" s="1"/>
      <c r="AJ33" s="1"/>
      <c r="AK33" s="1"/>
      <c r="AL33" s="709"/>
      <c r="AM33" s="1"/>
    </row>
    <row r="34" spans="1:71" customFormat="1"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
      <c r="AH34" s="1"/>
      <c r="AI34" s="1"/>
      <c r="AJ34" s="1"/>
      <c r="AK34" s="1"/>
      <c r="AL34" s="709"/>
      <c r="AM34" s="1"/>
      <c r="BG34" s="553"/>
      <c r="BS34" s="553"/>
    </row>
    <row r="35" spans="1:71" customFormat="1" x14ac:dyDescent="0.3">
      <c r="A35" s="372" t="s">
        <v>2027</v>
      </c>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K35" s="1"/>
      <c r="AL35" s="478"/>
      <c r="AM35" s="1"/>
      <c r="BG35" s="553"/>
      <c r="BS35" s="553"/>
    </row>
    <row r="36" spans="1:71" customForma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
      <c r="AH36" s="1"/>
      <c r="AI36" s="1"/>
      <c r="AJ36" s="1"/>
      <c r="AK36" s="1"/>
      <c r="AL36" s="709"/>
      <c r="AM36" s="1"/>
      <c r="BG36" s="553"/>
      <c r="BS36" s="553"/>
    </row>
    <row r="37" spans="1:71" customFormat="1" ht="42" customHeight="1"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1463</v>
      </c>
      <c r="AG37" s="1"/>
      <c r="AH37" s="1"/>
      <c r="AI37" s="1"/>
      <c r="AJ37" s="1"/>
      <c r="AK37" s="1"/>
      <c r="AL37" s="709"/>
      <c r="AM37" s="1"/>
      <c r="BG37" s="553"/>
      <c r="BS37" s="553"/>
    </row>
    <row r="38" spans="1:71" customFormat="1"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
      <c r="AH38" s="1"/>
      <c r="AI38" s="1"/>
      <c r="AJ38" s="1"/>
      <c r="AK38" s="1"/>
      <c r="AL38" s="709"/>
      <c r="AM38" s="1"/>
      <c r="BG38" s="553"/>
      <c r="BS38" s="553"/>
    </row>
    <row r="39" spans="1:71" customFormat="1" x14ac:dyDescent="0.3">
      <c r="A39" s="372" t="s">
        <v>2137</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
      <c r="AH39" s="1"/>
      <c r="AI39" s="1"/>
      <c r="AJ39" s="1"/>
      <c r="AK39" s="1"/>
      <c r="AL39" s="478"/>
      <c r="AM39" s="1"/>
      <c r="BG39" s="553"/>
      <c r="BS39" s="553"/>
    </row>
    <row r="40" spans="1:71" customFormat="1" x14ac:dyDescent="0.3">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
      <c r="AH40" s="1"/>
      <c r="AI40" s="1"/>
      <c r="AJ40" s="1"/>
      <c r="AK40" s="1"/>
      <c r="AL40" s="709"/>
      <c r="AM40" s="1"/>
      <c r="BG40" s="553"/>
      <c r="BS40" s="553"/>
    </row>
    <row r="41" spans="1:71" customFormat="1" ht="27" customHeight="1" x14ac:dyDescent="0.3">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1464</v>
      </c>
      <c r="AG41" s="1"/>
      <c r="AH41" s="1"/>
      <c r="AI41" s="1"/>
      <c r="AJ41" s="1"/>
      <c r="AK41" s="1"/>
      <c r="AL41" s="709"/>
      <c r="AM41" s="1"/>
      <c r="BG41" s="553"/>
      <c r="BS41" s="553"/>
    </row>
    <row r="42" spans="1:71" customFormat="1"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
      <c r="AH42" s="1"/>
      <c r="AI42" s="1"/>
      <c r="AJ42" s="1"/>
      <c r="AK42" s="1"/>
      <c r="AL42" s="709"/>
      <c r="AM42" s="1"/>
      <c r="BG42" s="553"/>
      <c r="BS42" s="553"/>
    </row>
    <row r="43" spans="1:71" customFormat="1" x14ac:dyDescent="0.3">
      <c r="A43" s="372" t="s">
        <v>1811</v>
      </c>
      <c r="B43" s="742"/>
      <c r="C43" s="742"/>
      <c r="D43" s="742"/>
      <c r="E43" s="742"/>
      <c r="F43" s="742"/>
      <c r="G43" s="742"/>
      <c r="H43" s="188"/>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1"/>
      <c r="AH43" s="1"/>
      <c r="AI43" s="1"/>
      <c r="AL43" s="478"/>
      <c r="BG43" s="553"/>
    </row>
    <row r="44" spans="1:71" customFormat="1" x14ac:dyDescent="0.3">
      <c r="A44" s="778"/>
      <c r="B44" s="121"/>
      <c r="C44" s="121"/>
      <c r="D44" s="121"/>
      <c r="E44" s="121"/>
      <c r="F44" s="121"/>
      <c r="G44" s="121"/>
      <c r="H44" s="272"/>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
      <c r="AH44" s="1"/>
      <c r="AI44" s="1"/>
      <c r="AL44" s="709"/>
    </row>
    <row r="45" spans="1:71" customFormat="1" ht="20.25" customHeight="1" x14ac:dyDescent="0.3">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1465</v>
      </c>
      <c r="AG45" s="1"/>
      <c r="AH45" s="1"/>
      <c r="AI45" s="1"/>
      <c r="AL45" s="709"/>
    </row>
    <row r="46" spans="1:71" customFormat="1" x14ac:dyDescent="0.3">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
      <c r="AH46" s="1"/>
      <c r="AI46" s="1"/>
      <c r="AJ46" s="1"/>
      <c r="AK46" s="1"/>
      <c r="AL46" s="709"/>
      <c r="AM46" s="1"/>
    </row>
    <row r="47" spans="1:71" customFormat="1" x14ac:dyDescent="0.3">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
      <c r="AH47" s="1"/>
      <c r="AI47" s="1"/>
      <c r="AJ47" s="1"/>
      <c r="AK47" s="1"/>
      <c r="AL47" s="709"/>
      <c r="AM47" s="1"/>
    </row>
    <row r="48" spans="1:71" customFormat="1" x14ac:dyDescent="0.3">
      <c r="A48" s="1290" t="s">
        <v>8</v>
      </c>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c r="AG48" s="1"/>
      <c r="AH48" s="1"/>
      <c r="AI48" s="1"/>
      <c r="AJ48" s="1"/>
      <c r="AK48" s="1"/>
      <c r="AL48" s="709"/>
      <c r="AM48" s="1"/>
    </row>
    <row r="49" spans="1:39" customFormat="1" x14ac:dyDescent="0.3">
      <c r="A49" s="1405" t="s">
        <v>9</v>
      </c>
      <c r="B49" s="1405"/>
      <c r="C49" s="1405"/>
      <c r="D49" s="1405"/>
      <c r="E49" s="1405" t="s">
        <v>3</v>
      </c>
      <c r="F49" s="1405"/>
      <c r="G49" s="1405"/>
      <c r="H49" s="1405"/>
      <c r="I49" s="1405"/>
      <c r="J49" s="1405"/>
      <c r="K49" s="1405"/>
      <c r="L49" s="1405"/>
      <c r="M49" s="1405"/>
      <c r="N49" s="1405"/>
      <c r="O49" s="1405"/>
      <c r="P49" s="1405"/>
      <c r="Q49" s="1405" t="s">
        <v>10</v>
      </c>
      <c r="R49" s="1405"/>
      <c r="S49" s="1405"/>
      <c r="T49" s="1405"/>
      <c r="U49" s="1405" t="s">
        <v>11</v>
      </c>
      <c r="V49" s="1405"/>
      <c r="W49" s="1405"/>
      <c r="X49" s="1405"/>
      <c r="Y49" s="1405" t="s">
        <v>1466</v>
      </c>
      <c r="Z49" s="1405"/>
      <c r="AA49" s="1405"/>
      <c r="AB49" s="1405"/>
      <c r="AC49" s="1405"/>
      <c r="AD49" s="1405"/>
      <c r="AE49" s="1405"/>
      <c r="AF49" s="1405"/>
      <c r="AG49" s="1"/>
      <c r="AH49" s="1"/>
      <c r="AI49" s="1"/>
      <c r="AJ49" s="1"/>
      <c r="AK49" s="1"/>
      <c r="AL49" s="478"/>
      <c r="AM49" s="1"/>
    </row>
    <row r="50" spans="1:39" customFormat="1" ht="122.25" customHeight="1" x14ac:dyDescent="0.3">
      <c r="A50" s="853" t="s">
        <v>6275</v>
      </c>
      <c r="B50" s="853"/>
      <c r="C50" s="853"/>
      <c r="D50" s="853"/>
      <c r="E50" s="854" t="s">
        <v>6233</v>
      </c>
      <c r="F50" s="854"/>
      <c r="G50" s="854"/>
      <c r="H50" s="854"/>
      <c r="I50" s="854"/>
      <c r="J50" s="854"/>
      <c r="K50" s="854"/>
      <c r="L50" s="854"/>
      <c r="M50" s="854"/>
      <c r="N50" s="854"/>
      <c r="O50" s="854"/>
      <c r="P50" s="854"/>
      <c r="Q50" s="1514">
        <v>1.2</v>
      </c>
      <c r="R50" s="1514"/>
      <c r="S50" s="1514"/>
      <c r="T50" s="1514"/>
      <c r="U50" s="1514" t="s">
        <v>6234</v>
      </c>
      <c r="V50" s="1514"/>
      <c r="W50" s="1514"/>
      <c r="X50" s="1514"/>
      <c r="Y50" s="854" t="s">
        <v>6235</v>
      </c>
      <c r="Z50" s="853"/>
      <c r="AA50" s="853"/>
      <c r="AB50" s="853"/>
      <c r="AC50" s="853"/>
      <c r="AD50" s="853"/>
      <c r="AE50" s="853"/>
      <c r="AF50" s="853"/>
      <c r="AG50" s="1"/>
      <c r="AH50" s="1"/>
      <c r="AI50" s="1"/>
      <c r="AJ50" s="1"/>
      <c r="AK50" s="1"/>
      <c r="AL50" s="478"/>
      <c r="AM50" s="1"/>
    </row>
    <row r="51" spans="1:39" customFormat="1" ht="89.25" customHeight="1" x14ac:dyDescent="0.3">
      <c r="A51" s="853" t="s">
        <v>6276</v>
      </c>
      <c r="B51" s="853"/>
      <c r="C51" s="853"/>
      <c r="D51" s="853"/>
      <c r="E51" s="854" t="s">
        <v>6236</v>
      </c>
      <c r="F51" s="854"/>
      <c r="G51" s="854"/>
      <c r="H51" s="854"/>
      <c r="I51" s="854"/>
      <c r="J51" s="854"/>
      <c r="K51" s="854"/>
      <c r="L51" s="854"/>
      <c r="M51" s="854"/>
      <c r="N51" s="854"/>
      <c r="O51" s="854"/>
      <c r="P51" s="854"/>
      <c r="Q51" s="1514">
        <v>1.07</v>
      </c>
      <c r="R51" s="1514"/>
      <c r="S51" s="1514"/>
      <c r="T51" s="1514"/>
      <c r="U51" s="1514" t="s">
        <v>6234</v>
      </c>
      <c r="V51" s="1514"/>
      <c r="W51" s="1514"/>
      <c r="X51" s="1514"/>
      <c r="Y51" s="854" t="s">
        <v>6237</v>
      </c>
      <c r="Z51" s="853"/>
      <c r="AA51" s="853"/>
      <c r="AB51" s="853"/>
      <c r="AC51" s="853"/>
      <c r="AD51" s="853"/>
      <c r="AE51" s="853"/>
      <c r="AF51" s="853"/>
      <c r="AG51" s="1"/>
      <c r="AH51" s="1"/>
      <c r="AI51" s="1"/>
      <c r="AJ51" s="1"/>
      <c r="AK51" s="1"/>
      <c r="AL51" s="478"/>
      <c r="AM51" s="1"/>
    </row>
    <row r="52" spans="1:39" customFormat="1" ht="41.25" customHeight="1" x14ac:dyDescent="0.3">
      <c r="A52" s="853" t="s">
        <v>6277</v>
      </c>
      <c r="B52" s="853"/>
      <c r="C52" s="853"/>
      <c r="D52" s="853"/>
      <c r="E52" s="854" t="s">
        <v>6238</v>
      </c>
      <c r="F52" s="854"/>
      <c r="G52" s="854"/>
      <c r="H52" s="854"/>
      <c r="I52" s="854"/>
      <c r="J52" s="854"/>
      <c r="K52" s="854"/>
      <c r="L52" s="854"/>
      <c r="M52" s="854"/>
      <c r="N52" s="854"/>
      <c r="O52" s="854"/>
      <c r="P52" s="854"/>
      <c r="Q52" s="1514">
        <v>120</v>
      </c>
      <c r="R52" s="1514"/>
      <c r="S52" s="1514"/>
      <c r="T52" s="1514"/>
      <c r="U52" s="1514" t="s">
        <v>6239</v>
      </c>
      <c r="V52" s="1514"/>
      <c r="W52" s="1514"/>
      <c r="X52" s="1514"/>
      <c r="Y52" s="854" t="s">
        <v>6278</v>
      </c>
      <c r="Z52" s="853"/>
      <c r="AA52" s="853"/>
      <c r="AB52" s="853"/>
      <c r="AC52" s="853"/>
      <c r="AD52" s="853"/>
      <c r="AE52" s="853"/>
      <c r="AF52" s="853"/>
      <c r="AG52" s="1"/>
      <c r="AH52" s="1"/>
      <c r="AI52" s="1"/>
      <c r="AJ52" s="1"/>
      <c r="AK52" s="1"/>
      <c r="AL52" s="478"/>
      <c r="AM52" s="1"/>
    </row>
    <row r="53" spans="1:39" customFormat="1" ht="57" customHeight="1" x14ac:dyDescent="0.3">
      <c r="A53" s="853" t="s">
        <v>6279</v>
      </c>
      <c r="B53" s="853"/>
      <c r="C53" s="853"/>
      <c r="D53" s="853"/>
      <c r="E53" s="853" t="s">
        <v>117</v>
      </c>
      <c r="F53" s="853"/>
      <c r="G53" s="853"/>
      <c r="H53" s="853"/>
      <c r="I53" s="853"/>
      <c r="J53" s="853"/>
      <c r="K53" s="853"/>
      <c r="L53" s="853"/>
      <c r="M53" s="853"/>
      <c r="N53" s="853"/>
      <c r="O53" s="853"/>
      <c r="P53" s="853"/>
      <c r="Q53" s="1343" t="s">
        <v>864</v>
      </c>
      <c r="R53" s="1343"/>
      <c r="S53" s="1343"/>
      <c r="T53" s="1343"/>
      <c r="U53" s="1514" t="s">
        <v>6240</v>
      </c>
      <c r="V53" s="1514"/>
      <c r="W53" s="1514"/>
      <c r="X53" s="1514"/>
      <c r="Y53" s="854" t="s">
        <v>6280</v>
      </c>
      <c r="Z53" s="853"/>
      <c r="AA53" s="853"/>
      <c r="AB53" s="853"/>
      <c r="AC53" s="853"/>
      <c r="AD53" s="853"/>
      <c r="AE53" s="853"/>
      <c r="AF53" s="853"/>
      <c r="AG53" s="1"/>
      <c r="AH53" s="1"/>
      <c r="AI53" s="1"/>
      <c r="AJ53" s="1"/>
      <c r="AK53" s="1"/>
      <c r="AL53" s="478"/>
      <c r="AM53" s="1"/>
    </row>
    <row r="54" spans="1:39" customFormat="1" ht="35.25" customHeight="1" x14ac:dyDescent="0.3">
      <c r="A54" s="1540" t="s">
        <v>1472</v>
      </c>
      <c r="B54" s="1539"/>
      <c r="C54" s="1539"/>
      <c r="D54" s="1539"/>
      <c r="E54" s="853" t="s">
        <v>1473</v>
      </c>
      <c r="F54" s="853"/>
      <c r="G54" s="853"/>
      <c r="H54" s="853"/>
      <c r="I54" s="853"/>
      <c r="J54" s="853"/>
      <c r="K54" s="853"/>
      <c r="L54" s="853"/>
      <c r="M54" s="853"/>
      <c r="N54" s="853"/>
      <c r="O54" s="853"/>
      <c r="P54" s="853"/>
      <c r="Q54" s="1343">
        <v>8.3000000000000007</v>
      </c>
      <c r="R54" s="1343"/>
      <c r="S54" s="1343"/>
      <c r="T54" s="1343"/>
      <c r="U54" s="1514" t="s">
        <v>6281</v>
      </c>
      <c r="V54" s="1514"/>
      <c r="W54" s="1514"/>
      <c r="X54" s="1514"/>
      <c r="Y54" s="1538" t="s">
        <v>20</v>
      </c>
      <c r="Z54" s="1343"/>
      <c r="AA54" s="1343"/>
      <c r="AB54" s="1343"/>
      <c r="AC54" s="1343"/>
      <c r="AD54" s="1343"/>
      <c r="AE54" s="1343"/>
      <c r="AF54" s="1343"/>
      <c r="AG54" s="1"/>
      <c r="AH54" s="1"/>
      <c r="AI54" s="1"/>
      <c r="AJ54" s="1"/>
      <c r="AK54" s="1"/>
      <c r="AL54" s="478"/>
      <c r="AM54" s="1"/>
    </row>
    <row r="55" spans="1:39" customFormat="1" ht="27.75" customHeight="1" x14ac:dyDescent="0.3">
      <c r="A55" s="1539" t="s">
        <v>6282</v>
      </c>
      <c r="B55" s="1539"/>
      <c r="C55" s="1539"/>
      <c r="D55" s="1539"/>
      <c r="E55" s="853" t="s">
        <v>1477</v>
      </c>
      <c r="F55" s="853"/>
      <c r="G55" s="853"/>
      <c r="H55" s="853"/>
      <c r="I55" s="853"/>
      <c r="J55" s="853"/>
      <c r="K55" s="853"/>
      <c r="L55" s="853"/>
      <c r="M55" s="853"/>
      <c r="N55" s="853"/>
      <c r="O55" s="853"/>
      <c r="P55" s="853"/>
      <c r="Q55" s="1514">
        <v>1</v>
      </c>
      <c r="R55" s="1514"/>
      <c r="S55" s="1514"/>
      <c r="T55" s="1514"/>
      <c r="U55" s="1514" t="s">
        <v>6283</v>
      </c>
      <c r="V55" s="1514"/>
      <c r="W55" s="1514"/>
      <c r="X55" s="1514"/>
      <c r="Y55" s="1538" t="s">
        <v>20</v>
      </c>
      <c r="Z55" s="1343"/>
      <c r="AA55" s="1343"/>
      <c r="AB55" s="1343"/>
      <c r="AC55" s="1343"/>
      <c r="AD55" s="1343"/>
      <c r="AE55" s="1343"/>
      <c r="AF55" s="1343"/>
      <c r="AG55" s="1"/>
      <c r="AH55" s="1"/>
      <c r="AI55" s="1"/>
      <c r="AJ55" s="1"/>
      <c r="AK55" s="1"/>
      <c r="AL55" s="478"/>
      <c r="AM55" s="1"/>
    </row>
    <row r="56" spans="1:39" customFormat="1" ht="27.75" customHeight="1" x14ac:dyDescent="0.3">
      <c r="A56" s="853" t="s">
        <v>6284</v>
      </c>
      <c r="B56" s="853"/>
      <c r="C56" s="853"/>
      <c r="D56" s="853"/>
      <c r="E56" s="853" t="s">
        <v>6241</v>
      </c>
      <c r="F56" s="853"/>
      <c r="G56" s="853"/>
      <c r="H56" s="853"/>
      <c r="I56" s="853"/>
      <c r="J56" s="853"/>
      <c r="K56" s="853"/>
      <c r="L56" s="853"/>
      <c r="M56" s="853"/>
      <c r="N56" s="853"/>
      <c r="O56" s="853"/>
      <c r="P56" s="853"/>
      <c r="Q56" s="1343">
        <v>114.1</v>
      </c>
      <c r="R56" s="1343"/>
      <c r="S56" s="1343"/>
      <c r="T56" s="1343"/>
      <c r="U56" s="1514" t="s">
        <v>158</v>
      </c>
      <c r="V56" s="1514"/>
      <c r="W56" s="1514"/>
      <c r="X56" s="1514"/>
      <c r="Y56" s="854" t="s">
        <v>6285</v>
      </c>
      <c r="Z56" s="854"/>
      <c r="AA56" s="854"/>
      <c r="AB56" s="854"/>
      <c r="AC56" s="854"/>
      <c r="AD56" s="854"/>
      <c r="AE56" s="854"/>
      <c r="AF56" s="854"/>
      <c r="AG56" s="1"/>
      <c r="AH56" s="1"/>
      <c r="AI56" s="1"/>
      <c r="AJ56" s="1"/>
      <c r="AK56" s="1"/>
      <c r="AL56" s="478"/>
      <c r="AM56" s="1"/>
    </row>
    <row r="57" spans="1:39" customFormat="1" ht="27.75" customHeight="1" x14ac:dyDescent="0.3">
      <c r="A57" s="853" t="s">
        <v>6286</v>
      </c>
      <c r="B57" s="853"/>
      <c r="C57" s="853"/>
      <c r="D57" s="853"/>
      <c r="E57" s="853" t="s">
        <v>6242</v>
      </c>
      <c r="F57" s="853"/>
      <c r="G57" s="853"/>
      <c r="H57" s="853"/>
      <c r="I57" s="853"/>
      <c r="J57" s="853"/>
      <c r="K57" s="853"/>
      <c r="L57" s="853"/>
      <c r="M57" s="853"/>
      <c r="N57" s="853"/>
      <c r="O57" s="853"/>
      <c r="P57" s="853"/>
      <c r="Q57" s="1343">
        <v>75</v>
      </c>
      <c r="R57" s="1343"/>
      <c r="S57" s="1343"/>
      <c r="T57" s="1343"/>
      <c r="U57" s="1514" t="s">
        <v>158</v>
      </c>
      <c r="V57" s="1514"/>
      <c r="W57" s="1514"/>
      <c r="X57" s="1514"/>
      <c r="Y57" s="854" t="s">
        <v>6287</v>
      </c>
      <c r="Z57" s="854"/>
      <c r="AA57" s="854"/>
      <c r="AB57" s="854"/>
      <c r="AC57" s="854"/>
      <c r="AD57" s="854"/>
      <c r="AE57" s="854"/>
      <c r="AF57" s="854"/>
      <c r="AG57" s="1"/>
      <c r="AH57" s="1"/>
      <c r="AI57" s="1"/>
      <c r="AJ57" s="1"/>
      <c r="AK57" s="1"/>
      <c r="AL57" s="478"/>
      <c r="AM57" s="1"/>
    </row>
    <row r="58" spans="1:39" customFormat="1" ht="102" customHeight="1" x14ac:dyDescent="0.3">
      <c r="A58" s="853" t="s">
        <v>6243</v>
      </c>
      <c r="B58" s="853"/>
      <c r="C58" s="853"/>
      <c r="D58" s="853"/>
      <c r="E58" s="853" t="s">
        <v>6244</v>
      </c>
      <c r="F58" s="853"/>
      <c r="G58" s="853"/>
      <c r="H58" s="853"/>
      <c r="I58" s="853"/>
      <c r="J58" s="853"/>
      <c r="K58" s="853"/>
      <c r="L58" s="853"/>
      <c r="M58" s="853"/>
      <c r="N58" s="853"/>
      <c r="O58" s="853"/>
      <c r="P58" s="853"/>
      <c r="Q58" s="1343" t="s">
        <v>864</v>
      </c>
      <c r="R58" s="1343"/>
      <c r="S58" s="1343"/>
      <c r="T58" s="1343"/>
      <c r="U58" s="1514" t="s">
        <v>20</v>
      </c>
      <c r="V58" s="1514"/>
      <c r="W58" s="1514"/>
      <c r="X58" s="1514"/>
      <c r="Y58" s="854" t="s">
        <v>6288</v>
      </c>
      <c r="Z58" s="854"/>
      <c r="AA58" s="854"/>
      <c r="AB58" s="854"/>
      <c r="AC58" s="854"/>
      <c r="AD58" s="854"/>
      <c r="AE58" s="854"/>
      <c r="AF58" s="854"/>
      <c r="AG58" s="1"/>
      <c r="AH58" s="1"/>
      <c r="AI58" s="1"/>
      <c r="AJ58" s="1"/>
      <c r="AK58" s="1"/>
      <c r="AL58" s="478"/>
      <c r="AM58" s="1"/>
    </row>
    <row r="59" spans="1:39" customFormat="1" ht="36.75" customHeight="1" x14ac:dyDescent="0.3">
      <c r="A59" s="853" t="s">
        <v>159</v>
      </c>
      <c r="B59" s="853"/>
      <c r="C59" s="853"/>
      <c r="D59" s="853"/>
      <c r="E59" s="853" t="s">
        <v>160</v>
      </c>
      <c r="F59" s="853"/>
      <c r="G59" s="853"/>
      <c r="H59" s="853"/>
      <c r="I59" s="853"/>
      <c r="J59" s="853"/>
      <c r="K59" s="853"/>
      <c r="L59" s="853"/>
      <c r="M59" s="853"/>
      <c r="N59" s="853"/>
      <c r="O59" s="853"/>
      <c r="P59" s="853"/>
      <c r="Q59" s="1537">
        <v>3412</v>
      </c>
      <c r="R59" s="1537"/>
      <c r="S59" s="1537"/>
      <c r="T59" s="1537"/>
      <c r="U59" s="1514" t="s">
        <v>943</v>
      </c>
      <c r="V59" s="1514"/>
      <c r="W59" s="1514"/>
      <c r="X59" s="1514"/>
      <c r="Y59" s="1538" t="s">
        <v>20</v>
      </c>
      <c r="Z59" s="1343"/>
      <c r="AA59" s="1343"/>
      <c r="AB59" s="1343"/>
      <c r="AC59" s="1343"/>
      <c r="AD59" s="1343"/>
      <c r="AE59" s="1343"/>
      <c r="AF59" s="1343"/>
      <c r="AG59" s="1"/>
      <c r="AH59" s="1"/>
      <c r="AI59" s="1"/>
      <c r="AJ59" s="1"/>
      <c r="AK59" s="1"/>
      <c r="AL59" s="709"/>
      <c r="AM59" s="1"/>
    </row>
    <row r="60" spans="1:39" customFormat="1" ht="140.25" customHeight="1" x14ac:dyDescent="0.3">
      <c r="A60" s="853" t="s">
        <v>21</v>
      </c>
      <c r="B60" s="853"/>
      <c r="C60" s="853"/>
      <c r="D60" s="853"/>
      <c r="E60" s="854" t="s">
        <v>6245</v>
      </c>
      <c r="F60" s="854"/>
      <c r="G60" s="854"/>
      <c r="H60" s="854"/>
      <c r="I60" s="854"/>
      <c r="J60" s="854"/>
      <c r="K60" s="854"/>
      <c r="L60" s="854"/>
      <c r="M60" s="854"/>
      <c r="N60" s="854"/>
      <c r="O60" s="854"/>
      <c r="P60" s="854"/>
      <c r="Q60" s="1343">
        <v>0.74</v>
      </c>
      <c r="R60" s="1343"/>
      <c r="S60" s="1343"/>
      <c r="T60" s="1343"/>
      <c r="U60" s="1514" t="s">
        <v>20</v>
      </c>
      <c r="V60" s="1514"/>
      <c r="W60" s="1514"/>
      <c r="X60" s="1514"/>
      <c r="Y60" s="1163" t="s">
        <v>6289</v>
      </c>
      <c r="Z60" s="1164"/>
      <c r="AA60" s="1164"/>
      <c r="AB60" s="1164"/>
      <c r="AC60" s="1164"/>
      <c r="AD60" s="1164"/>
      <c r="AE60" s="1164"/>
      <c r="AF60" s="1165"/>
      <c r="AG60" s="1"/>
      <c r="AH60" s="1"/>
      <c r="AI60" s="1"/>
      <c r="AJ60" s="1"/>
      <c r="AK60" s="1"/>
      <c r="AL60" s="478"/>
      <c r="AM60" s="1"/>
    </row>
    <row r="61" spans="1:39" customFormat="1" ht="99.75" customHeight="1" x14ac:dyDescent="0.3">
      <c r="A61" s="853" t="s">
        <v>235</v>
      </c>
      <c r="B61" s="853"/>
      <c r="C61" s="853"/>
      <c r="D61" s="853"/>
      <c r="E61" s="854" t="s">
        <v>6246</v>
      </c>
      <c r="F61" s="854"/>
      <c r="G61" s="854"/>
      <c r="H61" s="854"/>
      <c r="I61" s="854"/>
      <c r="J61" s="854"/>
      <c r="K61" s="854"/>
      <c r="L61" s="854"/>
      <c r="M61" s="854"/>
      <c r="N61" s="854"/>
      <c r="O61" s="854"/>
      <c r="P61" s="854"/>
      <c r="Q61" s="1344">
        <v>3947</v>
      </c>
      <c r="R61" s="1343"/>
      <c r="S61" s="1343"/>
      <c r="T61" s="1343"/>
      <c r="U61" s="1514" t="s">
        <v>37</v>
      </c>
      <c r="V61" s="1514"/>
      <c r="W61" s="1514"/>
      <c r="X61" s="1514"/>
      <c r="Y61" s="1163" t="s">
        <v>6290</v>
      </c>
      <c r="Z61" s="1164"/>
      <c r="AA61" s="1164"/>
      <c r="AB61" s="1164"/>
      <c r="AC61" s="1164"/>
      <c r="AD61" s="1164"/>
      <c r="AE61" s="1164"/>
      <c r="AF61" s="1165"/>
      <c r="AG61" s="1"/>
      <c r="AH61" s="1"/>
      <c r="AI61" s="1"/>
      <c r="AJ61" s="1"/>
      <c r="AK61" s="1"/>
      <c r="AL61" s="478"/>
      <c r="AM61" s="1"/>
    </row>
    <row r="62" spans="1:39" customFormat="1" ht="25.5" customHeight="1" x14ac:dyDescent="0.3">
      <c r="A62" s="853" t="s">
        <v>3886</v>
      </c>
      <c r="B62" s="853"/>
      <c r="C62" s="853"/>
      <c r="D62" s="853"/>
      <c r="E62" s="853" t="s">
        <v>2050</v>
      </c>
      <c r="F62" s="853"/>
      <c r="G62" s="853"/>
      <c r="H62" s="853"/>
      <c r="I62" s="853"/>
      <c r="J62" s="853"/>
      <c r="K62" s="853"/>
      <c r="L62" s="853"/>
      <c r="M62" s="853"/>
      <c r="N62" s="853"/>
      <c r="O62" s="853"/>
      <c r="P62" s="853"/>
      <c r="Q62" s="1514">
        <f>'Master EUL'!X119</f>
        <v>5</v>
      </c>
      <c r="R62" s="1514"/>
      <c r="S62" s="1514"/>
      <c r="T62" s="1514"/>
      <c r="U62" s="1514" t="s">
        <v>38</v>
      </c>
      <c r="V62" s="1514"/>
      <c r="W62" s="1514"/>
      <c r="X62" s="1514"/>
      <c r="Y62" s="853" t="s">
        <v>6247</v>
      </c>
      <c r="Z62" s="853"/>
      <c r="AA62" s="853"/>
      <c r="AB62" s="853"/>
      <c r="AC62" s="853"/>
      <c r="AD62" s="853"/>
      <c r="AE62" s="853"/>
      <c r="AF62" s="853"/>
      <c r="AG62" s="1"/>
      <c r="AH62" s="1"/>
      <c r="AI62" s="1"/>
      <c r="AJ62" s="1"/>
      <c r="AK62" s="1"/>
      <c r="AL62" s="478"/>
      <c r="AM62" s="1"/>
    </row>
    <row r="63" spans="1:39" customFormat="1" x14ac:dyDescent="0.3">
      <c r="A63" s="482" t="s">
        <v>830</v>
      </c>
      <c r="B63" s="483"/>
      <c r="C63" s="483"/>
      <c r="D63" s="483"/>
      <c r="E63" s="483"/>
      <c r="F63" s="483"/>
      <c r="G63" s="483"/>
      <c r="H63" s="483"/>
      <c r="I63" s="483"/>
      <c r="J63" s="483"/>
      <c r="K63" s="483"/>
      <c r="L63" s="483"/>
      <c r="M63" s="483"/>
      <c r="N63" s="483"/>
      <c r="O63" s="483"/>
      <c r="P63" s="483"/>
      <c r="Q63" s="486"/>
      <c r="R63" s="486"/>
      <c r="S63" s="486"/>
      <c r="T63" s="486"/>
      <c r="U63" s="486"/>
      <c r="V63" s="486"/>
      <c r="W63" s="486"/>
      <c r="X63" s="486"/>
      <c r="Y63" s="483"/>
      <c r="Z63" s="483"/>
      <c r="AA63" s="483"/>
      <c r="AB63" s="483"/>
      <c r="AC63" s="483"/>
      <c r="AD63" s="483"/>
      <c r="AE63" s="483"/>
      <c r="AF63" s="483"/>
      <c r="AG63" s="1"/>
      <c r="AH63" s="1"/>
      <c r="AI63" s="1"/>
      <c r="AJ63" s="1"/>
      <c r="AK63" s="1"/>
      <c r="AL63" s="766"/>
      <c r="AM63" s="1"/>
    </row>
    <row r="64" spans="1:39" customFormat="1" x14ac:dyDescent="0.3">
      <c r="A64" s="1355" t="s">
        <v>6248</v>
      </c>
      <c r="B64" s="1355"/>
      <c r="C64" s="1355"/>
      <c r="D64" s="1355"/>
      <c r="E64" s="1355"/>
      <c r="F64" s="1355"/>
      <c r="G64" s="1355"/>
      <c r="H64" s="1355"/>
      <c r="I64" s="1355"/>
      <c r="J64" s="1355"/>
      <c r="K64" s="1355"/>
      <c r="L64" s="1355"/>
      <c r="M64" s="1355"/>
      <c r="N64" s="1355"/>
      <c r="O64" s="1355"/>
      <c r="P64" s="1355"/>
      <c r="Q64" s="1355"/>
      <c r="R64" s="1355"/>
      <c r="S64" s="1355"/>
      <c r="T64" s="1355"/>
      <c r="U64" s="1355"/>
      <c r="V64" s="1355"/>
      <c r="W64" s="1355"/>
      <c r="X64" s="1355"/>
      <c r="Y64" s="1355"/>
      <c r="Z64" s="1355"/>
      <c r="AA64" s="1355"/>
      <c r="AB64" s="1355"/>
      <c r="AC64" s="1355"/>
      <c r="AD64" s="1355"/>
      <c r="AE64" s="1355"/>
      <c r="AF64" s="1355"/>
      <c r="AG64" s="1"/>
      <c r="AH64" s="1"/>
      <c r="AI64" s="1"/>
      <c r="AJ64" s="1"/>
      <c r="AK64" s="1"/>
      <c r="AL64" s="709"/>
      <c r="AM64" s="1"/>
    </row>
    <row r="65" spans="1:43" customFormat="1" ht="36.75" customHeight="1" x14ac:dyDescent="0.3">
      <c r="A65" s="1355" t="s">
        <v>6249</v>
      </c>
      <c r="B65" s="1355"/>
      <c r="C65" s="1355"/>
      <c r="D65" s="1355"/>
      <c r="E65" s="1355"/>
      <c r="F65" s="1355"/>
      <c r="G65" s="1355"/>
      <c r="H65" s="1355"/>
      <c r="I65" s="1355"/>
      <c r="J65" s="1355"/>
      <c r="K65" s="1355"/>
      <c r="L65" s="1355"/>
      <c r="M65" s="1355"/>
      <c r="N65" s="1355"/>
      <c r="O65" s="1355"/>
      <c r="P65" s="1355"/>
      <c r="Q65" s="1355"/>
      <c r="R65" s="1355"/>
      <c r="S65" s="1355"/>
      <c r="T65" s="1355"/>
      <c r="U65" s="1355"/>
      <c r="V65" s="1355"/>
      <c r="W65" s="1355"/>
      <c r="X65" s="1355"/>
      <c r="Y65" s="1355"/>
      <c r="Z65" s="1355"/>
      <c r="AA65" s="1355"/>
      <c r="AB65" s="1355"/>
      <c r="AC65" s="1355"/>
      <c r="AD65" s="1355"/>
      <c r="AE65" s="1355"/>
      <c r="AF65" s="1355"/>
      <c r="AG65" s="1"/>
      <c r="AH65" s="1"/>
      <c r="AI65" s="1"/>
      <c r="AJ65" s="1"/>
      <c r="AK65" s="1"/>
      <c r="AL65" s="709"/>
      <c r="AM65" s="1"/>
    </row>
    <row r="66" spans="1:43" customFormat="1" ht="42" customHeight="1" x14ac:dyDescent="0.3">
      <c r="A66" s="1355" t="s">
        <v>6250</v>
      </c>
      <c r="B66" s="1355"/>
      <c r="C66" s="1355"/>
      <c r="D66" s="1355"/>
      <c r="E66" s="1355"/>
      <c r="F66" s="1355"/>
      <c r="G66" s="1355"/>
      <c r="H66" s="1355"/>
      <c r="I66" s="1355"/>
      <c r="J66" s="1355"/>
      <c r="K66" s="1355"/>
      <c r="L66" s="1355"/>
      <c r="M66" s="1355"/>
      <c r="N66" s="1355"/>
      <c r="O66" s="1355"/>
      <c r="P66" s="1355"/>
      <c r="Q66" s="1355"/>
      <c r="R66" s="1355"/>
      <c r="S66" s="1355"/>
      <c r="T66" s="1355"/>
      <c r="U66" s="1355"/>
      <c r="V66" s="1355"/>
      <c r="W66" s="1355"/>
      <c r="X66" s="1355"/>
      <c r="Y66" s="1355"/>
      <c r="Z66" s="1355"/>
      <c r="AA66" s="1355"/>
      <c r="AB66" s="1355"/>
      <c r="AC66" s="1355"/>
      <c r="AD66" s="1355"/>
      <c r="AE66" s="1355"/>
      <c r="AF66" s="1355"/>
      <c r="AG66" s="1"/>
      <c r="AH66" s="1"/>
      <c r="AI66" s="1"/>
      <c r="AJ66" s="1"/>
      <c r="AK66" s="1"/>
      <c r="AL66" s="709"/>
      <c r="AM66" s="1"/>
    </row>
    <row r="67" spans="1:43" customFormat="1" ht="30.75" customHeight="1" x14ac:dyDescent="0.3">
      <c r="A67" s="1355" t="s">
        <v>6251</v>
      </c>
      <c r="B67" s="1355"/>
      <c r="C67" s="1355"/>
      <c r="D67" s="1355"/>
      <c r="E67" s="1355"/>
      <c r="F67" s="1355"/>
      <c r="G67" s="1355"/>
      <c r="H67" s="1355"/>
      <c r="I67" s="1355"/>
      <c r="J67" s="1355"/>
      <c r="K67" s="1355"/>
      <c r="L67" s="1355"/>
      <c r="M67" s="1355"/>
      <c r="N67" s="1355"/>
      <c r="O67" s="1355"/>
      <c r="P67" s="1355"/>
      <c r="Q67" s="1355"/>
      <c r="R67" s="1355"/>
      <c r="S67" s="1355"/>
      <c r="T67" s="1355"/>
      <c r="U67" s="1355"/>
      <c r="V67" s="1355"/>
      <c r="W67" s="1355"/>
      <c r="X67" s="1355"/>
      <c r="Y67" s="1355"/>
      <c r="Z67" s="1355"/>
      <c r="AA67" s="1355"/>
      <c r="AB67" s="1355"/>
      <c r="AC67" s="1355"/>
      <c r="AD67" s="1355"/>
      <c r="AE67" s="1355"/>
      <c r="AF67" s="1355"/>
      <c r="AG67" s="1"/>
      <c r="AH67" s="1"/>
      <c r="AI67" s="1"/>
      <c r="AJ67" s="1"/>
      <c r="AK67" s="1"/>
      <c r="AL67" s="709"/>
      <c r="AM67" s="1"/>
    </row>
    <row r="68" spans="1:43" customFormat="1" ht="40.5" customHeight="1" x14ac:dyDescent="0.3">
      <c r="A68" s="1355" t="s">
        <v>6252</v>
      </c>
      <c r="B68" s="1355"/>
      <c r="C68" s="1355"/>
      <c r="D68" s="1355"/>
      <c r="E68" s="1355"/>
      <c r="F68" s="1355"/>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
      <c r="AH68" s="1"/>
      <c r="AI68" s="1"/>
      <c r="AJ68" s="1"/>
      <c r="AK68" s="1"/>
      <c r="AL68" s="709"/>
      <c r="AM68" s="1"/>
    </row>
    <row r="69" spans="1:43" customFormat="1" x14ac:dyDescent="0.3">
      <c r="A69" s="1355" t="s">
        <v>6253</v>
      </c>
      <c r="B69" s="1355"/>
      <c r="C69" s="1355"/>
      <c r="D69" s="1355"/>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
      <c r="AH69" s="1"/>
      <c r="AI69" s="1"/>
      <c r="AJ69" s="1"/>
      <c r="AK69" s="1"/>
      <c r="AL69" s="709"/>
      <c r="AM69" s="1"/>
    </row>
    <row r="70" spans="1:43" customFormat="1" ht="51.75" customHeight="1" x14ac:dyDescent="0.3">
      <c r="A70" s="1355" t="s">
        <v>6254</v>
      </c>
      <c r="B70" s="1355"/>
      <c r="C70" s="1355"/>
      <c r="D70" s="1355"/>
      <c r="E70" s="1355"/>
      <c r="F70" s="1355"/>
      <c r="G70" s="1355"/>
      <c r="H70" s="1355"/>
      <c r="I70" s="1355"/>
      <c r="J70" s="1355"/>
      <c r="K70" s="1355"/>
      <c r="L70" s="1355"/>
      <c r="M70" s="1355"/>
      <c r="N70" s="1355"/>
      <c r="O70" s="1355"/>
      <c r="P70" s="1355"/>
      <c r="Q70" s="1355"/>
      <c r="R70" s="1355"/>
      <c r="S70" s="1355"/>
      <c r="T70" s="1355"/>
      <c r="U70" s="1355"/>
      <c r="V70" s="1355"/>
      <c r="W70" s="1355"/>
      <c r="X70" s="1355"/>
      <c r="Y70" s="1355"/>
      <c r="Z70" s="1355"/>
      <c r="AA70" s="1355"/>
      <c r="AB70" s="1355"/>
      <c r="AC70" s="1355"/>
      <c r="AD70" s="1355"/>
      <c r="AE70" s="1355"/>
      <c r="AF70" s="1355"/>
      <c r="AG70" s="1"/>
      <c r="AH70" s="1"/>
      <c r="AI70" s="1"/>
      <c r="AJ70" s="1"/>
      <c r="AK70" s="1"/>
      <c r="AL70" s="709"/>
      <c r="AM70" s="1"/>
    </row>
    <row r="71" spans="1:43" customFormat="1" x14ac:dyDescent="0.3">
      <c r="A71" s="743"/>
      <c r="B71" s="743"/>
      <c r="C71" s="743"/>
      <c r="D71" s="743"/>
      <c r="E71" s="743"/>
      <c r="F71" s="743"/>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1"/>
      <c r="AH71" s="1"/>
      <c r="AI71" s="1"/>
      <c r="AJ71" s="1"/>
      <c r="AK71" s="1"/>
      <c r="AL71" s="709"/>
      <c r="AM71" s="1"/>
    </row>
    <row r="72" spans="1:43" customFormat="1" ht="16.2" x14ac:dyDescent="0.3">
      <c r="A72" s="600" t="s">
        <v>6291</v>
      </c>
      <c r="B72" s="94"/>
      <c r="C72" s="94"/>
      <c r="D72" s="94"/>
      <c r="E72" s="94"/>
      <c r="F72" s="94"/>
      <c r="G72" s="94"/>
      <c r="H72" s="94"/>
      <c r="I72" s="94"/>
      <c r="J72" s="94"/>
      <c r="K72" s="94"/>
      <c r="L72" s="94"/>
      <c r="M72" s="94"/>
      <c r="N72" s="94"/>
      <c r="O72" s="94"/>
      <c r="P72" s="94"/>
      <c r="Q72" s="94"/>
      <c r="R72" s="94"/>
      <c r="S72" s="94"/>
      <c r="T72" s="94"/>
      <c r="U72" s="743"/>
      <c r="V72" s="743"/>
      <c r="W72" s="743"/>
      <c r="X72" s="743"/>
      <c r="Y72" s="743"/>
      <c r="Z72" s="743"/>
      <c r="AA72" s="743"/>
      <c r="AB72" s="743"/>
      <c r="AC72" s="743"/>
      <c r="AD72" s="743"/>
      <c r="AE72" s="743"/>
      <c r="AF72" s="743"/>
      <c r="AG72" s="1"/>
      <c r="AH72" s="1"/>
      <c r="AI72" s="1"/>
      <c r="AJ72" s="1"/>
      <c r="AK72" s="1"/>
      <c r="AL72" s="478"/>
      <c r="AM72" s="1"/>
    </row>
    <row r="73" spans="1:43" customFormat="1" ht="45.75" customHeight="1" x14ac:dyDescent="0.3">
      <c r="A73" s="1203" t="s">
        <v>46</v>
      </c>
      <c r="B73" s="1204"/>
      <c r="C73" s="1204"/>
      <c r="D73" s="1204"/>
      <c r="E73" s="1204"/>
      <c r="F73" s="1204"/>
      <c r="G73" s="1204"/>
      <c r="H73" s="1205"/>
      <c r="I73" s="1206" t="s">
        <v>6292</v>
      </c>
      <c r="J73" s="1206"/>
      <c r="K73" s="1206"/>
      <c r="L73" s="1206"/>
      <c r="M73" s="1203" t="s">
        <v>6255</v>
      </c>
      <c r="N73" s="1204"/>
      <c r="O73" s="1204"/>
      <c r="P73" s="1204"/>
      <c r="Q73" s="1204"/>
      <c r="R73" s="1204"/>
      <c r="S73" s="1204"/>
      <c r="T73" s="1205"/>
      <c r="U73" s="1203" t="s">
        <v>6256</v>
      </c>
      <c r="V73" s="1204"/>
      <c r="W73" s="1204"/>
      <c r="X73" s="1204"/>
      <c r="Y73" s="1204"/>
      <c r="Z73" s="1204"/>
      <c r="AA73" s="1204"/>
      <c r="AB73" s="1205"/>
      <c r="AC73" s="743"/>
      <c r="AD73" s="743"/>
      <c r="AE73" s="743"/>
      <c r="AF73" s="743"/>
      <c r="AG73" s="774"/>
      <c r="AH73" s="774"/>
      <c r="AI73" s="774"/>
      <c r="AJ73" s="774"/>
      <c r="AK73" s="1"/>
      <c r="AL73" s="1"/>
      <c r="AM73" s="1"/>
      <c r="AN73" s="1"/>
      <c r="AO73" s="1"/>
      <c r="AP73" s="709"/>
      <c r="AQ73" s="1"/>
    </row>
    <row r="74" spans="1:43" customFormat="1" x14ac:dyDescent="0.3">
      <c r="A74" s="1514" t="s">
        <v>647</v>
      </c>
      <c r="B74" s="1514"/>
      <c r="C74" s="1514"/>
      <c r="D74" s="1514"/>
      <c r="E74" s="1514"/>
      <c r="F74" s="1514"/>
      <c r="G74" s="1514"/>
      <c r="H74" s="1514"/>
      <c r="I74" s="1533">
        <v>365</v>
      </c>
      <c r="J74" s="1533"/>
      <c r="K74" s="1533"/>
      <c r="L74" s="1533"/>
      <c r="M74" s="1534">
        <f>ROUND(0.9349-(0.0001*55),2)</f>
        <v>0.93</v>
      </c>
      <c r="N74" s="1535"/>
      <c r="O74" s="1535"/>
      <c r="P74" s="1535"/>
      <c r="Q74" s="1535"/>
      <c r="R74" s="1535"/>
      <c r="S74" s="1535"/>
      <c r="T74" s="1536"/>
      <c r="U74" s="1534">
        <f>ROUND(2.2418-0.0011*56,2)</f>
        <v>2.1800000000000002</v>
      </c>
      <c r="V74" s="1535"/>
      <c r="W74" s="1535"/>
      <c r="X74" s="1535"/>
      <c r="Y74" s="1535"/>
      <c r="Z74" s="1535"/>
      <c r="AA74" s="1535"/>
      <c r="AB74" s="1536"/>
      <c r="AC74" s="743"/>
      <c r="AD74" s="743"/>
      <c r="AE74" s="743"/>
      <c r="AF74" s="743"/>
      <c r="AG74" s="774"/>
      <c r="AH74" s="774"/>
      <c r="AI74" s="774"/>
      <c r="AJ74" s="774"/>
      <c r="AK74" s="1"/>
      <c r="AL74" s="1"/>
      <c r="AM74" s="1"/>
      <c r="AN74" s="1"/>
      <c r="AO74" s="1"/>
      <c r="AP74" s="709"/>
      <c r="AQ74" s="1"/>
    </row>
    <row r="75" spans="1:43" customFormat="1" x14ac:dyDescent="0.3">
      <c r="A75" s="1514" t="s">
        <v>648</v>
      </c>
      <c r="B75" s="1514"/>
      <c r="C75" s="1514"/>
      <c r="D75" s="1514"/>
      <c r="E75" s="1514"/>
      <c r="F75" s="1514"/>
      <c r="G75" s="1514"/>
      <c r="H75" s="1514"/>
      <c r="I75" s="1533">
        <v>274</v>
      </c>
      <c r="J75" s="1533"/>
      <c r="K75" s="1533"/>
      <c r="L75" s="1533"/>
      <c r="M75" s="1534">
        <f t="shared" ref="M75:M76" si="0">ROUND(0.9349-(0.0001*55),2)</f>
        <v>0.93</v>
      </c>
      <c r="N75" s="1535"/>
      <c r="O75" s="1535"/>
      <c r="P75" s="1535"/>
      <c r="Q75" s="1535"/>
      <c r="R75" s="1535"/>
      <c r="S75" s="1535"/>
      <c r="T75" s="1536"/>
      <c r="U75" s="1534">
        <f>ROUND(2.2418-0.0011*120,2)</f>
        <v>2.11</v>
      </c>
      <c r="V75" s="1535"/>
      <c r="W75" s="1535"/>
      <c r="X75" s="1535"/>
      <c r="Y75" s="1535"/>
      <c r="Z75" s="1535"/>
      <c r="AA75" s="1535"/>
      <c r="AB75" s="1536"/>
      <c r="AC75" s="743"/>
      <c r="AD75" s="743"/>
      <c r="AE75" s="743"/>
      <c r="AF75" s="743"/>
      <c r="AG75" s="774"/>
      <c r="AH75" s="774"/>
      <c r="AI75" s="774"/>
      <c r="AJ75" s="774"/>
      <c r="AK75" s="1"/>
      <c r="AL75" s="1"/>
      <c r="AM75" s="1"/>
      <c r="AN75" s="1"/>
      <c r="AO75" s="1"/>
      <c r="AP75" s="709"/>
      <c r="AQ75" s="1"/>
    </row>
    <row r="76" spans="1:43" customFormat="1" x14ac:dyDescent="0.3">
      <c r="A76" s="1514" t="s">
        <v>649</v>
      </c>
      <c r="B76" s="1514"/>
      <c r="C76" s="1514"/>
      <c r="D76" s="1514"/>
      <c r="E76" s="1514"/>
      <c r="F76" s="1514"/>
      <c r="G76" s="1514"/>
      <c r="H76" s="1514"/>
      <c r="I76" s="1533">
        <v>200</v>
      </c>
      <c r="J76" s="1533"/>
      <c r="K76" s="1533"/>
      <c r="L76" s="1533"/>
      <c r="M76" s="1534">
        <f t="shared" si="0"/>
        <v>0.93</v>
      </c>
      <c r="N76" s="1535"/>
      <c r="O76" s="1535"/>
      <c r="P76" s="1535"/>
      <c r="Q76" s="1535"/>
      <c r="R76" s="1535"/>
      <c r="S76" s="1535"/>
      <c r="T76" s="1536"/>
      <c r="U76" s="1534">
        <f>ROUND(2.2418-0.0011*120,2)</f>
        <v>2.11</v>
      </c>
      <c r="V76" s="1535"/>
      <c r="W76" s="1535"/>
      <c r="X76" s="1535"/>
      <c r="Y76" s="1535"/>
      <c r="Z76" s="1535"/>
      <c r="AA76" s="1535"/>
      <c r="AB76" s="1536"/>
      <c r="AC76" s="743"/>
      <c r="AD76" s="743"/>
      <c r="AE76" s="743"/>
      <c r="AF76" s="743"/>
      <c r="AG76" s="774"/>
      <c r="AH76" s="774"/>
      <c r="AI76" s="774"/>
      <c r="AJ76" s="774"/>
      <c r="AK76" s="1"/>
      <c r="AL76" s="1"/>
      <c r="AM76" s="1"/>
      <c r="AN76" s="1"/>
      <c r="AO76" s="1"/>
      <c r="AP76" s="709"/>
      <c r="AQ76" s="1"/>
    </row>
    <row r="77" spans="1:43" customFormat="1" x14ac:dyDescent="0.3">
      <c r="A77" s="482" t="s">
        <v>831</v>
      </c>
      <c r="B77" s="743"/>
      <c r="C77" s="743"/>
      <c r="D77" s="743"/>
      <c r="E77" s="743"/>
      <c r="F77" s="743"/>
      <c r="G77" s="743"/>
      <c r="H77" s="743"/>
      <c r="I77" s="743"/>
      <c r="J77" s="743"/>
      <c r="K77" s="743"/>
      <c r="L77" s="743"/>
      <c r="M77" s="743"/>
      <c r="N77" s="743"/>
      <c r="O77" s="743"/>
      <c r="P77" s="743"/>
      <c r="Q77" s="743"/>
      <c r="R77" s="743"/>
      <c r="S77" s="743"/>
      <c r="T77" s="743"/>
      <c r="U77" s="743"/>
      <c r="V77" s="743"/>
      <c r="W77" s="743"/>
      <c r="X77" s="743"/>
      <c r="Y77" s="743"/>
      <c r="Z77" s="743"/>
      <c r="AA77" s="743"/>
      <c r="AB77" s="743"/>
      <c r="AC77" s="743"/>
      <c r="AD77" s="743"/>
      <c r="AE77" s="743"/>
      <c r="AF77" s="743"/>
      <c r="AG77" s="1"/>
      <c r="AH77" s="1"/>
      <c r="AI77" s="1"/>
      <c r="AJ77" s="1"/>
      <c r="AK77" s="1"/>
      <c r="AL77" s="709"/>
      <c r="AM77" s="1"/>
    </row>
    <row r="78" spans="1:43" customFormat="1" ht="28.5" customHeight="1" x14ac:dyDescent="0.3">
      <c r="A78" s="1355" t="s">
        <v>6257</v>
      </c>
      <c r="B78" s="1355"/>
      <c r="C78" s="1355"/>
      <c r="D78" s="1355"/>
      <c r="E78" s="1355"/>
      <c r="F78" s="1355"/>
      <c r="G78" s="1355"/>
      <c r="H78" s="1355"/>
      <c r="I78" s="1355"/>
      <c r="J78" s="1355"/>
      <c r="K78" s="1355"/>
      <c r="L78" s="1355"/>
      <c r="M78" s="1355"/>
      <c r="N78" s="1355"/>
      <c r="O78" s="1355"/>
      <c r="P78" s="1355"/>
      <c r="Q78" s="1355"/>
      <c r="R78" s="1355"/>
      <c r="S78" s="1355"/>
      <c r="T78" s="1355"/>
      <c r="U78" s="1355"/>
      <c r="V78" s="1355"/>
      <c r="W78" s="1355"/>
      <c r="X78" s="1355"/>
      <c r="Y78" s="1355"/>
      <c r="Z78" s="1355"/>
      <c r="AA78" s="1355"/>
      <c r="AB78" s="1355"/>
      <c r="AC78" s="511"/>
      <c r="AD78" s="511"/>
      <c r="AE78" s="511"/>
      <c r="AF78" s="511"/>
      <c r="AG78" s="1"/>
      <c r="AH78" s="1"/>
      <c r="AI78" s="1"/>
      <c r="AJ78" s="1"/>
      <c r="AK78" s="1"/>
      <c r="AL78" s="709"/>
      <c r="AM78" s="1"/>
    </row>
    <row r="79" spans="1:43" customFormat="1" x14ac:dyDescent="0.3">
      <c r="A79" s="743"/>
      <c r="B79" s="743"/>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743"/>
      <c r="AB79" s="743"/>
      <c r="AC79" s="743"/>
      <c r="AD79" s="743"/>
      <c r="AE79" s="743"/>
      <c r="AF79" s="743"/>
      <c r="AG79" s="1"/>
      <c r="AH79" s="1"/>
      <c r="AI79" s="1"/>
      <c r="AJ79" s="1"/>
      <c r="AK79" s="1"/>
      <c r="AL79" s="709"/>
      <c r="AM79" s="1"/>
    </row>
    <row r="80" spans="1:43" customFormat="1" x14ac:dyDescent="0.3">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
      <c r="AH80" s="1"/>
      <c r="AI80" s="1"/>
      <c r="AJ80" s="1"/>
      <c r="AK80" s="1"/>
      <c r="AL80" s="709"/>
      <c r="AM80" s="1"/>
    </row>
    <row r="81" spans="1:39" customFormat="1" x14ac:dyDescent="0.3">
      <c r="A81" s="1290" t="s">
        <v>14</v>
      </c>
      <c r="B81" s="1290"/>
      <c r="C81" s="1290"/>
      <c r="D81" s="1290"/>
      <c r="E81" s="1290"/>
      <c r="F81" s="1290"/>
      <c r="G81" s="1290"/>
      <c r="H81" s="1290"/>
      <c r="I81" s="1290"/>
      <c r="J81" s="1290"/>
      <c r="K81" s="1290"/>
      <c r="L81" s="1290"/>
      <c r="M81" s="1290"/>
      <c r="N81" s="1290"/>
      <c r="O81" s="1290"/>
      <c r="P81" s="1290"/>
      <c r="Q81" s="1290"/>
      <c r="R81" s="1290"/>
      <c r="S81" s="1290"/>
      <c r="T81" s="1290"/>
      <c r="U81" s="1290"/>
      <c r="V81" s="1290"/>
      <c r="W81" s="1290"/>
      <c r="X81" s="1290"/>
      <c r="Y81" s="1290"/>
      <c r="Z81" s="1290"/>
      <c r="AA81" s="1290"/>
      <c r="AB81" s="1290"/>
      <c r="AC81" s="1290"/>
      <c r="AD81" s="1290"/>
      <c r="AE81" s="1290"/>
      <c r="AF81" s="1290"/>
      <c r="AG81" s="1"/>
      <c r="AH81" s="1"/>
      <c r="AI81" s="1"/>
      <c r="AJ81" s="1"/>
      <c r="AK81" s="1"/>
      <c r="AL81" s="709"/>
      <c r="AM81" s="1"/>
    </row>
    <row r="82" spans="1:39" customFormat="1" ht="15" thickBot="1" x14ac:dyDescent="0.35">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
      <c r="AH82" s="1"/>
      <c r="AI82" s="1"/>
      <c r="AJ82" s="1"/>
      <c r="AK82" s="1"/>
      <c r="AL82" s="709"/>
      <c r="AM82" s="1"/>
    </row>
    <row r="83" spans="1:39" customFormat="1" ht="33" customHeight="1" x14ac:dyDescent="0.3">
      <c r="A83" s="1482" t="s">
        <v>15</v>
      </c>
      <c r="B83" s="1312"/>
      <c r="C83" s="1312"/>
      <c r="D83" s="1312"/>
      <c r="E83" s="1312"/>
      <c r="F83" s="1312"/>
      <c r="G83" s="1312"/>
      <c r="H83" s="1312"/>
      <c r="I83" s="1311" t="s">
        <v>16</v>
      </c>
      <c r="J83" s="1311"/>
      <c r="K83" s="1311"/>
      <c r="L83" s="1311"/>
      <c r="M83" s="1311"/>
      <c r="N83" s="1311"/>
      <c r="O83" s="1311"/>
      <c r="P83" s="1311"/>
      <c r="Q83" s="1311" t="s">
        <v>17</v>
      </c>
      <c r="R83" s="1311"/>
      <c r="S83" s="1311"/>
      <c r="T83" s="1311"/>
      <c r="U83" s="1311"/>
      <c r="V83" s="1311"/>
      <c r="W83" s="1311"/>
      <c r="X83" s="1531"/>
      <c r="Y83" s="1311" t="s">
        <v>1826</v>
      </c>
      <c r="Z83" s="1311"/>
      <c r="AA83" s="1311"/>
      <c r="AB83" s="1311"/>
      <c r="AC83" s="1311"/>
      <c r="AD83" s="1311"/>
      <c r="AE83" s="1311"/>
      <c r="AF83" s="1532"/>
      <c r="AG83" s="1"/>
      <c r="AH83" s="1"/>
      <c r="AI83" s="1"/>
      <c r="AJ83" s="1"/>
      <c r="AK83" s="1"/>
      <c r="AL83" s="478"/>
      <c r="AM83" s="1"/>
    </row>
    <row r="84" spans="1:39" customFormat="1" ht="46.5" customHeight="1" x14ac:dyDescent="0.3">
      <c r="A84" s="1519" t="s">
        <v>6258</v>
      </c>
      <c r="B84" s="1439"/>
      <c r="C84" s="1439"/>
      <c r="D84" s="1439"/>
      <c r="E84" s="1439"/>
      <c r="F84" s="1439"/>
      <c r="G84" s="1439"/>
      <c r="H84" s="1439"/>
      <c r="I84" s="1520">
        <f>ROUND(Q84*$Q$60/$Q$61,3)</f>
        <v>0.109</v>
      </c>
      <c r="J84" s="1520"/>
      <c r="K84" s="1520"/>
      <c r="L84" s="1520"/>
      <c r="M84" s="1520"/>
      <c r="N84" s="1520"/>
      <c r="O84" s="1520"/>
      <c r="P84" s="1520"/>
      <c r="Q84" s="1521">
        <f>ROUND(($Q$50-$Q$51)*$Q$52*I74*$Q$54*$Q$55*($Q$56-$Q$57)/(M74*$Q$59),2)</f>
        <v>582.34</v>
      </c>
      <c r="R84" s="1521"/>
      <c r="S84" s="1521"/>
      <c r="T84" s="1521"/>
      <c r="U84" s="1521"/>
      <c r="V84" s="1521"/>
      <c r="W84" s="1521"/>
      <c r="X84" s="1530"/>
      <c r="Y84" s="1522">
        <f>ROUND(Q84*$Q$62,2)</f>
        <v>2911.7</v>
      </c>
      <c r="Z84" s="1522"/>
      <c r="AA84" s="1522"/>
      <c r="AB84" s="1522"/>
      <c r="AC84" s="1522"/>
      <c r="AD84" s="1522"/>
      <c r="AE84" s="1522"/>
      <c r="AF84" s="1523"/>
      <c r="AG84" s="4"/>
      <c r="AH84" s="4"/>
      <c r="AI84" s="4"/>
      <c r="AJ84" s="4"/>
      <c r="AK84" s="4"/>
      <c r="AL84" s="758"/>
      <c r="AM84" s="4"/>
    </row>
    <row r="85" spans="1:39" customFormat="1" ht="41.25" customHeight="1" x14ac:dyDescent="0.3">
      <c r="A85" s="1519" t="s">
        <v>1199</v>
      </c>
      <c r="B85" s="1439"/>
      <c r="C85" s="1439"/>
      <c r="D85" s="1439"/>
      <c r="E85" s="1439"/>
      <c r="F85" s="1439"/>
      <c r="G85" s="1439"/>
      <c r="H85" s="1439"/>
      <c r="I85" s="1520">
        <f t="shared" ref="I85:I88" si="1">ROUND(Q85*$Q$60/$Q$61,3)</f>
        <v>8.2000000000000003E-2</v>
      </c>
      <c r="J85" s="1520"/>
      <c r="K85" s="1520"/>
      <c r="L85" s="1520"/>
      <c r="M85" s="1520"/>
      <c r="N85" s="1520"/>
      <c r="O85" s="1520"/>
      <c r="P85" s="1520"/>
      <c r="Q85" s="1521">
        <f>ROUND(($Q$50-$Q$51)*$Q$52*I75*$Q$54*$Q$55*($Q$56-$Q$57)/(M75*$Q$59),2)</f>
        <v>437.16</v>
      </c>
      <c r="R85" s="1521"/>
      <c r="S85" s="1521"/>
      <c r="T85" s="1521"/>
      <c r="U85" s="1521"/>
      <c r="V85" s="1521"/>
      <c r="W85" s="1521"/>
      <c r="X85" s="1521"/>
      <c r="Y85" s="1522">
        <f t="shared" ref="Y85:Y88" si="2">ROUND(Q85*$Q$62,2)</f>
        <v>2185.8000000000002</v>
      </c>
      <c r="Z85" s="1522"/>
      <c r="AA85" s="1522"/>
      <c r="AB85" s="1522"/>
      <c r="AC85" s="1522"/>
      <c r="AD85" s="1522"/>
      <c r="AE85" s="1522"/>
      <c r="AF85" s="1523"/>
      <c r="AG85" s="4"/>
      <c r="AH85" s="4"/>
      <c r="AI85" s="4"/>
      <c r="AJ85" s="4"/>
      <c r="AK85" s="4"/>
      <c r="AL85" s="758"/>
      <c r="AM85" s="4"/>
    </row>
    <row r="86" spans="1:39" customFormat="1" ht="37.5" customHeight="1" x14ac:dyDescent="0.3">
      <c r="A86" s="1519" t="s">
        <v>1200</v>
      </c>
      <c r="B86" s="1439"/>
      <c r="C86" s="1439"/>
      <c r="D86" s="1439"/>
      <c r="E86" s="1439"/>
      <c r="F86" s="1439"/>
      <c r="G86" s="1439"/>
      <c r="H86" s="1439"/>
      <c r="I86" s="1520">
        <f t="shared" si="1"/>
        <v>0.06</v>
      </c>
      <c r="J86" s="1520"/>
      <c r="K86" s="1520"/>
      <c r="L86" s="1520"/>
      <c r="M86" s="1520"/>
      <c r="N86" s="1520"/>
      <c r="O86" s="1520"/>
      <c r="P86" s="1520"/>
      <c r="Q86" s="1521">
        <f>ROUND(($Q$50-$Q$51)*$Q$52*I76*$Q$54*$Q$55*($Q$56-$Q$57)/(M76*$Q$59),2)</f>
        <v>319.08999999999997</v>
      </c>
      <c r="R86" s="1521"/>
      <c r="S86" s="1521"/>
      <c r="T86" s="1521"/>
      <c r="U86" s="1521"/>
      <c r="V86" s="1521"/>
      <c r="W86" s="1521"/>
      <c r="X86" s="1521"/>
      <c r="Y86" s="1522">
        <f t="shared" si="2"/>
        <v>1595.45</v>
      </c>
      <c r="Z86" s="1522"/>
      <c r="AA86" s="1522"/>
      <c r="AB86" s="1522"/>
      <c r="AC86" s="1522"/>
      <c r="AD86" s="1522"/>
      <c r="AE86" s="1522"/>
      <c r="AF86" s="1523"/>
      <c r="AG86" s="4"/>
      <c r="AH86" s="4"/>
      <c r="AI86" s="4"/>
      <c r="AJ86" s="4"/>
      <c r="AK86" s="4"/>
      <c r="AL86" s="758"/>
      <c r="AM86" s="4"/>
    </row>
    <row r="87" spans="1:39" customFormat="1" ht="45" customHeight="1" x14ac:dyDescent="0.3">
      <c r="A87" s="1519" t="s">
        <v>6259</v>
      </c>
      <c r="B87" s="1439"/>
      <c r="C87" s="1439"/>
      <c r="D87" s="1439"/>
      <c r="E87" s="1439"/>
      <c r="F87" s="1439"/>
      <c r="G87" s="1439"/>
      <c r="H87" s="1439"/>
      <c r="I87" s="1520">
        <f t="shared" si="1"/>
        <v>4.7E-2</v>
      </c>
      <c r="J87" s="1520"/>
      <c r="K87" s="1520"/>
      <c r="L87" s="1520"/>
      <c r="M87" s="1520"/>
      <c r="N87" s="1520"/>
      <c r="O87" s="1520"/>
      <c r="P87" s="1520"/>
      <c r="Q87" s="1521">
        <f>ROUND(($Q$50-$Q$51)*$Q$52*I74*$Q$54*$Q$55*($Q$56-$Q$57)/(U74*$Q$59),2)</f>
        <v>248.43</v>
      </c>
      <c r="R87" s="1521"/>
      <c r="S87" s="1521"/>
      <c r="T87" s="1521"/>
      <c r="U87" s="1521"/>
      <c r="V87" s="1521"/>
      <c r="W87" s="1521"/>
      <c r="X87" s="1521"/>
      <c r="Y87" s="1522">
        <f t="shared" si="2"/>
        <v>1242.1500000000001</v>
      </c>
      <c r="Z87" s="1522"/>
      <c r="AA87" s="1522"/>
      <c r="AB87" s="1522"/>
      <c r="AC87" s="1522"/>
      <c r="AD87" s="1522"/>
      <c r="AE87" s="1522"/>
      <c r="AF87" s="1523"/>
      <c r="AG87" s="4"/>
      <c r="AH87" s="4"/>
      <c r="AI87" s="4"/>
      <c r="AJ87" s="4"/>
      <c r="AK87" s="4"/>
      <c r="AL87" s="758"/>
      <c r="AM87" s="4"/>
    </row>
    <row r="88" spans="1:39" customFormat="1" ht="48" customHeight="1" x14ac:dyDescent="0.3">
      <c r="A88" s="1519" t="s">
        <v>1201</v>
      </c>
      <c r="B88" s="1439"/>
      <c r="C88" s="1439"/>
      <c r="D88" s="1439"/>
      <c r="E88" s="1439"/>
      <c r="F88" s="1439"/>
      <c r="G88" s="1439"/>
      <c r="H88" s="1439"/>
      <c r="I88" s="1520">
        <f t="shared" si="1"/>
        <v>3.5999999999999997E-2</v>
      </c>
      <c r="J88" s="1520"/>
      <c r="K88" s="1520"/>
      <c r="L88" s="1520"/>
      <c r="M88" s="1520"/>
      <c r="N88" s="1520"/>
      <c r="O88" s="1520"/>
      <c r="P88" s="1520"/>
      <c r="Q88" s="1521">
        <f>ROUND(($Q$50-$Q$51)*$Q$52*I75*$Q$54*$Q$55*($Q$56-$Q$57)/(U75*$Q$59),2)</f>
        <v>192.68</v>
      </c>
      <c r="R88" s="1521"/>
      <c r="S88" s="1521"/>
      <c r="T88" s="1521"/>
      <c r="U88" s="1521"/>
      <c r="V88" s="1521"/>
      <c r="W88" s="1521"/>
      <c r="X88" s="1521"/>
      <c r="Y88" s="1522">
        <f t="shared" si="2"/>
        <v>963.4</v>
      </c>
      <c r="Z88" s="1522"/>
      <c r="AA88" s="1522"/>
      <c r="AB88" s="1522"/>
      <c r="AC88" s="1522"/>
      <c r="AD88" s="1522"/>
      <c r="AE88" s="1522"/>
      <c r="AF88" s="1523"/>
      <c r="AG88" s="4"/>
      <c r="AH88" s="4"/>
      <c r="AI88" s="4"/>
      <c r="AJ88" s="4"/>
      <c r="AK88" s="4"/>
      <c r="AL88" s="758"/>
      <c r="AM88" s="4"/>
    </row>
    <row r="89" spans="1:39" customFormat="1" ht="42" customHeight="1" thickBot="1" x14ac:dyDescent="0.35">
      <c r="A89" s="1524" t="s">
        <v>1202</v>
      </c>
      <c r="B89" s="1525"/>
      <c r="C89" s="1525"/>
      <c r="D89" s="1525"/>
      <c r="E89" s="1525"/>
      <c r="F89" s="1525"/>
      <c r="G89" s="1525"/>
      <c r="H89" s="1525"/>
      <c r="I89" s="1526">
        <f>ROUND(Q89*$Q$60/$Q$61,3)</f>
        <v>2.5999999999999999E-2</v>
      </c>
      <c r="J89" s="1526"/>
      <c r="K89" s="1526"/>
      <c r="L89" s="1526"/>
      <c r="M89" s="1526"/>
      <c r="N89" s="1526"/>
      <c r="O89" s="1526"/>
      <c r="P89" s="1526"/>
      <c r="Q89" s="1527">
        <f>ROUND(($Q$50-$Q$51)*$Q$52*I76*$Q$54*$Q$55*($Q$56-$Q$57)/(U76*$Q$59),2)</f>
        <v>140.63999999999999</v>
      </c>
      <c r="R89" s="1527"/>
      <c r="S89" s="1527"/>
      <c r="T89" s="1527"/>
      <c r="U89" s="1527"/>
      <c r="V89" s="1527"/>
      <c r="W89" s="1527"/>
      <c r="X89" s="1527"/>
      <c r="Y89" s="1528">
        <f>ROUND(Q89*$Q$62,2)</f>
        <v>703.2</v>
      </c>
      <c r="Z89" s="1528"/>
      <c r="AA89" s="1528"/>
      <c r="AB89" s="1528"/>
      <c r="AC89" s="1528"/>
      <c r="AD89" s="1528"/>
      <c r="AE89" s="1528"/>
      <c r="AF89" s="1529"/>
      <c r="AG89" s="4"/>
      <c r="AH89" s="4"/>
      <c r="AI89" s="4"/>
      <c r="AJ89" s="4"/>
      <c r="AK89" s="4"/>
      <c r="AL89" s="758"/>
      <c r="AM89" s="4"/>
    </row>
    <row r="90" spans="1:39" customFormat="1" x14ac:dyDescent="0.3">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
      <c r="AH90" s="1"/>
      <c r="AI90" s="1"/>
      <c r="AJ90" s="1"/>
      <c r="AK90" s="1"/>
      <c r="AL90" s="709"/>
      <c r="AM90" s="1"/>
    </row>
    <row r="91" spans="1:39" customFormat="1" x14ac:dyDescent="0.3">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
      <c r="AH91" s="1"/>
      <c r="AI91" s="1"/>
      <c r="AJ91" s="1"/>
      <c r="AK91" s="1"/>
      <c r="AL91" s="709"/>
      <c r="AM91" s="1"/>
    </row>
    <row r="92" spans="1:39" customFormat="1" x14ac:dyDescent="0.3">
      <c r="A92" s="1290" t="s">
        <v>1514</v>
      </c>
      <c r="B92" s="1290"/>
      <c r="C92" s="1290"/>
      <c r="D92" s="1290"/>
      <c r="E92" s="1290"/>
      <c r="F92" s="1290"/>
      <c r="G92" s="1290"/>
      <c r="H92" s="1290"/>
      <c r="I92" s="1290"/>
      <c r="J92" s="1290"/>
      <c r="K92" s="1290"/>
      <c r="L92" s="1290"/>
      <c r="M92" s="1290"/>
      <c r="N92" s="1290"/>
      <c r="O92" s="1290"/>
      <c r="P92" s="1290"/>
      <c r="Q92" s="1290"/>
      <c r="R92" s="1290"/>
      <c r="S92" s="1290"/>
      <c r="T92" s="1290"/>
      <c r="U92" s="1290"/>
      <c r="V92" s="1290"/>
      <c r="W92" s="1290"/>
      <c r="X92" s="1290"/>
      <c r="Y92" s="1290"/>
      <c r="Z92" s="1290"/>
      <c r="AA92" s="1290"/>
      <c r="AB92" s="1290"/>
      <c r="AC92" s="1290"/>
      <c r="AD92" s="1290"/>
      <c r="AE92" s="1290"/>
      <c r="AF92" s="1290"/>
      <c r="AG92" s="1"/>
      <c r="AH92" s="1"/>
      <c r="AI92" s="1"/>
      <c r="AJ92" s="1"/>
      <c r="AK92" s="1"/>
      <c r="AL92" s="478"/>
      <c r="AM92" s="1"/>
    </row>
    <row r="93" spans="1:39" customFormat="1" x14ac:dyDescent="0.3">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
      <c r="AH93" s="1"/>
      <c r="AI93" s="1"/>
      <c r="AJ93" s="1"/>
      <c r="AK93" s="1"/>
      <c r="AL93" s="709"/>
      <c r="AM93" s="1"/>
    </row>
    <row r="94" spans="1:39" customFormat="1" x14ac:dyDescent="0.3">
      <c r="A94" s="370" t="s">
        <v>803</v>
      </c>
      <c r="B94" s="996" t="s">
        <v>6260</v>
      </c>
      <c r="C94" s="996"/>
      <c r="D94" s="996"/>
      <c r="E94" s="996"/>
      <c r="F94" s="996"/>
      <c r="G94" s="996"/>
      <c r="H94" s="996"/>
      <c r="I94" s="996"/>
      <c r="J94" s="996"/>
      <c r="K94" s="996"/>
      <c r="L94" s="996"/>
      <c r="M94" s="996"/>
      <c r="N94" s="996"/>
      <c r="O94" s="996"/>
      <c r="P94" s="996"/>
      <c r="Q94" s="996"/>
      <c r="R94" s="996"/>
      <c r="S94" s="996"/>
      <c r="T94" s="996"/>
      <c r="U94" s="996"/>
      <c r="V94" s="996"/>
      <c r="W94" s="996"/>
      <c r="X94" s="996"/>
      <c r="Y94" s="996"/>
      <c r="Z94" s="996"/>
      <c r="AA94" s="996"/>
      <c r="AB94" s="996"/>
      <c r="AC94" s="996"/>
      <c r="AD94" s="996"/>
      <c r="AE94" s="996"/>
      <c r="AF94" s="996"/>
      <c r="AG94" s="1"/>
      <c r="AH94" s="1"/>
      <c r="AI94" s="1"/>
      <c r="AJ94" s="1"/>
      <c r="AK94" s="1"/>
      <c r="AL94" s="709"/>
      <c r="AM94" s="1"/>
    </row>
    <row r="95" spans="1:39" customFormat="1" x14ac:dyDescent="0.3">
      <c r="A95" s="370" t="s">
        <v>803</v>
      </c>
      <c r="B95" s="889" t="s">
        <v>6261</v>
      </c>
      <c r="C95" s="889"/>
      <c r="D95" s="889"/>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c r="AE95" s="889"/>
      <c r="AF95" s="889"/>
      <c r="AG95" s="1"/>
      <c r="AH95" s="1"/>
      <c r="AI95" s="1"/>
      <c r="AJ95" s="1"/>
      <c r="AK95" s="1"/>
      <c r="AL95" s="709"/>
      <c r="AM95" s="1"/>
    </row>
    <row r="96" spans="1:39" customFormat="1" ht="30.75" customHeight="1" x14ac:dyDescent="0.3">
      <c r="A96" s="370" t="s">
        <v>803</v>
      </c>
      <c r="B96" s="889" t="s">
        <v>6262</v>
      </c>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c r="AG96" s="1"/>
      <c r="AH96" s="1"/>
      <c r="AI96" s="1"/>
      <c r="AJ96" s="1"/>
      <c r="AK96" s="1"/>
      <c r="AL96" s="709"/>
      <c r="AM96" s="1"/>
    </row>
    <row r="97" spans="1:39" customFormat="1" ht="63" customHeight="1" x14ac:dyDescent="0.3">
      <c r="A97" s="370" t="s">
        <v>803</v>
      </c>
      <c r="B97" s="889" t="s">
        <v>5291</v>
      </c>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1"/>
      <c r="AH97" s="1"/>
      <c r="AI97" s="1"/>
      <c r="AJ97" s="1"/>
      <c r="AK97" s="1"/>
      <c r="AL97" s="709"/>
      <c r="AM97" s="1"/>
    </row>
    <row r="98" spans="1:39" customFormat="1" ht="92.25" customHeight="1" x14ac:dyDescent="0.3">
      <c r="A98" s="370" t="s">
        <v>803</v>
      </c>
      <c r="B98" s="889" t="s">
        <v>6263</v>
      </c>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c r="AE98" s="889"/>
      <c r="AF98" s="889"/>
      <c r="AG98" s="1"/>
      <c r="AH98" s="1"/>
      <c r="AI98" s="1"/>
      <c r="AJ98" s="1"/>
      <c r="AK98" s="1"/>
      <c r="AL98" s="709"/>
      <c r="AM98" s="1"/>
    </row>
    <row r="99" spans="1:39" customFormat="1" ht="50.25" customHeight="1" x14ac:dyDescent="0.3">
      <c r="A99" s="370" t="s">
        <v>803</v>
      </c>
      <c r="B99" s="889" t="s">
        <v>6264</v>
      </c>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1"/>
      <c r="AH99" s="1"/>
      <c r="AI99" s="1"/>
      <c r="AJ99" s="1"/>
      <c r="AK99" s="1"/>
      <c r="AL99" s="709"/>
      <c r="AM99" s="1"/>
    </row>
    <row r="100" spans="1:39" customFormat="1" ht="60" customHeight="1" x14ac:dyDescent="0.3">
      <c r="A100" s="370" t="s">
        <v>803</v>
      </c>
      <c r="B100" s="889" t="s">
        <v>6265</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c r="AG100" s="1"/>
      <c r="AH100" s="1"/>
      <c r="AI100" s="1"/>
      <c r="AJ100" s="1"/>
      <c r="AK100" s="1"/>
      <c r="AL100" s="709"/>
      <c r="AM100" s="1"/>
    </row>
    <row r="101" spans="1:39" customFormat="1" x14ac:dyDescent="0.3">
      <c r="A101" s="370" t="s">
        <v>803</v>
      </c>
      <c r="B101" s="889" t="s">
        <v>6266</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G101" s="1"/>
      <c r="AH101" s="1"/>
      <c r="AI101" s="1"/>
      <c r="AJ101" s="1"/>
      <c r="AK101" s="1"/>
      <c r="AL101" s="709"/>
      <c r="AM101" s="1"/>
    </row>
    <row r="102" spans="1:39" customFormat="1" ht="33.75" customHeight="1" x14ac:dyDescent="0.3">
      <c r="A102" s="370" t="s">
        <v>803</v>
      </c>
      <c r="B102" s="889" t="s">
        <v>6267</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G102" s="1"/>
      <c r="AH102" s="1"/>
      <c r="AI102" s="1"/>
      <c r="AJ102" s="1"/>
      <c r="AK102" s="1"/>
      <c r="AL102" s="709"/>
      <c r="AM102" s="1"/>
    </row>
    <row r="103" spans="1:39" customFormat="1" ht="45" customHeight="1" x14ac:dyDescent="0.3">
      <c r="A103" s="370" t="s">
        <v>803</v>
      </c>
      <c r="B103" s="889" t="s">
        <v>6268</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G103" s="1"/>
      <c r="AH103" s="1"/>
      <c r="AI103" s="1"/>
      <c r="AJ103" s="1"/>
      <c r="AK103" s="1"/>
      <c r="AL103" s="709"/>
      <c r="AM103" s="1"/>
    </row>
    <row r="104" spans="1:39" customFormat="1" ht="33" customHeight="1" x14ac:dyDescent="0.3">
      <c r="A104" s="370" t="s">
        <v>803</v>
      </c>
      <c r="B104" s="889" t="s">
        <v>6269</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G104" s="1"/>
      <c r="AH104" s="1"/>
      <c r="AI104" s="1"/>
      <c r="AJ104" s="1"/>
      <c r="AK104" s="1"/>
      <c r="AL104" s="709"/>
      <c r="AM104" s="1"/>
    </row>
    <row r="105" spans="1:39" customFormat="1" ht="33" customHeight="1" x14ac:dyDescent="0.3">
      <c r="A105" s="370" t="s">
        <v>803</v>
      </c>
      <c r="B105" s="889" t="s">
        <v>6270</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G105" s="1"/>
      <c r="AH105" s="1"/>
      <c r="AI105" s="1"/>
      <c r="AJ105" s="1"/>
      <c r="AK105" s="1"/>
      <c r="AL105" s="709"/>
      <c r="AM105" s="1"/>
    </row>
    <row r="106" spans="1:39" customFormat="1" ht="31.5" customHeight="1" x14ac:dyDescent="0.3">
      <c r="A106" s="370" t="s">
        <v>803</v>
      </c>
      <c r="B106" s="889" t="s">
        <v>6271</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1"/>
      <c r="AH106" s="1"/>
      <c r="AI106" s="1"/>
      <c r="AJ106" s="1"/>
      <c r="AK106" s="1"/>
      <c r="AL106" s="709"/>
      <c r="AM106" s="1"/>
    </row>
  </sheetData>
  <sheetProtection algorithmName="SHA-512" hashValue="+ZwxNaIGKblmxEBOZeeKCd5rUK5ORIAwLIQodSBhqeqMla89R8570r05u4GV+Z4E0wee6m+KxT1cyfXwHl4j2w==" saltValue="aFJws5+EYvb8PxJeLmc34Q==" spinCount="100000" sheet="1" objects="1" scenarios="1"/>
  <mergeCells count="162">
    <mergeCell ref="B23:I23"/>
    <mergeCell ref="B24:AF24"/>
    <mergeCell ref="B26:I26"/>
    <mergeCell ref="B16:Q16"/>
    <mergeCell ref="R16:AF16"/>
    <mergeCell ref="B17:Q17"/>
    <mergeCell ref="R17:AF17"/>
    <mergeCell ref="B18:Q18"/>
    <mergeCell ref="R18:AF18"/>
    <mergeCell ref="B19:Q19"/>
    <mergeCell ref="R19:AF19"/>
    <mergeCell ref="B21:AF21"/>
    <mergeCell ref="B15:AF15"/>
    <mergeCell ref="A1:AF1"/>
    <mergeCell ref="A3:AF3"/>
    <mergeCell ref="B5:AF5"/>
    <mergeCell ref="A7:AF7"/>
    <mergeCell ref="B9:I9"/>
    <mergeCell ref="B10:AF10"/>
    <mergeCell ref="B12:I12"/>
    <mergeCell ref="B13:AF13"/>
    <mergeCell ref="B27:AF27"/>
    <mergeCell ref="Y49:AF49"/>
    <mergeCell ref="A50:D50"/>
    <mergeCell ref="E50:P50"/>
    <mergeCell ref="Q50:T50"/>
    <mergeCell ref="U50:X50"/>
    <mergeCell ref="Y50:AF50"/>
    <mergeCell ref="A51:D51"/>
    <mergeCell ref="E51:P51"/>
    <mergeCell ref="Q51:T51"/>
    <mergeCell ref="U51:X51"/>
    <mergeCell ref="Y51:AF51"/>
    <mergeCell ref="A49:D49"/>
    <mergeCell ref="E49:P49"/>
    <mergeCell ref="Q49:T49"/>
    <mergeCell ref="U49:X49"/>
    <mergeCell ref="A48:AF48"/>
    <mergeCell ref="A33:AF33"/>
    <mergeCell ref="B30:AF30"/>
    <mergeCell ref="A54:D54"/>
    <mergeCell ref="E54:P54"/>
    <mergeCell ref="Q54:T54"/>
    <mergeCell ref="U54:X54"/>
    <mergeCell ref="Y54:AF54"/>
    <mergeCell ref="A52:D52"/>
    <mergeCell ref="E52:P52"/>
    <mergeCell ref="Q52:T52"/>
    <mergeCell ref="U52:X52"/>
    <mergeCell ref="Y52:AF52"/>
    <mergeCell ref="A53:D53"/>
    <mergeCell ref="E53:P53"/>
    <mergeCell ref="Q53:T53"/>
    <mergeCell ref="U53:X53"/>
    <mergeCell ref="Y53:AF53"/>
    <mergeCell ref="A55:D55"/>
    <mergeCell ref="E55:P55"/>
    <mergeCell ref="Q55:T55"/>
    <mergeCell ref="U55:X55"/>
    <mergeCell ref="Y55:AF55"/>
    <mergeCell ref="A56:D56"/>
    <mergeCell ref="E56:P56"/>
    <mergeCell ref="Q56:T56"/>
    <mergeCell ref="U56:X56"/>
    <mergeCell ref="Y56:AF56"/>
    <mergeCell ref="A57:D57"/>
    <mergeCell ref="E57:P57"/>
    <mergeCell ref="Q57:T57"/>
    <mergeCell ref="U57:X57"/>
    <mergeCell ref="Y57:AF57"/>
    <mergeCell ref="A58:D58"/>
    <mergeCell ref="E58:P58"/>
    <mergeCell ref="Q58:T58"/>
    <mergeCell ref="U58:X58"/>
    <mergeCell ref="Y58:AF58"/>
    <mergeCell ref="A59:D59"/>
    <mergeCell ref="E59:P59"/>
    <mergeCell ref="Q59:T59"/>
    <mergeCell ref="U59:X59"/>
    <mergeCell ref="Y59:AF59"/>
    <mergeCell ref="A60:D60"/>
    <mergeCell ref="E60:P60"/>
    <mergeCell ref="Q60:T60"/>
    <mergeCell ref="U60:X60"/>
    <mergeCell ref="Y60:AF60"/>
    <mergeCell ref="A61:D61"/>
    <mergeCell ref="E61:P61"/>
    <mergeCell ref="Q61:T61"/>
    <mergeCell ref="U61:X61"/>
    <mergeCell ref="Y61:AF61"/>
    <mergeCell ref="A62:D62"/>
    <mergeCell ref="E62:P62"/>
    <mergeCell ref="Q62:T62"/>
    <mergeCell ref="U62:X62"/>
    <mergeCell ref="Y62:AF62"/>
    <mergeCell ref="A64:AF64"/>
    <mergeCell ref="A65:AF65"/>
    <mergeCell ref="A66:AF66"/>
    <mergeCell ref="A67:AF67"/>
    <mergeCell ref="A68:AF68"/>
    <mergeCell ref="A69:AF69"/>
    <mergeCell ref="A70:AF70"/>
    <mergeCell ref="A73:H73"/>
    <mergeCell ref="I73:L73"/>
    <mergeCell ref="M73:T73"/>
    <mergeCell ref="U73:AB73"/>
    <mergeCell ref="A83:H83"/>
    <mergeCell ref="I83:P83"/>
    <mergeCell ref="Q83:X83"/>
    <mergeCell ref="Y83:AF83"/>
    <mergeCell ref="A78:AB78"/>
    <mergeCell ref="A81:AF81"/>
    <mergeCell ref="A74:H74"/>
    <mergeCell ref="I74:L74"/>
    <mergeCell ref="M74:T74"/>
    <mergeCell ref="U74:AB74"/>
    <mergeCell ref="A75:H75"/>
    <mergeCell ref="I75:L75"/>
    <mergeCell ref="M75:T75"/>
    <mergeCell ref="U75:AB75"/>
    <mergeCell ref="A76:H76"/>
    <mergeCell ref="I76:L76"/>
    <mergeCell ref="M76:T76"/>
    <mergeCell ref="U76:AB76"/>
    <mergeCell ref="A84:H84"/>
    <mergeCell ref="I84:P84"/>
    <mergeCell ref="Q84:X84"/>
    <mergeCell ref="Y84:AF84"/>
    <mergeCell ref="A85:H85"/>
    <mergeCell ref="I85:P85"/>
    <mergeCell ref="Q85:X85"/>
    <mergeCell ref="Y85:AF85"/>
    <mergeCell ref="A86:H86"/>
    <mergeCell ref="I86:P86"/>
    <mergeCell ref="Q86:X86"/>
    <mergeCell ref="Y86:AF86"/>
    <mergeCell ref="A87:H87"/>
    <mergeCell ref="I87:P87"/>
    <mergeCell ref="Q87:X87"/>
    <mergeCell ref="Y87:AF87"/>
    <mergeCell ref="A88:H88"/>
    <mergeCell ref="I88:P88"/>
    <mergeCell ref="Q88:X88"/>
    <mergeCell ref="Y88:AF88"/>
    <mergeCell ref="A89:H89"/>
    <mergeCell ref="I89:P89"/>
    <mergeCell ref="Q89:X89"/>
    <mergeCell ref="Y89:AF89"/>
    <mergeCell ref="B102:AF102"/>
    <mergeCell ref="B103:AF103"/>
    <mergeCell ref="B104:AF104"/>
    <mergeCell ref="B105:AF105"/>
    <mergeCell ref="B106:AF106"/>
    <mergeCell ref="A92:AF92"/>
    <mergeCell ref="B94:AF94"/>
    <mergeCell ref="B95:AF95"/>
    <mergeCell ref="B96:AF96"/>
    <mergeCell ref="B97:AF97"/>
    <mergeCell ref="B98:AF98"/>
    <mergeCell ref="B99:AF99"/>
    <mergeCell ref="B100:AF100"/>
    <mergeCell ref="B101:AF101"/>
  </mergeCells>
  <hyperlinks>
    <hyperlink ref="A2" location="TOC!A1" display="Return to TOC" xr:uid="{D77F7B2E-BB6D-4AA1-9FE7-32ED2A93603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7:AF45"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7" tint="0.79998168889431442"/>
    <pageSetUpPr autoPageBreaks="0"/>
  </sheetPr>
  <dimension ref="A1:BD106"/>
  <sheetViews>
    <sheetView workbookViewId="0">
      <selection sqref="A1:AF1"/>
    </sheetView>
  </sheetViews>
  <sheetFormatPr defaultColWidth="2.6640625" defaultRowHeight="14.4" x14ac:dyDescent="0.3"/>
  <cols>
    <col min="1" max="16384" width="2.6640625" style="1"/>
  </cols>
  <sheetData>
    <row r="1" spans="1:56" ht="18" x14ac:dyDescent="0.3">
      <c r="A1" s="1131" t="s">
        <v>876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L1" s="765"/>
    </row>
    <row r="2" spans="1:56" ht="18" x14ac:dyDescent="0.3">
      <c r="A2" s="512" t="s">
        <v>1456</v>
      </c>
      <c r="B2" s="145"/>
      <c r="C2" s="145"/>
      <c r="D2" s="145"/>
      <c r="E2" s="145"/>
      <c r="AL2" s="766"/>
    </row>
    <row r="3" spans="1:56"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c r="AL3" s="709"/>
    </row>
    <row r="4" spans="1:56"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709"/>
    </row>
    <row r="5" spans="1:56" x14ac:dyDescent="0.3">
      <c r="A5" s="121"/>
      <c r="B5" s="1258" t="s">
        <v>5962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L5" s="709"/>
    </row>
    <row r="6" spans="1:56" x14ac:dyDescent="0.3">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L6" s="709"/>
    </row>
    <row r="7" spans="1:56"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L7" s="709"/>
    </row>
    <row r="8" spans="1:56"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L8" s="709"/>
    </row>
    <row r="9" spans="1:56"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c r="AL9" s="709"/>
    </row>
    <row r="10" spans="1:56" ht="128.25" customHeight="1" x14ac:dyDescent="0.3">
      <c r="A10" s="121"/>
      <c r="B10" s="889" t="s">
        <v>5184</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L10" s="758"/>
      <c r="AM10" s="26"/>
      <c r="AN10" s="26"/>
      <c r="AO10" s="26"/>
      <c r="AP10" s="26"/>
      <c r="AQ10" s="26"/>
      <c r="AR10" s="26"/>
      <c r="AS10" s="26"/>
      <c r="AT10" s="26"/>
      <c r="AU10" s="26"/>
      <c r="AV10" s="26"/>
      <c r="AW10" s="26"/>
      <c r="AX10" s="26"/>
      <c r="AY10" s="26"/>
      <c r="AZ10" s="26"/>
      <c r="BA10" s="26"/>
      <c r="BB10" s="26"/>
      <c r="BC10" s="26"/>
      <c r="BD10" s="26"/>
    </row>
    <row r="11" spans="1:56"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L11" s="25"/>
    </row>
    <row r="12" spans="1:56"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L12" s="709"/>
    </row>
    <row r="13" spans="1:56" ht="33.6" customHeight="1" x14ac:dyDescent="0.3">
      <c r="A13" s="122"/>
      <c r="B13" s="889" t="s">
        <v>161</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L13" s="709"/>
    </row>
    <row r="14" spans="1:56"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L14" s="709"/>
    </row>
    <row r="15" spans="1:56" ht="14.4" customHeight="1"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L15" s="709"/>
    </row>
    <row r="16" spans="1:56" ht="14.4" customHeight="1" x14ac:dyDescent="0.3">
      <c r="A16" s="121"/>
      <c r="B16" s="1372" t="s">
        <v>1054</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L16" s="758"/>
    </row>
    <row r="17" spans="1:38" ht="14.4" customHeight="1"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L17" s="709"/>
    </row>
    <row r="18" spans="1:38"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L18" s="709"/>
    </row>
    <row r="19" spans="1:38" ht="63" customHeight="1" x14ac:dyDescent="0.3">
      <c r="A19" s="122"/>
      <c r="B19" s="889" t="s">
        <v>6299</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L19" s="709"/>
    </row>
    <row r="20" spans="1:38" x14ac:dyDescent="0.3">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L20" s="709"/>
    </row>
    <row r="21" spans="1:38" x14ac:dyDescent="0.3">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L21" s="709"/>
    </row>
    <row r="22" spans="1:38" ht="34.950000000000003" customHeight="1" x14ac:dyDescent="0.3">
      <c r="A22" s="121"/>
      <c r="B22" s="889" t="s">
        <v>6300</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L22" s="709"/>
    </row>
    <row r="23" spans="1:38" x14ac:dyDescent="0.3">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L23" s="709"/>
    </row>
    <row r="24" spans="1:38" x14ac:dyDescent="0.3">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L24" s="709"/>
    </row>
    <row r="25" spans="1:38" x14ac:dyDescent="0.3">
      <c r="A25" s="1053" t="s">
        <v>7</v>
      </c>
      <c r="B25" s="1054"/>
      <c r="C25" s="1054"/>
      <c r="D25" s="1054"/>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4"/>
      <c r="AC25" s="1054"/>
      <c r="AD25" s="1054"/>
      <c r="AE25" s="1054"/>
      <c r="AF25" s="1055"/>
      <c r="AL25" s="709"/>
    </row>
    <row r="26" spans="1:38"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L26" s="709"/>
    </row>
    <row r="27" spans="1:38" x14ac:dyDescent="0.3">
      <c r="A27" s="741"/>
      <c r="B27" s="372" t="s">
        <v>2027</v>
      </c>
      <c r="C27" s="741"/>
      <c r="D27" s="741"/>
      <c r="E27" s="741"/>
      <c r="F27" s="741"/>
      <c r="G27" s="741"/>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L27" s="709"/>
    </row>
    <row r="28" spans="1:38" x14ac:dyDescent="0.3">
      <c r="A28" s="741"/>
      <c r="B28" s="741"/>
      <c r="C28" s="741"/>
      <c r="D28" s="741"/>
      <c r="E28" s="741"/>
      <c r="F28" s="741"/>
      <c r="G28" s="741"/>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L28" s="709"/>
    </row>
    <row r="29" spans="1:38" x14ac:dyDescent="0.3">
      <c r="A29" s="741"/>
      <c r="B29" s="741"/>
      <c r="C29" s="741"/>
      <c r="D29" s="741"/>
      <c r="E29" s="741"/>
      <c r="F29" s="741"/>
      <c r="G29" s="741"/>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546" t="s">
        <v>1463</v>
      </c>
      <c r="AL29" s="709"/>
    </row>
    <row r="30" spans="1:38" x14ac:dyDescent="0.3">
      <c r="A30" s="741"/>
      <c r="B30" s="741"/>
      <c r="C30" s="741"/>
      <c r="D30" s="741"/>
      <c r="E30" s="741"/>
      <c r="F30" s="741"/>
      <c r="G30" s="741"/>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L30" s="709"/>
    </row>
    <row r="31" spans="1:38" x14ac:dyDescent="0.3">
      <c r="A31" s="741"/>
      <c r="B31" s="372" t="s">
        <v>2137</v>
      </c>
      <c r="C31" s="741"/>
      <c r="D31" s="741"/>
      <c r="E31" s="741"/>
      <c r="F31" s="741"/>
      <c r="G31" s="741"/>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L31" s="709"/>
    </row>
    <row r="32" spans="1:38" x14ac:dyDescent="0.3">
      <c r="A32" s="741"/>
      <c r="B32" s="741"/>
      <c r="C32" s="741"/>
      <c r="D32" s="741"/>
      <c r="E32" s="741"/>
      <c r="F32" s="741"/>
      <c r="G32" s="741"/>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L32" s="709"/>
    </row>
    <row r="33" spans="1:54" x14ac:dyDescent="0.3">
      <c r="A33" s="741"/>
      <c r="B33" s="741"/>
      <c r="C33" s="741"/>
      <c r="D33" s="741"/>
      <c r="E33" s="741"/>
      <c r="F33" s="741"/>
      <c r="G33" s="741"/>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t="s">
        <v>1464</v>
      </c>
      <c r="AL33" s="709"/>
    </row>
    <row r="34" spans="1:54" x14ac:dyDescent="0.3">
      <c r="A34" s="741"/>
      <c r="B34" s="741"/>
      <c r="C34" s="741"/>
      <c r="D34" s="741"/>
      <c r="E34" s="741"/>
      <c r="F34" s="741"/>
      <c r="G34" s="741"/>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L34" s="709"/>
    </row>
    <row r="35" spans="1:54" x14ac:dyDescent="0.3">
      <c r="A35" s="741"/>
      <c r="B35" s="372" t="s">
        <v>1811</v>
      </c>
      <c r="C35" s="741"/>
      <c r="D35" s="741"/>
      <c r="E35" s="741"/>
      <c r="F35" s="741"/>
      <c r="G35" s="741"/>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L35" s="709"/>
    </row>
    <row r="36" spans="1:54" x14ac:dyDescent="0.3">
      <c r="A36" s="741"/>
      <c r="B36" s="741"/>
      <c r="C36" s="741"/>
      <c r="D36" s="741"/>
      <c r="E36" s="741"/>
      <c r="F36" s="741"/>
      <c r="G36" s="741"/>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L36" s="709"/>
    </row>
    <row r="37" spans="1:54" x14ac:dyDescent="0.3">
      <c r="A37" s="741"/>
      <c r="B37" s="741"/>
      <c r="C37" s="741"/>
      <c r="D37" s="741"/>
      <c r="E37" s="741"/>
      <c r="F37" s="741"/>
      <c r="G37" s="741"/>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272" t="s">
        <v>1465</v>
      </c>
      <c r="AL37" s="709"/>
    </row>
    <row r="38" spans="1:54" x14ac:dyDescent="0.3">
      <c r="A38" s="741"/>
      <c r="B38" s="741"/>
      <c r="C38" s="741"/>
      <c r="D38" s="741"/>
      <c r="E38" s="741"/>
      <c r="F38" s="741"/>
      <c r="G38" s="741"/>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L38" s="709"/>
    </row>
    <row r="39" spans="1:54"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L39" s="709"/>
    </row>
    <row r="40" spans="1:54" ht="14.4" customHeight="1" x14ac:dyDescent="0.3">
      <c r="A40" s="1053" t="s">
        <v>8</v>
      </c>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5"/>
      <c r="AL40" s="709"/>
    </row>
    <row r="41" spans="1:54" x14ac:dyDescent="0.3">
      <c r="A41" s="1366" t="s">
        <v>9</v>
      </c>
      <c r="B41" s="1367"/>
      <c r="C41" s="1367"/>
      <c r="D41" s="1368"/>
      <c r="E41" s="1366" t="s">
        <v>3</v>
      </c>
      <c r="F41" s="1367"/>
      <c r="G41" s="1367"/>
      <c r="H41" s="1367"/>
      <c r="I41" s="1367"/>
      <c r="J41" s="1367"/>
      <c r="K41" s="1367"/>
      <c r="L41" s="1367"/>
      <c r="M41" s="1367"/>
      <c r="N41" s="1367"/>
      <c r="O41" s="1367"/>
      <c r="P41" s="1368"/>
      <c r="Q41" s="1366" t="s">
        <v>10</v>
      </c>
      <c r="R41" s="1367"/>
      <c r="S41" s="1367"/>
      <c r="T41" s="1368"/>
      <c r="U41" s="1366" t="s">
        <v>11</v>
      </c>
      <c r="V41" s="1368"/>
      <c r="W41" s="1366" t="s">
        <v>12</v>
      </c>
      <c r="X41" s="1367"/>
      <c r="Y41" s="1367"/>
      <c r="Z41" s="1367"/>
      <c r="AA41" s="1367"/>
      <c r="AB41" s="1367"/>
      <c r="AC41" s="1367"/>
      <c r="AD41" s="1367"/>
      <c r="AE41" s="1367"/>
      <c r="AF41" s="1368"/>
      <c r="AL41" s="709"/>
      <c r="AY41" s="779"/>
      <c r="AZ41" s="779"/>
      <c r="BA41" s="779"/>
      <c r="BB41" s="779"/>
    </row>
    <row r="42" spans="1:54" ht="33.6" customHeight="1" x14ac:dyDescent="0.3">
      <c r="A42" s="1349" t="s">
        <v>6032</v>
      </c>
      <c r="B42" s="1350"/>
      <c r="C42" s="1350"/>
      <c r="D42" s="1351"/>
      <c r="E42" s="1349" t="s">
        <v>5185</v>
      </c>
      <c r="F42" s="1350"/>
      <c r="G42" s="1350"/>
      <c r="H42" s="1350"/>
      <c r="I42" s="1350"/>
      <c r="J42" s="1350"/>
      <c r="K42" s="1350"/>
      <c r="L42" s="1350"/>
      <c r="M42" s="1350"/>
      <c r="N42" s="1350"/>
      <c r="O42" s="1350"/>
      <c r="P42" s="1351"/>
      <c r="Q42" s="1352" t="s">
        <v>516</v>
      </c>
      <c r="R42" s="1353"/>
      <c r="S42" s="1353"/>
      <c r="T42" s="1354"/>
      <c r="U42" s="1166" t="s">
        <v>74</v>
      </c>
      <c r="V42" s="1168"/>
      <c r="W42" s="1166" t="s">
        <v>5186</v>
      </c>
      <c r="X42" s="1167"/>
      <c r="Y42" s="1167"/>
      <c r="Z42" s="1167"/>
      <c r="AA42" s="1167"/>
      <c r="AB42" s="1167"/>
      <c r="AC42" s="1167"/>
      <c r="AD42" s="1167"/>
      <c r="AE42" s="1167"/>
      <c r="AF42" s="1168"/>
      <c r="AL42" s="709"/>
    </row>
    <row r="43" spans="1:54" ht="36.6" customHeight="1" x14ac:dyDescent="0.3">
      <c r="A43" s="1349" t="s">
        <v>6033</v>
      </c>
      <c r="B43" s="1350"/>
      <c r="C43" s="1350"/>
      <c r="D43" s="1351"/>
      <c r="E43" s="1163" t="s">
        <v>5187</v>
      </c>
      <c r="F43" s="1164"/>
      <c r="G43" s="1164"/>
      <c r="H43" s="1164"/>
      <c r="I43" s="1164"/>
      <c r="J43" s="1164"/>
      <c r="K43" s="1164"/>
      <c r="L43" s="1164"/>
      <c r="M43" s="1164"/>
      <c r="N43" s="1164"/>
      <c r="O43" s="1164"/>
      <c r="P43" s="1165"/>
      <c r="Q43" s="1352" t="s">
        <v>516</v>
      </c>
      <c r="R43" s="1353"/>
      <c r="S43" s="1353"/>
      <c r="T43" s="1354"/>
      <c r="U43" s="1166" t="s">
        <v>74</v>
      </c>
      <c r="V43" s="1168"/>
      <c r="W43" s="1352" t="s">
        <v>6293</v>
      </c>
      <c r="X43" s="1353"/>
      <c r="Y43" s="1353"/>
      <c r="Z43" s="1353"/>
      <c r="AA43" s="1353"/>
      <c r="AB43" s="1353"/>
      <c r="AC43" s="1353"/>
      <c r="AD43" s="1353"/>
      <c r="AE43" s="1353"/>
      <c r="AF43" s="1354"/>
      <c r="AH43" s="496"/>
      <c r="AL43" s="709"/>
    </row>
    <row r="44" spans="1:54" x14ac:dyDescent="0.3">
      <c r="A44" s="1349" t="s">
        <v>64</v>
      </c>
      <c r="B44" s="1350"/>
      <c r="C44" s="1350"/>
      <c r="D44" s="1351"/>
      <c r="E44" s="1349" t="s">
        <v>117</v>
      </c>
      <c r="F44" s="1350"/>
      <c r="G44" s="1350"/>
      <c r="H44" s="1350"/>
      <c r="I44" s="1350"/>
      <c r="J44" s="1350"/>
      <c r="K44" s="1350"/>
      <c r="L44" s="1350"/>
      <c r="M44" s="1350"/>
      <c r="N44" s="1350"/>
      <c r="O44" s="1350"/>
      <c r="P44" s="1351"/>
      <c r="Q44" s="1352">
        <v>365</v>
      </c>
      <c r="R44" s="1353"/>
      <c r="S44" s="1353"/>
      <c r="T44" s="1354"/>
      <c r="U44" s="1352" t="s">
        <v>66</v>
      </c>
      <c r="V44" s="1354"/>
      <c r="W44" s="1352"/>
      <c r="X44" s="1353"/>
      <c r="Y44" s="1353"/>
      <c r="Z44" s="1353"/>
      <c r="AA44" s="1353"/>
      <c r="AB44" s="1353"/>
      <c r="AC44" s="1353"/>
      <c r="AD44" s="1353"/>
      <c r="AE44" s="1353"/>
      <c r="AF44" s="1354"/>
      <c r="AL44" s="709"/>
    </row>
    <row r="45" spans="1:54" x14ac:dyDescent="0.3">
      <c r="A45" s="1349" t="s">
        <v>24</v>
      </c>
      <c r="B45" s="1350"/>
      <c r="C45" s="1350"/>
      <c r="D45" s="1351"/>
      <c r="E45" s="1349" t="s">
        <v>155</v>
      </c>
      <c r="F45" s="1350"/>
      <c r="G45" s="1350"/>
      <c r="H45" s="1350"/>
      <c r="I45" s="1350"/>
      <c r="J45" s="1350"/>
      <c r="K45" s="1350"/>
      <c r="L45" s="1350"/>
      <c r="M45" s="1350"/>
      <c r="N45" s="1350"/>
      <c r="O45" s="1350"/>
      <c r="P45" s="1351"/>
      <c r="Q45" s="1359">
        <v>8760</v>
      </c>
      <c r="R45" s="1360"/>
      <c r="S45" s="1360"/>
      <c r="T45" s="1361"/>
      <c r="U45" s="1352" t="s">
        <v>37</v>
      </c>
      <c r="V45" s="1354"/>
      <c r="W45" s="1352"/>
      <c r="X45" s="1353"/>
      <c r="Y45" s="1353"/>
      <c r="Z45" s="1353"/>
      <c r="AA45" s="1353"/>
      <c r="AB45" s="1353"/>
      <c r="AC45" s="1353"/>
      <c r="AD45" s="1353"/>
      <c r="AE45" s="1353"/>
      <c r="AF45" s="1354"/>
      <c r="AL45" s="709"/>
    </row>
    <row r="46" spans="1:54" ht="14.4" customHeight="1" x14ac:dyDescent="0.3">
      <c r="A46" s="1349" t="s">
        <v>21</v>
      </c>
      <c r="B46" s="1350"/>
      <c r="C46" s="1350"/>
      <c r="D46" s="1351"/>
      <c r="E46" s="1349" t="s">
        <v>96</v>
      </c>
      <c r="F46" s="1350"/>
      <c r="G46" s="1350"/>
      <c r="H46" s="1350"/>
      <c r="I46" s="1350"/>
      <c r="J46" s="1350"/>
      <c r="K46" s="1350"/>
      <c r="L46" s="1350"/>
      <c r="M46" s="1350"/>
      <c r="N46" s="1350"/>
      <c r="O46" s="1350"/>
      <c r="P46" s="1351"/>
      <c r="Q46" s="1352">
        <v>1</v>
      </c>
      <c r="R46" s="1353"/>
      <c r="S46" s="1353"/>
      <c r="T46" s="1354"/>
      <c r="U46" s="1352" t="s">
        <v>20</v>
      </c>
      <c r="V46" s="1354"/>
      <c r="W46" s="1352"/>
      <c r="X46" s="1353"/>
      <c r="Y46" s="1353"/>
      <c r="Z46" s="1353"/>
      <c r="AA46" s="1353"/>
      <c r="AB46" s="1353"/>
      <c r="AC46" s="1353"/>
      <c r="AD46" s="1353"/>
      <c r="AE46" s="1353"/>
      <c r="AF46" s="1354"/>
      <c r="AL46" s="709"/>
    </row>
    <row r="47" spans="1:54" ht="42.75" customHeight="1" x14ac:dyDescent="0.3">
      <c r="A47" s="1349" t="s">
        <v>2562</v>
      </c>
      <c r="B47" s="1350"/>
      <c r="C47" s="1350"/>
      <c r="D47" s="1351"/>
      <c r="E47" s="1349" t="s">
        <v>6087</v>
      </c>
      <c r="F47" s="1350"/>
      <c r="G47" s="1350"/>
      <c r="H47" s="1350"/>
      <c r="I47" s="1350"/>
      <c r="J47" s="1350"/>
      <c r="K47" s="1350"/>
      <c r="L47" s="1350"/>
      <c r="M47" s="1350"/>
      <c r="N47" s="1350"/>
      <c r="O47" s="1350"/>
      <c r="P47" s="1351"/>
      <c r="Q47" s="1352">
        <f>'Master EUL'!X120</f>
        <v>12</v>
      </c>
      <c r="R47" s="1353"/>
      <c r="S47" s="1353"/>
      <c r="T47" s="1354"/>
      <c r="U47" s="1352" t="s">
        <v>38</v>
      </c>
      <c r="V47" s="1354"/>
      <c r="W47" s="1166" t="s">
        <v>6294</v>
      </c>
      <c r="X47" s="1167"/>
      <c r="Y47" s="1167"/>
      <c r="Z47" s="1167"/>
      <c r="AA47" s="1167"/>
      <c r="AB47" s="1167"/>
      <c r="AC47" s="1167"/>
      <c r="AD47" s="1167"/>
      <c r="AE47" s="1167"/>
      <c r="AF47" s="1168"/>
      <c r="AL47" s="766"/>
    </row>
    <row r="48" spans="1:54" x14ac:dyDescent="0.3">
      <c r="A48" s="483"/>
      <c r="B48" s="483"/>
      <c r="C48" s="483"/>
      <c r="D48" s="483"/>
      <c r="E48" s="483"/>
      <c r="F48" s="483"/>
      <c r="G48" s="483"/>
      <c r="H48" s="483"/>
      <c r="I48" s="483"/>
      <c r="J48" s="483"/>
      <c r="K48" s="483"/>
      <c r="L48" s="483"/>
      <c r="M48" s="483"/>
      <c r="N48" s="483"/>
      <c r="O48" s="483"/>
      <c r="P48" s="483"/>
      <c r="Q48" s="486"/>
      <c r="R48" s="486"/>
      <c r="S48" s="486"/>
      <c r="T48" s="486"/>
      <c r="U48" s="486"/>
      <c r="V48" s="486"/>
      <c r="W48" s="486"/>
      <c r="X48" s="486"/>
      <c r="Y48" s="486"/>
      <c r="Z48" s="486"/>
      <c r="AA48" s="486"/>
      <c r="AB48" s="486"/>
      <c r="AC48" s="486"/>
      <c r="AD48" s="486"/>
      <c r="AE48" s="486"/>
      <c r="AF48" s="486"/>
      <c r="AL48" s="709"/>
    </row>
    <row r="49" spans="1:38" x14ac:dyDescent="0.3">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L49" s="709"/>
    </row>
    <row r="50" spans="1:38" x14ac:dyDescent="0.3">
      <c r="A50" s="1290" t="s">
        <v>14</v>
      </c>
      <c r="B50" s="1290"/>
      <c r="C50" s="1290"/>
      <c r="D50" s="1290"/>
      <c r="E50" s="1290"/>
      <c r="F50" s="1290"/>
      <c r="G50" s="1290"/>
      <c r="H50" s="1290"/>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0"/>
      <c r="AL50" s="709"/>
    </row>
    <row r="51" spans="1:38" x14ac:dyDescent="0.3">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L51" s="709"/>
    </row>
    <row r="52" spans="1:38" x14ac:dyDescent="0.3">
      <c r="A52" s="187" t="s">
        <v>5188</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I52" s="709"/>
      <c r="AL52" s="709"/>
    </row>
    <row r="53" spans="1:38" ht="28.95" customHeight="1" x14ac:dyDescent="0.3">
      <c r="A53" s="1493" t="s">
        <v>575</v>
      </c>
      <c r="B53" s="1493"/>
      <c r="C53" s="1493"/>
      <c r="D53" s="1493"/>
      <c r="E53" s="1493" t="s">
        <v>576</v>
      </c>
      <c r="F53" s="1493"/>
      <c r="G53" s="1493"/>
      <c r="H53" s="1493" t="s">
        <v>6301</v>
      </c>
      <c r="I53" s="1493"/>
      <c r="J53" s="1493"/>
      <c r="K53" s="1493"/>
      <c r="L53" s="1493"/>
      <c r="M53" s="1493"/>
      <c r="N53" s="1493" t="s">
        <v>582</v>
      </c>
      <c r="O53" s="1493"/>
      <c r="P53" s="1493"/>
      <c r="Q53" s="1493"/>
      <c r="R53" s="1493"/>
      <c r="S53" s="1493"/>
      <c r="T53" s="1493" t="s">
        <v>583</v>
      </c>
      <c r="U53" s="1493"/>
      <c r="V53" s="1493"/>
      <c r="W53" s="1493"/>
      <c r="X53" s="1493"/>
      <c r="Y53" s="1493"/>
      <c r="Z53" s="1493" t="s">
        <v>584</v>
      </c>
      <c r="AA53" s="1493"/>
      <c r="AB53" s="1493"/>
      <c r="AC53" s="1493"/>
      <c r="AD53" s="1493" t="s">
        <v>357</v>
      </c>
      <c r="AE53" s="1493"/>
      <c r="AF53" s="1493"/>
      <c r="AL53" s="544"/>
    </row>
    <row r="54" spans="1:38" x14ac:dyDescent="0.3">
      <c r="A54" s="1493"/>
      <c r="B54" s="1493"/>
      <c r="C54" s="1493"/>
      <c r="D54" s="1493"/>
      <c r="E54" s="1493"/>
      <c r="F54" s="1493"/>
      <c r="G54" s="1493"/>
      <c r="H54" s="1378" t="s">
        <v>429</v>
      </c>
      <c r="I54" s="1378"/>
      <c r="J54" s="1378"/>
      <c r="K54" s="1378" t="s">
        <v>577</v>
      </c>
      <c r="L54" s="1378"/>
      <c r="M54" s="1378"/>
      <c r="N54" s="1378" t="s">
        <v>429</v>
      </c>
      <c r="O54" s="1378"/>
      <c r="P54" s="1378"/>
      <c r="Q54" s="1378" t="s">
        <v>577</v>
      </c>
      <c r="R54" s="1378"/>
      <c r="S54" s="1378"/>
      <c r="T54" s="1378" t="s">
        <v>429</v>
      </c>
      <c r="U54" s="1378"/>
      <c r="V54" s="1378"/>
      <c r="W54" s="1378" t="s">
        <v>577</v>
      </c>
      <c r="X54" s="1378"/>
      <c r="Y54" s="1378"/>
      <c r="Z54" s="1493"/>
      <c r="AA54" s="1493"/>
      <c r="AB54" s="1493"/>
      <c r="AC54" s="1493"/>
      <c r="AD54" s="1493"/>
      <c r="AE54" s="1493"/>
      <c r="AF54" s="1493"/>
      <c r="AL54" s="758"/>
    </row>
    <row r="55" spans="1:38" x14ac:dyDescent="0.3">
      <c r="A55" s="1551" t="s">
        <v>5189</v>
      </c>
      <c r="B55" s="1551"/>
      <c r="C55" s="1551"/>
      <c r="D55" s="1551"/>
      <c r="E55" s="1551"/>
      <c r="F55" s="1551"/>
      <c r="G55" s="1551"/>
      <c r="H55" s="1551"/>
      <c r="I55" s="1551"/>
      <c r="J55" s="1551"/>
      <c r="K55" s="1551"/>
      <c r="L55" s="1551"/>
      <c r="M55" s="1551"/>
      <c r="N55" s="1551"/>
      <c r="O55" s="1551"/>
      <c r="P55" s="1551"/>
      <c r="Q55" s="1551"/>
      <c r="R55" s="1551"/>
      <c r="S55" s="1551"/>
      <c r="T55" s="1551"/>
      <c r="U55" s="1551"/>
      <c r="V55" s="1551"/>
      <c r="W55" s="1551"/>
      <c r="X55" s="1551"/>
      <c r="Y55" s="1551"/>
      <c r="Z55" s="1551"/>
      <c r="AA55" s="1551"/>
      <c r="AB55" s="1551"/>
      <c r="AC55" s="1551"/>
      <c r="AD55" s="1551"/>
      <c r="AE55" s="1551"/>
      <c r="AF55" s="1551"/>
      <c r="AL55" s="758"/>
    </row>
    <row r="56" spans="1:38" x14ac:dyDescent="0.3">
      <c r="A56" s="1545" t="s">
        <v>5190</v>
      </c>
      <c r="B56" s="1546"/>
      <c r="C56" s="1546"/>
      <c r="D56" s="1546"/>
      <c r="E56" s="1546"/>
      <c r="F56" s="1546"/>
      <c r="G56" s="1546"/>
      <c r="H56" s="1546"/>
      <c r="I56" s="1546"/>
      <c r="J56" s="1546"/>
      <c r="K56" s="1546"/>
      <c r="L56" s="1546"/>
      <c r="M56" s="1546"/>
      <c r="N56" s="1546"/>
      <c r="O56" s="1546"/>
      <c r="P56" s="1546"/>
      <c r="Q56" s="1546"/>
      <c r="R56" s="1546"/>
      <c r="S56" s="1546"/>
      <c r="T56" s="1546"/>
      <c r="U56" s="1546"/>
      <c r="V56" s="1546"/>
      <c r="W56" s="1546"/>
      <c r="X56" s="1546"/>
      <c r="Y56" s="1546"/>
      <c r="Z56" s="1546"/>
      <c r="AA56" s="1546"/>
      <c r="AB56" s="1546"/>
      <c r="AC56" s="1546"/>
      <c r="AD56" s="1546"/>
      <c r="AE56" s="1546"/>
      <c r="AF56" s="1546"/>
      <c r="AL56" s="758"/>
    </row>
    <row r="57" spans="1:38" x14ac:dyDescent="0.3">
      <c r="A57" s="1547" t="s">
        <v>5191</v>
      </c>
      <c r="B57" s="1547"/>
      <c r="C57" s="1547"/>
      <c r="D57" s="1547"/>
      <c r="E57" s="1548">
        <v>7.5</v>
      </c>
      <c r="F57" s="1548"/>
      <c r="G57" s="1548"/>
      <c r="H57" s="1549">
        <v>0.22</v>
      </c>
      <c r="I57" s="1549"/>
      <c r="J57" s="1549"/>
      <c r="K57" s="1549">
        <v>0.21</v>
      </c>
      <c r="L57" s="1549"/>
      <c r="M57" s="1549"/>
      <c r="N57" s="1549">
        <v>1.38</v>
      </c>
      <c r="O57" s="1549"/>
      <c r="P57" s="1549"/>
      <c r="Q57" s="1549">
        <v>0.9</v>
      </c>
      <c r="R57" s="1549"/>
      <c r="S57" s="1549"/>
      <c r="T57" s="1549">
        <f>E57*H57+N57</f>
        <v>3.03</v>
      </c>
      <c r="U57" s="1549"/>
      <c r="V57" s="1549"/>
      <c r="W57" s="1549">
        <f>E57*K57+Q57</f>
        <v>2.4750000000000001</v>
      </c>
      <c r="X57" s="1549"/>
      <c r="Y57" s="1549"/>
      <c r="Z57" s="1550">
        <f>(T57-W57)*$Q$44</f>
        <v>202.5749999999999</v>
      </c>
      <c r="AA57" s="1550"/>
      <c r="AB57" s="1550"/>
      <c r="AC57" s="1550"/>
      <c r="AD57" s="1549">
        <f>$Q$46*Z57/$Q$45</f>
        <v>2.3124999999999989E-2</v>
      </c>
      <c r="AE57" s="1549"/>
      <c r="AF57" s="1549"/>
      <c r="AL57" s="758"/>
    </row>
    <row r="58" spans="1:38" x14ac:dyDescent="0.3">
      <c r="A58" s="1547" t="s">
        <v>5192</v>
      </c>
      <c r="B58" s="1547"/>
      <c r="C58" s="1547"/>
      <c r="D58" s="1547"/>
      <c r="E58" s="1548">
        <v>22.5</v>
      </c>
      <c r="F58" s="1548"/>
      <c r="G58" s="1548"/>
      <c r="H58" s="1549">
        <v>0.22</v>
      </c>
      <c r="I58" s="1549"/>
      <c r="J58" s="1549"/>
      <c r="K58" s="1549">
        <v>0.12</v>
      </c>
      <c r="L58" s="1549"/>
      <c r="M58" s="1549"/>
      <c r="N58" s="1549">
        <v>1.38</v>
      </c>
      <c r="O58" s="1549"/>
      <c r="P58" s="1549"/>
      <c r="Q58" s="1549">
        <v>2.2480000000000002</v>
      </c>
      <c r="R58" s="1549"/>
      <c r="S58" s="1549"/>
      <c r="T58" s="1549">
        <f>E58*H58+N58</f>
        <v>6.33</v>
      </c>
      <c r="U58" s="1549"/>
      <c r="V58" s="1549"/>
      <c r="W58" s="1549">
        <f>E58*K58+Q58</f>
        <v>4.9480000000000004</v>
      </c>
      <c r="X58" s="1549"/>
      <c r="Y58" s="1549"/>
      <c r="Z58" s="1550">
        <f>(T58-W58)*$Q$44</f>
        <v>504.42999999999989</v>
      </c>
      <c r="AA58" s="1550"/>
      <c r="AB58" s="1550"/>
      <c r="AC58" s="1550"/>
      <c r="AD58" s="1549">
        <f>$Q$46*Z58/$Q$45</f>
        <v>5.758333333333332E-2</v>
      </c>
      <c r="AE58" s="1549"/>
      <c r="AF58" s="1549"/>
      <c r="AJ58" s="9"/>
      <c r="AL58" s="758"/>
    </row>
    <row r="59" spans="1:38" x14ac:dyDescent="0.3">
      <c r="A59" s="1547" t="s">
        <v>5193</v>
      </c>
      <c r="B59" s="1547"/>
      <c r="C59" s="1547"/>
      <c r="D59" s="1547"/>
      <c r="E59" s="1548">
        <v>40</v>
      </c>
      <c r="F59" s="1548"/>
      <c r="G59" s="1548"/>
      <c r="H59" s="1549">
        <v>0.22</v>
      </c>
      <c r="I59" s="1549"/>
      <c r="J59" s="1549"/>
      <c r="K59" s="1549">
        <v>0.25779999999999997</v>
      </c>
      <c r="L59" s="1549"/>
      <c r="M59" s="1549"/>
      <c r="N59" s="1549">
        <v>1.38</v>
      </c>
      <c r="O59" s="1549"/>
      <c r="P59" s="1549"/>
      <c r="Q59" s="1549">
        <v>-1.8864000000000001</v>
      </c>
      <c r="R59" s="1549"/>
      <c r="S59" s="1549"/>
      <c r="T59" s="1549">
        <f>E59*H59+N59</f>
        <v>10.18</v>
      </c>
      <c r="U59" s="1549"/>
      <c r="V59" s="1549"/>
      <c r="W59" s="1549">
        <f>E59*K59+Q59</f>
        <v>8.4255999999999993</v>
      </c>
      <c r="X59" s="1549"/>
      <c r="Y59" s="1549"/>
      <c r="Z59" s="1550">
        <f>(T59-W59)*$Q$44</f>
        <v>640.35600000000011</v>
      </c>
      <c r="AA59" s="1550"/>
      <c r="AB59" s="1550"/>
      <c r="AC59" s="1550"/>
      <c r="AD59" s="1549">
        <f>$Q$46*Z59/$Q$45</f>
        <v>7.3100000000000012E-2</v>
      </c>
      <c r="AE59" s="1549"/>
      <c r="AF59" s="1549"/>
      <c r="AL59" s="758"/>
    </row>
    <row r="60" spans="1:38" x14ac:dyDescent="0.3">
      <c r="A60" s="1547" t="s">
        <v>5194</v>
      </c>
      <c r="B60" s="1547"/>
      <c r="C60" s="1547"/>
      <c r="D60" s="1547"/>
      <c r="E60" s="1548">
        <v>60</v>
      </c>
      <c r="F60" s="1548"/>
      <c r="G60" s="1548"/>
      <c r="H60" s="1549">
        <v>0.22</v>
      </c>
      <c r="I60" s="1549"/>
      <c r="J60" s="1549"/>
      <c r="K60" s="1549">
        <v>0.14000000000000001</v>
      </c>
      <c r="L60" s="1549"/>
      <c r="M60" s="1549"/>
      <c r="N60" s="1549">
        <v>1.38</v>
      </c>
      <c r="O60" s="1549"/>
      <c r="P60" s="1549"/>
      <c r="Q60" s="1549">
        <v>4.4000000000000004</v>
      </c>
      <c r="R60" s="1549"/>
      <c r="S60" s="1549"/>
      <c r="T60" s="1549">
        <f>E60*H60+N60</f>
        <v>14.579999999999998</v>
      </c>
      <c r="U60" s="1549"/>
      <c r="V60" s="1549"/>
      <c r="W60" s="1549">
        <f>E60*K60+Q60</f>
        <v>12.8</v>
      </c>
      <c r="X60" s="1549"/>
      <c r="Y60" s="1549"/>
      <c r="Z60" s="1550">
        <f>(T60-W60)*$Q$44</f>
        <v>649.69999999999914</v>
      </c>
      <c r="AA60" s="1550"/>
      <c r="AB60" s="1550"/>
      <c r="AC60" s="1550"/>
      <c r="AD60" s="1549">
        <f>$Q$46*Z60/$Q$45</f>
        <v>7.4166666666666561E-2</v>
      </c>
      <c r="AE60" s="1549"/>
      <c r="AF60" s="1549"/>
      <c r="AL60" s="758"/>
    </row>
    <row r="61" spans="1:38" x14ac:dyDescent="0.3">
      <c r="A61" s="1545" t="s">
        <v>5195</v>
      </c>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L61" s="758"/>
    </row>
    <row r="62" spans="1:38" x14ac:dyDescent="0.3">
      <c r="A62" s="1547" t="s">
        <v>5191</v>
      </c>
      <c r="B62" s="1547"/>
      <c r="C62" s="1547"/>
      <c r="D62" s="1547"/>
      <c r="E62" s="1548">
        <v>7.5</v>
      </c>
      <c r="F62" s="1548"/>
      <c r="G62" s="1548"/>
      <c r="H62" s="1549">
        <v>0.28999999999999998</v>
      </c>
      <c r="I62" s="1549"/>
      <c r="J62" s="1549"/>
      <c r="K62" s="1549">
        <v>0.23200000000000001</v>
      </c>
      <c r="L62" s="1549"/>
      <c r="M62" s="1549"/>
      <c r="N62" s="1549">
        <v>2.95</v>
      </c>
      <c r="O62" s="1549"/>
      <c r="P62" s="1549"/>
      <c r="Q62" s="1549">
        <v>2.36</v>
      </c>
      <c r="R62" s="1549"/>
      <c r="S62" s="1549"/>
      <c r="T62" s="1549">
        <f>E62*H62+N62</f>
        <v>5.125</v>
      </c>
      <c r="U62" s="1549"/>
      <c r="V62" s="1549"/>
      <c r="W62" s="1549">
        <f>E62*K62+Q62</f>
        <v>4.0999999999999996</v>
      </c>
      <c r="X62" s="1549"/>
      <c r="Y62" s="1549"/>
      <c r="Z62" s="1550">
        <f>(T62-W62)*$Q$44</f>
        <v>374.12500000000011</v>
      </c>
      <c r="AA62" s="1550"/>
      <c r="AB62" s="1550"/>
      <c r="AC62" s="1550"/>
      <c r="AD62" s="1549">
        <f>$Q$46*Z62/$Q$45</f>
        <v>4.2708333333333348E-2</v>
      </c>
      <c r="AE62" s="1549"/>
      <c r="AF62" s="1549"/>
      <c r="AL62" s="758"/>
    </row>
    <row r="63" spans="1:38" x14ac:dyDescent="0.3">
      <c r="A63" s="1547" t="s">
        <v>5192</v>
      </c>
      <c r="B63" s="1547"/>
      <c r="C63" s="1547"/>
      <c r="D63" s="1547"/>
      <c r="E63" s="1548">
        <v>22.5</v>
      </c>
      <c r="F63" s="1548"/>
      <c r="G63" s="1548"/>
      <c r="H63" s="1549">
        <v>0.28999999999999998</v>
      </c>
      <c r="I63" s="1549"/>
      <c r="J63" s="1549"/>
      <c r="K63" s="1549">
        <v>0.23200000000000001</v>
      </c>
      <c r="L63" s="1549"/>
      <c r="M63" s="1549"/>
      <c r="N63" s="1549">
        <v>2.95</v>
      </c>
      <c r="O63" s="1549"/>
      <c r="P63" s="1549"/>
      <c r="Q63" s="1549">
        <v>2.36</v>
      </c>
      <c r="R63" s="1549"/>
      <c r="S63" s="1549"/>
      <c r="T63" s="1549">
        <f>E63*H63+N63</f>
        <v>9.4749999999999996</v>
      </c>
      <c r="U63" s="1549"/>
      <c r="V63" s="1549"/>
      <c r="W63" s="1549">
        <f>E63*K63+Q63</f>
        <v>7.58</v>
      </c>
      <c r="X63" s="1549"/>
      <c r="Y63" s="1549"/>
      <c r="Z63" s="1550">
        <f>(T63-W63)*$Q$44</f>
        <v>691.67499999999984</v>
      </c>
      <c r="AA63" s="1550"/>
      <c r="AB63" s="1550"/>
      <c r="AC63" s="1550"/>
      <c r="AD63" s="1549">
        <f>$Q$46*Z63/$Q$45</f>
        <v>7.8958333333333311E-2</v>
      </c>
      <c r="AE63" s="1549"/>
      <c r="AF63" s="1549"/>
      <c r="AL63" s="758"/>
    </row>
    <row r="64" spans="1:38" x14ac:dyDescent="0.3">
      <c r="A64" s="1547" t="s">
        <v>5193</v>
      </c>
      <c r="B64" s="1547"/>
      <c r="C64" s="1547"/>
      <c r="D64" s="1547"/>
      <c r="E64" s="1548">
        <v>40</v>
      </c>
      <c r="F64" s="1548"/>
      <c r="G64" s="1548"/>
      <c r="H64" s="1549">
        <v>0.28999999999999998</v>
      </c>
      <c r="I64" s="1549"/>
      <c r="J64" s="1549"/>
      <c r="K64" s="1549">
        <v>0.23200000000000001</v>
      </c>
      <c r="L64" s="1549"/>
      <c r="M64" s="1549"/>
      <c r="N64" s="1549">
        <v>2.95</v>
      </c>
      <c r="O64" s="1549"/>
      <c r="P64" s="1549"/>
      <c r="Q64" s="1549">
        <v>2.36</v>
      </c>
      <c r="R64" s="1549"/>
      <c r="S64" s="1549"/>
      <c r="T64" s="1549">
        <f>E64*H64+N64</f>
        <v>14.55</v>
      </c>
      <c r="U64" s="1549"/>
      <c r="V64" s="1549"/>
      <c r="W64" s="1549">
        <f>E64*K64+Q64</f>
        <v>11.64</v>
      </c>
      <c r="X64" s="1549"/>
      <c r="Y64" s="1549"/>
      <c r="Z64" s="1550">
        <f>(T64-W64)*$Q$44</f>
        <v>1062.1500000000001</v>
      </c>
      <c r="AA64" s="1550"/>
      <c r="AB64" s="1550"/>
      <c r="AC64" s="1550"/>
      <c r="AD64" s="1549">
        <f>$Q$46*Z64/$Q$45</f>
        <v>0.12125000000000001</v>
      </c>
      <c r="AE64" s="1549"/>
      <c r="AF64" s="1549"/>
      <c r="AL64" s="758"/>
    </row>
    <row r="65" spans="1:38" x14ac:dyDescent="0.3">
      <c r="A65" s="1547" t="s">
        <v>5194</v>
      </c>
      <c r="B65" s="1547"/>
      <c r="C65" s="1547"/>
      <c r="D65" s="1547"/>
      <c r="E65" s="1548">
        <v>60</v>
      </c>
      <c r="F65" s="1548"/>
      <c r="G65" s="1548"/>
      <c r="H65" s="1549">
        <v>0.28999999999999998</v>
      </c>
      <c r="I65" s="1549"/>
      <c r="J65" s="1549"/>
      <c r="K65" s="1549">
        <v>0.23200000000000001</v>
      </c>
      <c r="L65" s="1549"/>
      <c r="M65" s="1549"/>
      <c r="N65" s="1549">
        <v>2.95</v>
      </c>
      <c r="O65" s="1549"/>
      <c r="P65" s="1549"/>
      <c r="Q65" s="1549">
        <v>2.36</v>
      </c>
      <c r="R65" s="1549"/>
      <c r="S65" s="1549"/>
      <c r="T65" s="1549">
        <f>E65*H65+N65</f>
        <v>20.349999999999998</v>
      </c>
      <c r="U65" s="1549"/>
      <c r="V65" s="1549"/>
      <c r="W65" s="1549">
        <f>E65*K65+Q65</f>
        <v>16.28</v>
      </c>
      <c r="X65" s="1549"/>
      <c r="Y65" s="1549"/>
      <c r="Z65" s="1550">
        <f>(T65-W65)*$Q$44</f>
        <v>1485.5499999999988</v>
      </c>
      <c r="AA65" s="1550"/>
      <c r="AB65" s="1550"/>
      <c r="AC65" s="1550"/>
      <c r="AD65" s="1549">
        <f>$Q$46*Z65/$Q$45</f>
        <v>0.1695833333333332</v>
      </c>
      <c r="AE65" s="1549"/>
      <c r="AF65" s="1549"/>
      <c r="AL65" s="758"/>
    </row>
    <row r="66" spans="1:38" x14ac:dyDescent="0.3">
      <c r="A66" s="1551" t="s">
        <v>5196</v>
      </c>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L66" s="758"/>
    </row>
    <row r="67" spans="1:38" x14ac:dyDescent="0.3">
      <c r="A67" s="1545" t="s">
        <v>5197</v>
      </c>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L67" s="758"/>
    </row>
    <row r="68" spans="1:38" x14ac:dyDescent="0.3">
      <c r="A68" s="1547" t="s">
        <v>5191</v>
      </c>
      <c r="B68" s="1547"/>
      <c r="C68" s="1547"/>
      <c r="D68" s="1547"/>
      <c r="E68" s="1548">
        <v>7.5</v>
      </c>
      <c r="F68" s="1548"/>
      <c r="G68" s="1548"/>
      <c r="H68" s="1549">
        <v>0.06</v>
      </c>
      <c r="I68" s="1549"/>
      <c r="J68" s="1549"/>
      <c r="K68" s="1549">
        <v>5.7000000000000002E-2</v>
      </c>
      <c r="L68" s="1549"/>
      <c r="M68" s="1549"/>
      <c r="N68" s="1549">
        <v>1.1200000000000001</v>
      </c>
      <c r="O68" s="1549"/>
      <c r="P68" s="1549"/>
      <c r="Q68" s="1549">
        <v>0.55000000000000004</v>
      </c>
      <c r="R68" s="1549"/>
      <c r="S68" s="1549"/>
      <c r="T68" s="1549">
        <f>E68*H68+N68</f>
        <v>1.57</v>
      </c>
      <c r="U68" s="1549"/>
      <c r="V68" s="1549"/>
      <c r="W68" s="1549">
        <f>E68*K68+Q68</f>
        <v>0.97750000000000004</v>
      </c>
      <c r="X68" s="1549"/>
      <c r="Y68" s="1549"/>
      <c r="Z68" s="1550">
        <f>(T68-W68)*$Q$44</f>
        <v>216.26250000000002</v>
      </c>
      <c r="AA68" s="1550"/>
      <c r="AB68" s="1550"/>
      <c r="AC68" s="1550"/>
      <c r="AD68" s="1549">
        <f>$Q$46*Z68/$Q$45</f>
        <v>2.4687500000000001E-2</v>
      </c>
      <c r="AE68" s="1549"/>
      <c r="AF68" s="1549"/>
      <c r="AL68" s="758"/>
    </row>
    <row r="69" spans="1:38" x14ac:dyDescent="0.3">
      <c r="A69" s="1547" t="s">
        <v>5192</v>
      </c>
      <c r="B69" s="1547"/>
      <c r="C69" s="1547"/>
      <c r="D69" s="1547"/>
      <c r="E69" s="1548">
        <v>22.5</v>
      </c>
      <c r="F69" s="1548"/>
      <c r="G69" s="1548"/>
      <c r="H69" s="1549">
        <v>0.06</v>
      </c>
      <c r="I69" s="1549"/>
      <c r="J69" s="1549"/>
      <c r="K69" s="1549">
        <v>5.7000000000000002E-2</v>
      </c>
      <c r="L69" s="1549"/>
      <c r="M69" s="1549"/>
      <c r="N69" s="1549">
        <v>1.1200000000000001</v>
      </c>
      <c r="O69" s="1549"/>
      <c r="P69" s="1549"/>
      <c r="Q69" s="1549">
        <v>0.55000000000000004</v>
      </c>
      <c r="R69" s="1549"/>
      <c r="S69" s="1549"/>
      <c r="T69" s="1549">
        <f>E69*H69+N69</f>
        <v>2.4699999999999998</v>
      </c>
      <c r="U69" s="1549"/>
      <c r="V69" s="1549"/>
      <c r="W69" s="1549">
        <f>E69*K69+Q69</f>
        <v>1.8325</v>
      </c>
      <c r="X69" s="1549"/>
      <c r="Y69" s="1549"/>
      <c r="Z69" s="1550">
        <f>(T69-W69)*$Q$44</f>
        <v>232.68749999999991</v>
      </c>
      <c r="AA69" s="1550"/>
      <c r="AB69" s="1550"/>
      <c r="AC69" s="1550"/>
      <c r="AD69" s="1549">
        <f>$Q$46*Z69/$Q$45</f>
        <v>2.6562499999999989E-2</v>
      </c>
      <c r="AE69" s="1549"/>
      <c r="AF69" s="1549"/>
      <c r="AL69" s="758"/>
    </row>
    <row r="70" spans="1:38" x14ac:dyDescent="0.3">
      <c r="A70" s="1547" t="s">
        <v>5193</v>
      </c>
      <c r="B70" s="1547"/>
      <c r="C70" s="1547"/>
      <c r="D70" s="1547"/>
      <c r="E70" s="1548">
        <v>40</v>
      </c>
      <c r="F70" s="1548"/>
      <c r="G70" s="1548"/>
      <c r="H70" s="1549">
        <v>0.06</v>
      </c>
      <c r="I70" s="1549"/>
      <c r="J70" s="1549"/>
      <c r="K70" s="1549">
        <v>5.7000000000000002E-2</v>
      </c>
      <c r="L70" s="1549"/>
      <c r="M70" s="1549"/>
      <c r="N70" s="1549">
        <v>1.1200000000000001</v>
      </c>
      <c r="O70" s="1549"/>
      <c r="P70" s="1549"/>
      <c r="Q70" s="1549">
        <v>0.55000000000000004</v>
      </c>
      <c r="R70" s="1549"/>
      <c r="S70" s="1549"/>
      <c r="T70" s="1549">
        <f>E70*H70+N70</f>
        <v>3.52</v>
      </c>
      <c r="U70" s="1549"/>
      <c r="V70" s="1549"/>
      <c r="W70" s="1549">
        <f>E70*K70+Q70</f>
        <v>2.83</v>
      </c>
      <c r="X70" s="1549"/>
      <c r="Y70" s="1549"/>
      <c r="Z70" s="1550">
        <f>(T70-W70)*$Q$44</f>
        <v>251.85</v>
      </c>
      <c r="AA70" s="1550"/>
      <c r="AB70" s="1550"/>
      <c r="AC70" s="1550"/>
      <c r="AD70" s="1549">
        <f>$Q$46*Z70/$Q$45</f>
        <v>2.8749999999999998E-2</v>
      </c>
      <c r="AE70" s="1549"/>
      <c r="AF70" s="1549"/>
      <c r="AL70" s="758"/>
    </row>
    <row r="71" spans="1:38" x14ac:dyDescent="0.3">
      <c r="A71" s="1547" t="s">
        <v>5194</v>
      </c>
      <c r="B71" s="1547"/>
      <c r="C71" s="1547"/>
      <c r="D71" s="1547"/>
      <c r="E71" s="1548">
        <v>60</v>
      </c>
      <c r="F71" s="1548"/>
      <c r="G71" s="1548"/>
      <c r="H71" s="1549">
        <v>0.06</v>
      </c>
      <c r="I71" s="1549"/>
      <c r="J71" s="1549"/>
      <c r="K71" s="1549">
        <v>5.7000000000000002E-2</v>
      </c>
      <c r="L71" s="1549"/>
      <c r="M71" s="1549"/>
      <c r="N71" s="1549">
        <v>1.1200000000000001</v>
      </c>
      <c r="O71" s="1549"/>
      <c r="P71" s="1549"/>
      <c r="Q71" s="1549">
        <v>0.55000000000000004</v>
      </c>
      <c r="R71" s="1549"/>
      <c r="S71" s="1549"/>
      <c r="T71" s="1549">
        <f>E71*H71+N71</f>
        <v>4.72</v>
      </c>
      <c r="U71" s="1549"/>
      <c r="V71" s="1549"/>
      <c r="W71" s="1549">
        <f>E71*K71+Q71</f>
        <v>3.9699999999999998</v>
      </c>
      <c r="X71" s="1549"/>
      <c r="Y71" s="1549"/>
      <c r="Z71" s="1550">
        <f>(T71-W71)*$Q$44</f>
        <v>273.75</v>
      </c>
      <c r="AA71" s="1550"/>
      <c r="AB71" s="1550"/>
      <c r="AC71" s="1550"/>
      <c r="AD71" s="1549">
        <f>$Q$46*Z71/$Q$45</f>
        <v>3.125E-2</v>
      </c>
      <c r="AE71" s="1549"/>
      <c r="AF71" s="1549"/>
      <c r="AL71" s="758"/>
    </row>
    <row r="72" spans="1:38" x14ac:dyDescent="0.3">
      <c r="A72" s="1545" t="s">
        <v>5195</v>
      </c>
      <c r="B72" s="1546"/>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1546"/>
      <c r="AC72" s="1546"/>
      <c r="AD72" s="1546"/>
      <c r="AE72" s="1546"/>
      <c r="AF72" s="1546"/>
      <c r="AL72" s="758"/>
    </row>
    <row r="73" spans="1:38" x14ac:dyDescent="0.3">
      <c r="A73" s="1547" t="s">
        <v>5191</v>
      </c>
      <c r="B73" s="1547"/>
      <c r="C73" s="1547"/>
      <c r="D73" s="1547"/>
      <c r="E73" s="1548">
        <v>7.5</v>
      </c>
      <c r="F73" s="1548"/>
      <c r="G73" s="1548"/>
      <c r="H73" s="1549">
        <v>0.08</v>
      </c>
      <c r="I73" s="1549"/>
      <c r="J73" s="1549"/>
      <c r="K73" s="1549">
        <v>5.7000000000000002E-2</v>
      </c>
      <c r="L73" s="1549"/>
      <c r="M73" s="1549"/>
      <c r="N73" s="1549">
        <v>1.23</v>
      </c>
      <c r="O73" s="1549"/>
      <c r="P73" s="1549"/>
      <c r="Q73" s="1549">
        <v>0.55000000000000004</v>
      </c>
      <c r="R73" s="1549"/>
      <c r="S73" s="1549"/>
      <c r="T73" s="1549">
        <f>E73*H73+N73</f>
        <v>1.83</v>
      </c>
      <c r="U73" s="1549"/>
      <c r="V73" s="1549"/>
      <c r="W73" s="1549">
        <f>E73*K73+Q73</f>
        <v>0.97750000000000004</v>
      </c>
      <c r="X73" s="1549"/>
      <c r="Y73" s="1549"/>
      <c r="Z73" s="1550">
        <f>(T73-W73)*$Q$44</f>
        <v>311.16250000000002</v>
      </c>
      <c r="AA73" s="1550"/>
      <c r="AB73" s="1550"/>
      <c r="AC73" s="1550"/>
      <c r="AD73" s="1549">
        <f>$Q$46*Z73/$Q$45</f>
        <v>3.5520833333333335E-2</v>
      </c>
      <c r="AE73" s="1549"/>
      <c r="AF73" s="1549"/>
      <c r="AL73" s="709"/>
    </row>
    <row r="74" spans="1:38" x14ac:dyDescent="0.3">
      <c r="A74" s="1547" t="s">
        <v>5192</v>
      </c>
      <c r="B74" s="1547"/>
      <c r="C74" s="1547"/>
      <c r="D74" s="1547"/>
      <c r="E74" s="1548">
        <v>22.5</v>
      </c>
      <c r="F74" s="1548"/>
      <c r="G74" s="1548"/>
      <c r="H74" s="1549">
        <v>0.08</v>
      </c>
      <c r="I74" s="1549"/>
      <c r="J74" s="1549"/>
      <c r="K74" s="1549">
        <v>5.7000000000000002E-2</v>
      </c>
      <c r="L74" s="1549"/>
      <c r="M74" s="1549"/>
      <c r="N74" s="1549">
        <v>1.23</v>
      </c>
      <c r="O74" s="1549"/>
      <c r="P74" s="1549"/>
      <c r="Q74" s="1549">
        <v>0.55000000000000004</v>
      </c>
      <c r="R74" s="1549"/>
      <c r="S74" s="1549"/>
      <c r="T74" s="1549">
        <f>E74*H74+N74</f>
        <v>3.0300000000000002</v>
      </c>
      <c r="U74" s="1549"/>
      <c r="V74" s="1549"/>
      <c r="W74" s="1549">
        <f>E74*K74+Q74</f>
        <v>1.8325</v>
      </c>
      <c r="X74" s="1549"/>
      <c r="Y74" s="1549"/>
      <c r="Z74" s="1550">
        <f>(T74-W74)*$Q$44</f>
        <v>437.08750000000009</v>
      </c>
      <c r="AA74" s="1550"/>
      <c r="AB74" s="1550"/>
      <c r="AC74" s="1550"/>
      <c r="AD74" s="1549">
        <f>$Q$46*Z74/$Q$45</f>
        <v>4.9895833333333341E-2</v>
      </c>
      <c r="AE74" s="1549"/>
      <c r="AF74" s="1549"/>
      <c r="AL74" s="709"/>
    </row>
    <row r="75" spans="1:38" x14ac:dyDescent="0.3">
      <c r="A75" s="1547" t="s">
        <v>5193</v>
      </c>
      <c r="B75" s="1547"/>
      <c r="C75" s="1547"/>
      <c r="D75" s="1547"/>
      <c r="E75" s="1548">
        <v>40</v>
      </c>
      <c r="F75" s="1548"/>
      <c r="G75" s="1548"/>
      <c r="H75" s="1549">
        <v>0.08</v>
      </c>
      <c r="I75" s="1549"/>
      <c r="J75" s="1549"/>
      <c r="K75" s="1549">
        <v>5.7000000000000002E-2</v>
      </c>
      <c r="L75" s="1549"/>
      <c r="M75" s="1549"/>
      <c r="N75" s="1549">
        <v>1.23</v>
      </c>
      <c r="O75" s="1549"/>
      <c r="P75" s="1549"/>
      <c r="Q75" s="1549">
        <v>0.55000000000000004</v>
      </c>
      <c r="R75" s="1549"/>
      <c r="S75" s="1549"/>
      <c r="T75" s="1549">
        <f>E75*H75+N75</f>
        <v>4.43</v>
      </c>
      <c r="U75" s="1549"/>
      <c r="V75" s="1549"/>
      <c r="W75" s="1549">
        <f>E75*K75+Q75</f>
        <v>2.83</v>
      </c>
      <c r="X75" s="1549"/>
      <c r="Y75" s="1549"/>
      <c r="Z75" s="1550">
        <f>(T75-W75)*$Q$44</f>
        <v>583.99999999999989</v>
      </c>
      <c r="AA75" s="1550"/>
      <c r="AB75" s="1550"/>
      <c r="AC75" s="1550"/>
      <c r="AD75" s="1549">
        <f>$Q$46*Z75/$Q$45</f>
        <v>6.6666666666666652E-2</v>
      </c>
      <c r="AE75" s="1549"/>
      <c r="AF75" s="1549"/>
      <c r="AL75" s="709"/>
    </row>
    <row r="76" spans="1:38" x14ac:dyDescent="0.3">
      <c r="A76" s="1547" t="s">
        <v>5194</v>
      </c>
      <c r="B76" s="1547"/>
      <c r="C76" s="1547"/>
      <c r="D76" s="1547"/>
      <c r="E76" s="1548">
        <v>60</v>
      </c>
      <c r="F76" s="1548"/>
      <c r="G76" s="1548"/>
      <c r="H76" s="1549">
        <v>0.08</v>
      </c>
      <c r="I76" s="1549"/>
      <c r="J76" s="1549"/>
      <c r="K76" s="1549">
        <v>5.7000000000000002E-2</v>
      </c>
      <c r="L76" s="1549"/>
      <c r="M76" s="1549"/>
      <c r="N76" s="1549">
        <v>1.23</v>
      </c>
      <c r="O76" s="1549"/>
      <c r="P76" s="1549"/>
      <c r="Q76" s="1549">
        <v>0.55000000000000004</v>
      </c>
      <c r="R76" s="1549"/>
      <c r="S76" s="1549"/>
      <c r="T76" s="1549">
        <f>E76*H76+N76</f>
        <v>6.0299999999999994</v>
      </c>
      <c r="U76" s="1549"/>
      <c r="V76" s="1549"/>
      <c r="W76" s="1549">
        <f>E76*K76+Q76</f>
        <v>3.9699999999999998</v>
      </c>
      <c r="X76" s="1549"/>
      <c r="Y76" s="1549"/>
      <c r="Z76" s="1550">
        <f>(T76-W76)*$Q$44</f>
        <v>751.89999999999986</v>
      </c>
      <c r="AA76" s="1550"/>
      <c r="AB76" s="1550"/>
      <c r="AC76" s="1550"/>
      <c r="AD76" s="1549">
        <f>$Q$46*Z76/$Q$45</f>
        <v>8.5833333333333317E-2</v>
      </c>
      <c r="AE76" s="1549"/>
      <c r="AF76" s="1549"/>
      <c r="AL76" s="709"/>
    </row>
    <row r="77" spans="1:38" ht="15" thickBot="1" x14ac:dyDescent="0.35">
      <c r="A77" s="58"/>
      <c r="B77" s="58"/>
      <c r="C77" s="58"/>
      <c r="D77" s="58"/>
      <c r="E77" s="780"/>
      <c r="F77" s="780"/>
      <c r="G77" s="780"/>
      <c r="H77" s="781"/>
      <c r="I77" s="781"/>
      <c r="J77" s="781"/>
      <c r="K77" s="781"/>
      <c r="L77" s="781"/>
      <c r="M77" s="781"/>
      <c r="N77" s="781"/>
      <c r="O77" s="781"/>
      <c r="P77" s="781"/>
      <c r="Q77" s="781"/>
      <c r="R77" s="781"/>
      <c r="S77" s="781"/>
      <c r="T77" s="781"/>
      <c r="U77" s="781"/>
      <c r="V77" s="781"/>
      <c r="W77" s="781"/>
      <c r="X77" s="781"/>
      <c r="Y77" s="781"/>
      <c r="Z77" s="782"/>
      <c r="AA77" s="782"/>
      <c r="AB77" s="782"/>
      <c r="AC77" s="782"/>
      <c r="AD77" s="781"/>
      <c r="AE77" s="781"/>
      <c r="AF77" s="781"/>
      <c r="AL77" s="709"/>
    </row>
    <row r="78" spans="1:38" x14ac:dyDescent="0.3">
      <c r="A78" s="1482" t="s">
        <v>15</v>
      </c>
      <c r="B78" s="1312"/>
      <c r="C78" s="1312"/>
      <c r="D78" s="1312"/>
      <c r="E78" s="1312"/>
      <c r="F78" s="1312"/>
      <c r="G78" s="1312"/>
      <c r="H78" s="1312"/>
      <c r="I78" s="1312" t="s">
        <v>16</v>
      </c>
      <c r="J78" s="1312"/>
      <c r="K78" s="1312"/>
      <c r="L78" s="1312"/>
      <c r="M78" s="1312"/>
      <c r="N78" s="1312"/>
      <c r="O78" s="1312"/>
      <c r="P78" s="1312"/>
      <c r="Q78" s="1312" t="s">
        <v>17</v>
      </c>
      <c r="R78" s="1312"/>
      <c r="S78" s="1312"/>
      <c r="T78" s="1312"/>
      <c r="U78" s="1312"/>
      <c r="V78" s="1312"/>
      <c r="W78" s="1312"/>
      <c r="X78" s="1312"/>
      <c r="Y78" s="1552" t="s">
        <v>1826</v>
      </c>
      <c r="Z78" s="1553"/>
      <c r="AA78" s="1553"/>
      <c r="AB78" s="1553"/>
      <c r="AC78" s="1553"/>
      <c r="AD78" s="1553"/>
      <c r="AE78" s="1553"/>
      <c r="AF78" s="1554"/>
      <c r="AL78" s="709"/>
    </row>
    <row r="79" spans="1:38" ht="28.2" customHeight="1" x14ac:dyDescent="0.3">
      <c r="A79" s="1467" t="s">
        <v>5198</v>
      </c>
      <c r="B79" s="993"/>
      <c r="C79" s="993"/>
      <c r="D79" s="993"/>
      <c r="E79" s="993" t="s">
        <v>579</v>
      </c>
      <c r="F79" s="993"/>
      <c r="G79" s="993"/>
      <c r="H79" s="993"/>
      <c r="I79" s="1293">
        <f>ROUND(AD57,3)</f>
        <v>2.3E-2</v>
      </c>
      <c r="J79" s="1293"/>
      <c r="K79" s="1293"/>
      <c r="L79" s="1293"/>
      <c r="M79" s="1293"/>
      <c r="N79" s="1293"/>
      <c r="O79" s="1293"/>
      <c r="P79" s="1293"/>
      <c r="Q79" s="1555">
        <f>ROUND(Z57,2)</f>
        <v>202.58</v>
      </c>
      <c r="R79" s="1555"/>
      <c r="S79" s="1555"/>
      <c r="T79" s="1555"/>
      <c r="U79" s="1555"/>
      <c r="V79" s="1555"/>
      <c r="W79" s="1555"/>
      <c r="X79" s="1555"/>
      <c r="Y79" s="1556">
        <f>Q79*Q$47</f>
        <v>2430.96</v>
      </c>
      <c r="Z79" s="1556"/>
      <c r="AA79" s="1556"/>
      <c r="AB79" s="1556"/>
      <c r="AC79" s="1556"/>
      <c r="AD79" s="1556"/>
      <c r="AE79" s="1556"/>
      <c r="AF79" s="1557"/>
      <c r="AL79" s="709"/>
    </row>
    <row r="80" spans="1:38" ht="28.2" customHeight="1" x14ac:dyDescent="0.3">
      <c r="A80" s="1467" t="s">
        <v>5199</v>
      </c>
      <c r="B80" s="993"/>
      <c r="C80" s="993"/>
      <c r="D80" s="993"/>
      <c r="E80" s="993" t="s">
        <v>579</v>
      </c>
      <c r="F80" s="993"/>
      <c r="G80" s="993"/>
      <c r="H80" s="993"/>
      <c r="I80" s="1293">
        <f>ROUND(AD58,3)</f>
        <v>5.8000000000000003E-2</v>
      </c>
      <c r="J80" s="1293"/>
      <c r="K80" s="1293"/>
      <c r="L80" s="1293"/>
      <c r="M80" s="1293"/>
      <c r="N80" s="1293"/>
      <c r="O80" s="1293"/>
      <c r="P80" s="1293"/>
      <c r="Q80" s="1555">
        <f t="shared" ref="Q80:Q82" si="0">ROUND(Z58,2)</f>
        <v>504.43</v>
      </c>
      <c r="R80" s="1555"/>
      <c r="S80" s="1555"/>
      <c r="T80" s="1555"/>
      <c r="U80" s="1555"/>
      <c r="V80" s="1555"/>
      <c r="W80" s="1555"/>
      <c r="X80" s="1555"/>
      <c r="Y80" s="1556">
        <f t="shared" ref="Y80:Y94" si="1">Q80*Q$47</f>
        <v>6053.16</v>
      </c>
      <c r="Z80" s="1556"/>
      <c r="AA80" s="1556"/>
      <c r="AB80" s="1556"/>
      <c r="AC80" s="1556"/>
      <c r="AD80" s="1556"/>
      <c r="AE80" s="1556"/>
      <c r="AF80" s="1557"/>
    </row>
    <row r="81" spans="1:38" ht="28.2" customHeight="1" x14ac:dyDescent="0.3">
      <c r="A81" s="1467" t="s">
        <v>5200</v>
      </c>
      <c r="B81" s="993"/>
      <c r="C81" s="993"/>
      <c r="D81" s="993"/>
      <c r="E81" s="993" t="s">
        <v>580</v>
      </c>
      <c r="F81" s="993"/>
      <c r="G81" s="993"/>
      <c r="H81" s="993"/>
      <c r="I81" s="1293">
        <f t="shared" ref="I81:I82" si="2">ROUND(AD59,3)</f>
        <v>7.2999999999999995E-2</v>
      </c>
      <c r="J81" s="1293"/>
      <c r="K81" s="1293"/>
      <c r="L81" s="1293"/>
      <c r="M81" s="1293"/>
      <c r="N81" s="1293"/>
      <c r="O81" s="1293"/>
      <c r="P81" s="1293"/>
      <c r="Q81" s="1555">
        <f t="shared" si="0"/>
        <v>640.36</v>
      </c>
      <c r="R81" s="1555"/>
      <c r="S81" s="1555"/>
      <c r="T81" s="1555"/>
      <c r="U81" s="1555"/>
      <c r="V81" s="1555"/>
      <c r="W81" s="1555"/>
      <c r="X81" s="1555"/>
      <c r="Y81" s="1556">
        <f t="shared" si="1"/>
        <v>7684.32</v>
      </c>
      <c r="Z81" s="1556"/>
      <c r="AA81" s="1556"/>
      <c r="AB81" s="1556"/>
      <c r="AC81" s="1556"/>
      <c r="AD81" s="1556"/>
      <c r="AE81" s="1556"/>
      <c r="AF81" s="1557"/>
      <c r="AL81" s="709"/>
    </row>
    <row r="82" spans="1:38" ht="28.2" customHeight="1" x14ac:dyDescent="0.3">
      <c r="A82" s="1467" t="s">
        <v>6302</v>
      </c>
      <c r="B82" s="993"/>
      <c r="C82" s="993"/>
      <c r="D82" s="993"/>
      <c r="E82" s="993" t="s">
        <v>581</v>
      </c>
      <c r="F82" s="993"/>
      <c r="G82" s="993"/>
      <c r="H82" s="993"/>
      <c r="I82" s="1293">
        <f t="shared" si="2"/>
        <v>7.3999999999999996E-2</v>
      </c>
      <c r="J82" s="1293"/>
      <c r="K82" s="1293"/>
      <c r="L82" s="1293"/>
      <c r="M82" s="1293"/>
      <c r="N82" s="1293"/>
      <c r="O82" s="1293"/>
      <c r="P82" s="1293"/>
      <c r="Q82" s="1555">
        <f t="shared" si="0"/>
        <v>649.70000000000005</v>
      </c>
      <c r="R82" s="1555"/>
      <c r="S82" s="1555"/>
      <c r="T82" s="1555"/>
      <c r="U82" s="1555"/>
      <c r="V82" s="1555"/>
      <c r="W82" s="1555"/>
      <c r="X82" s="1555"/>
      <c r="Y82" s="1556">
        <f t="shared" si="1"/>
        <v>7796.4000000000005</v>
      </c>
      <c r="Z82" s="1556"/>
      <c r="AA82" s="1556"/>
      <c r="AB82" s="1556"/>
      <c r="AC82" s="1556"/>
      <c r="AD82" s="1556"/>
      <c r="AE82" s="1556"/>
      <c r="AF82" s="1557"/>
      <c r="AL82" s="709"/>
    </row>
    <row r="83" spans="1:38" ht="28.2" customHeight="1" x14ac:dyDescent="0.3">
      <c r="A83" s="1467" t="s">
        <v>5201</v>
      </c>
      <c r="B83" s="993"/>
      <c r="C83" s="993"/>
      <c r="D83" s="993"/>
      <c r="E83" s="993" t="s">
        <v>578</v>
      </c>
      <c r="F83" s="993"/>
      <c r="G83" s="993"/>
      <c r="H83" s="993"/>
      <c r="I83" s="1293">
        <f>ROUND(AD62,3)</f>
        <v>4.2999999999999997E-2</v>
      </c>
      <c r="J83" s="1293"/>
      <c r="K83" s="1293"/>
      <c r="L83" s="1293"/>
      <c r="M83" s="1293"/>
      <c r="N83" s="1293"/>
      <c r="O83" s="1293"/>
      <c r="P83" s="1293"/>
      <c r="Q83" s="1555">
        <f>ROUND(Z62,2)</f>
        <v>374.13</v>
      </c>
      <c r="R83" s="1555"/>
      <c r="S83" s="1555"/>
      <c r="T83" s="1555"/>
      <c r="U83" s="1555"/>
      <c r="V83" s="1555"/>
      <c r="W83" s="1555"/>
      <c r="X83" s="1555"/>
      <c r="Y83" s="1556">
        <f t="shared" si="1"/>
        <v>4489.5599999999995</v>
      </c>
      <c r="Z83" s="1556"/>
      <c r="AA83" s="1556"/>
      <c r="AB83" s="1556"/>
      <c r="AC83" s="1556"/>
      <c r="AD83" s="1556"/>
      <c r="AE83" s="1556"/>
      <c r="AF83" s="1557"/>
      <c r="AL83" s="709"/>
    </row>
    <row r="84" spans="1:38" ht="28.2" customHeight="1" x14ac:dyDescent="0.3">
      <c r="A84" s="1467" t="s">
        <v>5202</v>
      </c>
      <c r="B84" s="993"/>
      <c r="C84" s="993"/>
      <c r="D84" s="993"/>
      <c r="E84" s="993" t="s">
        <v>579</v>
      </c>
      <c r="F84" s="993"/>
      <c r="G84" s="993"/>
      <c r="H84" s="993"/>
      <c r="I84" s="1293">
        <f t="shared" ref="I84:I86" si="3">ROUND(AD63,3)</f>
        <v>7.9000000000000001E-2</v>
      </c>
      <c r="J84" s="1293"/>
      <c r="K84" s="1293"/>
      <c r="L84" s="1293"/>
      <c r="M84" s="1293"/>
      <c r="N84" s="1293"/>
      <c r="O84" s="1293"/>
      <c r="P84" s="1293"/>
      <c r="Q84" s="1555">
        <f t="shared" ref="Q84:Q86" si="4">ROUND(Z63,2)</f>
        <v>691.68</v>
      </c>
      <c r="R84" s="1555"/>
      <c r="S84" s="1555"/>
      <c r="T84" s="1555"/>
      <c r="U84" s="1555"/>
      <c r="V84" s="1555"/>
      <c r="W84" s="1555"/>
      <c r="X84" s="1555"/>
      <c r="Y84" s="1556">
        <f t="shared" si="1"/>
        <v>8300.16</v>
      </c>
      <c r="Z84" s="1556"/>
      <c r="AA84" s="1556"/>
      <c r="AB84" s="1556"/>
      <c r="AC84" s="1556"/>
      <c r="AD84" s="1556"/>
      <c r="AE84" s="1556"/>
      <c r="AF84" s="1557"/>
      <c r="AL84" s="709"/>
    </row>
    <row r="85" spans="1:38" ht="28.2" customHeight="1" x14ac:dyDescent="0.3">
      <c r="A85" s="1467" t="s">
        <v>5203</v>
      </c>
      <c r="B85" s="993"/>
      <c r="C85" s="993"/>
      <c r="D85" s="993"/>
      <c r="E85" s="993" t="s">
        <v>580</v>
      </c>
      <c r="F85" s="993"/>
      <c r="G85" s="993"/>
      <c r="H85" s="993"/>
      <c r="I85" s="1293">
        <f t="shared" si="3"/>
        <v>0.121</v>
      </c>
      <c r="J85" s="1293"/>
      <c r="K85" s="1293"/>
      <c r="L85" s="1293"/>
      <c r="M85" s="1293"/>
      <c r="N85" s="1293"/>
      <c r="O85" s="1293"/>
      <c r="P85" s="1293"/>
      <c r="Q85" s="1558">
        <f t="shared" si="4"/>
        <v>1062.1500000000001</v>
      </c>
      <c r="R85" s="1558"/>
      <c r="S85" s="1558"/>
      <c r="T85" s="1558"/>
      <c r="U85" s="1558"/>
      <c r="V85" s="1558"/>
      <c r="W85" s="1558"/>
      <c r="X85" s="1558"/>
      <c r="Y85" s="1556">
        <f t="shared" si="1"/>
        <v>12745.800000000001</v>
      </c>
      <c r="Z85" s="1556"/>
      <c r="AA85" s="1556"/>
      <c r="AB85" s="1556"/>
      <c r="AC85" s="1556"/>
      <c r="AD85" s="1556"/>
      <c r="AE85" s="1556"/>
      <c r="AF85" s="1557"/>
      <c r="AL85" s="709"/>
    </row>
    <row r="86" spans="1:38" ht="28.2" customHeight="1" x14ac:dyDescent="0.3">
      <c r="A86" s="1467" t="s">
        <v>5204</v>
      </c>
      <c r="B86" s="993"/>
      <c r="C86" s="993"/>
      <c r="D86" s="993"/>
      <c r="E86" s="993" t="s">
        <v>581</v>
      </c>
      <c r="F86" s="993"/>
      <c r="G86" s="993"/>
      <c r="H86" s="993"/>
      <c r="I86" s="1293">
        <f t="shared" si="3"/>
        <v>0.17</v>
      </c>
      <c r="J86" s="1293"/>
      <c r="K86" s="1293"/>
      <c r="L86" s="1293"/>
      <c r="M86" s="1293"/>
      <c r="N86" s="1293"/>
      <c r="O86" s="1293"/>
      <c r="P86" s="1293"/>
      <c r="Q86" s="1558">
        <f t="shared" si="4"/>
        <v>1485.55</v>
      </c>
      <c r="R86" s="1558"/>
      <c r="S86" s="1558"/>
      <c r="T86" s="1558"/>
      <c r="U86" s="1558"/>
      <c r="V86" s="1558"/>
      <c r="W86" s="1558"/>
      <c r="X86" s="1558"/>
      <c r="Y86" s="1559">
        <f t="shared" si="1"/>
        <v>17826.599999999999</v>
      </c>
      <c r="Z86" s="1556"/>
      <c r="AA86" s="1556"/>
      <c r="AB86" s="1556"/>
      <c r="AC86" s="1556"/>
      <c r="AD86" s="1556"/>
      <c r="AE86" s="1556"/>
      <c r="AF86" s="1557"/>
      <c r="AL86" s="709"/>
    </row>
    <row r="87" spans="1:38" ht="28.2" customHeight="1" x14ac:dyDescent="0.3">
      <c r="A87" s="1467" t="s">
        <v>5205</v>
      </c>
      <c r="B87" s="993"/>
      <c r="C87" s="993"/>
      <c r="D87" s="993"/>
      <c r="E87" s="993" t="s">
        <v>578</v>
      </c>
      <c r="F87" s="993"/>
      <c r="G87" s="993"/>
      <c r="H87" s="993"/>
      <c r="I87" s="1293">
        <f>ROUND(AD68,3)</f>
        <v>2.5000000000000001E-2</v>
      </c>
      <c r="J87" s="1293"/>
      <c r="K87" s="1293"/>
      <c r="L87" s="1293"/>
      <c r="M87" s="1293"/>
      <c r="N87" s="1293"/>
      <c r="O87" s="1293"/>
      <c r="P87" s="1293"/>
      <c r="Q87" s="1555">
        <f>ROUND(Z68,2)</f>
        <v>216.26</v>
      </c>
      <c r="R87" s="1555"/>
      <c r="S87" s="1555"/>
      <c r="T87" s="1555"/>
      <c r="U87" s="1555"/>
      <c r="V87" s="1555"/>
      <c r="W87" s="1555"/>
      <c r="X87" s="1555"/>
      <c r="Y87" s="1556">
        <f t="shared" si="1"/>
        <v>2595.12</v>
      </c>
      <c r="Z87" s="1556"/>
      <c r="AA87" s="1556"/>
      <c r="AB87" s="1556"/>
      <c r="AC87" s="1556"/>
      <c r="AD87" s="1556"/>
      <c r="AE87" s="1556"/>
      <c r="AF87" s="1557"/>
      <c r="AL87" s="709"/>
    </row>
    <row r="88" spans="1:38" ht="28.2" customHeight="1" x14ac:dyDescent="0.3">
      <c r="A88" s="1467" t="s">
        <v>5206</v>
      </c>
      <c r="B88" s="1547"/>
      <c r="C88" s="1547"/>
      <c r="D88" s="1547"/>
      <c r="E88" s="1547" t="s">
        <v>579</v>
      </c>
      <c r="F88" s="1547"/>
      <c r="G88" s="1547"/>
      <c r="H88" s="1547"/>
      <c r="I88" s="1293">
        <f t="shared" ref="I88:I90" si="5">ROUND(AD69,3)</f>
        <v>2.7E-2</v>
      </c>
      <c r="J88" s="1293"/>
      <c r="K88" s="1293"/>
      <c r="L88" s="1293"/>
      <c r="M88" s="1293"/>
      <c r="N88" s="1293"/>
      <c r="O88" s="1293"/>
      <c r="P88" s="1293"/>
      <c r="Q88" s="1555">
        <f t="shared" ref="Q88:Q90" si="6">ROUND(Z69,2)</f>
        <v>232.69</v>
      </c>
      <c r="R88" s="1555"/>
      <c r="S88" s="1555"/>
      <c r="T88" s="1555"/>
      <c r="U88" s="1555"/>
      <c r="V88" s="1555"/>
      <c r="W88" s="1555"/>
      <c r="X88" s="1555"/>
      <c r="Y88" s="1556">
        <f t="shared" si="1"/>
        <v>2792.2799999999997</v>
      </c>
      <c r="Z88" s="1556"/>
      <c r="AA88" s="1556"/>
      <c r="AB88" s="1556"/>
      <c r="AC88" s="1556"/>
      <c r="AD88" s="1556"/>
      <c r="AE88" s="1556"/>
      <c r="AF88" s="1557"/>
      <c r="AL88" s="709"/>
    </row>
    <row r="89" spans="1:38" ht="28.2" customHeight="1" x14ac:dyDescent="0.3">
      <c r="A89" s="1467" t="s">
        <v>5207</v>
      </c>
      <c r="B89" s="1547"/>
      <c r="C89" s="1547"/>
      <c r="D89" s="1547"/>
      <c r="E89" s="1547" t="s">
        <v>580</v>
      </c>
      <c r="F89" s="1547"/>
      <c r="G89" s="1547"/>
      <c r="H89" s="1547"/>
      <c r="I89" s="1293">
        <f t="shared" si="5"/>
        <v>2.9000000000000001E-2</v>
      </c>
      <c r="J89" s="1293"/>
      <c r="K89" s="1293"/>
      <c r="L89" s="1293"/>
      <c r="M89" s="1293"/>
      <c r="N89" s="1293"/>
      <c r="O89" s="1293"/>
      <c r="P89" s="1293"/>
      <c r="Q89" s="1555">
        <f t="shared" si="6"/>
        <v>251.85</v>
      </c>
      <c r="R89" s="1555"/>
      <c r="S89" s="1555"/>
      <c r="T89" s="1555"/>
      <c r="U89" s="1555"/>
      <c r="V89" s="1555"/>
      <c r="W89" s="1555"/>
      <c r="X89" s="1555"/>
      <c r="Y89" s="1556">
        <f t="shared" si="1"/>
        <v>3022.2</v>
      </c>
      <c r="Z89" s="1556"/>
      <c r="AA89" s="1556"/>
      <c r="AB89" s="1556"/>
      <c r="AC89" s="1556"/>
      <c r="AD89" s="1556"/>
      <c r="AE89" s="1556"/>
      <c r="AF89" s="1557"/>
      <c r="AL89" s="709"/>
    </row>
    <row r="90" spans="1:38" ht="28.2" customHeight="1" x14ac:dyDescent="0.3">
      <c r="A90" s="1467" t="s">
        <v>6303</v>
      </c>
      <c r="B90" s="1547"/>
      <c r="C90" s="1547"/>
      <c r="D90" s="1547"/>
      <c r="E90" s="1547" t="s">
        <v>581</v>
      </c>
      <c r="F90" s="1547"/>
      <c r="G90" s="1547"/>
      <c r="H90" s="1547"/>
      <c r="I90" s="1293">
        <f t="shared" si="5"/>
        <v>3.1E-2</v>
      </c>
      <c r="J90" s="1293"/>
      <c r="K90" s="1293"/>
      <c r="L90" s="1293"/>
      <c r="M90" s="1293"/>
      <c r="N90" s="1293"/>
      <c r="O90" s="1293"/>
      <c r="P90" s="1293"/>
      <c r="Q90" s="1555">
        <f t="shared" si="6"/>
        <v>273.75</v>
      </c>
      <c r="R90" s="1555"/>
      <c r="S90" s="1555"/>
      <c r="T90" s="1555"/>
      <c r="U90" s="1555"/>
      <c r="V90" s="1555"/>
      <c r="W90" s="1555"/>
      <c r="X90" s="1555"/>
      <c r="Y90" s="1556">
        <f t="shared" si="1"/>
        <v>3285</v>
      </c>
      <c r="Z90" s="1556"/>
      <c r="AA90" s="1556"/>
      <c r="AB90" s="1556"/>
      <c r="AC90" s="1556"/>
      <c r="AD90" s="1556"/>
      <c r="AE90" s="1556"/>
      <c r="AF90" s="1557"/>
      <c r="AL90" s="709"/>
    </row>
    <row r="91" spans="1:38" ht="28.2" customHeight="1" x14ac:dyDescent="0.3">
      <c r="A91" s="1467" t="s">
        <v>5208</v>
      </c>
      <c r="B91" s="1547"/>
      <c r="C91" s="1547"/>
      <c r="D91" s="1547"/>
      <c r="E91" s="1547" t="s">
        <v>578</v>
      </c>
      <c r="F91" s="1547"/>
      <c r="G91" s="1547"/>
      <c r="H91" s="1547"/>
      <c r="I91" s="1293">
        <f>ROUND(AD73,3)</f>
        <v>3.5999999999999997E-2</v>
      </c>
      <c r="J91" s="1293"/>
      <c r="K91" s="1293"/>
      <c r="L91" s="1293"/>
      <c r="M91" s="1293"/>
      <c r="N91" s="1293"/>
      <c r="O91" s="1293"/>
      <c r="P91" s="1293"/>
      <c r="Q91" s="1555">
        <f>ROUND(Z73,2)</f>
        <v>311.16000000000003</v>
      </c>
      <c r="R91" s="1555"/>
      <c r="S91" s="1555"/>
      <c r="T91" s="1555"/>
      <c r="U91" s="1555"/>
      <c r="V91" s="1555"/>
      <c r="W91" s="1555"/>
      <c r="X91" s="1555"/>
      <c r="Y91" s="1556">
        <f t="shared" si="1"/>
        <v>3733.92</v>
      </c>
      <c r="Z91" s="1556"/>
      <c r="AA91" s="1556"/>
      <c r="AB91" s="1556"/>
      <c r="AC91" s="1556"/>
      <c r="AD91" s="1556"/>
      <c r="AE91" s="1556"/>
      <c r="AF91" s="1557"/>
      <c r="AL91" s="709"/>
    </row>
    <row r="92" spans="1:38" ht="28.2" customHeight="1" x14ac:dyDescent="0.3">
      <c r="A92" s="1467" t="s">
        <v>5209</v>
      </c>
      <c r="B92" s="1547"/>
      <c r="C92" s="1547"/>
      <c r="D92" s="1547"/>
      <c r="E92" s="1547" t="s">
        <v>579</v>
      </c>
      <c r="F92" s="1547"/>
      <c r="G92" s="1547"/>
      <c r="H92" s="1547"/>
      <c r="I92" s="1293">
        <f t="shared" ref="I92:I94" si="7">ROUND(AD74,3)</f>
        <v>0.05</v>
      </c>
      <c r="J92" s="1293"/>
      <c r="K92" s="1293"/>
      <c r="L92" s="1293"/>
      <c r="M92" s="1293"/>
      <c r="N92" s="1293"/>
      <c r="O92" s="1293"/>
      <c r="P92" s="1293"/>
      <c r="Q92" s="1555">
        <f t="shared" ref="Q92:Q94" si="8">ROUND(Z74,2)</f>
        <v>437.09</v>
      </c>
      <c r="R92" s="1555"/>
      <c r="S92" s="1555"/>
      <c r="T92" s="1555"/>
      <c r="U92" s="1555"/>
      <c r="V92" s="1555"/>
      <c r="W92" s="1555"/>
      <c r="X92" s="1555"/>
      <c r="Y92" s="1556">
        <f t="shared" si="1"/>
        <v>5245.08</v>
      </c>
      <c r="Z92" s="1556"/>
      <c r="AA92" s="1556"/>
      <c r="AB92" s="1556"/>
      <c r="AC92" s="1556"/>
      <c r="AD92" s="1556"/>
      <c r="AE92" s="1556"/>
      <c r="AF92" s="1557"/>
      <c r="AL92" s="709"/>
    </row>
    <row r="93" spans="1:38" ht="28.2" customHeight="1" x14ac:dyDescent="0.3">
      <c r="A93" s="1467" t="s">
        <v>5210</v>
      </c>
      <c r="B93" s="1547"/>
      <c r="C93" s="1547"/>
      <c r="D93" s="1547"/>
      <c r="E93" s="1547" t="s">
        <v>580</v>
      </c>
      <c r="F93" s="1547"/>
      <c r="G93" s="1547"/>
      <c r="H93" s="1547"/>
      <c r="I93" s="1293">
        <f t="shared" si="7"/>
        <v>6.7000000000000004E-2</v>
      </c>
      <c r="J93" s="1293"/>
      <c r="K93" s="1293"/>
      <c r="L93" s="1293"/>
      <c r="M93" s="1293"/>
      <c r="N93" s="1293"/>
      <c r="O93" s="1293"/>
      <c r="P93" s="1293"/>
      <c r="Q93" s="1555">
        <f t="shared" si="8"/>
        <v>584</v>
      </c>
      <c r="R93" s="1555"/>
      <c r="S93" s="1555"/>
      <c r="T93" s="1555"/>
      <c r="U93" s="1555"/>
      <c r="V93" s="1555"/>
      <c r="W93" s="1555"/>
      <c r="X93" s="1555"/>
      <c r="Y93" s="1556">
        <f t="shared" si="1"/>
        <v>7008</v>
      </c>
      <c r="Z93" s="1556"/>
      <c r="AA93" s="1556"/>
      <c r="AB93" s="1556"/>
      <c r="AC93" s="1556"/>
      <c r="AD93" s="1556"/>
      <c r="AE93" s="1556"/>
      <c r="AF93" s="1557"/>
      <c r="AL93" s="709"/>
    </row>
    <row r="94" spans="1:38" ht="28.2" customHeight="1" thickBot="1" x14ac:dyDescent="0.35">
      <c r="A94" s="1474" t="s">
        <v>5211</v>
      </c>
      <c r="B94" s="1560"/>
      <c r="C94" s="1560"/>
      <c r="D94" s="1560"/>
      <c r="E94" s="1560" t="s">
        <v>581</v>
      </c>
      <c r="F94" s="1560"/>
      <c r="G94" s="1560"/>
      <c r="H94" s="1560"/>
      <c r="I94" s="1303">
        <f t="shared" si="7"/>
        <v>8.5999999999999993E-2</v>
      </c>
      <c r="J94" s="1303"/>
      <c r="K94" s="1303"/>
      <c r="L94" s="1303"/>
      <c r="M94" s="1303"/>
      <c r="N94" s="1303"/>
      <c r="O94" s="1303"/>
      <c r="P94" s="1303"/>
      <c r="Q94" s="1561">
        <f t="shared" si="8"/>
        <v>751.9</v>
      </c>
      <c r="R94" s="1561"/>
      <c r="S94" s="1561"/>
      <c r="T94" s="1561"/>
      <c r="U94" s="1561"/>
      <c r="V94" s="1561"/>
      <c r="W94" s="1561"/>
      <c r="X94" s="1561"/>
      <c r="Y94" s="1562">
        <f t="shared" si="1"/>
        <v>9022.7999999999993</v>
      </c>
      <c r="Z94" s="1562"/>
      <c r="AA94" s="1562"/>
      <c r="AB94" s="1562"/>
      <c r="AC94" s="1562"/>
      <c r="AD94" s="1562"/>
      <c r="AE94" s="1562"/>
      <c r="AF94" s="1563"/>
      <c r="AL94" s="709"/>
    </row>
    <row r="95" spans="1:38" x14ac:dyDescent="0.3">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L95" s="709"/>
    </row>
    <row r="96" spans="1:38" x14ac:dyDescent="0.3">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L96" s="709"/>
    </row>
    <row r="97" spans="1:38" x14ac:dyDescent="0.3">
      <c r="A97" s="1290" t="s">
        <v>1514</v>
      </c>
      <c r="B97" s="1290"/>
      <c r="C97" s="1290"/>
      <c r="D97" s="1290"/>
      <c r="E97" s="1290"/>
      <c r="F97" s="1290"/>
      <c r="G97" s="1290"/>
      <c r="H97" s="1290"/>
      <c r="I97" s="1290"/>
      <c r="J97" s="1290"/>
      <c r="K97" s="1290"/>
      <c r="L97" s="1290"/>
      <c r="M97" s="1290"/>
      <c r="N97" s="1290"/>
      <c r="O97" s="1290"/>
      <c r="P97" s="1290"/>
      <c r="Q97" s="1290"/>
      <c r="R97" s="1290"/>
      <c r="S97" s="1290"/>
      <c r="T97" s="1290"/>
      <c r="U97" s="1290"/>
      <c r="V97" s="1290"/>
      <c r="W97" s="1290"/>
      <c r="X97" s="1290"/>
      <c r="Y97" s="1290"/>
      <c r="Z97" s="1290"/>
      <c r="AA97" s="1290"/>
      <c r="AB97" s="1290"/>
      <c r="AC97" s="1290"/>
      <c r="AD97" s="1290"/>
      <c r="AE97" s="1290"/>
      <c r="AF97" s="1290"/>
      <c r="AL97" s="709"/>
    </row>
    <row r="98" spans="1:38" x14ac:dyDescent="0.3">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L98" s="709"/>
    </row>
    <row r="99" spans="1:38" ht="15" customHeight="1" x14ac:dyDescent="0.3">
      <c r="A99" s="370" t="s">
        <v>803</v>
      </c>
      <c r="B99" s="889" t="s">
        <v>6295</v>
      </c>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L99" s="544"/>
    </row>
    <row r="100" spans="1:38" ht="49.5" customHeight="1" x14ac:dyDescent="0.3">
      <c r="A100" s="370" t="s">
        <v>803</v>
      </c>
      <c r="B100" s="889" t="s">
        <v>5212</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c r="AL100" s="544"/>
    </row>
    <row r="101" spans="1:38" ht="78.75" customHeight="1" x14ac:dyDescent="0.3">
      <c r="A101" s="370" t="s">
        <v>803</v>
      </c>
      <c r="B101" s="889" t="s">
        <v>6296</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L101" s="544"/>
    </row>
    <row r="102" spans="1:38" ht="42.6" customHeight="1" x14ac:dyDescent="0.3">
      <c r="A102" s="370" t="s">
        <v>803</v>
      </c>
      <c r="B102" s="889" t="s">
        <v>6297</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L102" s="544"/>
    </row>
    <row r="103" spans="1:38" ht="33" customHeight="1" x14ac:dyDescent="0.3">
      <c r="A103" s="370" t="s">
        <v>803</v>
      </c>
      <c r="B103" s="889" t="s">
        <v>6025</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L103" s="544"/>
    </row>
    <row r="104" spans="1:38" ht="15" customHeight="1" x14ac:dyDescent="0.3">
      <c r="A104" s="370" t="s">
        <v>803</v>
      </c>
      <c r="B104" s="889" t="s">
        <v>6298</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L104" s="544"/>
    </row>
    <row r="105" spans="1:38" ht="32.25" customHeight="1" x14ac:dyDescent="0.3">
      <c r="A105" s="370" t="s">
        <v>803</v>
      </c>
      <c r="B105" s="889" t="s">
        <v>5214</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L105" s="544"/>
    </row>
    <row r="106" spans="1:38" ht="30" customHeight="1" x14ac:dyDescent="0.3">
      <c r="A106" s="370" t="s">
        <v>803</v>
      </c>
      <c r="B106" s="889" t="s">
        <v>6027</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L106" s="544"/>
    </row>
  </sheetData>
  <sheetProtection algorithmName="SHA-512" hashValue="EhMXbNtdpsUXR2j6f5MQWxcRx2/z0F1UbO2RQgyLe3jbWDXYq0HEDKWuB4Lx1WJNV9Hnm/H1K0GaDgfcJU1LEg==" saltValue="0uUTR5JuAtpziqnW0A3C/Q==" spinCount="100000" sheet="1" objects="1" scenarios="1"/>
  <mergeCells count="307">
    <mergeCell ref="A97:AF97"/>
    <mergeCell ref="B99:AF99"/>
    <mergeCell ref="B100:AF100"/>
    <mergeCell ref="B101:AF101"/>
    <mergeCell ref="B102:AF102"/>
    <mergeCell ref="B103:AF103"/>
    <mergeCell ref="B104:AF104"/>
    <mergeCell ref="B105:AF105"/>
    <mergeCell ref="B106:AF106"/>
    <mergeCell ref="A92:H92"/>
    <mergeCell ref="I92:P92"/>
    <mergeCell ref="Q92:X92"/>
    <mergeCell ref="Y92:AF92"/>
    <mergeCell ref="A93:H93"/>
    <mergeCell ref="I93:P93"/>
    <mergeCell ref="Q93:X93"/>
    <mergeCell ref="Y93:AF93"/>
    <mergeCell ref="A94:H94"/>
    <mergeCell ref="I94:P94"/>
    <mergeCell ref="Q94:X94"/>
    <mergeCell ref="Y94:AF94"/>
    <mergeCell ref="A89:H89"/>
    <mergeCell ref="I89:P89"/>
    <mergeCell ref="Q89:X89"/>
    <mergeCell ref="Y89:AF89"/>
    <mergeCell ref="A90:H90"/>
    <mergeCell ref="I90:P90"/>
    <mergeCell ref="Q90:X90"/>
    <mergeCell ref="Y90:AF90"/>
    <mergeCell ref="A91:H91"/>
    <mergeCell ref="I91:P91"/>
    <mergeCell ref="Q91:X91"/>
    <mergeCell ref="Y91:AF91"/>
    <mergeCell ref="A86:H86"/>
    <mergeCell ref="I86:P86"/>
    <mergeCell ref="Q86:X86"/>
    <mergeCell ref="Y86:AF86"/>
    <mergeCell ref="A87:H87"/>
    <mergeCell ref="I87:P87"/>
    <mergeCell ref="Q87:X87"/>
    <mergeCell ref="Y87:AF87"/>
    <mergeCell ref="A88:H88"/>
    <mergeCell ref="I88:P88"/>
    <mergeCell ref="Q88:X88"/>
    <mergeCell ref="Y88:AF88"/>
    <mergeCell ref="A83:H83"/>
    <mergeCell ref="I83:P83"/>
    <mergeCell ref="Q83:X83"/>
    <mergeCell ref="Y83:AF83"/>
    <mergeCell ref="A84:H84"/>
    <mergeCell ref="I84:P84"/>
    <mergeCell ref="Q84:X84"/>
    <mergeCell ref="Y84:AF84"/>
    <mergeCell ref="A85:H85"/>
    <mergeCell ref="I85:P85"/>
    <mergeCell ref="Q85:X85"/>
    <mergeCell ref="Y85:AF85"/>
    <mergeCell ref="A80:H80"/>
    <mergeCell ref="I80:P80"/>
    <mergeCell ref="Q80:X80"/>
    <mergeCell ref="Y80:AF80"/>
    <mergeCell ref="A81:H81"/>
    <mergeCell ref="I81:P81"/>
    <mergeCell ref="Q81:X81"/>
    <mergeCell ref="Y81:AF81"/>
    <mergeCell ref="A82:H82"/>
    <mergeCell ref="I82:P82"/>
    <mergeCell ref="Q82:X82"/>
    <mergeCell ref="Y82:AF82"/>
    <mergeCell ref="AD76:AF76"/>
    <mergeCell ref="A78:H78"/>
    <mergeCell ref="I78:P78"/>
    <mergeCell ref="Q78:X78"/>
    <mergeCell ref="Y78:AF78"/>
    <mergeCell ref="A79:H79"/>
    <mergeCell ref="I79:P79"/>
    <mergeCell ref="Q79:X79"/>
    <mergeCell ref="Y79:AF79"/>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9195857E-E8B9-4E46-A3BB-497189D4DA23}"/>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theme="7" tint="0.79998168889431442"/>
    <pageSetUpPr autoPageBreaks="0"/>
  </sheetPr>
  <dimension ref="A1:BO107"/>
  <sheetViews>
    <sheetView workbookViewId="0">
      <selection sqref="A1:AF1"/>
    </sheetView>
  </sheetViews>
  <sheetFormatPr defaultColWidth="2.6640625" defaultRowHeight="14.4" x14ac:dyDescent="0.3"/>
  <cols>
    <col min="1" max="16384" width="2.6640625" style="1"/>
  </cols>
  <sheetData>
    <row r="1" spans="1:38" ht="18" x14ac:dyDescent="0.3">
      <c r="A1" s="1131" t="s">
        <v>866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H1" s="496"/>
      <c r="AL1" s="765"/>
    </row>
    <row r="2" spans="1:38"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L2" s="766"/>
    </row>
    <row r="3" spans="1:38"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c r="AL3" s="709"/>
    </row>
    <row r="4" spans="1:38"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709"/>
    </row>
    <row r="5" spans="1:38" x14ac:dyDescent="0.3">
      <c r="A5" s="121"/>
      <c r="B5" s="1258" t="s">
        <v>5962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L5" s="709"/>
    </row>
    <row r="6" spans="1:38" x14ac:dyDescent="0.3">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L6" s="709"/>
    </row>
    <row r="7" spans="1:38"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L7" s="709"/>
    </row>
    <row r="8" spans="1:38"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L8" s="709"/>
    </row>
    <row r="9" spans="1:38"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c r="AH9" s="783"/>
      <c r="AL9" s="709"/>
    </row>
    <row r="10" spans="1:38" s="4" customFormat="1" ht="120.75" customHeight="1" x14ac:dyDescent="0.3">
      <c r="A10" s="121"/>
      <c r="B10" s="889" t="s">
        <v>5215</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L10" s="758"/>
    </row>
    <row r="11" spans="1:38"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L11" s="709"/>
    </row>
    <row r="12" spans="1:38"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L12" s="709"/>
    </row>
    <row r="13" spans="1:38" ht="33" customHeight="1" x14ac:dyDescent="0.3">
      <c r="A13" s="122"/>
      <c r="B13" s="889" t="s">
        <v>161</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H13" s="784"/>
      <c r="AL13" s="709"/>
    </row>
    <row r="14" spans="1:38"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L14" s="709"/>
    </row>
    <row r="15" spans="1:38"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L15" s="709"/>
    </row>
    <row r="16" spans="1:38" s="4" customFormat="1" ht="16.2" customHeight="1" x14ac:dyDescent="0.3">
      <c r="A16" s="121"/>
      <c r="B16" s="1372" t="s">
        <v>31</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H16" s="785"/>
      <c r="AL16" s="758"/>
    </row>
    <row r="17" spans="1:38"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L17" s="709"/>
    </row>
    <row r="18" spans="1:38"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L18" s="709"/>
    </row>
    <row r="19" spans="1:38" ht="65.25" customHeight="1" x14ac:dyDescent="0.3">
      <c r="A19" s="122"/>
      <c r="B19" s="889" t="s">
        <v>6306</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H19" s="785"/>
      <c r="AL19" s="709"/>
    </row>
    <row r="20" spans="1:38" x14ac:dyDescent="0.3">
      <c r="A20" s="121"/>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L20" s="709"/>
    </row>
    <row r="21" spans="1:38" x14ac:dyDescent="0.3">
      <c r="A21" s="121"/>
      <c r="B21" s="267" t="s">
        <v>13</v>
      </c>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L21" s="709"/>
    </row>
    <row r="22" spans="1:38" ht="34.200000000000003" customHeight="1" x14ac:dyDescent="0.3">
      <c r="A22" s="121"/>
      <c r="B22" s="889" t="s">
        <v>6307</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L22" s="709"/>
    </row>
    <row r="23" spans="1:38" x14ac:dyDescent="0.3">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L23" s="709"/>
    </row>
    <row r="24" spans="1:38" x14ac:dyDescent="0.3">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L24" s="709"/>
    </row>
    <row r="25" spans="1:38" x14ac:dyDescent="0.3">
      <c r="A25" s="1290" t="s">
        <v>7</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c r="AL25" s="709"/>
    </row>
    <row r="26" spans="1:38"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L26" s="709"/>
    </row>
    <row r="27" spans="1:38" x14ac:dyDescent="0.3">
      <c r="A27" s="121"/>
      <c r="B27" s="372" t="s">
        <v>2027</v>
      </c>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L27" s="709"/>
    </row>
    <row r="28" spans="1:38" x14ac:dyDescent="0.3">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L28" s="709"/>
    </row>
    <row r="29" spans="1:38" x14ac:dyDescent="0.3">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546" t="s">
        <v>1463</v>
      </c>
      <c r="AL29" s="709"/>
    </row>
    <row r="30" spans="1:38"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L30" s="709"/>
    </row>
    <row r="31" spans="1:38" x14ac:dyDescent="0.3">
      <c r="A31" s="121"/>
      <c r="B31" s="372" t="s">
        <v>2137</v>
      </c>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L31" s="709"/>
    </row>
    <row r="32" spans="1:38"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L32" s="709"/>
    </row>
    <row r="33" spans="1:54" x14ac:dyDescent="0.3">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88" t="s">
        <v>1464</v>
      </c>
      <c r="AL33" s="709"/>
    </row>
    <row r="34" spans="1:54"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L34" s="709"/>
    </row>
    <row r="35" spans="1:54" x14ac:dyDescent="0.3">
      <c r="A35" s="121"/>
      <c r="B35" s="372" t="s">
        <v>1811</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L35" s="709"/>
    </row>
    <row r="36" spans="1:54" x14ac:dyDescent="0.3">
      <c r="A36" s="121"/>
      <c r="B36" s="37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L36" s="709"/>
    </row>
    <row r="37" spans="1:54" x14ac:dyDescent="0.3">
      <c r="A37" s="121"/>
      <c r="B37" s="372"/>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1465</v>
      </c>
      <c r="AL37" s="709"/>
    </row>
    <row r="38" spans="1:54" x14ac:dyDescent="0.3">
      <c r="A38" s="121"/>
      <c r="B38" s="372"/>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L38" s="709"/>
    </row>
    <row r="39" spans="1:54"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L39" s="709"/>
    </row>
    <row r="40" spans="1:54" x14ac:dyDescent="0.3">
      <c r="A40" s="1290" t="s">
        <v>8</v>
      </c>
      <c r="B40" s="1290"/>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0"/>
      <c r="Y40" s="1290"/>
      <c r="Z40" s="1290"/>
      <c r="AA40" s="1290"/>
      <c r="AB40" s="1290"/>
      <c r="AC40" s="1290"/>
      <c r="AD40" s="1290"/>
      <c r="AE40" s="1290"/>
      <c r="AF40" s="1290"/>
      <c r="AL40" s="709"/>
    </row>
    <row r="41" spans="1:54" ht="14.4" customHeight="1" x14ac:dyDescent="0.3">
      <c r="A41" s="1405" t="s">
        <v>9</v>
      </c>
      <c r="B41" s="1405"/>
      <c r="C41" s="1405"/>
      <c r="D41" s="1405"/>
      <c r="E41" s="1405" t="s">
        <v>3</v>
      </c>
      <c r="F41" s="1405"/>
      <c r="G41" s="1405"/>
      <c r="H41" s="1405"/>
      <c r="I41" s="1405"/>
      <c r="J41" s="1405"/>
      <c r="K41" s="1405"/>
      <c r="L41" s="1405"/>
      <c r="M41" s="1405"/>
      <c r="N41" s="1405"/>
      <c r="O41" s="1405"/>
      <c r="P41" s="1405"/>
      <c r="Q41" s="1405" t="s">
        <v>10</v>
      </c>
      <c r="R41" s="1405"/>
      <c r="S41" s="1405"/>
      <c r="T41" s="1405"/>
      <c r="U41" s="1405" t="s">
        <v>11</v>
      </c>
      <c r="V41" s="1405"/>
      <c r="W41" s="1405" t="s">
        <v>1466</v>
      </c>
      <c r="X41" s="1405"/>
      <c r="Y41" s="1405"/>
      <c r="Z41" s="1405"/>
      <c r="AA41" s="1405"/>
      <c r="AB41" s="1405"/>
      <c r="AC41" s="1405"/>
      <c r="AD41" s="1405"/>
      <c r="AE41" s="1405"/>
      <c r="AF41" s="1405"/>
      <c r="AL41" s="709"/>
      <c r="AY41" s="779"/>
      <c r="AZ41" s="779"/>
      <c r="BA41" s="779"/>
      <c r="BB41" s="779"/>
    </row>
    <row r="42" spans="1:54" ht="30.75" customHeight="1" x14ac:dyDescent="0.3">
      <c r="A42" s="1349" t="s">
        <v>6032</v>
      </c>
      <c r="B42" s="1350"/>
      <c r="C42" s="1350"/>
      <c r="D42" s="1351"/>
      <c r="E42" s="1163" t="s">
        <v>5185</v>
      </c>
      <c r="F42" s="1164"/>
      <c r="G42" s="1164"/>
      <c r="H42" s="1164"/>
      <c r="I42" s="1164"/>
      <c r="J42" s="1164"/>
      <c r="K42" s="1164"/>
      <c r="L42" s="1164"/>
      <c r="M42" s="1164"/>
      <c r="N42" s="1164"/>
      <c r="O42" s="1164"/>
      <c r="P42" s="1165"/>
      <c r="Q42" s="1352" t="s">
        <v>516</v>
      </c>
      <c r="R42" s="1353"/>
      <c r="S42" s="1353"/>
      <c r="T42" s="1354"/>
      <c r="U42" s="1166" t="s">
        <v>74</v>
      </c>
      <c r="V42" s="1168"/>
      <c r="W42" s="1166" t="s">
        <v>5186</v>
      </c>
      <c r="X42" s="1167"/>
      <c r="Y42" s="1167"/>
      <c r="Z42" s="1167"/>
      <c r="AA42" s="1167"/>
      <c r="AB42" s="1167"/>
      <c r="AC42" s="1167"/>
      <c r="AD42" s="1167"/>
      <c r="AE42" s="1167"/>
      <c r="AF42" s="1168"/>
      <c r="AL42" s="709"/>
    </row>
    <row r="43" spans="1:54" ht="29.25" customHeight="1" x14ac:dyDescent="0.3">
      <c r="A43" s="1349" t="s">
        <v>6033</v>
      </c>
      <c r="B43" s="1350"/>
      <c r="C43" s="1350"/>
      <c r="D43" s="1351"/>
      <c r="E43" s="1163" t="s">
        <v>5187</v>
      </c>
      <c r="F43" s="1164"/>
      <c r="G43" s="1164"/>
      <c r="H43" s="1164"/>
      <c r="I43" s="1164"/>
      <c r="J43" s="1164"/>
      <c r="K43" s="1164"/>
      <c r="L43" s="1164"/>
      <c r="M43" s="1164"/>
      <c r="N43" s="1164"/>
      <c r="O43" s="1164"/>
      <c r="P43" s="1165"/>
      <c r="Q43" s="1352" t="s">
        <v>516</v>
      </c>
      <c r="R43" s="1353"/>
      <c r="S43" s="1353"/>
      <c r="T43" s="1354"/>
      <c r="U43" s="1166" t="s">
        <v>74</v>
      </c>
      <c r="V43" s="1168"/>
      <c r="W43" s="1352" t="s">
        <v>6293</v>
      </c>
      <c r="X43" s="1353"/>
      <c r="Y43" s="1353"/>
      <c r="Z43" s="1353"/>
      <c r="AA43" s="1353"/>
      <c r="AB43" s="1353"/>
      <c r="AC43" s="1353"/>
      <c r="AD43" s="1353"/>
      <c r="AE43" s="1353"/>
      <c r="AF43" s="1354"/>
      <c r="AH43" s="496"/>
      <c r="AL43" s="709"/>
    </row>
    <row r="44" spans="1:54" ht="14.4" customHeight="1" x14ac:dyDescent="0.3">
      <c r="A44" s="1349" t="s">
        <v>64</v>
      </c>
      <c r="B44" s="1350"/>
      <c r="C44" s="1350"/>
      <c r="D44" s="1351"/>
      <c r="E44" s="1349" t="s">
        <v>117</v>
      </c>
      <c r="F44" s="1350"/>
      <c r="G44" s="1350"/>
      <c r="H44" s="1350"/>
      <c r="I44" s="1350"/>
      <c r="J44" s="1350"/>
      <c r="K44" s="1350"/>
      <c r="L44" s="1350"/>
      <c r="M44" s="1350"/>
      <c r="N44" s="1350"/>
      <c r="O44" s="1350"/>
      <c r="P44" s="1351"/>
      <c r="Q44" s="1352">
        <v>365</v>
      </c>
      <c r="R44" s="1353"/>
      <c r="S44" s="1353"/>
      <c r="T44" s="1354"/>
      <c r="U44" s="1352" t="s">
        <v>66</v>
      </c>
      <c r="V44" s="1354"/>
      <c r="W44" s="1352"/>
      <c r="X44" s="1353"/>
      <c r="Y44" s="1353"/>
      <c r="Z44" s="1353"/>
      <c r="AA44" s="1353"/>
      <c r="AB44" s="1353"/>
      <c r="AC44" s="1353"/>
      <c r="AD44" s="1353"/>
      <c r="AE44" s="1353"/>
      <c r="AF44" s="1354"/>
      <c r="AL44" s="709"/>
    </row>
    <row r="45" spans="1:54" ht="14.4" customHeight="1" x14ac:dyDescent="0.3">
      <c r="A45" s="1349" t="s">
        <v>24</v>
      </c>
      <c r="B45" s="1350"/>
      <c r="C45" s="1350"/>
      <c r="D45" s="1351"/>
      <c r="E45" s="1349" t="s">
        <v>155</v>
      </c>
      <c r="F45" s="1350"/>
      <c r="G45" s="1350"/>
      <c r="H45" s="1350"/>
      <c r="I45" s="1350"/>
      <c r="J45" s="1350"/>
      <c r="K45" s="1350"/>
      <c r="L45" s="1350"/>
      <c r="M45" s="1350"/>
      <c r="N45" s="1350"/>
      <c r="O45" s="1350"/>
      <c r="P45" s="1351"/>
      <c r="Q45" s="1359">
        <v>8760</v>
      </c>
      <c r="R45" s="1360"/>
      <c r="S45" s="1360"/>
      <c r="T45" s="1361"/>
      <c r="U45" s="1352" t="s">
        <v>37</v>
      </c>
      <c r="V45" s="1354"/>
      <c r="W45" s="1352"/>
      <c r="X45" s="1353"/>
      <c r="Y45" s="1353"/>
      <c r="Z45" s="1353"/>
      <c r="AA45" s="1353"/>
      <c r="AB45" s="1353"/>
      <c r="AC45" s="1353"/>
      <c r="AD45" s="1353"/>
      <c r="AE45" s="1353"/>
      <c r="AF45" s="1354"/>
      <c r="AL45" s="709"/>
    </row>
    <row r="46" spans="1:54" ht="14.4" customHeight="1" x14ac:dyDescent="0.3">
      <c r="A46" s="1349" t="s">
        <v>21</v>
      </c>
      <c r="B46" s="1350"/>
      <c r="C46" s="1350"/>
      <c r="D46" s="1351"/>
      <c r="E46" s="1349" t="s">
        <v>96</v>
      </c>
      <c r="F46" s="1350"/>
      <c r="G46" s="1350"/>
      <c r="H46" s="1350"/>
      <c r="I46" s="1350"/>
      <c r="J46" s="1350"/>
      <c r="K46" s="1350"/>
      <c r="L46" s="1350"/>
      <c r="M46" s="1350"/>
      <c r="N46" s="1350"/>
      <c r="O46" s="1350"/>
      <c r="P46" s="1351"/>
      <c r="Q46" s="1352">
        <v>1</v>
      </c>
      <c r="R46" s="1353"/>
      <c r="S46" s="1353"/>
      <c r="T46" s="1354"/>
      <c r="U46" s="1352" t="s">
        <v>20</v>
      </c>
      <c r="V46" s="1354"/>
      <c r="W46" s="1352"/>
      <c r="X46" s="1353"/>
      <c r="Y46" s="1353"/>
      <c r="Z46" s="1353"/>
      <c r="AA46" s="1353"/>
      <c r="AB46" s="1353"/>
      <c r="AC46" s="1353"/>
      <c r="AD46" s="1353"/>
      <c r="AE46" s="1353"/>
      <c r="AF46" s="1354"/>
      <c r="AL46" s="709"/>
    </row>
    <row r="47" spans="1:54" ht="42" customHeight="1" x14ac:dyDescent="0.3">
      <c r="A47" s="1349" t="s">
        <v>2562</v>
      </c>
      <c r="B47" s="1350"/>
      <c r="C47" s="1350"/>
      <c r="D47" s="1351"/>
      <c r="E47" s="853" t="s">
        <v>2050</v>
      </c>
      <c r="F47" s="853"/>
      <c r="G47" s="853"/>
      <c r="H47" s="853"/>
      <c r="I47" s="853"/>
      <c r="J47" s="853"/>
      <c r="K47" s="853"/>
      <c r="L47" s="853"/>
      <c r="M47" s="853"/>
      <c r="N47" s="853"/>
      <c r="O47" s="853"/>
      <c r="P47" s="853"/>
      <c r="Q47" s="1352">
        <f>'Master EUL'!X120</f>
        <v>12</v>
      </c>
      <c r="R47" s="1353"/>
      <c r="S47" s="1353"/>
      <c r="T47" s="1354"/>
      <c r="U47" s="1352" t="s">
        <v>38</v>
      </c>
      <c r="V47" s="1354"/>
      <c r="W47" s="1166" t="s">
        <v>6304</v>
      </c>
      <c r="X47" s="1167"/>
      <c r="Y47" s="1167"/>
      <c r="Z47" s="1167"/>
      <c r="AA47" s="1167"/>
      <c r="AB47" s="1167"/>
      <c r="AC47" s="1167"/>
      <c r="AD47" s="1167"/>
      <c r="AE47" s="1167"/>
      <c r="AF47" s="1168"/>
      <c r="AH47" s="544"/>
      <c r="AL47" s="766"/>
    </row>
    <row r="48" spans="1:54" x14ac:dyDescent="0.3">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L48" s="709"/>
    </row>
    <row r="49" spans="1:39" x14ac:dyDescent="0.3">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L49" s="709"/>
    </row>
    <row r="50" spans="1:39" x14ac:dyDescent="0.3">
      <c r="A50" s="1290" t="s">
        <v>14</v>
      </c>
      <c r="B50" s="1290"/>
      <c r="C50" s="1290"/>
      <c r="D50" s="1290"/>
      <c r="E50" s="1290"/>
      <c r="F50" s="1290"/>
      <c r="G50" s="1290"/>
      <c r="H50" s="1290"/>
      <c r="I50" s="1290"/>
      <c r="J50" s="1290"/>
      <c r="K50" s="1290"/>
      <c r="L50" s="1290"/>
      <c r="M50" s="1290"/>
      <c r="N50" s="1290"/>
      <c r="O50" s="1290"/>
      <c r="P50" s="1290"/>
      <c r="Q50" s="1290"/>
      <c r="R50" s="1290"/>
      <c r="S50" s="1290"/>
      <c r="T50" s="1290"/>
      <c r="U50" s="1290"/>
      <c r="V50" s="1290"/>
      <c r="W50" s="1290"/>
      <c r="X50" s="1290"/>
      <c r="Y50" s="1290"/>
      <c r="Z50" s="1290"/>
      <c r="AA50" s="1290"/>
      <c r="AB50" s="1290"/>
      <c r="AC50" s="1290"/>
      <c r="AD50" s="1290"/>
      <c r="AE50" s="1290"/>
      <c r="AF50" s="1290"/>
      <c r="AL50" s="709"/>
    </row>
    <row r="51" spans="1:39" x14ac:dyDescent="0.3">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L51" s="709"/>
    </row>
    <row r="52" spans="1:39" s="4" customFormat="1" x14ac:dyDescent="0.3">
      <c r="A52" s="187" t="s">
        <v>5188</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L52" s="544"/>
      <c r="AM52" s="757"/>
    </row>
    <row r="53" spans="1:39" s="4" customFormat="1" ht="28.95" customHeight="1" x14ac:dyDescent="0.3">
      <c r="A53" s="1493" t="s">
        <v>575</v>
      </c>
      <c r="B53" s="1493"/>
      <c r="C53" s="1493"/>
      <c r="D53" s="1493"/>
      <c r="E53" s="1493" t="s">
        <v>576</v>
      </c>
      <c r="F53" s="1493"/>
      <c r="G53" s="1493"/>
      <c r="H53" s="1493" t="s">
        <v>5216</v>
      </c>
      <c r="I53" s="1493"/>
      <c r="J53" s="1493"/>
      <c r="K53" s="1493"/>
      <c r="L53" s="1493"/>
      <c r="M53" s="1493"/>
      <c r="N53" s="1493" t="s">
        <v>582</v>
      </c>
      <c r="O53" s="1493"/>
      <c r="P53" s="1493"/>
      <c r="Q53" s="1493"/>
      <c r="R53" s="1493"/>
      <c r="S53" s="1493"/>
      <c r="T53" s="1493" t="s">
        <v>583</v>
      </c>
      <c r="U53" s="1493"/>
      <c r="V53" s="1493"/>
      <c r="W53" s="1493"/>
      <c r="X53" s="1493"/>
      <c r="Y53" s="1493"/>
      <c r="Z53" s="1493" t="s">
        <v>584</v>
      </c>
      <c r="AA53" s="1493"/>
      <c r="AB53" s="1493"/>
      <c r="AC53" s="1493"/>
      <c r="AD53" s="1493" t="s">
        <v>357</v>
      </c>
      <c r="AE53" s="1493"/>
      <c r="AF53" s="1493"/>
      <c r="AL53" s="758"/>
    </row>
    <row r="54" spans="1:39" s="4" customFormat="1" x14ac:dyDescent="0.3">
      <c r="A54" s="1493"/>
      <c r="B54" s="1493"/>
      <c r="C54" s="1493"/>
      <c r="D54" s="1493"/>
      <c r="E54" s="1493"/>
      <c r="F54" s="1493"/>
      <c r="G54" s="1493"/>
      <c r="H54" s="1493" t="s">
        <v>429</v>
      </c>
      <c r="I54" s="1493"/>
      <c r="J54" s="1493"/>
      <c r="K54" s="1493" t="s">
        <v>577</v>
      </c>
      <c r="L54" s="1493"/>
      <c r="M54" s="1493"/>
      <c r="N54" s="1493" t="s">
        <v>429</v>
      </c>
      <c r="O54" s="1493"/>
      <c r="P54" s="1493"/>
      <c r="Q54" s="1493" t="s">
        <v>577</v>
      </c>
      <c r="R54" s="1493"/>
      <c r="S54" s="1493"/>
      <c r="T54" s="1493" t="s">
        <v>429</v>
      </c>
      <c r="U54" s="1493"/>
      <c r="V54" s="1493"/>
      <c r="W54" s="1493" t="s">
        <v>577</v>
      </c>
      <c r="X54" s="1493"/>
      <c r="Y54" s="1493"/>
      <c r="Z54" s="1493"/>
      <c r="AA54" s="1493"/>
      <c r="AB54" s="1493"/>
      <c r="AC54" s="1493"/>
      <c r="AD54" s="1493"/>
      <c r="AE54" s="1493"/>
      <c r="AF54" s="1493"/>
      <c r="AL54" s="758"/>
    </row>
    <row r="55" spans="1:39" s="4" customFormat="1" ht="14.4" customHeight="1" x14ac:dyDescent="0.3">
      <c r="A55" s="1573" t="s">
        <v>5189</v>
      </c>
      <c r="B55" s="1573"/>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L55" s="758"/>
    </row>
    <row r="56" spans="1:39" s="4" customFormat="1" x14ac:dyDescent="0.3">
      <c r="A56" s="1564" t="s">
        <v>5190</v>
      </c>
      <c r="B56" s="1565"/>
      <c r="C56" s="1565"/>
      <c r="D56" s="1565"/>
      <c r="E56" s="1565"/>
      <c r="F56" s="1565"/>
      <c r="G56" s="1565"/>
      <c r="H56" s="1565"/>
      <c r="I56" s="1565"/>
      <c r="J56" s="1565"/>
      <c r="K56" s="1565"/>
      <c r="L56" s="1565"/>
      <c r="M56" s="1565"/>
      <c r="N56" s="1565"/>
      <c r="O56" s="1565"/>
      <c r="P56" s="1565"/>
      <c r="Q56" s="1565"/>
      <c r="R56" s="1565"/>
      <c r="S56" s="1565"/>
      <c r="T56" s="1565"/>
      <c r="U56" s="1565"/>
      <c r="V56" s="1565"/>
      <c r="W56" s="1565"/>
      <c r="X56" s="1565"/>
      <c r="Y56" s="1565"/>
      <c r="Z56" s="1565"/>
      <c r="AA56" s="1565"/>
      <c r="AB56" s="1565"/>
      <c r="AC56" s="1565"/>
      <c r="AD56" s="1565"/>
      <c r="AE56" s="1565"/>
      <c r="AF56" s="1565"/>
      <c r="AL56" s="758"/>
    </row>
    <row r="57" spans="1:39" s="4" customFormat="1" x14ac:dyDescent="0.3">
      <c r="A57" s="1547" t="s">
        <v>5191</v>
      </c>
      <c r="B57" s="1547"/>
      <c r="C57" s="1547"/>
      <c r="D57" s="1547"/>
      <c r="E57" s="1566">
        <v>7.5</v>
      </c>
      <c r="F57" s="1566"/>
      <c r="G57" s="1566"/>
      <c r="H57" s="1567">
        <v>0.05</v>
      </c>
      <c r="I57" s="1568"/>
      <c r="J57" s="1569"/>
      <c r="K57" s="1567">
        <v>2.6700000000000002E-2</v>
      </c>
      <c r="L57" s="1568"/>
      <c r="M57" s="1569"/>
      <c r="N57" s="1567">
        <v>1.36</v>
      </c>
      <c r="O57" s="1568"/>
      <c r="P57" s="1569"/>
      <c r="Q57" s="1549">
        <v>0.8</v>
      </c>
      <c r="R57" s="1549"/>
      <c r="S57" s="1549"/>
      <c r="T57" s="1567">
        <f>E57*H57+N57</f>
        <v>1.7350000000000001</v>
      </c>
      <c r="U57" s="1568"/>
      <c r="V57" s="1569"/>
      <c r="W57" s="1567">
        <f>E57*K57+Q57</f>
        <v>1.0002500000000001</v>
      </c>
      <c r="X57" s="1568"/>
      <c r="Y57" s="1569"/>
      <c r="Z57" s="1570">
        <f>(T57-W57)*$Q$44</f>
        <v>268.18375000000003</v>
      </c>
      <c r="AA57" s="1571"/>
      <c r="AB57" s="1571"/>
      <c r="AC57" s="1572"/>
      <c r="AD57" s="1567">
        <f>$Q$46*Z57/$Q$45</f>
        <v>3.0614583333333337E-2</v>
      </c>
      <c r="AE57" s="1568"/>
      <c r="AF57" s="1569"/>
      <c r="AL57" s="758"/>
    </row>
    <row r="58" spans="1:39" s="4" customFormat="1" x14ac:dyDescent="0.3">
      <c r="A58" s="1547" t="s">
        <v>5192</v>
      </c>
      <c r="B58" s="1547"/>
      <c r="C58" s="1547"/>
      <c r="D58" s="1547"/>
      <c r="E58" s="1566">
        <v>22.5</v>
      </c>
      <c r="F58" s="1566"/>
      <c r="G58" s="1566"/>
      <c r="H58" s="1567">
        <v>0.05</v>
      </c>
      <c r="I58" s="1568"/>
      <c r="J58" s="1569"/>
      <c r="K58" s="1567">
        <v>0.05</v>
      </c>
      <c r="L58" s="1568"/>
      <c r="M58" s="1569"/>
      <c r="N58" s="1567">
        <v>1.36</v>
      </c>
      <c r="O58" s="1568"/>
      <c r="P58" s="1569"/>
      <c r="Q58" s="1549">
        <v>0.45</v>
      </c>
      <c r="R58" s="1549"/>
      <c r="S58" s="1549"/>
      <c r="T58" s="1567">
        <f>E58*H58+N58</f>
        <v>2.4850000000000003</v>
      </c>
      <c r="U58" s="1568"/>
      <c r="V58" s="1569"/>
      <c r="W58" s="1567">
        <f>E58*K58+Q58</f>
        <v>1.575</v>
      </c>
      <c r="X58" s="1568"/>
      <c r="Y58" s="1569"/>
      <c r="Z58" s="1570">
        <f t="shared" ref="Z58:Z60" si="0">(T58-W58)*$Q$44</f>
        <v>332.15000000000015</v>
      </c>
      <c r="AA58" s="1571"/>
      <c r="AB58" s="1571"/>
      <c r="AC58" s="1572"/>
      <c r="AD58" s="1567">
        <f t="shared" ref="AD58:AD60" si="1">$Q$46*Z58/$Q$45</f>
        <v>3.7916666666666682E-2</v>
      </c>
      <c r="AE58" s="1568"/>
      <c r="AF58" s="1569"/>
      <c r="AL58" s="758"/>
    </row>
    <row r="59" spans="1:39" s="4" customFormat="1" x14ac:dyDescent="0.3">
      <c r="A59" s="1547" t="s">
        <v>5193</v>
      </c>
      <c r="B59" s="1547"/>
      <c r="C59" s="1547"/>
      <c r="D59" s="1547"/>
      <c r="E59" s="1566">
        <v>40</v>
      </c>
      <c r="F59" s="1566"/>
      <c r="G59" s="1566"/>
      <c r="H59" s="1567">
        <v>0.05</v>
      </c>
      <c r="I59" s="1568"/>
      <c r="J59" s="1569"/>
      <c r="K59" s="1567">
        <v>0.05</v>
      </c>
      <c r="L59" s="1568"/>
      <c r="M59" s="1569"/>
      <c r="N59" s="1567">
        <v>1.36</v>
      </c>
      <c r="O59" s="1568"/>
      <c r="P59" s="1569"/>
      <c r="Q59" s="1549">
        <v>0.45</v>
      </c>
      <c r="R59" s="1549"/>
      <c r="S59" s="1549"/>
      <c r="T59" s="1567">
        <f>E59*H59+N59</f>
        <v>3.3600000000000003</v>
      </c>
      <c r="U59" s="1568"/>
      <c r="V59" s="1569"/>
      <c r="W59" s="1567">
        <f>E59*K59+Q59</f>
        <v>2.4500000000000002</v>
      </c>
      <c r="X59" s="1568"/>
      <c r="Y59" s="1569"/>
      <c r="Z59" s="1570">
        <f t="shared" si="0"/>
        <v>332.15000000000003</v>
      </c>
      <c r="AA59" s="1571"/>
      <c r="AB59" s="1571"/>
      <c r="AC59" s="1572"/>
      <c r="AD59" s="1567">
        <f t="shared" si="1"/>
        <v>3.7916666666666668E-2</v>
      </c>
      <c r="AE59" s="1568"/>
      <c r="AF59" s="1569"/>
      <c r="AL59" s="758"/>
    </row>
    <row r="60" spans="1:39" s="4" customFormat="1" x14ac:dyDescent="0.3">
      <c r="A60" s="1547" t="s">
        <v>5194</v>
      </c>
      <c r="B60" s="1547"/>
      <c r="C60" s="1547"/>
      <c r="D60" s="1547"/>
      <c r="E60" s="1566">
        <v>60</v>
      </c>
      <c r="F60" s="1566"/>
      <c r="G60" s="1566"/>
      <c r="H60" s="1567">
        <v>0.05</v>
      </c>
      <c r="I60" s="1568"/>
      <c r="J60" s="1569"/>
      <c r="K60" s="1567">
        <v>2.5000000000000001E-2</v>
      </c>
      <c r="L60" s="1568"/>
      <c r="M60" s="1569"/>
      <c r="N60" s="1567">
        <v>1.36</v>
      </c>
      <c r="O60" s="1568"/>
      <c r="P60" s="1569"/>
      <c r="Q60" s="1549">
        <v>1.6991000000000001</v>
      </c>
      <c r="R60" s="1549"/>
      <c r="S60" s="1549"/>
      <c r="T60" s="1567">
        <f>E60*H60+N60</f>
        <v>4.3600000000000003</v>
      </c>
      <c r="U60" s="1568"/>
      <c r="V60" s="1569"/>
      <c r="W60" s="1567">
        <f>E60*K60+Q60</f>
        <v>3.1991000000000001</v>
      </c>
      <c r="X60" s="1568"/>
      <c r="Y60" s="1569"/>
      <c r="Z60" s="1570">
        <f t="shared" si="0"/>
        <v>423.72850000000011</v>
      </c>
      <c r="AA60" s="1571"/>
      <c r="AB60" s="1571"/>
      <c r="AC60" s="1572"/>
      <c r="AD60" s="1567">
        <f t="shared" si="1"/>
        <v>4.8370833333333349E-2</v>
      </c>
      <c r="AE60" s="1568"/>
      <c r="AF60" s="1569"/>
      <c r="AL60" s="758"/>
    </row>
    <row r="61" spans="1:39" s="4" customFormat="1" x14ac:dyDescent="0.3">
      <c r="A61" s="1564" t="s">
        <v>5195</v>
      </c>
      <c r="B61" s="1565"/>
      <c r="C61" s="1565"/>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1565"/>
      <c r="AB61" s="1565"/>
      <c r="AC61" s="1565"/>
      <c r="AD61" s="1565"/>
      <c r="AE61" s="1565"/>
      <c r="AF61" s="1565"/>
      <c r="AL61" s="758"/>
    </row>
    <row r="62" spans="1:39" s="4" customFormat="1" ht="14.4" customHeight="1" x14ac:dyDescent="0.3">
      <c r="A62" s="1547" t="s">
        <v>5191</v>
      </c>
      <c r="B62" s="1547"/>
      <c r="C62" s="1547"/>
      <c r="D62" s="1547"/>
      <c r="E62" s="1566">
        <v>7.5</v>
      </c>
      <c r="F62" s="1566"/>
      <c r="G62" s="1566"/>
      <c r="H62" s="1574">
        <v>0.1</v>
      </c>
      <c r="I62" s="1574"/>
      <c r="J62" s="1574"/>
      <c r="K62" s="1574">
        <v>9.5000000000000001E-2</v>
      </c>
      <c r="L62" s="1574"/>
      <c r="M62" s="1574"/>
      <c r="N62" s="1574">
        <v>0.86</v>
      </c>
      <c r="O62" s="1574"/>
      <c r="P62" s="1574"/>
      <c r="Q62" s="1574">
        <v>0.44500000000000001</v>
      </c>
      <c r="R62" s="1574"/>
      <c r="S62" s="1574"/>
      <c r="T62" s="1574">
        <f>E62*H62+N62</f>
        <v>1.6099999999999999</v>
      </c>
      <c r="U62" s="1574"/>
      <c r="V62" s="1574"/>
      <c r="W62" s="1574">
        <f>E62*K62+Q62</f>
        <v>1.1575</v>
      </c>
      <c r="X62" s="1574"/>
      <c r="Y62" s="1574"/>
      <c r="Z62" s="1575">
        <f t="shared" ref="Z62:Z65" si="2">(T62-W62)*$Q$44</f>
        <v>165.16249999999997</v>
      </c>
      <c r="AA62" s="1575"/>
      <c r="AB62" s="1575"/>
      <c r="AC62" s="1575"/>
      <c r="AD62" s="1574">
        <f>$Q$46*Z62/$Q$45</f>
        <v>1.8854166666666661E-2</v>
      </c>
      <c r="AE62" s="1574"/>
      <c r="AF62" s="1574"/>
      <c r="AL62" s="758"/>
    </row>
    <row r="63" spans="1:39" s="4" customFormat="1" ht="14.4" customHeight="1" x14ac:dyDescent="0.3">
      <c r="A63" s="1547" t="s">
        <v>5192</v>
      </c>
      <c r="B63" s="1547"/>
      <c r="C63" s="1547"/>
      <c r="D63" s="1547"/>
      <c r="E63" s="1566">
        <v>22.5</v>
      </c>
      <c r="F63" s="1566"/>
      <c r="G63" s="1566"/>
      <c r="H63" s="1574">
        <v>0.1</v>
      </c>
      <c r="I63" s="1574"/>
      <c r="J63" s="1574"/>
      <c r="K63" s="1574">
        <v>0.05</v>
      </c>
      <c r="L63" s="1574"/>
      <c r="M63" s="1574"/>
      <c r="N63" s="1574">
        <v>0.86</v>
      </c>
      <c r="O63" s="1574"/>
      <c r="P63" s="1574"/>
      <c r="Q63" s="1574">
        <v>1.1200000000000001</v>
      </c>
      <c r="R63" s="1574"/>
      <c r="S63" s="1574"/>
      <c r="T63" s="1574">
        <f>E63*H63+N63</f>
        <v>3.11</v>
      </c>
      <c r="U63" s="1574"/>
      <c r="V63" s="1574"/>
      <c r="W63" s="1574">
        <f>E63*K63+Q63</f>
        <v>2.2450000000000001</v>
      </c>
      <c r="X63" s="1574"/>
      <c r="Y63" s="1574"/>
      <c r="Z63" s="1575">
        <f t="shared" si="2"/>
        <v>315.72499999999991</v>
      </c>
      <c r="AA63" s="1575"/>
      <c r="AB63" s="1575"/>
      <c r="AC63" s="1575"/>
      <c r="AD63" s="1574">
        <f t="shared" ref="AD63:AD65" si="3">$Q$46*Z63/$Q$45</f>
        <v>3.6041666666666659E-2</v>
      </c>
      <c r="AE63" s="1574"/>
      <c r="AF63" s="1574"/>
      <c r="AL63" s="758"/>
    </row>
    <row r="64" spans="1:39" s="4" customFormat="1" ht="14.4" customHeight="1" x14ac:dyDescent="0.3">
      <c r="A64" s="1547" t="s">
        <v>5193</v>
      </c>
      <c r="B64" s="1547"/>
      <c r="C64" s="1547"/>
      <c r="D64" s="1547"/>
      <c r="E64" s="1566">
        <v>40</v>
      </c>
      <c r="F64" s="1566"/>
      <c r="G64" s="1566"/>
      <c r="H64" s="1574">
        <v>0.1</v>
      </c>
      <c r="I64" s="1574"/>
      <c r="J64" s="1574"/>
      <c r="K64" s="1574">
        <v>7.5999999999999998E-2</v>
      </c>
      <c r="L64" s="1574"/>
      <c r="M64" s="1574"/>
      <c r="N64" s="1574">
        <v>0.86</v>
      </c>
      <c r="O64" s="1574"/>
      <c r="P64" s="1574"/>
      <c r="Q64" s="1574">
        <v>0.34</v>
      </c>
      <c r="R64" s="1574"/>
      <c r="S64" s="1574"/>
      <c r="T64" s="1574">
        <f>E64*H64+N64</f>
        <v>4.8600000000000003</v>
      </c>
      <c r="U64" s="1574"/>
      <c r="V64" s="1574"/>
      <c r="W64" s="1574">
        <f>E64*K64+Q64</f>
        <v>3.38</v>
      </c>
      <c r="X64" s="1574"/>
      <c r="Y64" s="1574"/>
      <c r="Z64" s="1575">
        <f t="shared" si="2"/>
        <v>540.20000000000016</v>
      </c>
      <c r="AA64" s="1575"/>
      <c r="AB64" s="1575"/>
      <c r="AC64" s="1575"/>
      <c r="AD64" s="1574">
        <f t="shared" si="3"/>
        <v>6.1666666666666682E-2</v>
      </c>
      <c r="AE64" s="1574"/>
      <c r="AF64" s="1574"/>
      <c r="AL64" s="758"/>
    </row>
    <row r="65" spans="1:38" s="4" customFormat="1" x14ac:dyDescent="0.3">
      <c r="A65" s="1547" t="s">
        <v>5217</v>
      </c>
      <c r="B65" s="1547"/>
      <c r="C65" s="1547"/>
      <c r="D65" s="1547"/>
      <c r="E65" s="1566">
        <v>60</v>
      </c>
      <c r="F65" s="1566"/>
      <c r="G65" s="1566"/>
      <c r="H65" s="1574">
        <v>0.1</v>
      </c>
      <c r="I65" s="1574"/>
      <c r="J65" s="1574"/>
      <c r="K65" s="1574">
        <v>0.105</v>
      </c>
      <c r="L65" s="1574"/>
      <c r="M65" s="1574"/>
      <c r="N65" s="1574">
        <v>0.86</v>
      </c>
      <c r="O65" s="1574"/>
      <c r="P65" s="1574"/>
      <c r="Q65" s="1574">
        <v>-1.111</v>
      </c>
      <c r="R65" s="1574"/>
      <c r="S65" s="1574"/>
      <c r="T65" s="1574">
        <f>E65*H65+N65</f>
        <v>6.86</v>
      </c>
      <c r="U65" s="1574"/>
      <c r="V65" s="1574"/>
      <c r="W65" s="1574">
        <f>E65*K65+Q65</f>
        <v>5.1890000000000001</v>
      </c>
      <c r="X65" s="1574"/>
      <c r="Y65" s="1574"/>
      <c r="Z65" s="1575">
        <f t="shared" si="2"/>
        <v>609.91500000000008</v>
      </c>
      <c r="AA65" s="1575"/>
      <c r="AB65" s="1575"/>
      <c r="AC65" s="1575"/>
      <c r="AD65" s="1574">
        <f t="shared" si="3"/>
        <v>6.9625000000000006E-2</v>
      </c>
      <c r="AE65" s="1574"/>
      <c r="AF65" s="1574"/>
      <c r="AL65" s="758"/>
    </row>
    <row r="66" spans="1:38" s="4" customFormat="1" x14ac:dyDescent="0.3">
      <c r="A66" s="1573" t="s">
        <v>5196</v>
      </c>
      <c r="B66" s="1573"/>
      <c r="C66" s="1573"/>
      <c r="D66" s="1573"/>
      <c r="E66" s="1573"/>
      <c r="F66" s="1573"/>
      <c r="G66" s="1573"/>
      <c r="H66" s="1573"/>
      <c r="I66" s="1573"/>
      <c r="J66" s="1573"/>
      <c r="K66" s="1573"/>
      <c r="L66" s="1573"/>
      <c r="M66" s="1573"/>
      <c r="N66" s="1573"/>
      <c r="O66" s="1573"/>
      <c r="P66" s="1573"/>
      <c r="Q66" s="1573"/>
      <c r="R66" s="1573"/>
      <c r="S66" s="1573"/>
      <c r="T66" s="1573"/>
      <c r="U66" s="1573"/>
      <c r="V66" s="1573"/>
      <c r="W66" s="1573"/>
      <c r="X66" s="1573"/>
      <c r="Y66" s="1573"/>
      <c r="Z66" s="1573"/>
      <c r="AA66" s="1573"/>
      <c r="AB66" s="1573"/>
      <c r="AC66" s="1573"/>
      <c r="AD66" s="1573"/>
      <c r="AE66" s="1573"/>
      <c r="AF66" s="1573"/>
      <c r="AL66" s="758"/>
    </row>
    <row r="67" spans="1:38" s="4" customFormat="1" x14ac:dyDescent="0.3">
      <c r="A67" s="1564" t="s">
        <v>5197</v>
      </c>
      <c r="B67" s="1565"/>
      <c r="C67" s="1565"/>
      <c r="D67" s="1565"/>
      <c r="E67" s="1565"/>
      <c r="F67" s="1565"/>
      <c r="G67" s="1565"/>
      <c r="H67" s="1565"/>
      <c r="I67" s="1565"/>
      <c r="J67" s="1565"/>
      <c r="K67" s="1565"/>
      <c r="L67" s="1565"/>
      <c r="M67" s="1565"/>
      <c r="N67" s="1565"/>
      <c r="O67" s="1565"/>
      <c r="P67" s="1565"/>
      <c r="Q67" s="1565"/>
      <c r="R67" s="1565"/>
      <c r="S67" s="1565"/>
      <c r="T67" s="1565"/>
      <c r="U67" s="1565"/>
      <c r="V67" s="1565"/>
      <c r="W67" s="1565"/>
      <c r="X67" s="1565"/>
      <c r="Y67" s="1565"/>
      <c r="Z67" s="1565"/>
      <c r="AA67" s="1565"/>
      <c r="AB67" s="1565"/>
      <c r="AC67" s="1565"/>
      <c r="AD67" s="1565"/>
      <c r="AE67" s="1565"/>
      <c r="AF67" s="1565"/>
      <c r="AL67" s="758"/>
    </row>
    <row r="68" spans="1:38" s="4" customFormat="1" ht="14.4" customHeight="1" x14ac:dyDescent="0.3">
      <c r="A68" s="1547" t="s">
        <v>5191</v>
      </c>
      <c r="B68" s="1547"/>
      <c r="C68" s="1547"/>
      <c r="D68" s="1547"/>
      <c r="E68" s="1566">
        <v>7.5</v>
      </c>
      <c r="F68" s="1566"/>
      <c r="G68" s="1566"/>
      <c r="H68" s="1574">
        <v>0.05</v>
      </c>
      <c r="I68" s="1574"/>
      <c r="J68" s="1574"/>
      <c r="K68" s="1574">
        <v>0.05</v>
      </c>
      <c r="L68" s="1574"/>
      <c r="M68" s="1574"/>
      <c r="N68" s="1574">
        <v>0.91</v>
      </c>
      <c r="O68" s="1574"/>
      <c r="P68" s="1574"/>
      <c r="Q68" s="1574">
        <v>0.28000000000000003</v>
      </c>
      <c r="R68" s="1574"/>
      <c r="S68" s="1574"/>
      <c r="T68" s="1574">
        <f>E68*H68+N68</f>
        <v>1.2850000000000001</v>
      </c>
      <c r="U68" s="1574"/>
      <c r="V68" s="1574"/>
      <c r="W68" s="1574">
        <f>E68*K68+Q68</f>
        <v>0.65500000000000003</v>
      </c>
      <c r="X68" s="1574"/>
      <c r="Y68" s="1574"/>
      <c r="Z68" s="1575">
        <f>(T68-W68)*$Q$44</f>
        <v>229.95000000000005</v>
      </c>
      <c r="AA68" s="1575"/>
      <c r="AB68" s="1575"/>
      <c r="AC68" s="1575"/>
      <c r="AD68" s="1574">
        <f t="shared" ref="AD68:AD71" si="4">$Q$46*Z68/$Q$45</f>
        <v>2.6250000000000006E-2</v>
      </c>
      <c r="AE68" s="1574"/>
      <c r="AF68" s="1574"/>
      <c r="AL68" s="758"/>
    </row>
    <row r="69" spans="1:38" s="4" customFormat="1" ht="14.4" customHeight="1" x14ac:dyDescent="0.3">
      <c r="A69" s="1547" t="s">
        <v>5192</v>
      </c>
      <c r="B69" s="1547"/>
      <c r="C69" s="1547"/>
      <c r="D69" s="1547"/>
      <c r="E69" s="1566">
        <v>22.5</v>
      </c>
      <c r="F69" s="1566"/>
      <c r="G69" s="1566"/>
      <c r="H69" s="1574">
        <v>0.05</v>
      </c>
      <c r="I69" s="1574"/>
      <c r="J69" s="1574"/>
      <c r="K69" s="1574">
        <v>0.05</v>
      </c>
      <c r="L69" s="1574"/>
      <c r="M69" s="1574"/>
      <c r="N69" s="1574">
        <v>0.91</v>
      </c>
      <c r="O69" s="1574"/>
      <c r="P69" s="1574"/>
      <c r="Q69" s="1574">
        <v>0.28000000000000003</v>
      </c>
      <c r="R69" s="1574"/>
      <c r="S69" s="1574"/>
      <c r="T69" s="1574">
        <f>E69*H69+N69</f>
        <v>2.0350000000000001</v>
      </c>
      <c r="U69" s="1574"/>
      <c r="V69" s="1574"/>
      <c r="W69" s="1574">
        <f>E69*K69+Q69</f>
        <v>1.405</v>
      </c>
      <c r="X69" s="1574"/>
      <c r="Y69" s="1574"/>
      <c r="Z69" s="1575">
        <f t="shared" ref="Z69:Z71" si="5">(T69-W69)*$Q$44</f>
        <v>229.95000000000005</v>
      </c>
      <c r="AA69" s="1575"/>
      <c r="AB69" s="1575"/>
      <c r="AC69" s="1575"/>
      <c r="AD69" s="1574">
        <f t="shared" si="4"/>
        <v>2.6250000000000006E-2</v>
      </c>
      <c r="AE69" s="1574"/>
      <c r="AF69" s="1574"/>
      <c r="AL69" s="758"/>
    </row>
    <row r="70" spans="1:38" s="4" customFormat="1" ht="14.4" customHeight="1" x14ac:dyDescent="0.3">
      <c r="A70" s="1547" t="s">
        <v>5193</v>
      </c>
      <c r="B70" s="1547"/>
      <c r="C70" s="1547"/>
      <c r="D70" s="1547"/>
      <c r="E70" s="1566">
        <v>40</v>
      </c>
      <c r="F70" s="1566"/>
      <c r="G70" s="1566"/>
      <c r="H70" s="1574">
        <v>0.05</v>
      </c>
      <c r="I70" s="1574"/>
      <c r="J70" s="1574"/>
      <c r="K70" s="1574">
        <v>0.05</v>
      </c>
      <c r="L70" s="1574"/>
      <c r="M70" s="1574"/>
      <c r="N70" s="1574">
        <v>0.91</v>
      </c>
      <c r="O70" s="1574"/>
      <c r="P70" s="1574"/>
      <c r="Q70" s="1574">
        <v>0.28000000000000003</v>
      </c>
      <c r="R70" s="1574"/>
      <c r="S70" s="1574"/>
      <c r="T70" s="1574">
        <f>E70*H70+N70</f>
        <v>2.91</v>
      </c>
      <c r="U70" s="1574"/>
      <c r="V70" s="1574"/>
      <c r="W70" s="1574">
        <f>E70*K70+Q70</f>
        <v>2.2800000000000002</v>
      </c>
      <c r="X70" s="1574"/>
      <c r="Y70" s="1574"/>
      <c r="Z70" s="1575">
        <f t="shared" si="5"/>
        <v>229.94999999999996</v>
      </c>
      <c r="AA70" s="1575"/>
      <c r="AB70" s="1575"/>
      <c r="AC70" s="1575"/>
      <c r="AD70" s="1574">
        <f t="shared" si="4"/>
        <v>2.6249999999999996E-2</v>
      </c>
      <c r="AE70" s="1574"/>
      <c r="AF70" s="1574"/>
      <c r="AL70" s="758"/>
    </row>
    <row r="71" spans="1:38" s="4" customFormat="1" x14ac:dyDescent="0.3">
      <c r="A71" s="1547" t="s">
        <v>5194</v>
      </c>
      <c r="B71" s="1547"/>
      <c r="C71" s="1547"/>
      <c r="D71" s="1547"/>
      <c r="E71" s="1566">
        <v>60</v>
      </c>
      <c r="F71" s="1566"/>
      <c r="G71" s="1566"/>
      <c r="H71" s="1574">
        <v>0.05</v>
      </c>
      <c r="I71" s="1574"/>
      <c r="J71" s="1574"/>
      <c r="K71" s="1574">
        <v>0.05</v>
      </c>
      <c r="L71" s="1574"/>
      <c r="M71" s="1574"/>
      <c r="N71" s="1574">
        <v>0.91</v>
      </c>
      <c r="O71" s="1574"/>
      <c r="P71" s="1574"/>
      <c r="Q71" s="1574">
        <v>0.28000000000000003</v>
      </c>
      <c r="R71" s="1574"/>
      <c r="S71" s="1574"/>
      <c r="T71" s="1574">
        <f>E71*H71+N71</f>
        <v>3.91</v>
      </c>
      <c r="U71" s="1574"/>
      <c r="V71" s="1574"/>
      <c r="W71" s="1574">
        <f>E71*K71+Q71</f>
        <v>3.2800000000000002</v>
      </c>
      <c r="X71" s="1574"/>
      <c r="Y71" s="1574"/>
      <c r="Z71" s="1575">
        <f t="shared" si="5"/>
        <v>229.94999999999996</v>
      </c>
      <c r="AA71" s="1575"/>
      <c r="AB71" s="1575"/>
      <c r="AC71" s="1575"/>
      <c r="AD71" s="1574">
        <f t="shared" si="4"/>
        <v>2.6249999999999996E-2</v>
      </c>
      <c r="AE71" s="1574"/>
      <c r="AF71" s="1574"/>
      <c r="AL71" s="758"/>
    </row>
    <row r="72" spans="1:38" x14ac:dyDescent="0.3">
      <c r="A72" s="1545" t="s">
        <v>5195</v>
      </c>
      <c r="B72" s="1546"/>
      <c r="C72" s="1546"/>
      <c r="D72" s="1546"/>
      <c r="E72" s="1546"/>
      <c r="F72" s="1546"/>
      <c r="G72" s="1546"/>
      <c r="H72" s="1546"/>
      <c r="I72" s="1546"/>
      <c r="J72" s="1546"/>
      <c r="K72" s="1546"/>
      <c r="L72" s="1546"/>
      <c r="M72" s="1546"/>
      <c r="N72" s="1546"/>
      <c r="O72" s="1546"/>
      <c r="P72" s="1546"/>
      <c r="Q72" s="1546"/>
      <c r="R72" s="1546"/>
      <c r="S72" s="1546"/>
      <c r="T72" s="1546"/>
      <c r="U72" s="1546"/>
      <c r="V72" s="1546"/>
      <c r="W72" s="1546"/>
      <c r="X72" s="1546"/>
      <c r="Y72" s="1546"/>
      <c r="Z72" s="1546"/>
      <c r="AA72" s="1546"/>
      <c r="AB72" s="1546"/>
      <c r="AC72" s="1546"/>
      <c r="AD72" s="1546"/>
      <c r="AE72" s="1546"/>
      <c r="AF72" s="1546"/>
      <c r="AL72" s="709"/>
    </row>
    <row r="73" spans="1:38" x14ac:dyDescent="0.3">
      <c r="A73" s="1547" t="s">
        <v>5191</v>
      </c>
      <c r="B73" s="1547"/>
      <c r="C73" s="1547"/>
      <c r="D73" s="1547"/>
      <c r="E73" s="1548">
        <v>7.5</v>
      </c>
      <c r="F73" s="1548"/>
      <c r="G73" s="1548"/>
      <c r="H73" s="1549">
        <v>0.06</v>
      </c>
      <c r="I73" s="1549"/>
      <c r="J73" s="1549"/>
      <c r="K73" s="1549">
        <v>0.05</v>
      </c>
      <c r="L73" s="1549"/>
      <c r="M73" s="1549"/>
      <c r="N73" s="1549">
        <v>0.37</v>
      </c>
      <c r="O73" s="1549"/>
      <c r="P73" s="1549"/>
      <c r="Q73" s="1549">
        <v>0.28000000000000003</v>
      </c>
      <c r="R73" s="1549"/>
      <c r="S73" s="1549"/>
      <c r="T73" s="1549">
        <f>E73*H73+N73</f>
        <v>0.82</v>
      </c>
      <c r="U73" s="1549"/>
      <c r="V73" s="1549"/>
      <c r="W73" s="1549">
        <f>E73*K73+Q73</f>
        <v>0.65500000000000003</v>
      </c>
      <c r="X73" s="1549"/>
      <c r="Y73" s="1549"/>
      <c r="Z73" s="1575">
        <f t="shared" ref="Z73:Z76" si="6">(T73-W73)*$Q$44</f>
        <v>60.224999999999973</v>
      </c>
      <c r="AA73" s="1575"/>
      <c r="AB73" s="1575"/>
      <c r="AC73" s="1575"/>
      <c r="AD73" s="1574">
        <f t="shared" ref="AD73:AD76" si="7">$Q$46*Z73/$Q$45</f>
        <v>6.8749999999999966E-3</v>
      </c>
      <c r="AE73" s="1574"/>
      <c r="AF73" s="1574"/>
      <c r="AL73" s="709"/>
    </row>
    <row r="74" spans="1:38" ht="14.4" customHeight="1" x14ac:dyDescent="0.3">
      <c r="A74" s="1547" t="s">
        <v>5192</v>
      </c>
      <c r="B74" s="1547"/>
      <c r="C74" s="1547"/>
      <c r="D74" s="1547"/>
      <c r="E74" s="1548">
        <v>22.5</v>
      </c>
      <c r="F74" s="1548"/>
      <c r="G74" s="1548"/>
      <c r="H74" s="1549">
        <v>0.06</v>
      </c>
      <c r="I74" s="1549"/>
      <c r="J74" s="1549"/>
      <c r="K74" s="1549">
        <v>0.05</v>
      </c>
      <c r="L74" s="1549"/>
      <c r="M74" s="1549"/>
      <c r="N74" s="1549">
        <v>0.37</v>
      </c>
      <c r="O74" s="1549"/>
      <c r="P74" s="1549"/>
      <c r="Q74" s="1549">
        <v>0.28000000000000003</v>
      </c>
      <c r="R74" s="1549"/>
      <c r="S74" s="1549"/>
      <c r="T74" s="1549">
        <f>E74*H74+N74</f>
        <v>1.7199999999999998</v>
      </c>
      <c r="U74" s="1549"/>
      <c r="V74" s="1549"/>
      <c r="W74" s="1549">
        <f>E74*K74+Q74</f>
        <v>1.405</v>
      </c>
      <c r="X74" s="1549"/>
      <c r="Y74" s="1549"/>
      <c r="Z74" s="1575">
        <f t="shared" si="6"/>
        <v>114.97499999999989</v>
      </c>
      <c r="AA74" s="1575"/>
      <c r="AB74" s="1575"/>
      <c r="AC74" s="1575"/>
      <c r="AD74" s="1574">
        <f t="shared" si="7"/>
        <v>1.3124999999999987E-2</v>
      </c>
      <c r="AE74" s="1574"/>
      <c r="AF74" s="1574"/>
      <c r="AL74" s="709"/>
    </row>
    <row r="75" spans="1:38" x14ac:dyDescent="0.3">
      <c r="A75" s="1547" t="s">
        <v>5193</v>
      </c>
      <c r="B75" s="1547"/>
      <c r="C75" s="1547"/>
      <c r="D75" s="1547"/>
      <c r="E75" s="1548">
        <v>40</v>
      </c>
      <c r="F75" s="1548"/>
      <c r="G75" s="1548"/>
      <c r="H75" s="1549">
        <v>0.06</v>
      </c>
      <c r="I75" s="1549"/>
      <c r="J75" s="1549"/>
      <c r="K75" s="1549">
        <v>0.05</v>
      </c>
      <c r="L75" s="1549"/>
      <c r="M75" s="1549"/>
      <c r="N75" s="1549">
        <v>0.37</v>
      </c>
      <c r="O75" s="1549"/>
      <c r="P75" s="1549"/>
      <c r="Q75" s="1549">
        <v>0.28000000000000003</v>
      </c>
      <c r="R75" s="1549"/>
      <c r="S75" s="1549"/>
      <c r="T75" s="1549">
        <f>E75*H75+N75</f>
        <v>2.77</v>
      </c>
      <c r="U75" s="1549"/>
      <c r="V75" s="1549"/>
      <c r="W75" s="1549">
        <f>E75*K75+Q75</f>
        <v>2.2800000000000002</v>
      </c>
      <c r="X75" s="1549"/>
      <c r="Y75" s="1549"/>
      <c r="Z75" s="1575">
        <f t="shared" si="6"/>
        <v>178.84999999999991</v>
      </c>
      <c r="AA75" s="1575"/>
      <c r="AB75" s="1575"/>
      <c r="AC75" s="1575"/>
      <c r="AD75" s="1574">
        <f t="shared" si="7"/>
        <v>2.0416666666666656E-2</v>
      </c>
      <c r="AE75" s="1574"/>
      <c r="AF75" s="1574"/>
      <c r="AL75" s="709"/>
    </row>
    <row r="76" spans="1:38" x14ac:dyDescent="0.3">
      <c r="A76" s="1547" t="s">
        <v>5194</v>
      </c>
      <c r="B76" s="1547"/>
      <c r="C76" s="1547"/>
      <c r="D76" s="1547"/>
      <c r="E76" s="1548">
        <v>60</v>
      </c>
      <c r="F76" s="1548"/>
      <c r="G76" s="1548"/>
      <c r="H76" s="1549">
        <v>0.06</v>
      </c>
      <c r="I76" s="1549"/>
      <c r="J76" s="1549"/>
      <c r="K76" s="1549">
        <v>0.05</v>
      </c>
      <c r="L76" s="1549"/>
      <c r="M76" s="1549"/>
      <c r="N76" s="1549">
        <v>0.37</v>
      </c>
      <c r="O76" s="1549"/>
      <c r="P76" s="1549"/>
      <c r="Q76" s="1549">
        <v>0.28000000000000003</v>
      </c>
      <c r="R76" s="1549"/>
      <c r="S76" s="1549"/>
      <c r="T76" s="1549">
        <f>E76*H76+N76</f>
        <v>3.9699999999999998</v>
      </c>
      <c r="U76" s="1549"/>
      <c r="V76" s="1549"/>
      <c r="W76" s="1549">
        <f>E76*K76+Q76</f>
        <v>3.2800000000000002</v>
      </c>
      <c r="X76" s="1549"/>
      <c r="Y76" s="1549"/>
      <c r="Z76" s="1575">
        <f t="shared" si="6"/>
        <v>251.84999999999982</v>
      </c>
      <c r="AA76" s="1575"/>
      <c r="AB76" s="1575"/>
      <c r="AC76" s="1575"/>
      <c r="AD76" s="1574">
        <f t="shared" si="7"/>
        <v>2.874999999999998E-2</v>
      </c>
      <c r="AE76" s="1574"/>
      <c r="AF76" s="1574"/>
      <c r="AL76" s="709"/>
    </row>
    <row r="77" spans="1:38" x14ac:dyDescent="0.3">
      <c r="A77" s="121"/>
      <c r="B77" s="121"/>
      <c r="C77" s="121"/>
      <c r="D77" s="121"/>
      <c r="E77" s="786"/>
      <c r="F77" s="786"/>
      <c r="G77" s="786"/>
      <c r="H77" s="787"/>
      <c r="I77" s="787"/>
      <c r="J77" s="787"/>
      <c r="K77" s="787"/>
      <c r="L77" s="787"/>
      <c r="M77" s="787"/>
      <c r="N77" s="787"/>
      <c r="O77" s="787"/>
      <c r="P77" s="787"/>
      <c r="Q77" s="787"/>
      <c r="R77" s="787"/>
      <c r="S77" s="787"/>
      <c r="T77" s="787"/>
      <c r="U77" s="787"/>
      <c r="V77" s="787"/>
      <c r="W77" s="787"/>
      <c r="X77" s="787"/>
      <c r="Y77" s="787"/>
      <c r="Z77" s="788"/>
      <c r="AA77" s="788"/>
      <c r="AB77" s="788"/>
      <c r="AC77" s="788"/>
      <c r="AD77" s="787"/>
      <c r="AE77" s="787"/>
      <c r="AF77" s="787"/>
      <c r="AL77" s="709"/>
    </row>
    <row r="78" spans="1:38" ht="15" thickBot="1" x14ac:dyDescent="0.35">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L78" s="709"/>
    </row>
    <row r="79" spans="1:38" x14ac:dyDescent="0.3">
      <c r="A79" s="1482" t="s">
        <v>15</v>
      </c>
      <c r="B79" s="1312"/>
      <c r="C79" s="1312"/>
      <c r="D79" s="1312"/>
      <c r="E79" s="1312"/>
      <c r="F79" s="1312"/>
      <c r="G79" s="1312"/>
      <c r="H79" s="1312"/>
      <c r="I79" s="1312" t="s">
        <v>16</v>
      </c>
      <c r="J79" s="1312"/>
      <c r="K79" s="1312"/>
      <c r="L79" s="1312"/>
      <c r="M79" s="1312"/>
      <c r="N79" s="1312"/>
      <c r="O79" s="1312"/>
      <c r="P79" s="1312"/>
      <c r="Q79" s="1312" t="s">
        <v>17</v>
      </c>
      <c r="R79" s="1312"/>
      <c r="S79" s="1312"/>
      <c r="T79" s="1312"/>
      <c r="U79" s="1312"/>
      <c r="V79" s="1312"/>
      <c r="W79" s="1312"/>
      <c r="X79" s="1312"/>
      <c r="Y79" s="1312" t="s">
        <v>1826</v>
      </c>
      <c r="Z79" s="1576"/>
      <c r="AA79" s="1576"/>
      <c r="AB79" s="1576"/>
      <c r="AC79" s="1576"/>
      <c r="AD79" s="1576"/>
      <c r="AE79" s="1576"/>
      <c r="AF79" s="1577"/>
      <c r="AL79" s="709"/>
    </row>
    <row r="80" spans="1:38" ht="31.95" customHeight="1" x14ac:dyDescent="0.3">
      <c r="A80" s="1467" t="s">
        <v>5198</v>
      </c>
      <c r="B80" s="993"/>
      <c r="C80" s="993"/>
      <c r="D80" s="993"/>
      <c r="E80" s="993" t="s">
        <v>579</v>
      </c>
      <c r="F80" s="993"/>
      <c r="G80" s="993"/>
      <c r="H80" s="993"/>
      <c r="I80" s="1293">
        <f>ROUND(AD57,3)</f>
        <v>3.1E-2</v>
      </c>
      <c r="J80" s="1293"/>
      <c r="K80" s="1293"/>
      <c r="L80" s="1293"/>
      <c r="M80" s="1293"/>
      <c r="N80" s="1293"/>
      <c r="O80" s="1293"/>
      <c r="P80" s="1293"/>
      <c r="Q80" s="1555">
        <f>ROUND(Z57,2)</f>
        <v>268.18</v>
      </c>
      <c r="R80" s="1555"/>
      <c r="S80" s="1555"/>
      <c r="T80" s="1555"/>
      <c r="U80" s="1555"/>
      <c r="V80" s="1555"/>
      <c r="W80" s="1555"/>
      <c r="X80" s="1555"/>
      <c r="Y80" s="1556">
        <f>Q80*Q$47</f>
        <v>3218.16</v>
      </c>
      <c r="Z80" s="1556"/>
      <c r="AA80" s="1556"/>
      <c r="AB80" s="1556"/>
      <c r="AC80" s="1556"/>
      <c r="AD80" s="1556"/>
      <c r="AE80" s="1556"/>
      <c r="AF80" s="1557"/>
      <c r="AL80" s="709"/>
    </row>
    <row r="81" spans="1:38" ht="34.950000000000003" customHeight="1" x14ac:dyDescent="0.3">
      <c r="A81" s="1467" t="s">
        <v>5199</v>
      </c>
      <c r="B81" s="993"/>
      <c r="C81" s="993"/>
      <c r="D81" s="993"/>
      <c r="E81" s="993" t="s">
        <v>579</v>
      </c>
      <c r="F81" s="993"/>
      <c r="G81" s="993"/>
      <c r="H81" s="993"/>
      <c r="I81" s="1293">
        <f>ROUND(AD58,3)</f>
        <v>3.7999999999999999E-2</v>
      </c>
      <c r="J81" s="1293"/>
      <c r="K81" s="1293"/>
      <c r="L81" s="1293"/>
      <c r="M81" s="1293"/>
      <c r="N81" s="1293"/>
      <c r="O81" s="1293"/>
      <c r="P81" s="1293"/>
      <c r="Q81" s="1555">
        <f>ROUND(Z58,2)</f>
        <v>332.15</v>
      </c>
      <c r="R81" s="1555"/>
      <c r="S81" s="1555"/>
      <c r="T81" s="1555"/>
      <c r="U81" s="1555"/>
      <c r="V81" s="1555"/>
      <c r="W81" s="1555"/>
      <c r="X81" s="1555"/>
      <c r="Y81" s="1556">
        <f>Q81*Q$47</f>
        <v>3985.7999999999997</v>
      </c>
      <c r="Z81" s="1556"/>
      <c r="AA81" s="1556"/>
      <c r="AB81" s="1556"/>
      <c r="AC81" s="1556"/>
      <c r="AD81" s="1556"/>
      <c r="AE81" s="1556"/>
      <c r="AF81" s="1557"/>
      <c r="AL81" s="709"/>
    </row>
    <row r="82" spans="1:38" ht="34.950000000000003" customHeight="1" x14ac:dyDescent="0.3">
      <c r="A82" s="1467" t="s">
        <v>5200</v>
      </c>
      <c r="B82" s="993"/>
      <c r="C82" s="993"/>
      <c r="D82" s="993"/>
      <c r="E82" s="993" t="s">
        <v>580</v>
      </c>
      <c r="F82" s="993"/>
      <c r="G82" s="993"/>
      <c r="H82" s="993"/>
      <c r="I82" s="1293">
        <f>ROUND(AD59,3)</f>
        <v>3.7999999999999999E-2</v>
      </c>
      <c r="J82" s="1293"/>
      <c r="K82" s="1293"/>
      <c r="L82" s="1293"/>
      <c r="M82" s="1293"/>
      <c r="N82" s="1293"/>
      <c r="O82" s="1293"/>
      <c r="P82" s="1293"/>
      <c r="Q82" s="1555">
        <f>ROUND(Z59,2)</f>
        <v>332.15</v>
      </c>
      <c r="R82" s="1555"/>
      <c r="S82" s="1555"/>
      <c r="T82" s="1555"/>
      <c r="U82" s="1555"/>
      <c r="V82" s="1555"/>
      <c r="W82" s="1555"/>
      <c r="X82" s="1555"/>
      <c r="Y82" s="1556">
        <f t="shared" ref="Y82:Y95" si="8">Q82*Q$47</f>
        <v>3985.7999999999997</v>
      </c>
      <c r="Z82" s="1556"/>
      <c r="AA82" s="1556"/>
      <c r="AB82" s="1556"/>
      <c r="AC82" s="1556"/>
      <c r="AD82" s="1556"/>
      <c r="AE82" s="1556"/>
      <c r="AF82" s="1557"/>
      <c r="AL82" s="709"/>
    </row>
    <row r="83" spans="1:38" ht="34.950000000000003" customHeight="1" x14ac:dyDescent="0.3">
      <c r="A83" s="1467" t="s">
        <v>6302</v>
      </c>
      <c r="B83" s="993"/>
      <c r="C83" s="993"/>
      <c r="D83" s="993"/>
      <c r="E83" s="993" t="s">
        <v>581</v>
      </c>
      <c r="F83" s="993"/>
      <c r="G83" s="993"/>
      <c r="H83" s="993"/>
      <c r="I83" s="1293">
        <f>ROUND(AD60,3)</f>
        <v>4.8000000000000001E-2</v>
      </c>
      <c r="J83" s="1293"/>
      <c r="K83" s="1293"/>
      <c r="L83" s="1293"/>
      <c r="M83" s="1293"/>
      <c r="N83" s="1293"/>
      <c r="O83" s="1293"/>
      <c r="P83" s="1293"/>
      <c r="Q83" s="1555">
        <f>ROUND(Z60,2)</f>
        <v>423.73</v>
      </c>
      <c r="R83" s="1555"/>
      <c r="S83" s="1555"/>
      <c r="T83" s="1555"/>
      <c r="U83" s="1555"/>
      <c r="V83" s="1555"/>
      <c r="W83" s="1555"/>
      <c r="X83" s="1555"/>
      <c r="Y83" s="1556">
        <f t="shared" si="8"/>
        <v>5084.76</v>
      </c>
      <c r="Z83" s="1556"/>
      <c r="AA83" s="1556"/>
      <c r="AB83" s="1556"/>
      <c r="AC83" s="1556"/>
      <c r="AD83" s="1556"/>
      <c r="AE83" s="1556"/>
      <c r="AF83" s="1557"/>
      <c r="AL83" s="709"/>
    </row>
    <row r="84" spans="1:38" ht="34.950000000000003" customHeight="1" x14ac:dyDescent="0.3">
      <c r="A84" s="1467" t="s">
        <v>5201</v>
      </c>
      <c r="B84" s="993"/>
      <c r="C84" s="993"/>
      <c r="D84" s="993"/>
      <c r="E84" s="993" t="s">
        <v>578</v>
      </c>
      <c r="F84" s="993"/>
      <c r="G84" s="993"/>
      <c r="H84" s="993"/>
      <c r="I84" s="1293">
        <f>ROUND(AD62,3)</f>
        <v>1.9E-2</v>
      </c>
      <c r="J84" s="1293"/>
      <c r="K84" s="1293"/>
      <c r="L84" s="1293"/>
      <c r="M84" s="1293"/>
      <c r="N84" s="1293"/>
      <c r="O84" s="1293"/>
      <c r="P84" s="1293"/>
      <c r="Q84" s="1555">
        <f>ROUND(Z62,2)</f>
        <v>165.16</v>
      </c>
      <c r="R84" s="1555"/>
      <c r="S84" s="1555"/>
      <c r="T84" s="1555"/>
      <c r="U84" s="1555"/>
      <c r="V84" s="1555"/>
      <c r="W84" s="1555"/>
      <c r="X84" s="1555"/>
      <c r="Y84" s="1556">
        <f t="shared" si="8"/>
        <v>1981.92</v>
      </c>
      <c r="Z84" s="1556"/>
      <c r="AA84" s="1556"/>
      <c r="AB84" s="1556"/>
      <c r="AC84" s="1556"/>
      <c r="AD84" s="1556"/>
      <c r="AE84" s="1556"/>
      <c r="AF84" s="1557"/>
      <c r="AL84" s="709"/>
    </row>
    <row r="85" spans="1:38" ht="34.950000000000003" customHeight="1" x14ac:dyDescent="0.3">
      <c r="A85" s="1467" t="s">
        <v>5202</v>
      </c>
      <c r="B85" s="993"/>
      <c r="C85" s="993"/>
      <c r="D85" s="993"/>
      <c r="E85" s="993" t="s">
        <v>579</v>
      </c>
      <c r="F85" s="993"/>
      <c r="G85" s="993"/>
      <c r="H85" s="993"/>
      <c r="I85" s="1293">
        <f t="shared" ref="I85:I87" si="9">ROUND(AD63,3)</f>
        <v>3.5999999999999997E-2</v>
      </c>
      <c r="J85" s="1293"/>
      <c r="K85" s="1293"/>
      <c r="L85" s="1293"/>
      <c r="M85" s="1293"/>
      <c r="N85" s="1293"/>
      <c r="O85" s="1293"/>
      <c r="P85" s="1293"/>
      <c r="Q85" s="1555">
        <f t="shared" ref="Q85:Q87" si="10">ROUND(Z63,2)</f>
        <v>315.73</v>
      </c>
      <c r="R85" s="1555"/>
      <c r="S85" s="1555"/>
      <c r="T85" s="1555"/>
      <c r="U85" s="1555"/>
      <c r="V85" s="1555"/>
      <c r="W85" s="1555"/>
      <c r="X85" s="1555"/>
      <c r="Y85" s="1556">
        <f t="shared" si="8"/>
        <v>3788.76</v>
      </c>
      <c r="Z85" s="1556"/>
      <c r="AA85" s="1556"/>
      <c r="AB85" s="1556"/>
      <c r="AC85" s="1556"/>
      <c r="AD85" s="1556"/>
      <c r="AE85" s="1556"/>
      <c r="AF85" s="1557"/>
      <c r="AL85" s="709"/>
    </row>
    <row r="86" spans="1:38" ht="34.950000000000003" customHeight="1" x14ac:dyDescent="0.3">
      <c r="A86" s="1467" t="s">
        <v>5203</v>
      </c>
      <c r="B86" s="993"/>
      <c r="C86" s="993"/>
      <c r="D86" s="993"/>
      <c r="E86" s="993" t="s">
        <v>580</v>
      </c>
      <c r="F86" s="993"/>
      <c r="G86" s="993"/>
      <c r="H86" s="993"/>
      <c r="I86" s="1293">
        <f t="shared" si="9"/>
        <v>6.2E-2</v>
      </c>
      <c r="J86" s="1293"/>
      <c r="K86" s="1293"/>
      <c r="L86" s="1293"/>
      <c r="M86" s="1293"/>
      <c r="N86" s="1293"/>
      <c r="O86" s="1293"/>
      <c r="P86" s="1293"/>
      <c r="Q86" s="1555">
        <f t="shared" si="10"/>
        <v>540.20000000000005</v>
      </c>
      <c r="R86" s="1555"/>
      <c r="S86" s="1555"/>
      <c r="T86" s="1555"/>
      <c r="U86" s="1555"/>
      <c r="V86" s="1555"/>
      <c r="W86" s="1555"/>
      <c r="X86" s="1555"/>
      <c r="Y86" s="1556">
        <f t="shared" si="8"/>
        <v>6482.4000000000005</v>
      </c>
      <c r="Z86" s="1556"/>
      <c r="AA86" s="1556"/>
      <c r="AB86" s="1556"/>
      <c r="AC86" s="1556"/>
      <c r="AD86" s="1556"/>
      <c r="AE86" s="1556"/>
      <c r="AF86" s="1557"/>
      <c r="AL86" s="709"/>
    </row>
    <row r="87" spans="1:38" ht="34.950000000000003" customHeight="1" x14ac:dyDescent="0.3">
      <c r="A87" s="1467" t="s">
        <v>5204</v>
      </c>
      <c r="B87" s="993"/>
      <c r="C87" s="993"/>
      <c r="D87" s="993"/>
      <c r="E87" s="993" t="s">
        <v>581</v>
      </c>
      <c r="F87" s="993"/>
      <c r="G87" s="993"/>
      <c r="H87" s="993"/>
      <c r="I87" s="1293">
        <f t="shared" si="9"/>
        <v>7.0000000000000007E-2</v>
      </c>
      <c r="J87" s="1293"/>
      <c r="K87" s="1293"/>
      <c r="L87" s="1293"/>
      <c r="M87" s="1293"/>
      <c r="N87" s="1293"/>
      <c r="O87" s="1293"/>
      <c r="P87" s="1293"/>
      <c r="Q87" s="1555">
        <f t="shared" si="10"/>
        <v>609.91999999999996</v>
      </c>
      <c r="R87" s="1555"/>
      <c r="S87" s="1555"/>
      <c r="T87" s="1555"/>
      <c r="U87" s="1555"/>
      <c r="V87" s="1555"/>
      <c r="W87" s="1555"/>
      <c r="X87" s="1555"/>
      <c r="Y87" s="1559">
        <f t="shared" si="8"/>
        <v>7319.0399999999991</v>
      </c>
      <c r="Z87" s="1556"/>
      <c r="AA87" s="1556"/>
      <c r="AB87" s="1556"/>
      <c r="AC87" s="1556"/>
      <c r="AD87" s="1556"/>
      <c r="AE87" s="1556"/>
      <c r="AF87" s="1557"/>
      <c r="AL87" s="709"/>
    </row>
    <row r="88" spans="1:38" ht="34.950000000000003" customHeight="1" x14ac:dyDescent="0.3">
      <c r="A88" s="1467" t="s">
        <v>5218</v>
      </c>
      <c r="B88" s="993"/>
      <c r="C88" s="993"/>
      <c r="D88" s="993"/>
      <c r="E88" s="993" t="s">
        <v>578</v>
      </c>
      <c r="F88" s="993"/>
      <c r="G88" s="993"/>
      <c r="H88" s="993"/>
      <c r="I88" s="1293">
        <f>ROUND(AD68,3)</f>
        <v>2.5999999999999999E-2</v>
      </c>
      <c r="J88" s="1293"/>
      <c r="K88" s="1293"/>
      <c r="L88" s="1293"/>
      <c r="M88" s="1293"/>
      <c r="N88" s="1293"/>
      <c r="O88" s="1293"/>
      <c r="P88" s="1293"/>
      <c r="Q88" s="1555">
        <f>ROUND(Z68,2)</f>
        <v>229.95</v>
      </c>
      <c r="R88" s="1555"/>
      <c r="S88" s="1555"/>
      <c r="T88" s="1555"/>
      <c r="U88" s="1555"/>
      <c r="V88" s="1555"/>
      <c r="W88" s="1555"/>
      <c r="X88" s="1555"/>
      <c r="Y88" s="1556">
        <f t="shared" si="8"/>
        <v>2759.3999999999996</v>
      </c>
      <c r="Z88" s="1556"/>
      <c r="AA88" s="1556"/>
      <c r="AB88" s="1556"/>
      <c r="AC88" s="1556"/>
      <c r="AD88" s="1556"/>
      <c r="AE88" s="1556"/>
      <c r="AF88" s="1557"/>
      <c r="AL88" s="709"/>
    </row>
    <row r="89" spans="1:38" ht="34.950000000000003" customHeight="1" x14ac:dyDescent="0.3">
      <c r="A89" s="1467" t="s">
        <v>5206</v>
      </c>
      <c r="B89" s="1547"/>
      <c r="C89" s="1547"/>
      <c r="D89" s="1547"/>
      <c r="E89" s="1547" t="s">
        <v>579</v>
      </c>
      <c r="F89" s="1547"/>
      <c r="G89" s="1547"/>
      <c r="H89" s="1547"/>
      <c r="I89" s="1293">
        <f t="shared" ref="I89:I91" si="11">ROUND(AD69,3)</f>
        <v>2.5999999999999999E-2</v>
      </c>
      <c r="J89" s="1293"/>
      <c r="K89" s="1293"/>
      <c r="L89" s="1293"/>
      <c r="M89" s="1293"/>
      <c r="N89" s="1293"/>
      <c r="O89" s="1293"/>
      <c r="P89" s="1293"/>
      <c r="Q89" s="1555">
        <f t="shared" ref="Q89:Q91" si="12">ROUND(Z69,2)</f>
        <v>229.95</v>
      </c>
      <c r="R89" s="1555"/>
      <c r="S89" s="1555"/>
      <c r="T89" s="1555"/>
      <c r="U89" s="1555"/>
      <c r="V89" s="1555"/>
      <c r="W89" s="1555"/>
      <c r="X89" s="1555"/>
      <c r="Y89" s="1556">
        <f t="shared" si="8"/>
        <v>2759.3999999999996</v>
      </c>
      <c r="Z89" s="1556"/>
      <c r="AA89" s="1556"/>
      <c r="AB89" s="1556"/>
      <c r="AC89" s="1556"/>
      <c r="AD89" s="1556"/>
      <c r="AE89" s="1556"/>
      <c r="AF89" s="1557"/>
      <c r="AL89" s="709"/>
    </row>
    <row r="90" spans="1:38" ht="34.950000000000003" customHeight="1" x14ac:dyDescent="0.3">
      <c r="A90" s="1467" t="s">
        <v>5207</v>
      </c>
      <c r="B90" s="1547"/>
      <c r="C90" s="1547"/>
      <c r="D90" s="1547"/>
      <c r="E90" s="1547" t="s">
        <v>580</v>
      </c>
      <c r="F90" s="1547"/>
      <c r="G90" s="1547"/>
      <c r="H90" s="1547"/>
      <c r="I90" s="1293">
        <f t="shared" si="11"/>
        <v>2.5999999999999999E-2</v>
      </c>
      <c r="J90" s="1293"/>
      <c r="K90" s="1293"/>
      <c r="L90" s="1293"/>
      <c r="M90" s="1293"/>
      <c r="N90" s="1293"/>
      <c r="O90" s="1293"/>
      <c r="P90" s="1293"/>
      <c r="Q90" s="1555">
        <f t="shared" si="12"/>
        <v>229.95</v>
      </c>
      <c r="R90" s="1555"/>
      <c r="S90" s="1555"/>
      <c r="T90" s="1555"/>
      <c r="U90" s="1555"/>
      <c r="V90" s="1555"/>
      <c r="W90" s="1555"/>
      <c r="X90" s="1555"/>
      <c r="Y90" s="1556">
        <f t="shared" si="8"/>
        <v>2759.3999999999996</v>
      </c>
      <c r="Z90" s="1556"/>
      <c r="AA90" s="1556"/>
      <c r="AB90" s="1556"/>
      <c r="AC90" s="1556"/>
      <c r="AD90" s="1556"/>
      <c r="AE90" s="1556"/>
      <c r="AF90" s="1557"/>
      <c r="AL90" s="709"/>
    </row>
    <row r="91" spans="1:38" ht="34.950000000000003" customHeight="1" x14ac:dyDescent="0.3">
      <c r="A91" s="1467" t="s">
        <v>6303</v>
      </c>
      <c r="B91" s="1547"/>
      <c r="C91" s="1547"/>
      <c r="D91" s="1547"/>
      <c r="E91" s="1547" t="s">
        <v>581</v>
      </c>
      <c r="F91" s="1547"/>
      <c r="G91" s="1547"/>
      <c r="H91" s="1547"/>
      <c r="I91" s="1293">
        <f t="shared" si="11"/>
        <v>2.5999999999999999E-2</v>
      </c>
      <c r="J91" s="1293"/>
      <c r="K91" s="1293"/>
      <c r="L91" s="1293"/>
      <c r="M91" s="1293"/>
      <c r="N91" s="1293"/>
      <c r="O91" s="1293"/>
      <c r="P91" s="1293"/>
      <c r="Q91" s="1555">
        <f t="shared" si="12"/>
        <v>229.95</v>
      </c>
      <c r="R91" s="1555"/>
      <c r="S91" s="1555"/>
      <c r="T91" s="1555"/>
      <c r="U91" s="1555"/>
      <c r="V91" s="1555"/>
      <c r="W91" s="1555"/>
      <c r="X91" s="1555"/>
      <c r="Y91" s="1556">
        <f t="shared" si="8"/>
        <v>2759.3999999999996</v>
      </c>
      <c r="Z91" s="1556"/>
      <c r="AA91" s="1556"/>
      <c r="AB91" s="1556"/>
      <c r="AC91" s="1556"/>
      <c r="AD91" s="1556"/>
      <c r="AE91" s="1556"/>
      <c r="AF91" s="1557"/>
      <c r="AL91" s="709"/>
    </row>
    <row r="92" spans="1:38" ht="34.950000000000003" customHeight="1" x14ac:dyDescent="0.3">
      <c r="A92" s="1467" t="s">
        <v>5219</v>
      </c>
      <c r="B92" s="1547"/>
      <c r="C92" s="1547"/>
      <c r="D92" s="1547"/>
      <c r="E92" s="1547" t="s">
        <v>578</v>
      </c>
      <c r="F92" s="1547"/>
      <c r="G92" s="1547"/>
      <c r="H92" s="1547"/>
      <c r="I92" s="1293">
        <f>ROUND(AD73,3)</f>
        <v>7.0000000000000001E-3</v>
      </c>
      <c r="J92" s="1293"/>
      <c r="K92" s="1293"/>
      <c r="L92" s="1293"/>
      <c r="M92" s="1293"/>
      <c r="N92" s="1293"/>
      <c r="O92" s="1293"/>
      <c r="P92" s="1293"/>
      <c r="Q92" s="1555">
        <f>ROUND(Z73,2)</f>
        <v>60.23</v>
      </c>
      <c r="R92" s="1555"/>
      <c r="S92" s="1555"/>
      <c r="T92" s="1555"/>
      <c r="U92" s="1555"/>
      <c r="V92" s="1555"/>
      <c r="W92" s="1555"/>
      <c r="X92" s="1555"/>
      <c r="Y92" s="1556">
        <f t="shared" si="8"/>
        <v>722.76</v>
      </c>
      <c r="Z92" s="1556"/>
      <c r="AA92" s="1556"/>
      <c r="AB92" s="1556"/>
      <c r="AC92" s="1556"/>
      <c r="AD92" s="1556"/>
      <c r="AE92" s="1556"/>
      <c r="AF92" s="1557"/>
      <c r="AL92" s="709"/>
    </row>
    <row r="93" spans="1:38" ht="34.950000000000003" customHeight="1" x14ac:dyDescent="0.3">
      <c r="A93" s="1467" t="s">
        <v>5209</v>
      </c>
      <c r="B93" s="1547"/>
      <c r="C93" s="1547"/>
      <c r="D93" s="1547"/>
      <c r="E93" s="1547" t="s">
        <v>579</v>
      </c>
      <c r="F93" s="1547"/>
      <c r="G93" s="1547"/>
      <c r="H93" s="1547"/>
      <c r="I93" s="1293">
        <f t="shared" ref="I93:I95" si="13">ROUND(AD74,3)</f>
        <v>1.2999999999999999E-2</v>
      </c>
      <c r="J93" s="1293"/>
      <c r="K93" s="1293"/>
      <c r="L93" s="1293"/>
      <c r="M93" s="1293"/>
      <c r="N93" s="1293"/>
      <c r="O93" s="1293"/>
      <c r="P93" s="1293"/>
      <c r="Q93" s="1555">
        <f t="shared" ref="Q93:Q95" si="14">ROUND(Z74,2)</f>
        <v>114.98</v>
      </c>
      <c r="R93" s="1555"/>
      <c r="S93" s="1555"/>
      <c r="T93" s="1555"/>
      <c r="U93" s="1555"/>
      <c r="V93" s="1555"/>
      <c r="W93" s="1555"/>
      <c r="X93" s="1555"/>
      <c r="Y93" s="1556">
        <f t="shared" si="8"/>
        <v>1379.76</v>
      </c>
      <c r="Z93" s="1556"/>
      <c r="AA93" s="1556"/>
      <c r="AB93" s="1556"/>
      <c r="AC93" s="1556"/>
      <c r="AD93" s="1556"/>
      <c r="AE93" s="1556"/>
      <c r="AF93" s="1557"/>
      <c r="AL93" s="709"/>
    </row>
    <row r="94" spans="1:38" ht="34.950000000000003" customHeight="1" x14ac:dyDescent="0.3">
      <c r="A94" s="1467" t="s">
        <v>5210</v>
      </c>
      <c r="B94" s="1547"/>
      <c r="C94" s="1547"/>
      <c r="D94" s="1547"/>
      <c r="E94" s="1547" t="s">
        <v>580</v>
      </c>
      <c r="F94" s="1547"/>
      <c r="G94" s="1547"/>
      <c r="H94" s="1547"/>
      <c r="I94" s="1293">
        <f t="shared" si="13"/>
        <v>0.02</v>
      </c>
      <c r="J94" s="1293"/>
      <c r="K94" s="1293"/>
      <c r="L94" s="1293"/>
      <c r="M94" s="1293"/>
      <c r="N94" s="1293"/>
      <c r="O94" s="1293"/>
      <c r="P94" s="1293"/>
      <c r="Q94" s="1555">
        <f t="shared" si="14"/>
        <v>178.85</v>
      </c>
      <c r="R94" s="1555"/>
      <c r="S94" s="1555"/>
      <c r="T94" s="1555"/>
      <c r="U94" s="1555"/>
      <c r="V94" s="1555"/>
      <c r="W94" s="1555"/>
      <c r="X94" s="1555"/>
      <c r="Y94" s="1556">
        <f t="shared" si="8"/>
        <v>2146.1999999999998</v>
      </c>
      <c r="Z94" s="1556"/>
      <c r="AA94" s="1556"/>
      <c r="AB94" s="1556"/>
      <c r="AC94" s="1556"/>
      <c r="AD94" s="1556"/>
      <c r="AE94" s="1556"/>
      <c r="AF94" s="1557"/>
      <c r="AL94" s="709"/>
    </row>
    <row r="95" spans="1:38" ht="34.950000000000003" customHeight="1" thickBot="1" x14ac:dyDescent="0.35">
      <c r="A95" s="1474" t="s">
        <v>5211</v>
      </c>
      <c r="B95" s="1560"/>
      <c r="C95" s="1560"/>
      <c r="D95" s="1560"/>
      <c r="E95" s="1560" t="s">
        <v>581</v>
      </c>
      <c r="F95" s="1560"/>
      <c r="G95" s="1560"/>
      <c r="H95" s="1560"/>
      <c r="I95" s="1303">
        <f t="shared" si="13"/>
        <v>2.9000000000000001E-2</v>
      </c>
      <c r="J95" s="1303"/>
      <c r="K95" s="1303"/>
      <c r="L95" s="1303"/>
      <c r="M95" s="1303"/>
      <c r="N95" s="1303"/>
      <c r="O95" s="1303"/>
      <c r="P95" s="1303"/>
      <c r="Q95" s="1561">
        <f t="shared" si="14"/>
        <v>251.85</v>
      </c>
      <c r="R95" s="1561"/>
      <c r="S95" s="1561"/>
      <c r="T95" s="1561"/>
      <c r="U95" s="1561"/>
      <c r="V95" s="1561"/>
      <c r="W95" s="1561"/>
      <c r="X95" s="1561"/>
      <c r="Y95" s="1562">
        <f t="shared" si="8"/>
        <v>3022.2</v>
      </c>
      <c r="Z95" s="1562"/>
      <c r="AA95" s="1562"/>
      <c r="AB95" s="1562"/>
      <c r="AC95" s="1562"/>
      <c r="AD95" s="1562"/>
      <c r="AE95" s="1562"/>
      <c r="AF95" s="1563"/>
      <c r="AL95" s="709"/>
    </row>
    <row r="96" spans="1:38" x14ac:dyDescent="0.3">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L96" s="709"/>
    </row>
    <row r="97" spans="1:67" x14ac:dyDescent="0.3">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L97" s="709"/>
    </row>
    <row r="98" spans="1:67" x14ac:dyDescent="0.3">
      <c r="A98" s="1290" t="s">
        <v>1514</v>
      </c>
      <c r="B98" s="1290"/>
      <c r="C98" s="1290"/>
      <c r="D98" s="1290"/>
      <c r="E98" s="1290"/>
      <c r="F98" s="1290"/>
      <c r="G98" s="1290"/>
      <c r="H98" s="1290"/>
      <c r="I98" s="1290"/>
      <c r="J98" s="1290"/>
      <c r="K98" s="1290"/>
      <c r="L98" s="1290"/>
      <c r="M98" s="1290"/>
      <c r="N98" s="1290"/>
      <c r="O98" s="1290"/>
      <c r="P98" s="1290"/>
      <c r="Q98" s="1290"/>
      <c r="R98" s="1290"/>
      <c r="S98" s="1290"/>
      <c r="T98" s="1290"/>
      <c r="U98" s="1290"/>
      <c r="V98" s="1290"/>
      <c r="W98" s="1290"/>
      <c r="X98" s="1290"/>
      <c r="Y98" s="1290"/>
      <c r="Z98" s="1290"/>
      <c r="AA98" s="1290"/>
      <c r="AB98" s="1290"/>
      <c r="AC98" s="1290"/>
      <c r="AD98" s="1290"/>
      <c r="AE98" s="1290"/>
      <c r="AF98" s="1290"/>
      <c r="AL98" s="709"/>
    </row>
    <row r="99" spans="1:67" x14ac:dyDescent="0.3">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L99" s="709"/>
    </row>
    <row r="100" spans="1:67" x14ac:dyDescent="0.3">
      <c r="A100" s="370" t="s">
        <v>803</v>
      </c>
      <c r="B100" s="889" t="s">
        <v>6305</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c r="AL100" s="54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row>
    <row r="101" spans="1:67" ht="45.75" customHeight="1" x14ac:dyDescent="0.3">
      <c r="A101" s="370" t="s">
        <v>803</v>
      </c>
      <c r="B101" s="889" t="s">
        <v>5212</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row>
    <row r="102" spans="1:67" ht="77.25" customHeight="1" x14ac:dyDescent="0.3">
      <c r="A102" s="370" t="s">
        <v>803</v>
      </c>
      <c r="B102" s="889" t="s">
        <v>6296</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c r="AL102" s="54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row>
    <row r="103" spans="1:67" ht="45.6" customHeight="1" x14ac:dyDescent="0.3">
      <c r="A103" s="370" t="s">
        <v>803</v>
      </c>
      <c r="B103" s="889" t="s">
        <v>6297</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c r="AL103" s="544"/>
    </row>
    <row r="104" spans="1:67" ht="33" customHeight="1" x14ac:dyDescent="0.3">
      <c r="A104" s="370" t="s">
        <v>803</v>
      </c>
      <c r="B104" s="889" t="s">
        <v>6025</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L104" s="544"/>
    </row>
    <row r="105" spans="1:67" x14ac:dyDescent="0.3">
      <c r="A105" s="370" t="s">
        <v>803</v>
      </c>
      <c r="B105" s="889" t="s">
        <v>6298</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L105" s="544"/>
    </row>
    <row r="106" spans="1:67" ht="33" customHeight="1" x14ac:dyDescent="0.3">
      <c r="A106" s="370" t="s">
        <v>803</v>
      </c>
      <c r="B106" s="889" t="s">
        <v>5214</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L106" s="544"/>
    </row>
    <row r="107" spans="1:67" ht="33.75" customHeight="1" x14ac:dyDescent="0.3">
      <c r="A107" s="370" t="s">
        <v>803</v>
      </c>
      <c r="B107" s="889" t="s">
        <v>6027</v>
      </c>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c r="AL107" s="544"/>
    </row>
  </sheetData>
  <sheetProtection algorithmName="SHA-512" hashValue="/mqHFDgBpTI4ThGxri4l0cq/q9rq4MqJom5dFKZUULlnRuUJ5LQrl8zFcIOZnGp8lYxQ/HO+o/9gvCzMqq1jkg==" saltValue="+b6da70pgTnbtfxEroiW7Q==" spinCount="100000" sheet="1" objects="1" scenarios="1"/>
  <mergeCells count="307">
    <mergeCell ref="A98:AF98"/>
    <mergeCell ref="B100:AF100"/>
    <mergeCell ref="B101:AF101"/>
    <mergeCell ref="B102:AF102"/>
    <mergeCell ref="B103:AF103"/>
    <mergeCell ref="B104:AF104"/>
    <mergeCell ref="B105:AF105"/>
    <mergeCell ref="B106:AF106"/>
    <mergeCell ref="B107:AF107"/>
    <mergeCell ref="A93:H93"/>
    <mergeCell ref="I93:P93"/>
    <mergeCell ref="Q93:X93"/>
    <mergeCell ref="Y93:AF93"/>
    <mergeCell ref="A94:H94"/>
    <mergeCell ref="I94:P94"/>
    <mergeCell ref="Q94:X94"/>
    <mergeCell ref="Y94:AF94"/>
    <mergeCell ref="A95:H95"/>
    <mergeCell ref="I95:P95"/>
    <mergeCell ref="Q95:X95"/>
    <mergeCell ref="Y95:AF95"/>
    <mergeCell ref="A90:H90"/>
    <mergeCell ref="I90:P90"/>
    <mergeCell ref="Q90:X90"/>
    <mergeCell ref="Y90:AF90"/>
    <mergeCell ref="A91:H91"/>
    <mergeCell ref="I91:P91"/>
    <mergeCell ref="Q91:X91"/>
    <mergeCell ref="Y91:AF91"/>
    <mergeCell ref="A92:H92"/>
    <mergeCell ref="I92:P92"/>
    <mergeCell ref="Q92:X92"/>
    <mergeCell ref="Y92:AF92"/>
    <mergeCell ref="A87:H87"/>
    <mergeCell ref="I87:P87"/>
    <mergeCell ref="Q87:X87"/>
    <mergeCell ref="Y87:AF87"/>
    <mergeCell ref="A88:H88"/>
    <mergeCell ref="I88:P88"/>
    <mergeCell ref="Q88:X88"/>
    <mergeCell ref="Y88:AF88"/>
    <mergeCell ref="A89:H89"/>
    <mergeCell ref="I89:P89"/>
    <mergeCell ref="Q89:X89"/>
    <mergeCell ref="Y89:AF89"/>
    <mergeCell ref="A84:H84"/>
    <mergeCell ref="I84:P84"/>
    <mergeCell ref="Q84:X84"/>
    <mergeCell ref="Y84:AF84"/>
    <mergeCell ref="A85:H85"/>
    <mergeCell ref="I85:P85"/>
    <mergeCell ref="Q85:X85"/>
    <mergeCell ref="Y85:AF85"/>
    <mergeCell ref="A86:H86"/>
    <mergeCell ref="I86:P86"/>
    <mergeCell ref="Q86:X86"/>
    <mergeCell ref="Y86:AF86"/>
    <mergeCell ref="A81:H81"/>
    <mergeCell ref="I81:P81"/>
    <mergeCell ref="Q81:X81"/>
    <mergeCell ref="Y81:AF81"/>
    <mergeCell ref="A82:H82"/>
    <mergeCell ref="I82:P82"/>
    <mergeCell ref="Q82:X82"/>
    <mergeCell ref="Y82:AF82"/>
    <mergeCell ref="A83:H83"/>
    <mergeCell ref="I83:P83"/>
    <mergeCell ref="Q83:X83"/>
    <mergeCell ref="Y83:AF83"/>
    <mergeCell ref="AD76:AF76"/>
    <mergeCell ref="A79:H79"/>
    <mergeCell ref="I79:P79"/>
    <mergeCell ref="Q79:X79"/>
    <mergeCell ref="Y79:AF79"/>
    <mergeCell ref="A80:H80"/>
    <mergeCell ref="I80:P80"/>
    <mergeCell ref="Q80:X80"/>
    <mergeCell ref="Y80:AF80"/>
    <mergeCell ref="A76:D76"/>
    <mergeCell ref="E76:G76"/>
    <mergeCell ref="H76:J76"/>
    <mergeCell ref="K76:M76"/>
    <mergeCell ref="N76:P76"/>
    <mergeCell ref="Q76:S76"/>
    <mergeCell ref="T76:V76"/>
    <mergeCell ref="W76:Y76"/>
    <mergeCell ref="Z76:AC76"/>
    <mergeCell ref="AD74:AF74"/>
    <mergeCell ref="A75:D75"/>
    <mergeCell ref="E75:G75"/>
    <mergeCell ref="H75:J75"/>
    <mergeCell ref="K75:M75"/>
    <mergeCell ref="N75:P75"/>
    <mergeCell ref="Q75:S75"/>
    <mergeCell ref="T75:V75"/>
    <mergeCell ref="W75:Y75"/>
    <mergeCell ref="Z75:AC75"/>
    <mergeCell ref="AD75:AF75"/>
    <mergeCell ref="A74:D74"/>
    <mergeCell ref="E74:G74"/>
    <mergeCell ref="H74:J74"/>
    <mergeCell ref="K74:M74"/>
    <mergeCell ref="N74:P74"/>
    <mergeCell ref="Q74:S74"/>
    <mergeCell ref="T74:V74"/>
    <mergeCell ref="W74:Y74"/>
    <mergeCell ref="Z74:AC74"/>
    <mergeCell ref="AD71:AF71"/>
    <mergeCell ref="A72:AF72"/>
    <mergeCell ref="A73:D73"/>
    <mergeCell ref="E73:G73"/>
    <mergeCell ref="H73:J73"/>
    <mergeCell ref="K73:M73"/>
    <mergeCell ref="N73:P73"/>
    <mergeCell ref="Q73:S73"/>
    <mergeCell ref="T73:V73"/>
    <mergeCell ref="W73:Y73"/>
    <mergeCell ref="Z73:AC73"/>
    <mergeCell ref="AD73:AF73"/>
    <mergeCell ref="A71:D71"/>
    <mergeCell ref="E71:G71"/>
    <mergeCell ref="H71:J71"/>
    <mergeCell ref="K71:M71"/>
    <mergeCell ref="N71:P71"/>
    <mergeCell ref="Q71:S71"/>
    <mergeCell ref="T71:V71"/>
    <mergeCell ref="W71:Y71"/>
    <mergeCell ref="Z71:AC71"/>
    <mergeCell ref="AD69:AF69"/>
    <mergeCell ref="A70:D70"/>
    <mergeCell ref="E70:G70"/>
    <mergeCell ref="H70:J70"/>
    <mergeCell ref="K70:M70"/>
    <mergeCell ref="N70:P70"/>
    <mergeCell ref="Q70:S70"/>
    <mergeCell ref="T70:V70"/>
    <mergeCell ref="W70:Y70"/>
    <mergeCell ref="Z70:AC70"/>
    <mergeCell ref="AD70:AF70"/>
    <mergeCell ref="A69:D69"/>
    <mergeCell ref="E69:G69"/>
    <mergeCell ref="H69:J69"/>
    <mergeCell ref="K69:M69"/>
    <mergeCell ref="N69:P69"/>
    <mergeCell ref="Q69:S69"/>
    <mergeCell ref="T69:V69"/>
    <mergeCell ref="W69:Y69"/>
    <mergeCell ref="Z69:AC69"/>
    <mergeCell ref="AD65:AF65"/>
    <mergeCell ref="A66:AF66"/>
    <mergeCell ref="A67:AF67"/>
    <mergeCell ref="A68:D68"/>
    <mergeCell ref="E68:G68"/>
    <mergeCell ref="H68:J68"/>
    <mergeCell ref="K68:M68"/>
    <mergeCell ref="N68:P68"/>
    <mergeCell ref="Q68:S68"/>
    <mergeCell ref="T68:V68"/>
    <mergeCell ref="W68:Y68"/>
    <mergeCell ref="Z68:AC68"/>
    <mergeCell ref="AD68:AF68"/>
    <mergeCell ref="A65:D65"/>
    <mergeCell ref="E65:G65"/>
    <mergeCell ref="H65:J65"/>
    <mergeCell ref="K65:M65"/>
    <mergeCell ref="N65:P65"/>
    <mergeCell ref="Q65:S65"/>
    <mergeCell ref="T65:V65"/>
    <mergeCell ref="W65:Y65"/>
    <mergeCell ref="Z65:AC65"/>
    <mergeCell ref="AD63:AF63"/>
    <mergeCell ref="A64:D64"/>
    <mergeCell ref="E64:G64"/>
    <mergeCell ref="H64:J64"/>
    <mergeCell ref="K64:M64"/>
    <mergeCell ref="N64:P64"/>
    <mergeCell ref="Q64:S64"/>
    <mergeCell ref="T64:V64"/>
    <mergeCell ref="W64:Y64"/>
    <mergeCell ref="Z64:AC64"/>
    <mergeCell ref="AD64:AF64"/>
    <mergeCell ref="A63:D63"/>
    <mergeCell ref="E63:G63"/>
    <mergeCell ref="H63:J63"/>
    <mergeCell ref="K63:M63"/>
    <mergeCell ref="N63:P63"/>
    <mergeCell ref="Q63:S63"/>
    <mergeCell ref="T63:V63"/>
    <mergeCell ref="W63:Y63"/>
    <mergeCell ref="Z63:AC63"/>
    <mergeCell ref="W60:Y60"/>
    <mergeCell ref="Z60:AC60"/>
    <mergeCell ref="AD60:AF60"/>
    <mergeCell ref="A61:AF61"/>
    <mergeCell ref="A62:D62"/>
    <mergeCell ref="E62:G62"/>
    <mergeCell ref="H62:J62"/>
    <mergeCell ref="K62:M62"/>
    <mergeCell ref="N62:P62"/>
    <mergeCell ref="Q62:S62"/>
    <mergeCell ref="T62:V62"/>
    <mergeCell ref="W62:Y62"/>
    <mergeCell ref="Z62:AC62"/>
    <mergeCell ref="AD62:AF62"/>
    <mergeCell ref="A60:D60"/>
    <mergeCell ref="E60:G60"/>
    <mergeCell ref="H60:J60"/>
    <mergeCell ref="K60:M60"/>
    <mergeCell ref="N60:P60"/>
    <mergeCell ref="Q60:S60"/>
    <mergeCell ref="T60:V60"/>
    <mergeCell ref="W54:Y54"/>
    <mergeCell ref="A55:AF55"/>
    <mergeCell ref="Z58:AC58"/>
    <mergeCell ref="AD58:AF58"/>
    <mergeCell ref="A59:D59"/>
    <mergeCell ref="E59:G59"/>
    <mergeCell ref="H59:J59"/>
    <mergeCell ref="K59:M59"/>
    <mergeCell ref="N59:P59"/>
    <mergeCell ref="Q59:S59"/>
    <mergeCell ref="T59:V59"/>
    <mergeCell ref="W59:Y59"/>
    <mergeCell ref="Z59:AC59"/>
    <mergeCell ref="AD59:AF59"/>
    <mergeCell ref="A58:D58"/>
    <mergeCell ref="E58:G58"/>
    <mergeCell ref="H58:J58"/>
    <mergeCell ref="K58:M58"/>
    <mergeCell ref="N58:P58"/>
    <mergeCell ref="Q58:S58"/>
    <mergeCell ref="T58:V58"/>
    <mergeCell ref="W58:Y58"/>
    <mergeCell ref="A1:AF1"/>
    <mergeCell ref="A3:AF3"/>
    <mergeCell ref="B5:AF5"/>
    <mergeCell ref="A7:AF7"/>
    <mergeCell ref="B9:I9"/>
    <mergeCell ref="B10:AF10"/>
    <mergeCell ref="B12:I12"/>
    <mergeCell ref="B13:AF13"/>
    <mergeCell ref="B15:I15"/>
    <mergeCell ref="B16:AF16"/>
    <mergeCell ref="B18:I18"/>
    <mergeCell ref="B19:AF19"/>
    <mergeCell ref="B22:AF22"/>
    <mergeCell ref="A25:AF25"/>
    <mergeCell ref="A40:AF40"/>
    <mergeCell ref="A42:D42"/>
    <mergeCell ref="A41:D41"/>
    <mergeCell ref="E41:P41"/>
    <mergeCell ref="Q41:T41"/>
    <mergeCell ref="U41:V41"/>
    <mergeCell ref="W41:AF41"/>
    <mergeCell ref="E42:P42"/>
    <mergeCell ref="Q42:T42"/>
    <mergeCell ref="U42:V42"/>
    <mergeCell ref="W42:AF42"/>
    <mergeCell ref="A44:D44"/>
    <mergeCell ref="A43:D43"/>
    <mergeCell ref="E43:P43"/>
    <mergeCell ref="Q43:T43"/>
    <mergeCell ref="U43:V43"/>
    <mergeCell ref="W43:AF43"/>
    <mergeCell ref="A45:D45"/>
    <mergeCell ref="E44:P44"/>
    <mergeCell ref="Q44:T44"/>
    <mergeCell ref="U44:V44"/>
    <mergeCell ref="W44:AF44"/>
    <mergeCell ref="E45:P45"/>
    <mergeCell ref="Q45:T45"/>
    <mergeCell ref="U45:V45"/>
    <mergeCell ref="W45:AF45"/>
    <mergeCell ref="A46:D46"/>
    <mergeCell ref="E46:P46"/>
    <mergeCell ref="Q46:T46"/>
    <mergeCell ref="U46:V46"/>
    <mergeCell ref="W46:AF46"/>
    <mergeCell ref="A47:D47"/>
    <mergeCell ref="E47:P47"/>
    <mergeCell ref="Q47:T47"/>
    <mergeCell ref="U47:V47"/>
    <mergeCell ref="W47:AF47"/>
    <mergeCell ref="A50:AF50"/>
    <mergeCell ref="A53:D54"/>
    <mergeCell ref="E53:G54"/>
    <mergeCell ref="H53:M53"/>
    <mergeCell ref="N53:S53"/>
    <mergeCell ref="T53:Y53"/>
    <mergeCell ref="A56:AF56"/>
    <mergeCell ref="A57:D57"/>
    <mergeCell ref="E57:G57"/>
    <mergeCell ref="H57:J57"/>
    <mergeCell ref="K57:M57"/>
    <mergeCell ref="N57:P57"/>
    <mergeCell ref="Q57:S57"/>
    <mergeCell ref="T57:V57"/>
    <mergeCell ref="W57:Y57"/>
    <mergeCell ref="Z57:AC57"/>
    <mergeCell ref="AD57:AF57"/>
    <mergeCell ref="Z53:AC54"/>
    <mergeCell ref="AD53:AF54"/>
    <mergeCell ref="H54:J54"/>
    <mergeCell ref="K54:M54"/>
    <mergeCell ref="N54:P54"/>
    <mergeCell ref="Q54:S54"/>
    <mergeCell ref="T54:V54"/>
  </mergeCells>
  <hyperlinks>
    <hyperlink ref="A2" location="TOC!A1" display="Return to TOC" xr:uid="{ABADA638-292C-48BA-814F-1989B28D8729}"/>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autoPageBreaks="0"/>
  </sheetPr>
  <dimension ref="A1:AF295"/>
  <sheetViews>
    <sheetView workbookViewId="0">
      <selection activeCell="A2" sqref="A2"/>
    </sheetView>
  </sheetViews>
  <sheetFormatPr defaultColWidth="2.6640625" defaultRowHeight="14.4" x14ac:dyDescent="0.3"/>
  <cols>
    <col min="1" max="32" width="2.6640625" style="1"/>
  </cols>
  <sheetData>
    <row r="1" spans="1:32" ht="18" x14ac:dyDescent="0.3">
      <c r="A1" s="1131" t="s">
        <v>5395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5396</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ht="15" customHeigh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1144" t="s">
        <v>3</v>
      </c>
      <c r="C9" s="1144"/>
      <c r="D9" s="1144"/>
      <c r="E9" s="1144"/>
      <c r="F9" s="1144"/>
      <c r="G9" s="1144"/>
      <c r="H9" s="1144"/>
      <c r="I9" s="1144"/>
    </row>
    <row r="10" spans="1:32" ht="126" customHeight="1" x14ac:dyDescent="0.3">
      <c r="B10" s="953" t="s">
        <v>5397</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1144" t="s">
        <v>4</v>
      </c>
      <c r="C12" s="1144"/>
      <c r="D12" s="1144"/>
      <c r="E12" s="1144"/>
      <c r="F12" s="1144"/>
      <c r="G12" s="1144"/>
      <c r="H12" s="1144"/>
      <c r="I12" s="1144"/>
    </row>
    <row r="13" spans="1:32" ht="92.25" customHeight="1" x14ac:dyDescent="0.3">
      <c r="A13" s="4"/>
      <c r="B13" s="953" t="s">
        <v>5398</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5" spans="1:32" x14ac:dyDescent="0.3">
      <c r="B15" s="1144" t="s">
        <v>5</v>
      </c>
      <c r="C15" s="1144"/>
      <c r="D15" s="1144"/>
      <c r="E15" s="1144"/>
      <c r="F15" s="1144"/>
      <c r="G15" s="1144"/>
      <c r="H15" s="1144"/>
      <c r="I15" s="1144"/>
    </row>
    <row r="16" spans="1:32" x14ac:dyDescent="0.3">
      <c r="B16" s="1142" t="s">
        <v>5399</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x14ac:dyDescent="0.3">
      <c r="A19" s="4"/>
      <c r="B19" s="953" t="s">
        <v>5400</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30.75" customHeight="1" x14ac:dyDescent="0.3">
      <c r="B22" s="953" t="s">
        <v>5401</v>
      </c>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7" spans="1:32" x14ac:dyDescent="0.3">
      <c r="B27" s="231" t="s">
        <v>2027</v>
      </c>
    </row>
    <row r="29" spans="1:32" x14ac:dyDescent="0.3">
      <c r="AF29" s="577" t="s">
        <v>1463</v>
      </c>
    </row>
    <row r="30" spans="1:32" x14ac:dyDescent="0.3">
      <c r="AF30" s="55"/>
    </row>
    <row r="31" spans="1:32" x14ac:dyDescent="0.3">
      <c r="C31" s="1" t="s">
        <v>5402</v>
      </c>
      <c r="AF31" s="55"/>
    </row>
    <row r="32" spans="1:32" x14ac:dyDescent="0.3">
      <c r="AF32" s="55"/>
    </row>
    <row r="33" spans="32:32" x14ac:dyDescent="0.3">
      <c r="AF33" s="324" t="s">
        <v>1464</v>
      </c>
    </row>
    <row r="34" spans="32:32" x14ac:dyDescent="0.3">
      <c r="AF34" s="55"/>
    </row>
    <row r="35" spans="32:32" x14ac:dyDescent="0.3">
      <c r="AF35" s="324" t="s">
        <v>1465</v>
      </c>
    </row>
    <row r="36" spans="32:32" x14ac:dyDescent="0.3">
      <c r="AF36" s="55"/>
    </row>
    <row r="37" spans="32:32" x14ac:dyDescent="0.3">
      <c r="AF37" s="1661" t="s">
        <v>1517</v>
      </c>
    </row>
    <row r="38" spans="32:32" x14ac:dyDescent="0.3">
      <c r="AF38" s="1661"/>
    </row>
    <row r="39" spans="32:32" x14ac:dyDescent="0.3">
      <c r="AF39" s="55"/>
    </row>
    <row r="40" spans="32:32" x14ac:dyDescent="0.3">
      <c r="AF40" s="1661" t="s">
        <v>1556</v>
      </c>
    </row>
    <row r="41" spans="32:32" x14ac:dyDescent="0.3">
      <c r="AF41" s="1661"/>
    </row>
    <row r="42" spans="32:32" x14ac:dyDescent="0.3">
      <c r="AF42" s="1661"/>
    </row>
    <row r="43" spans="32:32" x14ac:dyDescent="0.3">
      <c r="AF43" s="55"/>
    </row>
    <row r="44" spans="32:32" x14ac:dyDescent="0.3">
      <c r="AF44" s="1661" t="s">
        <v>1558</v>
      </c>
    </row>
    <row r="45" spans="32:32" x14ac:dyDescent="0.3">
      <c r="AF45" s="1661"/>
    </row>
    <row r="46" spans="32:32" x14ac:dyDescent="0.3">
      <c r="AF46" s="55"/>
    </row>
    <row r="47" spans="32:32" x14ac:dyDescent="0.3">
      <c r="AF47" s="1661" t="s">
        <v>1607</v>
      </c>
    </row>
    <row r="48" spans="32:32" x14ac:dyDescent="0.3">
      <c r="AF48" s="1661"/>
    </row>
    <row r="49" spans="2:32" x14ac:dyDescent="0.3">
      <c r="AF49" s="1661"/>
    </row>
    <row r="50" spans="2:32" x14ac:dyDescent="0.3">
      <c r="AF50" s="55"/>
    </row>
    <row r="51" spans="2:32" x14ac:dyDescent="0.3">
      <c r="AF51" s="1661" t="s">
        <v>1608</v>
      </c>
    </row>
    <row r="52" spans="2:32" x14ac:dyDescent="0.3">
      <c r="AF52" s="1661"/>
    </row>
    <row r="53" spans="2:32" x14ac:dyDescent="0.3">
      <c r="AF53" s="324"/>
    </row>
    <row r="54" spans="2:32" x14ac:dyDescent="0.3">
      <c r="AF54" s="1661" t="s">
        <v>1946</v>
      </c>
    </row>
    <row r="55" spans="2:32" x14ac:dyDescent="0.3">
      <c r="AF55" s="1661"/>
    </row>
    <row r="56" spans="2:32" x14ac:dyDescent="0.3">
      <c r="AF56" s="1661"/>
    </row>
    <row r="58" spans="2:32" x14ac:dyDescent="0.3">
      <c r="B58" s="231" t="s">
        <v>2137</v>
      </c>
    </row>
    <row r="60" spans="2:32" x14ac:dyDescent="0.3">
      <c r="AF60" s="324" t="s">
        <v>1948</v>
      </c>
    </row>
    <row r="61" spans="2:32" x14ac:dyDescent="0.3">
      <c r="AF61" s="55"/>
    </row>
    <row r="62" spans="2:32" x14ac:dyDescent="0.3">
      <c r="B62" s="231" t="s">
        <v>1811</v>
      </c>
      <c r="AF62" s="55"/>
    </row>
    <row r="63" spans="2:32" x14ac:dyDescent="0.3">
      <c r="B63" s="231"/>
      <c r="AF63" s="55"/>
    </row>
    <row r="64" spans="2:32" x14ac:dyDescent="0.3">
      <c r="B64" s="231"/>
      <c r="AF64" s="577" t="s">
        <v>1949</v>
      </c>
    </row>
    <row r="65" spans="1:32" x14ac:dyDescent="0.3">
      <c r="B65" s="231"/>
    </row>
    <row r="66" spans="1:32" x14ac:dyDescent="0.3">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3">
      <c r="A67" s="1141" t="s">
        <v>8</v>
      </c>
      <c r="B67" s="1141"/>
      <c r="C67" s="1141"/>
      <c r="D67" s="1141"/>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row>
    <row r="68" spans="1:32" x14ac:dyDescent="0.3">
      <c r="A68" s="1183" t="s">
        <v>9</v>
      </c>
      <c r="B68" s="1578"/>
      <c r="C68" s="1578"/>
      <c r="D68" s="1578"/>
      <c r="E68" s="1579"/>
      <c r="F68" s="1183" t="s">
        <v>3</v>
      </c>
      <c r="G68" s="1580"/>
      <c r="H68" s="1580"/>
      <c r="I68" s="1580"/>
      <c r="J68" s="1580"/>
      <c r="K68" s="1580"/>
      <c r="L68" s="1580"/>
      <c r="M68" s="1580"/>
      <c r="N68" s="1580"/>
      <c r="O68" s="1580"/>
      <c r="P68" s="1581"/>
      <c r="Q68" s="1143" t="s">
        <v>10</v>
      </c>
      <c r="R68" s="1143"/>
      <c r="S68" s="1143"/>
      <c r="T68" s="1143"/>
      <c r="U68" s="1582" t="s">
        <v>11</v>
      </c>
      <c r="V68" s="1583"/>
      <c r="W68" s="1584"/>
      <c r="X68" s="1183" t="s">
        <v>1466</v>
      </c>
      <c r="Y68" s="1580"/>
      <c r="Z68" s="1580"/>
      <c r="AA68" s="1580"/>
      <c r="AB68" s="1580"/>
      <c r="AC68" s="1580"/>
      <c r="AD68" s="1580"/>
      <c r="AE68" s="1580"/>
      <c r="AF68" s="1581"/>
    </row>
    <row r="69" spans="1:32" ht="45" customHeight="1" x14ac:dyDescent="0.3">
      <c r="A69" s="856" t="s">
        <v>2173</v>
      </c>
      <c r="B69" s="1585"/>
      <c r="C69" s="1585"/>
      <c r="D69" s="1585"/>
      <c r="E69" s="1585"/>
      <c r="F69" s="856" t="s">
        <v>5403</v>
      </c>
      <c r="G69" s="1585"/>
      <c r="H69" s="1585"/>
      <c r="I69" s="1585"/>
      <c r="J69" s="1585"/>
      <c r="K69" s="1585"/>
      <c r="L69" s="1585"/>
      <c r="M69" s="1585"/>
      <c r="N69" s="1585"/>
      <c r="O69" s="1585"/>
      <c r="P69" s="1585"/>
      <c r="Q69" s="1151" t="s">
        <v>5548</v>
      </c>
      <c r="R69" s="1152"/>
      <c r="S69" s="1152"/>
      <c r="T69" s="1153"/>
      <c r="U69" s="1586" t="s">
        <v>41</v>
      </c>
      <c r="V69" s="1586"/>
      <c r="W69" s="1177"/>
      <c r="X69" s="1148" t="s">
        <v>5404</v>
      </c>
      <c r="Y69" s="1587"/>
      <c r="Z69" s="1587"/>
      <c r="AA69" s="1587"/>
      <c r="AB69" s="1587"/>
      <c r="AC69" s="1587"/>
      <c r="AD69" s="1587"/>
      <c r="AE69" s="1587"/>
      <c r="AF69" s="1588"/>
    </row>
    <row r="70" spans="1:32" ht="45" customHeight="1" x14ac:dyDescent="0.3">
      <c r="A70" s="856" t="s">
        <v>5405</v>
      </c>
      <c r="B70" s="1585"/>
      <c r="C70" s="1585"/>
      <c r="D70" s="1585"/>
      <c r="E70" s="1585"/>
      <c r="F70" s="856" t="s">
        <v>5406</v>
      </c>
      <c r="G70" s="1585"/>
      <c r="H70" s="1585"/>
      <c r="I70" s="1585"/>
      <c r="J70" s="1585"/>
      <c r="K70" s="1585"/>
      <c r="L70" s="1585"/>
      <c r="M70" s="1585"/>
      <c r="N70" s="1585"/>
      <c r="O70" s="1585"/>
      <c r="P70" s="1585"/>
      <c r="Q70" s="1151" t="s">
        <v>5548</v>
      </c>
      <c r="R70" s="1152"/>
      <c r="S70" s="1152"/>
      <c r="T70" s="1153"/>
      <c r="U70" s="1586" t="s">
        <v>41</v>
      </c>
      <c r="V70" s="1586"/>
      <c r="W70" s="1177"/>
      <c r="X70" s="1148" t="s">
        <v>5404</v>
      </c>
      <c r="Y70" s="1587"/>
      <c r="Z70" s="1587"/>
      <c r="AA70" s="1587"/>
      <c r="AB70" s="1587"/>
      <c r="AC70" s="1587"/>
      <c r="AD70" s="1587"/>
      <c r="AE70" s="1587"/>
      <c r="AF70" s="1588"/>
    </row>
    <row r="71" spans="1:32" ht="45" customHeight="1" x14ac:dyDescent="0.3">
      <c r="A71" s="856" t="s">
        <v>5407</v>
      </c>
      <c r="B71" s="1585"/>
      <c r="C71" s="1585"/>
      <c r="D71" s="1585"/>
      <c r="E71" s="1585"/>
      <c r="F71" s="856" t="s">
        <v>5408</v>
      </c>
      <c r="G71" s="1585"/>
      <c r="H71" s="1585"/>
      <c r="I71" s="1585"/>
      <c r="J71" s="1585"/>
      <c r="K71" s="1585"/>
      <c r="L71" s="1585"/>
      <c r="M71" s="1585"/>
      <c r="N71" s="1585"/>
      <c r="O71" s="1585"/>
      <c r="P71" s="1585"/>
      <c r="Q71" s="1151" t="s">
        <v>35</v>
      </c>
      <c r="R71" s="1152"/>
      <c r="S71" s="1152"/>
      <c r="T71" s="1153"/>
      <c r="U71" s="1586" t="s">
        <v>41</v>
      </c>
      <c r="V71" s="1586"/>
      <c r="W71" s="1177"/>
      <c r="X71" s="1148" t="s">
        <v>5404</v>
      </c>
      <c r="Y71" s="1587"/>
      <c r="Z71" s="1587"/>
      <c r="AA71" s="1587"/>
      <c r="AB71" s="1587"/>
      <c r="AC71" s="1587"/>
      <c r="AD71" s="1587"/>
      <c r="AE71" s="1587"/>
      <c r="AF71" s="1588"/>
    </row>
    <row r="72" spans="1:32" ht="45" customHeight="1" x14ac:dyDescent="0.3">
      <c r="A72" s="856" t="s">
        <v>5409</v>
      </c>
      <c r="B72" s="1585"/>
      <c r="C72" s="1585"/>
      <c r="D72" s="1585"/>
      <c r="E72" s="1585"/>
      <c r="F72" s="856" t="s">
        <v>5410</v>
      </c>
      <c r="G72" s="1585"/>
      <c r="H72" s="1585"/>
      <c r="I72" s="1585"/>
      <c r="J72" s="1585"/>
      <c r="K72" s="1585"/>
      <c r="L72" s="1585"/>
      <c r="M72" s="1585"/>
      <c r="N72" s="1585"/>
      <c r="O72" s="1585"/>
      <c r="P72" s="1585"/>
      <c r="Q72" s="1151" t="s">
        <v>35</v>
      </c>
      <c r="R72" s="1152"/>
      <c r="S72" s="1152"/>
      <c r="T72" s="1153"/>
      <c r="U72" s="1586" t="s">
        <v>41</v>
      </c>
      <c r="V72" s="1586"/>
      <c r="W72" s="1177"/>
      <c r="X72" s="1148" t="s">
        <v>5404</v>
      </c>
      <c r="Y72" s="1587"/>
      <c r="Z72" s="1587"/>
      <c r="AA72" s="1587"/>
      <c r="AB72" s="1587"/>
      <c r="AC72" s="1587"/>
      <c r="AD72" s="1587"/>
      <c r="AE72" s="1587"/>
      <c r="AF72" s="1588"/>
    </row>
    <row r="73" spans="1:32" ht="45" customHeight="1" x14ac:dyDescent="0.3">
      <c r="A73" s="856" t="s">
        <v>5411</v>
      </c>
      <c r="B73" s="1585"/>
      <c r="C73" s="1585"/>
      <c r="D73" s="1585"/>
      <c r="E73" s="1585"/>
      <c r="F73" s="856" t="s">
        <v>5412</v>
      </c>
      <c r="G73" s="1585"/>
      <c r="H73" s="1585"/>
      <c r="I73" s="1585"/>
      <c r="J73" s="1585"/>
      <c r="K73" s="1585"/>
      <c r="L73" s="1585"/>
      <c r="M73" s="1585"/>
      <c r="N73" s="1585"/>
      <c r="O73" s="1585"/>
      <c r="P73" s="1585"/>
      <c r="Q73" s="1151" t="s">
        <v>35</v>
      </c>
      <c r="R73" s="1152"/>
      <c r="S73" s="1152"/>
      <c r="T73" s="1153"/>
      <c r="U73" s="1586" t="s">
        <v>41</v>
      </c>
      <c r="V73" s="1586"/>
      <c r="W73" s="1177"/>
      <c r="X73" s="1148" t="s">
        <v>5404</v>
      </c>
      <c r="Y73" s="1587"/>
      <c r="Z73" s="1587"/>
      <c r="AA73" s="1587"/>
      <c r="AB73" s="1587"/>
      <c r="AC73" s="1587"/>
      <c r="AD73" s="1587"/>
      <c r="AE73" s="1587"/>
      <c r="AF73" s="1588"/>
    </row>
    <row r="74" spans="1:32" ht="45" customHeight="1" x14ac:dyDescent="0.3">
      <c r="A74" s="1589" t="s">
        <v>5550</v>
      </c>
      <c r="B74" s="1589"/>
      <c r="C74" s="1589"/>
      <c r="D74" s="1589"/>
      <c r="E74" s="1589"/>
      <c r="F74" s="856" t="s">
        <v>5413</v>
      </c>
      <c r="G74" s="1585"/>
      <c r="H74" s="1585"/>
      <c r="I74" s="1585"/>
      <c r="J74" s="1585"/>
      <c r="K74" s="1585"/>
      <c r="L74" s="1585"/>
      <c r="M74" s="1585"/>
      <c r="N74" s="1585"/>
      <c r="O74" s="1585"/>
      <c r="P74" s="1585"/>
      <c r="Q74" s="1151" t="s">
        <v>35</v>
      </c>
      <c r="R74" s="1152"/>
      <c r="S74" s="1152"/>
      <c r="T74" s="1153"/>
      <c r="U74" s="1586" t="s">
        <v>41</v>
      </c>
      <c r="V74" s="1586"/>
      <c r="W74" s="1177"/>
      <c r="X74" s="1148" t="s">
        <v>5404</v>
      </c>
      <c r="Y74" s="1587"/>
      <c r="Z74" s="1587"/>
      <c r="AA74" s="1587"/>
      <c r="AB74" s="1587"/>
      <c r="AC74" s="1587"/>
      <c r="AD74" s="1587"/>
      <c r="AE74" s="1587"/>
      <c r="AF74" s="1588"/>
    </row>
    <row r="75" spans="1:32" ht="45" customHeight="1" x14ac:dyDescent="0.3">
      <c r="A75" s="856" t="s">
        <v>5414</v>
      </c>
      <c r="B75" s="1585"/>
      <c r="C75" s="1585"/>
      <c r="D75" s="1585"/>
      <c r="E75" s="1585"/>
      <c r="F75" s="856" t="s">
        <v>5415</v>
      </c>
      <c r="G75" s="1585"/>
      <c r="H75" s="1585"/>
      <c r="I75" s="1585"/>
      <c r="J75" s="1585"/>
      <c r="K75" s="1585"/>
      <c r="L75" s="1585"/>
      <c r="M75" s="1585"/>
      <c r="N75" s="1585"/>
      <c r="O75" s="1585"/>
      <c r="P75" s="1585"/>
      <c r="Q75" s="1151" t="s">
        <v>35</v>
      </c>
      <c r="R75" s="1152"/>
      <c r="S75" s="1152"/>
      <c r="T75" s="1153"/>
      <c r="U75" s="1586" t="s">
        <v>41</v>
      </c>
      <c r="V75" s="1586"/>
      <c r="W75" s="1177"/>
      <c r="X75" s="1148" t="s">
        <v>5404</v>
      </c>
      <c r="Y75" s="1587"/>
      <c r="Z75" s="1587"/>
      <c r="AA75" s="1587"/>
      <c r="AB75" s="1587"/>
      <c r="AC75" s="1587"/>
      <c r="AD75" s="1587"/>
      <c r="AE75" s="1587"/>
      <c r="AF75" s="1588"/>
    </row>
    <row r="76" spans="1:32" ht="45" customHeight="1" x14ac:dyDescent="0.3">
      <c r="A76" s="856" t="s">
        <v>5416</v>
      </c>
      <c r="B76" s="1585"/>
      <c r="C76" s="1585"/>
      <c r="D76" s="1585"/>
      <c r="E76" s="1585"/>
      <c r="F76" s="856" t="s">
        <v>5417</v>
      </c>
      <c r="G76" s="1585"/>
      <c r="H76" s="1585"/>
      <c r="I76" s="1585"/>
      <c r="J76" s="1585"/>
      <c r="K76" s="1585"/>
      <c r="L76" s="1585"/>
      <c r="M76" s="1585"/>
      <c r="N76" s="1585"/>
      <c r="O76" s="1585"/>
      <c r="P76" s="1585"/>
      <c r="Q76" s="1151" t="s">
        <v>35</v>
      </c>
      <c r="R76" s="1152"/>
      <c r="S76" s="1152"/>
      <c r="T76" s="1153"/>
      <c r="U76" s="1586" t="s">
        <v>41</v>
      </c>
      <c r="V76" s="1586"/>
      <c r="W76" s="1177"/>
      <c r="X76" s="1148" t="s">
        <v>5404</v>
      </c>
      <c r="Y76" s="1587"/>
      <c r="Z76" s="1587"/>
      <c r="AA76" s="1587"/>
      <c r="AB76" s="1587"/>
      <c r="AC76" s="1587"/>
      <c r="AD76" s="1587"/>
      <c r="AE76" s="1587"/>
      <c r="AF76" s="1588"/>
    </row>
    <row r="77" spans="1:32" ht="45" customHeight="1" x14ac:dyDescent="0.3">
      <c r="A77" s="856" t="s">
        <v>5418</v>
      </c>
      <c r="B77" s="1585"/>
      <c r="C77" s="1585"/>
      <c r="D77" s="1585"/>
      <c r="E77" s="1585"/>
      <c r="F77" s="856" t="s">
        <v>5419</v>
      </c>
      <c r="G77" s="1585"/>
      <c r="H77" s="1585"/>
      <c r="I77" s="1585"/>
      <c r="J77" s="1585"/>
      <c r="K77" s="1585"/>
      <c r="L77" s="1585"/>
      <c r="M77" s="1585"/>
      <c r="N77" s="1585"/>
      <c r="O77" s="1585"/>
      <c r="P77" s="1585"/>
      <c r="Q77" s="1151" t="s">
        <v>304</v>
      </c>
      <c r="R77" s="1580"/>
      <c r="S77" s="1580"/>
      <c r="T77" s="1581"/>
      <c r="U77" s="1586" t="s">
        <v>5420</v>
      </c>
      <c r="V77" s="1586"/>
      <c r="W77" s="1177"/>
      <c r="X77" s="1148" t="s">
        <v>5404</v>
      </c>
      <c r="Y77" s="1587"/>
      <c r="Z77" s="1587"/>
      <c r="AA77" s="1587"/>
      <c r="AB77" s="1587"/>
      <c r="AC77" s="1587"/>
      <c r="AD77" s="1587"/>
      <c r="AE77" s="1587"/>
      <c r="AF77" s="1588"/>
    </row>
    <row r="78" spans="1:32" ht="45" customHeight="1" x14ac:dyDescent="0.3">
      <c r="A78" s="1589" t="s">
        <v>5551</v>
      </c>
      <c r="B78" s="1589"/>
      <c r="C78" s="1589"/>
      <c r="D78" s="1589"/>
      <c r="E78" s="1589"/>
      <c r="F78" s="856" t="s">
        <v>5421</v>
      </c>
      <c r="G78" s="1585"/>
      <c r="H78" s="1585"/>
      <c r="I78" s="1585"/>
      <c r="J78" s="1585"/>
      <c r="K78" s="1585"/>
      <c r="L78" s="1585"/>
      <c r="M78" s="1585"/>
      <c r="N78" s="1585"/>
      <c r="O78" s="1585"/>
      <c r="P78" s="1585"/>
      <c r="Q78" s="1151" t="s">
        <v>304</v>
      </c>
      <c r="R78" s="1580"/>
      <c r="S78" s="1580"/>
      <c r="T78" s="1581"/>
      <c r="U78" s="1586" t="s">
        <v>5420</v>
      </c>
      <c r="V78" s="1586"/>
      <c r="W78" s="1177"/>
      <c r="X78" s="1148" t="s">
        <v>5404</v>
      </c>
      <c r="Y78" s="1587"/>
      <c r="Z78" s="1587"/>
      <c r="AA78" s="1587"/>
      <c r="AB78" s="1587"/>
      <c r="AC78" s="1587"/>
      <c r="AD78" s="1587"/>
      <c r="AE78" s="1587"/>
      <c r="AF78" s="1588"/>
    </row>
    <row r="79" spans="1:32" ht="80.25" customHeight="1" x14ac:dyDescent="0.3">
      <c r="A79" s="856" t="s">
        <v>5422</v>
      </c>
      <c r="B79" s="1585"/>
      <c r="C79" s="1585"/>
      <c r="D79" s="1585"/>
      <c r="E79" s="1585"/>
      <c r="F79" s="1149" t="s">
        <v>5423</v>
      </c>
      <c r="G79" s="1587"/>
      <c r="H79" s="1587"/>
      <c r="I79" s="1587"/>
      <c r="J79" s="1587"/>
      <c r="K79" s="1587"/>
      <c r="L79" s="1587"/>
      <c r="M79" s="1587"/>
      <c r="N79" s="1587"/>
      <c r="O79" s="1587"/>
      <c r="P79" s="1588"/>
      <c r="Q79" s="1151" t="s">
        <v>4370</v>
      </c>
      <c r="R79" s="1580"/>
      <c r="S79" s="1580"/>
      <c r="T79" s="1581"/>
      <c r="U79" s="1586" t="s">
        <v>5554</v>
      </c>
      <c r="V79" s="1586"/>
      <c r="W79" s="1177"/>
      <c r="X79" s="1148" t="s">
        <v>5424</v>
      </c>
      <c r="Y79" s="1587"/>
      <c r="Z79" s="1587"/>
      <c r="AA79" s="1587"/>
      <c r="AB79" s="1587"/>
      <c r="AC79" s="1587"/>
      <c r="AD79" s="1587"/>
      <c r="AE79" s="1587"/>
      <c r="AF79" s="1588"/>
    </row>
    <row r="80" spans="1:32" ht="63" customHeight="1" x14ac:dyDescent="0.3">
      <c r="A80" s="856" t="s">
        <v>64</v>
      </c>
      <c r="B80" s="1585"/>
      <c r="C80" s="1585"/>
      <c r="D80" s="1585"/>
      <c r="E80" s="1585"/>
      <c r="F80" s="1149" t="s">
        <v>5425</v>
      </c>
      <c r="G80" s="1587"/>
      <c r="H80" s="1587"/>
      <c r="I80" s="1587"/>
      <c r="J80" s="1587"/>
      <c r="K80" s="1587"/>
      <c r="L80" s="1587"/>
      <c r="M80" s="1587"/>
      <c r="N80" s="1587"/>
      <c r="O80" s="1587"/>
      <c r="P80" s="1588"/>
      <c r="Q80" s="1403">
        <v>365</v>
      </c>
      <c r="R80" s="1590"/>
      <c r="S80" s="1590"/>
      <c r="T80" s="1591"/>
      <c r="U80" s="1586" t="s">
        <v>66</v>
      </c>
      <c r="V80" s="1586"/>
      <c r="W80" s="1177"/>
      <c r="X80" s="1148" t="s">
        <v>5426</v>
      </c>
      <c r="Y80" s="1587"/>
      <c r="Z80" s="1587"/>
      <c r="AA80" s="1587"/>
      <c r="AB80" s="1587"/>
      <c r="AC80" s="1587"/>
      <c r="AD80" s="1587"/>
      <c r="AE80" s="1587"/>
      <c r="AF80" s="1588"/>
    </row>
    <row r="81" spans="1:32" ht="111.75" customHeight="1" x14ac:dyDescent="0.3">
      <c r="A81" s="1592" t="s">
        <v>5427</v>
      </c>
      <c r="B81" s="1585"/>
      <c r="C81" s="1585"/>
      <c r="D81" s="1585"/>
      <c r="E81" s="1585"/>
      <c r="F81" s="1149" t="s">
        <v>5428</v>
      </c>
      <c r="G81" s="1587"/>
      <c r="H81" s="1587"/>
      <c r="I81" s="1587"/>
      <c r="J81" s="1587"/>
      <c r="K81" s="1587"/>
      <c r="L81" s="1587"/>
      <c r="M81" s="1587"/>
      <c r="N81" s="1587"/>
      <c r="O81" s="1587"/>
      <c r="P81" s="1588"/>
      <c r="Q81" s="1403">
        <v>65</v>
      </c>
      <c r="R81" s="1590"/>
      <c r="S81" s="1590"/>
      <c r="T81" s="1591"/>
      <c r="U81" s="1586" t="s">
        <v>5429</v>
      </c>
      <c r="V81" s="1586"/>
      <c r="W81" s="1177"/>
      <c r="X81" s="1148" t="s">
        <v>5430</v>
      </c>
      <c r="Y81" s="1587"/>
      <c r="Z81" s="1587"/>
      <c r="AA81" s="1587"/>
      <c r="AB81" s="1587"/>
      <c r="AC81" s="1587"/>
      <c r="AD81" s="1587"/>
      <c r="AE81" s="1587"/>
      <c r="AF81" s="1588"/>
    </row>
    <row r="82" spans="1:32" ht="45" customHeight="1" x14ac:dyDescent="0.3">
      <c r="A82" s="1592" t="s">
        <v>5431</v>
      </c>
      <c r="B82" s="1585"/>
      <c r="C82" s="1585"/>
      <c r="D82" s="1585"/>
      <c r="E82" s="1585"/>
      <c r="F82" s="1149" t="s">
        <v>5432</v>
      </c>
      <c r="G82" s="1587"/>
      <c r="H82" s="1587"/>
      <c r="I82" s="1587"/>
      <c r="J82" s="1587"/>
      <c r="K82" s="1587"/>
      <c r="L82" s="1587"/>
      <c r="M82" s="1587"/>
      <c r="N82" s="1587"/>
      <c r="O82" s="1587"/>
      <c r="P82" s="1588"/>
      <c r="Q82" s="1403">
        <v>40</v>
      </c>
      <c r="R82" s="1590"/>
      <c r="S82" s="1590"/>
      <c r="T82" s="1591"/>
      <c r="U82" s="1586" t="s">
        <v>5429</v>
      </c>
      <c r="V82" s="1586"/>
      <c r="W82" s="1177"/>
      <c r="X82" s="1148" t="s">
        <v>5404</v>
      </c>
      <c r="Y82" s="1587"/>
      <c r="Z82" s="1587"/>
      <c r="AA82" s="1587"/>
      <c r="AB82" s="1587"/>
      <c r="AC82" s="1587"/>
      <c r="AD82" s="1587"/>
      <c r="AE82" s="1587"/>
      <c r="AF82" s="1588"/>
    </row>
    <row r="83" spans="1:32" ht="45" customHeight="1" x14ac:dyDescent="0.3">
      <c r="A83" s="856" t="s">
        <v>5433</v>
      </c>
      <c r="B83" s="1585"/>
      <c r="C83" s="1585"/>
      <c r="D83" s="1585"/>
      <c r="E83" s="1585"/>
      <c r="F83" s="1149" t="s">
        <v>5434</v>
      </c>
      <c r="G83" s="1587"/>
      <c r="H83" s="1587"/>
      <c r="I83" s="1587"/>
      <c r="J83" s="1587"/>
      <c r="K83" s="1587"/>
      <c r="L83" s="1587"/>
      <c r="M83" s="1587"/>
      <c r="N83" s="1587"/>
      <c r="O83" s="1587"/>
      <c r="P83" s="1588"/>
      <c r="Q83" s="1151">
        <v>1</v>
      </c>
      <c r="R83" s="1580"/>
      <c r="S83" s="1580"/>
      <c r="T83" s="1581"/>
      <c r="U83" s="1586" t="s">
        <v>5435</v>
      </c>
      <c r="V83" s="1593"/>
      <c r="W83" s="1593"/>
      <c r="X83" s="1148" t="s">
        <v>5404</v>
      </c>
      <c r="Y83" s="1587"/>
      <c r="Z83" s="1587"/>
      <c r="AA83" s="1587"/>
      <c r="AB83" s="1587"/>
      <c r="AC83" s="1587"/>
      <c r="AD83" s="1587"/>
      <c r="AE83" s="1587"/>
      <c r="AF83" s="1588"/>
    </row>
    <row r="84" spans="1:32" ht="66.75" customHeight="1" x14ac:dyDescent="0.3">
      <c r="A84" s="1592" t="s">
        <v>1472</v>
      </c>
      <c r="B84" s="1585"/>
      <c r="C84" s="1585"/>
      <c r="D84" s="1585"/>
      <c r="E84" s="1585"/>
      <c r="F84" s="1149" t="s">
        <v>1473</v>
      </c>
      <c r="G84" s="1587"/>
      <c r="H84" s="1587"/>
      <c r="I84" s="1587"/>
      <c r="J84" s="1587"/>
      <c r="K84" s="1587"/>
      <c r="L84" s="1587"/>
      <c r="M84" s="1587"/>
      <c r="N84" s="1587"/>
      <c r="O84" s="1587"/>
      <c r="P84" s="1588"/>
      <c r="Q84" s="1151">
        <v>8.1999999999999993</v>
      </c>
      <c r="R84" s="1580"/>
      <c r="S84" s="1580"/>
      <c r="T84" s="1581"/>
      <c r="U84" s="1586" t="s">
        <v>5436</v>
      </c>
      <c r="V84" s="1586"/>
      <c r="W84" s="1177"/>
      <c r="X84" s="1148" t="s">
        <v>5437</v>
      </c>
      <c r="Y84" s="1587"/>
      <c r="Z84" s="1587"/>
      <c r="AA84" s="1587"/>
      <c r="AB84" s="1587"/>
      <c r="AC84" s="1587"/>
      <c r="AD84" s="1587"/>
      <c r="AE84" s="1587"/>
      <c r="AF84" s="1588"/>
    </row>
    <row r="85" spans="1:32" ht="76.5" customHeight="1" x14ac:dyDescent="0.3">
      <c r="A85" s="856" t="s">
        <v>5438</v>
      </c>
      <c r="B85" s="1585"/>
      <c r="C85" s="1585"/>
      <c r="D85" s="1585"/>
      <c r="E85" s="1585"/>
      <c r="F85" s="1149" t="s">
        <v>5439</v>
      </c>
      <c r="G85" s="1587"/>
      <c r="H85" s="1587"/>
      <c r="I85" s="1587"/>
      <c r="J85" s="1587"/>
      <c r="K85" s="1587"/>
      <c r="L85" s="1587"/>
      <c r="M85" s="1587"/>
      <c r="N85" s="1587"/>
      <c r="O85" s="1587"/>
      <c r="P85" s="1588"/>
      <c r="Q85" s="1403">
        <v>12</v>
      </c>
      <c r="R85" s="1590"/>
      <c r="S85" s="1590"/>
      <c r="T85" s="1591"/>
      <c r="U85" s="1586" t="s">
        <v>25</v>
      </c>
      <c r="V85" s="1586"/>
      <c r="W85" s="1177"/>
      <c r="X85" s="1148" t="s">
        <v>5424</v>
      </c>
      <c r="Y85" s="1587"/>
      <c r="Z85" s="1587"/>
      <c r="AA85" s="1587"/>
      <c r="AB85" s="1587"/>
      <c r="AC85" s="1587"/>
      <c r="AD85" s="1587"/>
      <c r="AE85" s="1587"/>
      <c r="AF85" s="1588"/>
    </row>
    <row r="86" spans="1:32" ht="45" customHeight="1" x14ac:dyDescent="0.3">
      <c r="A86" s="856" t="s">
        <v>5440</v>
      </c>
      <c r="B86" s="1585"/>
      <c r="C86" s="1585"/>
      <c r="D86" s="1585"/>
      <c r="E86" s="1585"/>
      <c r="F86" s="856" t="s">
        <v>5441</v>
      </c>
      <c r="G86" s="1585"/>
      <c r="H86" s="1585"/>
      <c r="I86" s="1585"/>
      <c r="J86" s="1585"/>
      <c r="K86" s="1585"/>
      <c r="L86" s="1585"/>
      <c r="M86" s="1585"/>
      <c r="N86" s="1585"/>
      <c r="O86" s="1585"/>
      <c r="P86" s="1585"/>
      <c r="Q86" s="1151" t="s">
        <v>5442</v>
      </c>
      <c r="R86" s="1152"/>
      <c r="S86" s="1152"/>
      <c r="T86" s="1153"/>
      <c r="U86" s="1586" t="s">
        <v>22</v>
      </c>
      <c r="V86" s="1586"/>
      <c r="W86" s="1177"/>
      <c r="X86" s="1148" t="s">
        <v>5404</v>
      </c>
      <c r="Y86" s="1587"/>
      <c r="Z86" s="1587"/>
      <c r="AA86" s="1587"/>
      <c r="AB86" s="1587"/>
      <c r="AC86" s="1587"/>
      <c r="AD86" s="1587"/>
      <c r="AE86" s="1587"/>
      <c r="AF86" s="1588"/>
    </row>
    <row r="87" spans="1:32" ht="45" customHeight="1" x14ac:dyDescent="0.3">
      <c r="A87" s="856" t="s">
        <v>5443</v>
      </c>
      <c r="B87" s="1585"/>
      <c r="C87" s="1585"/>
      <c r="D87" s="1585"/>
      <c r="E87" s="1585"/>
      <c r="F87" s="856" t="s">
        <v>5444</v>
      </c>
      <c r="G87" s="1585"/>
      <c r="H87" s="1585"/>
      <c r="I87" s="1585"/>
      <c r="J87" s="1585"/>
      <c r="K87" s="1585"/>
      <c r="L87" s="1585"/>
      <c r="M87" s="1585"/>
      <c r="N87" s="1585"/>
      <c r="O87" s="1585"/>
      <c r="P87" s="1585"/>
      <c r="Q87" s="1151" t="s">
        <v>5442</v>
      </c>
      <c r="R87" s="1152"/>
      <c r="S87" s="1152"/>
      <c r="T87" s="1153"/>
      <c r="U87" s="1586" t="s">
        <v>22</v>
      </c>
      <c r="V87" s="1586"/>
      <c r="W87" s="1177"/>
      <c r="X87" s="1148" t="s">
        <v>5404</v>
      </c>
      <c r="Y87" s="1587"/>
      <c r="Z87" s="1587"/>
      <c r="AA87" s="1587"/>
      <c r="AB87" s="1587"/>
      <c r="AC87" s="1587"/>
      <c r="AD87" s="1587"/>
      <c r="AE87" s="1587"/>
      <c r="AF87" s="1588"/>
    </row>
    <row r="88" spans="1:32" ht="45" customHeight="1" x14ac:dyDescent="0.3">
      <c r="A88" s="856" t="s">
        <v>3509</v>
      </c>
      <c r="B88" s="1585"/>
      <c r="C88" s="1585"/>
      <c r="D88" s="1585"/>
      <c r="E88" s="1585"/>
      <c r="F88" s="1149" t="s">
        <v>5445</v>
      </c>
      <c r="G88" s="1587"/>
      <c r="H88" s="1587"/>
      <c r="I88" s="1587"/>
      <c r="J88" s="1587"/>
      <c r="K88" s="1587"/>
      <c r="L88" s="1587"/>
      <c r="M88" s="1587"/>
      <c r="N88" s="1587"/>
      <c r="O88" s="1587"/>
      <c r="P88" s="1588"/>
      <c r="Q88" s="1403">
        <v>3412</v>
      </c>
      <c r="R88" s="1590"/>
      <c r="S88" s="1590"/>
      <c r="T88" s="1591"/>
      <c r="U88" s="1586" t="s">
        <v>5446</v>
      </c>
      <c r="V88" s="1586"/>
      <c r="W88" s="1177"/>
      <c r="X88" s="1148"/>
      <c r="Y88" s="1587"/>
      <c r="Z88" s="1587"/>
      <c r="AA88" s="1587"/>
      <c r="AB88" s="1587"/>
      <c r="AC88" s="1587"/>
      <c r="AD88" s="1587"/>
      <c r="AE88" s="1587"/>
      <c r="AF88" s="1588"/>
    </row>
    <row r="89" spans="1:32" ht="45" customHeight="1" x14ac:dyDescent="0.3">
      <c r="A89" s="856" t="s">
        <v>5447</v>
      </c>
      <c r="B89" s="1585"/>
      <c r="C89" s="1585"/>
      <c r="D89" s="1585"/>
      <c r="E89" s="1585"/>
      <c r="F89" s="856" t="s">
        <v>5448</v>
      </c>
      <c r="G89" s="1585"/>
      <c r="H89" s="1585"/>
      <c r="I89" s="1585"/>
      <c r="J89" s="1585"/>
      <c r="K89" s="1585"/>
      <c r="L89" s="1585"/>
      <c r="M89" s="1585"/>
      <c r="N89" s="1585"/>
      <c r="O89" s="1585"/>
      <c r="P89" s="1585"/>
      <c r="Q89" s="1151" t="s">
        <v>4982</v>
      </c>
      <c r="R89" s="1580"/>
      <c r="S89" s="1580"/>
      <c r="T89" s="1581"/>
      <c r="U89" s="1586" t="s">
        <v>18</v>
      </c>
      <c r="V89" s="1586"/>
      <c r="W89" s="1177"/>
      <c r="X89" s="1148" t="s">
        <v>5404</v>
      </c>
      <c r="Y89" s="1587"/>
      <c r="Z89" s="1587"/>
      <c r="AA89" s="1587"/>
      <c r="AB89" s="1587"/>
      <c r="AC89" s="1587"/>
      <c r="AD89" s="1587"/>
      <c r="AE89" s="1587"/>
      <c r="AF89" s="1588"/>
    </row>
    <row r="90" spans="1:32" ht="45" customHeight="1" x14ac:dyDescent="0.3">
      <c r="A90" s="1589" t="s">
        <v>5549</v>
      </c>
      <c r="B90" s="1589"/>
      <c r="C90" s="1589"/>
      <c r="D90" s="1589"/>
      <c r="E90" s="1589"/>
      <c r="F90" s="856" t="s">
        <v>5449</v>
      </c>
      <c r="G90" s="1585"/>
      <c r="H90" s="1585"/>
      <c r="I90" s="1585"/>
      <c r="J90" s="1585"/>
      <c r="K90" s="1585"/>
      <c r="L90" s="1585"/>
      <c r="M90" s="1585"/>
      <c r="N90" s="1585"/>
      <c r="O90" s="1585"/>
      <c r="P90" s="1585"/>
      <c r="Q90" s="1151" t="s">
        <v>4982</v>
      </c>
      <c r="R90" s="1580"/>
      <c r="S90" s="1580"/>
      <c r="T90" s="1581"/>
      <c r="U90" s="1586" t="s">
        <v>18</v>
      </c>
      <c r="V90" s="1586"/>
      <c r="W90" s="1177"/>
      <c r="X90" s="1148" t="s">
        <v>5404</v>
      </c>
      <c r="Y90" s="1587"/>
      <c r="Z90" s="1587"/>
      <c r="AA90" s="1587"/>
      <c r="AB90" s="1587"/>
      <c r="AC90" s="1587"/>
      <c r="AD90" s="1587"/>
      <c r="AE90" s="1587"/>
      <c r="AF90" s="1588"/>
    </row>
    <row r="91" spans="1:32" ht="45" customHeight="1" x14ac:dyDescent="0.3">
      <c r="A91" s="856" t="s">
        <v>5450</v>
      </c>
      <c r="B91" s="1585"/>
      <c r="C91" s="1585"/>
      <c r="D91" s="1585"/>
      <c r="E91" s="1585"/>
      <c r="F91" s="1149" t="s">
        <v>5451</v>
      </c>
      <c r="G91" s="1587"/>
      <c r="H91" s="1587"/>
      <c r="I91" s="1587"/>
      <c r="J91" s="1587"/>
      <c r="K91" s="1587"/>
      <c r="L91" s="1587"/>
      <c r="M91" s="1587"/>
      <c r="N91" s="1587"/>
      <c r="O91" s="1587"/>
      <c r="P91" s="1588"/>
      <c r="Q91" s="1403" t="s">
        <v>4985</v>
      </c>
      <c r="R91" s="1590"/>
      <c r="S91" s="1590"/>
      <c r="T91" s="1591"/>
      <c r="U91" s="1586" t="s">
        <v>5452</v>
      </c>
      <c r="V91" s="1586"/>
      <c r="W91" s="1177"/>
      <c r="X91" s="1148" t="s">
        <v>5404</v>
      </c>
      <c r="Y91" s="1587"/>
      <c r="Z91" s="1587"/>
      <c r="AA91" s="1587"/>
      <c r="AB91" s="1587"/>
      <c r="AC91" s="1587"/>
      <c r="AD91" s="1587"/>
      <c r="AE91" s="1587"/>
      <c r="AF91" s="1588"/>
    </row>
    <row r="92" spans="1:32" ht="45" customHeight="1" x14ac:dyDescent="0.3">
      <c r="A92" s="1589" t="s">
        <v>5552</v>
      </c>
      <c r="B92" s="1589"/>
      <c r="C92" s="1589"/>
      <c r="D92" s="1589"/>
      <c r="E92" s="1589"/>
      <c r="F92" s="1149" t="s">
        <v>5453</v>
      </c>
      <c r="G92" s="1587"/>
      <c r="H92" s="1587"/>
      <c r="I92" s="1587"/>
      <c r="J92" s="1587"/>
      <c r="K92" s="1587"/>
      <c r="L92" s="1587"/>
      <c r="M92" s="1587"/>
      <c r="N92" s="1587"/>
      <c r="O92" s="1587"/>
      <c r="P92" s="1588"/>
      <c r="Q92" s="1403" t="s">
        <v>4985</v>
      </c>
      <c r="R92" s="1590"/>
      <c r="S92" s="1590"/>
      <c r="T92" s="1591"/>
      <c r="U92" s="1586" t="s">
        <v>5452</v>
      </c>
      <c r="V92" s="1586"/>
      <c r="W92" s="1177"/>
      <c r="X92" s="1148" t="s">
        <v>5404</v>
      </c>
      <c r="Y92" s="1587"/>
      <c r="Z92" s="1587"/>
      <c r="AA92" s="1587"/>
      <c r="AB92" s="1587"/>
      <c r="AC92" s="1587"/>
      <c r="AD92" s="1587"/>
      <c r="AE92" s="1587"/>
      <c r="AF92" s="1588"/>
    </row>
    <row r="93" spans="1:32" ht="45" customHeight="1" x14ac:dyDescent="0.3">
      <c r="A93" s="856" t="s">
        <v>5454</v>
      </c>
      <c r="B93" s="1585"/>
      <c r="C93" s="1585"/>
      <c r="D93" s="1585"/>
      <c r="E93" s="1585"/>
      <c r="F93" s="1149" t="s">
        <v>5455</v>
      </c>
      <c r="G93" s="1587"/>
      <c r="H93" s="1587"/>
      <c r="I93" s="1587"/>
      <c r="J93" s="1587"/>
      <c r="K93" s="1587"/>
      <c r="L93" s="1587"/>
      <c r="M93" s="1587"/>
      <c r="N93" s="1587"/>
      <c r="O93" s="1587"/>
      <c r="P93" s="1588"/>
      <c r="Q93" s="1403">
        <v>4380</v>
      </c>
      <c r="R93" s="1590"/>
      <c r="S93" s="1590"/>
      <c r="T93" s="1591"/>
      <c r="U93" s="1586" t="s">
        <v>25</v>
      </c>
      <c r="V93" s="1586"/>
      <c r="W93" s="1177"/>
      <c r="X93" s="1148" t="s">
        <v>5456</v>
      </c>
      <c r="Y93" s="1587"/>
      <c r="Z93" s="1587"/>
      <c r="AA93" s="1587"/>
      <c r="AB93" s="1587"/>
      <c r="AC93" s="1587"/>
      <c r="AD93" s="1587"/>
      <c r="AE93" s="1587"/>
      <c r="AF93" s="1588"/>
    </row>
    <row r="94" spans="1:32" ht="120" customHeight="1" x14ac:dyDescent="0.3">
      <c r="A94" s="856" t="s">
        <v>21</v>
      </c>
      <c r="B94" s="1585"/>
      <c r="C94" s="1585"/>
      <c r="D94" s="1585"/>
      <c r="E94" s="1585"/>
      <c r="F94" s="1149" t="s">
        <v>96</v>
      </c>
      <c r="G94" s="1587"/>
      <c r="H94" s="1587"/>
      <c r="I94" s="1587"/>
      <c r="J94" s="1587"/>
      <c r="K94" s="1587"/>
      <c r="L94" s="1587"/>
      <c r="M94" s="1587"/>
      <c r="N94" s="1587"/>
      <c r="O94" s="1587"/>
      <c r="P94" s="1588"/>
      <c r="Q94" s="1243">
        <v>0.74</v>
      </c>
      <c r="R94" s="1244"/>
      <c r="S94" s="1244"/>
      <c r="T94" s="1245"/>
      <c r="U94" s="1586"/>
      <c r="V94" s="1586"/>
      <c r="W94" s="1177"/>
      <c r="X94" s="1148" t="s">
        <v>5553</v>
      </c>
      <c r="Y94" s="1587"/>
      <c r="Z94" s="1587"/>
      <c r="AA94" s="1587"/>
      <c r="AB94" s="1587"/>
      <c r="AC94" s="1587"/>
      <c r="AD94" s="1587"/>
      <c r="AE94" s="1587"/>
      <c r="AF94" s="1588"/>
    </row>
    <row r="95" spans="1:32" ht="60.75" customHeight="1" x14ac:dyDescent="0.3">
      <c r="A95" s="856" t="s">
        <v>2562</v>
      </c>
      <c r="B95" s="1585"/>
      <c r="C95" s="1585"/>
      <c r="D95" s="1585"/>
      <c r="E95" s="1585"/>
      <c r="F95" s="1149" t="s">
        <v>2050</v>
      </c>
      <c r="G95" s="1587"/>
      <c r="H95" s="1587"/>
      <c r="I95" s="1587"/>
      <c r="J95" s="1587"/>
      <c r="K95" s="1587"/>
      <c r="L95" s="1587"/>
      <c r="M95" s="1587"/>
      <c r="N95" s="1587"/>
      <c r="O95" s="1587"/>
      <c r="P95" s="1588"/>
      <c r="Q95" s="1243" t="s">
        <v>1599</v>
      </c>
      <c r="R95" s="1244"/>
      <c r="S95" s="1244"/>
      <c r="T95" s="1245"/>
      <c r="U95" s="1586" t="s">
        <v>28</v>
      </c>
      <c r="V95" s="1586"/>
      <c r="W95" s="1177"/>
      <c r="X95" s="1148" t="s">
        <v>5457</v>
      </c>
      <c r="Y95" s="1587"/>
      <c r="Z95" s="1587"/>
      <c r="AA95" s="1587"/>
      <c r="AB95" s="1587"/>
      <c r="AC95" s="1587"/>
      <c r="AD95" s="1587"/>
      <c r="AE95" s="1587"/>
      <c r="AF95" s="1588"/>
    </row>
    <row r="97" spans="1:27" x14ac:dyDescent="0.3">
      <c r="A97" s="187" t="s">
        <v>5458</v>
      </c>
    </row>
    <row r="98" spans="1:27" ht="30.75" customHeight="1" x14ac:dyDescent="0.3">
      <c r="A98" s="1019" t="s">
        <v>5459</v>
      </c>
      <c r="B98" s="1177"/>
      <c r="C98" s="1177"/>
      <c r="D98" s="1177"/>
      <c r="E98" s="1177"/>
      <c r="F98" s="1177"/>
      <c r="G98" s="1177"/>
      <c r="H98" s="1177"/>
      <c r="I98" s="1177"/>
      <c r="J98" s="1177"/>
      <c r="K98" s="1177"/>
      <c r="L98" s="1177"/>
      <c r="M98" s="1177"/>
      <c r="N98" s="1177"/>
      <c r="O98" s="1177"/>
      <c r="P98" s="1177"/>
      <c r="Q98" s="1177"/>
      <c r="R98" s="1019" t="s">
        <v>5460</v>
      </c>
      <c r="S98" s="1593"/>
      <c r="T98" s="1593"/>
      <c r="U98" s="1177"/>
      <c r="V98" s="1177"/>
      <c r="W98" s="1019" t="s">
        <v>5461</v>
      </c>
      <c r="X98" s="1593"/>
      <c r="Y98" s="1593"/>
      <c r="Z98" s="1177"/>
      <c r="AA98" s="1177"/>
    </row>
    <row r="99" spans="1:27" x14ac:dyDescent="0.3">
      <c r="A99" s="1019" t="s">
        <v>5462</v>
      </c>
      <c r="B99" s="1593"/>
      <c r="C99" s="1593"/>
      <c r="D99" s="1593"/>
      <c r="E99" s="1593"/>
      <c r="F99" s="1585" t="s">
        <v>5463</v>
      </c>
      <c r="G99" s="1585"/>
      <c r="H99" s="1585"/>
      <c r="I99" s="1585"/>
      <c r="J99" s="1585"/>
      <c r="K99" s="1585"/>
      <c r="L99" s="1585"/>
      <c r="M99" s="1585"/>
      <c r="N99" s="1585"/>
      <c r="O99" s="1585"/>
      <c r="P99" s="1585"/>
      <c r="Q99" s="1585"/>
      <c r="R99" s="1178">
        <v>1.73</v>
      </c>
      <c r="S99" s="1178"/>
      <c r="T99" s="1178"/>
      <c r="U99" s="1594"/>
      <c r="V99" s="1594"/>
      <c r="W99" s="1178">
        <v>1.19</v>
      </c>
      <c r="X99" s="1178"/>
      <c r="Y99" s="1178"/>
      <c r="Z99" s="1594"/>
      <c r="AA99" s="1594"/>
    </row>
    <row r="100" spans="1:27" x14ac:dyDescent="0.3">
      <c r="A100" s="1593"/>
      <c r="B100" s="1593"/>
      <c r="C100" s="1593"/>
      <c r="D100" s="1593"/>
      <c r="E100" s="1593"/>
      <c r="F100" s="1585" t="s">
        <v>5464</v>
      </c>
      <c r="G100" s="1585"/>
      <c r="H100" s="1585"/>
      <c r="I100" s="1585"/>
      <c r="J100" s="1585"/>
      <c r="K100" s="1585"/>
      <c r="L100" s="1585"/>
      <c r="M100" s="1585"/>
      <c r="N100" s="1585"/>
      <c r="O100" s="1585"/>
      <c r="P100" s="1585"/>
      <c r="Q100" s="1585"/>
      <c r="R100" s="1178">
        <v>2.1</v>
      </c>
      <c r="S100" s="1178"/>
      <c r="T100" s="1178"/>
      <c r="U100" s="1594"/>
      <c r="V100" s="1594"/>
      <c r="W100" s="1178">
        <v>1.18</v>
      </c>
      <c r="X100" s="1178"/>
      <c r="Y100" s="1178"/>
      <c r="Z100" s="1594"/>
      <c r="AA100" s="1594"/>
    </row>
    <row r="101" spans="1:27" x14ac:dyDescent="0.3">
      <c r="A101" s="1593"/>
      <c r="B101" s="1593"/>
      <c r="C101" s="1593"/>
      <c r="D101" s="1593"/>
      <c r="E101" s="1593"/>
      <c r="F101" s="1585" t="s">
        <v>5465</v>
      </c>
      <c r="G101" s="1585"/>
      <c r="H101" s="1585"/>
      <c r="I101" s="1585"/>
      <c r="J101" s="1585"/>
      <c r="K101" s="1585"/>
      <c r="L101" s="1585"/>
      <c r="M101" s="1585"/>
      <c r="N101" s="1585"/>
      <c r="O101" s="1585"/>
      <c r="P101" s="1585"/>
      <c r="Q101" s="1585"/>
      <c r="R101" s="1178">
        <v>1.31</v>
      </c>
      <c r="S101" s="1178"/>
      <c r="T101" s="1178"/>
      <c r="U101" s="1594"/>
      <c r="V101" s="1594"/>
      <c r="W101" s="1178">
        <v>0.79</v>
      </c>
      <c r="X101" s="1178"/>
      <c r="Y101" s="1178"/>
      <c r="Z101" s="1594"/>
      <c r="AA101" s="1594"/>
    </row>
    <row r="102" spans="1:27" x14ac:dyDescent="0.3">
      <c r="A102" s="1593"/>
      <c r="B102" s="1593"/>
      <c r="C102" s="1593"/>
      <c r="D102" s="1593"/>
      <c r="E102" s="1593"/>
      <c r="F102" s="1585" t="s">
        <v>5466</v>
      </c>
      <c r="G102" s="1585"/>
      <c r="H102" s="1585"/>
      <c r="I102" s="1585"/>
      <c r="J102" s="1585"/>
      <c r="K102" s="1585"/>
      <c r="L102" s="1585"/>
      <c r="M102" s="1585"/>
      <c r="N102" s="1585"/>
      <c r="O102" s="1585"/>
      <c r="P102" s="1585"/>
      <c r="Q102" s="1585"/>
      <c r="R102" s="1178">
        <v>1.04</v>
      </c>
      <c r="S102" s="1178"/>
      <c r="T102" s="1178"/>
      <c r="U102" s="1594"/>
      <c r="V102" s="1594"/>
      <c r="W102" s="1178">
        <v>0.54</v>
      </c>
      <c r="X102" s="1178"/>
      <c r="Y102" s="1178"/>
      <c r="Z102" s="1594"/>
      <c r="AA102" s="1594"/>
    </row>
    <row r="103" spans="1:27" x14ac:dyDescent="0.3">
      <c r="A103" s="1019" t="s">
        <v>5467</v>
      </c>
      <c r="B103" s="1593"/>
      <c r="C103" s="1593"/>
      <c r="D103" s="1593"/>
      <c r="E103" s="1593"/>
      <c r="F103" s="1585" t="s">
        <v>5463</v>
      </c>
      <c r="G103" s="1585"/>
      <c r="H103" s="1585"/>
      <c r="I103" s="1585"/>
      <c r="J103" s="1585"/>
      <c r="K103" s="1585"/>
      <c r="L103" s="1585"/>
      <c r="M103" s="1585"/>
      <c r="N103" s="1585"/>
      <c r="O103" s="1585"/>
      <c r="P103" s="1585"/>
      <c r="Q103" s="1585"/>
      <c r="R103" s="1178">
        <v>1.0900000000000001</v>
      </c>
      <c r="S103" s="1178"/>
      <c r="T103" s="1178"/>
      <c r="U103" s="1594"/>
      <c r="V103" s="1594"/>
      <c r="W103" s="1178">
        <v>0.86</v>
      </c>
      <c r="X103" s="1178"/>
      <c r="Y103" s="1178"/>
      <c r="Z103" s="1594"/>
      <c r="AA103" s="1594"/>
    </row>
    <row r="104" spans="1:27" x14ac:dyDescent="0.3">
      <c r="A104" s="1593"/>
      <c r="B104" s="1593"/>
      <c r="C104" s="1593"/>
      <c r="D104" s="1593"/>
      <c r="E104" s="1593"/>
      <c r="F104" s="1585" t="s">
        <v>5464</v>
      </c>
      <c r="G104" s="1585"/>
      <c r="H104" s="1585"/>
      <c r="I104" s="1585"/>
      <c r="J104" s="1585"/>
      <c r="K104" s="1585"/>
      <c r="L104" s="1585"/>
      <c r="M104" s="1585"/>
      <c r="N104" s="1585"/>
      <c r="O104" s="1585"/>
      <c r="P104" s="1585"/>
      <c r="Q104" s="1585"/>
      <c r="R104" s="1178">
        <v>1.29</v>
      </c>
      <c r="S104" s="1178"/>
      <c r="T104" s="1178"/>
      <c r="U104" s="1594"/>
      <c r="V104" s="1594"/>
      <c r="W104" s="1178">
        <v>0.89</v>
      </c>
      <c r="X104" s="1178"/>
      <c r="Y104" s="1178"/>
      <c r="Z104" s="1594"/>
      <c r="AA104" s="1594"/>
    </row>
    <row r="105" spans="1:27" x14ac:dyDescent="0.3">
      <c r="A105" s="1593"/>
      <c r="B105" s="1593"/>
      <c r="C105" s="1593"/>
      <c r="D105" s="1593"/>
      <c r="E105" s="1593"/>
      <c r="F105" s="1585" t="s">
        <v>5465</v>
      </c>
      <c r="G105" s="1585"/>
      <c r="H105" s="1585"/>
      <c r="I105" s="1585"/>
      <c r="J105" s="1585"/>
      <c r="K105" s="1585"/>
      <c r="L105" s="1585"/>
      <c r="M105" s="1585"/>
      <c r="N105" s="1585"/>
      <c r="O105" s="1585"/>
      <c r="P105" s="1585"/>
      <c r="Q105" s="1585"/>
      <c r="R105" s="1178">
        <v>0.87</v>
      </c>
      <c r="S105" s="1178"/>
      <c r="T105" s="1178"/>
      <c r="U105" s="1594"/>
      <c r="V105" s="1594"/>
      <c r="W105" s="1178">
        <v>0.7</v>
      </c>
      <c r="X105" s="1178"/>
      <c r="Y105" s="1178"/>
      <c r="Z105" s="1594"/>
      <c r="AA105" s="1594"/>
    </row>
    <row r="106" spans="1:27" x14ac:dyDescent="0.3">
      <c r="A106" s="1593"/>
      <c r="B106" s="1593"/>
      <c r="C106" s="1593"/>
      <c r="D106" s="1593"/>
      <c r="E106" s="1593"/>
      <c r="F106" s="1585" t="s">
        <v>5466</v>
      </c>
      <c r="G106" s="1585"/>
      <c r="H106" s="1585"/>
      <c r="I106" s="1585"/>
      <c r="J106" s="1585"/>
      <c r="K106" s="1585"/>
      <c r="L106" s="1585"/>
      <c r="M106" s="1585"/>
      <c r="N106" s="1585"/>
      <c r="O106" s="1585"/>
      <c r="P106" s="1585"/>
      <c r="Q106" s="1585"/>
      <c r="R106" s="1178">
        <v>0.97</v>
      </c>
      <c r="S106" s="1178"/>
      <c r="T106" s="1178"/>
      <c r="U106" s="1594"/>
      <c r="V106" s="1594"/>
      <c r="W106" s="1178">
        <v>0.54</v>
      </c>
      <c r="X106" s="1178"/>
      <c r="Y106" s="1178"/>
      <c r="Z106" s="1594"/>
      <c r="AA106" s="1594"/>
    </row>
    <row r="107" spans="1:27" x14ac:dyDescent="0.3">
      <c r="A107" s="1593"/>
      <c r="B107" s="1593"/>
      <c r="C107" s="1593"/>
      <c r="D107" s="1593"/>
      <c r="E107" s="1593"/>
      <c r="F107" s="1585" t="s">
        <v>5468</v>
      </c>
      <c r="G107" s="1585"/>
      <c r="H107" s="1585"/>
      <c r="I107" s="1585"/>
      <c r="J107" s="1585"/>
      <c r="K107" s="1585"/>
      <c r="L107" s="1585"/>
      <c r="M107" s="1585"/>
      <c r="N107" s="1585"/>
      <c r="O107" s="1585"/>
      <c r="P107" s="1585"/>
      <c r="Q107" s="1585"/>
      <c r="R107" s="1178">
        <v>0.7</v>
      </c>
      <c r="S107" s="1178"/>
      <c r="T107" s="1178"/>
      <c r="U107" s="1594"/>
      <c r="V107" s="1594"/>
      <c r="W107" s="1178">
        <v>0.57999999999999996</v>
      </c>
      <c r="X107" s="1178"/>
      <c r="Y107" s="1178"/>
      <c r="Z107" s="1594"/>
      <c r="AA107" s="1594"/>
    </row>
    <row r="109" spans="1:27" x14ac:dyDescent="0.3">
      <c r="A109" s="719" t="s">
        <v>5469</v>
      </c>
      <c r="B109" s="6"/>
      <c r="C109" s="6"/>
      <c r="D109" s="6"/>
      <c r="E109" s="6"/>
      <c r="F109" s="6"/>
      <c r="G109" s="6"/>
      <c r="H109" s="6"/>
      <c r="I109" s="6"/>
      <c r="J109" s="6"/>
      <c r="K109" s="6"/>
      <c r="L109" s="6"/>
      <c r="M109" s="6"/>
      <c r="N109" s="6"/>
      <c r="O109" s="6"/>
      <c r="P109" s="6"/>
      <c r="Q109" s="6"/>
      <c r="R109" s="6"/>
      <c r="S109" s="6"/>
      <c r="T109" s="6"/>
    </row>
    <row r="110" spans="1:27" x14ac:dyDescent="0.3">
      <c r="A110" s="1019" t="s">
        <v>5459</v>
      </c>
      <c r="B110" s="1177"/>
      <c r="C110" s="1177"/>
      <c r="D110" s="1177"/>
      <c r="E110" s="1177"/>
      <c r="F110" s="1177"/>
      <c r="G110" s="1177"/>
      <c r="H110" s="1177"/>
      <c r="I110" s="1177"/>
      <c r="J110" s="1177"/>
      <c r="K110" s="1177"/>
      <c r="L110" s="1177"/>
      <c r="M110" s="1177"/>
      <c r="N110" s="1177"/>
      <c r="O110" s="1177"/>
      <c r="P110" s="1177"/>
      <c r="Q110" s="1177"/>
      <c r="R110" s="1019" t="s">
        <v>5470</v>
      </c>
      <c r="S110" s="1593"/>
      <c r="T110" s="1593"/>
      <c r="U110" s="1177"/>
      <c r="V110" s="1177"/>
    </row>
    <row r="111" spans="1:27" x14ac:dyDescent="0.3">
      <c r="A111" s="1019" t="s">
        <v>5462</v>
      </c>
      <c r="B111" s="1593"/>
      <c r="C111" s="1593"/>
      <c r="D111" s="1593"/>
      <c r="E111" s="1593"/>
      <c r="F111" s="1585" t="s">
        <v>5463</v>
      </c>
      <c r="G111" s="1585"/>
      <c r="H111" s="1585"/>
      <c r="I111" s="1585"/>
      <c r="J111" s="1585"/>
      <c r="K111" s="1585"/>
      <c r="L111" s="1585"/>
      <c r="M111" s="1585"/>
      <c r="N111" s="1585"/>
      <c r="O111" s="1585"/>
      <c r="P111" s="1585"/>
      <c r="Q111" s="1585"/>
      <c r="R111" s="1593">
        <v>50</v>
      </c>
      <c r="S111" s="1593"/>
      <c r="T111" s="1593"/>
      <c r="U111" s="1177"/>
      <c r="V111" s="1177"/>
    </row>
    <row r="112" spans="1:27" x14ac:dyDescent="0.3">
      <c r="A112" s="1593"/>
      <c r="B112" s="1593"/>
      <c r="C112" s="1593"/>
      <c r="D112" s="1593"/>
      <c r="E112" s="1593"/>
      <c r="F112" s="1585" t="s">
        <v>5464</v>
      </c>
      <c r="G112" s="1585"/>
      <c r="H112" s="1585"/>
      <c r="I112" s="1585"/>
      <c r="J112" s="1585"/>
      <c r="K112" s="1585"/>
      <c r="L112" s="1585"/>
      <c r="M112" s="1585"/>
      <c r="N112" s="1585"/>
      <c r="O112" s="1585"/>
      <c r="P112" s="1585"/>
      <c r="Q112" s="1585"/>
      <c r="R112" s="1593">
        <v>141</v>
      </c>
      <c r="S112" s="1593"/>
      <c r="T112" s="1593"/>
      <c r="U112" s="1177"/>
      <c r="V112" s="1177"/>
    </row>
    <row r="113" spans="1:27" x14ac:dyDescent="0.3">
      <c r="A113" s="1593"/>
      <c r="B113" s="1593"/>
      <c r="C113" s="1593"/>
      <c r="D113" s="1593"/>
      <c r="E113" s="1593"/>
      <c r="F113" s="1585" t="s">
        <v>5465</v>
      </c>
      <c r="G113" s="1585"/>
      <c r="H113" s="1585"/>
      <c r="I113" s="1585"/>
      <c r="J113" s="1585"/>
      <c r="K113" s="1585"/>
      <c r="L113" s="1585"/>
      <c r="M113" s="1585"/>
      <c r="N113" s="1585"/>
      <c r="O113" s="1585"/>
      <c r="P113" s="1585"/>
      <c r="Q113" s="1585"/>
      <c r="R113" s="1593">
        <v>267</v>
      </c>
      <c r="S113" s="1593"/>
      <c r="T113" s="1593"/>
      <c r="U113" s="1177"/>
      <c r="V113" s="1177"/>
    </row>
    <row r="114" spans="1:27" x14ac:dyDescent="0.3">
      <c r="A114" s="1593"/>
      <c r="B114" s="1593"/>
      <c r="C114" s="1593"/>
      <c r="D114" s="1593"/>
      <c r="E114" s="1593"/>
      <c r="F114" s="1585" t="s">
        <v>5466</v>
      </c>
      <c r="G114" s="1585"/>
      <c r="H114" s="1585"/>
      <c r="I114" s="1585"/>
      <c r="J114" s="1585"/>
      <c r="K114" s="1585"/>
      <c r="L114" s="1585"/>
      <c r="M114" s="1585"/>
      <c r="N114" s="1585"/>
      <c r="O114" s="1585"/>
      <c r="P114" s="1585"/>
      <c r="Q114" s="1585"/>
      <c r="R114" s="1593">
        <v>400</v>
      </c>
      <c r="S114" s="1593"/>
      <c r="T114" s="1593"/>
      <c r="U114" s="1177"/>
      <c r="V114" s="1177"/>
    </row>
    <row r="115" spans="1:27" x14ac:dyDescent="0.3">
      <c r="A115" s="1019" t="s">
        <v>5467</v>
      </c>
      <c r="B115" s="1593"/>
      <c r="C115" s="1593"/>
      <c r="D115" s="1593"/>
      <c r="E115" s="1593"/>
      <c r="F115" s="1585" t="s">
        <v>5463</v>
      </c>
      <c r="G115" s="1585"/>
      <c r="H115" s="1585"/>
      <c r="I115" s="1585"/>
      <c r="J115" s="1585"/>
      <c r="K115" s="1585"/>
      <c r="L115" s="1585"/>
      <c r="M115" s="1585"/>
      <c r="N115" s="1585"/>
      <c r="O115" s="1585"/>
      <c r="P115" s="1585"/>
      <c r="Q115" s="1585"/>
      <c r="R115" s="1593">
        <v>50</v>
      </c>
      <c r="S115" s="1593"/>
      <c r="T115" s="1593"/>
      <c r="U115" s="1177"/>
      <c r="V115" s="1177"/>
    </row>
    <row r="116" spans="1:27" x14ac:dyDescent="0.3">
      <c r="A116" s="1593"/>
      <c r="B116" s="1593"/>
      <c r="C116" s="1593"/>
      <c r="D116" s="1593"/>
      <c r="E116" s="1593"/>
      <c r="F116" s="1585" t="s">
        <v>5464</v>
      </c>
      <c r="G116" s="1585"/>
      <c r="H116" s="1585"/>
      <c r="I116" s="1585"/>
      <c r="J116" s="1585"/>
      <c r="K116" s="1585"/>
      <c r="L116" s="1585"/>
      <c r="M116" s="1585"/>
      <c r="N116" s="1585"/>
      <c r="O116" s="1585"/>
      <c r="P116" s="1585"/>
      <c r="Q116" s="1585"/>
      <c r="R116" s="1593">
        <v>141</v>
      </c>
      <c r="S116" s="1593"/>
      <c r="T116" s="1593"/>
      <c r="U116" s="1177"/>
      <c r="V116" s="1177"/>
    </row>
    <row r="117" spans="1:27" x14ac:dyDescent="0.3">
      <c r="A117" s="1593"/>
      <c r="B117" s="1593"/>
      <c r="C117" s="1593"/>
      <c r="D117" s="1593"/>
      <c r="E117" s="1593"/>
      <c r="F117" s="1585" t="s">
        <v>5465</v>
      </c>
      <c r="G117" s="1585"/>
      <c r="H117" s="1585"/>
      <c r="I117" s="1585"/>
      <c r="J117" s="1585"/>
      <c r="K117" s="1585"/>
      <c r="L117" s="1585"/>
      <c r="M117" s="1585"/>
      <c r="N117" s="1585"/>
      <c r="O117" s="1585"/>
      <c r="P117" s="1585"/>
      <c r="Q117" s="1585"/>
      <c r="R117" s="1593">
        <v>267</v>
      </c>
      <c r="S117" s="1593"/>
      <c r="T117" s="1593"/>
      <c r="U117" s="1177"/>
      <c r="V117" s="1177"/>
    </row>
    <row r="118" spans="1:27" x14ac:dyDescent="0.3">
      <c r="A118" s="1593"/>
      <c r="B118" s="1593"/>
      <c r="C118" s="1593"/>
      <c r="D118" s="1593"/>
      <c r="E118" s="1593"/>
      <c r="F118" s="1585" t="s">
        <v>5466</v>
      </c>
      <c r="G118" s="1585"/>
      <c r="H118" s="1585"/>
      <c r="I118" s="1585"/>
      <c r="J118" s="1585"/>
      <c r="K118" s="1585"/>
      <c r="L118" s="1585"/>
      <c r="M118" s="1585"/>
      <c r="N118" s="1585"/>
      <c r="O118" s="1585"/>
      <c r="P118" s="1585"/>
      <c r="Q118" s="1585"/>
      <c r="R118" s="1593">
        <v>400</v>
      </c>
      <c r="S118" s="1593"/>
      <c r="T118" s="1593"/>
      <c r="U118" s="1177"/>
      <c r="V118" s="1177"/>
    </row>
    <row r="119" spans="1:27" x14ac:dyDescent="0.3">
      <c r="A119" s="1593"/>
      <c r="B119" s="1593"/>
      <c r="C119" s="1593"/>
      <c r="D119" s="1593"/>
      <c r="E119" s="1593"/>
      <c r="F119" s="1585" t="s">
        <v>5468</v>
      </c>
      <c r="G119" s="1585"/>
      <c r="H119" s="1585"/>
      <c r="I119" s="1585"/>
      <c r="J119" s="1585"/>
      <c r="K119" s="1585"/>
      <c r="L119" s="1585"/>
      <c r="M119" s="1585"/>
      <c r="N119" s="1585"/>
      <c r="O119" s="1585"/>
      <c r="P119" s="1585"/>
      <c r="Q119" s="1585"/>
      <c r="R119" s="1593">
        <v>187</v>
      </c>
      <c r="S119" s="1593"/>
      <c r="T119" s="1593"/>
      <c r="U119" s="1177"/>
      <c r="V119" s="1177"/>
    </row>
    <row r="120" spans="1:27" x14ac:dyDescent="0.3">
      <c r="A120" s="187"/>
      <c r="B120" s="4"/>
      <c r="C120" s="4"/>
      <c r="D120" s="4"/>
      <c r="E120" s="4"/>
      <c r="F120" s="4"/>
      <c r="G120" s="4"/>
      <c r="H120" s="4"/>
      <c r="I120" s="4"/>
      <c r="J120" s="4"/>
      <c r="K120" s="4"/>
      <c r="L120" s="4"/>
      <c r="M120" s="4"/>
      <c r="N120" s="4"/>
      <c r="O120" s="4"/>
    </row>
    <row r="121" spans="1:27" x14ac:dyDescent="0.3">
      <c r="A121" s="187" t="s">
        <v>5471</v>
      </c>
    </row>
    <row r="122" spans="1:27" ht="29.25" customHeight="1" x14ac:dyDescent="0.3">
      <c r="A122" s="1019" t="s">
        <v>5459</v>
      </c>
      <c r="B122" s="1177"/>
      <c r="C122" s="1177"/>
      <c r="D122" s="1177"/>
      <c r="E122" s="1177"/>
      <c r="F122" s="1177"/>
      <c r="G122" s="1177"/>
      <c r="H122" s="1177"/>
      <c r="I122" s="1177"/>
      <c r="J122" s="1177"/>
      <c r="K122" s="1177"/>
      <c r="L122" s="1177"/>
      <c r="M122" s="1177"/>
      <c r="N122" s="1177"/>
      <c r="O122" s="1177"/>
      <c r="P122" s="1177"/>
      <c r="Q122" s="1177"/>
      <c r="R122" s="1019" t="s">
        <v>5472</v>
      </c>
      <c r="S122" s="1593"/>
      <c r="T122" s="1593"/>
      <c r="U122" s="1177"/>
      <c r="V122" s="1177"/>
      <c r="W122" s="1019" t="s">
        <v>5473</v>
      </c>
      <c r="X122" s="1593"/>
      <c r="Y122" s="1593"/>
      <c r="Z122" s="1177"/>
      <c r="AA122" s="1177"/>
    </row>
    <row r="123" spans="1:27" x14ac:dyDescent="0.3">
      <c r="A123" s="1019" t="s">
        <v>5462</v>
      </c>
      <c r="B123" s="1593"/>
      <c r="C123" s="1593"/>
      <c r="D123" s="1593"/>
      <c r="E123" s="1593"/>
      <c r="F123" s="1585" t="s">
        <v>5463</v>
      </c>
      <c r="G123" s="1585"/>
      <c r="H123" s="1585"/>
      <c r="I123" s="1585"/>
      <c r="J123" s="1585"/>
      <c r="K123" s="1585"/>
      <c r="L123" s="1585"/>
      <c r="M123" s="1585"/>
      <c r="N123" s="1585"/>
      <c r="O123" s="1585"/>
      <c r="P123" s="1585"/>
      <c r="Q123" s="1585"/>
      <c r="R123" s="1178">
        <v>0.5</v>
      </c>
      <c r="S123" s="1178"/>
      <c r="T123" s="1178"/>
      <c r="U123" s="1594"/>
      <c r="V123" s="1594"/>
      <c r="W123" s="1178">
        <v>0.25</v>
      </c>
      <c r="X123" s="1178"/>
      <c r="Y123" s="1178"/>
      <c r="Z123" s="1594"/>
      <c r="AA123" s="1594"/>
    </row>
    <row r="124" spans="1:27" x14ac:dyDescent="0.3">
      <c r="A124" s="1593"/>
      <c r="B124" s="1593"/>
      <c r="C124" s="1593"/>
      <c r="D124" s="1593"/>
      <c r="E124" s="1593"/>
      <c r="F124" s="1585" t="s">
        <v>5464</v>
      </c>
      <c r="G124" s="1585"/>
      <c r="H124" s="1585"/>
      <c r="I124" s="1585"/>
      <c r="J124" s="1585"/>
      <c r="K124" s="1585"/>
      <c r="L124" s="1585"/>
      <c r="M124" s="1585"/>
      <c r="N124" s="1585"/>
      <c r="O124" s="1585"/>
      <c r="P124" s="1585"/>
      <c r="Q124" s="1585"/>
      <c r="R124" s="1178">
        <v>0.6</v>
      </c>
      <c r="S124" s="1178"/>
      <c r="T124" s="1178"/>
      <c r="U124" s="1594"/>
      <c r="V124" s="1594"/>
      <c r="W124" s="1178">
        <v>0.3</v>
      </c>
      <c r="X124" s="1178"/>
      <c r="Y124" s="1178"/>
      <c r="Z124" s="1594"/>
      <c r="AA124" s="1594"/>
    </row>
    <row r="125" spans="1:27" x14ac:dyDescent="0.3">
      <c r="A125" s="1593"/>
      <c r="B125" s="1593"/>
      <c r="C125" s="1593"/>
      <c r="D125" s="1593"/>
      <c r="E125" s="1593"/>
      <c r="F125" s="1585" t="s">
        <v>5465</v>
      </c>
      <c r="G125" s="1585"/>
      <c r="H125" s="1585"/>
      <c r="I125" s="1585"/>
      <c r="J125" s="1585"/>
      <c r="K125" s="1585"/>
      <c r="L125" s="1585"/>
      <c r="M125" s="1585"/>
      <c r="N125" s="1585"/>
      <c r="O125" s="1585"/>
      <c r="P125" s="1585"/>
      <c r="Q125" s="1585"/>
      <c r="R125" s="1178">
        <v>1.6</v>
      </c>
      <c r="S125" s="1178"/>
      <c r="T125" s="1178"/>
      <c r="U125" s="1594"/>
      <c r="V125" s="1594"/>
      <c r="W125" s="1178">
        <v>0.85</v>
      </c>
      <c r="X125" s="1178"/>
      <c r="Y125" s="1178"/>
      <c r="Z125" s="1594"/>
      <c r="AA125" s="1594"/>
    </row>
    <row r="126" spans="1:27" x14ac:dyDescent="0.3">
      <c r="A126" s="1593"/>
      <c r="B126" s="1593"/>
      <c r="C126" s="1593"/>
      <c r="D126" s="1593"/>
      <c r="E126" s="1593"/>
      <c r="F126" s="1585" t="s">
        <v>5466</v>
      </c>
      <c r="G126" s="1585"/>
      <c r="H126" s="1585"/>
      <c r="I126" s="1585"/>
      <c r="J126" s="1585"/>
      <c r="K126" s="1585"/>
      <c r="L126" s="1585"/>
      <c r="M126" s="1585"/>
      <c r="N126" s="1585"/>
      <c r="O126" s="1585"/>
      <c r="P126" s="1585"/>
      <c r="Q126" s="1585"/>
      <c r="R126" s="1178">
        <v>2</v>
      </c>
      <c r="S126" s="1178"/>
      <c r="T126" s="1178"/>
      <c r="U126" s="1594"/>
      <c r="V126" s="1594"/>
      <c r="W126" s="1178">
        <v>1</v>
      </c>
      <c r="X126" s="1178"/>
      <c r="Y126" s="1178"/>
      <c r="Z126" s="1594"/>
      <c r="AA126" s="1594"/>
    </row>
    <row r="127" spans="1:27" x14ac:dyDescent="0.3">
      <c r="A127" s="1019" t="s">
        <v>5467</v>
      </c>
      <c r="B127" s="1593"/>
      <c r="C127" s="1593"/>
      <c r="D127" s="1593"/>
      <c r="E127" s="1593"/>
      <c r="F127" s="1585" t="s">
        <v>5463</v>
      </c>
      <c r="G127" s="1585"/>
      <c r="H127" s="1585"/>
      <c r="I127" s="1585"/>
      <c r="J127" s="1585"/>
      <c r="K127" s="1585"/>
      <c r="L127" s="1585"/>
      <c r="M127" s="1585"/>
      <c r="N127" s="1585"/>
      <c r="O127" s="1585"/>
      <c r="P127" s="1585"/>
      <c r="Q127" s="1585"/>
      <c r="R127" s="1178">
        <v>0.76</v>
      </c>
      <c r="S127" s="1178"/>
      <c r="T127" s="1178"/>
      <c r="U127" s="1594"/>
      <c r="V127" s="1594"/>
      <c r="W127" s="1178">
        <v>0.3</v>
      </c>
      <c r="X127" s="1178"/>
      <c r="Y127" s="1178"/>
      <c r="Z127" s="1594"/>
      <c r="AA127" s="1594"/>
    </row>
    <row r="128" spans="1:27" x14ac:dyDescent="0.3">
      <c r="A128" s="1593"/>
      <c r="B128" s="1593"/>
      <c r="C128" s="1593"/>
      <c r="D128" s="1593"/>
      <c r="E128" s="1593"/>
      <c r="F128" s="1585" t="s">
        <v>5464</v>
      </c>
      <c r="G128" s="1585"/>
      <c r="H128" s="1585"/>
      <c r="I128" s="1585"/>
      <c r="J128" s="1585"/>
      <c r="K128" s="1585"/>
      <c r="L128" s="1585"/>
      <c r="M128" s="1585"/>
      <c r="N128" s="1585"/>
      <c r="O128" s="1585"/>
      <c r="P128" s="1585"/>
      <c r="Q128" s="1585"/>
      <c r="R128" s="1178">
        <v>0.87</v>
      </c>
      <c r="S128" s="1178"/>
      <c r="T128" s="1178"/>
      <c r="U128" s="1594"/>
      <c r="V128" s="1594"/>
      <c r="W128" s="1178">
        <v>0.55000000000000004</v>
      </c>
      <c r="X128" s="1178"/>
      <c r="Y128" s="1178"/>
      <c r="Z128" s="1594"/>
      <c r="AA128" s="1594"/>
    </row>
    <row r="129" spans="1:27" x14ac:dyDescent="0.3">
      <c r="A129" s="1593"/>
      <c r="B129" s="1593"/>
      <c r="C129" s="1593"/>
      <c r="D129" s="1593"/>
      <c r="E129" s="1593"/>
      <c r="F129" s="1585" t="s">
        <v>5465</v>
      </c>
      <c r="G129" s="1585"/>
      <c r="H129" s="1585"/>
      <c r="I129" s="1585"/>
      <c r="J129" s="1585"/>
      <c r="K129" s="1585"/>
      <c r="L129" s="1585"/>
      <c r="M129" s="1585"/>
      <c r="N129" s="1585"/>
      <c r="O129" s="1585"/>
      <c r="P129" s="1585"/>
      <c r="Q129" s="1585"/>
      <c r="R129" s="1178">
        <v>1.93</v>
      </c>
      <c r="S129" s="1178"/>
      <c r="T129" s="1178"/>
      <c r="U129" s="1594"/>
      <c r="V129" s="1594"/>
      <c r="W129" s="1178">
        <v>1.2</v>
      </c>
      <c r="X129" s="1178"/>
      <c r="Y129" s="1178"/>
      <c r="Z129" s="1594"/>
      <c r="AA129" s="1594"/>
    </row>
    <row r="130" spans="1:27" x14ac:dyDescent="0.3">
      <c r="A130" s="1593"/>
      <c r="B130" s="1593"/>
      <c r="C130" s="1593"/>
      <c r="D130" s="1593"/>
      <c r="E130" s="1593"/>
      <c r="F130" s="1585" t="s">
        <v>5466</v>
      </c>
      <c r="G130" s="1585"/>
      <c r="H130" s="1585"/>
      <c r="I130" s="1585"/>
      <c r="J130" s="1585"/>
      <c r="K130" s="1585"/>
      <c r="L130" s="1585"/>
      <c r="M130" s="1585"/>
      <c r="N130" s="1585"/>
      <c r="O130" s="1585"/>
      <c r="P130" s="1585"/>
      <c r="Q130" s="1585"/>
      <c r="R130" s="1178">
        <v>2.59</v>
      </c>
      <c r="S130" s="1178"/>
      <c r="T130" s="1178"/>
      <c r="U130" s="1594"/>
      <c r="V130" s="1594"/>
      <c r="W130" s="1178">
        <v>1.85</v>
      </c>
      <c r="X130" s="1178"/>
      <c r="Y130" s="1178"/>
      <c r="Z130" s="1594"/>
      <c r="AA130" s="1594"/>
    </row>
    <row r="131" spans="1:27" x14ac:dyDescent="0.3">
      <c r="A131" s="1593"/>
      <c r="B131" s="1593"/>
      <c r="C131" s="1593"/>
      <c r="D131" s="1593"/>
      <c r="E131" s="1593"/>
      <c r="F131" s="1585" t="s">
        <v>5468</v>
      </c>
      <c r="G131" s="1585"/>
      <c r="H131" s="1585"/>
      <c r="I131" s="1585"/>
      <c r="J131" s="1585"/>
      <c r="K131" s="1585"/>
      <c r="L131" s="1585"/>
      <c r="M131" s="1585"/>
      <c r="N131" s="1585"/>
      <c r="O131" s="1585"/>
      <c r="P131" s="1585"/>
      <c r="Q131" s="1585"/>
      <c r="R131" s="1178">
        <v>1.2</v>
      </c>
      <c r="S131" s="1178"/>
      <c r="T131" s="1178"/>
      <c r="U131" s="1594"/>
      <c r="V131" s="1594"/>
      <c r="W131" s="1178">
        <v>0.9</v>
      </c>
      <c r="X131" s="1178"/>
      <c r="Y131" s="1178"/>
      <c r="Z131" s="1594"/>
      <c r="AA131" s="1594"/>
    </row>
    <row r="132" spans="1:27" x14ac:dyDescent="0.3">
      <c r="A132" s="187"/>
      <c r="B132" s="4"/>
      <c r="C132" s="4"/>
      <c r="D132" s="4"/>
      <c r="E132" s="4"/>
      <c r="F132" s="4"/>
      <c r="G132" s="4"/>
      <c r="H132" s="4"/>
      <c r="I132" s="4"/>
      <c r="J132" s="4"/>
      <c r="K132" s="4"/>
      <c r="L132" s="4"/>
      <c r="M132" s="4"/>
      <c r="N132" s="4"/>
      <c r="O132" s="4"/>
    </row>
    <row r="133" spans="1:27" x14ac:dyDescent="0.3">
      <c r="A133" s="187" t="s">
        <v>5474</v>
      </c>
    </row>
    <row r="134" spans="1:27" ht="30" customHeight="1" x14ac:dyDescent="0.3">
      <c r="A134" s="1019" t="s">
        <v>5459</v>
      </c>
      <c r="B134" s="1177"/>
      <c r="C134" s="1177"/>
      <c r="D134" s="1177"/>
      <c r="E134" s="1177"/>
      <c r="F134" s="1177"/>
      <c r="G134" s="1177"/>
      <c r="H134" s="1177"/>
      <c r="I134" s="1177"/>
      <c r="J134" s="1177"/>
      <c r="K134" s="1177"/>
      <c r="L134" s="1177"/>
      <c r="M134" s="1177"/>
      <c r="N134" s="1177"/>
      <c r="O134" s="1177"/>
      <c r="P134" s="1177"/>
      <c r="Q134" s="1177"/>
      <c r="R134" s="1019" t="s">
        <v>5475</v>
      </c>
      <c r="S134" s="1593"/>
      <c r="T134" s="1593"/>
      <c r="U134" s="1177"/>
      <c r="V134" s="1177"/>
      <c r="W134" s="1019" t="s">
        <v>5476</v>
      </c>
      <c r="X134" s="1593"/>
      <c r="Y134" s="1593"/>
      <c r="Z134" s="1177"/>
      <c r="AA134" s="1177"/>
    </row>
    <row r="135" spans="1:27" x14ac:dyDescent="0.3">
      <c r="A135" s="1019" t="s">
        <v>5462</v>
      </c>
      <c r="B135" s="1593"/>
      <c r="C135" s="1593"/>
      <c r="D135" s="1593"/>
      <c r="E135" s="1593"/>
      <c r="F135" s="1585" t="s">
        <v>5463</v>
      </c>
      <c r="G135" s="1585"/>
      <c r="H135" s="1585"/>
      <c r="I135" s="1585"/>
      <c r="J135" s="1585"/>
      <c r="K135" s="1585"/>
      <c r="L135" s="1585"/>
      <c r="M135" s="1585"/>
      <c r="N135" s="1585"/>
      <c r="O135" s="1585"/>
      <c r="P135" s="1585"/>
      <c r="Q135" s="1585"/>
      <c r="R135" s="1179">
        <v>2</v>
      </c>
      <c r="S135" s="1179"/>
      <c r="T135" s="1179"/>
      <c r="U135" s="1595"/>
      <c r="V135" s="1595"/>
      <c r="W135" s="1179">
        <v>2</v>
      </c>
      <c r="X135" s="1179"/>
      <c r="Y135" s="1179"/>
      <c r="Z135" s="1595"/>
      <c r="AA135" s="1595"/>
    </row>
    <row r="136" spans="1:27" x14ac:dyDescent="0.3">
      <c r="A136" s="1593"/>
      <c r="B136" s="1593"/>
      <c r="C136" s="1593"/>
      <c r="D136" s="1593"/>
      <c r="E136" s="1593"/>
      <c r="F136" s="1585" t="s">
        <v>5464</v>
      </c>
      <c r="G136" s="1585"/>
      <c r="H136" s="1585"/>
      <c r="I136" s="1585"/>
      <c r="J136" s="1585"/>
      <c r="K136" s="1585"/>
      <c r="L136" s="1585"/>
      <c r="M136" s="1585"/>
      <c r="N136" s="1585"/>
      <c r="O136" s="1585"/>
      <c r="P136" s="1585"/>
      <c r="Q136" s="1585"/>
      <c r="R136" s="1179">
        <v>1.5</v>
      </c>
      <c r="S136" s="1179"/>
      <c r="T136" s="1179"/>
      <c r="U136" s="1595"/>
      <c r="V136" s="1595"/>
      <c r="W136" s="1179">
        <v>1.5</v>
      </c>
      <c r="X136" s="1179"/>
      <c r="Y136" s="1179"/>
      <c r="Z136" s="1595"/>
      <c r="AA136" s="1595"/>
    </row>
    <row r="137" spans="1:27" x14ac:dyDescent="0.3">
      <c r="A137" s="1593"/>
      <c r="B137" s="1593"/>
      <c r="C137" s="1593"/>
      <c r="D137" s="1593"/>
      <c r="E137" s="1593"/>
      <c r="F137" s="1585" t="s">
        <v>5465</v>
      </c>
      <c r="G137" s="1585"/>
      <c r="H137" s="1585"/>
      <c r="I137" s="1585"/>
      <c r="J137" s="1585"/>
      <c r="K137" s="1585"/>
      <c r="L137" s="1585"/>
      <c r="M137" s="1585"/>
      <c r="N137" s="1585"/>
      <c r="O137" s="1585"/>
      <c r="P137" s="1585"/>
      <c r="Q137" s="1585"/>
      <c r="R137" s="1179">
        <v>0.3</v>
      </c>
      <c r="S137" s="1179"/>
      <c r="T137" s="1179"/>
      <c r="U137" s="1595"/>
      <c r="V137" s="1595"/>
      <c r="W137" s="1179">
        <v>0.3</v>
      </c>
      <c r="X137" s="1179"/>
      <c r="Y137" s="1179"/>
      <c r="Z137" s="1595"/>
      <c r="AA137" s="1595"/>
    </row>
    <row r="138" spans="1:27" x14ac:dyDescent="0.3">
      <c r="A138" s="1593"/>
      <c r="B138" s="1593"/>
      <c r="C138" s="1593"/>
      <c r="D138" s="1593"/>
      <c r="E138" s="1593"/>
      <c r="F138" s="1585" t="s">
        <v>5466</v>
      </c>
      <c r="G138" s="1585"/>
      <c r="H138" s="1585"/>
      <c r="I138" s="1585"/>
      <c r="J138" s="1585"/>
      <c r="K138" s="1585"/>
      <c r="L138" s="1585"/>
      <c r="M138" s="1585"/>
      <c r="N138" s="1585"/>
      <c r="O138" s="1585"/>
      <c r="P138" s="1585"/>
      <c r="Q138" s="1585"/>
      <c r="R138" s="1179">
        <v>0.3</v>
      </c>
      <c r="S138" s="1179"/>
      <c r="T138" s="1179"/>
      <c r="U138" s="1595"/>
      <c r="V138" s="1595"/>
      <c r="W138" s="1179">
        <v>0.3</v>
      </c>
      <c r="X138" s="1179"/>
      <c r="Y138" s="1179"/>
      <c r="Z138" s="1595"/>
      <c r="AA138" s="1595"/>
    </row>
    <row r="139" spans="1:27" x14ac:dyDescent="0.3">
      <c r="A139" s="1019" t="s">
        <v>5467</v>
      </c>
      <c r="B139" s="1593"/>
      <c r="C139" s="1593"/>
      <c r="D139" s="1593"/>
      <c r="E139" s="1593"/>
      <c r="F139" s="1585" t="s">
        <v>5463</v>
      </c>
      <c r="G139" s="1585"/>
      <c r="H139" s="1585"/>
      <c r="I139" s="1585"/>
      <c r="J139" s="1585"/>
      <c r="K139" s="1585"/>
      <c r="L139" s="1585"/>
      <c r="M139" s="1585"/>
      <c r="N139" s="1585"/>
      <c r="O139" s="1585"/>
      <c r="P139" s="1585"/>
      <c r="Q139" s="1585"/>
      <c r="R139" s="1179">
        <v>2</v>
      </c>
      <c r="S139" s="1179"/>
      <c r="T139" s="1179"/>
      <c r="U139" s="1595"/>
      <c r="V139" s="1595"/>
      <c r="W139" s="1179">
        <v>2</v>
      </c>
      <c r="X139" s="1179"/>
      <c r="Y139" s="1179"/>
      <c r="Z139" s="1595"/>
      <c r="AA139" s="1595"/>
    </row>
    <row r="140" spans="1:27" x14ac:dyDescent="0.3">
      <c r="A140" s="1593"/>
      <c r="B140" s="1593"/>
      <c r="C140" s="1593"/>
      <c r="D140" s="1593"/>
      <c r="E140" s="1593"/>
      <c r="F140" s="1585" t="s">
        <v>5464</v>
      </c>
      <c r="G140" s="1585"/>
      <c r="H140" s="1585"/>
      <c r="I140" s="1585"/>
      <c r="J140" s="1585"/>
      <c r="K140" s="1585"/>
      <c r="L140" s="1585"/>
      <c r="M140" s="1585"/>
      <c r="N140" s="1585"/>
      <c r="O140" s="1585"/>
      <c r="P140" s="1585"/>
      <c r="Q140" s="1585"/>
      <c r="R140" s="1179">
        <v>1</v>
      </c>
      <c r="S140" s="1179"/>
      <c r="T140" s="1179"/>
      <c r="U140" s="1595"/>
      <c r="V140" s="1595"/>
      <c r="W140" s="1179">
        <v>1</v>
      </c>
      <c r="X140" s="1179"/>
      <c r="Y140" s="1179"/>
      <c r="Z140" s="1595"/>
      <c r="AA140" s="1595"/>
    </row>
    <row r="141" spans="1:27" x14ac:dyDescent="0.3">
      <c r="A141" s="1593"/>
      <c r="B141" s="1593"/>
      <c r="C141" s="1593"/>
      <c r="D141" s="1593"/>
      <c r="E141" s="1593"/>
      <c r="F141" s="1585" t="s">
        <v>5465</v>
      </c>
      <c r="G141" s="1585"/>
      <c r="H141" s="1585"/>
      <c r="I141" s="1585"/>
      <c r="J141" s="1585"/>
      <c r="K141" s="1585"/>
      <c r="L141" s="1585"/>
      <c r="M141" s="1585"/>
      <c r="N141" s="1585"/>
      <c r="O141" s="1585"/>
      <c r="P141" s="1585"/>
      <c r="Q141" s="1585"/>
      <c r="R141" s="1179">
        <v>0.3</v>
      </c>
      <c r="S141" s="1179"/>
      <c r="T141" s="1179"/>
      <c r="U141" s="1595"/>
      <c r="V141" s="1595"/>
      <c r="W141" s="1179">
        <v>0.3</v>
      </c>
      <c r="X141" s="1179"/>
      <c r="Y141" s="1179"/>
      <c r="Z141" s="1595"/>
      <c r="AA141" s="1595"/>
    </row>
    <row r="142" spans="1:27" x14ac:dyDescent="0.3">
      <c r="A142" s="1593"/>
      <c r="B142" s="1593"/>
      <c r="C142" s="1593"/>
      <c r="D142" s="1593"/>
      <c r="E142" s="1593"/>
      <c r="F142" s="1585" t="s">
        <v>5466</v>
      </c>
      <c r="G142" s="1585"/>
      <c r="H142" s="1585"/>
      <c r="I142" s="1585"/>
      <c r="J142" s="1585"/>
      <c r="K142" s="1585"/>
      <c r="L142" s="1585"/>
      <c r="M142" s="1585"/>
      <c r="N142" s="1585"/>
      <c r="O142" s="1585"/>
      <c r="P142" s="1585"/>
      <c r="Q142" s="1585"/>
      <c r="R142" s="1179">
        <v>0.2</v>
      </c>
      <c r="S142" s="1179"/>
      <c r="T142" s="1179"/>
      <c r="U142" s="1595"/>
      <c r="V142" s="1595"/>
      <c r="W142" s="1179">
        <v>0.2</v>
      </c>
      <c r="X142" s="1179"/>
      <c r="Y142" s="1179"/>
      <c r="Z142" s="1595"/>
      <c r="AA142" s="1595"/>
    </row>
    <row r="143" spans="1:27" x14ac:dyDescent="0.3">
      <c r="A143" s="1593"/>
      <c r="B143" s="1593"/>
      <c r="C143" s="1593"/>
      <c r="D143" s="1593"/>
      <c r="E143" s="1593"/>
      <c r="F143" s="1585" t="s">
        <v>5468</v>
      </c>
      <c r="G143" s="1585"/>
      <c r="H143" s="1585"/>
      <c r="I143" s="1585"/>
      <c r="J143" s="1585"/>
      <c r="K143" s="1585"/>
      <c r="L143" s="1585"/>
      <c r="M143" s="1585"/>
      <c r="N143" s="1585"/>
      <c r="O143" s="1585"/>
      <c r="P143" s="1585"/>
      <c r="Q143" s="1585"/>
      <c r="R143" s="1179">
        <v>3</v>
      </c>
      <c r="S143" s="1179"/>
      <c r="T143" s="1179"/>
      <c r="U143" s="1595"/>
      <c r="V143" s="1595"/>
      <c r="W143" s="1179">
        <v>3</v>
      </c>
      <c r="X143" s="1179"/>
      <c r="Y143" s="1179"/>
      <c r="Z143" s="1595"/>
      <c r="AA143" s="1595"/>
    </row>
    <row r="144" spans="1:27" x14ac:dyDescent="0.3">
      <c r="A144" s="187"/>
      <c r="B144" s="4"/>
      <c r="C144" s="4"/>
      <c r="D144" s="4"/>
      <c r="E144" s="4"/>
      <c r="F144" s="4"/>
      <c r="G144" s="4"/>
      <c r="H144" s="4"/>
      <c r="I144" s="4"/>
      <c r="J144" s="4"/>
      <c r="K144" s="4"/>
      <c r="L144" s="4"/>
      <c r="M144" s="4"/>
      <c r="N144" s="4"/>
      <c r="O144" s="4"/>
    </row>
    <row r="145" spans="1:32" x14ac:dyDescent="0.3">
      <c r="A145" s="187" t="s">
        <v>5477</v>
      </c>
      <c r="B145" s="4"/>
      <c r="C145" s="4"/>
      <c r="D145" s="4"/>
      <c r="E145" s="4"/>
      <c r="F145" s="4"/>
      <c r="G145" s="4"/>
      <c r="H145" s="4"/>
      <c r="I145" s="4"/>
      <c r="J145" s="4"/>
      <c r="K145" s="4"/>
      <c r="L145" s="4"/>
      <c r="M145" s="4"/>
      <c r="N145" s="4"/>
      <c r="O145" s="4"/>
    </row>
    <row r="146" spans="1:32" x14ac:dyDescent="0.3">
      <c r="A146" s="1019" t="s">
        <v>5459</v>
      </c>
      <c r="B146" s="1177"/>
      <c r="C146" s="1177"/>
      <c r="D146" s="1177"/>
      <c r="E146" s="1177"/>
      <c r="F146" s="1177"/>
      <c r="G146" s="1177"/>
      <c r="H146" s="1177"/>
      <c r="I146" s="1177"/>
      <c r="J146" s="1177"/>
      <c r="K146" s="1177"/>
      <c r="L146" s="1177"/>
      <c r="M146" s="1177"/>
      <c r="N146" s="1177"/>
      <c r="O146" s="1177"/>
      <c r="P146" s="1177"/>
      <c r="Q146" s="1177"/>
      <c r="R146" s="1085" t="s">
        <v>2562</v>
      </c>
      <c r="S146" s="1580"/>
      <c r="T146" s="1581"/>
    </row>
    <row r="147" spans="1:32" x14ac:dyDescent="0.3">
      <c r="A147" s="1019" t="s">
        <v>5462</v>
      </c>
      <c r="B147" s="1593"/>
      <c r="C147" s="1593"/>
      <c r="D147" s="1593"/>
      <c r="E147" s="1593"/>
      <c r="F147" s="1585" t="s">
        <v>5463</v>
      </c>
      <c r="G147" s="1585"/>
      <c r="H147" s="1585"/>
      <c r="I147" s="1585"/>
      <c r="J147" s="1585"/>
      <c r="K147" s="1585"/>
      <c r="L147" s="1585"/>
      <c r="M147" s="1585"/>
      <c r="N147" s="1585"/>
      <c r="O147" s="1585"/>
      <c r="P147" s="1585"/>
      <c r="Q147" s="1585"/>
      <c r="R147" s="1596">
        <v>10</v>
      </c>
      <c r="S147" s="1597"/>
      <c r="T147" s="1598"/>
    </row>
    <row r="148" spans="1:32" x14ac:dyDescent="0.3">
      <c r="A148" s="1593"/>
      <c r="B148" s="1593"/>
      <c r="C148" s="1593"/>
      <c r="D148" s="1593"/>
      <c r="E148" s="1593"/>
      <c r="F148" s="1585" t="s">
        <v>5464</v>
      </c>
      <c r="G148" s="1585"/>
      <c r="H148" s="1585"/>
      <c r="I148" s="1585"/>
      <c r="J148" s="1585"/>
      <c r="K148" s="1585"/>
      <c r="L148" s="1585"/>
      <c r="M148" s="1585"/>
      <c r="N148" s="1585"/>
      <c r="O148" s="1585"/>
      <c r="P148" s="1585"/>
      <c r="Q148" s="1585"/>
      <c r="R148" s="1599">
        <v>15</v>
      </c>
      <c r="S148" s="1580"/>
      <c r="T148" s="1581"/>
    </row>
    <row r="149" spans="1:32" x14ac:dyDescent="0.3">
      <c r="A149" s="1593"/>
      <c r="B149" s="1593"/>
      <c r="C149" s="1593"/>
      <c r="D149" s="1593"/>
      <c r="E149" s="1593"/>
      <c r="F149" s="1585" t="s">
        <v>5465</v>
      </c>
      <c r="G149" s="1585"/>
      <c r="H149" s="1585"/>
      <c r="I149" s="1585"/>
      <c r="J149" s="1585"/>
      <c r="K149" s="1585"/>
      <c r="L149" s="1585"/>
      <c r="M149" s="1585"/>
      <c r="N149" s="1585"/>
      <c r="O149" s="1585"/>
      <c r="P149" s="1585"/>
      <c r="Q149" s="1585"/>
      <c r="R149" s="1599">
        <v>20</v>
      </c>
      <c r="S149" s="1580"/>
      <c r="T149" s="1581"/>
    </row>
    <row r="150" spans="1:32" x14ac:dyDescent="0.3">
      <c r="A150" s="1593"/>
      <c r="B150" s="1593"/>
      <c r="C150" s="1593"/>
      <c r="D150" s="1593"/>
      <c r="E150" s="1593"/>
      <c r="F150" s="1585" t="s">
        <v>5466</v>
      </c>
      <c r="G150" s="1585"/>
      <c r="H150" s="1585"/>
      <c r="I150" s="1585"/>
      <c r="J150" s="1585"/>
      <c r="K150" s="1585"/>
      <c r="L150" s="1585"/>
      <c r="M150" s="1585"/>
      <c r="N150" s="1585"/>
      <c r="O150" s="1585"/>
      <c r="P150" s="1585"/>
      <c r="Q150" s="1585"/>
      <c r="R150" s="1599">
        <v>20</v>
      </c>
      <c r="S150" s="1580"/>
      <c r="T150" s="1581"/>
    </row>
    <row r="151" spans="1:32" x14ac:dyDescent="0.3">
      <c r="A151" s="1019" t="s">
        <v>5467</v>
      </c>
      <c r="B151" s="1593"/>
      <c r="C151" s="1593"/>
      <c r="D151" s="1593"/>
      <c r="E151" s="1593"/>
      <c r="F151" s="1585" t="s">
        <v>5463</v>
      </c>
      <c r="G151" s="1585"/>
      <c r="H151" s="1585"/>
      <c r="I151" s="1585"/>
      <c r="J151" s="1585"/>
      <c r="K151" s="1585"/>
      <c r="L151" s="1585"/>
      <c r="M151" s="1585"/>
      <c r="N151" s="1585"/>
      <c r="O151" s="1585"/>
      <c r="P151" s="1585"/>
      <c r="Q151" s="1585"/>
      <c r="R151" s="1599">
        <v>10</v>
      </c>
      <c r="S151" s="1580"/>
      <c r="T151" s="1581"/>
    </row>
    <row r="152" spans="1:32" x14ac:dyDescent="0.3">
      <c r="A152" s="1593"/>
      <c r="B152" s="1593"/>
      <c r="C152" s="1593"/>
      <c r="D152" s="1593"/>
      <c r="E152" s="1593"/>
      <c r="F152" s="1585" t="s">
        <v>5464</v>
      </c>
      <c r="G152" s="1585"/>
      <c r="H152" s="1585"/>
      <c r="I152" s="1585"/>
      <c r="J152" s="1585"/>
      <c r="K152" s="1585"/>
      <c r="L152" s="1585"/>
      <c r="M152" s="1585"/>
      <c r="N152" s="1585"/>
      <c r="O152" s="1585"/>
      <c r="P152" s="1585"/>
      <c r="Q152" s="1585"/>
      <c r="R152" s="1599">
        <v>15</v>
      </c>
      <c r="S152" s="1580"/>
      <c r="T152" s="1581"/>
    </row>
    <row r="153" spans="1:32" x14ac:dyDescent="0.3">
      <c r="A153" s="1593"/>
      <c r="B153" s="1593"/>
      <c r="C153" s="1593"/>
      <c r="D153" s="1593"/>
      <c r="E153" s="1593"/>
      <c r="F153" s="1585" t="s">
        <v>5465</v>
      </c>
      <c r="G153" s="1585"/>
      <c r="H153" s="1585"/>
      <c r="I153" s="1585"/>
      <c r="J153" s="1585"/>
      <c r="K153" s="1585"/>
      <c r="L153" s="1585"/>
      <c r="M153" s="1585"/>
      <c r="N153" s="1585"/>
      <c r="O153" s="1585"/>
      <c r="P153" s="1585"/>
      <c r="Q153" s="1585"/>
      <c r="R153" s="1599">
        <v>20</v>
      </c>
      <c r="S153" s="1580"/>
      <c r="T153" s="1581"/>
    </row>
    <row r="154" spans="1:32" x14ac:dyDescent="0.3">
      <c r="A154" s="1593"/>
      <c r="B154" s="1593"/>
      <c r="C154" s="1593"/>
      <c r="D154" s="1593"/>
      <c r="E154" s="1593"/>
      <c r="F154" s="1585" t="s">
        <v>5466</v>
      </c>
      <c r="G154" s="1585"/>
      <c r="H154" s="1585"/>
      <c r="I154" s="1585"/>
      <c r="J154" s="1585"/>
      <c r="K154" s="1585"/>
      <c r="L154" s="1585"/>
      <c r="M154" s="1585"/>
      <c r="N154" s="1585"/>
      <c r="O154" s="1585"/>
      <c r="P154" s="1585"/>
      <c r="Q154" s="1585"/>
      <c r="R154" s="1599">
        <v>20</v>
      </c>
      <c r="S154" s="1580"/>
      <c r="T154" s="1581"/>
    </row>
    <row r="155" spans="1:32" x14ac:dyDescent="0.3">
      <c r="A155" s="1593"/>
      <c r="B155" s="1593"/>
      <c r="C155" s="1593"/>
      <c r="D155" s="1593"/>
      <c r="E155" s="1593"/>
      <c r="F155" s="1585" t="s">
        <v>5468</v>
      </c>
      <c r="G155" s="1585"/>
      <c r="H155" s="1585"/>
      <c r="I155" s="1585"/>
      <c r="J155" s="1585"/>
      <c r="K155" s="1585"/>
      <c r="L155" s="1585"/>
      <c r="M155" s="1585"/>
      <c r="N155" s="1585"/>
      <c r="O155" s="1585"/>
      <c r="P155" s="1585"/>
      <c r="Q155" s="1585"/>
      <c r="R155" s="1599">
        <v>10</v>
      </c>
      <c r="S155" s="1580"/>
      <c r="T155" s="1581"/>
    </row>
    <row r="157" spans="1:32" ht="30" customHeight="1" x14ac:dyDescent="0.3">
      <c r="A157" s="1600" t="s">
        <v>5478</v>
      </c>
      <c r="B157" s="1601"/>
      <c r="C157" s="1601"/>
      <c r="D157" s="1601"/>
      <c r="E157" s="1601"/>
      <c r="F157" s="1601"/>
      <c r="G157" s="1601"/>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c r="AB157" s="1601"/>
      <c r="AC157" s="1601"/>
      <c r="AD157" s="1601"/>
      <c r="AE157" s="1601"/>
      <c r="AF157" s="1601"/>
    </row>
    <row r="158" spans="1:32" ht="45" customHeight="1" x14ac:dyDescent="0.3">
      <c r="A158" s="1019" t="s">
        <v>5459</v>
      </c>
      <c r="B158" s="1177"/>
      <c r="C158" s="1177"/>
      <c r="D158" s="1177"/>
      <c r="E158" s="1177"/>
      <c r="F158" s="1177"/>
      <c r="G158" s="1177"/>
      <c r="H158" s="1177"/>
      <c r="I158" s="1177"/>
      <c r="J158" s="1177"/>
      <c r="K158" s="1177"/>
      <c r="L158" s="1177"/>
      <c r="M158" s="1177"/>
      <c r="N158" s="1177"/>
      <c r="O158" s="1177"/>
      <c r="P158" s="1177"/>
      <c r="Q158" s="1177"/>
      <c r="R158" s="1019" t="s">
        <v>5479</v>
      </c>
      <c r="S158" s="1011"/>
      <c r="T158" s="1011"/>
      <c r="U158" s="1011"/>
      <c r="V158" s="1019" t="s">
        <v>5480</v>
      </c>
      <c r="W158" s="1175"/>
      <c r="X158" s="1175"/>
      <c r="Y158" s="1175"/>
      <c r="Z158" s="1019" t="s">
        <v>5481</v>
      </c>
      <c r="AA158" s="1177"/>
      <c r="AB158" s="1177"/>
      <c r="AC158" s="1177"/>
      <c r="AD158" s="1019" t="s">
        <v>253</v>
      </c>
      <c r="AE158" s="1593"/>
      <c r="AF158" s="1593"/>
    </row>
    <row r="159" spans="1:32" x14ac:dyDescent="0.3">
      <c r="A159" s="1019" t="s">
        <v>5482</v>
      </c>
      <c r="B159" s="1593"/>
      <c r="C159" s="1593"/>
      <c r="D159" s="1593"/>
      <c r="E159" s="1593"/>
      <c r="F159" s="1585" t="s">
        <v>5463</v>
      </c>
      <c r="G159" s="1585"/>
      <c r="H159" s="1585"/>
      <c r="I159" s="1585"/>
      <c r="J159" s="1585"/>
      <c r="K159" s="1585"/>
      <c r="L159" s="1585"/>
      <c r="M159" s="1585"/>
      <c r="N159" s="1585"/>
      <c r="O159" s="1585"/>
      <c r="P159" s="1585"/>
      <c r="Q159" s="1585"/>
      <c r="R159" s="1603">
        <v>6917</v>
      </c>
      <c r="S159" s="1603"/>
      <c r="T159" s="1603"/>
      <c r="U159" s="1603"/>
      <c r="V159" s="1604">
        <v>4404</v>
      </c>
      <c r="W159" s="1424"/>
      <c r="X159" s="1424"/>
      <c r="Y159" s="1424"/>
      <c r="Z159" s="1605">
        <f>R159-V159</f>
        <v>2513</v>
      </c>
      <c r="AA159" s="1424"/>
      <c r="AB159" s="1424"/>
      <c r="AC159" s="1424"/>
      <c r="AD159" s="1602">
        <f>Q$94*Z159/Q$93</f>
        <v>0.42457077625570772</v>
      </c>
      <c r="AE159" s="1177"/>
      <c r="AF159" s="1177"/>
    </row>
    <row r="160" spans="1:32" x14ac:dyDescent="0.3">
      <c r="A160" s="1593"/>
      <c r="B160" s="1593"/>
      <c r="C160" s="1593"/>
      <c r="D160" s="1593"/>
      <c r="E160" s="1593"/>
      <c r="F160" s="1585" t="s">
        <v>5464</v>
      </c>
      <c r="G160" s="1585"/>
      <c r="H160" s="1585"/>
      <c r="I160" s="1585"/>
      <c r="J160" s="1585"/>
      <c r="K160" s="1585"/>
      <c r="L160" s="1585"/>
      <c r="M160" s="1585"/>
      <c r="N160" s="1585"/>
      <c r="O160" s="1585"/>
      <c r="P160" s="1585"/>
      <c r="Q160" s="1585"/>
      <c r="R160" s="1603">
        <v>19079</v>
      </c>
      <c r="S160" s="1603"/>
      <c r="T160" s="1603"/>
      <c r="U160" s="1603"/>
      <c r="V160" s="1604">
        <v>10605</v>
      </c>
      <c r="W160" s="1424"/>
      <c r="X160" s="1424"/>
      <c r="Y160" s="1424"/>
      <c r="Z160" s="1605">
        <f t="shared" ref="Z160:Z166" si="0">R160-V160</f>
        <v>8474</v>
      </c>
      <c r="AA160" s="1424"/>
      <c r="AB160" s="1424"/>
      <c r="AC160" s="1424"/>
      <c r="AD160" s="1602">
        <f t="shared" ref="AD160:AD167" si="1">Q$94*Z160/Q$93</f>
        <v>1.4316803652968038</v>
      </c>
      <c r="AE160" s="1177"/>
      <c r="AF160" s="1177"/>
    </row>
    <row r="161" spans="1:32" x14ac:dyDescent="0.3">
      <c r="A161" s="1593"/>
      <c r="B161" s="1593"/>
      <c r="C161" s="1593"/>
      <c r="D161" s="1593"/>
      <c r="E161" s="1593"/>
      <c r="F161" s="1585" t="s">
        <v>5465</v>
      </c>
      <c r="G161" s="1585"/>
      <c r="H161" s="1585"/>
      <c r="I161" s="1585"/>
      <c r="J161" s="1585"/>
      <c r="K161" s="1585"/>
      <c r="L161" s="1585"/>
      <c r="M161" s="1585"/>
      <c r="N161" s="1585"/>
      <c r="O161" s="1585"/>
      <c r="P161" s="1585"/>
      <c r="Q161" s="1585"/>
      <c r="R161" s="1603">
        <v>26548</v>
      </c>
      <c r="S161" s="1603"/>
      <c r="T161" s="1603"/>
      <c r="U161" s="1603"/>
      <c r="V161" s="1603">
        <v>15563</v>
      </c>
      <c r="W161" s="1603"/>
      <c r="X161" s="1603"/>
      <c r="Y161" s="1603"/>
      <c r="Z161" s="1605">
        <f t="shared" si="0"/>
        <v>10985</v>
      </c>
      <c r="AA161" s="1424"/>
      <c r="AB161" s="1424"/>
      <c r="AC161" s="1424"/>
      <c r="AD161" s="1602">
        <f t="shared" si="1"/>
        <v>1.8559132420091324</v>
      </c>
      <c r="AE161" s="1177"/>
      <c r="AF161" s="1177"/>
    </row>
    <row r="162" spans="1:32" x14ac:dyDescent="0.3">
      <c r="A162" s="1593"/>
      <c r="B162" s="1593"/>
      <c r="C162" s="1593"/>
      <c r="D162" s="1593"/>
      <c r="E162" s="1593"/>
      <c r="F162" s="1585" t="s">
        <v>5466</v>
      </c>
      <c r="G162" s="1585"/>
      <c r="H162" s="1585"/>
      <c r="I162" s="1585"/>
      <c r="J162" s="1585"/>
      <c r="K162" s="1585"/>
      <c r="L162" s="1585"/>
      <c r="M162" s="1585"/>
      <c r="N162" s="1585"/>
      <c r="O162" s="1585"/>
      <c r="P162" s="1585"/>
      <c r="Q162" s="1585"/>
      <c r="R162" s="1603">
        <v>31496</v>
      </c>
      <c r="S162" s="1603"/>
      <c r="T162" s="1603"/>
      <c r="U162" s="1603"/>
      <c r="V162" s="1603">
        <v>16214</v>
      </c>
      <c r="W162" s="1603"/>
      <c r="X162" s="1603"/>
      <c r="Y162" s="1603"/>
      <c r="Z162" s="1605">
        <f t="shared" si="0"/>
        <v>15282</v>
      </c>
      <c r="AA162" s="1424"/>
      <c r="AB162" s="1424"/>
      <c r="AC162" s="1424"/>
      <c r="AD162" s="1602">
        <f t="shared" si="1"/>
        <v>2.5818904109589043</v>
      </c>
      <c r="AE162" s="1177"/>
      <c r="AF162" s="1177"/>
    </row>
    <row r="163" spans="1:32" x14ac:dyDescent="0.3">
      <c r="A163" s="1019" t="s">
        <v>5467</v>
      </c>
      <c r="B163" s="1593"/>
      <c r="C163" s="1593"/>
      <c r="D163" s="1593"/>
      <c r="E163" s="1593"/>
      <c r="F163" s="1585" t="s">
        <v>5463</v>
      </c>
      <c r="G163" s="1585"/>
      <c r="H163" s="1585"/>
      <c r="I163" s="1585"/>
      <c r="J163" s="1585"/>
      <c r="K163" s="1585"/>
      <c r="L163" s="1585"/>
      <c r="M163" s="1585"/>
      <c r="N163" s="1585"/>
      <c r="O163" s="1585"/>
      <c r="P163" s="1585"/>
      <c r="Q163" s="1585"/>
      <c r="R163" s="1603">
        <v>7987</v>
      </c>
      <c r="S163" s="1603"/>
      <c r="T163" s="1603"/>
      <c r="U163" s="1603"/>
      <c r="V163" s="1603">
        <v>5172</v>
      </c>
      <c r="W163" s="1603"/>
      <c r="X163" s="1603"/>
      <c r="Y163" s="1603"/>
      <c r="Z163" s="1605">
        <f t="shared" si="0"/>
        <v>2815</v>
      </c>
      <c r="AA163" s="1424"/>
      <c r="AB163" s="1424"/>
      <c r="AC163" s="1424"/>
      <c r="AD163" s="1602">
        <f t="shared" si="1"/>
        <v>0.47559360730593603</v>
      </c>
      <c r="AE163" s="1177"/>
      <c r="AF163" s="1177"/>
    </row>
    <row r="164" spans="1:32" x14ac:dyDescent="0.3">
      <c r="A164" s="1593"/>
      <c r="B164" s="1593"/>
      <c r="C164" s="1593"/>
      <c r="D164" s="1593"/>
      <c r="E164" s="1593"/>
      <c r="F164" s="1585" t="s">
        <v>5464</v>
      </c>
      <c r="G164" s="1585"/>
      <c r="H164" s="1585"/>
      <c r="I164" s="1585"/>
      <c r="J164" s="1585"/>
      <c r="K164" s="1585"/>
      <c r="L164" s="1585"/>
      <c r="M164" s="1585"/>
      <c r="N164" s="1585"/>
      <c r="O164" s="1585"/>
      <c r="P164" s="1585"/>
      <c r="Q164" s="1585"/>
      <c r="R164" s="1603">
        <v>20154</v>
      </c>
      <c r="S164" s="1603"/>
      <c r="T164" s="1603"/>
      <c r="U164" s="1603"/>
      <c r="V164" s="1603">
        <v>13728</v>
      </c>
      <c r="W164" s="1603"/>
      <c r="X164" s="1603"/>
      <c r="Y164" s="1603"/>
      <c r="Z164" s="1605">
        <f t="shared" si="0"/>
        <v>6426</v>
      </c>
      <c r="AA164" s="1424"/>
      <c r="AB164" s="1424"/>
      <c r="AC164" s="1424"/>
      <c r="AD164" s="1602">
        <f t="shared" si="1"/>
        <v>1.0856712328767122</v>
      </c>
      <c r="AE164" s="1177"/>
      <c r="AF164" s="1177"/>
    </row>
    <row r="165" spans="1:32" x14ac:dyDescent="0.3">
      <c r="A165" s="1593"/>
      <c r="B165" s="1593"/>
      <c r="C165" s="1593"/>
      <c r="D165" s="1593"/>
      <c r="E165" s="1593"/>
      <c r="F165" s="1585" t="s">
        <v>5465</v>
      </c>
      <c r="G165" s="1585"/>
      <c r="H165" s="1585"/>
      <c r="I165" s="1585"/>
      <c r="J165" s="1585"/>
      <c r="K165" s="1585"/>
      <c r="L165" s="1585"/>
      <c r="M165" s="1585"/>
      <c r="N165" s="1585"/>
      <c r="O165" s="1585"/>
      <c r="P165" s="1585"/>
      <c r="Q165" s="1585"/>
      <c r="R165" s="1603">
        <v>29312</v>
      </c>
      <c r="S165" s="1603"/>
      <c r="T165" s="1603"/>
      <c r="U165" s="1603"/>
      <c r="V165" s="1603">
        <v>22211</v>
      </c>
      <c r="W165" s="1603"/>
      <c r="X165" s="1603"/>
      <c r="Y165" s="1603"/>
      <c r="Z165" s="1605">
        <f t="shared" si="0"/>
        <v>7101</v>
      </c>
      <c r="AA165" s="1424"/>
      <c r="AB165" s="1424"/>
      <c r="AC165" s="1424"/>
      <c r="AD165" s="1602">
        <f t="shared" si="1"/>
        <v>1.1997123287671232</v>
      </c>
      <c r="AE165" s="1177"/>
      <c r="AF165" s="1177"/>
    </row>
    <row r="166" spans="1:32" x14ac:dyDescent="0.3">
      <c r="A166" s="1593"/>
      <c r="B166" s="1593"/>
      <c r="C166" s="1593"/>
      <c r="D166" s="1593"/>
      <c r="E166" s="1593"/>
      <c r="F166" s="1585" t="s">
        <v>5466</v>
      </c>
      <c r="G166" s="1585"/>
      <c r="H166" s="1585"/>
      <c r="I166" s="1585"/>
      <c r="J166" s="1585"/>
      <c r="K166" s="1585"/>
      <c r="L166" s="1585"/>
      <c r="M166" s="1585"/>
      <c r="N166" s="1585"/>
      <c r="O166" s="1585"/>
      <c r="P166" s="1585"/>
      <c r="Q166" s="1585"/>
      <c r="R166" s="1603">
        <v>46539</v>
      </c>
      <c r="S166" s="1603"/>
      <c r="T166" s="1603"/>
      <c r="U166" s="1603"/>
      <c r="V166" s="1603">
        <v>27498</v>
      </c>
      <c r="W166" s="1603"/>
      <c r="X166" s="1603"/>
      <c r="Y166" s="1603"/>
      <c r="Z166" s="1605">
        <f t="shared" si="0"/>
        <v>19041</v>
      </c>
      <c r="AA166" s="1424"/>
      <c r="AB166" s="1424"/>
      <c r="AC166" s="1424"/>
      <c r="AD166" s="1602">
        <f t="shared" si="1"/>
        <v>3.2169726027397259</v>
      </c>
      <c r="AE166" s="1177"/>
      <c r="AF166" s="1177"/>
    </row>
    <row r="167" spans="1:32" x14ac:dyDescent="0.3">
      <c r="A167" s="1593"/>
      <c r="B167" s="1593"/>
      <c r="C167" s="1593"/>
      <c r="D167" s="1593"/>
      <c r="E167" s="1593"/>
      <c r="F167" s="1585" t="s">
        <v>5468</v>
      </c>
      <c r="G167" s="1585"/>
      <c r="H167" s="1585"/>
      <c r="I167" s="1585"/>
      <c r="J167" s="1585"/>
      <c r="K167" s="1585"/>
      <c r="L167" s="1585"/>
      <c r="M167" s="1585"/>
      <c r="N167" s="1585"/>
      <c r="O167" s="1585"/>
      <c r="P167" s="1585"/>
      <c r="Q167" s="1585"/>
      <c r="R167" s="1603">
        <v>13445</v>
      </c>
      <c r="S167" s="1603"/>
      <c r="T167" s="1603"/>
      <c r="U167" s="1603"/>
      <c r="V167" s="1603">
        <v>11049</v>
      </c>
      <c r="W167" s="1603"/>
      <c r="X167" s="1603"/>
      <c r="Y167" s="1603"/>
      <c r="Z167" s="1605">
        <f>R167-V167</f>
        <v>2396</v>
      </c>
      <c r="AA167" s="1424"/>
      <c r="AB167" s="1424"/>
      <c r="AC167" s="1424"/>
      <c r="AD167" s="1602">
        <f t="shared" si="1"/>
        <v>0.4048036529680365</v>
      </c>
      <c r="AE167" s="1177"/>
      <c r="AF167" s="1177"/>
    </row>
    <row r="168" spans="1:32" x14ac:dyDescent="0.3">
      <c r="A168" s="532" t="s">
        <v>5483</v>
      </c>
      <c r="B168" s="4"/>
      <c r="C168" s="4"/>
      <c r="D168" s="4"/>
      <c r="E168" s="4"/>
      <c r="F168" s="4"/>
      <c r="G168" s="4"/>
      <c r="H168" s="4"/>
      <c r="I168" s="4"/>
      <c r="J168" s="4"/>
      <c r="K168" s="4"/>
      <c r="L168" s="4"/>
      <c r="M168" s="4"/>
      <c r="N168" s="4"/>
      <c r="O168" s="4"/>
    </row>
    <row r="169" spans="1:32" x14ac:dyDescent="0.3">
      <c r="A169" s="187"/>
      <c r="B169" s="4"/>
      <c r="C169" s="4"/>
      <c r="D169" s="4"/>
      <c r="E169" s="4"/>
      <c r="F169" s="4"/>
      <c r="G169" s="4"/>
      <c r="H169" s="4"/>
      <c r="I169" s="4"/>
      <c r="J169" s="4"/>
      <c r="K169" s="4"/>
      <c r="L169" s="4"/>
      <c r="M169" s="4"/>
      <c r="N169" s="4"/>
      <c r="O169" s="4"/>
    </row>
    <row r="170" spans="1:32" ht="30.75" customHeight="1" x14ac:dyDescent="0.3">
      <c r="A170" s="1600" t="s">
        <v>5484</v>
      </c>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c r="AC170" s="1601"/>
      <c r="AD170" s="1601"/>
      <c r="AE170" s="1601"/>
      <c r="AF170" s="1601"/>
    </row>
    <row r="171" spans="1:32" ht="45" customHeight="1" x14ac:dyDescent="0.3">
      <c r="A171" s="1019" t="s">
        <v>5459</v>
      </c>
      <c r="B171" s="1177"/>
      <c r="C171" s="1177"/>
      <c r="D171" s="1177"/>
      <c r="E171" s="1177"/>
      <c r="F171" s="1177"/>
      <c r="G171" s="1177"/>
      <c r="H171" s="1177"/>
      <c r="I171" s="1177"/>
      <c r="J171" s="1177"/>
      <c r="K171" s="1177"/>
      <c r="L171" s="1177"/>
      <c r="M171" s="1177"/>
      <c r="N171" s="1177"/>
      <c r="O171" s="1177"/>
      <c r="P171" s="1177"/>
      <c r="Q171" s="1177"/>
      <c r="R171" s="1019" t="s">
        <v>5479</v>
      </c>
      <c r="S171" s="1011"/>
      <c r="T171" s="1011"/>
      <c r="U171" s="1011"/>
      <c r="V171" s="1019" t="s">
        <v>5480</v>
      </c>
      <c r="W171" s="1175"/>
      <c r="X171" s="1175"/>
      <c r="Y171" s="1175"/>
      <c r="Z171" s="1019" t="s">
        <v>5481</v>
      </c>
      <c r="AA171" s="1177"/>
      <c r="AB171" s="1177"/>
      <c r="AC171" s="1177"/>
      <c r="AD171" s="1019" t="s">
        <v>253</v>
      </c>
      <c r="AE171" s="1593"/>
      <c r="AF171" s="1593"/>
    </row>
    <row r="172" spans="1:32" x14ac:dyDescent="0.3">
      <c r="A172" s="1019" t="s">
        <v>5482</v>
      </c>
      <c r="B172" s="1593"/>
      <c r="C172" s="1593"/>
      <c r="D172" s="1593"/>
      <c r="E172" s="1593"/>
      <c r="F172" s="1585" t="s">
        <v>5463</v>
      </c>
      <c r="G172" s="1585"/>
      <c r="H172" s="1585"/>
      <c r="I172" s="1585"/>
      <c r="J172" s="1585"/>
      <c r="K172" s="1585"/>
      <c r="L172" s="1585"/>
      <c r="M172" s="1585"/>
      <c r="N172" s="1585"/>
      <c r="O172" s="1585"/>
      <c r="P172" s="1585"/>
      <c r="Q172" s="1585"/>
      <c r="R172" s="1603">
        <v>6917</v>
      </c>
      <c r="S172" s="1603"/>
      <c r="T172" s="1603"/>
      <c r="U172" s="1603"/>
      <c r="V172" s="1604">
        <v>4404</v>
      </c>
      <c r="W172" s="1424"/>
      <c r="X172" s="1424"/>
      <c r="Y172" s="1424"/>
      <c r="Z172" s="1605">
        <f>R172-V172</f>
        <v>2513</v>
      </c>
      <c r="AA172" s="1424"/>
      <c r="AB172" s="1424"/>
      <c r="AC172" s="1424"/>
      <c r="AD172" s="1602">
        <f t="shared" ref="AD172:AD180" si="2">Q$94*Z172/Q$93</f>
        <v>0.42457077625570772</v>
      </c>
      <c r="AE172" s="1177"/>
      <c r="AF172" s="1177"/>
    </row>
    <row r="173" spans="1:32" x14ac:dyDescent="0.3">
      <c r="A173" s="1593"/>
      <c r="B173" s="1593"/>
      <c r="C173" s="1593"/>
      <c r="D173" s="1593"/>
      <c r="E173" s="1593"/>
      <c r="F173" s="1585" t="s">
        <v>5464</v>
      </c>
      <c r="G173" s="1585"/>
      <c r="H173" s="1585"/>
      <c r="I173" s="1585"/>
      <c r="J173" s="1585"/>
      <c r="K173" s="1585"/>
      <c r="L173" s="1585"/>
      <c r="M173" s="1585"/>
      <c r="N173" s="1585"/>
      <c r="O173" s="1585"/>
      <c r="P173" s="1585"/>
      <c r="Q173" s="1585"/>
      <c r="R173" s="1603">
        <v>19079</v>
      </c>
      <c r="S173" s="1603"/>
      <c r="T173" s="1603"/>
      <c r="U173" s="1603"/>
      <c r="V173" s="1604">
        <v>10605</v>
      </c>
      <c r="W173" s="1424"/>
      <c r="X173" s="1424"/>
      <c r="Y173" s="1424"/>
      <c r="Z173" s="1605">
        <f t="shared" ref="Z173:Z180" si="3">R173-V173</f>
        <v>8474</v>
      </c>
      <c r="AA173" s="1424"/>
      <c r="AB173" s="1424"/>
      <c r="AC173" s="1424"/>
      <c r="AD173" s="1602">
        <f t="shared" si="2"/>
        <v>1.4316803652968038</v>
      </c>
      <c r="AE173" s="1177"/>
      <c r="AF173" s="1177"/>
    </row>
    <row r="174" spans="1:32" x14ac:dyDescent="0.3">
      <c r="A174" s="1593"/>
      <c r="B174" s="1593"/>
      <c r="C174" s="1593"/>
      <c r="D174" s="1593"/>
      <c r="E174" s="1593"/>
      <c r="F174" s="1585" t="s">
        <v>5465</v>
      </c>
      <c r="G174" s="1585"/>
      <c r="H174" s="1585"/>
      <c r="I174" s="1585"/>
      <c r="J174" s="1585"/>
      <c r="K174" s="1585"/>
      <c r="L174" s="1585"/>
      <c r="M174" s="1585"/>
      <c r="N174" s="1585"/>
      <c r="O174" s="1585"/>
      <c r="P174" s="1585"/>
      <c r="Q174" s="1585"/>
      <c r="R174" s="1603">
        <v>26548</v>
      </c>
      <c r="S174" s="1603"/>
      <c r="T174" s="1603"/>
      <c r="U174" s="1603"/>
      <c r="V174" s="1603">
        <v>15563</v>
      </c>
      <c r="W174" s="1603"/>
      <c r="X174" s="1603"/>
      <c r="Y174" s="1603"/>
      <c r="Z174" s="1605">
        <f t="shared" si="3"/>
        <v>10985</v>
      </c>
      <c r="AA174" s="1424"/>
      <c r="AB174" s="1424"/>
      <c r="AC174" s="1424"/>
      <c r="AD174" s="1602">
        <f t="shared" si="2"/>
        <v>1.8559132420091324</v>
      </c>
      <c r="AE174" s="1177"/>
      <c r="AF174" s="1177"/>
    </row>
    <row r="175" spans="1:32" x14ac:dyDescent="0.3">
      <c r="A175" s="1593"/>
      <c r="B175" s="1593"/>
      <c r="C175" s="1593"/>
      <c r="D175" s="1593"/>
      <c r="E175" s="1593"/>
      <c r="F175" s="1585" t="s">
        <v>5466</v>
      </c>
      <c r="G175" s="1585"/>
      <c r="H175" s="1585"/>
      <c r="I175" s="1585"/>
      <c r="J175" s="1585"/>
      <c r="K175" s="1585"/>
      <c r="L175" s="1585"/>
      <c r="M175" s="1585"/>
      <c r="N175" s="1585"/>
      <c r="O175" s="1585"/>
      <c r="P175" s="1585"/>
      <c r="Q175" s="1585"/>
      <c r="R175" s="1603">
        <v>31496</v>
      </c>
      <c r="S175" s="1603"/>
      <c r="T175" s="1603"/>
      <c r="U175" s="1603"/>
      <c r="V175" s="1603">
        <v>16214</v>
      </c>
      <c r="W175" s="1603"/>
      <c r="X175" s="1603"/>
      <c r="Y175" s="1603"/>
      <c r="Z175" s="1605">
        <f t="shared" si="3"/>
        <v>15282</v>
      </c>
      <c r="AA175" s="1424"/>
      <c r="AB175" s="1424"/>
      <c r="AC175" s="1424"/>
      <c r="AD175" s="1602">
        <f t="shared" si="2"/>
        <v>2.5818904109589043</v>
      </c>
      <c r="AE175" s="1177"/>
      <c r="AF175" s="1177"/>
    </row>
    <row r="176" spans="1:32" x14ac:dyDescent="0.3">
      <c r="A176" s="1019" t="s">
        <v>5467</v>
      </c>
      <c r="B176" s="1593"/>
      <c r="C176" s="1593"/>
      <c r="D176" s="1593"/>
      <c r="E176" s="1593"/>
      <c r="F176" s="1585" t="s">
        <v>5463</v>
      </c>
      <c r="G176" s="1585"/>
      <c r="H176" s="1585"/>
      <c r="I176" s="1585"/>
      <c r="J176" s="1585"/>
      <c r="K176" s="1585"/>
      <c r="L176" s="1585"/>
      <c r="M176" s="1585"/>
      <c r="N176" s="1585"/>
      <c r="O176" s="1585"/>
      <c r="P176" s="1585"/>
      <c r="Q176" s="1585"/>
      <c r="R176" s="1603">
        <v>6036</v>
      </c>
      <c r="S176" s="1603"/>
      <c r="T176" s="1603"/>
      <c r="U176" s="1603"/>
      <c r="V176" s="1603">
        <v>3633</v>
      </c>
      <c r="W176" s="1603"/>
      <c r="X176" s="1603"/>
      <c r="Y176" s="1603"/>
      <c r="Z176" s="1605">
        <f t="shared" si="3"/>
        <v>2403</v>
      </c>
      <c r="AA176" s="1424"/>
      <c r="AB176" s="1424"/>
      <c r="AC176" s="1424"/>
      <c r="AD176" s="1602">
        <f t="shared" si="2"/>
        <v>0.40598630136986302</v>
      </c>
      <c r="AE176" s="1177"/>
      <c r="AF176" s="1177"/>
    </row>
    <row r="177" spans="1:32" x14ac:dyDescent="0.3">
      <c r="A177" s="1593"/>
      <c r="B177" s="1593"/>
      <c r="C177" s="1593"/>
      <c r="D177" s="1593"/>
      <c r="E177" s="1593"/>
      <c r="F177" s="1585" t="s">
        <v>5464</v>
      </c>
      <c r="G177" s="1585"/>
      <c r="H177" s="1585"/>
      <c r="I177" s="1585"/>
      <c r="J177" s="1585"/>
      <c r="K177" s="1585"/>
      <c r="L177" s="1585"/>
      <c r="M177" s="1585"/>
      <c r="N177" s="1585"/>
      <c r="O177" s="1585"/>
      <c r="P177" s="1585"/>
      <c r="Q177" s="1585"/>
      <c r="R177" s="1603">
        <v>13644</v>
      </c>
      <c r="S177" s="1603"/>
      <c r="T177" s="1603"/>
      <c r="U177" s="1603"/>
      <c r="V177" s="1603">
        <v>9236</v>
      </c>
      <c r="W177" s="1603"/>
      <c r="X177" s="1603"/>
      <c r="Y177" s="1603"/>
      <c r="Z177" s="1605">
        <f t="shared" si="3"/>
        <v>4408</v>
      </c>
      <c r="AA177" s="1424"/>
      <c r="AB177" s="1424"/>
      <c r="AC177" s="1424"/>
      <c r="AD177" s="1602">
        <f t="shared" si="2"/>
        <v>0.74473059360730598</v>
      </c>
      <c r="AE177" s="1177"/>
      <c r="AF177" s="1177"/>
    </row>
    <row r="178" spans="1:32" x14ac:dyDescent="0.3">
      <c r="A178" s="1593"/>
      <c r="B178" s="1593"/>
      <c r="C178" s="1593"/>
      <c r="D178" s="1593"/>
      <c r="E178" s="1593"/>
      <c r="F178" s="1585" t="s">
        <v>5465</v>
      </c>
      <c r="G178" s="1585"/>
      <c r="H178" s="1585"/>
      <c r="I178" s="1585"/>
      <c r="J178" s="1585"/>
      <c r="K178" s="1585"/>
      <c r="L178" s="1585"/>
      <c r="M178" s="1585"/>
      <c r="N178" s="1585"/>
      <c r="O178" s="1585"/>
      <c r="P178" s="1585"/>
      <c r="Q178" s="1585"/>
      <c r="R178" s="1603">
        <v>21008</v>
      </c>
      <c r="S178" s="1603"/>
      <c r="T178" s="1603"/>
      <c r="U178" s="1603"/>
      <c r="V178" s="1603">
        <v>15529</v>
      </c>
      <c r="W178" s="1603"/>
      <c r="X178" s="1603"/>
      <c r="Y178" s="1603"/>
      <c r="Z178" s="1605">
        <f t="shared" si="3"/>
        <v>5479</v>
      </c>
      <c r="AA178" s="1424"/>
      <c r="AB178" s="1424"/>
      <c r="AC178" s="1424"/>
      <c r="AD178" s="1602">
        <f t="shared" si="2"/>
        <v>0.92567579908675801</v>
      </c>
      <c r="AE178" s="1177"/>
      <c r="AF178" s="1177"/>
    </row>
    <row r="179" spans="1:32" x14ac:dyDescent="0.3">
      <c r="A179" s="1593"/>
      <c r="B179" s="1593"/>
      <c r="C179" s="1593"/>
      <c r="D179" s="1593"/>
      <c r="E179" s="1593"/>
      <c r="F179" s="1585" t="s">
        <v>5466</v>
      </c>
      <c r="G179" s="1585"/>
      <c r="H179" s="1585"/>
      <c r="I179" s="1585"/>
      <c r="J179" s="1585"/>
      <c r="K179" s="1585"/>
      <c r="L179" s="1585"/>
      <c r="M179" s="1585"/>
      <c r="N179" s="1585"/>
      <c r="O179" s="1585"/>
      <c r="P179" s="1585"/>
      <c r="Q179" s="1585"/>
      <c r="R179" s="1603">
        <v>32652</v>
      </c>
      <c r="S179" s="1603"/>
      <c r="T179" s="1603"/>
      <c r="U179" s="1603"/>
      <c r="V179" s="1603">
        <v>19766</v>
      </c>
      <c r="W179" s="1603"/>
      <c r="X179" s="1603"/>
      <c r="Y179" s="1603"/>
      <c r="Z179" s="1605">
        <f t="shared" si="3"/>
        <v>12886</v>
      </c>
      <c r="AA179" s="1424"/>
      <c r="AB179" s="1424"/>
      <c r="AC179" s="1424"/>
      <c r="AD179" s="1602">
        <f t="shared" si="2"/>
        <v>2.1770867579908675</v>
      </c>
      <c r="AE179" s="1177"/>
      <c r="AF179" s="1177"/>
    </row>
    <row r="180" spans="1:32" x14ac:dyDescent="0.3">
      <c r="A180" s="1593"/>
      <c r="B180" s="1593"/>
      <c r="C180" s="1593"/>
      <c r="D180" s="1593"/>
      <c r="E180" s="1593"/>
      <c r="F180" s="1585" t="s">
        <v>5468</v>
      </c>
      <c r="G180" s="1585"/>
      <c r="H180" s="1585"/>
      <c r="I180" s="1585"/>
      <c r="J180" s="1585"/>
      <c r="K180" s="1585"/>
      <c r="L180" s="1585"/>
      <c r="M180" s="1585"/>
      <c r="N180" s="1585"/>
      <c r="O180" s="1585"/>
      <c r="P180" s="1585"/>
      <c r="Q180" s="1585"/>
      <c r="R180" s="1603">
        <v>8768</v>
      </c>
      <c r="S180" s="1603"/>
      <c r="T180" s="1603"/>
      <c r="U180" s="1603"/>
      <c r="V180" s="1603">
        <v>7173</v>
      </c>
      <c r="W180" s="1603"/>
      <c r="X180" s="1603"/>
      <c r="Y180" s="1603"/>
      <c r="Z180" s="1605">
        <f t="shared" si="3"/>
        <v>1595</v>
      </c>
      <c r="AA180" s="1424"/>
      <c r="AB180" s="1424"/>
      <c r="AC180" s="1424"/>
      <c r="AD180" s="1602">
        <f t="shared" si="2"/>
        <v>0.26947488584474882</v>
      </c>
      <c r="AE180" s="1177"/>
      <c r="AF180" s="1177"/>
    </row>
    <row r="181" spans="1:32" x14ac:dyDescent="0.3">
      <c r="A181" s="532" t="s">
        <v>5483</v>
      </c>
      <c r="B181" s="4"/>
      <c r="C181" s="4"/>
      <c r="D181" s="4"/>
      <c r="E181" s="4"/>
      <c r="F181" s="4"/>
      <c r="G181" s="4"/>
      <c r="H181" s="4"/>
      <c r="I181" s="4"/>
      <c r="J181" s="4"/>
      <c r="K181" s="4"/>
      <c r="L181" s="4"/>
      <c r="M181" s="4"/>
      <c r="N181" s="4"/>
      <c r="O181" s="4"/>
    </row>
    <row r="182" spans="1:32" x14ac:dyDescent="0.3">
      <c r="A182" s="187"/>
      <c r="B182" s="4"/>
      <c r="C182" s="4"/>
      <c r="D182" s="4"/>
      <c r="E182" s="4"/>
      <c r="F182" s="4"/>
      <c r="G182" s="4"/>
      <c r="H182" s="4"/>
      <c r="I182" s="4"/>
      <c r="J182" s="4"/>
      <c r="K182" s="4"/>
      <c r="L182" s="4"/>
      <c r="M182" s="4"/>
      <c r="N182" s="4"/>
      <c r="O182" s="4"/>
    </row>
    <row r="183" spans="1:32" ht="30.75" customHeight="1" x14ac:dyDescent="0.3">
      <c r="A183" s="1600" t="s">
        <v>5485</v>
      </c>
      <c r="B183" s="1601"/>
      <c r="C183" s="1601"/>
      <c r="D183" s="1601"/>
      <c r="E183" s="1601"/>
      <c r="F183" s="1601"/>
      <c r="G183" s="1601"/>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c r="AB183" s="1601"/>
      <c r="AC183" s="1601"/>
      <c r="AD183" s="1601"/>
      <c r="AE183" s="1601"/>
      <c r="AF183" s="1601"/>
    </row>
    <row r="184" spans="1:32" ht="45" customHeight="1" x14ac:dyDescent="0.3">
      <c r="A184" s="1019" t="s">
        <v>5459</v>
      </c>
      <c r="B184" s="1177"/>
      <c r="C184" s="1177"/>
      <c r="D184" s="1177"/>
      <c r="E184" s="1177"/>
      <c r="F184" s="1177"/>
      <c r="G184" s="1177"/>
      <c r="H184" s="1177"/>
      <c r="I184" s="1177"/>
      <c r="J184" s="1177"/>
      <c r="K184" s="1177"/>
      <c r="L184" s="1177"/>
      <c r="M184" s="1177"/>
      <c r="N184" s="1177"/>
      <c r="O184" s="1177"/>
      <c r="P184" s="1177"/>
      <c r="Q184" s="1177"/>
      <c r="R184" s="1019" t="s">
        <v>5479</v>
      </c>
      <c r="S184" s="1011"/>
      <c r="T184" s="1011"/>
      <c r="U184" s="1011"/>
      <c r="V184" s="1019" t="s">
        <v>5480</v>
      </c>
      <c r="W184" s="1175"/>
      <c r="X184" s="1175"/>
      <c r="Y184" s="1175"/>
      <c r="Z184" s="1019" t="s">
        <v>5481</v>
      </c>
      <c r="AA184" s="1177"/>
      <c r="AB184" s="1177"/>
      <c r="AC184" s="1177"/>
      <c r="AD184" s="1019" t="s">
        <v>253</v>
      </c>
      <c r="AE184" s="1593"/>
      <c r="AF184" s="1593"/>
    </row>
    <row r="185" spans="1:32" x14ac:dyDescent="0.3">
      <c r="A185" s="1019" t="s">
        <v>5482</v>
      </c>
      <c r="B185" s="1593"/>
      <c r="C185" s="1593"/>
      <c r="D185" s="1593"/>
      <c r="E185" s="1593"/>
      <c r="F185" s="1585" t="s">
        <v>5463</v>
      </c>
      <c r="G185" s="1585"/>
      <c r="H185" s="1585"/>
      <c r="I185" s="1585"/>
      <c r="J185" s="1585"/>
      <c r="K185" s="1585"/>
      <c r="L185" s="1585"/>
      <c r="M185" s="1585"/>
      <c r="N185" s="1585"/>
      <c r="O185" s="1585"/>
      <c r="P185" s="1585"/>
      <c r="Q185" s="1585"/>
      <c r="R185" s="1606">
        <v>1886</v>
      </c>
      <c r="S185" s="1607"/>
      <c r="T185" s="1607"/>
      <c r="U185" s="1608"/>
      <c r="V185" s="1604">
        <v>943</v>
      </c>
      <c r="W185" s="1424"/>
      <c r="X185" s="1424"/>
      <c r="Y185" s="1424"/>
      <c r="Z185" s="1605">
        <f>R185-V185</f>
        <v>943</v>
      </c>
      <c r="AA185" s="1424"/>
      <c r="AB185" s="1424"/>
      <c r="AC185" s="1424"/>
      <c r="AD185" s="1602">
        <f t="shared" ref="AD185:AD193" si="4">Q$94*Z185/Q$93</f>
        <v>0.15931963470319632</v>
      </c>
      <c r="AE185" s="1177"/>
      <c r="AF185" s="1177"/>
    </row>
    <row r="186" spans="1:32" x14ac:dyDescent="0.3">
      <c r="A186" s="1593"/>
      <c r="B186" s="1593"/>
      <c r="C186" s="1593"/>
      <c r="D186" s="1593"/>
      <c r="E186" s="1593"/>
      <c r="F186" s="1585" t="s">
        <v>5464</v>
      </c>
      <c r="G186" s="1585"/>
      <c r="H186" s="1585"/>
      <c r="I186" s="1585"/>
      <c r="J186" s="1585"/>
      <c r="K186" s="1585"/>
      <c r="L186" s="1585"/>
      <c r="M186" s="1585"/>
      <c r="N186" s="1585"/>
      <c r="O186" s="1585"/>
      <c r="P186" s="1585"/>
      <c r="Q186" s="1585"/>
      <c r="R186" s="1606">
        <v>1856</v>
      </c>
      <c r="S186" s="1607"/>
      <c r="T186" s="1607"/>
      <c r="U186" s="1608"/>
      <c r="V186" s="1604">
        <v>928</v>
      </c>
      <c r="W186" s="1424"/>
      <c r="X186" s="1424"/>
      <c r="Y186" s="1424"/>
      <c r="Z186" s="1605">
        <f t="shared" ref="Z186:Z192" si="5">R186-V186</f>
        <v>928</v>
      </c>
      <c r="AA186" s="1424"/>
      <c r="AB186" s="1424"/>
      <c r="AC186" s="1424"/>
      <c r="AD186" s="1602">
        <f t="shared" si="4"/>
        <v>0.15678538812785389</v>
      </c>
      <c r="AE186" s="1177"/>
      <c r="AF186" s="1177"/>
    </row>
    <row r="187" spans="1:32" x14ac:dyDescent="0.3">
      <c r="A187" s="1593"/>
      <c r="B187" s="1593"/>
      <c r="C187" s="1593"/>
      <c r="D187" s="1593"/>
      <c r="E187" s="1593"/>
      <c r="F187" s="1585" t="s">
        <v>5465</v>
      </c>
      <c r="G187" s="1585"/>
      <c r="H187" s="1585"/>
      <c r="I187" s="1585"/>
      <c r="J187" s="1585"/>
      <c r="K187" s="1585"/>
      <c r="L187" s="1585"/>
      <c r="M187" s="1585"/>
      <c r="N187" s="1585"/>
      <c r="O187" s="1585"/>
      <c r="P187" s="1585"/>
      <c r="Q187" s="1585"/>
      <c r="R187" s="1606">
        <v>6229</v>
      </c>
      <c r="S187" s="1607"/>
      <c r="T187" s="1607"/>
      <c r="U187" s="1608"/>
      <c r="V187" s="1603">
        <v>3309</v>
      </c>
      <c r="W187" s="1603"/>
      <c r="X187" s="1603"/>
      <c r="Y187" s="1603"/>
      <c r="Z187" s="1605">
        <f t="shared" si="5"/>
        <v>2920</v>
      </c>
      <c r="AA187" s="1424"/>
      <c r="AB187" s="1424"/>
      <c r="AC187" s="1424"/>
      <c r="AD187" s="1602">
        <f t="shared" si="4"/>
        <v>0.4933333333333334</v>
      </c>
      <c r="AE187" s="1177"/>
      <c r="AF187" s="1177"/>
    </row>
    <row r="188" spans="1:32" x14ac:dyDescent="0.3">
      <c r="A188" s="1593"/>
      <c r="B188" s="1593"/>
      <c r="C188" s="1593"/>
      <c r="D188" s="1593"/>
      <c r="E188" s="1593"/>
      <c r="F188" s="1585" t="s">
        <v>5466</v>
      </c>
      <c r="G188" s="1585"/>
      <c r="H188" s="1585"/>
      <c r="I188" s="1585"/>
      <c r="J188" s="1585"/>
      <c r="K188" s="1585"/>
      <c r="L188" s="1585"/>
      <c r="M188" s="1585"/>
      <c r="N188" s="1585"/>
      <c r="O188" s="1585"/>
      <c r="P188" s="1585"/>
      <c r="Q188" s="1585"/>
      <c r="R188" s="1606">
        <v>7300</v>
      </c>
      <c r="S188" s="1607"/>
      <c r="T188" s="1607"/>
      <c r="U188" s="1608"/>
      <c r="V188" s="1603">
        <v>3650</v>
      </c>
      <c r="W188" s="1603"/>
      <c r="X188" s="1603"/>
      <c r="Y188" s="1603"/>
      <c r="Z188" s="1605">
        <f t="shared" si="5"/>
        <v>3650</v>
      </c>
      <c r="AA188" s="1424"/>
      <c r="AB188" s="1424"/>
      <c r="AC188" s="1424"/>
      <c r="AD188" s="1602">
        <f t="shared" si="4"/>
        <v>0.6166666666666667</v>
      </c>
      <c r="AE188" s="1177"/>
      <c r="AF188" s="1177"/>
    </row>
    <row r="189" spans="1:32" x14ac:dyDescent="0.3">
      <c r="A189" s="1019" t="s">
        <v>5467</v>
      </c>
      <c r="B189" s="1593"/>
      <c r="C189" s="1593"/>
      <c r="D189" s="1593"/>
      <c r="E189" s="1593"/>
      <c r="F189" s="1585" t="s">
        <v>5463</v>
      </c>
      <c r="G189" s="1585"/>
      <c r="H189" s="1585"/>
      <c r="I189" s="1585"/>
      <c r="J189" s="1585"/>
      <c r="K189" s="1585"/>
      <c r="L189" s="1585"/>
      <c r="M189" s="1585"/>
      <c r="N189" s="1585"/>
      <c r="O189" s="1585"/>
      <c r="P189" s="1585"/>
      <c r="Q189" s="1585"/>
      <c r="R189" s="1606">
        <v>4817</v>
      </c>
      <c r="S189" s="1607"/>
      <c r="T189" s="1607"/>
      <c r="U189" s="1608"/>
      <c r="V189" s="1603">
        <v>2671</v>
      </c>
      <c r="W189" s="1603"/>
      <c r="X189" s="1603"/>
      <c r="Y189" s="1603"/>
      <c r="Z189" s="1605">
        <f t="shared" si="5"/>
        <v>2146</v>
      </c>
      <c r="AA189" s="1424"/>
      <c r="AB189" s="1424"/>
      <c r="AC189" s="1424"/>
      <c r="AD189" s="1602">
        <f t="shared" si="4"/>
        <v>0.36256621004566209</v>
      </c>
      <c r="AE189" s="1177"/>
      <c r="AF189" s="1177"/>
    </row>
    <row r="190" spans="1:32" x14ac:dyDescent="0.3">
      <c r="A190" s="1593"/>
      <c r="B190" s="1593"/>
      <c r="C190" s="1593"/>
      <c r="D190" s="1593"/>
      <c r="E190" s="1593"/>
      <c r="F190" s="1585" t="s">
        <v>5464</v>
      </c>
      <c r="G190" s="1585"/>
      <c r="H190" s="1585"/>
      <c r="I190" s="1585"/>
      <c r="J190" s="1585"/>
      <c r="K190" s="1585"/>
      <c r="L190" s="1585"/>
      <c r="M190" s="1585"/>
      <c r="N190" s="1585"/>
      <c r="O190" s="1585"/>
      <c r="P190" s="1585"/>
      <c r="Q190" s="1585"/>
      <c r="R190" s="1606">
        <v>9575</v>
      </c>
      <c r="S190" s="1607"/>
      <c r="T190" s="1607"/>
      <c r="U190" s="1608"/>
      <c r="V190" s="1603">
        <v>6429</v>
      </c>
      <c r="W190" s="1603"/>
      <c r="X190" s="1603"/>
      <c r="Y190" s="1603"/>
      <c r="Z190" s="1605">
        <f t="shared" si="5"/>
        <v>3146</v>
      </c>
      <c r="AA190" s="1424"/>
      <c r="AB190" s="1424"/>
      <c r="AC190" s="1424"/>
      <c r="AD190" s="1602">
        <f t="shared" si="4"/>
        <v>0.53151598173515979</v>
      </c>
      <c r="AE190" s="1177"/>
      <c r="AF190" s="1177"/>
    </row>
    <row r="191" spans="1:32" x14ac:dyDescent="0.3">
      <c r="A191" s="1593"/>
      <c r="B191" s="1593"/>
      <c r="C191" s="1593"/>
      <c r="D191" s="1593"/>
      <c r="E191" s="1593"/>
      <c r="F191" s="1585" t="s">
        <v>5465</v>
      </c>
      <c r="G191" s="1585"/>
      <c r="H191" s="1585"/>
      <c r="I191" s="1585"/>
      <c r="J191" s="1585"/>
      <c r="K191" s="1585"/>
      <c r="L191" s="1585"/>
      <c r="M191" s="1585"/>
      <c r="N191" s="1585"/>
      <c r="O191" s="1585"/>
      <c r="P191" s="1585"/>
      <c r="Q191" s="1585"/>
      <c r="R191" s="1606">
        <v>15818</v>
      </c>
      <c r="S191" s="1607"/>
      <c r="T191" s="1607"/>
      <c r="U191" s="1608"/>
      <c r="V191" s="1603">
        <v>11353</v>
      </c>
      <c r="W191" s="1603"/>
      <c r="X191" s="1603"/>
      <c r="Y191" s="1603"/>
      <c r="Z191" s="1605">
        <f t="shared" si="5"/>
        <v>4465</v>
      </c>
      <c r="AA191" s="1424"/>
      <c r="AB191" s="1424"/>
      <c r="AC191" s="1424"/>
      <c r="AD191" s="1602">
        <f t="shared" si="4"/>
        <v>0.75436073059360731</v>
      </c>
      <c r="AE191" s="1177"/>
      <c r="AF191" s="1177"/>
    </row>
    <row r="192" spans="1:32" x14ac:dyDescent="0.3">
      <c r="A192" s="1593"/>
      <c r="B192" s="1593"/>
      <c r="C192" s="1593"/>
      <c r="D192" s="1593"/>
      <c r="E192" s="1593"/>
      <c r="F192" s="1585" t="s">
        <v>5466</v>
      </c>
      <c r="G192" s="1585"/>
      <c r="H192" s="1585"/>
      <c r="I192" s="1585"/>
      <c r="J192" s="1585"/>
      <c r="K192" s="1585"/>
      <c r="L192" s="1585"/>
      <c r="M192" s="1585"/>
      <c r="N192" s="1585"/>
      <c r="O192" s="1585"/>
      <c r="P192" s="1585"/>
      <c r="Q192" s="1585"/>
      <c r="R192" s="1606">
        <v>23972</v>
      </c>
      <c r="S192" s="1607"/>
      <c r="T192" s="1607"/>
      <c r="U192" s="1608"/>
      <c r="V192" s="1603">
        <v>14934</v>
      </c>
      <c r="W192" s="1603"/>
      <c r="X192" s="1603"/>
      <c r="Y192" s="1603"/>
      <c r="Z192" s="1605">
        <f t="shared" si="5"/>
        <v>9038</v>
      </c>
      <c r="AA192" s="1424"/>
      <c r="AB192" s="1424"/>
      <c r="AC192" s="1424"/>
      <c r="AD192" s="1602">
        <f t="shared" si="4"/>
        <v>1.5269680365296803</v>
      </c>
      <c r="AE192" s="1177"/>
      <c r="AF192" s="1177"/>
    </row>
    <row r="193" spans="1:32" x14ac:dyDescent="0.3">
      <c r="A193" s="1593"/>
      <c r="B193" s="1593"/>
      <c r="C193" s="1593"/>
      <c r="D193" s="1593"/>
      <c r="E193" s="1593"/>
      <c r="F193" s="1585" t="s">
        <v>5468</v>
      </c>
      <c r="G193" s="1585"/>
      <c r="H193" s="1585"/>
      <c r="I193" s="1585"/>
      <c r="J193" s="1585"/>
      <c r="K193" s="1585"/>
      <c r="L193" s="1585"/>
      <c r="M193" s="1585"/>
      <c r="N193" s="1585"/>
      <c r="O193" s="1585"/>
      <c r="P193" s="1585"/>
      <c r="Q193" s="1585"/>
      <c r="R193" s="1606">
        <v>5845</v>
      </c>
      <c r="S193" s="1607"/>
      <c r="T193" s="1607"/>
      <c r="U193" s="1608"/>
      <c r="V193" s="1603">
        <v>4751</v>
      </c>
      <c r="W193" s="1603"/>
      <c r="X193" s="1603"/>
      <c r="Y193" s="1603"/>
      <c r="Z193" s="1605">
        <f>R193-V193</f>
        <v>1094</v>
      </c>
      <c r="AA193" s="1424"/>
      <c r="AB193" s="1424"/>
      <c r="AC193" s="1424"/>
      <c r="AD193" s="1602">
        <f t="shared" si="4"/>
        <v>0.18483105022831048</v>
      </c>
      <c r="AE193" s="1177"/>
      <c r="AF193" s="1177"/>
    </row>
    <row r="194" spans="1:32" x14ac:dyDescent="0.3">
      <c r="A194" s="532" t="s">
        <v>5483</v>
      </c>
      <c r="B194" s="4"/>
      <c r="C194" s="4"/>
      <c r="D194" s="4"/>
      <c r="E194" s="4"/>
      <c r="F194" s="4"/>
      <c r="G194" s="4"/>
      <c r="H194" s="4"/>
      <c r="I194" s="4"/>
      <c r="J194" s="4"/>
      <c r="K194" s="4"/>
      <c r="L194" s="4"/>
      <c r="M194" s="4"/>
      <c r="N194" s="4"/>
      <c r="O194" s="4"/>
    </row>
    <row r="195" spans="1:32" x14ac:dyDescent="0.3">
      <c r="A195" s="187"/>
      <c r="B195" s="4"/>
      <c r="C195" s="4"/>
      <c r="D195" s="4"/>
      <c r="E195" s="4"/>
      <c r="F195" s="4"/>
      <c r="G195" s="4"/>
      <c r="H195" s="4"/>
      <c r="I195" s="4"/>
      <c r="J195" s="4"/>
      <c r="K195" s="4"/>
      <c r="L195" s="4"/>
      <c r="M195" s="4"/>
      <c r="N195" s="4"/>
      <c r="O195" s="4"/>
    </row>
    <row r="196" spans="1:32" ht="30.75" customHeight="1" x14ac:dyDescent="0.3">
      <c r="A196" s="1600" t="s">
        <v>5486</v>
      </c>
      <c r="B196" s="1601"/>
      <c r="C196" s="1601"/>
      <c r="D196" s="1601"/>
      <c r="E196" s="1601"/>
      <c r="F196" s="1601"/>
      <c r="G196" s="1601"/>
      <c r="H196" s="1601"/>
      <c r="I196" s="1601"/>
      <c r="J196" s="1601"/>
      <c r="K196" s="1601"/>
      <c r="L196" s="1601"/>
      <c r="M196" s="1601"/>
      <c r="N196" s="1601"/>
      <c r="O196" s="1601"/>
      <c r="P196" s="1601"/>
      <c r="Q196" s="1601"/>
      <c r="R196" s="1601"/>
      <c r="S196" s="1601"/>
      <c r="T196" s="1601"/>
      <c r="U196" s="1601"/>
      <c r="V196" s="1601"/>
      <c r="W196" s="1601"/>
      <c r="X196" s="1601"/>
      <c r="Y196" s="1601"/>
      <c r="Z196" s="1601"/>
      <c r="AA196" s="1601"/>
      <c r="AB196" s="1601"/>
      <c r="AC196" s="1601"/>
      <c r="AD196" s="1601"/>
      <c r="AE196" s="1601"/>
      <c r="AF196" s="1601"/>
    </row>
    <row r="197" spans="1:32" x14ac:dyDescent="0.3">
      <c r="A197" s="1019" t="s">
        <v>5459</v>
      </c>
      <c r="B197" s="1177"/>
      <c r="C197" s="1177"/>
      <c r="D197" s="1177"/>
      <c r="E197" s="1177"/>
      <c r="F197" s="1177"/>
      <c r="G197" s="1177"/>
      <c r="H197" s="1177"/>
      <c r="I197" s="1177"/>
      <c r="J197" s="1177"/>
      <c r="K197" s="1177"/>
      <c r="L197" s="1177"/>
      <c r="M197" s="1177"/>
      <c r="N197" s="1177"/>
      <c r="O197" s="1177"/>
      <c r="P197" s="1177"/>
      <c r="Q197" s="1177"/>
      <c r="R197" s="1019" t="s">
        <v>5479</v>
      </c>
      <c r="S197" s="1011"/>
      <c r="T197" s="1011"/>
      <c r="U197" s="1011"/>
      <c r="V197" s="1019" t="s">
        <v>5480</v>
      </c>
      <c r="W197" s="1175"/>
      <c r="X197" s="1175"/>
      <c r="Y197" s="1175"/>
      <c r="Z197" s="1019" t="s">
        <v>5481</v>
      </c>
      <c r="AA197" s="1177"/>
      <c r="AB197" s="1177"/>
      <c r="AC197" s="1177"/>
      <c r="AD197" s="1019" t="s">
        <v>253</v>
      </c>
      <c r="AE197" s="1593"/>
      <c r="AF197" s="1593"/>
    </row>
    <row r="198" spans="1:32" x14ac:dyDescent="0.3">
      <c r="A198" s="1019" t="s">
        <v>5482</v>
      </c>
      <c r="B198" s="1593"/>
      <c r="C198" s="1593"/>
      <c r="D198" s="1593"/>
      <c r="E198" s="1593"/>
      <c r="F198" s="1585" t="s">
        <v>5463</v>
      </c>
      <c r="G198" s="1585"/>
      <c r="H198" s="1585"/>
      <c r="I198" s="1585"/>
      <c r="J198" s="1585"/>
      <c r="K198" s="1585"/>
      <c r="L198" s="1585"/>
      <c r="M198" s="1585"/>
      <c r="N198" s="1585"/>
      <c r="O198" s="1585"/>
      <c r="P198" s="1585"/>
      <c r="Q198" s="1585"/>
      <c r="R198" s="1606">
        <v>1886</v>
      </c>
      <c r="S198" s="1607"/>
      <c r="T198" s="1607"/>
      <c r="U198" s="1608"/>
      <c r="V198" s="1604">
        <v>943</v>
      </c>
      <c r="W198" s="1424"/>
      <c r="X198" s="1424"/>
      <c r="Y198" s="1424"/>
      <c r="Z198" s="1605">
        <f>R198-V198</f>
        <v>943</v>
      </c>
      <c r="AA198" s="1424"/>
      <c r="AB198" s="1424"/>
      <c r="AC198" s="1424"/>
      <c r="AD198" s="1602">
        <f t="shared" ref="AD198:AD206" si="6">Q$94*Z198/Q$93</f>
        <v>0.15931963470319632</v>
      </c>
      <c r="AE198" s="1177"/>
      <c r="AF198" s="1177"/>
    </row>
    <row r="199" spans="1:32" x14ac:dyDescent="0.3">
      <c r="A199" s="1593"/>
      <c r="B199" s="1593"/>
      <c r="C199" s="1593"/>
      <c r="D199" s="1593"/>
      <c r="E199" s="1593"/>
      <c r="F199" s="1585" t="s">
        <v>5464</v>
      </c>
      <c r="G199" s="1585"/>
      <c r="H199" s="1585"/>
      <c r="I199" s="1585"/>
      <c r="J199" s="1585"/>
      <c r="K199" s="1585"/>
      <c r="L199" s="1585"/>
      <c r="M199" s="1585"/>
      <c r="N199" s="1585"/>
      <c r="O199" s="1585"/>
      <c r="P199" s="1585"/>
      <c r="Q199" s="1585"/>
      <c r="R199" s="1606">
        <v>1856</v>
      </c>
      <c r="S199" s="1607"/>
      <c r="T199" s="1607"/>
      <c r="U199" s="1608"/>
      <c r="V199" s="1604">
        <v>928</v>
      </c>
      <c r="W199" s="1424"/>
      <c r="X199" s="1424"/>
      <c r="Y199" s="1424"/>
      <c r="Z199" s="1605">
        <f t="shared" ref="Z199:Z206" si="7">R199-V199</f>
        <v>928</v>
      </c>
      <c r="AA199" s="1424"/>
      <c r="AB199" s="1424"/>
      <c r="AC199" s="1424"/>
      <c r="AD199" s="1602">
        <f t="shared" si="6"/>
        <v>0.15678538812785389</v>
      </c>
      <c r="AE199" s="1177"/>
      <c r="AF199" s="1177"/>
    </row>
    <row r="200" spans="1:32" x14ac:dyDescent="0.3">
      <c r="A200" s="1593"/>
      <c r="B200" s="1593"/>
      <c r="C200" s="1593"/>
      <c r="D200" s="1593"/>
      <c r="E200" s="1593"/>
      <c r="F200" s="1585" t="s">
        <v>5465</v>
      </c>
      <c r="G200" s="1585"/>
      <c r="H200" s="1585"/>
      <c r="I200" s="1585"/>
      <c r="J200" s="1585"/>
      <c r="K200" s="1585"/>
      <c r="L200" s="1585"/>
      <c r="M200" s="1585"/>
      <c r="N200" s="1585"/>
      <c r="O200" s="1585"/>
      <c r="P200" s="1585"/>
      <c r="Q200" s="1585"/>
      <c r="R200" s="1606">
        <v>6229</v>
      </c>
      <c r="S200" s="1607"/>
      <c r="T200" s="1607"/>
      <c r="U200" s="1608"/>
      <c r="V200" s="1603">
        <v>3309</v>
      </c>
      <c r="W200" s="1603"/>
      <c r="X200" s="1603"/>
      <c r="Y200" s="1603"/>
      <c r="Z200" s="1605">
        <f t="shared" si="7"/>
        <v>2920</v>
      </c>
      <c r="AA200" s="1424"/>
      <c r="AB200" s="1424"/>
      <c r="AC200" s="1424"/>
      <c r="AD200" s="1602">
        <f t="shared" si="6"/>
        <v>0.4933333333333334</v>
      </c>
      <c r="AE200" s="1177"/>
      <c r="AF200" s="1177"/>
    </row>
    <row r="201" spans="1:32" x14ac:dyDescent="0.3">
      <c r="A201" s="1593"/>
      <c r="B201" s="1593"/>
      <c r="C201" s="1593"/>
      <c r="D201" s="1593"/>
      <c r="E201" s="1593"/>
      <c r="F201" s="1585" t="s">
        <v>5466</v>
      </c>
      <c r="G201" s="1585"/>
      <c r="H201" s="1585"/>
      <c r="I201" s="1585"/>
      <c r="J201" s="1585"/>
      <c r="K201" s="1585"/>
      <c r="L201" s="1585"/>
      <c r="M201" s="1585"/>
      <c r="N201" s="1585"/>
      <c r="O201" s="1585"/>
      <c r="P201" s="1585"/>
      <c r="Q201" s="1585"/>
      <c r="R201" s="1606">
        <v>7300</v>
      </c>
      <c r="S201" s="1607"/>
      <c r="T201" s="1607"/>
      <c r="U201" s="1608"/>
      <c r="V201" s="1603">
        <v>3650</v>
      </c>
      <c r="W201" s="1603"/>
      <c r="X201" s="1603"/>
      <c r="Y201" s="1603"/>
      <c r="Z201" s="1605">
        <f t="shared" si="7"/>
        <v>3650</v>
      </c>
      <c r="AA201" s="1424"/>
      <c r="AB201" s="1424"/>
      <c r="AC201" s="1424"/>
      <c r="AD201" s="1602">
        <f t="shared" si="6"/>
        <v>0.6166666666666667</v>
      </c>
      <c r="AE201" s="1177"/>
      <c r="AF201" s="1177"/>
    </row>
    <row r="202" spans="1:32" x14ac:dyDescent="0.3">
      <c r="A202" s="1019" t="s">
        <v>5467</v>
      </c>
      <c r="B202" s="1593"/>
      <c r="C202" s="1593"/>
      <c r="D202" s="1593"/>
      <c r="E202" s="1593"/>
      <c r="F202" s="1585" t="s">
        <v>5463</v>
      </c>
      <c r="G202" s="1585"/>
      <c r="H202" s="1585"/>
      <c r="I202" s="1585"/>
      <c r="J202" s="1585"/>
      <c r="K202" s="1585"/>
      <c r="L202" s="1585"/>
      <c r="M202" s="1585"/>
      <c r="N202" s="1585"/>
      <c r="O202" s="1585"/>
      <c r="P202" s="1585"/>
      <c r="Q202" s="1585"/>
      <c r="R202" s="1606">
        <v>2866</v>
      </c>
      <c r="S202" s="1607"/>
      <c r="T202" s="1607"/>
      <c r="U202" s="1608"/>
      <c r="V202" s="1603">
        <v>1132</v>
      </c>
      <c r="W202" s="1603"/>
      <c r="X202" s="1603"/>
      <c r="Y202" s="1603"/>
      <c r="Z202" s="1605">
        <f t="shared" si="7"/>
        <v>1734</v>
      </c>
      <c r="AA202" s="1424"/>
      <c r="AB202" s="1424"/>
      <c r="AC202" s="1424"/>
      <c r="AD202" s="1602">
        <f t="shared" si="6"/>
        <v>0.29295890410958908</v>
      </c>
      <c r="AE202" s="1177"/>
      <c r="AF202" s="1177"/>
    </row>
    <row r="203" spans="1:32" x14ac:dyDescent="0.3">
      <c r="A203" s="1593"/>
      <c r="B203" s="1593"/>
      <c r="C203" s="1593"/>
      <c r="D203" s="1593"/>
      <c r="E203" s="1593"/>
      <c r="F203" s="1585" t="s">
        <v>5464</v>
      </c>
      <c r="G203" s="1585"/>
      <c r="H203" s="1585"/>
      <c r="I203" s="1585"/>
      <c r="J203" s="1585"/>
      <c r="K203" s="1585"/>
      <c r="L203" s="1585"/>
      <c r="M203" s="1585"/>
      <c r="N203" s="1585"/>
      <c r="O203" s="1585"/>
      <c r="P203" s="1585"/>
      <c r="Q203" s="1585"/>
      <c r="R203" s="1606">
        <v>3064</v>
      </c>
      <c r="S203" s="1607"/>
      <c r="T203" s="1607"/>
      <c r="U203" s="1608"/>
      <c r="V203" s="1603">
        <v>1937</v>
      </c>
      <c r="W203" s="1603"/>
      <c r="X203" s="1603"/>
      <c r="Y203" s="1603"/>
      <c r="Z203" s="1605">
        <f t="shared" si="7"/>
        <v>1127</v>
      </c>
      <c r="AA203" s="1424"/>
      <c r="AB203" s="1424"/>
      <c r="AC203" s="1424"/>
      <c r="AD203" s="1602">
        <f t="shared" si="6"/>
        <v>0.19040639269406393</v>
      </c>
      <c r="AE203" s="1177"/>
      <c r="AF203" s="1177"/>
    </row>
    <row r="204" spans="1:32" x14ac:dyDescent="0.3">
      <c r="A204" s="1593"/>
      <c r="B204" s="1593"/>
      <c r="C204" s="1593"/>
      <c r="D204" s="1593"/>
      <c r="E204" s="1593"/>
      <c r="F204" s="1585" t="s">
        <v>5465</v>
      </c>
      <c r="G204" s="1585"/>
      <c r="H204" s="1585"/>
      <c r="I204" s="1585"/>
      <c r="J204" s="1585"/>
      <c r="K204" s="1585"/>
      <c r="L204" s="1585"/>
      <c r="M204" s="1585"/>
      <c r="N204" s="1585"/>
      <c r="O204" s="1585"/>
      <c r="P204" s="1585"/>
      <c r="Q204" s="1585"/>
      <c r="R204" s="1606">
        <v>7514</v>
      </c>
      <c r="S204" s="1607"/>
      <c r="T204" s="1607"/>
      <c r="U204" s="1608"/>
      <c r="V204" s="1613">
        <v>4672</v>
      </c>
      <c r="W204" s="1613"/>
      <c r="X204" s="1613"/>
      <c r="Y204" s="1613"/>
      <c r="Z204" s="1605">
        <f t="shared" si="7"/>
        <v>2842</v>
      </c>
      <c r="AA204" s="1424"/>
      <c r="AB204" s="1424"/>
      <c r="AC204" s="1424"/>
      <c r="AD204" s="1602">
        <f t="shared" si="6"/>
        <v>0.4801552511415525</v>
      </c>
      <c r="AE204" s="1177"/>
      <c r="AF204" s="1177"/>
    </row>
    <row r="205" spans="1:32" x14ac:dyDescent="0.3">
      <c r="A205" s="1593"/>
      <c r="B205" s="1593"/>
      <c r="C205" s="1593"/>
      <c r="D205" s="1593"/>
      <c r="E205" s="1593"/>
      <c r="F205" s="1585" t="s">
        <v>5466</v>
      </c>
      <c r="G205" s="1585"/>
      <c r="H205" s="1585"/>
      <c r="I205" s="1585"/>
      <c r="J205" s="1585"/>
      <c r="K205" s="1585"/>
      <c r="L205" s="1585"/>
      <c r="M205" s="1585"/>
      <c r="N205" s="1585"/>
      <c r="O205" s="1585"/>
      <c r="P205" s="1585"/>
      <c r="Q205" s="1585"/>
      <c r="R205" s="1606">
        <v>10084</v>
      </c>
      <c r="S205" s="1607"/>
      <c r="T205" s="1607"/>
      <c r="U205" s="1608"/>
      <c r="V205" s="1603">
        <v>7203</v>
      </c>
      <c r="W205" s="1603"/>
      <c r="X205" s="1603"/>
      <c r="Y205" s="1603"/>
      <c r="Z205" s="1605">
        <f>R205-V205</f>
        <v>2881</v>
      </c>
      <c r="AA205" s="1424"/>
      <c r="AB205" s="1424"/>
      <c r="AC205" s="1424"/>
      <c r="AD205" s="1602">
        <f t="shared" si="6"/>
        <v>0.48674429223744292</v>
      </c>
      <c r="AE205" s="1177"/>
      <c r="AF205" s="1177"/>
    </row>
    <row r="206" spans="1:32" x14ac:dyDescent="0.3">
      <c r="A206" s="1593"/>
      <c r="B206" s="1593"/>
      <c r="C206" s="1593"/>
      <c r="D206" s="1593"/>
      <c r="E206" s="1593"/>
      <c r="F206" s="1585" t="s">
        <v>5468</v>
      </c>
      <c r="G206" s="1585"/>
      <c r="H206" s="1585"/>
      <c r="I206" s="1585"/>
      <c r="J206" s="1585"/>
      <c r="K206" s="1585"/>
      <c r="L206" s="1585"/>
      <c r="M206" s="1585"/>
      <c r="N206" s="1585"/>
      <c r="O206" s="1585"/>
      <c r="P206" s="1585"/>
      <c r="Q206" s="1585"/>
      <c r="R206" s="1606">
        <v>1168</v>
      </c>
      <c r="S206" s="1607"/>
      <c r="T206" s="1607"/>
      <c r="U206" s="1608"/>
      <c r="V206" s="1603">
        <v>876</v>
      </c>
      <c r="W206" s="1603"/>
      <c r="X206" s="1603"/>
      <c r="Y206" s="1603"/>
      <c r="Z206" s="1605">
        <f t="shared" si="7"/>
        <v>292</v>
      </c>
      <c r="AA206" s="1424"/>
      <c r="AB206" s="1424"/>
      <c r="AC206" s="1424"/>
      <c r="AD206" s="1602">
        <f t="shared" si="6"/>
        <v>4.9333333333333326E-2</v>
      </c>
      <c r="AE206" s="1177"/>
      <c r="AF206" s="1177"/>
    </row>
    <row r="207" spans="1:32" x14ac:dyDescent="0.3">
      <c r="A207" s="532" t="s">
        <v>5483</v>
      </c>
      <c r="B207" s="4"/>
      <c r="C207" s="4"/>
      <c r="D207" s="4"/>
      <c r="E207" s="4"/>
      <c r="F207" s="4"/>
      <c r="G207" s="4"/>
      <c r="H207" s="4"/>
      <c r="I207" s="4"/>
      <c r="J207" s="4"/>
      <c r="K207" s="4"/>
      <c r="L207" s="4"/>
      <c r="M207" s="4"/>
      <c r="N207" s="4"/>
      <c r="O207" s="4"/>
    </row>
    <row r="208" spans="1:32" x14ac:dyDescent="0.3">
      <c r="A208" s="720"/>
      <c r="B208" s="4"/>
      <c r="C208" s="4"/>
      <c r="D208" s="4"/>
      <c r="E208" s="4"/>
      <c r="F208" s="4"/>
      <c r="G208" s="4"/>
      <c r="H208" s="4"/>
      <c r="I208" s="4"/>
      <c r="J208" s="4"/>
      <c r="K208" s="4"/>
      <c r="L208" s="4"/>
      <c r="M208" s="4"/>
      <c r="N208" s="4"/>
      <c r="O208" s="4"/>
    </row>
    <row r="209" spans="1:32" x14ac:dyDescent="0.3">
      <c r="A209" s="187" t="s">
        <v>5487</v>
      </c>
      <c r="B209" s="187"/>
      <c r="C209" s="187"/>
      <c r="D209" s="187"/>
      <c r="E209" s="187"/>
      <c r="F209" s="187"/>
      <c r="G209" s="187"/>
      <c r="H209" s="187"/>
      <c r="I209" s="187"/>
      <c r="J209" s="187"/>
      <c r="K209" s="187"/>
      <c r="L209" s="187"/>
      <c r="M209" s="187"/>
      <c r="N209" s="187"/>
      <c r="O209" s="187"/>
      <c r="P209" s="187"/>
      <c r="Q209" s="187"/>
      <c r="R209" s="187"/>
      <c r="S209" s="187"/>
      <c r="T209" s="187"/>
      <c r="U209" s="4"/>
      <c r="V209"/>
      <c r="W209"/>
      <c r="X209"/>
      <c r="Y209"/>
      <c r="Z209"/>
      <c r="AA209"/>
      <c r="AB209"/>
      <c r="AC209"/>
      <c r="AD209"/>
      <c r="AE209"/>
      <c r="AF209"/>
    </row>
    <row r="210" spans="1:32" x14ac:dyDescent="0.3">
      <c r="A210" s="1609" t="s">
        <v>5488</v>
      </c>
      <c r="B210" s="1610"/>
      <c r="C210" s="1610"/>
      <c r="D210" s="1610"/>
      <c r="E210" s="1610"/>
      <c r="F210" s="1610"/>
      <c r="G210" s="1610"/>
      <c r="H210" s="1610"/>
      <c r="I210" s="1610"/>
      <c r="J210" s="1610"/>
      <c r="K210" s="1610"/>
      <c r="L210" s="1610"/>
      <c r="M210" s="1610"/>
      <c r="N210" s="1610"/>
      <c r="O210" s="1610"/>
      <c r="P210" s="1610"/>
      <c r="Q210" s="1610"/>
      <c r="R210" s="1610"/>
      <c r="S210" s="1610"/>
      <c r="T210" s="1611"/>
      <c r="U210" s="1102" t="s">
        <v>5489</v>
      </c>
      <c r="V210" s="1612"/>
      <c r="W210" s="1612"/>
      <c r="X210" s="1612"/>
      <c r="Y210"/>
      <c r="Z210"/>
      <c r="AA210"/>
      <c r="AB210"/>
      <c r="AC210"/>
      <c r="AD210"/>
      <c r="AE210"/>
      <c r="AF210"/>
    </row>
    <row r="211" spans="1:32" x14ac:dyDescent="0.3">
      <c r="A211" s="1614" t="s">
        <v>5490</v>
      </c>
      <c r="B211" s="1615"/>
      <c r="C211" s="1615"/>
      <c r="D211" s="1615"/>
      <c r="E211" s="1615"/>
      <c r="F211" s="1615"/>
      <c r="G211" s="1615"/>
      <c r="H211" s="1615"/>
      <c r="I211" s="1615"/>
      <c r="J211" s="1615"/>
      <c r="K211" s="1615"/>
      <c r="L211" s="1615"/>
      <c r="M211" s="1615"/>
      <c r="N211" s="1615"/>
      <c r="O211" s="1615"/>
      <c r="P211" s="1615"/>
      <c r="Q211" s="1615"/>
      <c r="R211" s="1615"/>
      <c r="S211" s="1615"/>
      <c r="T211" s="1616"/>
      <c r="U211" s="1617">
        <v>0.71</v>
      </c>
      <c r="V211" s="1617"/>
      <c r="W211" s="1617"/>
      <c r="X211" s="1617"/>
      <c r="Y211"/>
      <c r="Z211"/>
      <c r="AA211"/>
      <c r="AB211"/>
      <c r="AC211"/>
      <c r="AD211"/>
      <c r="AE211"/>
      <c r="AF211"/>
    </row>
    <row r="212" spans="1:32" ht="15" thickBot="1" x14ac:dyDescent="0.35">
      <c r="A212" s="1618" t="s">
        <v>5491</v>
      </c>
      <c r="B212" s="1619"/>
      <c r="C212" s="1619"/>
      <c r="D212" s="1619"/>
      <c r="E212" s="1619"/>
      <c r="F212" s="1619"/>
      <c r="G212" s="1619"/>
      <c r="H212" s="1619"/>
      <c r="I212" s="1619"/>
      <c r="J212" s="1619"/>
      <c r="K212" s="1619"/>
      <c r="L212" s="1619"/>
      <c r="M212" s="1619"/>
      <c r="N212" s="1619"/>
      <c r="O212" s="1619"/>
      <c r="P212" s="1619"/>
      <c r="Q212" s="1619"/>
      <c r="R212" s="1619"/>
      <c r="S212" s="1619"/>
      <c r="T212" s="1620"/>
      <c r="U212" s="1621">
        <v>0.28999999999999998</v>
      </c>
      <c r="V212" s="1621"/>
      <c r="W212" s="1621"/>
      <c r="X212" s="1621"/>
      <c r="Y212"/>
      <c r="Z212"/>
      <c r="AA212"/>
      <c r="AB212"/>
      <c r="AC212"/>
      <c r="AD212"/>
      <c r="AE212"/>
      <c r="AF212"/>
    </row>
    <row r="213" spans="1:32" ht="15" thickTop="1" x14ac:dyDescent="0.3">
      <c r="A213" s="1622" t="s">
        <v>4036</v>
      </c>
      <c r="B213" s="1623"/>
      <c r="C213" s="1623"/>
      <c r="D213" s="1623"/>
      <c r="E213" s="1623"/>
      <c r="F213" s="1623"/>
      <c r="G213" s="1623"/>
      <c r="H213" s="1623"/>
      <c r="I213" s="1623"/>
      <c r="J213" s="1623"/>
      <c r="K213" s="1623"/>
      <c r="L213" s="1623"/>
      <c r="M213" s="1623"/>
      <c r="N213" s="1623"/>
      <c r="O213" s="1623"/>
      <c r="P213" s="1623"/>
      <c r="Q213" s="1623"/>
      <c r="R213" s="1623"/>
      <c r="S213" s="1623"/>
      <c r="T213" s="1624"/>
      <c r="U213" s="1625">
        <v>1</v>
      </c>
      <c r="V213" s="1625"/>
      <c r="W213" s="1625"/>
      <c r="X213" s="1625"/>
      <c r="Y213"/>
      <c r="Z213"/>
      <c r="AA213"/>
      <c r="AB213"/>
      <c r="AC213"/>
      <c r="AD213"/>
      <c r="AE213"/>
      <c r="AF213"/>
    </row>
    <row r="214" spans="1:32" ht="54" customHeight="1" x14ac:dyDescent="0.3">
      <c r="A214" s="948" t="s">
        <v>5492</v>
      </c>
      <c r="B214" s="948"/>
      <c r="C214" s="948"/>
      <c r="D214" s="948"/>
      <c r="E214" s="948"/>
      <c r="F214" s="948"/>
      <c r="G214" s="948"/>
      <c r="H214" s="948"/>
      <c r="I214" s="948"/>
      <c r="J214" s="948"/>
      <c r="K214" s="948"/>
      <c r="L214" s="948"/>
      <c r="M214" s="948"/>
      <c r="N214" s="948"/>
      <c r="O214" s="948"/>
      <c r="P214" s="948"/>
      <c r="Q214" s="948"/>
      <c r="R214" s="948"/>
      <c r="S214" s="948"/>
      <c r="T214" s="948"/>
      <c r="U214" s="948"/>
      <c r="V214" s="948"/>
      <c r="W214" s="948"/>
      <c r="X214" s="948"/>
      <c r="Y214"/>
      <c r="Z214"/>
      <c r="AA214"/>
      <c r="AB214"/>
      <c r="AC214"/>
      <c r="AD214"/>
      <c r="AE214"/>
      <c r="AF214"/>
    </row>
    <row r="215" spans="1:32" ht="53.25" customHeight="1" x14ac:dyDescent="0.3">
      <c r="A215" s="948" t="s">
        <v>5493</v>
      </c>
      <c r="B215" s="948"/>
      <c r="C215" s="948"/>
      <c r="D215" s="948"/>
      <c r="E215" s="948"/>
      <c r="F215" s="948"/>
      <c r="G215" s="948"/>
      <c r="H215" s="948"/>
      <c r="I215" s="948"/>
      <c r="J215" s="948"/>
      <c r="K215" s="948"/>
      <c r="L215" s="948"/>
      <c r="M215" s="948"/>
      <c r="N215" s="948"/>
      <c r="O215" s="948"/>
      <c r="P215" s="948"/>
      <c r="Q215" s="948"/>
      <c r="R215" s="948"/>
      <c r="S215" s="948"/>
      <c r="T215" s="948"/>
      <c r="U215" s="948"/>
      <c r="V215" s="948"/>
      <c r="W215" s="948"/>
      <c r="X215" s="948"/>
    </row>
    <row r="216" spans="1:32" x14ac:dyDescent="0.3">
      <c r="A216" s="187"/>
      <c r="B216" s="4"/>
      <c r="C216" s="4"/>
      <c r="D216" s="4"/>
      <c r="E216" s="4"/>
      <c r="F216" s="4"/>
      <c r="G216" s="4"/>
      <c r="H216" s="4"/>
      <c r="I216" s="4"/>
      <c r="J216" s="4"/>
      <c r="K216" s="4"/>
      <c r="L216" s="4"/>
      <c r="M216" s="4"/>
      <c r="N216" s="4"/>
      <c r="O216" s="4"/>
    </row>
    <row r="217" spans="1:32" x14ac:dyDescent="0.3">
      <c r="A217" s="1141" t="s">
        <v>14</v>
      </c>
      <c r="B217" s="1141"/>
      <c r="C217" s="1141"/>
      <c r="D217" s="1141"/>
      <c r="E217" s="1141"/>
      <c r="F217" s="1141"/>
      <c r="G217" s="1141"/>
      <c r="H217" s="1141"/>
      <c r="I217" s="1141"/>
      <c r="J217" s="1141"/>
      <c r="K217" s="1141"/>
      <c r="L217" s="1141"/>
      <c r="M217" s="1141"/>
      <c r="N217" s="1141"/>
      <c r="O217" s="1141"/>
      <c r="P217" s="1141"/>
      <c r="Q217" s="1141"/>
      <c r="R217" s="1141"/>
      <c r="S217" s="1141"/>
      <c r="T217" s="1141"/>
      <c r="U217" s="1141"/>
      <c r="V217" s="1141"/>
      <c r="W217" s="1141"/>
      <c r="X217" s="1141"/>
      <c r="Y217" s="1141"/>
      <c r="Z217" s="1141"/>
      <c r="AA217" s="1141"/>
      <c r="AB217" s="1141"/>
      <c r="AC217" s="1141"/>
      <c r="AD217" s="1141"/>
      <c r="AE217" s="1141"/>
      <c r="AF217" s="1141"/>
    </row>
    <row r="218" spans="1:32"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x14ac:dyDescent="0.3">
      <c r="A219" s="3"/>
      <c r="B219" s="232" t="s">
        <v>4402</v>
      </c>
      <c r="C219"/>
      <c r="D219"/>
      <c r="E219"/>
      <c r="F219"/>
      <c r="G219"/>
      <c r="H219"/>
      <c r="I219"/>
      <c r="J219"/>
      <c r="K219"/>
      <c r="L219"/>
      <c r="M219"/>
      <c r="N219"/>
      <c r="O219"/>
      <c r="P219"/>
      <c r="Q219"/>
      <c r="R219"/>
      <c r="S219"/>
      <c r="T219"/>
      <c r="U219"/>
      <c r="V219"/>
      <c r="W219"/>
      <c r="X219"/>
      <c r="Y219" s="3"/>
      <c r="Z219" s="3"/>
      <c r="AA219" s="3"/>
      <c r="AB219" s="3"/>
      <c r="AC219" s="3"/>
      <c r="AD219" s="3"/>
      <c r="AE219" s="3"/>
      <c r="AF219" s="3"/>
    </row>
    <row r="220" spans="1:32"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x14ac:dyDescent="0.3">
      <c r="A221" s="3"/>
      <c r="B221" s="3"/>
      <c r="C221" s="3" t="s">
        <v>4738</v>
      </c>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x14ac:dyDescent="0.3">
      <c r="A222" s="3"/>
      <c r="B222" s="3"/>
      <c r="C222" s="863" t="s">
        <v>5494</v>
      </c>
      <c r="D222" s="863"/>
      <c r="E222" s="863"/>
      <c r="F222" s="863"/>
      <c r="G222" s="863"/>
      <c r="H222" s="863"/>
      <c r="I222" s="863"/>
      <c r="J222" s="863"/>
      <c r="K222" s="863"/>
      <c r="L222" s="863"/>
      <c r="M222" s="863"/>
      <c r="N222" s="863"/>
      <c r="O222" s="1626"/>
      <c r="P222" s="1627" t="s">
        <v>5556</v>
      </c>
      <c r="Q222" s="1627"/>
      <c r="R222" s="1627"/>
      <c r="S222" s="1627"/>
      <c r="T222" s="1627"/>
      <c r="U222" s="1627"/>
      <c r="V222" s="1628"/>
      <c r="W222" s="1628"/>
      <c r="X222" s="1628"/>
      <c r="AA222" s="3"/>
      <c r="AB222" s="3"/>
      <c r="AC222" s="3"/>
      <c r="AD222" s="3"/>
      <c r="AE222" s="3"/>
      <c r="AF222" s="3"/>
    </row>
    <row r="223" spans="1:32" ht="63.75" customHeight="1" x14ac:dyDescent="0.3">
      <c r="A223" s="3"/>
      <c r="B223" s="3"/>
      <c r="C223" s="863" t="s">
        <v>5495</v>
      </c>
      <c r="D223" s="863"/>
      <c r="E223" s="863"/>
      <c r="F223" s="863"/>
      <c r="G223" s="863"/>
      <c r="H223" s="863"/>
      <c r="I223" s="863"/>
      <c r="J223" s="863"/>
      <c r="K223" s="863"/>
      <c r="L223" s="863"/>
      <c r="M223" s="863"/>
      <c r="N223" s="863"/>
      <c r="O223" s="1626"/>
      <c r="P223" s="1627" t="s">
        <v>5463</v>
      </c>
      <c r="Q223" s="1627"/>
      <c r="R223" s="1627"/>
      <c r="S223" s="1627"/>
      <c r="T223" s="1627"/>
      <c r="U223" s="1627"/>
      <c r="V223" s="1628"/>
      <c r="W223" s="1628"/>
      <c r="X223" s="1628"/>
      <c r="Y223" s="3"/>
      <c r="Z223" s="3"/>
      <c r="AA223" s="3"/>
      <c r="AB223" s="496"/>
      <c r="AC223" s="3"/>
      <c r="AD223" s="3"/>
      <c r="AE223" s="3"/>
      <c r="AF223" s="3"/>
    </row>
    <row r="224" spans="1:32" ht="64.5" customHeight="1" x14ac:dyDescent="0.3">
      <c r="C224" s="863" t="s">
        <v>5496</v>
      </c>
      <c r="D224" s="863"/>
      <c r="E224" s="863"/>
      <c r="F224" s="863"/>
      <c r="G224" s="863"/>
      <c r="H224" s="863"/>
      <c r="I224" s="863"/>
      <c r="J224" s="863"/>
      <c r="K224" s="863"/>
      <c r="L224" s="863"/>
      <c r="M224" s="863"/>
      <c r="N224" s="863"/>
      <c r="O224" s="1626"/>
      <c r="P224" s="1627" t="s">
        <v>5497</v>
      </c>
      <c r="Q224" s="1627"/>
      <c r="R224" s="1627"/>
      <c r="S224" s="1627"/>
      <c r="T224" s="1627"/>
      <c r="U224" s="1627"/>
      <c r="V224" s="1628"/>
      <c r="W224" s="1628"/>
      <c r="X224" s="1628"/>
      <c r="AB224" s="544"/>
    </row>
    <row r="225" spans="1:32" ht="139.5" customHeight="1" x14ac:dyDescent="0.3">
      <c r="C225" s="863" t="s">
        <v>5498</v>
      </c>
      <c r="D225" s="863"/>
      <c r="E225" s="863"/>
      <c r="F225" s="863"/>
      <c r="G225" s="863"/>
      <c r="H225" s="863"/>
      <c r="I225" s="863"/>
      <c r="J225" s="863"/>
      <c r="K225" s="863"/>
      <c r="L225" s="863"/>
      <c r="M225" s="863"/>
      <c r="N225" s="863"/>
      <c r="O225" s="1626"/>
      <c r="P225" s="1627" t="s">
        <v>5499</v>
      </c>
      <c r="Q225" s="1627"/>
      <c r="R225" s="1627"/>
      <c r="S225" s="1627"/>
      <c r="T225" s="1627"/>
      <c r="U225" s="1627"/>
      <c r="V225" s="1628"/>
      <c r="W225" s="1628"/>
      <c r="X225" s="1628"/>
      <c r="AA225" s="721"/>
      <c r="AB225" s="544"/>
      <c r="AC225"/>
      <c r="AD225"/>
      <c r="AE225"/>
      <c r="AF225"/>
    </row>
    <row r="226" spans="1:32" x14ac:dyDescent="0.3">
      <c r="P226" s="3"/>
      <c r="Q226" s="3"/>
      <c r="R226" s="3"/>
      <c r="S226" s="3"/>
      <c r="T226" s="3"/>
      <c r="U226" s="3"/>
      <c r="V226" s="3"/>
      <c r="W226" s="3"/>
      <c r="X226" s="3"/>
    </row>
    <row r="227" spans="1:32" ht="15" thickBot="1" x14ac:dyDescent="0.35">
      <c r="P227" s="3"/>
      <c r="Q227" s="3"/>
      <c r="R227" s="3"/>
      <c r="S227" s="3"/>
      <c r="T227" s="3"/>
      <c r="U227" s="3"/>
      <c r="V227" s="3"/>
      <c r="W227" s="3"/>
      <c r="X227" s="3"/>
    </row>
    <row r="228" spans="1:32" x14ac:dyDescent="0.3">
      <c r="A228" s="1252" t="s">
        <v>15</v>
      </c>
      <c r="B228" s="1253"/>
      <c r="C228" s="1253"/>
      <c r="D228" s="1253"/>
      <c r="E228" s="1253"/>
      <c r="F228" s="1253"/>
      <c r="G228" s="1253"/>
      <c r="H228" s="1253"/>
      <c r="I228" s="1253" t="s">
        <v>16</v>
      </c>
      <c r="J228" s="1253"/>
      <c r="K228" s="1253"/>
      <c r="L228" s="1253"/>
      <c r="M228" s="1253"/>
      <c r="N228" s="1253"/>
      <c r="O228" s="1253"/>
      <c r="P228" s="1253"/>
      <c r="Q228" s="1253" t="s">
        <v>17</v>
      </c>
      <c r="R228" s="1253"/>
      <c r="S228" s="1253"/>
      <c r="T228" s="1253"/>
      <c r="U228" s="1253"/>
      <c r="V228" s="1253"/>
      <c r="W228" s="1253"/>
      <c r="X228" s="1253"/>
      <c r="Y228" s="1278" t="s">
        <v>1769</v>
      </c>
      <c r="Z228" s="1278"/>
      <c r="AA228" s="1278"/>
      <c r="AB228" s="1278"/>
      <c r="AC228" s="1278"/>
      <c r="AD228" s="1278"/>
      <c r="AE228" s="1278"/>
      <c r="AF228" s="1407"/>
    </row>
    <row r="229" spans="1:32" ht="85.5" customHeight="1" thickBot="1" x14ac:dyDescent="0.35">
      <c r="A229" s="1408" t="str">
        <f>$P$222&amp;" "&amp;$P$223&amp;", "&amp;$P$224&amp;IF($P$222="High Temperature", " and "&amp;P225, "")</f>
        <v>Low Temperature Under Counter, Unknown Water Heating</v>
      </c>
      <c r="B229" s="1409"/>
      <c r="C229" s="1409"/>
      <c r="D229" s="1409"/>
      <c r="E229" s="1409"/>
      <c r="F229" s="1409"/>
      <c r="G229" s="1409"/>
      <c r="H229" s="1409"/>
      <c r="I229" s="1410">
        <f>VLOOKUP($A229, $A$233:$AF$269, I$231, FALSE)</f>
        <v>0.34799999999999998</v>
      </c>
      <c r="J229" s="1410"/>
      <c r="K229" s="1410"/>
      <c r="L229" s="1410"/>
      <c r="M229" s="1410"/>
      <c r="N229" s="1410"/>
      <c r="O229" s="1410"/>
      <c r="P229" s="1410"/>
      <c r="Q229" s="1411">
        <f>VLOOKUP($A229, $A$233:$AF$269, Q$231, FALSE)</f>
        <v>2057.6999999999998</v>
      </c>
      <c r="R229" s="1411"/>
      <c r="S229" s="1411"/>
      <c r="T229" s="1411"/>
      <c r="U229" s="1411"/>
      <c r="V229" s="1411"/>
      <c r="W229" s="1411"/>
      <c r="X229" s="1411"/>
      <c r="Y229" s="1412">
        <f>VLOOKUP($A229, $A$233:$AF$269, Y$231, FALSE)</f>
        <v>20577</v>
      </c>
      <c r="Z229" s="1412"/>
      <c r="AA229" s="1412"/>
      <c r="AB229" s="1412"/>
      <c r="AC229" s="1412"/>
      <c r="AD229" s="1412"/>
      <c r="AE229" s="1412"/>
      <c r="AF229" s="1413"/>
    </row>
    <row r="230" spans="1:32" x14ac:dyDescent="0.3">
      <c r="A230" s="148"/>
      <c r="B230" s="148"/>
      <c r="C230" s="148"/>
      <c r="D230" s="148"/>
      <c r="E230" s="148"/>
      <c r="F230" s="148"/>
      <c r="G230" s="148"/>
      <c r="H230" s="148"/>
      <c r="I230" s="722"/>
      <c r="J230" s="722"/>
      <c r="K230" s="722"/>
      <c r="L230" s="722"/>
      <c r="M230" s="722"/>
      <c r="N230" s="722"/>
      <c r="O230" s="722"/>
      <c r="P230" s="722"/>
      <c r="Q230" s="723"/>
      <c r="R230" s="723"/>
      <c r="S230" s="723"/>
      <c r="T230" s="723"/>
      <c r="U230" s="723"/>
      <c r="V230" s="723"/>
      <c r="W230" s="723"/>
      <c r="X230" s="723"/>
      <c r="Y230" s="723"/>
      <c r="Z230" s="723"/>
      <c r="AA230" s="723"/>
      <c r="AB230" s="723"/>
      <c r="AC230" s="723"/>
      <c r="AD230" s="723"/>
      <c r="AE230" s="723"/>
      <c r="AF230" s="723"/>
    </row>
    <row r="231" spans="1:32" ht="15" hidden="1" thickBot="1" x14ac:dyDescent="0.35">
      <c r="A231" s="646">
        <v>1</v>
      </c>
      <c r="B231" s="646">
        <f>A231+1</f>
        <v>2</v>
      </c>
      <c r="C231" s="646">
        <f t="shared" ref="C231:AF231" si="8">B231+1</f>
        <v>3</v>
      </c>
      <c r="D231" s="646">
        <f t="shared" si="8"/>
        <v>4</v>
      </c>
      <c r="E231" s="646">
        <f t="shared" si="8"/>
        <v>5</v>
      </c>
      <c r="F231" s="646">
        <f t="shared" si="8"/>
        <v>6</v>
      </c>
      <c r="G231" s="646">
        <f t="shared" si="8"/>
        <v>7</v>
      </c>
      <c r="H231" s="646">
        <f t="shared" si="8"/>
        <v>8</v>
      </c>
      <c r="I231" s="646">
        <f t="shared" si="8"/>
        <v>9</v>
      </c>
      <c r="J231" s="646">
        <f t="shared" si="8"/>
        <v>10</v>
      </c>
      <c r="K231" s="646">
        <f t="shared" si="8"/>
        <v>11</v>
      </c>
      <c r="L231" s="646">
        <f t="shared" si="8"/>
        <v>12</v>
      </c>
      <c r="M231" s="646">
        <f t="shared" si="8"/>
        <v>13</v>
      </c>
      <c r="N231" s="646">
        <f t="shared" si="8"/>
        <v>14</v>
      </c>
      <c r="O231" s="646">
        <f t="shared" si="8"/>
        <v>15</v>
      </c>
      <c r="P231" s="646">
        <f t="shared" si="8"/>
        <v>16</v>
      </c>
      <c r="Q231" s="646">
        <f t="shared" si="8"/>
        <v>17</v>
      </c>
      <c r="R231" s="646">
        <f t="shared" si="8"/>
        <v>18</v>
      </c>
      <c r="S231" s="646">
        <f t="shared" si="8"/>
        <v>19</v>
      </c>
      <c r="T231" s="646">
        <f t="shared" si="8"/>
        <v>20</v>
      </c>
      <c r="U231" s="646">
        <f t="shared" si="8"/>
        <v>21</v>
      </c>
      <c r="V231" s="646">
        <f t="shared" si="8"/>
        <v>22</v>
      </c>
      <c r="W231" s="646">
        <f t="shared" si="8"/>
        <v>23</v>
      </c>
      <c r="X231" s="646">
        <f t="shared" si="8"/>
        <v>24</v>
      </c>
      <c r="Y231" s="646">
        <f t="shared" si="8"/>
        <v>25</v>
      </c>
      <c r="Z231" s="646">
        <f t="shared" si="8"/>
        <v>26</v>
      </c>
      <c r="AA231" s="646">
        <f t="shared" si="8"/>
        <v>27</v>
      </c>
      <c r="AB231" s="646">
        <f t="shared" si="8"/>
        <v>28</v>
      </c>
      <c r="AC231" s="646">
        <f t="shared" si="8"/>
        <v>29</v>
      </c>
      <c r="AD231" s="646">
        <f t="shared" si="8"/>
        <v>30</v>
      </c>
      <c r="AE231" s="646">
        <f t="shared" si="8"/>
        <v>31</v>
      </c>
      <c r="AF231" s="646">
        <f t="shared" si="8"/>
        <v>32</v>
      </c>
    </row>
    <row r="232" spans="1:32" ht="15" hidden="1" thickBot="1" x14ac:dyDescent="0.35">
      <c r="A232" s="1637" t="s">
        <v>15</v>
      </c>
      <c r="B232" s="1638"/>
      <c r="C232" s="1638"/>
      <c r="D232" s="1638"/>
      <c r="E232" s="1638"/>
      <c r="F232" s="1638"/>
      <c r="G232" s="1638"/>
      <c r="H232" s="1639"/>
      <c r="I232" s="1640" t="s">
        <v>16</v>
      </c>
      <c r="J232" s="1638"/>
      <c r="K232" s="1638"/>
      <c r="L232" s="1638"/>
      <c r="M232" s="1638"/>
      <c r="N232" s="1638"/>
      <c r="O232" s="1638"/>
      <c r="P232" s="1639"/>
      <c r="Q232" s="1640" t="s">
        <v>17</v>
      </c>
      <c r="R232" s="1638"/>
      <c r="S232" s="1638"/>
      <c r="T232" s="1638"/>
      <c r="U232" s="1638"/>
      <c r="V232" s="1638"/>
      <c r="W232" s="1638"/>
      <c r="X232" s="1639"/>
      <c r="Y232" s="1640" t="s">
        <v>1826</v>
      </c>
      <c r="Z232" s="1638"/>
      <c r="AA232" s="1638"/>
      <c r="AB232" s="1638"/>
      <c r="AC232" s="1638"/>
      <c r="AD232" s="1638"/>
      <c r="AE232" s="1638"/>
      <c r="AF232" s="1641"/>
    </row>
    <row r="233" spans="1:32" ht="60" hidden="1" customHeight="1" x14ac:dyDescent="0.3">
      <c r="A233" s="1629" t="s">
        <v>5500</v>
      </c>
      <c r="B233" s="1630"/>
      <c r="C233" s="1630"/>
      <c r="D233" s="1630"/>
      <c r="E233" s="1630" t="s">
        <v>579</v>
      </c>
      <c r="F233" s="1630"/>
      <c r="G233" s="1630"/>
      <c r="H233" s="1630"/>
      <c r="I233" s="1631">
        <f>ROUND(AD159,3)</f>
        <v>0.42499999999999999</v>
      </c>
      <c r="J233" s="1631"/>
      <c r="K233" s="1631"/>
      <c r="L233" s="1631"/>
      <c r="M233" s="1631"/>
      <c r="N233" s="1631"/>
      <c r="O233" s="1631"/>
      <c r="P233" s="1631"/>
      <c r="Q233" s="1632">
        <f>ROUND(Z159,2)</f>
        <v>2513</v>
      </c>
      <c r="R233" s="1632"/>
      <c r="S233" s="1632"/>
      <c r="T233" s="1632"/>
      <c r="U233" s="1632"/>
      <c r="V233" s="1632"/>
      <c r="W233" s="1632"/>
      <c r="X233" s="1632"/>
      <c r="Y233" s="1633">
        <f>Q233*R$147</f>
        <v>25130</v>
      </c>
      <c r="Z233" s="1633"/>
      <c r="AA233" s="1633"/>
      <c r="AB233" s="1633"/>
      <c r="AC233" s="1633"/>
      <c r="AD233" s="1633"/>
      <c r="AE233" s="1633"/>
      <c r="AF233" s="1634"/>
    </row>
    <row r="234" spans="1:32" ht="60" hidden="1" customHeight="1" x14ac:dyDescent="0.3">
      <c r="A234" s="1635" t="s">
        <v>5501</v>
      </c>
      <c r="B234" s="949"/>
      <c r="C234" s="949"/>
      <c r="D234" s="949"/>
      <c r="E234" s="949" t="s">
        <v>579</v>
      </c>
      <c r="F234" s="949"/>
      <c r="G234" s="949"/>
      <c r="H234" s="949"/>
      <c r="I234" s="1455">
        <f>ROUND(AD160,3)</f>
        <v>1.4319999999999999</v>
      </c>
      <c r="J234" s="1455"/>
      <c r="K234" s="1455"/>
      <c r="L234" s="1455"/>
      <c r="M234" s="1455"/>
      <c r="N234" s="1455"/>
      <c r="O234" s="1455"/>
      <c r="P234" s="1455"/>
      <c r="Q234" s="1636">
        <f>ROUND(Z160,2)</f>
        <v>8474</v>
      </c>
      <c r="R234" s="1636"/>
      <c r="S234" s="1636"/>
      <c r="T234" s="1636"/>
      <c r="U234" s="1636"/>
      <c r="V234" s="1636"/>
      <c r="W234" s="1636"/>
      <c r="X234" s="1636"/>
      <c r="Y234" s="1556">
        <f>Q234*$R$148</f>
        <v>127110</v>
      </c>
      <c r="Z234" s="1556"/>
      <c r="AA234" s="1556"/>
      <c r="AB234" s="1556"/>
      <c r="AC234" s="1556"/>
      <c r="AD234" s="1556"/>
      <c r="AE234" s="1556"/>
      <c r="AF234" s="1557"/>
    </row>
    <row r="235" spans="1:32" ht="60" hidden="1" customHeight="1" x14ac:dyDescent="0.3">
      <c r="A235" s="1635" t="s">
        <v>5502</v>
      </c>
      <c r="B235" s="949"/>
      <c r="C235" s="949"/>
      <c r="D235" s="949"/>
      <c r="E235" s="949" t="s">
        <v>579</v>
      </c>
      <c r="F235" s="949"/>
      <c r="G235" s="949"/>
      <c r="H235" s="949"/>
      <c r="I235" s="1455">
        <f>ROUND(AD161,3)</f>
        <v>1.8560000000000001</v>
      </c>
      <c r="J235" s="1455"/>
      <c r="K235" s="1455"/>
      <c r="L235" s="1455"/>
      <c r="M235" s="1455"/>
      <c r="N235" s="1455"/>
      <c r="O235" s="1455"/>
      <c r="P235" s="1455"/>
      <c r="Q235" s="1636">
        <f>ROUND(Z161,2)</f>
        <v>10985</v>
      </c>
      <c r="R235" s="1636"/>
      <c r="S235" s="1636"/>
      <c r="T235" s="1636"/>
      <c r="U235" s="1636"/>
      <c r="V235" s="1636"/>
      <c r="W235" s="1636"/>
      <c r="X235" s="1636"/>
      <c r="Y235" s="1556">
        <f>Q235*R$149</f>
        <v>219700</v>
      </c>
      <c r="Z235" s="1556"/>
      <c r="AA235" s="1556"/>
      <c r="AB235" s="1556"/>
      <c r="AC235" s="1556"/>
      <c r="AD235" s="1556"/>
      <c r="AE235" s="1556"/>
      <c r="AF235" s="1557"/>
    </row>
    <row r="236" spans="1:32" ht="60" hidden="1" customHeight="1" x14ac:dyDescent="0.3">
      <c r="A236" s="1635" t="s">
        <v>5503</v>
      </c>
      <c r="B236" s="949"/>
      <c r="C236" s="949"/>
      <c r="D236" s="949"/>
      <c r="E236" s="949" t="s">
        <v>579</v>
      </c>
      <c r="F236" s="949"/>
      <c r="G236" s="949"/>
      <c r="H236" s="949"/>
      <c r="I236" s="1455">
        <f>ROUND(AD162,3)</f>
        <v>2.5819999999999999</v>
      </c>
      <c r="J236" s="1455"/>
      <c r="K236" s="1455"/>
      <c r="L236" s="1455"/>
      <c r="M236" s="1455"/>
      <c r="N236" s="1455"/>
      <c r="O236" s="1455"/>
      <c r="P236" s="1455"/>
      <c r="Q236" s="1636">
        <f>ROUND(Z162,2)</f>
        <v>15282</v>
      </c>
      <c r="R236" s="1636"/>
      <c r="S236" s="1636"/>
      <c r="T236" s="1636"/>
      <c r="U236" s="1636"/>
      <c r="V236" s="1636"/>
      <c r="W236" s="1636"/>
      <c r="X236" s="1636"/>
      <c r="Y236" s="1556">
        <f>Q236*R$150</f>
        <v>305640</v>
      </c>
      <c r="Z236" s="1556"/>
      <c r="AA236" s="1556"/>
      <c r="AB236" s="1556"/>
      <c r="AC236" s="1556"/>
      <c r="AD236" s="1556"/>
      <c r="AE236" s="1556"/>
      <c r="AF236" s="1557"/>
    </row>
    <row r="237" spans="1:32" ht="60" hidden="1" customHeight="1" x14ac:dyDescent="0.3">
      <c r="A237" s="1635" t="s">
        <v>5504</v>
      </c>
      <c r="B237" s="949"/>
      <c r="C237" s="949"/>
      <c r="D237" s="949"/>
      <c r="E237" s="949" t="s">
        <v>579</v>
      </c>
      <c r="F237" s="949"/>
      <c r="G237" s="949"/>
      <c r="H237" s="949"/>
      <c r="I237" s="1455">
        <f>ROUND(AD185,3)</f>
        <v>0.159</v>
      </c>
      <c r="J237" s="1455"/>
      <c r="K237" s="1455"/>
      <c r="L237" s="1455"/>
      <c r="M237" s="1455"/>
      <c r="N237" s="1455"/>
      <c r="O237" s="1455"/>
      <c r="P237" s="1455"/>
      <c r="Q237" s="1636">
        <f>ROUND(Z185,2)</f>
        <v>943</v>
      </c>
      <c r="R237" s="1636"/>
      <c r="S237" s="1636"/>
      <c r="T237" s="1636"/>
      <c r="U237" s="1636"/>
      <c r="V237" s="1636"/>
      <c r="W237" s="1636"/>
      <c r="X237" s="1636"/>
      <c r="Y237" s="1556">
        <f>Q237*R$147</f>
        <v>9430</v>
      </c>
      <c r="Z237" s="1556"/>
      <c r="AA237" s="1556"/>
      <c r="AB237" s="1556"/>
      <c r="AC237" s="1556"/>
      <c r="AD237" s="1556"/>
      <c r="AE237" s="1556"/>
      <c r="AF237" s="1557"/>
    </row>
    <row r="238" spans="1:32" ht="60" hidden="1" customHeight="1" x14ac:dyDescent="0.3">
      <c r="A238" s="1635" t="s">
        <v>5505</v>
      </c>
      <c r="B238" s="949"/>
      <c r="C238" s="949"/>
      <c r="D238" s="949"/>
      <c r="E238" s="949" t="s">
        <v>579</v>
      </c>
      <c r="F238" s="949"/>
      <c r="G238" s="949"/>
      <c r="H238" s="949"/>
      <c r="I238" s="1455">
        <f>ROUND(AD186,3)</f>
        <v>0.157</v>
      </c>
      <c r="J238" s="1455"/>
      <c r="K238" s="1455"/>
      <c r="L238" s="1455"/>
      <c r="M238" s="1455"/>
      <c r="N238" s="1455"/>
      <c r="O238" s="1455"/>
      <c r="P238" s="1455"/>
      <c r="Q238" s="1636">
        <f>ROUND(Z186,2)</f>
        <v>928</v>
      </c>
      <c r="R238" s="1636"/>
      <c r="S238" s="1636"/>
      <c r="T238" s="1636"/>
      <c r="U238" s="1636"/>
      <c r="V238" s="1636"/>
      <c r="W238" s="1636"/>
      <c r="X238" s="1636"/>
      <c r="Y238" s="1556">
        <f>Q238*$R$148</f>
        <v>13920</v>
      </c>
      <c r="Z238" s="1556"/>
      <c r="AA238" s="1556"/>
      <c r="AB238" s="1556"/>
      <c r="AC238" s="1556"/>
      <c r="AD238" s="1556"/>
      <c r="AE238" s="1556"/>
      <c r="AF238" s="1557"/>
    </row>
    <row r="239" spans="1:32" ht="60" hidden="1" customHeight="1" x14ac:dyDescent="0.3">
      <c r="A239" s="1635" t="s">
        <v>5506</v>
      </c>
      <c r="B239" s="949"/>
      <c r="C239" s="949"/>
      <c r="D239" s="949"/>
      <c r="E239" s="949" t="s">
        <v>579</v>
      </c>
      <c r="F239" s="949"/>
      <c r="G239" s="949"/>
      <c r="H239" s="949"/>
      <c r="I239" s="1455">
        <f>ROUND(AD187,3)</f>
        <v>0.49299999999999999</v>
      </c>
      <c r="J239" s="1455"/>
      <c r="K239" s="1455"/>
      <c r="L239" s="1455"/>
      <c r="M239" s="1455"/>
      <c r="N239" s="1455"/>
      <c r="O239" s="1455"/>
      <c r="P239" s="1455"/>
      <c r="Q239" s="1636">
        <f>ROUND(Z187,2)</f>
        <v>2920</v>
      </c>
      <c r="R239" s="1636"/>
      <c r="S239" s="1636"/>
      <c r="T239" s="1636"/>
      <c r="U239" s="1636"/>
      <c r="V239" s="1636"/>
      <c r="W239" s="1636"/>
      <c r="X239" s="1636"/>
      <c r="Y239" s="1556">
        <f>Q239*R$149</f>
        <v>58400</v>
      </c>
      <c r="Z239" s="1556"/>
      <c r="AA239" s="1556"/>
      <c r="AB239" s="1556"/>
      <c r="AC239" s="1556"/>
      <c r="AD239" s="1556"/>
      <c r="AE239" s="1556"/>
      <c r="AF239" s="1557"/>
    </row>
    <row r="240" spans="1:32" ht="60" hidden="1" customHeight="1" x14ac:dyDescent="0.3">
      <c r="A240" s="1635" t="s">
        <v>5507</v>
      </c>
      <c r="B240" s="949"/>
      <c r="C240" s="949"/>
      <c r="D240" s="949"/>
      <c r="E240" s="949" t="s">
        <v>579</v>
      </c>
      <c r="F240" s="949"/>
      <c r="G240" s="949"/>
      <c r="H240" s="949"/>
      <c r="I240" s="1455">
        <f>ROUND(AD188,3)</f>
        <v>0.61699999999999999</v>
      </c>
      <c r="J240" s="1455"/>
      <c r="K240" s="1455"/>
      <c r="L240" s="1455"/>
      <c r="M240" s="1455"/>
      <c r="N240" s="1455"/>
      <c r="O240" s="1455"/>
      <c r="P240" s="1455"/>
      <c r="Q240" s="1636">
        <f>ROUND(Z188,2)</f>
        <v>3650</v>
      </c>
      <c r="R240" s="1636"/>
      <c r="S240" s="1636"/>
      <c r="T240" s="1636"/>
      <c r="U240" s="1636"/>
      <c r="V240" s="1636"/>
      <c r="W240" s="1636"/>
      <c r="X240" s="1636"/>
      <c r="Y240" s="1556">
        <f>Q240*R$150</f>
        <v>73000</v>
      </c>
      <c r="Z240" s="1556"/>
      <c r="AA240" s="1556"/>
      <c r="AB240" s="1556"/>
      <c r="AC240" s="1556"/>
      <c r="AD240" s="1556"/>
      <c r="AE240" s="1556"/>
      <c r="AF240" s="1557"/>
    </row>
    <row r="241" spans="1:32" ht="60" hidden="1" customHeight="1" x14ac:dyDescent="0.3">
      <c r="A241" s="1635" t="s">
        <v>5508</v>
      </c>
      <c r="B241" s="949"/>
      <c r="C241" s="949"/>
      <c r="D241" s="949"/>
      <c r="E241" s="949" t="s">
        <v>579</v>
      </c>
      <c r="F241" s="949"/>
      <c r="G241" s="949"/>
      <c r="H241" s="949"/>
      <c r="I241" s="1455">
        <f>ROUND(AD159*$U$211+AD185*$U$212,3)</f>
        <v>0.34799999999999998</v>
      </c>
      <c r="J241" s="1455"/>
      <c r="K241" s="1455"/>
      <c r="L241" s="1455"/>
      <c r="M241" s="1455"/>
      <c r="N241" s="1455"/>
      <c r="O241" s="1455"/>
      <c r="P241" s="1455"/>
      <c r="Q241" s="1636">
        <f>ROUND(Z159*$U$211+Z185*$U$212,2)</f>
        <v>2057.6999999999998</v>
      </c>
      <c r="R241" s="1636"/>
      <c r="S241" s="1636"/>
      <c r="T241" s="1636"/>
      <c r="U241" s="1636"/>
      <c r="V241" s="1636"/>
      <c r="W241" s="1636"/>
      <c r="X241" s="1636"/>
      <c r="Y241" s="1556">
        <f>Q241*R$147</f>
        <v>20577</v>
      </c>
      <c r="Z241" s="1556"/>
      <c r="AA241" s="1556"/>
      <c r="AB241" s="1556"/>
      <c r="AC241" s="1556"/>
      <c r="AD241" s="1556"/>
      <c r="AE241" s="1556"/>
      <c r="AF241" s="1557"/>
    </row>
    <row r="242" spans="1:32" ht="60" hidden="1" customHeight="1" x14ac:dyDescent="0.3">
      <c r="A242" s="1635" t="s">
        <v>5509</v>
      </c>
      <c r="B242" s="949"/>
      <c r="C242" s="949"/>
      <c r="D242" s="949"/>
      <c r="E242" s="949" t="s">
        <v>579</v>
      </c>
      <c r="F242" s="949"/>
      <c r="G242" s="949"/>
      <c r="H242" s="949"/>
      <c r="I242" s="1455">
        <f>ROUND(AD160*$U$211+AD186*$U$212,3)</f>
        <v>1.0620000000000001</v>
      </c>
      <c r="J242" s="1455"/>
      <c r="K242" s="1455"/>
      <c r="L242" s="1455"/>
      <c r="M242" s="1455"/>
      <c r="N242" s="1455"/>
      <c r="O242" s="1455"/>
      <c r="P242" s="1455"/>
      <c r="Q242" s="1636">
        <f>ROUND(Z160*$U$211+Z186*$U$212,2)</f>
        <v>6285.66</v>
      </c>
      <c r="R242" s="1636"/>
      <c r="S242" s="1636"/>
      <c r="T242" s="1636"/>
      <c r="U242" s="1636"/>
      <c r="V242" s="1636"/>
      <c r="W242" s="1636"/>
      <c r="X242" s="1636"/>
      <c r="Y242" s="1556">
        <f>Q242*$R$148</f>
        <v>94284.9</v>
      </c>
      <c r="Z242" s="1556"/>
      <c r="AA242" s="1556"/>
      <c r="AB242" s="1556"/>
      <c r="AC242" s="1556"/>
      <c r="AD242" s="1556"/>
      <c r="AE242" s="1556"/>
      <c r="AF242" s="1557"/>
    </row>
    <row r="243" spans="1:32" ht="60" hidden="1" customHeight="1" x14ac:dyDescent="0.3">
      <c r="A243" s="1635" t="s">
        <v>5510</v>
      </c>
      <c r="B243" s="949"/>
      <c r="C243" s="949"/>
      <c r="D243" s="949"/>
      <c r="E243" s="949" t="s">
        <v>579</v>
      </c>
      <c r="F243" s="949"/>
      <c r="G243" s="949"/>
      <c r="H243" s="949"/>
      <c r="I243" s="1455">
        <f>ROUND(AD161*$U$211+AD187*$U$212,3)</f>
        <v>1.4610000000000001</v>
      </c>
      <c r="J243" s="1455"/>
      <c r="K243" s="1455"/>
      <c r="L243" s="1455"/>
      <c r="M243" s="1455"/>
      <c r="N243" s="1455"/>
      <c r="O243" s="1455"/>
      <c r="P243" s="1455"/>
      <c r="Q243" s="1636">
        <f>ROUND(Z161*$U$211+Z187*$U$212,2)</f>
        <v>8646.15</v>
      </c>
      <c r="R243" s="1636"/>
      <c r="S243" s="1636"/>
      <c r="T243" s="1636"/>
      <c r="U243" s="1636"/>
      <c r="V243" s="1636"/>
      <c r="W243" s="1636"/>
      <c r="X243" s="1636"/>
      <c r="Y243" s="1556">
        <f>Q243*R$149</f>
        <v>172923</v>
      </c>
      <c r="Z243" s="1556"/>
      <c r="AA243" s="1556"/>
      <c r="AB243" s="1556"/>
      <c r="AC243" s="1556"/>
      <c r="AD243" s="1556"/>
      <c r="AE243" s="1556"/>
      <c r="AF243" s="1557"/>
    </row>
    <row r="244" spans="1:32" ht="60" hidden="1" customHeight="1" x14ac:dyDescent="0.3">
      <c r="A244" s="1635" t="s">
        <v>5511</v>
      </c>
      <c r="B244" s="949"/>
      <c r="C244" s="949"/>
      <c r="D244" s="949"/>
      <c r="E244" s="949" t="s">
        <v>579</v>
      </c>
      <c r="F244" s="949"/>
      <c r="G244" s="949"/>
      <c r="H244" s="949"/>
      <c r="I244" s="1455">
        <f>ROUND(AD162*$U$211+AD188*$U$212,3)</f>
        <v>2.012</v>
      </c>
      <c r="J244" s="1455"/>
      <c r="K244" s="1455"/>
      <c r="L244" s="1455"/>
      <c r="M244" s="1455"/>
      <c r="N244" s="1455"/>
      <c r="O244" s="1455"/>
      <c r="P244" s="1455"/>
      <c r="Q244" s="1636">
        <f>ROUND(Z162*$U$211+Z188*$U$212,2)</f>
        <v>11908.72</v>
      </c>
      <c r="R244" s="1636"/>
      <c r="S244" s="1636"/>
      <c r="T244" s="1636"/>
      <c r="U244" s="1636"/>
      <c r="V244" s="1636"/>
      <c r="W244" s="1636"/>
      <c r="X244" s="1636"/>
      <c r="Y244" s="1556">
        <f>Q244*R$150</f>
        <v>238174.4</v>
      </c>
      <c r="Z244" s="1556"/>
      <c r="AA244" s="1556"/>
      <c r="AB244" s="1556"/>
      <c r="AC244" s="1556"/>
      <c r="AD244" s="1556"/>
      <c r="AE244" s="1556"/>
      <c r="AF244" s="1557"/>
    </row>
    <row r="245" spans="1:32" ht="75" hidden="1" customHeight="1" x14ac:dyDescent="0.3">
      <c r="A245" s="1635" t="s">
        <v>5512</v>
      </c>
      <c r="B245" s="949"/>
      <c r="C245" s="949"/>
      <c r="D245" s="949"/>
      <c r="E245" s="949" t="s">
        <v>579</v>
      </c>
      <c r="F245" s="949"/>
      <c r="G245" s="949"/>
      <c r="H245" s="949"/>
      <c r="I245" s="1455">
        <f>ROUND(AD163,3)</f>
        <v>0.47599999999999998</v>
      </c>
      <c r="J245" s="1455"/>
      <c r="K245" s="1455"/>
      <c r="L245" s="1455"/>
      <c r="M245" s="1455"/>
      <c r="N245" s="1455"/>
      <c r="O245" s="1455"/>
      <c r="P245" s="1455"/>
      <c r="Q245" s="1636">
        <f>ROUND(Z163,2)</f>
        <v>2815</v>
      </c>
      <c r="R245" s="1636"/>
      <c r="S245" s="1636"/>
      <c r="T245" s="1636"/>
      <c r="U245" s="1636"/>
      <c r="V245" s="1636"/>
      <c r="W245" s="1636"/>
      <c r="X245" s="1636"/>
      <c r="Y245" s="1556">
        <f>Q245*$R$151</f>
        <v>28150</v>
      </c>
      <c r="Z245" s="1556"/>
      <c r="AA245" s="1556"/>
      <c r="AB245" s="1556"/>
      <c r="AC245" s="1556"/>
      <c r="AD245" s="1556"/>
      <c r="AE245" s="1556"/>
      <c r="AF245" s="1557"/>
    </row>
    <row r="246" spans="1:32" ht="75" hidden="1" customHeight="1" x14ac:dyDescent="0.3">
      <c r="A246" s="1635" t="s">
        <v>5513</v>
      </c>
      <c r="B246" s="949"/>
      <c r="C246" s="949"/>
      <c r="D246" s="949"/>
      <c r="E246" s="949" t="s">
        <v>579</v>
      </c>
      <c r="F246" s="949"/>
      <c r="G246" s="949"/>
      <c r="H246" s="949"/>
      <c r="I246" s="1455">
        <f>ROUND(AD164,3)</f>
        <v>1.0860000000000001</v>
      </c>
      <c r="J246" s="1455"/>
      <c r="K246" s="1455"/>
      <c r="L246" s="1455"/>
      <c r="M246" s="1455"/>
      <c r="N246" s="1455"/>
      <c r="O246" s="1455"/>
      <c r="P246" s="1455"/>
      <c r="Q246" s="1636">
        <f>ROUND(Z164,2)</f>
        <v>6426</v>
      </c>
      <c r="R246" s="1636"/>
      <c r="S246" s="1636"/>
      <c r="T246" s="1636"/>
      <c r="U246" s="1636"/>
      <c r="V246" s="1636"/>
      <c r="W246" s="1636"/>
      <c r="X246" s="1636"/>
      <c r="Y246" s="1556">
        <f>Q246*$R$152</f>
        <v>96390</v>
      </c>
      <c r="Z246" s="1556"/>
      <c r="AA246" s="1556"/>
      <c r="AB246" s="1556"/>
      <c r="AC246" s="1556"/>
      <c r="AD246" s="1556"/>
      <c r="AE246" s="1556"/>
      <c r="AF246" s="1557"/>
    </row>
    <row r="247" spans="1:32" ht="75" hidden="1" customHeight="1" x14ac:dyDescent="0.3">
      <c r="A247" s="1635" t="s">
        <v>5514</v>
      </c>
      <c r="B247" s="949"/>
      <c r="C247" s="949"/>
      <c r="D247" s="949"/>
      <c r="E247" s="949" t="s">
        <v>579</v>
      </c>
      <c r="F247" s="949"/>
      <c r="G247" s="949"/>
      <c r="H247" s="949"/>
      <c r="I247" s="1455">
        <f>ROUND(AD165,3)</f>
        <v>1.2</v>
      </c>
      <c r="J247" s="1455"/>
      <c r="K247" s="1455"/>
      <c r="L247" s="1455"/>
      <c r="M247" s="1455"/>
      <c r="N247" s="1455"/>
      <c r="O247" s="1455"/>
      <c r="P247" s="1455"/>
      <c r="Q247" s="1636">
        <f>ROUND(Z165,2)</f>
        <v>7101</v>
      </c>
      <c r="R247" s="1636"/>
      <c r="S247" s="1636"/>
      <c r="T247" s="1636"/>
      <c r="U247" s="1636"/>
      <c r="V247" s="1636"/>
      <c r="W247" s="1636"/>
      <c r="X247" s="1636"/>
      <c r="Y247" s="1556">
        <f>Q247*$R$153</f>
        <v>142020</v>
      </c>
      <c r="Z247" s="1556"/>
      <c r="AA247" s="1556"/>
      <c r="AB247" s="1556"/>
      <c r="AC247" s="1556"/>
      <c r="AD247" s="1556"/>
      <c r="AE247" s="1556"/>
      <c r="AF247" s="1557"/>
    </row>
    <row r="248" spans="1:32" ht="75" hidden="1" customHeight="1" x14ac:dyDescent="0.3">
      <c r="A248" s="1635" t="s">
        <v>5515</v>
      </c>
      <c r="B248" s="949"/>
      <c r="C248" s="949"/>
      <c r="D248" s="949"/>
      <c r="E248" s="949" t="s">
        <v>579</v>
      </c>
      <c r="F248" s="949"/>
      <c r="G248" s="949"/>
      <c r="H248" s="949"/>
      <c r="I248" s="1455">
        <f>ROUND(AD166,3)</f>
        <v>3.2170000000000001</v>
      </c>
      <c r="J248" s="1455"/>
      <c r="K248" s="1455"/>
      <c r="L248" s="1455"/>
      <c r="M248" s="1455"/>
      <c r="N248" s="1455"/>
      <c r="O248" s="1455"/>
      <c r="P248" s="1455"/>
      <c r="Q248" s="1636">
        <f>ROUND(Z166,2)</f>
        <v>19041</v>
      </c>
      <c r="R248" s="1636"/>
      <c r="S248" s="1636"/>
      <c r="T248" s="1636"/>
      <c r="U248" s="1636"/>
      <c r="V248" s="1636"/>
      <c r="W248" s="1636"/>
      <c r="X248" s="1636"/>
      <c r="Y248" s="1556">
        <f>Q248*$R$154</f>
        <v>380820</v>
      </c>
      <c r="Z248" s="1556"/>
      <c r="AA248" s="1556"/>
      <c r="AB248" s="1556"/>
      <c r="AC248" s="1556"/>
      <c r="AD248" s="1556"/>
      <c r="AE248" s="1556"/>
      <c r="AF248" s="1557"/>
    </row>
    <row r="249" spans="1:32" ht="75" hidden="1" customHeight="1" x14ac:dyDescent="0.3">
      <c r="A249" s="1635" t="s">
        <v>5557</v>
      </c>
      <c r="B249" s="949"/>
      <c r="C249" s="949"/>
      <c r="D249" s="949"/>
      <c r="E249" s="949" t="s">
        <v>579</v>
      </c>
      <c r="F249" s="949"/>
      <c r="G249" s="949"/>
      <c r="H249" s="949"/>
      <c r="I249" s="1455">
        <f>ROUND(AD167,3)</f>
        <v>0.40500000000000003</v>
      </c>
      <c r="J249" s="1455"/>
      <c r="K249" s="1455"/>
      <c r="L249" s="1455"/>
      <c r="M249" s="1455"/>
      <c r="N249" s="1455"/>
      <c r="O249" s="1455"/>
      <c r="P249" s="1455"/>
      <c r="Q249" s="1636">
        <f>ROUND(Z167,2)</f>
        <v>2396</v>
      </c>
      <c r="R249" s="1636"/>
      <c r="S249" s="1636"/>
      <c r="T249" s="1636"/>
      <c r="U249" s="1636"/>
      <c r="V249" s="1636"/>
      <c r="W249" s="1636"/>
      <c r="X249" s="1636"/>
      <c r="Y249" s="1556">
        <f>Q249*$R$155</f>
        <v>23960</v>
      </c>
      <c r="Z249" s="1556"/>
      <c r="AA249" s="1556"/>
      <c r="AB249" s="1556"/>
      <c r="AC249" s="1556"/>
      <c r="AD249" s="1556"/>
      <c r="AE249" s="1556"/>
      <c r="AF249" s="1557"/>
    </row>
    <row r="250" spans="1:32" ht="75" hidden="1" customHeight="1" x14ac:dyDescent="0.3">
      <c r="A250" s="1635" t="s">
        <v>5516</v>
      </c>
      <c r="B250" s="949"/>
      <c r="C250" s="949"/>
      <c r="D250" s="949"/>
      <c r="E250" s="949" t="s">
        <v>579</v>
      </c>
      <c r="F250" s="949"/>
      <c r="G250" s="949"/>
      <c r="H250" s="949"/>
      <c r="I250" s="1455">
        <f>ROUND(AD176,3)</f>
        <v>0.40600000000000003</v>
      </c>
      <c r="J250" s="1455"/>
      <c r="K250" s="1455"/>
      <c r="L250" s="1455"/>
      <c r="M250" s="1455"/>
      <c r="N250" s="1455"/>
      <c r="O250" s="1455"/>
      <c r="P250" s="1455"/>
      <c r="Q250" s="1636">
        <f>ROUND(Z176,2)</f>
        <v>2403</v>
      </c>
      <c r="R250" s="1636"/>
      <c r="S250" s="1636"/>
      <c r="T250" s="1636"/>
      <c r="U250" s="1636"/>
      <c r="V250" s="1636"/>
      <c r="W250" s="1636"/>
      <c r="X250" s="1636"/>
      <c r="Y250" s="1556">
        <f>Q250*R$151</f>
        <v>24030</v>
      </c>
      <c r="Z250" s="1556"/>
      <c r="AA250" s="1556"/>
      <c r="AB250" s="1556"/>
      <c r="AC250" s="1556"/>
      <c r="AD250" s="1556"/>
      <c r="AE250" s="1556"/>
      <c r="AF250" s="1557"/>
    </row>
    <row r="251" spans="1:32" ht="75" hidden="1" customHeight="1" x14ac:dyDescent="0.3">
      <c r="A251" s="1635" t="s">
        <v>5517</v>
      </c>
      <c r="B251" s="949"/>
      <c r="C251" s="949"/>
      <c r="D251" s="949"/>
      <c r="E251" s="949" t="s">
        <v>579</v>
      </c>
      <c r="F251" s="949"/>
      <c r="G251" s="949"/>
      <c r="H251" s="949"/>
      <c r="I251" s="1455">
        <f>ROUND(AD177,3)</f>
        <v>0.745</v>
      </c>
      <c r="J251" s="1455"/>
      <c r="K251" s="1455"/>
      <c r="L251" s="1455"/>
      <c r="M251" s="1455"/>
      <c r="N251" s="1455"/>
      <c r="O251" s="1455"/>
      <c r="P251" s="1455"/>
      <c r="Q251" s="1636">
        <f>ROUND(Z177,2)</f>
        <v>4408</v>
      </c>
      <c r="R251" s="1636"/>
      <c r="S251" s="1636"/>
      <c r="T251" s="1636"/>
      <c r="U251" s="1636"/>
      <c r="V251" s="1636"/>
      <c r="W251" s="1636"/>
      <c r="X251" s="1636"/>
      <c r="Y251" s="1556">
        <f>Q251*R$152</f>
        <v>66120</v>
      </c>
      <c r="Z251" s="1556"/>
      <c r="AA251" s="1556"/>
      <c r="AB251" s="1556"/>
      <c r="AC251" s="1556"/>
      <c r="AD251" s="1556"/>
      <c r="AE251" s="1556"/>
      <c r="AF251" s="1557"/>
    </row>
    <row r="252" spans="1:32" ht="75" hidden="1" customHeight="1" x14ac:dyDescent="0.3">
      <c r="A252" s="1635" t="s">
        <v>5518</v>
      </c>
      <c r="B252" s="949"/>
      <c r="C252" s="949"/>
      <c r="D252" s="949"/>
      <c r="E252" s="949" t="s">
        <v>579</v>
      </c>
      <c r="F252" s="949"/>
      <c r="G252" s="949"/>
      <c r="H252" s="949"/>
      <c r="I252" s="1455">
        <f>ROUND(AD178,3)</f>
        <v>0.92600000000000005</v>
      </c>
      <c r="J252" s="1455"/>
      <c r="K252" s="1455"/>
      <c r="L252" s="1455"/>
      <c r="M252" s="1455"/>
      <c r="N252" s="1455"/>
      <c r="O252" s="1455"/>
      <c r="P252" s="1455"/>
      <c r="Q252" s="1636">
        <f>ROUND(Z178,2)</f>
        <v>5479</v>
      </c>
      <c r="R252" s="1636"/>
      <c r="S252" s="1636"/>
      <c r="T252" s="1636"/>
      <c r="U252" s="1636"/>
      <c r="V252" s="1636"/>
      <c r="W252" s="1636"/>
      <c r="X252" s="1636"/>
      <c r="Y252" s="1556">
        <f>Q252*R$153</f>
        <v>109580</v>
      </c>
      <c r="Z252" s="1556"/>
      <c r="AA252" s="1556"/>
      <c r="AB252" s="1556"/>
      <c r="AC252" s="1556"/>
      <c r="AD252" s="1556"/>
      <c r="AE252" s="1556"/>
      <c r="AF252" s="1557"/>
    </row>
    <row r="253" spans="1:32" ht="75" hidden="1" customHeight="1" x14ac:dyDescent="0.3">
      <c r="A253" s="1635" t="s">
        <v>5519</v>
      </c>
      <c r="B253" s="949"/>
      <c r="C253" s="949"/>
      <c r="D253" s="949"/>
      <c r="E253" s="949" t="s">
        <v>579</v>
      </c>
      <c r="F253" s="949"/>
      <c r="G253" s="949"/>
      <c r="H253" s="949"/>
      <c r="I253" s="1455">
        <f>ROUND(AD179,3)</f>
        <v>2.177</v>
      </c>
      <c r="J253" s="1455"/>
      <c r="K253" s="1455"/>
      <c r="L253" s="1455"/>
      <c r="M253" s="1455"/>
      <c r="N253" s="1455"/>
      <c r="O253" s="1455"/>
      <c r="P253" s="1455"/>
      <c r="Q253" s="1636">
        <f>ROUND(Z179,2)</f>
        <v>12886</v>
      </c>
      <c r="R253" s="1636"/>
      <c r="S253" s="1636"/>
      <c r="T253" s="1636"/>
      <c r="U253" s="1636"/>
      <c r="V253" s="1636"/>
      <c r="W253" s="1636"/>
      <c r="X253" s="1636"/>
      <c r="Y253" s="1556">
        <f>Q253*R$154</f>
        <v>257720</v>
      </c>
      <c r="Z253" s="1556"/>
      <c r="AA253" s="1556"/>
      <c r="AB253" s="1556"/>
      <c r="AC253" s="1556"/>
      <c r="AD253" s="1556"/>
      <c r="AE253" s="1556"/>
      <c r="AF253" s="1557"/>
    </row>
    <row r="254" spans="1:32" ht="75" hidden="1" customHeight="1" x14ac:dyDescent="0.3">
      <c r="A254" s="1635" t="s">
        <v>5558</v>
      </c>
      <c r="B254" s="949"/>
      <c r="C254" s="949"/>
      <c r="D254" s="949"/>
      <c r="E254" s="949" t="s">
        <v>579</v>
      </c>
      <c r="F254" s="949"/>
      <c r="G254" s="949"/>
      <c r="H254" s="949"/>
      <c r="I254" s="1455">
        <f>ROUND(AD180,3)</f>
        <v>0.26900000000000002</v>
      </c>
      <c r="J254" s="1455"/>
      <c r="K254" s="1455"/>
      <c r="L254" s="1455"/>
      <c r="M254" s="1455"/>
      <c r="N254" s="1455"/>
      <c r="O254" s="1455"/>
      <c r="P254" s="1455"/>
      <c r="Q254" s="1636">
        <f>ROUND(Z180,2)</f>
        <v>1595</v>
      </c>
      <c r="R254" s="1636"/>
      <c r="S254" s="1636"/>
      <c r="T254" s="1636"/>
      <c r="U254" s="1636"/>
      <c r="V254" s="1636"/>
      <c r="W254" s="1636"/>
      <c r="X254" s="1636"/>
      <c r="Y254" s="1556">
        <f>Q254*R$155</f>
        <v>15950</v>
      </c>
      <c r="Z254" s="1556"/>
      <c r="AA254" s="1556"/>
      <c r="AB254" s="1556"/>
      <c r="AC254" s="1556"/>
      <c r="AD254" s="1556"/>
      <c r="AE254" s="1556"/>
      <c r="AF254" s="1557"/>
    </row>
    <row r="255" spans="1:32" ht="75" hidden="1" customHeight="1" x14ac:dyDescent="0.3">
      <c r="A255" s="1635" t="s">
        <v>5520</v>
      </c>
      <c r="B255" s="949"/>
      <c r="C255" s="949"/>
      <c r="D255" s="949"/>
      <c r="E255" s="949" t="s">
        <v>579</v>
      </c>
      <c r="F255" s="949"/>
      <c r="G255" s="949"/>
      <c r="H255" s="949"/>
      <c r="I255" s="1455">
        <f>ROUND(AD189,3)</f>
        <v>0.36299999999999999</v>
      </c>
      <c r="J255" s="1455"/>
      <c r="K255" s="1455"/>
      <c r="L255" s="1455"/>
      <c r="M255" s="1455"/>
      <c r="N255" s="1455"/>
      <c r="O255" s="1455"/>
      <c r="P255" s="1455"/>
      <c r="Q255" s="1636">
        <f>ROUND(Z189,2)</f>
        <v>2146</v>
      </c>
      <c r="R255" s="1636"/>
      <c r="S255" s="1636"/>
      <c r="T255" s="1636"/>
      <c r="U255" s="1636"/>
      <c r="V255" s="1636"/>
      <c r="W255" s="1636"/>
      <c r="X255" s="1636"/>
      <c r="Y255" s="1556">
        <f>Q255*$R$151</f>
        <v>21460</v>
      </c>
      <c r="Z255" s="1556"/>
      <c r="AA255" s="1556"/>
      <c r="AB255" s="1556"/>
      <c r="AC255" s="1556"/>
      <c r="AD255" s="1556"/>
      <c r="AE255" s="1556"/>
      <c r="AF255" s="1557"/>
    </row>
    <row r="256" spans="1:32" ht="75" hidden="1" customHeight="1" x14ac:dyDescent="0.3">
      <c r="A256" s="1635" t="s">
        <v>5521</v>
      </c>
      <c r="B256" s="949"/>
      <c r="C256" s="949"/>
      <c r="D256" s="949"/>
      <c r="E256" s="949" t="s">
        <v>579</v>
      </c>
      <c r="F256" s="949"/>
      <c r="G256" s="949"/>
      <c r="H256" s="949"/>
      <c r="I256" s="1455">
        <f>ROUND(AD190,3)</f>
        <v>0.53200000000000003</v>
      </c>
      <c r="J256" s="1455"/>
      <c r="K256" s="1455"/>
      <c r="L256" s="1455"/>
      <c r="M256" s="1455"/>
      <c r="N256" s="1455"/>
      <c r="O256" s="1455"/>
      <c r="P256" s="1455"/>
      <c r="Q256" s="1636">
        <f>ROUND(Z190,2)</f>
        <v>3146</v>
      </c>
      <c r="R256" s="1636"/>
      <c r="S256" s="1636"/>
      <c r="T256" s="1636"/>
      <c r="U256" s="1636"/>
      <c r="V256" s="1636"/>
      <c r="W256" s="1636"/>
      <c r="X256" s="1636"/>
      <c r="Y256" s="1556">
        <f>Q256*$R$152</f>
        <v>47190</v>
      </c>
      <c r="Z256" s="1556"/>
      <c r="AA256" s="1556"/>
      <c r="AB256" s="1556"/>
      <c r="AC256" s="1556"/>
      <c r="AD256" s="1556"/>
      <c r="AE256" s="1556"/>
      <c r="AF256" s="1557"/>
    </row>
    <row r="257" spans="1:32" ht="75" hidden="1" customHeight="1" x14ac:dyDescent="0.3">
      <c r="A257" s="1635" t="s">
        <v>5522</v>
      </c>
      <c r="B257" s="949"/>
      <c r="C257" s="949"/>
      <c r="D257" s="949"/>
      <c r="E257" s="949" t="s">
        <v>579</v>
      </c>
      <c r="F257" s="949"/>
      <c r="G257" s="949"/>
      <c r="H257" s="949"/>
      <c r="I257" s="1455">
        <f>ROUND(AD191,3)</f>
        <v>0.754</v>
      </c>
      <c r="J257" s="1455"/>
      <c r="K257" s="1455"/>
      <c r="L257" s="1455"/>
      <c r="M257" s="1455"/>
      <c r="N257" s="1455"/>
      <c r="O257" s="1455"/>
      <c r="P257" s="1455"/>
      <c r="Q257" s="1636">
        <f>ROUND(Z191,2)</f>
        <v>4465</v>
      </c>
      <c r="R257" s="1636"/>
      <c r="S257" s="1636"/>
      <c r="T257" s="1636"/>
      <c r="U257" s="1636"/>
      <c r="V257" s="1636"/>
      <c r="W257" s="1636"/>
      <c r="X257" s="1636"/>
      <c r="Y257" s="1556">
        <f>Q257*$R$153</f>
        <v>89300</v>
      </c>
      <c r="Z257" s="1556"/>
      <c r="AA257" s="1556"/>
      <c r="AB257" s="1556"/>
      <c r="AC257" s="1556"/>
      <c r="AD257" s="1556"/>
      <c r="AE257" s="1556"/>
      <c r="AF257" s="1557"/>
    </row>
    <row r="258" spans="1:32" ht="75" hidden="1" customHeight="1" x14ac:dyDescent="0.3">
      <c r="A258" s="1635" t="s">
        <v>5523</v>
      </c>
      <c r="B258" s="949"/>
      <c r="C258" s="949"/>
      <c r="D258" s="949"/>
      <c r="E258" s="949" t="s">
        <v>579</v>
      </c>
      <c r="F258" s="949"/>
      <c r="G258" s="949"/>
      <c r="H258" s="949"/>
      <c r="I258" s="1455">
        <f>ROUND(AD192,3)</f>
        <v>1.5269999999999999</v>
      </c>
      <c r="J258" s="1455"/>
      <c r="K258" s="1455"/>
      <c r="L258" s="1455"/>
      <c r="M258" s="1455"/>
      <c r="N258" s="1455"/>
      <c r="O258" s="1455"/>
      <c r="P258" s="1455"/>
      <c r="Q258" s="1636">
        <f>ROUND(Z192,2)</f>
        <v>9038</v>
      </c>
      <c r="R258" s="1636"/>
      <c r="S258" s="1636"/>
      <c r="T258" s="1636"/>
      <c r="U258" s="1636"/>
      <c r="V258" s="1636"/>
      <c r="W258" s="1636"/>
      <c r="X258" s="1636"/>
      <c r="Y258" s="1556">
        <f>Q258*$R$154</f>
        <v>180760</v>
      </c>
      <c r="Z258" s="1556"/>
      <c r="AA258" s="1556"/>
      <c r="AB258" s="1556"/>
      <c r="AC258" s="1556"/>
      <c r="AD258" s="1556"/>
      <c r="AE258" s="1556"/>
      <c r="AF258" s="1557"/>
    </row>
    <row r="259" spans="1:32" ht="75" hidden="1" customHeight="1" x14ac:dyDescent="0.3">
      <c r="A259" s="1635" t="s">
        <v>5559</v>
      </c>
      <c r="B259" s="949"/>
      <c r="C259" s="949"/>
      <c r="D259" s="949"/>
      <c r="E259" s="949" t="s">
        <v>579</v>
      </c>
      <c r="F259" s="949"/>
      <c r="G259" s="949"/>
      <c r="H259" s="949"/>
      <c r="I259" s="1455">
        <f>ROUND(AD193,3)</f>
        <v>0.185</v>
      </c>
      <c r="J259" s="1455"/>
      <c r="K259" s="1455"/>
      <c r="L259" s="1455"/>
      <c r="M259" s="1455"/>
      <c r="N259" s="1455"/>
      <c r="O259" s="1455"/>
      <c r="P259" s="1455"/>
      <c r="Q259" s="1636">
        <f>ROUND(Z193,2)</f>
        <v>1094</v>
      </c>
      <c r="R259" s="1636"/>
      <c r="S259" s="1636"/>
      <c r="T259" s="1636"/>
      <c r="U259" s="1636"/>
      <c r="V259" s="1636"/>
      <c r="W259" s="1636"/>
      <c r="X259" s="1636"/>
      <c r="Y259" s="1556">
        <f>Q259*$R$155</f>
        <v>10940</v>
      </c>
      <c r="Z259" s="1556"/>
      <c r="AA259" s="1556"/>
      <c r="AB259" s="1556"/>
      <c r="AC259" s="1556"/>
      <c r="AD259" s="1556"/>
      <c r="AE259" s="1556"/>
      <c r="AF259" s="1557"/>
    </row>
    <row r="260" spans="1:32" ht="75" hidden="1" customHeight="1" x14ac:dyDescent="0.3">
      <c r="A260" s="1635" t="s">
        <v>5524</v>
      </c>
      <c r="B260" s="949"/>
      <c r="C260" s="949"/>
      <c r="D260" s="949"/>
      <c r="E260" s="949" t="s">
        <v>579</v>
      </c>
      <c r="F260" s="949"/>
      <c r="G260" s="949"/>
      <c r="H260" s="949"/>
      <c r="I260" s="1455">
        <f>ROUND(AD202,3)</f>
        <v>0.29299999999999998</v>
      </c>
      <c r="J260" s="1455"/>
      <c r="K260" s="1455"/>
      <c r="L260" s="1455"/>
      <c r="M260" s="1455"/>
      <c r="N260" s="1455"/>
      <c r="O260" s="1455"/>
      <c r="P260" s="1455"/>
      <c r="Q260" s="1636">
        <f>ROUND(Z202,2)</f>
        <v>1734</v>
      </c>
      <c r="R260" s="1636"/>
      <c r="S260" s="1636"/>
      <c r="T260" s="1636"/>
      <c r="U260" s="1636"/>
      <c r="V260" s="1636"/>
      <c r="W260" s="1636"/>
      <c r="X260" s="1636"/>
      <c r="Y260" s="1556">
        <f>Q260*R$151</f>
        <v>17340</v>
      </c>
      <c r="Z260" s="1556"/>
      <c r="AA260" s="1556"/>
      <c r="AB260" s="1556"/>
      <c r="AC260" s="1556"/>
      <c r="AD260" s="1556"/>
      <c r="AE260" s="1556"/>
      <c r="AF260" s="1557"/>
    </row>
    <row r="261" spans="1:32" ht="75" hidden="1" customHeight="1" x14ac:dyDescent="0.3">
      <c r="A261" s="1635" t="s">
        <v>5525</v>
      </c>
      <c r="B261" s="949"/>
      <c r="C261" s="949"/>
      <c r="D261" s="949"/>
      <c r="E261" s="949" t="s">
        <v>579</v>
      </c>
      <c r="F261" s="949"/>
      <c r="G261" s="949"/>
      <c r="H261" s="949"/>
      <c r="I261" s="1455">
        <f>ROUND(AD203,3)</f>
        <v>0.19</v>
      </c>
      <c r="J261" s="1455"/>
      <c r="K261" s="1455"/>
      <c r="L261" s="1455"/>
      <c r="M261" s="1455"/>
      <c r="N261" s="1455"/>
      <c r="O261" s="1455"/>
      <c r="P261" s="1455"/>
      <c r="Q261" s="1636">
        <f t="shared" ref="Q261:Q263" si="9">ROUND(Z203,2)</f>
        <v>1127</v>
      </c>
      <c r="R261" s="1636"/>
      <c r="S261" s="1636"/>
      <c r="T261" s="1636"/>
      <c r="U261" s="1636"/>
      <c r="V261" s="1636"/>
      <c r="W261" s="1636"/>
      <c r="X261" s="1636"/>
      <c r="Y261" s="1556">
        <f>Q261*R$152</f>
        <v>16905</v>
      </c>
      <c r="Z261" s="1556"/>
      <c r="AA261" s="1556"/>
      <c r="AB261" s="1556"/>
      <c r="AC261" s="1556"/>
      <c r="AD261" s="1556"/>
      <c r="AE261" s="1556"/>
      <c r="AF261" s="1557"/>
    </row>
    <row r="262" spans="1:32" ht="75" hidden="1" customHeight="1" x14ac:dyDescent="0.3">
      <c r="A262" s="1635" t="s">
        <v>5526</v>
      </c>
      <c r="B262" s="949"/>
      <c r="C262" s="949"/>
      <c r="D262" s="949"/>
      <c r="E262" s="949" t="s">
        <v>579</v>
      </c>
      <c r="F262" s="949"/>
      <c r="G262" s="949"/>
      <c r="H262" s="949"/>
      <c r="I262" s="1455">
        <f>ROUND(AD204,3)</f>
        <v>0.48</v>
      </c>
      <c r="J262" s="1455"/>
      <c r="K262" s="1455"/>
      <c r="L262" s="1455"/>
      <c r="M262" s="1455"/>
      <c r="N262" s="1455"/>
      <c r="O262" s="1455"/>
      <c r="P262" s="1455"/>
      <c r="Q262" s="1636">
        <f t="shared" si="9"/>
        <v>2842</v>
      </c>
      <c r="R262" s="1636"/>
      <c r="S262" s="1636"/>
      <c r="T262" s="1636"/>
      <c r="U262" s="1636"/>
      <c r="V262" s="1636"/>
      <c r="W262" s="1636"/>
      <c r="X262" s="1636"/>
      <c r="Y262" s="1556">
        <f>Q262*R$153</f>
        <v>56840</v>
      </c>
      <c r="Z262" s="1556"/>
      <c r="AA262" s="1556"/>
      <c r="AB262" s="1556"/>
      <c r="AC262" s="1556"/>
      <c r="AD262" s="1556"/>
      <c r="AE262" s="1556"/>
      <c r="AF262" s="1557"/>
    </row>
    <row r="263" spans="1:32" ht="75" hidden="1" customHeight="1" x14ac:dyDescent="0.3">
      <c r="A263" s="1635" t="s">
        <v>5527</v>
      </c>
      <c r="B263" s="949"/>
      <c r="C263" s="949"/>
      <c r="D263" s="949"/>
      <c r="E263" s="949" t="s">
        <v>579</v>
      </c>
      <c r="F263" s="949"/>
      <c r="G263" s="949"/>
      <c r="H263" s="949"/>
      <c r="I263" s="1455">
        <f>ROUND(AD205,3)</f>
        <v>0.48699999999999999</v>
      </c>
      <c r="J263" s="1455"/>
      <c r="K263" s="1455"/>
      <c r="L263" s="1455"/>
      <c r="M263" s="1455"/>
      <c r="N263" s="1455"/>
      <c r="O263" s="1455"/>
      <c r="P263" s="1455"/>
      <c r="Q263" s="1636">
        <f t="shared" si="9"/>
        <v>2881</v>
      </c>
      <c r="R263" s="1636"/>
      <c r="S263" s="1636"/>
      <c r="T263" s="1636"/>
      <c r="U263" s="1636"/>
      <c r="V263" s="1636"/>
      <c r="W263" s="1636"/>
      <c r="X263" s="1636"/>
      <c r="Y263" s="1556">
        <f>Q263*R$154</f>
        <v>57620</v>
      </c>
      <c r="Z263" s="1556"/>
      <c r="AA263" s="1556"/>
      <c r="AB263" s="1556"/>
      <c r="AC263" s="1556"/>
      <c r="AD263" s="1556"/>
      <c r="AE263" s="1556"/>
      <c r="AF263" s="1557"/>
    </row>
    <row r="264" spans="1:32" ht="75" hidden="1" customHeight="1" x14ac:dyDescent="0.3">
      <c r="A264" s="1635" t="s">
        <v>5560</v>
      </c>
      <c r="B264" s="949"/>
      <c r="C264" s="949"/>
      <c r="D264" s="949"/>
      <c r="E264" s="949" t="s">
        <v>579</v>
      </c>
      <c r="F264" s="949"/>
      <c r="G264" s="949"/>
      <c r="H264" s="949"/>
      <c r="I264" s="1455">
        <f>ROUND(AD206,3)</f>
        <v>4.9000000000000002E-2</v>
      </c>
      <c r="J264" s="1455"/>
      <c r="K264" s="1455"/>
      <c r="L264" s="1455"/>
      <c r="M264" s="1455"/>
      <c r="N264" s="1455"/>
      <c r="O264" s="1455"/>
      <c r="P264" s="1455"/>
      <c r="Q264" s="1636">
        <f>ROUND(Z206,2)</f>
        <v>292</v>
      </c>
      <c r="R264" s="1636"/>
      <c r="S264" s="1636"/>
      <c r="T264" s="1636"/>
      <c r="U264" s="1636"/>
      <c r="V264" s="1636"/>
      <c r="W264" s="1636"/>
      <c r="X264" s="1636"/>
      <c r="Y264" s="1556">
        <f>Q264*R$155</f>
        <v>2920</v>
      </c>
      <c r="Z264" s="1556"/>
      <c r="AA264" s="1556"/>
      <c r="AB264" s="1556"/>
      <c r="AC264" s="1556"/>
      <c r="AD264" s="1556"/>
      <c r="AE264" s="1556"/>
      <c r="AF264" s="1557"/>
    </row>
    <row r="265" spans="1:32" ht="75" hidden="1" customHeight="1" x14ac:dyDescent="0.3">
      <c r="A265" s="1642" t="s">
        <v>5528</v>
      </c>
      <c r="B265" s="1643"/>
      <c r="C265" s="1643"/>
      <c r="D265" s="1643"/>
      <c r="E265" s="1643" t="s">
        <v>579</v>
      </c>
      <c r="F265" s="1643"/>
      <c r="G265" s="1643"/>
      <c r="H265" s="1643"/>
      <c r="I265" s="1644">
        <f>ROUND($U$211*(AD163*$U$211+AD176*$U$212)+$U$212*(AD189*$U$211+AD202*$U$212),3)</f>
        <v>0.42299999999999999</v>
      </c>
      <c r="J265" s="1644"/>
      <c r="K265" s="1644"/>
      <c r="L265" s="1644"/>
      <c r="M265" s="1644"/>
      <c r="N265" s="1644"/>
      <c r="O265" s="1644"/>
      <c r="P265" s="1644"/>
      <c r="Q265" s="1645">
        <f>ROUND($U$211*(Z163*$U$211+Z176*$U$212)+$U$212*(Z189*$U$211+Z202*$U$212),2)</f>
        <v>2501.5100000000002</v>
      </c>
      <c r="R265" s="1645"/>
      <c r="S265" s="1645"/>
      <c r="T265" s="1645"/>
      <c r="U265" s="1645"/>
      <c r="V265" s="1645"/>
      <c r="W265" s="1645"/>
      <c r="X265" s="1645"/>
      <c r="Y265" s="1646">
        <f>Q265*R$151</f>
        <v>25015.100000000002</v>
      </c>
      <c r="Z265" s="1646"/>
      <c r="AA265" s="1646"/>
      <c r="AB265" s="1646"/>
      <c r="AC265" s="1646"/>
      <c r="AD265" s="1646"/>
      <c r="AE265" s="1646"/>
      <c r="AF265" s="1647"/>
    </row>
    <row r="266" spans="1:32" ht="75" hidden="1" customHeight="1" x14ac:dyDescent="0.3">
      <c r="A266" s="1635" t="s">
        <v>5529</v>
      </c>
      <c r="B266" s="949"/>
      <c r="C266" s="949"/>
      <c r="D266" s="949"/>
      <c r="E266" s="949" t="s">
        <v>579</v>
      </c>
      <c r="F266" s="949"/>
      <c r="G266" s="949"/>
      <c r="H266" s="949"/>
      <c r="I266" s="1648">
        <f>ROUND($U$211*(AD164*$U$211+AD177*$U$212)+$U$212*(AD190*$U$211+AD203*$U$212),3)</f>
        <v>0.82599999999999996</v>
      </c>
      <c r="J266" s="1649"/>
      <c r="K266" s="1649"/>
      <c r="L266" s="1649"/>
      <c r="M266" s="1649"/>
      <c r="N266" s="1649"/>
      <c r="O266" s="1649"/>
      <c r="P266" s="1650"/>
      <c r="Q266" s="1645">
        <f>ROUND($U$211*(Z164*$U$211+Z177*$U$212)+$U$212*(Z190*$U$211+Z203*$U$212),2)</f>
        <v>4889.5</v>
      </c>
      <c r="R266" s="1645"/>
      <c r="S266" s="1645"/>
      <c r="T266" s="1645"/>
      <c r="U266" s="1645"/>
      <c r="V266" s="1645"/>
      <c r="W266" s="1645"/>
      <c r="X266" s="1645"/>
      <c r="Y266" s="1556">
        <f>Q266*R$152</f>
        <v>73342.5</v>
      </c>
      <c r="Z266" s="1556"/>
      <c r="AA266" s="1556"/>
      <c r="AB266" s="1556"/>
      <c r="AC266" s="1556"/>
      <c r="AD266" s="1556"/>
      <c r="AE266" s="1556"/>
      <c r="AF266" s="1557"/>
    </row>
    <row r="267" spans="1:32" ht="75" hidden="1" customHeight="1" x14ac:dyDescent="0.3">
      <c r="A267" s="1635" t="s">
        <v>5530</v>
      </c>
      <c r="B267" s="949"/>
      <c r="C267" s="949"/>
      <c r="D267" s="949"/>
      <c r="E267" s="949" t="s">
        <v>579</v>
      </c>
      <c r="F267" s="949"/>
      <c r="G267" s="949"/>
      <c r="H267" s="949"/>
      <c r="I267" s="1648">
        <f>ROUND($U$211*(AD165*$U$211+AD178*$U$212)+$U$212*(AD191*$U$211+AD204*$U$212),3)</f>
        <v>0.99099999999999999</v>
      </c>
      <c r="J267" s="1649"/>
      <c r="K267" s="1649"/>
      <c r="L267" s="1649"/>
      <c r="M267" s="1649"/>
      <c r="N267" s="1649"/>
      <c r="O267" s="1649"/>
      <c r="P267" s="1650"/>
      <c r="Q267" s="1645">
        <f>ROUND($U$211*(Z165*$U$211+Z178*$U$212)+$U$212*(Z191*$U$211+Z204*$U$212),2)</f>
        <v>5866.1</v>
      </c>
      <c r="R267" s="1645"/>
      <c r="S267" s="1645"/>
      <c r="T267" s="1645"/>
      <c r="U267" s="1645"/>
      <c r="V267" s="1645"/>
      <c r="W267" s="1645"/>
      <c r="X267" s="1645"/>
      <c r="Y267" s="1556">
        <f>Q267*R$153</f>
        <v>117322</v>
      </c>
      <c r="Z267" s="1556"/>
      <c r="AA267" s="1556"/>
      <c r="AB267" s="1556"/>
      <c r="AC267" s="1556"/>
      <c r="AD267" s="1556"/>
      <c r="AE267" s="1556"/>
      <c r="AF267" s="1557"/>
    </row>
    <row r="268" spans="1:32" ht="75" hidden="1" customHeight="1" x14ac:dyDescent="0.3">
      <c r="A268" s="1635" t="s">
        <v>5531</v>
      </c>
      <c r="B268" s="949"/>
      <c r="C268" s="949"/>
      <c r="D268" s="949"/>
      <c r="E268" s="949" t="s">
        <v>579</v>
      </c>
      <c r="F268" s="949"/>
      <c r="G268" s="949"/>
      <c r="H268" s="949"/>
      <c r="I268" s="1648">
        <f>ROUND($U$211*(AD166*$U$211+AD179*$U$212)+$U$212*(AD192*$U$211+AD205*$U$212),3)</f>
        <v>2.4249999999999998</v>
      </c>
      <c r="J268" s="1649"/>
      <c r="K268" s="1649"/>
      <c r="L268" s="1649"/>
      <c r="M268" s="1649"/>
      <c r="N268" s="1649"/>
      <c r="O268" s="1649"/>
      <c r="P268" s="1650"/>
      <c r="Q268" s="1645">
        <f>ROUND($U$211*(Z166*$U$211+Z179*$U$212)+$U$212*(Z192*$U$211+Z205*$U$212),2)</f>
        <v>14355.01</v>
      </c>
      <c r="R268" s="1645"/>
      <c r="S268" s="1645"/>
      <c r="T268" s="1645"/>
      <c r="U268" s="1645"/>
      <c r="V268" s="1645"/>
      <c r="W268" s="1645"/>
      <c r="X268" s="1645"/>
      <c r="Y268" s="1556">
        <f>Q268*R$154</f>
        <v>287100.2</v>
      </c>
      <c r="Z268" s="1556"/>
      <c r="AA268" s="1556"/>
      <c r="AB268" s="1556"/>
      <c r="AC268" s="1556"/>
      <c r="AD268" s="1556"/>
      <c r="AE268" s="1556"/>
      <c r="AF268" s="1557"/>
    </row>
    <row r="269" spans="1:32" ht="75" hidden="1" customHeight="1" thickBot="1" x14ac:dyDescent="0.35">
      <c r="A269" s="1408" t="s">
        <v>5561</v>
      </c>
      <c r="B269" s="1248"/>
      <c r="C269" s="1248"/>
      <c r="D269" s="1248"/>
      <c r="E269" s="1248" t="s">
        <v>579</v>
      </c>
      <c r="F269" s="1248"/>
      <c r="G269" s="1248"/>
      <c r="H269" s="1248"/>
      <c r="I269" s="1651">
        <f>ROUND($U$211*(AD167*$U$211+AD180*$U$212)+$U$212*(AD193*$U$211+AD206*$U$212),3)</f>
        <v>0.30199999999999999</v>
      </c>
      <c r="J269" s="1652"/>
      <c r="K269" s="1652"/>
      <c r="L269" s="1652"/>
      <c r="M269" s="1652"/>
      <c r="N269" s="1652"/>
      <c r="O269" s="1652"/>
      <c r="P269" s="1653"/>
      <c r="Q269" s="1654">
        <f>ROUND($U$211*(Z167*$U$211+Z180*$U$212)+$U$212*(Z193*$U$211+Z206*$U$212),2)</f>
        <v>1786.05</v>
      </c>
      <c r="R269" s="1654"/>
      <c r="S269" s="1654"/>
      <c r="T269" s="1654"/>
      <c r="U269" s="1654"/>
      <c r="V269" s="1654"/>
      <c r="W269" s="1654"/>
      <c r="X269" s="1654"/>
      <c r="Y269" s="1562">
        <f>Q269*R$155</f>
        <v>17860.5</v>
      </c>
      <c r="Z269" s="1562"/>
      <c r="AA269" s="1562"/>
      <c r="AB269" s="1562"/>
      <c r="AC269" s="1562"/>
      <c r="AD269" s="1562"/>
      <c r="AE269" s="1562"/>
      <c r="AF269" s="1563"/>
    </row>
    <row r="271" spans="1:32" x14ac:dyDescent="0.3">
      <c r="A271" s="148"/>
      <c r="B271" s="232" t="s">
        <v>5532</v>
      </c>
      <c r="C271" s="148"/>
      <c r="D271" s="148"/>
      <c r="E271" s="148"/>
      <c r="F271" s="148"/>
      <c r="G271" s="148"/>
      <c r="H271" s="148"/>
      <c r="I271" s="724"/>
      <c r="J271" s="724"/>
      <c r="K271" s="724"/>
      <c r="L271" s="724"/>
      <c r="M271" s="724"/>
      <c r="N271" s="724"/>
      <c r="O271" s="724"/>
      <c r="P271" s="724"/>
      <c r="Q271" s="725"/>
      <c r="R271" s="725"/>
      <c r="S271" s="725"/>
      <c r="T271" s="725"/>
      <c r="U271" s="725"/>
      <c r="V271" s="725"/>
      <c r="W271" s="725"/>
      <c r="X271" s="723"/>
      <c r="Y271" s="723"/>
      <c r="Z271" s="723"/>
      <c r="AA271" s="723"/>
      <c r="AB271" s="723"/>
      <c r="AC271" s="723"/>
      <c r="AD271" s="723"/>
      <c r="AE271" s="723"/>
      <c r="AF271" s="723"/>
    </row>
    <row r="272" spans="1:32" ht="15" thickBot="1" x14ac:dyDescent="0.35"/>
    <row r="273" spans="1:32" x14ac:dyDescent="0.3">
      <c r="A273" s="1637" t="s">
        <v>15</v>
      </c>
      <c r="B273" s="1638"/>
      <c r="C273" s="1638"/>
      <c r="D273" s="1638"/>
      <c r="E273" s="1638"/>
      <c r="F273" s="1638"/>
      <c r="G273" s="1638"/>
      <c r="H273" s="1639"/>
      <c r="I273" s="1640" t="s">
        <v>16</v>
      </c>
      <c r="J273" s="1638"/>
      <c r="K273" s="1638"/>
      <c r="L273" s="1638"/>
      <c r="M273" s="1638"/>
      <c r="N273" s="1638"/>
      <c r="O273" s="1638"/>
      <c r="P273" s="1639"/>
      <c r="Q273" s="1640" t="s">
        <v>17</v>
      </c>
      <c r="R273" s="1638"/>
      <c r="S273" s="1638"/>
      <c r="T273" s="1638"/>
      <c r="U273" s="1638"/>
      <c r="V273" s="1638"/>
      <c r="W273" s="1638"/>
      <c r="X273" s="1639"/>
      <c r="Y273" s="1640" t="s">
        <v>1826</v>
      </c>
      <c r="Z273" s="1638"/>
      <c r="AA273" s="1638"/>
      <c r="AB273" s="1638"/>
      <c r="AC273" s="1638"/>
      <c r="AD273" s="1638"/>
      <c r="AE273" s="1638"/>
      <c r="AF273" s="1641"/>
    </row>
    <row r="274" spans="1:32" ht="45" customHeight="1" x14ac:dyDescent="0.3">
      <c r="A274" s="1635" t="s">
        <v>5533</v>
      </c>
      <c r="B274" s="949"/>
      <c r="C274" s="949"/>
      <c r="D274" s="949"/>
      <c r="E274" s="949" t="s">
        <v>579</v>
      </c>
      <c r="F274" s="949"/>
      <c r="G274" s="949"/>
      <c r="H274" s="949"/>
      <c r="I274" s="1648">
        <f>ROUND(AD159*$U$211+AD185*$U$212,3)</f>
        <v>0.34799999999999998</v>
      </c>
      <c r="J274" s="1649"/>
      <c r="K274" s="1649"/>
      <c r="L274" s="1649"/>
      <c r="M274" s="1649"/>
      <c r="N274" s="1649"/>
      <c r="O274" s="1649"/>
      <c r="P274" s="1650"/>
      <c r="Q274" s="1655">
        <f>ROUND(Z159*$U$211+Z185*$U$212,2)</f>
        <v>2057.6999999999998</v>
      </c>
      <c r="R274" s="1656"/>
      <c r="S274" s="1656"/>
      <c r="T274" s="1656"/>
      <c r="U274" s="1656"/>
      <c r="V274" s="1656"/>
      <c r="W274" s="1656"/>
      <c r="X274" s="1657"/>
      <c r="Y274" s="1658">
        <f>Q274*R$147</f>
        <v>20577</v>
      </c>
      <c r="Z274" s="1659"/>
      <c r="AA274" s="1659"/>
      <c r="AB274" s="1659"/>
      <c r="AC274" s="1659"/>
      <c r="AD274" s="1659"/>
      <c r="AE274" s="1659"/>
      <c r="AF274" s="1660"/>
    </row>
    <row r="275" spans="1:32" ht="45" customHeight="1" x14ac:dyDescent="0.3">
      <c r="A275" s="1635" t="s">
        <v>5534</v>
      </c>
      <c r="B275" s="949"/>
      <c r="C275" s="949"/>
      <c r="D275" s="949"/>
      <c r="E275" s="949" t="s">
        <v>579</v>
      </c>
      <c r="F275" s="949"/>
      <c r="G275" s="949"/>
      <c r="H275" s="949"/>
      <c r="I275" s="1648">
        <f>ROUND(AD160*$U$211+AD186*$U$212,3)</f>
        <v>1.0620000000000001</v>
      </c>
      <c r="J275" s="1649"/>
      <c r="K275" s="1649"/>
      <c r="L275" s="1649"/>
      <c r="M275" s="1649"/>
      <c r="N275" s="1649"/>
      <c r="O275" s="1649"/>
      <c r="P275" s="1650"/>
      <c r="Q275" s="1655">
        <f>ROUND(Z160*$U$211+Z186*$U$212,2)</f>
        <v>6285.66</v>
      </c>
      <c r="R275" s="1656"/>
      <c r="S275" s="1656"/>
      <c r="T275" s="1656"/>
      <c r="U275" s="1656"/>
      <c r="V275" s="1656"/>
      <c r="W275" s="1656"/>
      <c r="X275" s="1657"/>
      <c r="Y275" s="1658">
        <f>Q275*R$148</f>
        <v>94284.9</v>
      </c>
      <c r="Z275" s="1659"/>
      <c r="AA275" s="1659"/>
      <c r="AB275" s="1659"/>
      <c r="AC275" s="1659"/>
      <c r="AD275" s="1659"/>
      <c r="AE275" s="1659"/>
      <c r="AF275" s="1660"/>
    </row>
    <row r="276" spans="1:32" ht="45" customHeight="1" x14ac:dyDescent="0.3">
      <c r="A276" s="1635" t="s">
        <v>5535</v>
      </c>
      <c r="B276" s="949"/>
      <c r="C276" s="949"/>
      <c r="D276" s="949"/>
      <c r="E276" s="949" t="s">
        <v>579</v>
      </c>
      <c r="F276" s="949"/>
      <c r="G276" s="949"/>
      <c r="H276" s="949"/>
      <c r="I276" s="1648">
        <f>ROUND(AD161*$U$211+AD187*$U$212,3)</f>
        <v>1.4610000000000001</v>
      </c>
      <c r="J276" s="1649"/>
      <c r="K276" s="1649"/>
      <c r="L276" s="1649"/>
      <c r="M276" s="1649"/>
      <c r="N276" s="1649"/>
      <c r="O276" s="1649"/>
      <c r="P276" s="1650"/>
      <c r="Q276" s="1655">
        <f>ROUND(Z161*$U$211+Z187*$U$212,2)</f>
        <v>8646.15</v>
      </c>
      <c r="R276" s="1656"/>
      <c r="S276" s="1656"/>
      <c r="T276" s="1656"/>
      <c r="U276" s="1656"/>
      <c r="V276" s="1656"/>
      <c r="W276" s="1656"/>
      <c r="X276" s="1657"/>
      <c r="Y276" s="1658">
        <f>Q276*R$149</f>
        <v>172923</v>
      </c>
      <c r="Z276" s="1659"/>
      <c r="AA276" s="1659"/>
      <c r="AB276" s="1659"/>
      <c r="AC276" s="1659"/>
      <c r="AD276" s="1659"/>
      <c r="AE276" s="1659"/>
      <c r="AF276" s="1660"/>
    </row>
    <row r="277" spans="1:32" ht="45" customHeight="1" x14ac:dyDescent="0.3">
      <c r="A277" s="1635" t="s">
        <v>5536</v>
      </c>
      <c r="B277" s="949"/>
      <c r="C277" s="949"/>
      <c r="D277" s="949"/>
      <c r="E277" s="949" t="s">
        <v>579</v>
      </c>
      <c r="F277" s="949"/>
      <c r="G277" s="949"/>
      <c r="H277" s="949"/>
      <c r="I277" s="1648">
        <f>ROUND(AD162*$U$211+AD188*$U$212,3)</f>
        <v>2.012</v>
      </c>
      <c r="J277" s="1649"/>
      <c r="K277" s="1649"/>
      <c r="L277" s="1649"/>
      <c r="M277" s="1649"/>
      <c r="N277" s="1649"/>
      <c r="O277" s="1649"/>
      <c r="P277" s="1650"/>
      <c r="Q277" s="1655">
        <f>ROUND(Z162*$U$211+Z188*$U$212,2)</f>
        <v>11908.72</v>
      </c>
      <c r="R277" s="1656"/>
      <c r="S277" s="1656"/>
      <c r="T277" s="1656"/>
      <c r="U277" s="1656"/>
      <c r="V277" s="1656"/>
      <c r="W277" s="1656"/>
      <c r="X277" s="1657"/>
      <c r="Y277" s="1658">
        <f>Q277*R$150</f>
        <v>238174.4</v>
      </c>
      <c r="Z277" s="1659"/>
      <c r="AA277" s="1659"/>
      <c r="AB277" s="1659"/>
      <c r="AC277" s="1659"/>
      <c r="AD277" s="1659"/>
      <c r="AE277" s="1659"/>
      <c r="AF277" s="1660"/>
    </row>
    <row r="278" spans="1:32" ht="45" customHeight="1" x14ac:dyDescent="0.3">
      <c r="A278" s="1642" t="s">
        <v>5537</v>
      </c>
      <c r="B278" s="1643"/>
      <c r="C278" s="1643"/>
      <c r="D278" s="1643"/>
      <c r="E278" s="1643" t="s">
        <v>579</v>
      </c>
      <c r="F278" s="1643"/>
      <c r="G278" s="1643"/>
      <c r="H278" s="1643"/>
      <c r="I278" s="1648">
        <f>ROUND($U$211*(AD163*$U$211+AD176*$U$212)+$U$212*(AD189*$U$211+AD202*$U$212),3)</f>
        <v>0.42299999999999999</v>
      </c>
      <c r="J278" s="1649"/>
      <c r="K278" s="1649"/>
      <c r="L278" s="1649"/>
      <c r="M278" s="1649"/>
      <c r="N278" s="1649"/>
      <c r="O278" s="1649"/>
      <c r="P278" s="1650"/>
      <c r="Q278" s="1655">
        <f>ROUND($U$211*(Z163*$U$211+Z176*$U$212)+$U$212*(Z189*$U$211+Z202*$U$212),2)</f>
        <v>2501.5100000000002</v>
      </c>
      <c r="R278" s="1656"/>
      <c r="S278" s="1656"/>
      <c r="T278" s="1656"/>
      <c r="U278" s="1656"/>
      <c r="V278" s="1656"/>
      <c r="W278" s="1656"/>
      <c r="X278" s="1657"/>
      <c r="Y278" s="1658">
        <f>Q278*R$147</f>
        <v>25015.100000000002</v>
      </c>
      <c r="Z278" s="1659"/>
      <c r="AA278" s="1659"/>
      <c r="AB278" s="1659"/>
      <c r="AC278" s="1659"/>
      <c r="AD278" s="1659"/>
      <c r="AE278" s="1659"/>
      <c r="AF278" s="1660"/>
    </row>
    <row r="279" spans="1:32" ht="45" customHeight="1" x14ac:dyDescent="0.3">
      <c r="A279" s="1635" t="s">
        <v>5538</v>
      </c>
      <c r="B279" s="949"/>
      <c r="C279" s="949"/>
      <c r="D279" s="949"/>
      <c r="E279" s="949" t="s">
        <v>579</v>
      </c>
      <c r="F279" s="949"/>
      <c r="G279" s="949"/>
      <c r="H279" s="949"/>
      <c r="I279" s="1648">
        <f>ROUND($U$211*(AD164*$U$211+AD177*$U$212)+$U$212*(AD190*$U$211+AD203*$U$212),3)</f>
        <v>0.82599999999999996</v>
      </c>
      <c r="J279" s="1649"/>
      <c r="K279" s="1649"/>
      <c r="L279" s="1649"/>
      <c r="M279" s="1649"/>
      <c r="N279" s="1649"/>
      <c r="O279" s="1649"/>
      <c r="P279" s="1650"/>
      <c r="Q279" s="1655">
        <f>ROUND($U$211*(Z164*$U$211+Z177*$U$212)+$U$212*(Z190*$U$211+Z203*$U$212),2)</f>
        <v>4889.5</v>
      </c>
      <c r="R279" s="1656"/>
      <c r="S279" s="1656"/>
      <c r="T279" s="1656"/>
      <c r="U279" s="1656"/>
      <c r="V279" s="1656"/>
      <c r="W279" s="1656"/>
      <c r="X279" s="1657"/>
      <c r="Y279" s="1658">
        <f>Q279*R$148</f>
        <v>73342.5</v>
      </c>
      <c r="Z279" s="1659"/>
      <c r="AA279" s="1659"/>
      <c r="AB279" s="1659"/>
      <c r="AC279" s="1659"/>
      <c r="AD279" s="1659"/>
      <c r="AE279" s="1659"/>
      <c r="AF279" s="1660"/>
    </row>
    <row r="280" spans="1:32" ht="45" customHeight="1" x14ac:dyDescent="0.3">
      <c r="A280" s="1635" t="s">
        <v>5539</v>
      </c>
      <c r="B280" s="949"/>
      <c r="C280" s="949"/>
      <c r="D280" s="949"/>
      <c r="E280" s="949" t="s">
        <v>579</v>
      </c>
      <c r="F280" s="949"/>
      <c r="G280" s="949"/>
      <c r="H280" s="949"/>
      <c r="I280" s="1648">
        <f>ROUND($U$211*(AD165*$U$211+AD178*$U$212)+$U$212*(AD191*$U$211+AD204*$U$212),3)</f>
        <v>0.99099999999999999</v>
      </c>
      <c r="J280" s="1649"/>
      <c r="K280" s="1649"/>
      <c r="L280" s="1649"/>
      <c r="M280" s="1649"/>
      <c r="N280" s="1649"/>
      <c r="O280" s="1649"/>
      <c r="P280" s="1650"/>
      <c r="Q280" s="1655">
        <f>ROUND($U$211*(Z165*$U$211+Z178*$U$212)+$U$212*(Z191*$U$211+Z204*$U$212),2)</f>
        <v>5866.1</v>
      </c>
      <c r="R280" s="1656"/>
      <c r="S280" s="1656"/>
      <c r="T280" s="1656"/>
      <c r="U280" s="1656"/>
      <c r="V280" s="1656"/>
      <c r="W280" s="1656"/>
      <c r="X280" s="1657"/>
      <c r="Y280" s="1658">
        <f>Q280*R$149</f>
        <v>117322</v>
      </c>
      <c r="Z280" s="1659"/>
      <c r="AA280" s="1659"/>
      <c r="AB280" s="1659"/>
      <c r="AC280" s="1659"/>
      <c r="AD280" s="1659"/>
      <c r="AE280" s="1659"/>
      <c r="AF280" s="1660"/>
    </row>
    <row r="281" spans="1:32" ht="45" customHeight="1" x14ac:dyDescent="0.3">
      <c r="A281" s="1635" t="s">
        <v>5540</v>
      </c>
      <c r="B281" s="949"/>
      <c r="C281" s="949"/>
      <c r="D281" s="949"/>
      <c r="E281" s="949" t="s">
        <v>579</v>
      </c>
      <c r="F281" s="949"/>
      <c r="G281" s="949"/>
      <c r="H281" s="949"/>
      <c r="I281" s="1648">
        <f>ROUND($U$211*(AD166*$U$211+AD179*$U$212)+$U$212*(AD192*$U$211+AD205*$U$212),3)</f>
        <v>2.4249999999999998</v>
      </c>
      <c r="J281" s="1649"/>
      <c r="K281" s="1649"/>
      <c r="L281" s="1649"/>
      <c r="M281" s="1649"/>
      <c r="N281" s="1649"/>
      <c r="O281" s="1649"/>
      <c r="P281" s="1650"/>
      <c r="Q281" s="1655">
        <f>ROUND($U$211*(Z166*$U$211+Z179*$U$212)+$U$212*(Z192*$U$211+Z205*$U$212),2)</f>
        <v>14355.01</v>
      </c>
      <c r="R281" s="1656"/>
      <c r="S281" s="1656"/>
      <c r="T281" s="1656"/>
      <c r="U281" s="1656"/>
      <c r="V281" s="1656"/>
      <c r="W281" s="1656"/>
      <c r="X281" s="1657"/>
      <c r="Y281" s="1658">
        <f>Q281*R$150</f>
        <v>287100.2</v>
      </c>
      <c r="Z281" s="1659"/>
      <c r="AA281" s="1659"/>
      <c r="AB281" s="1659"/>
      <c r="AC281" s="1659"/>
      <c r="AD281" s="1659"/>
      <c r="AE281" s="1659"/>
      <c r="AF281" s="1660"/>
    </row>
    <row r="282" spans="1:32" ht="45" customHeight="1" thickBot="1" x14ac:dyDescent="0.35">
      <c r="A282" s="1408" t="s">
        <v>5562</v>
      </c>
      <c r="B282" s="1248"/>
      <c r="C282" s="1248"/>
      <c r="D282" s="1248"/>
      <c r="E282" s="1248" t="s">
        <v>579</v>
      </c>
      <c r="F282" s="1248"/>
      <c r="G282" s="1248"/>
      <c r="H282" s="1248"/>
      <c r="I282" s="1651">
        <f>ROUND($U$211*(AD167*$U$211+AD180*$U$212)+$U$212*(AD193*$U$211+AD206*$U$212),3)</f>
        <v>0.30199999999999999</v>
      </c>
      <c r="J282" s="1652"/>
      <c r="K282" s="1652"/>
      <c r="L282" s="1652"/>
      <c r="M282" s="1652"/>
      <c r="N282" s="1652"/>
      <c r="O282" s="1652"/>
      <c r="P282" s="1653"/>
      <c r="Q282" s="1662">
        <f>ROUND($U$211*(Z167*$U$211+Z180*$U$212)+$U$212*(Z193*$U$211+Z206*$U$212),2)</f>
        <v>1786.05</v>
      </c>
      <c r="R282" s="1663"/>
      <c r="S282" s="1663"/>
      <c r="T282" s="1663"/>
      <c r="U282" s="1663"/>
      <c r="V282" s="1663"/>
      <c r="W282" s="1663"/>
      <c r="X282" s="1664"/>
      <c r="Y282" s="1665">
        <f>Q282*R$151</f>
        <v>17860.5</v>
      </c>
      <c r="Z282" s="1666"/>
      <c r="AA282" s="1666"/>
      <c r="AB282" s="1666"/>
      <c r="AC282" s="1666"/>
      <c r="AD282" s="1666"/>
      <c r="AE282" s="1666"/>
      <c r="AF282" s="1667"/>
    </row>
    <row r="285" spans="1:32" x14ac:dyDescent="0.3">
      <c r="A285" s="1141" t="s">
        <v>1514</v>
      </c>
      <c r="B285" s="1141"/>
      <c r="C285" s="1141"/>
      <c r="D285" s="1141"/>
      <c r="E285" s="1141"/>
      <c r="F285" s="1141"/>
      <c r="G285" s="1141"/>
      <c r="H285" s="1141"/>
      <c r="I285" s="1141"/>
      <c r="J285" s="1141"/>
      <c r="K285" s="1141"/>
      <c r="L285" s="1141"/>
      <c r="M285" s="1141"/>
      <c r="N285" s="1141"/>
      <c r="O285" s="1141"/>
      <c r="P285" s="1141"/>
      <c r="Q285" s="1141"/>
      <c r="R285" s="1141"/>
      <c r="S285" s="1141"/>
      <c r="T285" s="1141"/>
      <c r="U285" s="1141"/>
      <c r="V285" s="1141"/>
      <c r="W285" s="1141"/>
      <c r="X285" s="1141"/>
      <c r="Y285" s="1141"/>
      <c r="Z285" s="1141"/>
      <c r="AA285" s="1141"/>
      <c r="AB285" s="1141"/>
      <c r="AC285" s="1141"/>
      <c r="AD285" s="1141"/>
      <c r="AE285" s="1141"/>
      <c r="AF285" s="1141"/>
    </row>
    <row r="286" spans="1:32" x14ac:dyDescent="0.3">
      <c r="A286" s="370" t="s">
        <v>803</v>
      </c>
      <c r="B286" s="889" t="s">
        <v>5541</v>
      </c>
      <c r="C286" s="889"/>
      <c r="D286" s="889"/>
      <c r="E286" s="889"/>
      <c r="F286" s="889"/>
      <c r="G286" s="889"/>
      <c r="H286" s="889"/>
      <c r="I286" s="889"/>
      <c r="J286" s="889"/>
      <c r="K286" s="889"/>
      <c r="L286" s="889"/>
      <c r="M286" s="889"/>
      <c r="N286" s="889"/>
      <c r="O286" s="889"/>
      <c r="P286" s="889"/>
      <c r="Q286" s="889"/>
      <c r="R286" s="889"/>
      <c r="S286" s="889"/>
      <c r="T286" s="889"/>
      <c r="U286" s="889"/>
      <c r="V286" s="889"/>
      <c r="W286" s="889"/>
      <c r="X286" s="889"/>
      <c r="Y286" s="889"/>
      <c r="Z286" s="889"/>
      <c r="AA286" s="889"/>
      <c r="AB286" s="889"/>
      <c r="AC286" s="889"/>
      <c r="AD286" s="889"/>
      <c r="AE286" s="889"/>
      <c r="AF286" s="889"/>
    </row>
    <row r="287" spans="1:32" ht="61.5" customHeight="1" x14ac:dyDescent="0.3">
      <c r="A287" s="370" t="s">
        <v>803</v>
      </c>
      <c r="B287" s="889" t="s">
        <v>5542</v>
      </c>
      <c r="C287" s="889"/>
      <c r="D287" s="889"/>
      <c r="E287" s="889"/>
      <c r="F287" s="889"/>
      <c r="G287" s="889"/>
      <c r="H287" s="889"/>
      <c r="I287" s="889"/>
      <c r="J287" s="889"/>
      <c r="K287" s="889"/>
      <c r="L287" s="889"/>
      <c r="M287" s="889"/>
      <c r="N287" s="889"/>
      <c r="O287" s="889"/>
      <c r="P287" s="889"/>
      <c r="Q287" s="889"/>
      <c r="R287" s="889"/>
      <c r="S287" s="889"/>
      <c r="T287" s="889"/>
      <c r="U287" s="889"/>
      <c r="V287" s="889"/>
      <c r="W287" s="889"/>
      <c r="X287" s="889"/>
      <c r="Y287" s="889"/>
      <c r="Z287" s="889"/>
      <c r="AA287" s="889"/>
      <c r="AB287" s="889"/>
      <c r="AC287" s="889"/>
      <c r="AD287" s="889"/>
      <c r="AE287" s="889"/>
      <c r="AF287" s="889"/>
    </row>
    <row r="288" spans="1:32" ht="47.25" customHeight="1" x14ac:dyDescent="0.3">
      <c r="A288" s="370" t="s">
        <v>803</v>
      </c>
      <c r="B288" s="889" t="s">
        <v>5543</v>
      </c>
      <c r="C288" s="889"/>
      <c r="D288" s="889"/>
      <c r="E288" s="889"/>
      <c r="F288" s="889"/>
      <c r="G288" s="889"/>
      <c r="H288" s="889"/>
      <c r="I288" s="889"/>
      <c r="J288" s="889"/>
      <c r="K288" s="889"/>
      <c r="L288" s="889"/>
      <c r="M288" s="889"/>
      <c r="N288" s="889"/>
      <c r="O288" s="889"/>
      <c r="P288" s="889"/>
      <c r="Q288" s="889"/>
      <c r="R288" s="889"/>
      <c r="S288" s="889"/>
      <c r="T288" s="889"/>
      <c r="U288" s="889"/>
      <c r="V288" s="889"/>
      <c r="W288" s="889"/>
      <c r="X288" s="889"/>
      <c r="Y288" s="889"/>
      <c r="Z288" s="889"/>
      <c r="AA288" s="889"/>
      <c r="AB288" s="889"/>
      <c r="AC288" s="889"/>
      <c r="AD288" s="889"/>
      <c r="AE288" s="889"/>
      <c r="AF288" s="889"/>
    </row>
    <row r="289" spans="1:32" ht="33.75" customHeight="1" x14ac:dyDescent="0.3">
      <c r="A289" s="370" t="s">
        <v>803</v>
      </c>
      <c r="B289" s="889" t="s">
        <v>5213</v>
      </c>
      <c r="C289" s="889"/>
      <c r="D289" s="889"/>
      <c r="E289" s="889"/>
      <c r="F289" s="889"/>
      <c r="G289" s="889"/>
      <c r="H289" s="889"/>
      <c r="I289" s="889"/>
      <c r="J289" s="889"/>
      <c r="K289" s="889"/>
      <c r="L289" s="889"/>
      <c r="M289" s="889"/>
      <c r="N289" s="889"/>
      <c r="O289" s="889"/>
      <c r="P289" s="889"/>
      <c r="Q289" s="889"/>
      <c r="R289" s="889"/>
      <c r="S289" s="889"/>
      <c r="T289" s="889"/>
      <c r="U289" s="889"/>
      <c r="V289" s="889"/>
      <c r="W289" s="889"/>
      <c r="X289" s="889"/>
      <c r="Y289" s="889"/>
      <c r="Z289" s="889"/>
      <c r="AA289" s="889"/>
      <c r="AB289" s="889"/>
      <c r="AC289" s="889"/>
      <c r="AD289" s="889"/>
      <c r="AE289" s="889"/>
      <c r="AF289" s="889"/>
    </row>
    <row r="290" spans="1:32" ht="79.5" customHeight="1" x14ac:dyDescent="0.3">
      <c r="A290" s="370" t="s">
        <v>803</v>
      </c>
      <c r="B290" s="889" t="s">
        <v>5180</v>
      </c>
      <c r="C290" s="953"/>
      <c r="D290" s="953"/>
      <c r="E290" s="953"/>
      <c r="F290" s="953"/>
      <c r="G290" s="953"/>
      <c r="H290" s="953"/>
      <c r="I290" s="953"/>
      <c r="J290" s="953"/>
      <c r="K290" s="953"/>
      <c r="L290" s="953"/>
      <c r="M290" s="953"/>
      <c r="N290" s="953"/>
      <c r="O290" s="953"/>
      <c r="P290" s="953"/>
      <c r="Q290" s="953"/>
      <c r="R290" s="953"/>
      <c r="S290" s="953"/>
      <c r="T290" s="953"/>
      <c r="U290" s="953"/>
      <c r="V290" s="953"/>
      <c r="W290" s="953"/>
      <c r="X290" s="953"/>
      <c r="Y290" s="953"/>
      <c r="Z290" s="953"/>
      <c r="AA290" s="953"/>
      <c r="AB290" s="953"/>
      <c r="AC290" s="953"/>
      <c r="AD290" s="953"/>
      <c r="AE290" s="953"/>
      <c r="AF290" s="953"/>
    </row>
    <row r="291" spans="1:32" ht="47.25" customHeight="1" x14ac:dyDescent="0.3">
      <c r="A291" s="370" t="s">
        <v>803</v>
      </c>
      <c r="B291" s="889" t="s">
        <v>5544</v>
      </c>
      <c r="C291" s="889"/>
      <c r="D291" s="889"/>
      <c r="E291" s="889"/>
      <c r="F291" s="889"/>
      <c r="G291" s="889"/>
      <c r="H291" s="889"/>
      <c r="I291" s="889"/>
      <c r="J291" s="889"/>
      <c r="K291" s="889"/>
      <c r="L291" s="889"/>
      <c r="M291" s="889"/>
      <c r="N291" s="889"/>
      <c r="O291" s="889"/>
      <c r="P291" s="889"/>
      <c r="Q291" s="889"/>
      <c r="R291" s="889"/>
      <c r="S291" s="889"/>
      <c r="T291" s="889"/>
      <c r="U291" s="889"/>
      <c r="V291" s="889"/>
      <c r="W291" s="889"/>
      <c r="X291" s="889"/>
      <c r="Y291" s="889"/>
      <c r="Z291" s="889"/>
      <c r="AA291" s="889"/>
      <c r="AB291" s="889"/>
      <c r="AC291" s="889"/>
      <c r="AD291" s="889"/>
      <c r="AE291" s="889"/>
      <c r="AF291" s="889"/>
    </row>
    <row r="292" spans="1:32" ht="48" customHeight="1" x14ac:dyDescent="0.3">
      <c r="A292" s="370" t="s">
        <v>803</v>
      </c>
      <c r="B292" s="889" t="s">
        <v>5545</v>
      </c>
      <c r="C292" s="889"/>
      <c r="D292" s="889"/>
      <c r="E292" s="889"/>
      <c r="F292" s="889"/>
      <c r="G292" s="889"/>
      <c r="H292" s="889"/>
      <c r="I292" s="889"/>
      <c r="J292" s="889"/>
      <c r="K292" s="889"/>
      <c r="L292" s="889"/>
      <c r="M292" s="889"/>
      <c r="N292" s="889"/>
      <c r="O292" s="889"/>
      <c r="P292" s="889"/>
      <c r="Q292" s="889"/>
      <c r="R292" s="889"/>
      <c r="S292" s="889"/>
      <c r="T292" s="889"/>
      <c r="U292" s="889"/>
      <c r="V292" s="889"/>
      <c r="W292" s="889"/>
      <c r="X292" s="889"/>
      <c r="Y292" s="889"/>
      <c r="Z292" s="889"/>
      <c r="AA292" s="889"/>
      <c r="AB292" s="889"/>
      <c r="AC292" s="889"/>
      <c r="AD292" s="889"/>
      <c r="AE292" s="889"/>
      <c r="AF292" s="889"/>
    </row>
    <row r="293" spans="1:32" ht="48.75" customHeight="1" x14ac:dyDescent="0.3">
      <c r="A293" s="370" t="s">
        <v>803</v>
      </c>
      <c r="B293" s="889" t="s">
        <v>5181</v>
      </c>
      <c r="C293" s="889"/>
      <c r="D293" s="889"/>
      <c r="E293" s="889"/>
      <c r="F293" s="889"/>
      <c r="G293" s="889"/>
      <c r="H293" s="889"/>
      <c r="I293" s="889"/>
      <c r="J293" s="889"/>
      <c r="K293" s="889"/>
      <c r="L293" s="889"/>
      <c r="M293" s="889"/>
      <c r="N293" s="889"/>
      <c r="O293" s="889"/>
      <c r="P293" s="889"/>
      <c r="Q293" s="889"/>
      <c r="R293" s="889"/>
      <c r="S293" s="889"/>
      <c r="T293" s="889"/>
      <c r="U293" s="889"/>
      <c r="V293" s="889"/>
      <c r="W293" s="889"/>
      <c r="X293" s="889"/>
      <c r="Y293" s="889"/>
      <c r="Z293" s="889"/>
      <c r="AA293" s="889"/>
      <c r="AB293" s="889"/>
      <c r="AC293" s="889"/>
      <c r="AD293" s="889"/>
      <c r="AE293" s="889"/>
      <c r="AF293" s="889"/>
    </row>
    <row r="294" spans="1:32" ht="47.25" customHeight="1" x14ac:dyDescent="0.3">
      <c r="A294" s="370" t="s">
        <v>803</v>
      </c>
      <c r="B294" s="953" t="s">
        <v>5546</v>
      </c>
      <c r="C294" s="953"/>
      <c r="D294" s="953"/>
      <c r="E294" s="953"/>
      <c r="F294" s="953"/>
      <c r="G294" s="953"/>
      <c r="H294" s="953"/>
      <c r="I294" s="953"/>
      <c r="J294" s="953"/>
      <c r="K294" s="953"/>
      <c r="L294" s="953"/>
      <c r="M294" s="953"/>
      <c r="N294" s="953"/>
      <c r="O294" s="953"/>
      <c r="P294" s="953"/>
      <c r="Q294" s="953"/>
      <c r="R294" s="953"/>
      <c r="S294" s="953"/>
      <c r="T294" s="953"/>
      <c r="U294" s="953"/>
      <c r="V294" s="953"/>
      <c r="W294" s="953"/>
      <c r="X294" s="953"/>
      <c r="Y294" s="953"/>
      <c r="Z294" s="953"/>
      <c r="AA294" s="953"/>
      <c r="AB294" s="953"/>
      <c r="AC294" s="953"/>
      <c r="AD294" s="953"/>
      <c r="AE294" s="953"/>
      <c r="AF294" s="953"/>
    </row>
    <row r="295" spans="1:32" ht="48" customHeight="1" x14ac:dyDescent="0.3">
      <c r="A295" s="370" t="s">
        <v>803</v>
      </c>
      <c r="B295" s="953" t="s">
        <v>5547</v>
      </c>
      <c r="C295" s="953"/>
      <c r="D295" s="953"/>
      <c r="E295" s="953"/>
      <c r="F295" s="953"/>
      <c r="G295" s="953"/>
      <c r="H295" s="953"/>
      <c r="I295" s="953"/>
      <c r="J295" s="953"/>
      <c r="K295" s="953"/>
      <c r="L295" s="953"/>
      <c r="M295" s="953"/>
      <c r="N295" s="953"/>
      <c r="O295" s="953"/>
      <c r="P295" s="953"/>
      <c r="Q295" s="953"/>
      <c r="R295" s="953"/>
      <c r="S295" s="953"/>
      <c r="T295" s="953"/>
      <c r="U295" s="953"/>
      <c r="V295" s="953"/>
      <c r="W295" s="953"/>
      <c r="X295" s="953"/>
      <c r="Y295" s="953"/>
      <c r="Z295" s="953"/>
      <c r="AA295" s="953"/>
      <c r="AB295" s="953"/>
      <c r="AC295" s="953"/>
      <c r="AD295" s="953"/>
      <c r="AE295" s="953"/>
      <c r="AF295" s="953"/>
    </row>
  </sheetData>
  <sheetProtection algorithmName="SHA-512" hashValue="g0wNp+XYaqhM2l0xarw3zRjsWExIxj1KQhZKI3EnQAUqL3jswX6pNmO0drp21mWBLngqZXBJ3jYQ561iJ0NGfQ==" saltValue="YKXfp4+mXx1Efv/vGLWh4g==" spinCount="100000" sheet="1" objects="1" scenarios="1"/>
  <mergeCells count="743">
    <mergeCell ref="B293:AF293"/>
    <mergeCell ref="B294:AF294"/>
    <mergeCell ref="B295:AF295"/>
    <mergeCell ref="AF37:AF38"/>
    <mergeCell ref="AF40:AF42"/>
    <mergeCell ref="AF44:AF45"/>
    <mergeCell ref="AF47:AF49"/>
    <mergeCell ref="AF51:AF52"/>
    <mergeCell ref="AF54:AF56"/>
    <mergeCell ref="B287:AF287"/>
    <mergeCell ref="B288:AF288"/>
    <mergeCell ref="B289:AF289"/>
    <mergeCell ref="B290:AF290"/>
    <mergeCell ref="B291:AF291"/>
    <mergeCell ref="B292:AF292"/>
    <mergeCell ref="A282:H282"/>
    <mergeCell ref="I282:P282"/>
    <mergeCell ref="Q282:X282"/>
    <mergeCell ref="Y282:AF282"/>
    <mergeCell ref="A285:AF285"/>
    <mergeCell ref="B286:AF286"/>
    <mergeCell ref="A280:H280"/>
    <mergeCell ref="I280:P280"/>
    <mergeCell ref="Q280:X280"/>
    <mergeCell ref="Y280:AF280"/>
    <mergeCell ref="A281:H281"/>
    <mergeCell ref="I281:P281"/>
    <mergeCell ref="Q281:X281"/>
    <mergeCell ref="Y281:AF281"/>
    <mergeCell ref="A278:H278"/>
    <mergeCell ref="I278:P278"/>
    <mergeCell ref="Q278:X278"/>
    <mergeCell ref="Y278:AF278"/>
    <mergeCell ref="A279:H279"/>
    <mergeCell ref="I279:P279"/>
    <mergeCell ref="Q279:X279"/>
    <mergeCell ref="Y279:AF279"/>
    <mergeCell ref="A276:H276"/>
    <mergeCell ref="I276:P276"/>
    <mergeCell ref="Q276:X276"/>
    <mergeCell ref="Y276:AF276"/>
    <mergeCell ref="A277:H277"/>
    <mergeCell ref="I277:P277"/>
    <mergeCell ref="Q277:X277"/>
    <mergeCell ref="Y277:AF277"/>
    <mergeCell ref="A274:H274"/>
    <mergeCell ref="I274:P274"/>
    <mergeCell ref="Q274:X274"/>
    <mergeCell ref="Y274:AF274"/>
    <mergeCell ref="A275:H275"/>
    <mergeCell ref="I275:P275"/>
    <mergeCell ref="Q275:X275"/>
    <mergeCell ref="Y275:AF275"/>
    <mergeCell ref="A269:H269"/>
    <mergeCell ref="I269:P269"/>
    <mergeCell ref="Q269:X269"/>
    <mergeCell ref="Y269:AF269"/>
    <mergeCell ref="A273:H273"/>
    <mergeCell ref="I273:P273"/>
    <mergeCell ref="Q273:X273"/>
    <mergeCell ref="Y273:AF273"/>
    <mergeCell ref="A267:H267"/>
    <mergeCell ref="I267:P267"/>
    <mergeCell ref="Q267:X267"/>
    <mergeCell ref="Y267:AF267"/>
    <mergeCell ref="A268:H268"/>
    <mergeCell ref="I268:P268"/>
    <mergeCell ref="Q268:X268"/>
    <mergeCell ref="Y268:AF268"/>
    <mergeCell ref="A265:H265"/>
    <mergeCell ref="I265:P265"/>
    <mergeCell ref="Q265:X265"/>
    <mergeCell ref="Y265:AF265"/>
    <mergeCell ref="A266:H266"/>
    <mergeCell ref="I266:P266"/>
    <mergeCell ref="Q266:X266"/>
    <mergeCell ref="Y266:AF266"/>
    <mergeCell ref="A263:H263"/>
    <mergeCell ref="I263:P263"/>
    <mergeCell ref="Q263:X263"/>
    <mergeCell ref="Y263:AF263"/>
    <mergeCell ref="A264:H264"/>
    <mergeCell ref="I264:P264"/>
    <mergeCell ref="Q264:X264"/>
    <mergeCell ref="Y264:AF264"/>
    <mergeCell ref="A261:H261"/>
    <mergeCell ref="I261:P261"/>
    <mergeCell ref="Q261:X261"/>
    <mergeCell ref="Y261:AF261"/>
    <mergeCell ref="A262:H262"/>
    <mergeCell ref="I262:P262"/>
    <mergeCell ref="Q262:X262"/>
    <mergeCell ref="Y262:AF262"/>
    <mergeCell ref="A259:H259"/>
    <mergeCell ref="I259:P259"/>
    <mergeCell ref="Q259:X259"/>
    <mergeCell ref="Y259:AF259"/>
    <mergeCell ref="A260:H260"/>
    <mergeCell ref="I260:P260"/>
    <mergeCell ref="Q260:X260"/>
    <mergeCell ref="Y260:AF260"/>
    <mergeCell ref="A257:H257"/>
    <mergeCell ref="I257:P257"/>
    <mergeCell ref="Q257:X257"/>
    <mergeCell ref="Y257:AF257"/>
    <mergeCell ref="A258:H258"/>
    <mergeCell ref="I258:P258"/>
    <mergeCell ref="Q258:X258"/>
    <mergeCell ref="Y258:AF258"/>
    <mergeCell ref="A255:H255"/>
    <mergeCell ref="I255:P255"/>
    <mergeCell ref="Q255:X255"/>
    <mergeCell ref="Y255:AF255"/>
    <mergeCell ref="A256:H256"/>
    <mergeCell ref="I256:P256"/>
    <mergeCell ref="Q256:X256"/>
    <mergeCell ref="Y256:AF256"/>
    <mergeCell ref="A253:H253"/>
    <mergeCell ref="I253:P253"/>
    <mergeCell ref="Q253:X253"/>
    <mergeCell ref="Y253:AF253"/>
    <mergeCell ref="A254:H254"/>
    <mergeCell ref="I254:P254"/>
    <mergeCell ref="Q254:X254"/>
    <mergeCell ref="Y254:AF254"/>
    <mergeCell ref="A251:H251"/>
    <mergeCell ref="I251:P251"/>
    <mergeCell ref="Q251:X251"/>
    <mergeCell ref="Y251:AF251"/>
    <mergeCell ref="A252:H252"/>
    <mergeCell ref="I252:P252"/>
    <mergeCell ref="Q252:X252"/>
    <mergeCell ref="Y252:AF252"/>
    <mergeCell ref="A249:H249"/>
    <mergeCell ref="I249:P249"/>
    <mergeCell ref="Q249:X249"/>
    <mergeCell ref="Y249:AF249"/>
    <mergeCell ref="A250:H250"/>
    <mergeCell ref="I250:P250"/>
    <mergeCell ref="Q250:X250"/>
    <mergeCell ref="Y250:AF250"/>
    <mergeCell ref="A247:H247"/>
    <mergeCell ref="I247:P247"/>
    <mergeCell ref="Q247:X247"/>
    <mergeCell ref="Y247:AF247"/>
    <mergeCell ref="A248:H248"/>
    <mergeCell ref="I248:P248"/>
    <mergeCell ref="Q248:X248"/>
    <mergeCell ref="Y248:AF248"/>
    <mergeCell ref="A245:H245"/>
    <mergeCell ref="I245:P245"/>
    <mergeCell ref="Q245:X245"/>
    <mergeCell ref="Y245:AF245"/>
    <mergeCell ref="A246:H246"/>
    <mergeCell ref="I246:P246"/>
    <mergeCell ref="Q246:X246"/>
    <mergeCell ref="Y246:AF246"/>
    <mergeCell ref="A243:H243"/>
    <mergeCell ref="I243:P243"/>
    <mergeCell ref="Q243:X243"/>
    <mergeCell ref="Y243:AF243"/>
    <mergeCell ref="A244:H244"/>
    <mergeCell ref="I244:P244"/>
    <mergeCell ref="Q244:X244"/>
    <mergeCell ref="Y244:AF244"/>
    <mergeCell ref="A241:H241"/>
    <mergeCell ref="I241:P241"/>
    <mergeCell ref="Q241:X241"/>
    <mergeCell ref="Y241:AF241"/>
    <mergeCell ref="A242:H242"/>
    <mergeCell ref="I242:P242"/>
    <mergeCell ref="Q242:X242"/>
    <mergeCell ref="Y242:AF242"/>
    <mergeCell ref="A239:H239"/>
    <mergeCell ref="I239:P239"/>
    <mergeCell ref="Q239:X239"/>
    <mergeCell ref="Y239:AF239"/>
    <mergeCell ref="A240:H240"/>
    <mergeCell ref="I240:P240"/>
    <mergeCell ref="Q240:X240"/>
    <mergeCell ref="Y240:AF240"/>
    <mergeCell ref="A237:H237"/>
    <mergeCell ref="I237:P237"/>
    <mergeCell ref="Q237:X237"/>
    <mergeCell ref="Y237:AF237"/>
    <mergeCell ref="A238:H238"/>
    <mergeCell ref="I238:P238"/>
    <mergeCell ref="Q238:X238"/>
    <mergeCell ref="Y238:AF238"/>
    <mergeCell ref="A235:H235"/>
    <mergeCell ref="I235:P235"/>
    <mergeCell ref="Q235:X235"/>
    <mergeCell ref="Y235:AF235"/>
    <mergeCell ref="A236:H236"/>
    <mergeCell ref="I236:P236"/>
    <mergeCell ref="Q236:X236"/>
    <mergeCell ref="Y236:AF236"/>
    <mergeCell ref="A233:H233"/>
    <mergeCell ref="I233:P233"/>
    <mergeCell ref="Q233:X233"/>
    <mergeCell ref="Y233:AF233"/>
    <mergeCell ref="A234:H234"/>
    <mergeCell ref="I234:P234"/>
    <mergeCell ref="Q234:X234"/>
    <mergeCell ref="Y234:AF234"/>
    <mergeCell ref="Y228:AF228"/>
    <mergeCell ref="A229:H229"/>
    <mergeCell ref="I229:P229"/>
    <mergeCell ref="Q229:X229"/>
    <mergeCell ref="Y229:AF229"/>
    <mergeCell ref="A232:H232"/>
    <mergeCell ref="I232:P232"/>
    <mergeCell ref="Q232:X232"/>
    <mergeCell ref="Y232:AF232"/>
    <mergeCell ref="C224:O224"/>
    <mergeCell ref="P224:X224"/>
    <mergeCell ref="C225:O225"/>
    <mergeCell ref="P225:X225"/>
    <mergeCell ref="A228:H228"/>
    <mergeCell ref="I228:P228"/>
    <mergeCell ref="Q228:X228"/>
    <mergeCell ref="A214:X214"/>
    <mergeCell ref="A215:X215"/>
    <mergeCell ref="A217:AF217"/>
    <mergeCell ref="C222:O222"/>
    <mergeCell ref="P222:X222"/>
    <mergeCell ref="C223:O223"/>
    <mergeCell ref="P223:X223"/>
    <mergeCell ref="AD203:AF203"/>
    <mergeCell ref="A211:T211"/>
    <mergeCell ref="U211:X211"/>
    <mergeCell ref="A212:T212"/>
    <mergeCell ref="U212:X212"/>
    <mergeCell ref="A213:T213"/>
    <mergeCell ref="U213:X213"/>
    <mergeCell ref="F206:Q206"/>
    <mergeCell ref="R206:U206"/>
    <mergeCell ref="V206:Y206"/>
    <mergeCell ref="F202:Q202"/>
    <mergeCell ref="R202:U202"/>
    <mergeCell ref="V202:Y202"/>
    <mergeCell ref="Z202:AC202"/>
    <mergeCell ref="Z206:AC206"/>
    <mergeCell ref="AD206:AF206"/>
    <mergeCell ref="A210:T210"/>
    <mergeCell ref="U210:X210"/>
    <mergeCell ref="F204:Q204"/>
    <mergeCell ref="R204:U204"/>
    <mergeCell ref="V204:Y204"/>
    <mergeCell ref="Z204:AC204"/>
    <mergeCell ref="AD204:AF204"/>
    <mergeCell ref="F205:Q205"/>
    <mergeCell ref="R205:U205"/>
    <mergeCell ref="V205:Y205"/>
    <mergeCell ref="Z205:AC205"/>
    <mergeCell ref="AD205:AF205"/>
    <mergeCell ref="A202:E206"/>
    <mergeCell ref="AD202:AF202"/>
    <mergeCell ref="F203:Q203"/>
    <mergeCell ref="R203:U203"/>
    <mergeCell ref="V203:Y203"/>
    <mergeCell ref="Z203:AC203"/>
    <mergeCell ref="AD199:AF199"/>
    <mergeCell ref="F200:Q200"/>
    <mergeCell ref="R200:U200"/>
    <mergeCell ref="V200:Y200"/>
    <mergeCell ref="Z200:AC200"/>
    <mergeCell ref="AD200:AF200"/>
    <mergeCell ref="A198:E201"/>
    <mergeCell ref="F198:Q198"/>
    <mergeCell ref="R198:U198"/>
    <mergeCell ref="V198:Y198"/>
    <mergeCell ref="Z198:AC198"/>
    <mergeCell ref="AD198:AF198"/>
    <mergeCell ref="F199:Q199"/>
    <mergeCell ref="R199:U199"/>
    <mergeCell ref="V199:Y199"/>
    <mergeCell ref="Z199:AC199"/>
    <mergeCell ref="F201:Q201"/>
    <mergeCell ref="R201:U201"/>
    <mergeCell ref="V201:Y201"/>
    <mergeCell ref="Z201:AC201"/>
    <mergeCell ref="AD201:AF201"/>
    <mergeCell ref="A196:AF196"/>
    <mergeCell ref="A197:Q197"/>
    <mergeCell ref="R197:U197"/>
    <mergeCell ref="V197:Y197"/>
    <mergeCell ref="Z197:AC197"/>
    <mergeCell ref="AD197:AF197"/>
    <mergeCell ref="F192:Q192"/>
    <mergeCell ref="R192:U192"/>
    <mergeCell ref="V192:Y192"/>
    <mergeCell ref="Z192:AC192"/>
    <mergeCell ref="AD192:AF192"/>
    <mergeCell ref="F193:Q193"/>
    <mergeCell ref="R193:U193"/>
    <mergeCell ref="V193:Y193"/>
    <mergeCell ref="Z193:AC193"/>
    <mergeCell ref="AD193:AF193"/>
    <mergeCell ref="Z188:AC188"/>
    <mergeCell ref="AD188:AF188"/>
    <mergeCell ref="AD190:AF190"/>
    <mergeCell ref="F191:Q191"/>
    <mergeCell ref="R191:U191"/>
    <mergeCell ref="V191:Y191"/>
    <mergeCell ref="Z191:AC191"/>
    <mergeCell ref="AD191:AF191"/>
    <mergeCell ref="A189:E193"/>
    <mergeCell ref="F189:Q189"/>
    <mergeCell ref="R189:U189"/>
    <mergeCell ref="V189:Y189"/>
    <mergeCell ref="Z189:AC189"/>
    <mergeCell ref="AD189:AF189"/>
    <mergeCell ref="F190:Q190"/>
    <mergeCell ref="R190:U190"/>
    <mergeCell ref="V190:Y190"/>
    <mergeCell ref="Z190:AC190"/>
    <mergeCell ref="AD185:AF185"/>
    <mergeCell ref="F186:Q186"/>
    <mergeCell ref="R186:U186"/>
    <mergeCell ref="V186:Y186"/>
    <mergeCell ref="Z186:AC186"/>
    <mergeCell ref="AD186:AF186"/>
    <mergeCell ref="A184:Q184"/>
    <mergeCell ref="R184:U184"/>
    <mergeCell ref="V184:Y184"/>
    <mergeCell ref="Z184:AC184"/>
    <mergeCell ref="AD184:AF184"/>
    <mergeCell ref="A185:E188"/>
    <mergeCell ref="F185:Q185"/>
    <mergeCell ref="R185:U185"/>
    <mergeCell ref="V185:Y185"/>
    <mergeCell ref="Z185:AC185"/>
    <mergeCell ref="F187:Q187"/>
    <mergeCell ref="R187:U187"/>
    <mergeCell ref="V187:Y187"/>
    <mergeCell ref="Z187:AC187"/>
    <mergeCell ref="AD187:AF187"/>
    <mergeCell ref="F188:Q188"/>
    <mergeCell ref="R188:U188"/>
    <mergeCell ref="V188:Y188"/>
    <mergeCell ref="A183:AF183"/>
    <mergeCell ref="F178:Q178"/>
    <mergeCell ref="R178:U178"/>
    <mergeCell ref="V178:Y178"/>
    <mergeCell ref="Z178:AC178"/>
    <mergeCell ref="AD178:AF178"/>
    <mergeCell ref="F179:Q179"/>
    <mergeCell ref="R179:U179"/>
    <mergeCell ref="V179:Y179"/>
    <mergeCell ref="Z179:AC179"/>
    <mergeCell ref="AD179:AF179"/>
    <mergeCell ref="A176:E180"/>
    <mergeCell ref="AD176:AF176"/>
    <mergeCell ref="F177:Q177"/>
    <mergeCell ref="R177:U177"/>
    <mergeCell ref="V177:Y177"/>
    <mergeCell ref="Z177:AC177"/>
    <mergeCell ref="AD177:AF177"/>
    <mergeCell ref="F176:Q176"/>
    <mergeCell ref="R176:U176"/>
    <mergeCell ref="V176:Y176"/>
    <mergeCell ref="Z176:AC176"/>
    <mergeCell ref="F180:Q180"/>
    <mergeCell ref="R180:U180"/>
    <mergeCell ref="V180:Y180"/>
    <mergeCell ref="Z180:AC180"/>
    <mergeCell ref="AD180:AF180"/>
    <mergeCell ref="AD173:AF173"/>
    <mergeCell ref="F174:Q174"/>
    <mergeCell ref="R174:U174"/>
    <mergeCell ref="V174:Y174"/>
    <mergeCell ref="Z174:AC174"/>
    <mergeCell ref="AD174:AF174"/>
    <mergeCell ref="A172:E175"/>
    <mergeCell ref="F172:Q172"/>
    <mergeCell ref="R172:U172"/>
    <mergeCell ref="V172:Y172"/>
    <mergeCell ref="Z172:AC172"/>
    <mergeCell ref="AD172:AF172"/>
    <mergeCell ref="F173:Q173"/>
    <mergeCell ref="R173:U173"/>
    <mergeCell ref="V173:Y173"/>
    <mergeCell ref="Z173:AC173"/>
    <mergeCell ref="F175:Q175"/>
    <mergeCell ref="R175:U175"/>
    <mergeCell ref="V175:Y175"/>
    <mergeCell ref="Z175:AC175"/>
    <mergeCell ref="AD175:AF175"/>
    <mergeCell ref="A170:AF170"/>
    <mergeCell ref="A171:Q171"/>
    <mergeCell ref="R171:U171"/>
    <mergeCell ref="V171:Y171"/>
    <mergeCell ref="Z171:AC171"/>
    <mergeCell ref="AD171:AF171"/>
    <mergeCell ref="F166:Q166"/>
    <mergeCell ref="R166:U166"/>
    <mergeCell ref="V166:Y166"/>
    <mergeCell ref="Z166:AC166"/>
    <mergeCell ref="AD166:AF166"/>
    <mergeCell ref="F167:Q167"/>
    <mergeCell ref="R167:U167"/>
    <mergeCell ref="V167:Y167"/>
    <mergeCell ref="Z167:AC167"/>
    <mergeCell ref="AD167:AF167"/>
    <mergeCell ref="Z162:AC162"/>
    <mergeCell ref="AD162:AF162"/>
    <mergeCell ref="AD164:AF164"/>
    <mergeCell ref="F165:Q165"/>
    <mergeCell ref="R165:U165"/>
    <mergeCell ref="V165:Y165"/>
    <mergeCell ref="Z165:AC165"/>
    <mergeCell ref="AD165:AF165"/>
    <mergeCell ref="A163:E167"/>
    <mergeCell ref="F163:Q163"/>
    <mergeCell ref="R163:U163"/>
    <mergeCell ref="V163:Y163"/>
    <mergeCell ref="Z163:AC163"/>
    <mergeCell ref="AD163:AF163"/>
    <mergeCell ref="F164:Q164"/>
    <mergeCell ref="R164:U164"/>
    <mergeCell ref="V164:Y164"/>
    <mergeCell ref="Z164:AC164"/>
    <mergeCell ref="AD159:AF159"/>
    <mergeCell ref="F160:Q160"/>
    <mergeCell ref="R160:U160"/>
    <mergeCell ref="V160:Y160"/>
    <mergeCell ref="Z160:AC160"/>
    <mergeCell ref="AD160:AF160"/>
    <mergeCell ref="A158:Q158"/>
    <mergeCell ref="R158:U158"/>
    <mergeCell ref="V158:Y158"/>
    <mergeCell ref="Z158:AC158"/>
    <mergeCell ref="AD158:AF158"/>
    <mergeCell ref="A159:E162"/>
    <mergeCell ref="F159:Q159"/>
    <mergeCell ref="R159:U159"/>
    <mergeCell ref="V159:Y159"/>
    <mergeCell ref="Z159:AC159"/>
    <mergeCell ref="F161:Q161"/>
    <mergeCell ref="R161:U161"/>
    <mergeCell ref="V161:Y161"/>
    <mergeCell ref="Z161:AC161"/>
    <mergeCell ref="AD161:AF161"/>
    <mergeCell ref="F162:Q162"/>
    <mergeCell ref="R162:U162"/>
    <mergeCell ref="V162:Y162"/>
    <mergeCell ref="R153:T153"/>
    <mergeCell ref="F154:Q154"/>
    <mergeCell ref="R154:T154"/>
    <mergeCell ref="F155:Q155"/>
    <mergeCell ref="R155:T155"/>
    <mergeCell ref="A157:AF157"/>
    <mergeCell ref="F149:Q149"/>
    <mergeCell ref="R149:T149"/>
    <mergeCell ref="F150:Q150"/>
    <mergeCell ref="R150:T150"/>
    <mergeCell ref="A151:E155"/>
    <mergeCell ref="F151:Q151"/>
    <mergeCell ref="R151:T151"/>
    <mergeCell ref="F152:Q152"/>
    <mergeCell ref="R152:T152"/>
    <mergeCell ref="F153:Q153"/>
    <mergeCell ref="A146:Q146"/>
    <mergeCell ref="R146:T146"/>
    <mergeCell ref="A147:E150"/>
    <mergeCell ref="F147:Q147"/>
    <mergeCell ref="R147:T147"/>
    <mergeCell ref="F148:Q148"/>
    <mergeCell ref="R148:T148"/>
    <mergeCell ref="A139:E143"/>
    <mergeCell ref="F141:Q141"/>
    <mergeCell ref="R141:V141"/>
    <mergeCell ref="F142:Q142"/>
    <mergeCell ref="R142:V142"/>
    <mergeCell ref="F139:Q139"/>
    <mergeCell ref="R139:V139"/>
    <mergeCell ref="W139:AA139"/>
    <mergeCell ref="F140:Q140"/>
    <mergeCell ref="R140:V140"/>
    <mergeCell ref="W140:AA140"/>
    <mergeCell ref="F143:Q143"/>
    <mergeCell ref="R143:V143"/>
    <mergeCell ref="W143:AA143"/>
    <mergeCell ref="W141:AA141"/>
    <mergeCell ref="W142:AA142"/>
    <mergeCell ref="A135:E138"/>
    <mergeCell ref="F135:Q135"/>
    <mergeCell ref="R135:V135"/>
    <mergeCell ref="W135:AA135"/>
    <mergeCell ref="F136:Q136"/>
    <mergeCell ref="R136:V136"/>
    <mergeCell ref="W136:AA136"/>
    <mergeCell ref="F137:Q137"/>
    <mergeCell ref="R137:V137"/>
    <mergeCell ref="W137:AA137"/>
    <mergeCell ref="F138:Q138"/>
    <mergeCell ref="R138:V138"/>
    <mergeCell ref="W138:AA138"/>
    <mergeCell ref="A134:Q134"/>
    <mergeCell ref="R134:V134"/>
    <mergeCell ref="W134:AA134"/>
    <mergeCell ref="W128:AA128"/>
    <mergeCell ref="F129:Q129"/>
    <mergeCell ref="R129:V129"/>
    <mergeCell ref="W129:AA129"/>
    <mergeCell ref="F130:Q130"/>
    <mergeCell ref="R130:V130"/>
    <mergeCell ref="W130:AA130"/>
    <mergeCell ref="A127:E131"/>
    <mergeCell ref="F127:Q127"/>
    <mergeCell ref="R127:V127"/>
    <mergeCell ref="W127:AA127"/>
    <mergeCell ref="F128:Q128"/>
    <mergeCell ref="R128:V128"/>
    <mergeCell ref="F131:Q131"/>
    <mergeCell ref="R131:V131"/>
    <mergeCell ref="W131:AA131"/>
    <mergeCell ref="W122:AA122"/>
    <mergeCell ref="A123:E126"/>
    <mergeCell ref="F123:Q123"/>
    <mergeCell ref="R123:V123"/>
    <mergeCell ref="W123:AA123"/>
    <mergeCell ref="F124:Q124"/>
    <mergeCell ref="R124:V124"/>
    <mergeCell ref="W124:AA124"/>
    <mergeCell ref="F125:Q125"/>
    <mergeCell ref="R125:V125"/>
    <mergeCell ref="W125:AA125"/>
    <mergeCell ref="F126:Q126"/>
    <mergeCell ref="R126:V126"/>
    <mergeCell ref="W126:AA126"/>
    <mergeCell ref="R117:V117"/>
    <mergeCell ref="F118:Q118"/>
    <mergeCell ref="R118:V118"/>
    <mergeCell ref="F119:Q119"/>
    <mergeCell ref="R119:V119"/>
    <mergeCell ref="A122:Q122"/>
    <mergeCell ref="R122:V122"/>
    <mergeCell ref="F113:Q113"/>
    <mergeCell ref="R113:V113"/>
    <mergeCell ref="F114:Q114"/>
    <mergeCell ref="R114:V114"/>
    <mergeCell ref="A115:E119"/>
    <mergeCell ref="F115:Q115"/>
    <mergeCell ref="R115:V115"/>
    <mergeCell ref="F116:Q116"/>
    <mergeCell ref="R116:V116"/>
    <mergeCell ref="F117:Q117"/>
    <mergeCell ref="A110:Q110"/>
    <mergeCell ref="R110:V110"/>
    <mergeCell ref="A111:E114"/>
    <mergeCell ref="F111:Q111"/>
    <mergeCell ref="R111:V111"/>
    <mergeCell ref="F112:Q112"/>
    <mergeCell ref="R112:V112"/>
    <mergeCell ref="A103:E107"/>
    <mergeCell ref="F105:Q105"/>
    <mergeCell ref="R105:V105"/>
    <mergeCell ref="F106:Q106"/>
    <mergeCell ref="R106:V106"/>
    <mergeCell ref="F103:Q103"/>
    <mergeCell ref="R103:V103"/>
    <mergeCell ref="W103:AA103"/>
    <mergeCell ref="F104:Q104"/>
    <mergeCell ref="R104:V104"/>
    <mergeCell ref="W104:AA104"/>
    <mergeCell ref="F107:Q107"/>
    <mergeCell ref="R107:V107"/>
    <mergeCell ref="W107:AA107"/>
    <mergeCell ref="W105:AA105"/>
    <mergeCell ref="W106:AA106"/>
    <mergeCell ref="A99:E102"/>
    <mergeCell ref="F99:Q99"/>
    <mergeCell ref="R99:V99"/>
    <mergeCell ref="W99:AA99"/>
    <mergeCell ref="F100:Q100"/>
    <mergeCell ref="R100:V100"/>
    <mergeCell ref="W100:AA100"/>
    <mergeCell ref="F101:Q101"/>
    <mergeCell ref="R101:V101"/>
    <mergeCell ref="W101:AA101"/>
    <mergeCell ref="F102:Q102"/>
    <mergeCell ref="R102:V102"/>
    <mergeCell ref="W102:AA102"/>
    <mergeCell ref="A95:E95"/>
    <mergeCell ref="F95:P95"/>
    <mergeCell ref="Q95:T95"/>
    <mergeCell ref="U95:W95"/>
    <mergeCell ref="X95:AF95"/>
    <mergeCell ref="A98:Q98"/>
    <mergeCell ref="R98:V98"/>
    <mergeCell ref="W98:AA98"/>
    <mergeCell ref="A93:E93"/>
    <mergeCell ref="F93:P93"/>
    <mergeCell ref="Q93:T93"/>
    <mergeCell ref="U93:W93"/>
    <mergeCell ref="X93:AF93"/>
    <mergeCell ref="A94:E94"/>
    <mergeCell ref="F94:P94"/>
    <mergeCell ref="Q94:T94"/>
    <mergeCell ref="U94:W94"/>
    <mergeCell ref="X94:AF94"/>
    <mergeCell ref="A91:E91"/>
    <mergeCell ref="F91:P91"/>
    <mergeCell ref="Q91:T91"/>
    <mergeCell ref="U91:W91"/>
    <mergeCell ref="X91:AF91"/>
    <mergeCell ref="A92:E92"/>
    <mergeCell ref="F92:P92"/>
    <mergeCell ref="Q92:T92"/>
    <mergeCell ref="U92:W92"/>
    <mergeCell ref="X92:AF92"/>
    <mergeCell ref="A89:E89"/>
    <mergeCell ref="F89:P89"/>
    <mergeCell ref="Q89:T89"/>
    <mergeCell ref="U89:W89"/>
    <mergeCell ref="X89:AF89"/>
    <mergeCell ref="A90:E90"/>
    <mergeCell ref="F90:P90"/>
    <mergeCell ref="Q90:T90"/>
    <mergeCell ref="U90:W90"/>
    <mergeCell ref="X90:AF90"/>
    <mergeCell ref="A87:E87"/>
    <mergeCell ref="F87:P87"/>
    <mergeCell ref="Q87:T87"/>
    <mergeCell ref="U87:W87"/>
    <mergeCell ref="X87:AF87"/>
    <mergeCell ref="A88:E88"/>
    <mergeCell ref="F88:P88"/>
    <mergeCell ref="Q88:T88"/>
    <mergeCell ref="U88:W88"/>
    <mergeCell ref="X88:AF88"/>
    <mergeCell ref="A85:E85"/>
    <mergeCell ref="F85:P85"/>
    <mergeCell ref="Q85:T85"/>
    <mergeCell ref="U85:W85"/>
    <mergeCell ref="X85:AF85"/>
    <mergeCell ref="A86:E86"/>
    <mergeCell ref="F86:P86"/>
    <mergeCell ref="Q86:T86"/>
    <mergeCell ref="U86:W86"/>
    <mergeCell ref="X86:AF86"/>
    <mergeCell ref="A83:E83"/>
    <mergeCell ref="F83:P83"/>
    <mergeCell ref="Q83:T83"/>
    <mergeCell ref="U83:W83"/>
    <mergeCell ref="X83:AF83"/>
    <mergeCell ref="A84:E84"/>
    <mergeCell ref="F84:P84"/>
    <mergeCell ref="Q84:T84"/>
    <mergeCell ref="U84:W84"/>
    <mergeCell ref="X84:AF84"/>
    <mergeCell ref="A81:E81"/>
    <mergeCell ref="F81:P81"/>
    <mergeCell ref="Q81:T81"/>
    <mergeCell ref="U81:W81"/>
    <mergeCell ref="X81:AF81"/>
    <mergeCell ref="A82:E82"/>
    <mergeCell ref="F82:P82"/>
    <mergeCell ref="Q82:T82"/>
    <mergeCell ref="U82:W82"/>
    <mergeCell ref="X82:AF82"/>
    <mergeCell ref="A79:E79"/>
    <mergeCell ref="F79:P79"/>
    <mergeCell ref="Q79:T79"/>
    <mergeCell ref="U79:W79"/>
    <mergeCell ref="X79:AF79"/>
    <mergeCell ref="A80:E80"/>
    <mergeCell ref="F80:P80"/>
    <mergeCell ref="Q80:T80"/>
    <mergeCell ref="U80:W80"/>
    <mergeCell ref="X80:AF80"/>
    <mergeCell ref="A77:E77"/>
    <mergeCell ref="F77:P77"/>
    <mergeCell ref="Q77:T77"/>
    <mergeCell ref="U77:W77"/>
    <mergeCell ref="X77:AF77"/>
    <mergeCell ref="A78:E78"/>
    <mergeCell ref="F78:P78"/>
    <mergeCell ref="Q78:T78"/>
    <mergeCell ref="U78:W78"/>
    <mergeCell ref="X78:AF78"/>
    <mergeCell ref="A75:E75"/>
    <mergeCell ref="F75:P75"/>
    <mergeCell ref="Q75:T75"/>
    <mergeCell ref="U75:W75"/>
    <mergeCell ref="X75:AF75"/>
    <mergeCell ref="A76:E76"/>
    <mergeCell ref="F76:P76"/>
    <mergeCell ref="Q76:T76"/>
    <mergeCell ref="U76:W76"/>
    <mergeCell ref="X76:AF76"/>
    <mergeCell ref="A73:E73"/>
    <mergeCell ref="F73:P73"/>
    <mergeCell ref="Q73:T73"/>
    <mergeCell ref="U73:W73"/>
    <mergeCell ref="X73:AF73"/>
    <mergeCell ref="A74:E74"/>
    <mergeCell ref="F74:P74"/>
    <mergeCell ref="Q74:T74"/>
    <mergeCell ref="U74:W74"/>
    <mergeCell ref="X74:AF74"/>
    <mergeCell ref="A71:E71"/>
    <mergeCell ref="F71:P71"/>
    <mergeCell ref="Q71:T71"/>
    <mergeCell ref="U71:W71"/>
    <mergeCell ref="X71:AF71"/>
    <mergeCell ref="A72:E72"/>
    <mergeCell ref="F72:P72"/>
    <mergeCell ref="Q72:T72"/>
    <mergeCell ref="U72:W72"/>
    <mergeCell ref="X72:AF72"/>
    <mergeCell ref="A69:E69"/>
    <mergeCell ref="F69:P69"/>
    <mergeCell ref="Q69:T69"/>
    <mergeCell ref="U69:W69"/>
    <mergeCell ref="X69:AF69"/>
    <mergeCell ref="A70:E70"/>
    <mergeCell ref="F70:P70"/>
    <mergeCell ref="Q70:T70"/>
    <mergeCell ref="U70:W70"/>
    <mergeCell ref="X70:AF70"/>
    <mergeCell ref="A68:E68"/>
    <mergeCell ref="F68:P68"/>
    <mergeCell ref="Q68:T68"/>
    <mergeCell ref="U68:W68"/>
    <mergeCell ref="X68:AF68"/>
    <mergeCell ref="B12:I12"/>
    <mergeCell ref="B13:AF13"/>
    <mergeCell ref="B15:I15"/>
    <mergeCell ref="B16:AF16"/>
    <mergeCell ref="B18:I18"/>
    <mergeCell ref="B19:AF19"/>
    <mergeCell ref="A1:AF1"/>
    <mergeCell ref="A3:AF3"/>
    <mergeCell ref="B5:AF5"/>
    <mergeCell ref="A7:AF7"/>
    <mergeCell ref="B9:I9"/>
    <mergeCell ref="B10:AF10"/>
    <mergeCell ref="B22:AF22"/>
    <mergeCell ref="A25:AF25"/>
    <mergeCell ref="A67:AF67"/>
  </mergeCells>
  <dataValidations count="4">
    <dataValidation type="list" allowBlank="1" showInputMessage="1" showErrorMessage="1" sqref="P222:X222" xr:uid="{00000000-0002-0000-1C00-000000000000}">
      <formula1>"Low Temperature, High Temperature"</formula1>
    </dataValidation>
    <dataValidation type="list" allowBlank="1" showInputMessage="1" showErrorMessage="1" sqref="P223:X223" xr:uid="{00000000-0002-0000-1C00-000001000000}">
      <formula1>"Under Counter, Stationary Single Tank Door, Single Tank Conveyor, Multi Tank Conveyor, Pot Pan and Utensil"</formula1>
    </dataValidation>
    <dataValidation type="list" allowBlank="1" showInputMessage="1" showErrorMessage="1" sqref="P224:X224" xr:uid="{00000000-0002-0000-1C00-000002000000}">
      <formula1>"Electric Water Heating, Natural Gas Water Heating, Unknown Water Heating"</formula1>
    </dataValidation>
    <dataValidation type="list" allowBlank="1" showInputMessage="1" showErrorMessage="1" sqref="P225:X225" xr:uid="{00000000-0002-0000-1C00-000003000000}">
      <formula1>"No Booster Heating, Electric Booster Heating, Natural Gas Booster Heating, Unknown Booster Heating"</formula1>
    </dataValidation>
  </dataValidations>
  <hyperlinks>
    <hyperlink ref="A2" location="TOC!A1" display="Return to TOC" xr:uid="{00000000-0004-0000-1C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6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C107"/>
  <sheetViews>
    <sheetView showGridLines="0" zoomScale="85" zoomScaleNormal="85" workbookViewId="0">
      <selection sqref="A1:C1"/>
    </sheetView>
  </sheetViews>
  <sheetFormatPr defaultRowHeight="14.4" x14ac:dyDescent="0.3"/>
  <cols>
    <col min="1" max="1" width="29.6640625" bestFit="1" customWidth="1"/>
    <col min="2" max="2" width="17.88671875" bestFit="1" customWidth="1"/>
    <col min="3" max="3" width="36.33203125" style="40" bestFit="1" customWidth="1"/>
  </cols>
  <sheetData>
    <row r="1" spans="1:3" ht="18" customHeight="1" thickBot="1" x14ac:dyDescent="0.35">
      <c r="A1" s="851" t="s">
        <v>1064</v>
      </c>
      <c r="B1" s="852"/>
      <c r="C1" s="852"/>
    </row>
    <row r="2" spans="1:3" ht="14.4" customHeight="1" x14ac:dyDescent="0.3">
      <c r="A2" s="145"/>
      <c r="B2" s="145"/>
      <c r="C2" s="145"/>
    </row>
    <row r="3" spans="1:3" ht="15.6" x14ac:dyDescent="0.3">
      <c r="A3" s="817" t="s">
        <v>1075</v>
      </c>
      <c r="B3" s="23"/>
    </row>
    <row r="4" spans="1:3" x14ac:dyDescent="0.3">
      <c r="A4" s="528" t="s">
        <v>6067</v>
      </c>
      <c r="B4" s="23"/>
    </row>
    <row r="5" spans="1:3" x14ac:dyDescent="0.3">
      <c r="A5" s="528" t="s">
        <v>6068</v>
      </c>
      <c r="B5" s="19"/>
    </row>
    <row r="6" spans="1:3" x14ac:dyDescent="0.3">
      <c r="A6" s="528" t="s">
        <v>6070</v>
      </c>
      <c r="B6" s="19"/>
    </row>
    <row r="7" spans="1:3" x14ac:dyDescent="0.3">
      <c r="A7" s="528" t="s">
        <v>6069</v>
      </c>
      <c r="B7" s="19"/>
    </row>
    <row r="8" spans="1:3" x14ac:dyDescent="0.3">
      <c r="A8" s="528" t="s">
        <v>1060</v>
      </c>
      <c r="B8" s="19"/>
    </row>
    <row r="9" spans="1:3" x14ac:dyDescent="0.3">
      <c r="A9" s="528" t="s">
        <v>6071</v>
      </c>
      <c r="B9" s="19"/>
    </row>
    <row r="10" spans="1:3" x14ac:dyDescent="0.3">
      <c r="A10" s="528" t="s">
        <v>5148</v>
      </c>
      <c r="B10" s="19"/>
    </row>
    <row r="11" spans="1:3" x14ac:dyDescent="0.3">
      <c r="A11" s="528" t="s">
        <v>6072</v>
      </c>
      <c r="B11" s="19"/>
    </row>
    <row r="12" spans="1:3" x14ac:dyDescent="0.3">
      <c r="A12" s="528" t="s">
        <v>1063</v>
      </c>
      <c r="B12" s="19"/>
    </row>
    <row r="13" spans="1:3" x14ac:dyDescent="0.3">
      <c r="A13" s="528" t="s">
        <v>3747</v>
      </c>
      <c r="B13" s="19"/>
    </row>
    <row r="14" spans="1:3" x14ac:dyDescent="0.3">
      <c r="A14" s="528" t="s">
        <v>366</v>
      </c>
      <c r="B14" s="19"/>
    </row>
    <row r="15" spans="1:3" x14ac:dyDescent="0.3">
      <c r="A15" s="528" t="s">
        <v>6073</v>
      </c>
      <c r="B15" s="19"/>
    </row>
    <row r="16" spans="1:3" x14ac:dyDescent="0.3">
      <c r="A16" s="634"/>
      <c r="B16" s="19"/>
    </row>
    <row r="17" spans="1:3" ht="15.6" x14ac:dyDescent="0.3">
      <c r="A17" s="173" t="s">
        <v>821</v>
      </c>
      <c r="B17" s="19"/>
      <c r="C17" s="174" t="s">
        <v>820</v>
      </c>
    </row>
    <row r="18" spans="1:3" x14ac:dyDescent="0.3">
      <c r="A18" s="171" t="s">
        <v>1065</v>
      </c>
      <c r="B18" s="19"/>
      <c r="C18" s="171" t="s">
        <v>1065</v>
      </c>
    </row>
    <row r="19" spans="1:3" x14ac:dyDescent="0.3">
      <c r="A19" s="481" t="s">
        <v>5907</v>
      </c>
      <c r="B19" s="19"/>
      <c r="C19" s="481" t="s">
        <v>5920</v>
      </c>
    </row>
    <row r="20" spans="1:3" x14ac:dyDescent="0.3">
      <c r="A20" s="171" t="s">
        <v>539</v>
      </c>
      <c r="B20" s="19"/>
      <c r="C20" s="481" t="s">
        <v>6516</v>
      </c>
    </row>
    <row r="21" spans="1:3" x14ac:dyDescent="0.3">
      <c r="A21" s="172" t="s">
        <v>45</v>
      </c>
      <c r="B21" s="19"/>
      <c r="C21" s="172" t="s">
        <v>397</v>
      </c>
    </row>
    <row r="22" spans="1:3" x14ac:dyDescent="0.3">
      <c r="A22" s="481" t="s">
        <v>540</v>
      </c>
      <c r="B22" s="19"/>
      <c r="C22" s="481" t="s">
        <v>30</v>
      </c>
    </row>
    <row r="23" spans="1:3" x14ac:dyDescent="0.3">
      <c r="A23" s="171" t="s">
        <v>1066</v>
      </c>
      <c r="B23" s="19"/>
      <c r="C23" s="481" t="s">
        <v>3126</v>
      </c>
    </row>
    <row r="24" spans="1:3" x14ac:dyDescent="0.3">
      <c r="A24" s="481" t="s">
        <v>5909</v>
      </c>
      <c r="B24" s="19"/>
      <c r="C24" s="172" t="s">
        <v>3034</v>
      </c>
    </row>
    <row r="25" spans="1:3" x14ac:dyDescent="0.3">
      <c r="A25" s="481" t="s">
        <v>5910</v>
      </c>
      <c r="B25" s="19"/>
      <c r="C25" s="172" t="s">
        <v>6519</v>
      </c>
    </row>
    <row r="26" spans="1:3" x14ac:dyDescent="0.3">
      <c r="A26" s="481" t="s">
        <v>5908</v>
      </c>
      <c r="B26" s="19"/>
      <c r="C26" s="726" t="s">
        <v>539</v>
      </c>
    </row>
    <row r="27" spans="1:3" x14ac:dyDescent="0.3">
      <c r="A27" s="172" t="s">
        <v>95</v>
      </c>
      <c r="B27" s="19"/>
      <c r="C27" s="481" t="s">
        <v>4657</v>
      </c>
    </row>
    <row r="28" spans="1:3" x14ac:dyDescent="0.3">
      <c r="A28" s="172" t="s">
        <v>743</v>
      </c>
      <c r="B28" s="19"/>
      <c r="C28" s="171" t="s">
        <v>416</v>
      </c>
    </row>
    <row r="29" spans="1:3" x14ac:dyDescent="0.3">
      <c r="A29" s="172" t="s">
        <v>1067</v>
      </c>
      <c r="B29" s="19"/>
      <c r="C29" s="481" t="s">
        <v>966</v>
      </c>
    </row>
    <row r="30" spans="1:3" x14ac:dyDescent="0.3">
      <c r="A30" s="172" t="s">
        <v>1077</v>
      </c>
      <c r="B30" s="19"/>
      <c r="C30" s="172" t="s">
        <v>1072</v>
      </c>
    </row>
    <row r="31" spans="1:3" x14ac:dyDescent="0.3">
      <c r="A31" s="481" t="s">
        <v>5911</v>
      </c>
      <c r="B31" s="19"/>
      <c r="C31" s="171" t="s">
        <v>201</v>
      </c>
    </row>
    <row r="32" spans="1:3" x14ac:dyDescent="0.3">
      <c r="A32" s="481" t="s">
        <v>5912</v>
      </c>
      <c r="B32" s="19"/>
      <c r="C32" s="172" t="s">
        <v>5137</v>
      </c>
    </row>
    <row r="33" spans="1:3" x14ac:dyDescent="0.3">
      <c r="A33" s="481" t="s">
        <v>5145</v>
      </c>
      <c r="B33" s="19"/>
      <c r="C33" s="172" t="s">
        <v>6447</v>
      </c>
    </row>
    <row r="34" spans="1:3" x14ac:dyDescent="0.3">
      <c r="A34" s="481" t="s">
        <v>5144</v>
      </c>
      <c r="B34" s="19"/>
      <c r="C34" s="481" t="s">
        <v>6448</v>
      </c>
    </row>
    <row r="35" spans="1:3" x14ac:dyDescent="0.3">
      <c r="A35" s="481" t="s">
        <v>3126</v>
      </c>
      <c r="B35" s="19"/>
      <c r="C35" s="481" t="s">
        <v>6449</v>
      </c>
    </row>
    <row r="36" spans="1:3" x14ac:dyDescent="0.3">
      <c r="A36" s="171" t="s">
        <v>1069</v>
      </c>
      <c r="B36" s="19"/>
      <c r="C36" s="172" t="s">
        <v>455</v>
      </c>
    </row>
    <row r="37" spans="1:3" x14ac:dyDescent="0.3">
      <c r="A37" s="172" t="s">
        <v>621</v>
      </c>
      <c r="B37" s="19"/>
      <c r="C37" s="172" t="s">
        <v>5906</v>
      </c>
    </row>
    <row r="38" spans="1:3" x14ac:dyDescent="0.3">
      <c r="A38" s="172" t="s">
        <v>622</v>
      </c>
      <c r="B38" s="19"/>
      <c r="C38" s="481" t="s">
        <v>5921</v>
      </c>
    </row>
    <row r="39" spans="1:3" x14ac:dyDescent="0.3">
      <c r="A39" s="171" t="s">
        <v>201</v>
      </c>
      <c r="B39" s="19"/>
      <c r="C39" s="481" t="s">
        <v>504</v>
      </c>
    </row>
    <row r="40" spans="1:3" x14ac:dyDescent="0.3">
      <c r="A40" s="481" t="s">
        <v>227</v>
      </c>
      <c r="B40" s="19"/>
      <c r="C40" s="481" t="s">
        <v>1074</v>
      </c>
    </row>
    <row r="41" spans="1:3" x14ac:dyDescent="0.3">
      <c r="A41" s="481" t="s">
        <v>5913</v>
      </c>
      <c r="B41" s="19"/>
      <c r="C41" s="172" t="s">
        <v>3033</v>
      </c>
    </row>
    <row r="42" spans="1:3" x14ac:dyDescent="0.3">
      <c r="A42" s="481" t="s">
        <v>5146</v>
      </c>
      <c r="B42" s="19"/>
      <c r="C42" s="171" t="s">
        <v>245</v>
      </c>
    </row>
    <row r="43" spans="1:3" x14ac:dyDescent="0.3">
      <c r="A43" s="481" t="s">
        <v>5147</v>
      </c>
      <c r="B43" s="19"/>
      <c r="C43" s="481" t="s">
        <v>5922</v>
      </c>
    </row>
    <row r="44" spans="1:3" x14ac:dyDescent="0.3">
      <c r="A44" s="172" t="s">
        <v>5137</v>
      </c>
      <c r="B44" s="19"/>
      <c r="C44" s="481" t="s">
        <v>250</v>
      </c>
    </row>
    <row r="45" spans="1:3" x14ac:dyDescent="0.3">
      <c r="A45" s="172" t="s">
        <v>5138</v>
      </c>
      <c r="B45" s="19"/>
      <c r="C45" s="481" t="s">
        <v>3572</v>
      </c>
    </row>
    <row r="46" spans="1:3" x14ac:dyDescent="0.3">
      <c r="A46" s="172" t="s">
        <v>3748</v>
      </c>
      <c r="B46" s="19"/>
      <c r="C46" s="481" t="s">
        <v>3594</v>
      </c>
    </row>
    <row r="47" spans="1:3" x14ac:dyDescent="0.3">
      <c r="A47" s="172" t="s">
        <v>5139</v>
      </c>
      <c r="B47" s="19"/>
      <c r="C47" s="481" t="s">
        <v>3752</v>
      </c>
    </row>
    <row r="48" spans="1:3" x14ac:dyDescent="0.3">
      <c r="A48" s="172" t="s">
        <v>5140</v>
      </c>
      <c r="B48" s="19"/>
      <c r="C48" s="481" t="s">
        <v>4658</v>
      </c>
    </row>
    <row r="49" spans="1:3" x14ac:dyDescent="0.3">
      <c r="A49" s="172" t="s">
        <v>3749</v>
      </c>
      <c r="B49" s="19"/>
      <c r="C49" s="171" t="s">
        <v>910</v>
      </c>
    </row>
    <row r="50" spans="1:3" x14ac:dyDescent="0.3">
      <c r="A50" s="171" t="s">
        <v>245</v>
      </c>
      <c r="B50" s="19"/>
      <c r="C50" s="481" t="s">
        <v>5141</v>
      </c>
    </row>
    <row r="51" spans="1:3" x14ac:dyDescent="0.3">
      <c r="A51" s="481" t="s">
        <v>6613</v>
      </c>
      <c r="B51" s="19"/>
      <c r="C51" s="172" t="s">
        <v>3254</v>
      </c>
    </row>
    <row r="52" spans="1:3" x14ac:dyDescent="0.3">
      <c r="A52" s="481" t="s">
        <v>5914</v>
      </c>
      <c r="B52" s="19"/>
      <c r="C52" s="172" t="s">
        <v>3753</v>
      </c>
    </row>
    <row r="53" spans="1:3" x14ac:dyDescent="0.3">
      <c r="A53" s="481" t="s">
        <v>252</v>
      </c>
      <c r="B53" s="19"/>
      <c r="C53" s="172" t="s">
        <v>6611</v>
      </c>
    </row>
    <row r="54" spans="1:3" x14ac:dyDescent="0.3">
      <c r="A54" s="481" t="s">
        <v>5915</v>
      </c>
      <c r="B54" s="19"/>
      <c r="C54" s="171" t="s">
        <v>914</v>
      </c>
    </row>
    <row r="55" spans="1:3" x14ac:dyDescent="0.3">
      <c r="A55" s="481" t="s">
        <v>5916</v>
      </c>
      <c r="B55" s="19"/>
      <c r="C55" s="172" t="s">
        <v>3751</v>
      </c>
    </row>
    <row r="56" spans="1:3" x14ac:dyDescent="0.3">
      <c r="A56" s="172" t="s">
        <v>250</v>
      </c>
      <c r="B56" s="19"/>
      <c r="C56" s="171" t="s">
        <v>346</v>
      </c>
    </row>
    <row r="57" spans="1:3" x14ac:dyDescent="0.3">
      <c r="A57" s="172" t="s">
        <v>3754</v>
      </c>
      <c r="B57" s="19"/>
      <c r="C57" s="481" t="s">
        <v>527</v>
      </c>
    </row>
    <row r="58" spans="1:3" x14ac:dyDescent="0.3">
      <c r="A58" s="481" t="s">
        <v>4654</v>
      </c>
      <c r="B58" s="19"/>
      <c r="C58" s="481" t="s">
        <v>4656</v>
      </c>
    </row>
    <row r="59" spans="1:3" x14ac:dyDescent="0.3">
      <c r="A59" s="171" t="s">
        <v>910</v>
      </c>
      <c r="B59" s="19"/>
      <c r="C59" s="172" t="s">
        <v>529</v>
      </c>
    </row>
    <row r="60" spans="1:3" x14ac:dyDescent="0.3">
      <c r="A60" s="172" t="s">
        <v>1079</v>
      </c>
      <c r="B60" s="19"/>
      <c r="C60" s="481" t="s">
        <v>4240</v>
      </c>
    </row>
    <row r="61" spans="1:3" x14ac:dyDescent="0.3">
      <c r="A61" s="172" t="s">
        <v>541</v>
      </c>
      <c r="B61" s="19"/>
      <c r="C61" s="481" t="s">
        <v>4244</v>
      </c>
    </row>
    <row r="62" spans="1:3" x14ac:dyDescent="0.3">
      <c r="A62" s="172" t="s">
        <v>5917</v>
      </c>
      <c r="B62" s="19"/>
      <c r="C62" s="171"/>
    </row>
    <row r="63" spans="1:3" x14ac:dyDescent="0.3">
      <c r="A63" s="172" t="s">
        <v>609</v>
      </c>
      <c r="B63" s="19"/>
      <c r="C63" s="172"/>
    </row>
    <row r="64" spans="1:3" x14ac:dyDescent="0.3">
      <c r="A64" s="171" t="s">
        <v>914</v>
      </c>
      <c r="B64" s="19"/>
    </row>
    <row r="65" spans="1:2" x14ac:dyDescent="0.3">
      <c r="A65" s="172" t="s">
        <v>3750</v>
      </c>
      <c r="B65" s="19"/>
    </row>
    <row r="66" spans="1:2" x14ac:dyDescent="0.3">
      <c r="A66" s="172" t="s">
        <v>1080</v>
      </c>
      <c r="B66" s="19"/>
    </row>
    <row r="67" spans="1:2" x14ac:dyDescent="0.3">
      <c r="A67" s="172" t="s">
        <v>1223</v>
      </c>
      <c r="B67" s="19"/>
    </row>
    <row r="68" spans="1:2" x14ac:dyDescent="0.3">
      <c r="A68" s="172" t="s">
        <v>3751</v>
      </c>
      <c r="B68" s="19"/>
    </row>
    <row r="69" spans="1:2" x14ac:dyDescent="0.3">
      <c r="A69" s="171" t="s">
        <v>4351</v>
      </c>
      <c r="B69" s="19"/>
    </row>
    <row r="70" spans="1:2" x14ac:dyDescent="0.3">
      <c r="A70" s="172" t="s">
        <v>4655</v>
      </c>
      <c r="B70" s="19"/>
    </row>
    <row r="71" spans="1:2" x14ac:dyDescent="0.3">
      <c r="A71" s="172" t="s">
        <v>4352</v>
      </c>
      <c r="B71" s="19"/>
    </row>
    <row r="72" spans="1:2" x14ac:dyDescent="0.3">
      <c r="A72" s="172" t="s">
        <v>4353</v>
      </c>
      <c r="B72" s="19"/>
    </row>
    <row r="73" spans="1:2" x14ac:dyDescent="0.3">
      <c r="A73" s="171" t="s">
        <v>1070</v>
      </c>
      <c r="B73" s="19"/>
    </row>
    <row r="74" spans="1:2" x14ac:dyDescent="0.3">
      <c r="A74" s="172" t="s">
        <v>1071</v>
      </c>
      <c r="B74" s="19"/>
    </row>
    <row r="75" spans="1:2" x14ac:dyDescent="0.3">
      <c r="A75" s="172" t="s">
        <v>356</v>
      </c>
      <c r="B75" s="19"/>
    </row>
    <row r="76" spans="1:2" x14ac:dyDescent="0.3">
      <c r="A76" s="171" t="s">
        <v>346</v>
      </c>
      <c r="B76" s="19"/>
    </row>
    <row r="77" spans="1:2" x14ac:dyDescent="0.3">
      <c r="A77" s="172" t="s">
        <v>3512</v>
      </c>
      <c r="B77" s="19"/>
    </row>
    <row r="78" spans="1:2" x14ac:dyDescent="0.3">
      <c r="A78" s="481" t="s">
        <v>542</v>
      </c>
      <c r="B78" s="19"/>
    </row>
    <row r="79" spans="1:2" x14ac:dyDescent="0.3">
      <c r="A79" s="171" t="s">
        <v>48</v>
      </c>
      <c r="B79" s="19"/>
    </row>
    <row r="80" spans="1:2" x14ac:dyDescent="0.3">
      <c r="A80" s="172" t="s">
        <v>365</v>
      </c>
      <c r="B80" s="19"/>
    </row>
    <row r="81" spans="1:2" x14ac:dyDescent="0.3">
      <c r="A81" s="25"/>
      <c r="B81" s="19"/>
    </row>
    <row r="82" spans="1:2" x14ac:dyDescent="0.3">
      <c r="A82" s="28" t="s">
        <v>5918</v>
      </c>
      <c r="B82" s="19"/>
    </row>
    <row r="83" spans="1:2" x14ac:dyDescent="0.3">
      <c r="A83" t="s">
        <v>6517</v>
      </c>
      <c r="B83" s="19"/>
    </row>
    <row r="84" spans="1:2" x14ac:dyDescent="0.3">
      <c r="A84" t="s">
        <v>5919</v>
      </c>
      <c r="B84" s="19"/>
    </row>
    <row r="85" spans="1:2" x14ac:dyDescent="0.3">
      <c r="B85" s="19"/>
    </row>
    <row r="86" spans="1:2" x14ac:dyDescent="0.3">
      <c r="B86" s="19"/>
    </row>
    <row r="87" spans="1:2" x14ac:dyDescent="0.3">
      <c r="B87" s="19"/>
    </row>
    <row r="88" spans="1:2" x14ac:dyDescent="0.3">
      <c r="B88" s="19"/>
    </row>
    <row r="89" spans="1:2" x14ac:dyDescent="0.3">
      <c r="B89" s="19"/>
    </row>
    <row r="90" spans="1:2" x14ac:dyDescent="0.3">
      <c r="B90" s="19"/>
    </row>
    <row r="91" spans="1:2" x14ac:dyDescent="0.3">
      <c r="B91" s="19"/>
    </row>
    <row r="92" spans="1:2" x14ac:dyDescent="0.3">
      <c r="B92" s="19"/>
    </row>
    <row r="93" spans="1:2" x14ac:dyDescent="0.3">
      <c r="B93" s="19"/>
    </row>
    <row r="94" spans="1:2" x14ac:dyDescent="0.3">
      <c r="B94" s="19"/>
    </row>
    <row r="95" spans="1:2" x14ac:dyDescent="0.3">
      <c r="B95" s="19"/>
    </row>
    <row r="96" spans="1:2" x14ac:dyDescent="0.3">
      <c r="B96" s="19"/>
    </row>
    <row r="97" spans="2:2" x14ac:dyDescent="0.3">
      <c r="B97" s="19"/>
    </row>
    <row r="98" spans="2:2" x14ac:dyDescent="0.3">
      <c r="B98" s="19"/>
    </row>
    <row r="99" spans="2:2" x14ac:dyDescent="0.3">
      <c r="B99" s="19"/>
    </row>
    <row r="100" spans="2:2" x14ac:dyDescent="0.3">
      <c r="B100" s="19"/>
    </row>
    <row r="101" spans="2:2" x14ac:dyDescent="0.3">
      <c r="B101" s="19"/>
    </row>
    <row r="102" spans="2:2" x14ac:dyDescent="0.3">
      <c r="B102" s="19"/>
    </row>
    <row r="103" spans="2:2" x14ac:dyDescent="0.3">
      <c r="B103" s="19"/>
    </row>
    <row r="104" spans="2:2" x14ac:dyDescent="0.3">
      <c r="B104" s="19"/>
    </row>
    <row r="105" spans="2:2" x14ac:dyDescent="0.3">
      <c r="B105" s="19"/>
    </row>
    <row r="106" spans="2:2" x14ac:dyDescent="0.3">
      <c r="B106" s="19"/>
    </row>
    <row r="107" spans="2:2" x14ac:dyDescent="0.3">
      <c r="B107" s="19"/>
    </row>
  </sheetData>
  <sheetProtection algorithmName="SHA-512" hashValue="M3tTa2Y9ed1SfbkxHXHl/gBf4lLgEtboALIFrKT6MYHAUemqPsh1xL0XLBL75X4FHr5JLJ01uQC4n5Jew3ARDw==" saltValue="8JdEl7w2Xr4jx/ux54KIpQ==" spinCount="100000" sheet="1" objects="1" scenarios="1"/>
  <mergeCells count="1">
    <mergeCell ref="A1:C1"/>
  </mergeCells>
  <hyperlinks>
    <hyperlink ref="A6" location="'Introduction'!A1" display="Introduction" xr:uid="{00000000-0004-0000-0200-000000000000}"/>
    <hyperlink ref="A7" location="'Signatures'!A1" display="Signatures" xr:uid="{00000000-0004-0000-0200-000001000000}"/>
    <hyperlink ref="A8" location="'Glossary'!A1" display="Glossary" xr:uid="{00000000-0004-0000-0200-000002000000}"/>
    <hyperlink ref="A10" location="'Key Metrics'!A1" display="Key Metrics" xr:uid="{00000000-0004-0000-0200-000003000000}"/>
    <hyperlink ref="A11" location="'Master EUL'!A1" display="Master EUL" xr:uid="{00000000-0004-0000-0200-000004000000}"/>
    <hyperlink ref="A12" location="'Savings Factors'!A1" display="Savings Factors" xr:uid="{00000000-0004-0000-0200-000005000000}"/>
    <hyperlink ref="A13" location="'EFLH &amp; CF'!A1" display="EFLH &amp; CF*" xr:uid="{00000000-0004-0000-0200-000006000000}"/>
    <hyperlink ref="A14" location="'Custom'!A1" display="Custom" xr:uid="{00000000-0004-0000-0200-000007000000}"/>
    <hyperlink ref="A19" location="'C_Appliance_Refrigerator'!A1" display="C_Appliance_Refrigerator" xr:uid="{00000000-0004-0000-0200-000008000000}"/>
    <hyperlink ref="A21" location="'C_BEnvelope_Cool Roof'!A1" display="C_BEnvelope_Cool Roof" xr:uid="{00000000-0004-0000-0200-000009000000}"/>
    <hyperlink ref="A22" location="'C_BEnvelope_Window Film'!A1" display="C_BEnvelope_Window Film" xr:uid="{00000000-0004-0000-0200-00000A000000}"/>
    <hyperlink ref="A24" location="'C_Kitchen_Combination Oven'!A1" display="C_Kitchen_Combination Oven" xr:uid="{00000000-0004-0000-0200-00000B000000}"/>
    <hyperlink ref="A25" location="'C_Kitchen_Convection Oven'!A1" display="C_Kitchen_Convection Oven" xr:uid="{00000000-0004-0000-0200-00000C000000}"/>
    <hyperlink ref="A26" location="'C_Kitchen_DCV'!A1" display="C_Kitchen_DCV" xr:uid="{00000000-0004-0000-0200-00000D000000}"/>
    <hyperlink ref="A27" location="'C_Kitchen_Electric Griddle'!A1" display="C_Kitchen_Electric Griddle" xr:uid="{00000000-0004-0000-0200-00000E000000}"/>
    <hyperlink ref="A28" location="'C_Kitchen_Electric Steam Cooker'!A1" display="C_Kitchen_Electric Steam Cooker" xr:uid="{00000000-0004-0000-0200-00000F000000}"/>
    <hyperlink ref="A29" location="'C_Kitchen_Fryer'!A1" display="C_Kitchen_Fryer" xr:uid="{00000000-0004-0000-0200-000010000000}"/>
    <hyperlink ref="A30" location="'C_Kitchen_HF Holding Cabinet'!A1" display="C_Kitchen_HF Holding Cabinet" xr:uid="{00000000-0004-0000-0200-000011000000}"/>
    <hyperlink ref="A31" location="'C_Kitchen_Ice Machine'!A1" display="C_Kitchen_Ice Machine" xr:uid="{00000000-0004-0000-0200-000012000000}"/>
    <hyperlink ref="A32" location="'C_Kitchen_LF Spray Nozzle'!A1" display="C_Kitchen_LF Spray Nozzle" xr:uid="{00000000-0004-0000-0200-000013000000}"/>
    <hyperlink ref="A33" location="'C_Kitchen_Freezer'!A1" display="C_Kitchen_Freezer" xr:uid="{00000000-0004-0000-0200-000014000000}"/>
    <hyperlink ref="A34" location="'C_Kitchen_Refrigerator'!A1" display="C_Kitchen_Refrigerator" xr:uid="{00000000-0004-0000-0200-000015000000}"/>
    <hyperlink ref="A37" location="'C_ESG_Design Assistance'!A1" display="C_ESG_Design Assistance" xr:uid="{00000000-0004-0000-0200-000016000000}"/>
    <hyperlink ref="A38" location="'C_ESG_Energy Study'!A1" display="C_ESG_Energy Study" xr:uid="{00000000-0004-0000-0200-000017000000}"/>
    <hyperlink ref="A40" location="'C_HVAC_Chiller'!A1" display="C_HVAC_Chiller" xr:uid="{00000000-0004-0000-0200-000018000000}"/>
    <hyperlink ref="A41" location="'C_HVAC_Chiller_WKST'!A1" display="C_HVAC_Chiller_WKST" xr:uid="{00000000-0004-0000-0200-000019000000}"/>
    <hyperlink ref="A42" location="'C_HVAC_AC &amp; Heat Pump'!A1" display="C_HVAC_AC &amp; Heat Pump" xr:uid="{00000000-0004-0000-0200-00001A000000}"/>
    <hyperlink ref="A46" location="'C_HVAC_VFD Water Pump'!A1" display="C_HVAC_VFD Water Pump" xr:uid="{00000000-0004-0000-0200-00001B000000}"/>
    <hyperlink ref="A47" location="'C_HVAC_VRF'!A1" display="C_HVAC_VRF" xr:uid="{00000000-0004-0000-0200-00001C000000}"/>
    <hyperlink ref="A49" location="'C_HVAC_EMS'!A1" display="C_HVAC_EMS" xr:uid="{00000000-0004-0000-0200-00001D000000}"/>
    <hyperlink ref="A51" location="C_Light_General!A1" display="General" xr:uid="{00000000-0004-0000-0200-00001E000000}"/>
    <hyperlink ref="A54" location="'C_Light_Dimmable(Nonlinear LED)'!A1" display="C_Light_Dimmable(Nonlinear LED)" xr:uid="{00000000-0004-0000-0200-00001F000000}"/>
    <hyperlink ref="A55" location="'C_Lighting_Refrigerated Case'!A1" display="Refrigerated Case Light" xr:uid="{00000000-0004-0000-0200-000020000000}"/>
    <hyperlink ref="A56" location="'C_Light_Occupancy Sensor'!A1" display="C_Light_Occupancy Sensor" xr:uid="{00000000-0004-0000-0200-000021000000}"/>
    <hyperlink ref="A57" location="'C_Light_Stairwell Bi-Level'!A1" display="C_Light_Stairwell Bi-Level" xr:uid="{00000000-0004-0000-0200-000022000000}"/>
    <hyperlink ref="A58" location="'C_Light_Energy Advantage'!A1" display="C_Light_Energy Advantage" xr:uid="{00000000-0004-0000-0200-000023000000}"/>
    <hyperlink ref="A60" location="'C_PlugProcess_ASH Control'!A1" display="C_PlugProcess_ASH Control" xr:uid="{00000000-0004-0000-0200-000024000000}"/>
    <hyperlink ref="A61" location="'C_PlugProcess_Vending Miser'!A1" display="C_PlugProcess_Vending Miser" xr:uid="{00000000-0004-0000-0200-000025000000}"/>
    <hyperlink ref="A62" location="'C_PlugProcess_Water Cooler Tmr'!A1" display="WCT" xr:uid="{00000000-0004-0000-0200-000026000000}"/>
    <hyperlink ref="A63" location="'C_PlugProcess_Case Night Cover'!A1" display="C_PlugProcess_Case Night Cover" xr:uid="{00000000-0004-0000-0200-000027000000}"/>
    <hyperlink ref="A65" location="'C_PumpMotor_VFD Booster Pump'!A1" display="Variable Frequency Drive Booster Pump" xr:uid="{00000000-0004-0000-0200-000028000000}"/>
    <hyperlink ref="A66" location="'C_PumpMotor_ECM'!A1" display="C_PumpMotor_ECM" xr:uid="{00000000-0004-0000-0200-000029000000}"/>
    <hyperlink ref="A68" location="'C_PumpMotor_VFD Pool Pump'!A1" display="C_PumpMotor_VFD Pool Pump" xr:uid="{00000000-0004-0000-0200-00002A000000}"/>
    <hyperlink ref="A74" location="'C_SubMeter_Condominium'!A1" display="C_SubMeter_Condominium" xr:uid="{00000000-0004-0000-0200-00002B000000}"/>
    <hyperlink ref="A75" location="'C_SubMeter_Small Business'!A1" display="C_SubMeter_Small Business" xr:uid="{00000000-0004-0000-0200-00002C000000}"/>
    <hyperlink ref="A77" location="'C_WH_Solar'!A1" display="C_WH_Solar" xr:uid="{00000000-0004-0000-0200-00002D000000}"/>
    <hyperlink ref="A80" location="'C_Other_Re|Retro-Commissioning'!A1" display="C_Other_Re|Retro-Commissioning" xr:uid="{00000000-0004-0000-0200-00002E000000}"/>
    <hyperlink ref="C19" location="'R_Appliance_Clothes Washer'!A1" display="R_Appliance_Clothes Washer" xr:uid="{00000000-0004-0000-0200-00002F000000}"/>
    <hyperlink ref="C21" location="'R_Appliance_Clothes Dryer'!A1" display="R_Appliance_Clothes Dryer" xr:uid="{00000000-0004-0000-0200-000030000000}"/>
    <hyperlink ref="C22" location="'R_Appliance_Refrigerator'!A1" display="R_Appliance_Refrigerator" xr:uid="{00000000-0004-0000-0200-000031000000}"/>
    <hyperlink ref="C29" location="'R_Electronics_Television'!A1" display="R_Electronics_Television" xr:uid="{00000000-0004-0000-0200-000032000000}"/>
    <hyperlink ref="C30" location="'R_Electronics_Soundbar'!A1" display="R_Electronics_Soundbar" xr:uid="{00000000-0004-0000-0200-000033000000}"/>
    <hyperlink ref="C32" location="'R_HVAC_Window AC'!A1" display="R_HVAC_Window AC" xr:uid="{00000000-0004-0000-0200-000034000000}"/>
    <hyperlink ref="C36" location="'R_HVAC_Central AC Tune Up'!A1" display="R_HVAC_Central AC Tune Up" xr:uid="{00000000-0004-0000-0200-000037000000}"/>
    <hyperlink ref="C37" location="'R_HVAC_Ceiling Fan'!A1" display="R_HVAC_Ceiling Fan" xr:uid="{00000000-0004-0000-0200-000038000000}"/>
    <hyperlink ref="C39" location="'R_HVAC_Solar Attic Fan'!A1" display="R_HVAC_Solar Attic Fan" xr:uid="{00000000-0004-0000-0200-000039000000}"/>
    <hyperlink ref="C40" location="'R_HVAC_Whole House Fan'!A1" display="R_HVAC_Whole House Fan" xr:uid="{00000000-0004-0000-0200-00003A000000}"/>
    <hyperlink ref="C43" location="'R_Light_LED'!A1" display="R_Light_LED" xr:uid="{00000000-0004-0000-0200-00003B000000}"/>
    <hyperlink ref="C44" location="'R_Light_Occupancy Sensor'!A1" display="R_Light_Occupancy Sensor" xr:uid="{00000000-0004-0000-0200-00003C000000}"/>
    <hyperlink ref="C50" location="'R_PlugProcess_Adv Power Strip'!A1" display="R_PlugProcess_Adv Power Strip" xr:uid="{00000000-0004-0000-0200-00003D000000}"/>
    <hyperlink ref="C55" location="'R_PumpMotor_VFD Pool Pump'!A1" display="R_PumpMotor_VFD Pool Pump" xr:uid="{00000000-0004-0000-0200-00003E000000}"/>
    <hyperlink ref="C57" location="'R_WH_Heat Pump'!A1" display="R_WH_Heat Pump" xr:uid="{00000000-0004-0000-0200-00003F000000}"/>
    <hyperlink ref="C58" location="'R_WH_SWH'!A1" display="R_WH_SWH" xr:uid="{00000000-0004-0000-0200-000040000000}"/>
    <hyperlink ref="C59" location="'R_WH_SWH Tune Up'!A1" display="R_WH_SWH Tune Up" xr:uid="{00000000-0004-0000-0200-000041000000}"/>
    <hyperlink ref="C60" location="'R_WH_Faucet Aerator'!A1" display="R_WH_Faucet Aerator" xr:uid="{00000000-0004-0000-0200-000042000000}"/>
    <hyperlink ref="C61" location="R_WH_LFShowerhead!A1" display="Low-Flow Showerhead*" xr:uid="{00000000-0004-0000-0200-000043000000}"/>
    <hyperlink ref="C38" location="'R_HVAC_Smart Thermostat'!A1" display="R_Smart Thermostat" xr:uid="{00000000-0004-0000-0200-000044000000}"/>
    <hyperlink ref="A67" location="'C_PumpMotor_PE Motor'!A1" display="Premium Efficiency Motors" xr:uid="{00000000-0004-0000-0200-000045000000}"/>
    <hyperlink ref="A53" location="C_Light_Exterior!A1" display="Exterior" xr:uid="{00000000-0004-0000-0200-000046000000}"/>
    <hyperlink ref="A48" location="C_HVAC_VRF_WKST!A1" display="C_HVAC_VRF_WKST" xr:uid="{00000000-0004-0000-0200-000047000000}"/>
    <hyperlink ref="A15" location="'Issues Log'!A1" display="Issues Log*" xr:uid="{00000000-0004-0000-0200-000049000000}"/>
    <hyperlink ref="A4" location="'Cover Page'!A1" display="Cover Page*" xr:uid="{00000000-0004-0000-0200-00004A000000}"/>
    <hyperlink ref="C24" location="'R_Appliance_Air Purifier'!A1" display="Air Purifier" xr:uid="{00000000-0004-0000-0200-00004B000000}"/>
    <hyperlink ref="C41" location="R_HVAC_Dehumidifier!A1" display="Dehumidifier" xr:uid="{00000000-0004-0000-0200-00004C000000}"/>
    <hyperlink ref="C51" location="'R_PlugProcess_Switch Plug'!A1" display="Switch Plug*" xr:uid="{00000000-0004-0000-0200-00004D000000}"/>
    <hyperlink ref="C52" location="R_PlugProcess_Switch_Plug_CALC!A1" display="Switch Plug Calculation*" xr:uid="{00000000-0004-0000-0200-00004E000000}"/>
    <hyperlink ref="C23" location="R_Appliance_Dishwasher!A1" display="Dishwasher*" xr:uid="{00000000-0004-0000-0200-00004F000000}"/>
    <hyperlink ref="C45" location="'R_Light_Linear LED'!A1" display="Linear LED" xr:uid="{00000000-0004-0000-0200-000050000000}"/>
    <hyperlink ref="C46" location="'R_Light_Security Light'!A1" display="Security Light" xr:uid="{00000000-0004-0000-0200-000051000000}"/>
    <hyperlink ref="C47" location="'R_Light_Holiday String Light'!A1" display="Holiday String Light" xr:uid="{00000000-0004-0000-0200-000052000000}"/>
    <hyperlink ref="A44" location="'C_HVAC_Window AC'!A1" display="Window AC *(New)*" xr:uid="{00000000-0004-0000-0200-000053000000}"/>
    <hyperlink ref="A45" location="C_HVAC_WindowAC_WKST!A1" display="Window AC Worksheet *(New)*" xr:uid="{00000000-0004-0000-0200-000054000000}"/>
    <hyperlink ref="A9" location="'C&amp;S Tracking'!A1" display="Codes &amp; Standards Tracking *(New)*" xr:uid="{00000000-0004-0000-0200-000055000000}"/>
    <hyperlink ref="A70" location="'C_Refrig_Evap Motor Control'!A1" display="Evaporator Fan Motor Controls" xr:uid="{00000000-0004-0000-0200-000056000000}"/>
    <hyperlink ref="A71" location="'C_Refrig_Add Case Doors'!A1" display="Adding Doors to Refrigerated Cases" xr:uid="{00000000-0004-0000-0200-000057000000}"/>
    <hyperlink ref="A72" location="'C_Refrig_FHP Control'!A1" display="Floating Head Pressure Controls" xr:uid="{00000000-0004-0000-0200-000058000000}"/>
    <hyperlink ref="A43" location="C_HVAC_AC_HP_WKST!A1" display="AC &amp; Heat Pump Worksheet*" xr:uid="{00000000-0004-0000-0200-000059000000}"/>
    <hyperlink ref="C27" location="'R_BEnvelope_Cool Wall'!A1" display="Cool Wall *(New)*" xr:uid="{00000000-0004-0000-0200-00005A000000}"/>
    <hyperlink ref="C48" location="'R_Light_Solar Tube'!A1" display="Solar Light Tube *(New)*" xr:uid="{00000000-0004-0000-0200-00005B000000}"/>
    <hyperlink ref="A78" location="'C_WH_Heat Pump'!A1" display="Heat Pump Water Heater *(New)*" xr:uid="{00000000-0004-0000-0200-00005C000000}"/>
    <hyperlink ref="A35" location="C_Kitchen_Dishwasher!A1" display="Dishwasher *(New)*" xr:uid="{00000000-0004-0000-0200-00005E000000}"/>
    <hyperlink ref="A52" location="'C_Light_Downlight Retrofit'!A1" display="Downlight Retrofit *(New)*" xr:uid="{00000000-0004-0000-0200-00005F000000}"/>
    <hyperlink ref="C33" location="R_HVAC_Ductless!A1" display="Ductless Split Systems" xr:uid="{AF6770E2-64E3-4402-B99F-3BD6A23A1EF5}"/>
    <hyperlink ref="C34" location="R_HVAC_AC_WKST!A1" display="AC Worksheet *" xr:uid="{EBF519FB-5C83-4982-9FE4-6EDE7941ECFA}"/>
    <hyperlink ref="C35" location="'R_HVAC_Central AC Retrofit'!A1" display="Central AC Retrofit *" xr:uid="{D430E18B-96A0-4205-B23D-6C0AE52711EA}"/>
    <hyperlink ref="A5" location="'Changes from PY22'!A1" display="Changes from PY22 *" xr:uid="{D8AAFB90-E0F6-453C-B048-49BEEE9ADDBF}"/>
    <hyperlink ref="C20" location="'R_Appliance_Heat Pump Dryer'!A1" display="Heat Pump Clothes Dryer *(New)*" xr:uid="{56712E17-5A05-4472-AA2F-34D2DDE0660B}"/>
    <hyperlink ref="C25" location="'R_Appliance_Induction Cooktop'!A1" display="Induction Cooktop *(New)*" xr:uid="{149D27D1-26EA-4EBF-8FDB-6AE00F8CF9D3}"/>
    <hyperlink ref="C53" location="'R_PlugProcess_EV Charger'!A1" display="EV Charger *(New)*" xr:uid="{CD6AAE80-5CCC-41EA-B746-C2222C8AC0B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theme="8" tint="0.79998168889431442"/>
    <pageSetUpPr autoPageBreaks="0"/>
  </sheetPr>
  <dimension ref="A1:AF27"/>
  <sheetViews>
    <sheetView workbookViewId="0">
      <selection sqref="A1:AF1"/>
    </sheetView>
  </sheetViews>
  <sheetFormatPr defaultColWidth="2.6640625" defaultRowHeight="14.4" x14ac:dyDescent="0.3"/>
  <cols>
    <col min="1" max="16384" width="2.6640625" style="1"/>
  </cols>
  <sheetData>
    <row r="1" spans="1:32" ht="18" x14ac:dyDescent="0.3">
      <c r="A1" s="1131" t="s">
        <v>878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s="4" customFormat="1" ht="111" customHeight="1" x14ac:dyDescent="0.3">
      <c r="B6" s="953" t="s">
        <v>2801</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51" t="s">
        <v>4</v>
      </c>
      <c r="C8" s="51"/>
      <c r="D8" s="51"/>
      <c r="E8" s="51"/>
      <c r="F8" s="51"/>
      <c r="G8" s="51"/>
      <c r="H8" s="51"/>
      <c r="I8" s="51"/>
    </row>
    <row r="9" spans="1:32" ht="49.5" customHeight="1" x14ac:dyDescent="0.3">
      <c r="B9" s="953" t="s">
        <v>2802</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row>
    <row r="11" spans="1:32" x14ac:dyDescent="0.3">
      <c r="B11" s="51" t="s">
        <v>5</v>
      </c>
      <c r="C11" s="51"/>
      <c r="D11" s="51"/>
      <c r="E11" s="51"/>
      <c r="F11" s="51"/>
      <c r="G11" s="51"/>
      <c r="H11" s="51"/>
      <c r="I11" s="51"/>
    </row>
    <row r="12" spans="1:32" x14ac:dyDescent="0.3">
      <c r="B12" s="1142" t="s">
        <v>1055</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ht="32.25" customHeight="1" x14ac:dyDescent="0.3">
      <c r="B15" s="953" t="s">
        <v>2803</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7" spans="1:32" x14ac:dyDescent="0.3">
      <c r="B17" s="51" t="s">
        <v>13</v>
      </c>
      <c r="C17" s="51"/>
      <c r="D17" s="51"/>
      <c r="E17" s="51"/>
      <c r="F17" s="51"/>
      <c r="G17" s="51"/>
      <c r="H17" s="51"/>
      <c r="I17" s="51"/>
    </row>
    <row r="18" spans="1:32" s="4" customFormat="1" ht="97.5" customHeight="1" x14ac:dyDescent="0.3">
      <c r="B18" s="953" t="s">
        <v>162</v>
      </c>
      <c r="C18" s="953"/>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s="4" customFormat="1" ht="80.25" customHeight="1" x14ac:dyDescent="0.3">
      <c r="A23" s="863" t="s">
        <v>165</v>
      </c>
      <c r="B23" s="863"/>
      <c r="C23" s="863"/>
      <c r="D23" s="863"/>
      <c r="E23" s="863"/>
      <c r="F23" s="863"/>
      <c r="G23" s="863"/>
      <c r="H23" s="863"/>
      <c r="I23" s="863"/>
      <c r="J23" s="863"/>
      <c r="K23" s="863"/>
      <c r="L23" s="863"/>
      <c r="M23" s="863"/>
      <c r="N23" s="863"/>
      <c r="O23" s="863"/>
      <c r="P23" s="863"/>
      <c r="Q23" s="863"/>
      <c r="R23" s="863"/>
      <c r="S23" s="863"/>
      <c r="T23" s="863"/>
      <c r="U23" s="863"/>
      <c r="V23" s="863"/>
      <c r="W23" s="863"/>
      <c r="X23" s="863"/>
      <c r="Y23" s="863"/>
      <c r="Z23" s="863"/>
      <c r="AA23" s="863"/>
      <c r="AB23" s="863"/>
      <c r="AC23" s="863"/>
      <c r="AD23" s="863"/>
      <c r="AE23" s="863"/>
      <c r="AF23" s="863"/>
    </row>
    <row r="25" spans="1:32" x14ac:dyDescent="0.3">
      <c r="A25" s="1141" t="s">
        <v>14</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ht="10.95" customHeight="1" x14ac:dyDescent="0.3"/>
    <row r="27" spans="1:32" ht="108.75" customHeight="1" x14ac:dyDescent="0.3">
      <c r="A27" s="863" t="s">
        <v>163</v>
      </c>
      <c r="B27" s="863"/>
      <c r="C27" s="863"/>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row>
  </sheetData>
  <sheetProtection algorithmName="SHA-512" hashValue="RIadE2lWl+0fqRTmguW7pQlsiuZ2/4HmOZyGLvLsL9Fo9brHueaHDvsELlwXq3u9KxDeWFnVGJD32/PIPzQUeA==" saltValue="OSwRslmxRtkiR5JsqxP6pQ==" spinCount="100000" sheet="1" objects="1" scenarios="1"/>
  <mergeCells count="11">
    <mergeCell ref="A1:AF1"/>
    <mergeCell ref="B12:AF12"/>
    <mergeCell ref="B15:AF15"/>
    <mergeCell ref="A3:AF3"/>
    <mergeCell ref="B6:AF6"/>
    <mergeCell ref="B9:AF9"/>
    <mergeCell ref="B18:AF18"/>
    <mergeCell ref="A27:AF27"/>
    <mergeCell ref="A23:AF23"/>
    <mergeCell ref="A25:AF25"/>
    <mergeCell ref="A21:AF21"/>
  </mergeCells>
  <hyperlinks>
    <hyperlink ref="A2" location="TOC!A1" display="Return to TOC" xr:uid="{00000000-0004-0000-1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theme="8" tint="0.79998168889431442"/>
    <pageSetUpPr autoPageBreaks="0"/>
  </sheetPr>
  <dimension ref="A1:AF66"/>
  <sheetViews>
    <sheetView workbookViewId="0">
      <selection sqref="A1:AF1"/>
    </sheetView>
  </sheetViews>
  <sheetFormatPr defaultColWidth="2.6640625" defaultRowHeight="14.4" x14ac:dyDescent="0.3"/>
  <cols>
    <col min="1" max="16384" width="2.6640625" style="1"/>
  </cols>
  <sheetData>
    <row r="1" spans="1:32" ht="18" x14ac:dyDescent="0.3">
      <c r="A1" s="1131" t="s">
        <v>879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s="4" customFormat="1" ht="78" customHeight="1" x14ac:dyDescent="0.3">
      <c r="B6" s="953" t="s">
        <v>2804</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51" t="s">
        <v>4</v>
      </c>
      <c r="C8" s="51"/>
      <c r="D8" s="51"/>
      <c r="E8" s="51"/>
      <c r="F8" s="51"/>
      <c r="G8" s="51"/>
      <c r="H8" s="51"/>
      <c r="I8" s="51"/>
    </row>
    <row r="9" spans="1:32" ht="140.25" customHeight="1" x14ac:dyDescent="0.3">
      <c r="B9" s="953" t="s">
        <v>164</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row>
    <row r="11" spans="1:32" x14ac:dyDescent="0.3">
      <c r="B11" s="51" t="s">
        <v>5</v>
      </c>
      <c r="C11" s="51"/>
      <c r="D11" s="51"/>
      <c r="E11" s="51"/>
      <c r="F11" s="51"/>
      <c r="G11" s="51"/>
      <c r="H11" s="51"/>
      <c r="I11" s="51"/>
    </row>
    <row r="12" spans="1:32" x14ac:dyDescent="0.3">
      <c r="B12" s="1142" t="s">
        <v>1055</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x14ac:dyDescent="0.3">
      <c r="B15" s="1142" t="s">
        <v>1055</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7" spans="1:32" x14ac:dyDescent="0.3">
      <c r="B17" s="51" t="s">
        <v>13</v>
      </c>
      <c r="C17" s="51"/>
      <c r="D17" s="51"/>
      <c r="E17" s="51"/>
      <c r="F17" s="51"/>
      <c r="G17" s="51"/>
      <c r="H17" s="51"/>
      <c r="I17" s="51"/>
    </row>
    <row r="18" spans="1:32" x14ac:dyDescent="0.3">
      <c r="B18" s="1142" t="s">
        <v>1055</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ht="48.75" customHeight="1" x14ac:dyDescent="0.3">
      <c r="A23" s="953" t="s">
        <v>166</v>
      </c>
      <c r="B23" s="953"/>
      <c r="C23" s="953"/>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row>
    <row r="26" spans="1:32" x14ac:dyDescent="0.3">
      <c r="A26" s="1141" t="s">
        <v>14</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8" spans="1:32" ht="65.25" customHeight="1" x14ac:dyDescent="0.3">
      <c r="A28" s="953" t="s">
        <v>167</v>
      </c>
      <c r="B28" s="953"/>
      <c r="C28" s="953"/>
      <c r="D28" s="953"/>
      <c r="E28" s="953"/>
      <c r="F28" s="953"/>
      <c r="G28" s="953"/>
      <c r="H28" s="953"/>
      <c r="I28" s="953"/>
      <c r="J28" s="953"/>
      <c r="K28" s="953"/>
      <c r="L28" s="953"/>
      <c r="M28" s="953"/>
      <c r="N28" s="953"/>
      <c r="O28" s="953"/>
      <c r="P28" s="953"/>
      <c r="Q28" s="953"/>
      <c r="R28" s="953"/>
      <c r="S28" s="953"/>
      <c r="T28" s="953"/>
      <c r="U28" s="953"/>
      <c r="V28" s="953"/>
      <c r="W28" s="953"/>
      <c r="X28" s="953"/>
      <c r="Y28" s="953"/>
      <c r="Z28" s="953"/>
      <c r="AA28" s="953"/>
      <c r="AB28" s="953"/>
      <c r="AC28" s="953"/>
      <c r="AD28" s="953"/>
      <c r="AE28" s="953"/>
      <c r="AF28" s="953"/>
    </row>
    <row r="30" spans="1:32" x14ac:dyDescent="0.3">
      <c r="A30" t="s">
        <v>168</v>
      </c>
    </row>
    <row r="31" spans="1:32" x14ac:dyDescent="0.3">
      <c r="A31"/>
    </row>
    <row r="32" spans="1:32" x14ac:dyDescent="0.3">
      <c r="A32" s="13" t="s">
        <v>169</v>
      </c>
    </row>
    <row r="33" spans="1:1" x14ac:dyDescent="0.3">
      <c r="A33" s="14" t="s">
        <v>170</v>
      </c>
    </row>
    <row r="34" spans="1:1" x14ac:dyDescent="0.3">
      <c r="A34" s="14" t="s">
        <v>171</v>
      </c>
    </row>
    <row r="35" spans="1:1" x14ac:dyDescent="0.3">
      <c r="A35" s="14" t="s">
        <v>172</v>
      </c>
    </row>
    <row r="36" spans="1:1" x14ac:dyDescent="0.3">
      <c r="A36"/>
    </row>
    <row r="37" spans="1:1" x14ac:dyDescent="0.3">
      <c r="A37" s="13" t="s">
        <v>173</v>
      </c>
    </row>
    <row r="38" spans="1:1" x14ac:dyDescent="0.3">
      <c r="A38" s="15" t="s">
        <v>174</v>
      </c>
    </row>
    <row r="39" spans="1:1" x14ac:dyDescent="0.3">
      <c r="A39" s="16" t="s">
        <v>175</v>
      </c>
    </row>
    <row r="40" spans="1:1" x14ac:dyDescent="0.3">
      <c r="A40" s="15" t="s">
        <v>176</v>
      </c>
    </row>
    <row r="41" spans="1:1" x14ac:dyDescent="0.3">
      <c r="A41" s="15" t="s">
        <v>177</v>
      </c>
    </row>
    <row r="42" spans="1:1" x14ac:dyDescent="0.3">
      <c r="A42" s="16" t="s">
        <v>178</v>
      </c>
    </row>
    <row r="43" spans="1:1" x14ac:dyDescent="0.3">
      <c r="A43" s="16" t="s">
        <v>179</v>
      </c>
    </row>
    <row r="44" spans="1:1" x14ac:dyDescent="0.3">
      <c r="A44" s="16" t="s">
        <v>180</v>
      </c>
    </row>
    <row r="45" spans="1:1" x14ac:dyDescent="0.3">
      <c r="A45" s="16" t="s">
        <v>181</v>
      </c>
    </row>
    <row r="46" spans="1:1" x14ac:dyDescent="0.3">
      <c r="A46" s="16" t="s">
        <v>182</v>
      </c>
    </row>
    <row r="47" spans="1:1" x14ac:dyDescent="0.3">
      <c r="A47" s="16" t="s">
        <v>183</v>
      </c>
    </row>
    <row r="48" spans="1:1" x14ac:dyDescent="0.3">
      <c r="A48" s="16" t="s">
        <v>184</v>
      </c>
    </row>
    <row r="49" spans="1:32" x14ac:dyDescent="0.3">
      <c r="A49" s="16" t="s">
        <v>185</v>
      </c>
    </row>
    <row r="50" spans="1:32" x14ac:dyDescent="0.3">
      <c r="A50" s="16" t="s">
        <v>186</v>
      </c>
    </row>
    <row r="51" spans="1:32" x14ac:dyDescent="0.3">
      <c r="A51" s="15" t="s">
        <v>187</v>
      </c>
    </row>
    <row r="52" spans="1:32" x14ac:dyDescent="0.3">
      <c r="A52" s="1668" t="s">
        <v>188</v>
      </c>
      <c r="B52" s="1668"/>
      <c r="C52" s="1668"/>
      <c r="D52" s="1668"/>
      <c r="E52" s="1668"/>
      <c r="F52" s="1668"/>
      <c r="G52" s="1668"/>
      <c r="H52" s="1668"/>
      <c r="I52" s="1668"/>
      <c r="J52" s="1668"/>
      <c r="K52" s="1668"/>
      <c r="L52" s="1668"/>
      <c r="M52" s="1668"/>
      <c r="N52" s="1668"/>
      <c r="O52" s="1668"/>
      <c r="P52" s="1668"/>
      <c r="Q52" s="1668"/>
      <c r="R52" s="1668"/>
      <c r="S52" s="1668"/>
      <c r="T52" s="1668"/>
      <c r="U52" s="1668"/>
      <c r="V52" s="1668"/>
      <c r="W52" s="1668"/>
      <c r="X52" s="1668"/>
      <c r="Y52" s="1668"/>
      <c r="Z52" s="1668"/>
      <c r="AA52" s="1668"/>
      <c r="AB52" s="1668"/>
      <c r="AC52" s="1668"/>
      <c r="AD52" s="1668"/>
      <c r="AE52" s="1668"/>
      <c r="AF52" s="1668"/>
    </row>
    <row r="53" spans="1:32" x14ac:dyDescent="0.3">
      <c r="A53" s="1668"/>
      <c r="B53" s="1668"/>
      <c r="C53" s="1668"/>
      <c r="D53" s="1668"/>
      <c r="E53" s="1668"/>
      <c r="F53" s="1668"/>
      <c r="G53" s="1668"/>
      <c r="H53" s="1668"/>
      <c r="I53" s="1668"/>
      <c r="J53" s="1668"/>
      <c r="K53" s="1668"/>
      <c r="L53" s="1668"/>
      <c r="M53" s="1668"/>
      <c r="N53" s="1668"/>
      <c r="O53" s="1668"/>
      <c r="P53" s="1668"/>
      <c r="Q53" s="1668"/>
      <c r="R53" s="1668"/>
      <c r="S53" s="1668"/>
      <c r="T53" s="1668"/>
      <c r="U53" s="1668"/>
      <c r="V53" s="1668"/>
      <c r="W53" s="1668"/>
      <c r="X53" s="1668"/>
      <c r="Y53" s="1668"/>
      <c r="Z53" s="1668"/>
      <c r="AA53" s="1668"/>
      <c r="AB53" s="1668"/>
      <c r="AC53" s="1668"/>
      <c r="AD53" s="1668"/>
      <c r="AE53" s="1668"/>
      <c r="AF53" s="1668"/>
    </row>
    <row r="54" spans="1:32" x14ac:dyDescent="0.3">
      <c r="A54" s="16" t="s">
        <v>189</v>
      </c>
    </row>
    <row r="55" spans="1:32" x14ac:dyDescent="0.3">
      <c r="A55" s="16" t="s">
        <v>190</v>
      </c>
    </row>
    <row r="56" spans="1:32" x14ac:dyDescent="0.3">
      <c r="A56" s="15" t="s">
        <v>191</v>
      </c>
    </row>
    <row r="57" spans="1:32" x14ac:dyDescent="0.3">
      <c r="A57" s="16" t="s">
        <v>192</v>
      </c>
    </row>
    <row r="58" spans="1:32" x14ac:dyDescent="0.3">
      <c r="A58" s="16" t="s">
        <v>193</v>
      </c>
    </row>
    <row r="59" spans="1:32" x14ac:dyDescent="0.3">
      <c r="A59" s="15" t="s">
        <v>194</v>
      </c>
    </row>
    <row r="60" spans="1:32" x14ac:dyDescent="0.3">
      <c r="A60" s="16" t="s">
        <v>195</v>
      </c>
    </row>
    <row r="61" spans="1:32" x14ac:dyDescent="0.3">
      <c r="A61" s="16" t="s">
        <v>196</v>
      </c>
    </row>
    <row r="62" spans="1:32" x14ac:dyDescent="0.3">
      <c r="A62" s="15" t="s">
        <v>197</v>
      </c>
    </row>
    <row r="63" spans="1:32" x14ac:dyDescent="0.3">
      <c r="A63"/>
    </row>
    <row r="64" spans="1:32" x14ac:dyDescent="0.3">
      <c r="A64" s="13" t="s">
        <v>198</v>
      </c>
    </row>
    <row r="65" spans="1:1" x14ac:dyDescent="0.3">
      <c r="A65" s="15" t="s">
        <v>199</v>
      </c>
    </row>
    <row r="66" spans="1:1" x14ac:dyDescent="0.3">
      <c r="A66" s="17" t="s">
        <v>200</v>
      </c>
    </row>
  </sheetData>
  <sheetProtection algorithmName="SHA-512" hashValue="A34MUmuFQWoCLqp30q9CukMtRU116mGvXLu2Zw/+aMoR2s9VxyZqgVmvNxSucVthABKfKI4s8UbkOw//7i49Yg==" saltValue="6I3EVpEmwR1R8cQaa2iCWg==" spinCount="100000" sheet="1" objects="1" scenarios="1"/>
  <mergeCells count="12">
    <mergeCell ref="A28:AF28"/>
    <mergeCell ref="A52:AF53"/>
    <mergeCell ref="A26:AF26"/>
    <mergeCell ref="A21:AF21"/>
    <mergeCell ref="A1:AF1"/>
    <mergeCell ref="B12:AF12"/>
    <mergeCell ref="B18:AF18"/>
    <mergeCell ref="A23:AF23"/>
    <mergeCell ref="B15:AF15"/>
    <mergeCell ref="A3:AF3"/>
    <mergeCell ref="B6:AF6"/>
    <mergeCell ref="B9:AF9"/>
  </mergeCells>
  <hyperlinks>
    <hyperlink ref="A2" location="TOC!A1" display="Return to TOC" xr:uid="{00000000-0004-0000-1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theme="9" tint="0.79998168889431442"/>
    <pageSetUpPr autoPageBreaks="0"/>
  </sheetPr>
  <dimension ref="A1:BU157"/>
  <sheetViews>
    <sheetView zoomScaleNormal="100" workbookViewId="0">
      <selection activeCell="A2" sqref="A2"/>
    </sheetView>
  </sheetViews>
  <sheetFormatPr defaultColWidth="2.6640625" defaultRowHeight="14.4" x14ac:dyDescent="0.3"/>
  <cols>
    <col min="1" max="10" width="2.6640625" style="1"/>
    <col min="11" max="11" width="2.6640625" style="1" customWidth="1"/>
    <col min="12" max="16384" width="2.6640625" style="1"/>
  </cols>
  <sheetData>
    <row r="1" spans="1:32" ht="18" x14ac:dyDescent="0.3">
      <c r="A1" s="1131" t="s">
        <v>880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24.5" customHeight="1" x14ac:dyDescent="0.3">
      <c r="A5" s="121"/>
      <c r="B5" s="1291" t="s">
        <v>5220</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1:32" customFormat="1" ht="14.4" customHeight="1" x14ac:dyDescent="0.3">
      <c r="A6" s="228"/>
    </row>
    <row r="7" spans="1:32" s="121" customForma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s="121" customFormat="1"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s="121" customFormat="1" x14ac:dyDescent="0.3">
      <c r="B9" s="267" t="s">
        <v>3</v>
      </c>
      <c r="C9" s="267"/>
      <c r="D9" s="267"/>
      <c r="E9" s="267"/>
      <c r="F9" s="267"/>
      <c r="G9" s="267"/>
      <c r="H9" s="267"/>
      <c r="I9" s="267"/>
    </row>
    <row r="10" spans="1:32" s="122" customFormat="1" ht="34.5" customHeight="1" x14ac:dyDescent="0.3">
      <c r="B10" s="1258" t="s">
        <v>2105</v>
      </c>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row>
    <row r="11" spans="1:32" s="122" customFormat="1" x14ac:dyDescent="0.3"/>
    <row r="12" spans="1:32" s="122" customFormat="1" ht="68.25" customHeight="1" x14ac:dyDescent="0.3">
      <c r="B12" s="1258" t="s">
        <v>2106</v>
      </c>
      <c r="C12" s="1258"/>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row>
    <row r="13" spans="1:32" s="121" customFormat="1" x14ac:dyDescent="0.3"/>
    <row r="14" spans="1:32" s="121" customFormat="1" x14ac:dyDescent="0.3">
      <c r="B14" s="267" t="s">
        <v>4</v>
      </c>
      <c r="C14" s="267"/>
      <c r="D14" s="267"/>
      <c r="E14" s="267"/>
      <c r="F14" s="267"/>
      <c r="G14" s="267"/>
      <c r="H14" s="267"/>
      <c r="I14" s="267"/>
    </row>
    <row r="15" spans="1:32" s="121" customFormat="1" ht="15" customHeight="1" x14ac:dyDescent="0.3">
      <c r="A15" s="122"/>
      <c r="B15" s="884" t="s">
        <v>5224</v>
      </c>
      <c r="C15" s="884"/>
      <c r="D15" s="884"/>
      <c r="E15" s="884"/>
      <c r="F15" s="884"/>
      <c r="G15" s="884"/>
      <c r="H15" s="884"/>
      <c r="I15" s="884"/>
      <c r="J15" s="884"/>
      <c r="K15" s="884"/>
      <c r="L15" s="884"/>
      <c r="M15" s="884"/>
      <c r="N15" s="884"/>
      <c r="O15" s="884"/>
      <c r="P15" s="884"/>
      <c r="Q15" s="884"/>
      <c r="R15" s="884"/>
      <c r="S15" s="884"/>
      <c r="T15" s="884"/>
      <c r="U15" s="884"/>
      <c r="V15" s="884"/>
      <c r="W15" s="884"/>
      <c r="X15" s="884"/>
      <c r="Y15" s="884"/>
      <c r="Z15" s="884"/>
      <c r="AA15" s="884"/>
      <c r="AB15" s="884"/>
      <c r="AC15" s="884"/>
      <c r="AD15" s="884"/>
      <c r="AE15" s="884"/>
      <c r="AF15" s="884"/>
    </row>
    <row r="16" spans="1:32" s="121" customFormat="1" ht="16.5" customHeight="1" x14ac:dyDescent="0.3">
      <c r="A16" s="122"/>
      <c r="B16" s="884"/>
      <c r="C16" s="884"/>
      <c r="D16" s="884"/>
      <c r="E16" s="884"/>
      <c r="F16" s="884"/>
      <c r="G16" s="884"/>
      <c r="H16" s="884"/>
      <c r="I16" s="884"/>
      <c r="J16" s="884"/>
      <c r="K16" s="884"/>
      <c r="L16" s="884"/>
      <c r="M16" s="884"/>
      <c r="N16" s="884"/>
      <c r="O16" s="884"/>
      <c r="P16" s="884"/>
      <c r="Q16" s="884"/>
      <c r="R16" s="884"/>
      <c r="S16" s="884"/>
      <c r="T16" s="884"/>
      <c r="U16" s="884"/>
      <c r="V16" s="884"/>
      <c r="W16" s="884"/>
      <c r="X16" s="884"/>
      <c r="Y16" s="884"/>
      <c r="Z16" s="884"/>
      <c r="AA16" s="884"/>
      <c r="AB16" s="884"/>
      <c r="AC16" s="884"/>
      <c r="AD16" s="884"/>
      <c r="AE16" s="884"/>
      <c r="AF16" s="884"/>
    </row>
    <row r="17" spans="1:32" s="121" customFormat="1" ht="16.5" customHeight="1" x14ac:dyDescent="0.3">
      <c r="A17" s="122"/>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row>
    <row r="18" spans="1:32" s="121" customFormat="1" x14ac:dyDescent="0.3">
      <c r="B18" s="267" t="s">
        <v>5</v>
      </c>
      <c r="C18" s="267"/>
      <c r="D18" s="267"/>
      <c r="E18" s="267"/>
      <c r="F18" s="267"/>
      <c r="G18" s="267"/>
      <c r="H18" s="267"/>
      <c r="I18" s="267"/>
    </row>
    <row r="19" spans="1:32" s="121" customFormat="1" x14ac:dyDescent="0.3">
      <c r="B19" s="1372" t="s">
        <v>2918</v>
      </c>
      <c r="C19" s="1372"/>
      <c r="D19" s="1372"/>
      <c r="E19" s="1372"/>
      <c r="F19" s="1372"/>
      <c r="G19" s="1372"/>
      <c r="H19" s="1372"/>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row>
    <row r="20" spans="1:32" s="121" customFormat="1" x14ac:dyDescent="0.3"/>
    <row r="21" spans="1:32" s="121" customFormat="1" x14ac:dyDescent="0.3">
      <c r="B21" s="267" t="s">
        <v>6</v>
      </c>
      <c r="C21" s="267"/>
      <c r="D21" s="267"/>
      <c r="E21" s="267"/>
      <c r="F21" s="267"/>
      <c r="G21" s="267"/>
      <c r="H21" s="267"/>
      <c r="I21" s="267"/>
    </row>
    <row r="22" spans="1:32" s="121" customFormat="1" ht="51" customHeight="1" x14ac:dyDescent="0.3">
      <c r="A22" s="122"/>
      <c r="B22" s="1258" t="s">
        <v>5225</v>
      </c>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row>
    <row r="23" spans="1:32" s="121" customFormat="1" x14ac:dyDescent="0.3"/>
    <row r="24" spans="1:32" s="121" customFormat="1" x14ac:dyDescent="0.3">
      <c r="B24" s="267" t="s">
        <v>13</v>
      </c>
      <c r="C24" s="267"/>
      <c r="D24" s="267"/>
      <c r="E24" s="267"/>
      <c r="F24" s="267"/>
      <c r="G24" s="267"/>
      <c r="H24" s="267"/>
      <c r="I24" s="267"/>
    </row>
    <row r="25" spans="1:32" s="121" customFormat="1" ht="15" customHeight="1" x14ac:dyDescent="0.3">
      <c r="B25" s="1373" t="s">
        <v>2107</v>
      </c>
      <c r="C25" s="1373"/>
      <c r="D25" s="1373"/>
      <c r="E25" s="1373"/>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373"/>
      <c r="AC25" s="1373"/>
      <c r="AD25" s="1373"/>
      <c r="AE25" s="1373"/>
      <c r="AF25" s="1373"/>
    </row>
    <row r="26" spans="1:32" s="121" customFormat="1" ht="14.4" customHeight="1" x14ac:dyDescent="0.3">
      <c r="B26" s="1373"/>
      <c r="C26" s="1373"/>
      <c r="D26" s="1373"/>
      <c r="E26" s="1373"/>
      <c r="F26" s="1373"/>
      <c r="G26" s="1373"/>
      <c r="H26" s="1373"/>
      <c r="I26" s="1373"/>
      <c r="J26" s="1373"/>
      <c r="K26" s="1373"/>
      <c r="L26" s="1373"/>
      <c r="M26" s="1373"/>
      <c r="N26" s="1373"/>
      <c r="O26" s="1373"/>
      <c r="P26" s="1373"/>
      <c r="Q26" s="1373"/>
      <c r="R26" s="1373"/>
      <c r="S26" s="1373"/>
      <c r="T26" s="1373"/>
      <c r="U26" s="1373"/>
      <c r="V26" s="1373"/>
      <c r="W26" s="1373"/>
      <c r="X26" s="1373"/>
      <c r="Y26" s="1373"/>
      <c r="Z26" s="1373"/>
      <c r="AA26" s="1373"/>
      <c r="AB26" s="1373"/>
      <c r="AC26" s="1373"/>
      <c r="AD26" s="1373"/>
      <c r="AE26" s="1373"/>
      <c r="AF26" s="1373"/>
    </row>
    <row r="27" spans="1:32" s="121" customFormat="1" x14ac:dyDescent="0.3">
      <c r="B27" s="1373"/>
      <c r="C27" s="1373"/>
      <c r="D27" s="1373"/>
      <c r="E27" s="1373"/>
      <c r="F27" s="1373"/>
      <c r="G27" s="1373"/>
      <c r="H27" s="1373"/>
      <c r="I27" s="1373"/>
      <c r="J27" s="1373"/>
      <c r="K27" s="1373"/>
      <c r="L27" s="1373"/>
      <c r="M27" s="1373"/>
      <c r="N27" s="1373"/>
      <c r="O27" s="1373"/>
      <c r="P27" s="1373"/>
      <c r="Q27" s="1373"/>
      <c r="R27" s="1373"/>
      <c r="S27" s="1373"/>
      <c r="T27" s="1373"/>
      <c r="U27" s="1373"/>
      <c r="V27" s="1373"/>
      <c r="W27" s="1373"/>
      <c r="X27" s="1373"/>
      <c r="Y27" s="1373"/>
      <c r="Z27" s="1373"/>
      <c r="AA27" s="1373"/>
      <c r="AB27" s="1373"/>
      <c r="AC27" s="1373"/>
      <c r="AD27" s="1373"/>
      <c r="AE27" s="1373"/>
      <c r="AF27" s="1373"/>
    </row>
    <row r="28" spans="1:32" s="121" customFormat="1" x14ac:dyDescent="0.3">
      <c r="B28" s="313"/>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row>
    <row r="29" spans="1:32" s="121" customFormat="1" ht="108.75" customHeight="1" x14ac:dyDescent="0.3">
      <c r="B29" s="1680" t="s">
        <v>5226</v>
      </c>
      <c r="C29" s="1680"/>
      <c r="D29" s="1680"/>
      <c r="E29" s="1680"/>
      <c r="F29" s="1680"/>
      <c r="G29" s="1680"/>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row>
    <row r="30" spans="1:32" s="121" customFormat="1" x14ac:dyDescent="0.3"/>
    <row r="31" spans="1:32" s="121" customFormat="1" x14ac:dyDescent="0.3">
      <c r="A31" s="1290" t="s">
        <v>7</v>
      </c>
      <c r="B31" s="1290"/>
      <c r="C31" s="1290"/>
      <c r="D31" s="1290"/>
      <c r="E31" s="1290"/>
      <c r="F31" s="1290"/>
      <c r="G31" s="1290"/>
      <c r="H31" s="1290"/>
      <c r="I31" s="1290"/>
      <c r="J31" s="1290"/>
      <c r="K31" s="1290"/>
      <c r="L31" s="1290"/>
      <c r="M31" s="1290"/>
      <c r="N31" s="1290"/>
      <c r="O31" s="1290"/>
      <c r="P31" s="1290"/>
      <c r="Q31" s="1290"/>
      <c r="R31" s="1290"/>
      <c r="S31" s="1290"/>
      <c r="T31" s="1290"/>
      <c r="U31" s="1290"/>
      <c r="V31" s="1290"/>
      <c r="W31" s="1290"/>
      <c r="X31" s="1290"/>
      <c r="Y31" s="1290"/>
      <c r="Z31" s="1290"/>
      <c r="AA31" s="1290"/>
      <c r="AB31" s="1290"/>
      <c r="AC31" s="1290"/>
      <c r="AD31" s="1290"/>
      <c r="AE31" s="1290"/>
      <c r="AF31" s="1290"/>
    </row>
    <row r="32" spans="1:32" s="121" customFormat="1" x14ac:dyDescent="0.3"/>
    <row r="33" spans="1:32" s="121" customFormat="1" x14ac:dyDescent="0.3">
      <c r="B33" s="267" t="s">
        <v>2137</v>
      </c>
      <c r="H33" s="272"/>
    </row>
    <row r="34" spans="1:32" s="121" customFormat="1" x14ac:dyDescent="0.3">
      <c r="H34" s="272"/>
    </row>
    <row r="35" spans="1:32" s="121" customFormat="1" x14ac:dyDescent="0.3">
      <c r="H35" s="272"/>
      <c r="AF35" s="272" t="s">
        <v>1463</v>
      </c>
    </row>
    <row r="36" spans="1:32" s="121" customFormat="1" x14ac:dyDescent="0.3">
      <c r="H36" s="272"/>
    </row>
    <row r="37" spans="1:32" s="121" customFormat="1" x14ac:dyDescent="0.3">
      <c r="B37" s="267" t="s">
        <v>2027</v>
      </c>
      <c r="H37" s="272"/>
    </row>
    <row r="38" spans="1:32" s="121" customFormat="1" x14ac:dyDescent="0.3">
      <c r="H38" s="272"/>
    </row>
    <row r="39" spans="1:32" s="121" customFormat="1" x14ac:dyDescent="0.3">
      <c r="H39" s="272"/>
      <c r="I39" s="64"/>
      <c r="AF39" s="272" t="s">
        <v>1464</v>
      </c>
    </row>
    <row r="40" spans="1:32" s="121" customFormat="1" x14ac:dyDescent="0.3">
      <c r="A40" s="57"/>
      <c r="I40" s="64"/>
    </row>
    <row r="41" spans="1:32" s="121" customFormat="1" x14ac:dyDescent="0.3">
      <c r="A41" s="57"/>
      <c r="B41" s="267" t="s">
        <v>1811</v>
      </c>
      <c r="I41" s="64"/>
    </row>
    <row r="42" spans="1:32" s="121" customFormat="1" x14ac:dyDescent="0.3">
      <c r="A42" s="57"/>
      <c r="I42" s="64"/>
    </row>
    <row r="43" spans="1:32" s="121" customFormat="1" x14ac:dyDescent="0.3">
      <c r="A43" s="57"/>
      <c r="I43" s="64"/>
      <c r="AF43" s="272" t="s">
        <v>1465</v>
      </c>
    </row>
    <row r="44" spans="1:32" s="121" customFormat="1" x14ac:dyDescent="0.3">
      <c r="A44" s="57"/>
      <c r="I44" s="64"/>
    </row>
    <row r="45" spans="1:32" s="121" customFormat="1" x14ac:dyDescent="0.3">
      <c r="A45" s="1053" t="s">
        <v>8</v>
      </c>
      <c r="B45" s="1054"/>
      <c r="C45" s="1054"/>
      <c r="D45" s="1054"/>
      <c r="E45" s="1054"/>
      <c r="F45" s="1054"/>
      <c r="G45" s="1054"/>
      <c r="H45" s="1054"/>
      <c r="I45" s="1054"/>
      <c r="J45" s="1054"/>
      <c r="K45" s="1054"/>
      <c r="L45" s="1054"/>
      <c r="M45" s="1054"/>
      <c r="N45" s="1054"/>
      <c r="O45" s="1054"/>
      <c r="P45" s="1054"/>
      <c r="Q45" s="1054"/>
      <c r="R45" s="1054"/>
      <c r="S45" s="1054"/>
      <c r="T45" s="1054"/>
      <c r="U45" s="1054"/>
      <c r="V45" s="1054"/>
      <c r="W45" s="1054"/>
      <c r="X45" s="1054"/>
      <c r="Y45" s="1054"/>
      <c r="Z45" s="1054"/>
      <c r="AA45" s="1054"/>
      <c r="AB45" s="1054"/>
      <c r="AC45" s="1054"/>
      <c r="AD45" s="1054"/>
      <c r="AE45" s="1054"/>
      <c r="AF45" s="1055"/>
    </row>
    <row r="46" spans="1:32" s="121" customFormat="1" x14ac:dyDescent="0.3">
      <c r="A46" s="1366" t="s">
        <v>9</v>
      </c>
      <c r="B46" s="1367"/>
      <c r="C46" s="1367"/>
      <c r="D46" s="1368"/>
      <c r="E46" s="1366" t="s">
        <v>3</v>
      </c>
      <c r="F46" s="1367"/>
      <c r="G46" s="1367"/>
      <c r="H46" s="1367"/>
      <c r="I46" s="1367"/>
      <c r="J46" s="1367"/>
      <c r="K46" s="1367"/>
      <c r="L46" s="1367"/>
      <c r="M46" s="1367"/>
      <c r="N46" s="1367"/>
      <c r="O46" s="1367"/>
      <c r="P46" s="1368"/>
      <c r="Q46" s="1366" t="s">
        <v>10</v>
      </c>
      <c r="R46" s="1367"/>
      <c r="S46" s="1367"/>
      <c r="T46" s="1368"/>
      <c r="U46" s="1366" t="s">
        <v>11</v>
      </c>
      <c r="V46" s="1367"/>
      <c r="W46" s="1368"/>
      <c r="X46" s="1366" t="s">
        <v>1466</v>
      </c>
      <c r="Y46" s="1367"/>
      <c r="Z46" s="1367"/>
      <c r="AA46" s="1367"/>
      <c r="AB46" s="1367"/>
      <c r="AC46" s="1367"/>
      <c r="AD46" s="1367"/>
      <c r="AE46" s="1367"/>
      <c r="AF46" s="1368"/>
    </row>
    <row r="47" spans="1:32" s="121" customFormat="1" ht="37.5" customHeight="1" x14ac:dyDescent="0.3">
      <c r="A47" s="1349" t="s">
        <v>2068</v>
      </c>
      <c r="B47" s="1350"/>
      <c r="C47" s="1350"/>
      <c r="D47" s="1351"/>
      <c r="E47" s="1163" t="s">
        <v>4648</v>
      </c>
      <c r="F47" s="1164" t="s">
        <v>2069</v>
      </c>
      <c r="G47" s="1164"/>
      <c r="H47" s="1164"/>
      <c r="I47" s="1164"/>
      <c r="J47" s="1164"/>
      <c r="K47" s="1164"/>
      <c r="L47" s="1164"/>
      <c r="M47" s="1164"/>
      <c r="N47" s="1164"/>
      <c r="O47" s="1164"/>
      <c r="P47" s="1165"/>
      <c r="Q47" s="1166" t="s">
        <v>156</v>
      </c>
      <c r="R47" s="1167"/>
      <c r="S47" s="1167"/>
      <c r="T47" s="1168"/>
      <c r="U47" s="1352" t="s">
        <v>1304</v>
      </c>
      <c r="V47" s="1353"/>
      <c r="W47" s="1354"/>
      <c r="X47" s="1207" t="s">
        <v>2110</v>
      </c>
      <c r="Y47" s="1208"/>
      <c r="Z47" s="1208"/>
      <c r="AA47" s="1208"/>
      <c r="AB47" s="1208"/>
      <c r="AC47" s="1208"/>
      <c r="AD47" s="1208"/>
      <c r="AE47" s="1208"/>
      <c r="AF47" s="1209"/>
    </row>
    <row r="48" spans="1:32" s="121" customFormat="1" ht="60.75" customHeight="1" x14ac:dyDescent="0.3">
      <c r="A48" s="1349" t="s">
        <v>2072</v>
      </c>
      <c r="B48" s="1350"/>
      <c r="C48" s="1350"/>
      <c r="D48" s="1351"/>
      <c r="E48" s="1163" t="s">
        <v>2067</v>
      </c>
      <c r="F48" s="1164"/>
      <c r="G48" s="1164"/>
      <c r="H48" s="1164"/>
      <c r="I48" s="1164"/>
      <c r="J48" s="1164"/>
      <c r="K48" s="1164"/>
      <c r="L48" s="1164"/>
      <c r="M48" s="1164"/>
      <c r="N48" s="1164"/>
      <c r="O48" s="1164"/>
      <c r="P48" s="1165"/>
      <c r="Q48" s="1669" t="s">
        <v>2109</v>
      </c>
      <c r="R48" s="1670"/>
      <c r="S48" s="1670"/>
      <c r="T48" s="1671"/>
      <c r="U48" s="1352" t="s">
        <v>225</v>
      </c>
      <c r="V48" s="1353"/>
      <c r="W48" s="1354"/>
      <c r="X48" s="1207" t="s">
        <v>2111</v>
      </c>
      <c r="Y48" s="1208"/>
      <c r="Z48" s="1208"/>
      <c r="AA48" s="1208"/>
      <c r="AB48" s="1208"/>
      <c r="AC48" s="1208"/>
      <c r="AD48" s="1208"/>
      <c r="AE48" s="1208"/>
      <c r="AF48" s="1209"/>
    </row>
    <row r="49" spans="1:56" s="121" customFormat="1" ht="78" customHeight="1" x14ac:dyDescent="0.3">
      <c r="A49" s="1349" t="s">
        <v>2073</v>
      </c>
      <c r="B49" s="1350"/>
      <c r="C49" s="1350"/>
      <c r="D49" s="1351"/>
      <c r="E49" s="1163" t="s">
        <v>2108</v>
      </c>
      <c r="F49" s="1164"/>
      <c r="G49" s="1164"/>
      <c r="H49" s="1164"/>
      <c r="I49" s="1164"/>
      <c r="J49" s="1164"/>
      <c r="K49" s="1164"/>
      <c r="L49" s="1164"/>
      <c r="M49" s="1164"/>
      <c r="N49" s="1164"/>
      <c r="O49" s="1164"/>
      <c r="P49" s="1165"/>
      <c r="Q49" s="1166" t="s">
        <v>156</v>
      </c>
      <c r="R49" s="1167"/>
      <c r="S49" s="1167"/>
      <c r="T49" s="1168"/>
      <c r="U49" s="1352" t="s">
        <v>225</v>
      </c>
      <c r="V49" s="1353"/>
      <c r="W49" s="1354"/>
      <c r="X49" s="1207" t="s">
        <v>5227</v>
      </c>
      <c r="Y49" s="1208"/>
      <c r="Z49" s="1208"/>
      <c r="AA49" s="1208"/>
      <c r="AB49" s="1208"/>
      <c r="AC49" s="1208"/>
      <c r="AD49" s="1208"/>
      <c r="AE49" s="1208"/>
      <c r="AF49" s="1209"/>
    </row>
    <row r="50" spans="1:56" s="121" customFormat="1" ht="62.25" customHeight="1" x14ac:dyDescent="0.3">
      <c r="A50" s="1349" t="s">
        <v>2070</v>
      </c>
      <c r="B50" s="1350"/>
      <c r="C50" s="1350"/>
      <c r="D50" s="1351"/>
      <c r="E50" s="1163" t="s">
        <v>2065</v>
      </c>
      <c r="F50" s="1164"/>
      <c r="G50" s="1164"/>
      <c r="H50" s="1164"/>
      <c r="I50" s="1164"/>
      <c r="J50" s="1164"/>
      <c r="K50" s="1164"/>
      <c r="L50" s="1164"/>
      <c r="M50" s="1164"/>
      <c r="N50" s="1164"/>
      <c r="O50" s="1164"/>
      <c r="P50" s="1165"/>
      <c r="Q50" s="1672" t="s">
        <v>2109</v>
      </c>
      <c r="R50" s="1673"/>
      <c r="S50" s="1673"/>
      <c r="T50" s="1674"/>
      <c r="U50" s="1352" t="s">
        <v>225</v>
      </c>
      <c r="V50" s="1353"/>
      <c r="W50" s="1354"/>
      <c r="X50" s="1207" t="s">
        <v>2111</v>
      </c>
      <c r="Y50" s="1208"/>
      <c r="Z50" s="1208"/>
      <c r="AA50" s="1208"/>
      <c r="AB50" s="1208"/>
      <c r="AC50" s="1208"/>
      <c r="AD50" s="1208"/>
      <c r="AE50" s="1208"/>
      <c r="AF50" s="1209"/>
    </row>
    <row r="51" spans="1:56" s="121" customFormat="1" ht="33.75" customHeight="1" x14ac:dyDescent="0.3">
      <c r="A51" s="1349" t="s">
        <v>2071</v>
      </c>
      <c r="B51" s="1350"/>
      <c r="C51" s="1350"/>
      <c r="D51" s="1351"/>
      <c r="E51" s="1163" t="s">
        <v>2066</v>
      </c>
      <c r="F51" s="1164"/>
      <c r="G51" s="1164"/>
      <c r="H51" s="1164"/>
      <c r="I51" s="1164"/>
      <c r="J51" s="1164"/>
      <c r="K51" s="1164"/>
      <c r="L51" s="1164"/>
      <c r="M51" s="1164"/>
      <c r="N51" s="1164"/>
      <c r="O51" s="1164"/>
      <c r="P51" s="1165"/>
      <c r="Q51" s="1166" t="s">
        <v>156</v>
      </c>
      <c r="R51" s="1167"/>
      <c r="S51" s="1167"/>
      <c r="T51" s="1168"/>
      <c r="U51" s="1352" t="s">
        <v>225</v>
      </c>
      <c r="V51" s="1353"/>
      <c r="W51" s="1354"/>
      <c r="X51" s="1207" t="s">
        <v>2112</v>
      </c>
      <c r="Y51" s="1208"/>
      <c r="Z51" s="1208"/>
      <c r="AA51" s="1208"/>
      <c r="AB51" s="1208"/>
      <c r="AC51" s="1208"/>
      <c r="AD51" s="1208"/>
      <c r="AE51" s="1208"/>
      <c r="AF51" s="1209"/>
    </row>
    <row r="52" spans="1:56" s="121" customFormat="1" ht="74.25" customHeight="1" x14ac:dyDescent="0.3">
      <c r="A52" s="1349" t="s">
        <v>21</v>
      </c>
      <c r="B52" s="1350"/>
      <c r="C52" s="1350"/>
      <c r="D52" s="1351"/>
      <c r="E52" s="1163" t="s">
        <v>2116</v>
      </c>
      <c r="F52" s="1164"/>
      <c r="G52" s="1164"/>
      <c r="H52" s="1164"/>
      <c r="I52" s="1164"/>
      <c r="J52" s="1164"/>
      <c r="K52" s="1164"/>
      <c r="L52" s="1164"/>
      <c r="M52" s="1164"/>
      <c r="N52" s="1164"/>
      <c r="O52" s="1164"/>
      <c r="P52" s="1165"/>
      <c r="Q52" s="1166" t="s">
        <v>516</v>
      </c>
      <c r="R52" s="1167"/>
      <c r="S52" s="1167"/>
      <c r="T52" s="1168"/>
      <c r="U52" s="1365" t="s">
        <v>20</v>
      </c>
      <c r="V52" s="1353"/>
      <c r="W52" s="1354"/>
      <c r="X52" s="1207" t="s">
        <v>2805</v>
      </c>
      <c r="Y52" s="1208"/>
      <c r="Z52" s="1208"/>
      <c r="AA52" s="1208"/>
      <c r="AB52" s="1208"/>
      <c r="AC52" s="1208"/>
      <c r="AD52" s="1208"/>
      <c r="AE52" s="1208"/>
      <c r="AF52" s="1209"/>
    </row>
    <row r="53" spans="1:56" s="121" customFormat="1" ht="63.75" customHeight="1" x14ac:dyDescent="0.3">
      <c r="A53" s="1349" t="s">
        <v>235</v>
      </c>
      <c r="B53" s="1350"/>
      <c r="C53" s="1350"/>
      <c r="D53" s="1351"/>
      <c r="E53" s="1163" t="s">
        <v>2117</v>
      </c>
      <c r="F53" s="1164"/>
      <c r="G53" s="1164"/>
      <c r="H53" s="1164"/>
      <c r="I53" s="1164"/>
      <c r="J53" s="1164"/>
      <c r="K53" s="1164"/>
      <c r="L53" s="1164"/>
      <c r="M53" s="1164"/>
      <c r="N53" s="1164"/>
      <c r="O53" s="1164"/>
      <c r="P53" s="1165"/>
      <c r="Q53" s="1166" t="s">
        <v>516</v>
      </c>
      <c r="R53" s="1167"/>
      <c r="S53" s="1167"/>
      <c r="T53" s="1168"/>
      <c r="U53" s="1352" t="s">
        <v>37</v>
      </c>
      <c r="V53" s="1353"/>
      <c r="W53" s="1354"/>
      <c r="X53" s="1207" t="s">
        <v>2806</v>
      </c>
      <c r="Y53" s="1208"/>
      <c r="Z53" s="1208"/>
      <c r="AA53" s="1208"/>
      <c r="AB53" s="1208"/>
      <c r="AC53" s="1208"/>
      <c r="AD53" s="1208"/>
      <c r="AE53" s="1208"/>
      <c r="AF53" s="1209"/>
    </row>
    <row r="54" spans="1:56" s="121" customFormat="1" ht="46.5" customHeight="1" x14ac:dyDescent="0.3">
      <c r="A54" s="1349" t="s">
        <v>2562</v>
      </c>
      <c r="B54" s="1350"/>
      <c r="C54" s="1350"/>
      <c r="D54" s="1351"/>
      <c r="E54" s="1163" t="s">
        <v>2050</v>
      </c>
      <c r="F54" s="1164"/>
      <c r="G54" s="1164"/>
      <c r="H54" s="1164"/>
      <c r="I54" s="1164"/>
      <c r="J54" s="1164"/>
      <c r="K54" s="1164"/>
      <c r="L54" s="1164"/>
      <c r="M54" s="1164"/>
      <c r="N54" s="1164"/>
      <c r="O54" s="1164"/>
      <c r="P54" s="1165"/>
      <c r="Q54" s="1166">
        <f>'Master EUL'!X75</f>
        <v>22</v>
      </c>
      <c r="R54" s="1167"/>
      <c r="S54" s="1167"/>
      <c r="T54" s="1168"/>
      <c r="U54" s="1352" t="s">
        <v>38</v>
      </c>
      <c r="V54" s="1353"/>
      <c r="W54" s="1354"/>
      <c r="X54" s="1207" t="s">
        <v>2115</v>
      </c>
      <c r="Y54" s="1208"/>
      <c r="Z54" s="1208"/>
      <c r="AA54" s="1208"/>
      <c r="AB54" s="1208"/>
      <c r="AC54" s="1208"/>
      <c r="AD54" s="1208"/>
      <c r="AE54" s="1208"/>
      <c r="AF54" s="1209"/>
    </row>
    <row r="55" spans="1:56" s="121" customFormat="1" x14ac:dyDescent="0.3"/>
    <row r="56" spans="1:56" s="59" customFormat="1" x14ac:dyDescent="0.3">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row>
    <row r="57" spans="1:56" s="59" customFormat="1" ht="14.4" customHeight="1" x14ac:dyDescent="0.3">
      <c r="A57" s="1290" t="s">
        <v>14</v>
      </c>
      <c r="B57" s="1290"/>
      <c r="C57" s="1290"/>
      <c r="D57" s="1290"/>
      <c r="E57" s="1290"/>
      <c r="F57" s="1290"/>
      <c r="G57" s="1290"/>
      <c r="H57" s="1290"/>
      <c r="I57" s="1290"/>
      <c r="J57" s="1290"/>
      <c r="K57" s="1290"/>
      <c r="L57" s="1290"/>
      <c r="M57" s="1290"/>
      <c r="N57" s="1290"/>
      <c r="O57" s="1290"/>
      <c r="P57" s="1290"/>
      <c r="Q57" s="1290"/>
      <c r="R57" s="1290"/>
      <c r="S57" s="1290"/>
      <c r="T57" s="1290"/>
      <c r="U57" s="1290"/>
      <c r="V57" s="1290"/>
      <c r="W57" s="1290"/>
      <c r="X57" s="1290"/>
      <c r="Y57" s="1290"/>
      <c r="Z57" s="1290"/>
      <c r="AA57" s="1290"/>
      <c r="AB57" s="1290"/>
      <c r="AC57" s="1290"/>
      <c r="AD57" s="1290"/>
      <c r="AE57" s="1290"/>
      <c r="AF57" s="1290"/>
    </row>
    <row r="58" spans="1:56" s="59" customFormat="1" x14ac:dyDescent="0.3">
      <c r="A58" s="1678" t="s">
        <v>2114</v>
      </c>
      <c r="B58" s="1678"/>
      <c r="C58" s="1678"/>
      <c r="D58" s="1678"/>
      <c r="E58" s="1678"/>
      <c r="F58" s="1678"/>
      <c r="G58" s="1678"/>
      <c r="H58" s="1678"/>
      <c r="I58" s="1678"/>
      <c r="J58" s="1678"/>
      <c r="K58" s="1678"/>
      <c r="L58" s="1678"/>
      <c r="M58" s="1678"/>
      <c r="N58" s="1679" t="s">
        <v>2113</v>
      </c>
      <c r="O58" s="1679"/>
      <c r="P58" s="1679"/>
      <c r="Q58" s="1679"/>
      <c r="R58" s="1679"/>
      <c r="S58" s="1679"/>
      <c r="T58" s="1679"/>
      <c r="U58" s="1679"/>
      <c r="V58" s="1679"/>
    </row>
    <row r="59" spans="1:56" s="59" customFormat="1" x14ac:dyDescent="0.3">
      <c r="B59" s="65"/>
      <c r="C59" s="65"/>
    </row>
    <row r="60" spans="1:56" s="59" customFormat="1" ht="72.75" customHeight="1" x14ac:dyDescent="0.3">
      <c r="B60" s="1258" t="s">
        <v>3651</v>
      </c>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row>
    <row r="61" spans="1:56" s="59" customFormat="1" x14ac:dyDescent="0.3">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row>
    <row r="62" spans="1:56" s="59" customFormat="1" x14ac:dyDescent="0.3">
      <c r="B62" s="57" t="s">
        <v>2807</v>
      </c>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row>
    <row r="63" spans="1:56" s="59" customFormat="1" ht="15" customHeight="1" x14ac:dyDescent="0.3">
      <c r="B63" s="1106" t="s">
        <v>46</v>
      </c>
      <c r="C63" s="1107"/>
      <c r="D63" s="1107"/>
      <c r="E63" s="1107"/>
      <c r="F63" s="1107"/>
      <c r="G63" s="1107"/>
      <c r="H63" s="1107"/>
      <c r="I63" s="1107"/>
      <c r="J63" s="1107"/>
      <c r="K63" s="1108"/>
      <c r="L63" s="1493" t="s">
        <v>235</v>
      </c>
      <c r="M63" s="1493"/>
      <c r="N63" s="1493"/>
      <c r="O63" s="1493"/>
      <c r="P63" s="1493"/>
      <c r="Q63" s="1493"/>
      <c r="R63" s="1493"/>
      <c r="S63" s="1493"/>
      <c r="T63" s="1493"/>
      <c r="U63" s="1493" t="s">
        <v>21</v>
      </c>
      <c r="V63" s="1493"/>
      <c r="W63" s="1493"/>
      <c r="X63" s="1493"/>
      <c r="Y63" s="1493"/>
      <c r="Z63" s="1493"/>
      <c r="AA63" s="1493"/>
      <c r="AB63" s="1493"/>
      <c r="AC63" s="1493"/>
      <c r="AM63" s="331"/>
      <c r="AN63" s="331"/>
      <c r="AO63" s="331"/>
      <c r="AP63" s="331"/>
      <c r="AQ63" s="331"/>
      <c r="AR63" s="331"/>
      <c r="AS63" s="331"/>
      <c r="AT63" s="331"/>
      <c r="AU63" s="331"/>
      <c r="AV63" s="332"/>
      <c r="AW63" s="332"/>
      <c r="AX63" s="332"/>
      <c r="AY63" s="332"/>
      <c r="AZ63" s="332"/>
      <c r="BA63" s="332"/>
      <c r="BB63" s="332"/>
      <c r="BC63" s="332"/>
      <c r="BD63" s="332"/>
    </row>
    <row r="64" spans="1:56" s="59" customFormat="1" ht="15" customHeight="1" x14ac:dyDescent="0.3">
      <c r="B64" s="1677" t="s">
        <v>1796</v>
      </c>
      <c r="C64" s="1339"/>
      <c r="D64" s="1339"/>
      <c r="E64" s="1339"/>
      <c r="F64" s="1339"/>
      <c r="G64" s="1339"/>
      <c r="H64" s="1339"/>
      <c r="I64" s="1339"/>
      <c r="J64" s="1339"/>
      <c r="K64" s="1340"/>
      <c r="L64" s="1675">
        <f>'EFLH &amp; CF'!I53</f>
        <v>2594</v>
      </c>
      <c r="M64" s="1675"/>
      <c r="N64" s="1675"/>
      <c r="O64" s="1675"/>
      <c r="P64" s="1675"/>
      <c r="Q64" s="1675"/>
      <c r="R64" s="1675"/>
      <c r="S64" s="1675"/>
      <c r="T64" s="1675"/>
      <c r="U64" s="1676">
        <f>'EFLH &amp; CF'!M53</f>
        <v>0.38</v>
      </c>
      <c r="V64" s="1676"/>
      <c r="W64" s="1676"/>
      <c r="X64" s="1676"/>
      <c r="Y64" s="1676"/>
      <c r="Z64" s="1676"/>
      <c r="AA64" s="1676"/>
      <c r="AB64" s="1676"/>
      <c r="AC64" s="1676"/>
      <c r="AM64" s="331"/>
      <c r="AN64" s="331"/>
      <c r="AO64" s="331"/>
      <c r="AP64" s="331"/>
      <c r="AQ64" s="331"/>
      <c r="AR64" s="331"/>
      <c r="AS64" s="331"/>
      <c r="AT64" s="331"/>
      <c r="AU64" s="331"/>
      <c r="AV64" s="331"/>
      <c r="AW64" s="331"/>
      <c r="AX64" s="331"/>
      <c r="AY64" s="331"/>
      <c r="AZ64" s="331"/>
      <c r="BA64" s="331"/>
      <c r="BB64" s="331"/>
      <c r="BC64" s="331"/>
      <c r="BD64" s="331"/>
    </row>
    <row r="65" spans="1:56" s="65" customFormat="1" ht="15.6" customHeight="1" x14ac:dyDescent="0.3">
      <c r="B65" s="1677" t="s">
        <v>211</v>
      </c>
      <c r="C65" s="1339"/>
      <c r="D65" s="1339"/>
      <c r="E65" s="1339"/>
      <c r="F65" s="1339"/>
      <c r="G65" s="1339"/>
      <c r="H65" s="1339"/>
      <c r="I65" s="1339"/>
      <c r="J65" s="1339"/>
      <c r="K65" s="1340"/>
      <c r="L65" s="1675" t="str">
        <f>'EFLH &amp; CF'!I54</f>
        <v>Varies</v>
      </c>
      <c r="M65" s="1675"/>
      <c r="N65" s="1675"/>
      <c r="O65" s="1675"/>
      <c r="P65" s="1675"/>
      <c r="Q65" s="1675"/>
      <c r="R65" s="1675"/>
      <c r="S65" s="1675"/>
      <c r="T65" s="1675"/>
      <c r="U65" s="1676" t="str">
        <f>'EFLH &amp; CF'!M54</f>
        <v>Varies</v>
      </c>
      <c r="V65" s="1676"/>
      <c r="W65" s="1676"/>
      <c r="X65" s="1676"/>
      <c r="Y65" s="1676"/>
      <c r="Z65" s="1676"/>
      <c r="AA65" s="1676"/>
      <c r="AB65" s="1676"/>
      <c r="AC65" s="1676"/>
      <c r="AD65" s="59"/>
      <c r="AE65" s="59"/>
      <c r="AF65" s="59"/>
      <c r="AG65" s="59"/>
      <c r="AM65" s="331"/>
      <c r="AN65" s="331"/>
      <c r="AO65" s="331"/>
      <c r="AP65" s="331"/>
      <c r="AQ65" s="331"/>
      <c r="AR65" s="331"/>
      <c r="AS65" s="331"/>
      <c r="AT65" s="331"/>
      <c r="AU65" s="331"/>
      <c r="AV65" s="332"/>
      <c r="AW65" s="332"/>
      <c r="AX65" s="332"/>
      <c r="AY65" s="332"/>
      <c r="AZ65" s="332"/>
      <c r="BA65" s="332"/>
      <c r="BB65" s="332"/>
      <c r="BC65" s="332"/>
      <c r="BD65" s="332"/>
    </row>
    <row r="66" spans="1:56" s="59" customFormat="1" ht="15" customHeight="1" x14ac:dyDescent="0.3">
      <c r="B66" s="1677" t="s">
        <v>212</v>
      </c>
      <c r="C66" s="1339"/>
      <c r="D66" s="1339"/>
      <c r="E66" s="1339"/>
      <c r="F66" s="1339"/>
      <c r="G66" s="1339"/>
      <c r="H66" s="1339"/>
      <c r="I66" s="1339"/>
      <c r="J66" s="1339"/>
      <c r="K66" s="1340"/>
      <c r="L66" s="1675">
        <f>'EFLH &amp; CF'!I55</f>
        <v>2549</v>
      </c>
      <c r="M66" s="1675"/>
      <c r="N66" s="1675"/>
      <c r="O66" s="1675"/>
      <c r="P66" s="1675"/>
      <c r="Q66" s="1675"/>
      <c r="R66" s="1675"/>
      <c r="S66" s="1675"/>
      <c r="T66" s="1675"/>
      <c r="U66" s="1676">
        <f>'EFLH &amp; CF'!M55</f>
        <v>0.43</v>
      </c>
      <c r="V66" s="1676"/>
      <c r="W66" s="1676"/>
      <c r="X66" s="1676"/>
      <c r="Y66" s="1676"/>
      <c r="Z66" s="1676"/>
      <c r="AA66" s="1676"/>
      <c r="AB66" s="1676"/>
      <c r="AC66" s="1676"/>
      <c r="AM66" s="331"/>
      <c r="AN66" s="331"/>
      <c r="AO66" s="331"/>
      <c r="AP66" s="331"/>
      <c r="AQ66" s="331"/>
      <c r="AR66" s="331"/>
      <c r="AS66" s="331"/>
      <c r="AT66" s="331"/>
      <c r="AU66" s="331"/>
      <c r="AV66" s="332"/>
      <c r="AW66" s="332"/>
      <c r="AX66" s="332"/>
      <c r="AY66" s="332"/>
      <c r="AZ66" s="332"/>
      <c r="BA66" s="332"/>
      <c r="BB66" s="332"/>
      <c r="BC66" s="332"/>
      <c r="BD66" s="332"/>
    </row>
    <row r="67" spans="1:56" s="59" customFormat="1" ht="15" customHeight="1" x14ac:dyDescent="0.3">
      <c r="B67" s="1677" t="s">
        <v>213</v>
      </c>
      <c r="C67" s="1339"/>
      <c r="D67" s="1339"/>
      <c r="E67" s="1339"/>
      <c r="F67" s="1339"/>
      <c r="G67" s="1339"/>
      <c r="H67" s="1339"/>
      <c r="I67" s="1339"/>
      <c r="J67" s="1339"/>
      <c r="K67" s="1340"/>
      <c r="L67" s="1675">
        <f>'EFLH &amp; CF'!I56</f>
        <v>1531</v>
      </c>
      <c r="M67" s="1675"/>
      <c r="N67" s="1675"/>
      <c r="O67" s="1675"/>
      <c r="P67" s="1675"/>
      <c r="Q67" s="1675"/>
      <c r="R67" s="1675"/>
      <c r="S67" s="1675"/>
      <c r="T67" s="1675"/>
      <c r="U67" s="1676">
        <f>'EFLH &amp; CF'!M56</f>
        <v>0.27</v>
      </c>
      <c r="V67" s="1676"/>
      <c r="W67" s="1676"/>
      <c r="X67" s="1676"/>
      <c r="Y67" s="1676"/>
      <c r="Z67" s="1676"/>
      <c r="AA67" s="1676"/>
      <c r="AB67" s="1676"/>
      <c r="AC67" s="1676"/>
      <c r="AM67" s="331"/>
      <c r="AN67" s="331"/>
      <c r="AO67" s="331"/>
      <c r="AP67" s="331"/>
      <c r="AQ67" s="331"/>
      <c r="AR67" s="331"/>
      <c r="AS67" s="331"/>
      <c r="AT67" s="331"/>
      <c r="AU67" s="331"/>
      <c r="AV67" s="332"/>
      <c r="AW67" s="332"/>
      <c r="AX67" s="332"/>
      <c r="AY67" s="332"/>
      <c r="AZ67" s="332"/>
      <c r="BA67" s="332"/>
      <c r="BB67" s="332"/>
      <c r="BC67" s="332"/>
      <c r="BD67" s="332"/>
    </row>
    <row r="68" spans="1:56" s="59" customFormat="1" ht="15" customHeight="1" x14ac:dyDescent="0.3">
      <c r="B68" s="1677" t="s">
        <v>214</v>
      </c>
      <c r="C68" s="1339"/>
      <c r="D68" s="1339"/>
      <c r="E68" s="1339"/>
      <c r="F68" s="1339"/>
      <c r="G68" s="1339"/>
      <c r="H68" s="1339"/>
      <c r="I68" s="1339"/>
      <c r="J68" s="1339"/>
      <c r="K68" s="1340"/>
      <c r="L68" s="1675">
        <f>'EFLH &amp; CF'!I57</f>
        <v>4891</v>
      </c>
      <c r="M68" s="1675"/>
      <c r="N68" s="1675"/>
      <c r="O68" s="1675"/>
      <c r="P68" s="1675"/>
      <c r="Q68" s="1675"/>
      <c r="R68" s="1675"/>
      <c r="S68" s="1675"/>
      <c r="T68" s="1675"/>
      <c r="U68" s="1676">
        <f>'EFLH &amp; CF'!M57</f>
        <v>0.55000000000000004</v>
      </c>
      <c r="V68" s="1676"/>
      <c r="W68" s="1676"/>
      <c r="X68" s="1676"/>
      <c r="Y68" s="1676"/>
      <c r="Z68" s="1676"/>
      <c r="AA68" s="1676"/>
      <c r="AB68" s="1676"/>
      <c r="AC68" s="1676"/>
      <c r="AM68" s="331"/>
      <c r="AN68" s="331"/>
      <c r="AO68" s="331"/>
      <c r="AP68" s="331"/>
      <c r="AQ68" s="331"/>
      <c r="AR68" s="331"/>
      <c r="AS68" s="331"/>
      <c r="AT68" s="331"/>
      <c r="AU68" s="331"/>
      <c r="AV68" s="332"/>
      <c r="AW68" s="332"/>
      <c r="AX68" s="332"/>
      <c r="AY68" s="332"/>
      <c r="AZ68" s="332"/>
      <c r="BA68" s="332"/>
      <c r="BB68" s="332"/>
      <c r="BC68" s="332"/>
      <c r="BD68" s="332"/>
    </row>
    <row r="69" spans="1:56" s="59" customFormat="1" ht="15" customHeight="1" x14ac:dyDescent="0.3">
      <c r="B69" s="1677" t="s">
        <v>215</v>
      </c>
      <c r="C69" s="1339"/>
      <c r="D69" s="1339"/>
      <c r="E69" s="1339"/>
      <c r="F69" s="1339"/>
      <c r="G69" s="1339"/>
      <c r="H69" s="1339"/>
      <c r="I69" s="1339"/>
      <c r="J69" s="1339"/>
      <c r="K69" s="1340"/>
      <c r="L69" s="1675">
        <f>'EFLH &amp; CF'!I58</f>
        <v>4910</v>
      </c>
      <c r="M69" s="1675"/>
      <c r="N69" s="1675"/>
      <c r="O69" s="1675"/>
      <c r="P69" s="1675"/>
      <c r="Q69" s="1675"/>
      <c r="R69" s="1675"/>
      <c r="S69" s="1675"/>
      <c r="T69" s="1675"/>
      <c r="U69" s="1676">
        <f>'EFLH &amp; CF'!M58</f>
        <v>0.6</v>
      </c>
      <c r="V69" s="1676"/>
      <c r="W69" s="1676"/>
      <c r="X69" s="1676"/>
      <c r="Y69" s="1676"/>
      <c r="Z69" s="1676"/>
      <c r="AA69" s="1676"/>
      <c r="AB69" s="1676"/>
      <c r="AC69" s="1676"/>
      <c r="AM69" s="331"/>
      <c r="AN69" s="331"/>
      <c r="AO69" s="331"/>
      <c r="AP69" s="331"/>
      <c r="AQ69" s="331"/>
      <c r="AR69" s="331"/>
      <c r="AS69" s="331"/>
      <c r="AT69" s="331"/>
      <c r="AU69" s="331"/>
      <c r="AV69" s="331"/>
      <c r="AW69" s="331"/>
      <c r="AX69" s="331"/>
      <c r="AY69" s="331"/>
      <c r="AZ69" s="331"/>
      <c r="BA69" s="331"/>
      <c r="BB69" s="331"/>
      <c r="BC69" s="331"/>
      <c r="BD69" s="331"/>
    </row>
    <row r="70" spans="1:56" s="65" customFormat="1" ht="14.4" customHeight="1" x14ac:dyDescent="0.3">
      <c r="B70" s="1677" t="s">
        <v>216</v>
      </c>
      <c r="C70" s="1339"/>
      <c r="D70" s="1339"/>
      <c r="E70" s="1339"/>
      <c r="F70" s="1339"/>
      <c r="G70" s="1339"/>
      <c r="H70" s="1339"/>
      <c r="I70" s="1339"/>
      <c r="J70" s="1339"/>
      <c r="K70" s="1340"/>
      <c r="L70" s="1675" t="str">
        <f>'EFLH &amp; CF'!I59</f>
        <v>Varies</v>
      </c>
      <c r="M70" s="1675"/>
      <c r="N70" s="1675"/>
      <c r="O70" s="1675"/>
      <c r="P70" s="1675"/>
      <c r="Q70" s="1675"/>
      <c r="R70" s="1675"/>
      <c r="S70" s="1675"/>
      <c r="T70" s="1675"/>
      <c r="U70" s="1676" t="str">
        <f>'EFLH &amp; CF'!M59</f>
        <v>Varies</v>
      </c>
      <c r="V70" s="1676"/>
      <c r="W70" s="1676"/>
      <c r="X70" s="1676"/>
      <c r="Y70" s="1676"/>
      <c r="Z70" s="1676"/>
      <c r="AA70" s="1676"/>
      <c r="AB70" s="1676"/>
      <c r="AC70" s="1676"/>
      <c r="AD70" s="59"/>
      <c r="AE70" s="59"/>
      <c r="AF70" s="59"/>
      <c r="AG70" s="59"/>
      <c r="AM70" s="331"/>
      <c r="AN70" s="331"/>
      <c r="AO70" s="331"/>
      <c r="AP70" s="331"/>
      <c r="AQ70" s="331"/>
      <c r="AR70" s="331"/>
      <c r="AS70" s="331"/>
      <c r="AT70" s="331"/>
      <c r="AU70" s="331"/>
      <c r="AV70" s="332"/>
      <c r="AW70" s="332"/>
      <c r="AX70" s="332"/>
      <c r="AY70" s="332"/>
      <c r="AZ70" s="332"/>
      <c r="BA70" s="332"/>
      <c r="BB70" s="332"/>
      <c r="BC70" s="332"/>
      <c r="BD70" s="332"/>
    </row>
    <row r="71" spans="1:56" s="59" customFormat="1" ht="15.6" customHeight="1" x14ac:dyDescent="0.3">
      <c r="B71" s="1677" t="s">
        <v>47</v>
      </c>
      <c r="C71" s="1339"/>
      <c r="D71" s="1339"/>
      <c r="E71" s="1339"/>
      <c r="F71" s="1339"/>
      <c r="G71" s="1339"/>
      <c r="H71" s="1339"/>
      <c r="I71" s="1339"/>
      <c r="J71" s="1339"/>
      <c r="K71" s="1340"/>
      <c r="L71" s="1675">
        <f>'EFLH &amp; CF'!I60</f>
        <v>2754</v>
      </c>
      <c r="M71" s="1675"/>
      <c r="N71" s="1675"/>
      <c r="O71" s="1675"/>
      <c r="P71" s="1675"/>
      <c r="Q71" s="1675"/>
      <c r="R71" s="1675"/>
      <c r="S71" s="1675"/>
      <c r="T71" s="1675"/>
      <c r="U71" s="1676">
        <f>'EFLH &amp; CF'!M60</f>
        <v>0.48</v>
      </c>
      <c r="V71" s="1676"/>
      <c r="W71" s="1676"/>
      <c r="X71" s="1676"/>
      <c r="Y71" s="1676"/>
      <c r="Z71" s="1676"/>
      <c r="AA71" s="1676"/>
      <c r="AB71" s="1676"/>
      <c r="AC71" s="1676"/>
      <c r="AM71" s="331"/>
      <c r="AN71" s="331"/>
      <c r="AO71" s="331"/>
      <c r="AP71" s="331"/>
      <c r="AQ71" s="331"/>
      <c r="AR71" s="331"/>
      <c r="AS71" s="331"/>
      <c r="AT71" s="331"/>
      <c r="AU71" s="331"/>
      <c r="AV71" s="332"/>
      <c r="AW71" s="332"/>
      <c r="AX71" s="332"/>
      <c r="AY71" s="332"/>
      <c r="AZ71" s="332"/>
      <c r="BA71" s="332"/>
      <c r="BB71" s="332"/>
      <c r="BC71" s="332"/>
      <c r="BD71" s="332"/>
    </row>
    <row r="72" spans="1:56" s="59" customFormat="1" ht="15.6" customHeight="1" x14ac:dyDescent="0.3">
      <c r="B72" s="1677" t="s">
        <v>217</v>
      </c>
      <c r="C72" s="1339"/>
      <c r="D72" s="1339"/>
      <c r="E72" s="1339"/>
      <c r="F72" s="1339"/>
      <c r="G72" s="1339"/>
      <c r="H72" s="1339"/>
      <c r="I72" s="1339"/>
      <c r="J72" s="1339"/>
      <c r="K72" s="1340"/>
      <c r="L72" s="1675">
        <f>'EFLH &amp; CF'!I61</f>
        <v>2451</v>
      </c>
      <c r="M72" s="1675"/>
      <c r="N72" s="1675"/>
      <c r="O72" s="1675"/>
      <c r="P72" s="1675"/>
      <c r="Q72" s="1675"/>
      <c r="R72" s="1675"/>
      <c r="S72" s="1675"/>
      <c r="T72" s="1675"/>
      <c r="U72" s="1676">
        <f>'EFLH &amp; CF'!M61</f>
        <v>0.4</v>
      </c>
      <c r="V72" s="1676"/>
      <c r="W72" s="1676"/>
      <c r="X72" s="1676"/>
      <c r="Y72" s="1676"/>
      <c r="Z72" s="1676"/>
      <c r="AA72" s="1676"/>
      <c r="AB72" s="1676"/>
      <c r="AC72" s="1676"/>
      <c r="AM72" s="331"/>
      <c r="AN72" s="331"/>
      <c r="AO72" s="331"/>
      <c r="AP72" s="331"/>
      <c r="AQ72" s="331"/>
      <c r="AR72" s="331"/>
      <c r="AS72" s="331"/>
      <c r="AT72" s="331"/>
      <c r="AU72" s="331"/>
      <c r="AV72" s="332"/>
      <c r="AW72" s="332"/>
      <c r="AX72" s="332"/>
      <c r="AY72" s="332"/>
      <c r="AZ72" s="332"/>
      <c r="BA72" s="332"/>
      <c r="BB72" s="332"/>
      <c r="BC72" s="332"/>
      <c r="BD72" s="332"/>
    </row>
    <row r="73" spans="1:56" s="59" customFormat="1" ht="15.6" customHeight="1" x14ac:dyDescent="0.3">
      <c r="B73" s="1677" t="s">
        <v>218</v>
      </c>
      <c r="C73" s="1339"/>
      <c r="D73" s="1339"/>
      <c r="E73" s="1339"/>
      <c r="F73" s="1339"/>
      <c r="G73" s="1339"/>
      <c r="H73" s="1339"/>
      <c r="I73" s="1339"/>
      <c r="J73" s="1339"/>
      <c r="K73" s="1340"/>
      <c r="L73" s="1675">
        <f>'EFLH &amp; CF'!I62</f>
        <v>1913</v>
      </c>
      <c r="M73" s="1675"/>
      <c r="N73" s="1675"/>
      <c r="O73" s="1675"/>
      <c r="P73" s="1675"/>
      <c r="Q73" s="1675"/>
      <c r="R73" s="1675"/>
      <c r="S73" s="1675"/>
      <c r="T73" s="1675"/>
      <c r="U73" s="1676">
        <f>'EFLH &amp; CF'!M62</f>
        <v>0.28999999999999998</v>
      </c>
      <c r="V73" s="1676"/>
      <c r="W73" s="1676"/>
      <c r="X73" s="1676"/>
      <c r="Y73" s="1676"/>
      <c r="Z73" s="1676"/>
      <c r="AA73" s="1676"/>
      <c r="AB73" s="1676"/>
      <c r="AC73" s="1676"/>
      <c r="AM73" s="331"/>
      <c r="AN73" s="331"/>
      <c r="AO73" s="331"/>
      <c r="AP73" s="331"/>
      <c r="AQ73" s="331"/>
      <c r="AR73" s="331"/>
      <c r="AS73" s="331"/>
      <c r="AT73" s="331"/>
      <c r="AU73" s="331"/>
      <c r="AV73" s="332"/>
      <c r="AW73" s="332"/>
      <c r="AX73" s="332"/>
      <c r="AY73" s="332"/>
      <c r="AZ73" s="332"/>
      <c r="BA73" s="332"/>
      <c r="BB73" s="332"/>
      <c r="BC73" s="332"/>
      <c r="BD73" s="332"/>
    </row>
    <row r="74" spans="1:56" s="65" customFormat="1" ht="15.6" customHeight="1" x14ac:dyDescent="0.3">
      <c r="B74" s="1677" t="s">
        <v>219</v>
      </c>
      <c r="C74" s="1339"/>
      <c r="D74" s="1339"/>
      <c r="E74" s="1339"/>
      <c r="F74" s="1339"/>
      <c r="G74" s="1339"/>
      <c r="H74" s="1339"/>
      <c r="I74" s="1339"/>
      <c r="J74" s="1339"/>
      <c r="K74" s="1340"/>
      <c r="L74" s="1675">
        <f>'EFLH &amp; CF'!I63</f>
        <v>1033</v>
      </c>
      <c r="M74" s="1675"/>
      <c r="N74" s="1675"/>
      <c r="O74" s="1675"/>
      <c r="P74" s="1675"/>
      <c r="Q74" s="1675"/>
      <c r="R74" s="1675"/>
      <c r="S74" s="1675"/>
      <c r="T74" s="1675"/>
      <c r="U74" s="1676">
        <f>'EFLH &amp; CF'!M63</f>
        <v>0.01</v>
      </c>
      <c r="V74" s="1676"/>
      <c r="W74" s="1676"/>
      <c r="X74" s="1676"/>
      <c r="Y74" s="1676"/>
      <c r="Z74" s="1676"/>
      <c r="AA74" s="1676"/>
      <c r="AB74" s="1676"/>
      <c r="AC74" s="1676"/>
      <c r="AD74" s="59"/>
      <c r="AE74" s="59"/>
      <c r="AF74" s="59"/>
      <c r="AG74" s="59"/>
    </row>
    <row r="75" spans="1:56" s="65" customFormat="1" ht="15.6" customHeight="1" x14ac:dyDescent="0.3">
      <c r="B75" s="318" t="s">
        <v>2521</v>
      </c>
      <c r="C75" s="61"/>
      <c r="D75" s="61"/>
      <c r="E75" s="61"/>
      <c r="F75" s="61"/>
      <c r="G75" s="61"/>
      <c r="H75" s="61"/>
      <c r="I75" s="61"/>
      <c r="J75" s="61"/>
      <c r="K75" s="61"/>
      <c r="L75" s="345"/>
      <c r="M75" s="345"/>
      <c r="N75" s="345"/>
      <c r="O75" s="345"/>
      <c r="P75" s="345"/>
      <c r="Q75" s="345"/>
      <c r="R75" s="345"/>
      <c r="S75" s="345"/>
      <c r="T75" s="345"/>
      <c r="U75" s="346"/>
      <c r="V75" s="346"/>
      <c r="W75" s="346"/>
      <c r="X75" s="346"/>
      <c r="Y75" s="346"/>
      <c r="Z75" s="346"/>
      <c r="AA75" s="346"/>
      <c r="AB75" s="346"/>
      <c r="AC75" s="346"/>
      <c r="AD75" s="59"/>
      <c r="AE75" s="59"/>
      <c r="AF75" s="59"/>
      <c r="AG75" s="59"/>
    </row>
    <row r="76" spans="1:56" s="65" customFormat="1" ht="14.4" customHeight="1" x14ac:dyDescent="0.3">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row>
    <row r="77" spans="1:56" s="59" customFormat="1" ht="14.4" customHeight="1" x14ac:dyDescent="0.3">
      <c r="A77" s="1290" t="s">
        <v>2715</v>
      </c>
      <c r="B77" s="1290"/>
      <c r="C77" s="1290"/>
      <c r="D77" s="1290"/>
      <c r="E77" s="1290"/>
      <c r="F77" s="1290"/>
      <c r="G77" s="1290"/>
      <c r="H77" s="1290"/>
      <c r="I77" s="1290"/>
      <c r="J77" s="1290"/>
      <c r="K77" s="1290"/>
      <c r="L77" s="1290"/>
      <c r="M77" s="1290"/>
      <c r="N77" s="1290"/>
      <c r="O77" s="1290"/>
      <c r="P77" s="1290"/>
      <c r="Q77" s="1290"/>
      <c r="R77" s="1290"/>
      <c r="S77" s="1290"/>
      <c r="T77" s="1290"/>
      <c r="U77" s="1290"/>
      <c r="V77" s="1290"/>
      <c r="W77" s="1290"/>
      <c r="X77" s="1290"/>
      <c r="Y77" s="1290"/>
      <c r="Z77" s="1290"/>
      <c r="AA77" s="1290"/>
      <c r="AB77" s="1290"/>
      <c r="AC77" s="1290"/>
      <c r="AD77" s="1290"/>
      <c r="AE77" s="1290"/>
      <c r="AF77" s="1290"/>
    </row>
    <row r="78" spans="1:56" s="59" customFormat="1" ht="14.4" customHeight="1" x14ac:dyDescent="0.3">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56" s="59" customFormat="1" ht="39" customHeight="1" x14ac:dyDescent="0.3">
      <c r="A79" s="328">
        <v>1</v>
      </c>
      <c r="B79" s="884" t="s">
        <v>2498</v>
      </c>
      <c r="C79" s="884"/>
      <c r="D79" s="884"/>
      <c r="E79" s="884"/>
      <c r="F79" s="884"/>
      <c r="G79" s="884"/>
      <c r="H79" s="884"/>
      <c r="I79" s="884"/>
      <c r="J79" s="884"/>
      <c r="K79" s="884"/>
      <c r="L79" s="884"/>
      <c r="M79" s="884"/>
      <c r="N79" s="884"/>
      <c r="O79" s="884"/>
      <c r="P79" s="884"/>
      <c r="Q79" s="884"/>
      <c r="R79" s="884"/>
      <c r="S79" s="884"/>
      <c r="T79" s="884"/>
      <c r="U79" s="884"/>
      <c r="V79" s="884"/>
      <c r="W79" s="884"/>
      <c r="X79" s="884"/>
      <c r="Y79" s="884"/>
      <c r="Z79" s="884"/>
      <c r="AA79" s="884"/>
      <c r="AB79" s="884"/>
      <c r="AC79" s="884"/>
      <c r="AD79" s="884"/>
      <c r="AE79" s="884"/>
      <c r="AF79" s="884"/>
    </row>
    <row r="80" spans="1:56" s="59" customFormat="1" ht="66.75" customHeight="1" x14ac:dyDescent="0.3">
      <c r="A80" s="328">
        <v>2</v>
      </c>
      <c r="B80" s="884" t="s">
        <v>2854</v>
      </c>
      <c r="C80" s="884"/>
      <c r="D80" s="884"/>
      <c r="E80" s="884"/>
      <c r="F80" s="884"/>
      <c r="G80" s="884"/>
      <c r="H80" s="884"/>
      <c r="I80" s="884"/>
      <c r="J80" s="884"/>
      <c r="K80" s="884"/>
      <c r="L80" s="884"/>
      <c r="M80" s="884"/>
      <c r="N80" s="884"/>
      <c r="O80" s="884"/>
      <c r="P80" s="884"/>
      <c r="Q80" s="884"/>
      <c r="R80" s="884"/>
      <c r="S80" s="884"/>
      <c r="T80" s="884"/>
      <c r="U80" s="884"/>
      <c r="V80" s="884"/>
      <c r="W80" s="884"/>
      <c r="X80" s="884"/>
      <c r="Y80" s="884"/>
      <c r="Z80" s="884"/>
      <c r="AA80" s="884"/>
      <c r="AB80" s="884"/>
      <c r="AC80" s="884"/>
      <c r="AD80" s="884"/>
      <c r="AE80" s="884"/>
      <c r="AF80" s="884"/>
    </row>
    <row r="81" spans="1:73" s="59" customFormat="1" ht="174" customHeight="1" x14ac:dyDescent="0.3">
      <c r="A81" s="328">
        <v>3</v>
      </c>
      <c r="B81" s="884" t="s">
        <v>2811</v>
      </c>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row>
    <row r="82" spans="1:73" s="59" customFormat="1" ht="66.75" customHeight="1" x14ac:dyDescent="0.3">
      <c r="A82" s="328">
        <v>4</v>
      </c>
      <c r="B82" s="884" t="s">
        <v>2501</v>
      </c>
      <c r="C82" s="884"/>
      <c r="D82" s="884"/>
      <c r="E82" s="884"/>
      <c r="F82" s="884"/>
      <c r="G82" s="884"/>
      <c r="H82" s="884"/>
      <c r="I82" s="884"/>
      <c r="J82" s="884"/>
      <c r="K82" s="884"/>
      <c r="L82" s="884"/>
      <c r="M82" s="884"/>
      <c r="N82" s="884"/>
      <c r="O82" s="884"/>
      <c r="P82" s="884"/>
      <c r="Q82" s="884"/>
      <c r="R82" s="884"/>
      <c r="S82" s="884"/>
      <c r="T82" s="884"/>
      <c r="U82" s="884"/>
      <c r="V82" s="884"/>
      <c r="W82" s="884"/>
      <c r="X82" s="884"/>
      <c r="Y82" s="884"/>
      <c r="Z82" s="884"/>
      <c r="AA82" s="884"/>
      <c r="AB82" s="884"/>
      <c r="AC82" s="884"/>
      <c r="AD82" s="884"/>
      <c r="AE82" s="884"/>
      <c r="AF82" s="884"/>
    </row>
    <row r="83" spans="1:73" s="59" customFormat="1" ht="14.4" customHeight="1" x14ac:dyDescent="0.3"/>
    <row r="84" spans="1:73" s="59" customFormat="1" x14ac:dyDescent="0.3">
      <c r="A84" s="1290" t="s">
        <v>2716</v>
      </c>
      <c r="B84" s="1290"/>
      <c r="C84" s="1290"/>
      <c r="D84" s="1290"/>
      <c r="E84" s="1290"/>
      <c r="F84" s="1290"/>
      <c r="G84" s="1290"/>
      <c r="H84" s="1290"/>
      <c r="I84" s="1290"/>
      <c r="J84" s="1290"/>
      <c r="K84" s="1290"/>
      <c r="L84" s="1290"/>
      <c r="M84" s="1290"/>
      <c r="N84" s="1290"/>
      <c r="O84" s="1290"/>
      <c r="P84" s="1290"/>
      <c r="Q84" s="1290"/>
      <c r="R84" s="1290"/>
      <c r="S84" s="1290"/>
      <c r="T84" s="1290"/>
      <c r="U84" s="1290"/>
      <c r="V84" s="1290"/>
      <c r="W84" s="1290"/>
      <c r="X84" s="1290"/>
      <c r="Y84" s="1290"/>
      <c r="Z84" s="1290"/>
      <c r="AA84" s="1290"/>
      <c r="AB84" s="1290"/>
      <c r="AC84" s="1290"/>
      <c r="AD84" s="1290"/>
      <c r="AE84" s="1290"/>
      <c r="AF84" s="1290"/>
    </row>
    <row r="85" spans="1:73" s="59" customFormat="1" x14ac:dyDescent="0.3">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row>
    <row r="86" spans="1:73" s="59" customFormat="1" ht="68.25" customHeight="1" x14ac:dyDescent="0.3">
      <c r="A86" s="368" t="s">
        <v>803</v>
      </c>
      <c r="B86" s="884" t="s">
        <v>5221</v>
      </c>
      <c r="C86" s="884"/>
      <c r="D86" s="884"/>
      <c r="E86" s="884"/>
      <c r="F86" s="884"/>
      <c r="G86" s="884"/>
      <c r="H86" s="884"/>
      <c r="I86" s="884"/>
      <c r="J86" s="884"/>
      <c r="K86" s="884"/>
      <c r="L86" s="884"/>
      <c r="M86" s="884"/>
      <c r="N86" s="884"/>
      <c r="O86" s="884"/>
      <c r="P86" s="884"/>
      <c r="Q86" s="884"/>
      <c r="R86" s="884"/>
      <c r="S86" s="884"/>
      <c r="T86" s="884"/>
      <c r="U86" s="884"/>
      <c r="V86" s="884"/>
      <c r="W86" s="884"/>
      <c r="X86" s="884"/>
      <c r="Y86" s="884"/>
      <c r="Z86" s="884"/>
      <c r="AA86" s="884"/>
      <c r="AB86" s="884"/>
      <c r="AC86" s="884"/>
      <c r="AD86" s="884"/>
      <c r="AE86" s="884"/>
      <c r="AF86" s="884"/>
    </row>
    <row r="87" spans="1:73" s="553" customFormat="1" ht="35.25" customHeight="1" x14ac:dyDescent="0.3">
      <c r="A87" s="370" t="s">
        <v>803</v>
      </c>
      <c r="B87" s="884" t="s">
        <v>5222</v>
      </c>
      <c r="C87" s="884"/>
      <c r="D87" s="884"/>
      <c r="E87" s="884"/>
      <c r="F87" s="884"/>
      <c r="G87" s="884"/>
      <c r="H87" s="884"/>
      <c r="I87" s="884"/>
      <c r="J87" s="884"/>
      <c r="K87" s="884"/>
      <c r="L87" s="884"/>
      <c r="M87" s="884"/>
      <c r="N87" s="884"/>
      <c r="O87" s="884"/>
      <c r="P87" s="884"/>
      <c r="Q87" s="884"/>
      <c r="R87" s="884"/>
      <c r="S87" s="884"/>
      <c r="T87" s="884"/>
      <c r="U87" s="884"/>
      <c r="V87" s="884"/>
      <c r="W87" s="884"/>
      <c r="X87" s="884"/>
      <c r="Y87" s="884"/>
      <c r="Z87" s="884"/>
      <c r="AA87" s="884"/>
      <c r="AB87" s="884"/>
      <c r="AC87" s="884"/>
      <c r="AD87" s="884"/>
      <c r="AE87" s="884"/>
      <c r="AF87" s="884"/>
      <c r="AG87" s="59"/>
      <c r="AH87" s="59"/>
      <c r="AI87" s="59"/>
      <c r="AJ87" s="59"/>
      <c r="AK87" s="5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s="553" customFormat="1" ht="66.75" customHeight="1" x14ac:dyDescent="0.3">
      <c r="A88" s="370" t="s">
        <v>803</v>
      </c>
      <c r="B88" s="884" t="s">
        <v>2501</v>
      </c>
      <c r="C88" s="884"/>
      <c r="D88" s="884"/>
      <c r="E88" s="884"/>
      <c r="F88" s="884"/>
      <c r="G88" s="884"/>
      <c r="H88" s="884"/>
      <c r="I88" s="884"/>
      <c r="J88" s="884"/>
      <c r="K88" s="884"/>
      <c r="L88" s="884"/>
      <c r="M88" s="884"/>
      <c r="N88" s="884"/>
      <c r="O88" s="884"/>
      <c r="P88" s="884"/>
      <c r="Q88" s="884"/>
      <c r="R88" s="884"/>
      <c r="S88" s="884"/>
      <c r="T88" s="884"/>
      <c r="U88" s="884"/>
      <c r="V88" s="884"/>
      <c r="W88" s="884"/>
      <c r="X88" s="884"/>
      <c r="Y88" s="884"/>
      <c r="Z88" s="884"/>
      <c r="AA88" s="884"/>
      <c r="AB88" s="884"/>
      <c r="AC88" s="884"/>
      <c r="AD88" s="884"/>
      <c r="AE88" s="884"/>
      <c r="AF88" s="884"/>
      <c r="AG88" s="59"/>
      <c r="AH88" s="59"/>
      <c r="AI88" s="59"/>
      <c r="AJ88" s="59"/>
      <c r="AK88" s="5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s="59" customFormat="1" ht="61.5" customHeight="1" x14ac:dyDescent="0.3">
      <c r="A89" s="370" t="s">
        <v>803</v>
      </c>
      <c r="B89" s="884" t="s">
        <v>2717</v>
      </c>
      <c r="C89" s="884"/>
      <c r="D89" s="884"/>
      <c r="E89" s="884"/>
      <c r="F89" s="884"/>
      <c r="G89" s="884"/>
      <c r="H89" s="884"/>
      <c r="I89" s="884"/>
      <c r="J89" s="884"/>
      <c r="K89" s="884"/>
      <c r="L89" s="884"/>
      <c r="M89" s="884"/>
      <c r="N89" s="884"/>
      <c r="O89" s="884"/>
      <c r="P89" s="884"/>
      <c r="Q89" s="884"/>
      <c r="R89" s="884"/>
      <c r="S89" s="884"/>
      <c r="T89" s="884"/>
      <c r="U89" s="884"/>
      <c r="V89" s="884"/>
      <c r="W89" s="884"/>
      <c r="X89" s="884"/>
      <c r="Y89" s="884"/>
      <c r="Z89" s="884"/>
      <c r="AA89" s="884"/>
      <c r="AB89" s="884"/>
      <c r="AC89" s="884"/>
      <c r="AD89" s="884"/>
      <c r="AE89" s="884"/>
      <c r="AF89" s="884"/>
    </row>
    <row r="90" spans="1:73" s="59" customFormat="1" ht="34.5" customHeight="1" x14ac:dyDescent="0.3">
      <c r="A90" s="370" t="s">
        <v>803</v>
      </c>
      <c r="B90" s="884" t="s">
        <v>2499</v>
      </c>
      <c r="C90" s="884"/>
      <c r="D90" s="884"/>
      <c r="E90" s="884"/>
      <c r="F90" s="884"/>
      <c r="G90" s="884"/>
      <c r="H90" s="884"/>
      <c r="I90" s="884"/>
      <c r="J90" s="884"/>
      <c r="K90" s="884"/>
      <c r="L90" s="884"/>
      <c r="M90" s="884"/>
      <c r="N90" s="884"/>
      <c r="O90" s="884"/>
      <c r="P90" s="884"/>
      <c r="Q90" s="884"/>
      <c r="R90" s="884"/>
      <c r="S90" s="884"/>
      <c r="T90" s="884"/>
      <c r="U90" s="884"/>
      <c r="V90" s="884"/>
      <c r="W90" s="884"/>
      <c r="X90" s="884"/>
      <c r="Y90" s="884"/>
      <c r="Z90" s="884"/>
      <c r="AA90" s="884"/>
      <c r="AB90" s="884"/>
      <c r="AC90" s="884"/>
      <c r="AD90" s="884"/>
      <c r="AE90" s="884"/>
      <c r="AF90" s="884"/>
    </row>
    <row r="91" spans="1:73" s="59" customFormat="1" ht="34.5" customHeight="1" x14ac:dyDescent="0.3">
      <c r="A91" s="370" t="s">
        <v>803</v>
      </c>
      <c r="B91" s="884" t="s">
        <v>2500</v>
      </c>
      <c r="C91" s="884"/>
      <c r="D91" s="884"/>
      <c r="E91" s="884"/>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row>
    <row r="92" spans="1:73" s="553" customFormat="1" ht="63.75" customHeight="1" x14ac:dyDescent="0.3">
      <c r="A92" s="370" t="s">
        <v>803</v>
      </c>
      <c r="B92" s="884" t="s">
        <v>5223</v>
      </c>
      <c r="C92" s="884"/>
      <c r="D92" s="884"/>
      <c r="E92" s="884"/>
      <c r="F92" s="884"/>
      <c r="G92" s="884"/>
      <c r="H92" s="884"/>
      <c r="I92" s="884"/>
      <c r="J92" s="884"/>
      <c r="K92" s="884"/>
      <c r="L92" s="884"/>
      <c r="M92" s="884"/>
      <c r="N92" s="884"/>
      <c r="O92" s="884"/>
      <c r="P92" s="884"/>
      <c r="Q92" s="884"/>
      <c r="R92" s="884"/>
      <c r="S92" s="884"/>
      <c r="T92" s="884"/>
      <c r="U92" s="884"/>
      <c r="V92" s="884"/>
      <c r="W92" s="884"/>
      <c r="X92" s="884"/>
      <c r="Y92" s="884"/>
      <c r="Z92" s="884"/>
      <c r="AA92" s="884"/>
      <c r="AB92" s="884"/>
      <c r="AC92" s="884"/>
      <c r="AD92" s="884"/>
      <c r="AE92" s="884"/>
      <c r="AF92" s="884"/>
      <c r="AG92" s="59"/>
      <c r="AH92" s="59"/>
      <c r="AI92" s="59"/>
      <c r="AJ92" s="59"/>
      <c r="AK92" s="5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s="553" customFormat="1" ht="36" customHeight="1" x14ac:dyDescent="0.3">
      <c r="A93" s="370" t="s">
        <v>803</v>
      </c>
      <c r="B93" s="884" t="s">
        <v>2498</v>
      </c>
      <c r="C93" s="884"/>
      <c r="D93" s="884"/>
      <c r="E93" s="884"/>
      <c r="F93" s="884"/>
      <c r="G93" s="884"/>
      <c r="H93" s="884"/>
      <c r="I93" s="884"/>
      <c r="J93" s="884"/>
      <c r="K93" s="884"/>
      <c r="L93" s="884"/>
      <c r="M93" s="884"/>
      <c r="N93" s="884"/>
      <c r="O93" s="884"/>
      <c r="P93" s="884"/>
      <c r="Q93" s="884"/>
      <c r="R93" s="884"/>
      <c r="S93" s="884"/>
      <c r="T93" s="884"/>
      <c r="U93" s="884"/>
      <c r="V93" s="884"/>
      <c r="W93" s="884"/>
      <c r="X93" s="884"/>
      <c r="Y93" s="884"/>
      <c r="Z93" s="884"/>
      <c r="AA93" s="884"/>
      <c r="AB93" s="884"/>
      <c r="AC93" s="884"/>
      <c r="AD93" s="884"/>
      <c r="AE93" s="884"/>
      <c r="AF93" s="884"/>
      <c r="AG93" s="59"/>
      <c r="AH93" s="59"/>
      <c r="AI93" s="59"/>
      <c r="AJ93" s="59"/>
      <c r="AK93" s="5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s="59" customFormat="1" x14ac:dyDescent="0.3"/>
    <row r="95" spans="1:73" s="59" customFormat="1" x14ac:dyDescent="0.3"/>
    <row r="96" spans="1:73" s="59" customFormat="1" x14ac:dyDescent="0.3"/>
    <row r="97" s="59" customFormat="1" x14ac:dyDescent="0.3"/>
    <row r="98" s="59" customFormat="1" x14ac:dyDescent="0.3"/>
    <row r="99" s="59" customFormat="1" x14ac:dyDescent="0.3"/>
    <row r="100" s="59" customFormat="1" x14ac:dyDescent="0.3"/>
    <row r="101" s="59" customFormat="1" x14ac:dyDescent="0.3"/>
    <row r="102" s="59" customFormat="1" x14ac:dyDescent="0.3"/>
    <row r="103" s="59" customFormat="1" x14ac:dyDescent="0.3"/>
    <row r="104" s="59" customFormat="1" x14ac:dyDescent="0.3"/>
    <row r="105" s="59" customFormat="1" x14ac:dyDescent="0.3"/>
    <row r="106" s="59" customFormat="1" x14ac:dyDescent="0.3"/>
    <row r="107" s="59" customFormat="1" x14ac:dyDescent="0.3"/>
    <row r="108" s="59" customFormat="1" x14ac:dyDescent="0.3"/>
    <row r="109" s="59" customFormat="1" x14ac:dyDescent="0.3"/>
    <row r="110" s="59" customFormat="1" x14ac:dyDescent="0.3"/>
    <row r="111" s="59" customFormat="1" x14ac:dyDescent="0.3"/>
    <row r="112" s="59" customFormat="1" x14ac:dyDescent="0.3"/>
    <row r="113" s="59" customFormat="1" x14ac:dyDescent="0.3"/>
    <row r="114" s="59" customFormat="1" x14ac:dyDescent="0.3"/>
    <row r="115" s="59" customFormat="1" x14ac:dyDescent="0.3"/>
    <row r="116" s="59" customFormat="1" x14ac:dyDescent="0.3"/>
    <row r="117" s="59" customFormat="1" x14ac:dyDescent="0.3"/>
    <row r="118" s="59" customFormat="1" x14ac:dyDescent="0.3"/>
    <row r="119" s="59" customFormat="1" x14ac:dyDescent="0.3"/>
    <row r="120" s="59" customFormat="1" x14ac:dyDescent="0.3"/>
    <row r="121" s="59" customFormat="1" x14ac:dyDescent="0.3"/>
    <row r="122" s="59" customFormat="1" x14ac:dyDescent="0.3"/>
    <row r="123" s="59" customFormat="1" x14ac:dyDescent="0.3"/>
    <row r="124" s="59" customFormat="1" x14ac:dyDescent="0.3"/>
    <row r="125" s="59" customFormat="1" x14ac:dyDescent="0.3"/>
    <row r="126" s="59" customFormat="1" x14ac:dyDescent="0.3"/>
    <row r="127" s="59" customFormat="1" x14ac:dyDescent="0.3"/>
    <row r="128" s="59" customFormat="1" x14ac:dyDescent="0.3"/>
    <row r="129" spans="1:32" s="59" customFormat="1" x14ac:dyDescent="0.3"/>
    <row r="130" spans="1:32" s="8" customFormat="1" x14ac:dyDescent="0.3"/>
    <row r="131" spans="1:32" s="8" customFormat="1" x14ac:dyDescent="0.3"/>
    <row r="132" spans="1:32" s="8" customFormat="1" x14ac:dyDescent="0.3"/>
    <row r="133" spans="1:32" s="8" customFormat="1" x14ac:dyDescent="0.3"/>
    <row r="134" spans="1:32" s="8" customFormat="1" x14ac:dyDescent="0.3"/>
    <row r="135" spans="1:32" s="8" customFormat="1" x14ac:dyDescent="0.3"/>
    <row r="136" spans="1:32" s="8" customFormat="1" x14ac:dyDescent="0.3"/>
    <row r="137" spans="1:32" x14ac:dyDescent="0.3">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x14ac:dyDescent="0.3">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x14ac:dyDescent="0.3">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x14ac:dyDescent="0.3">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x14ac:dyDescent="0.3">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x14ac:dyDescent="0.3">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x14ac:dyDescent="0.3">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x14ac:dyDescent="0.3">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x14ac:dyDescent="0.3">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x14ac:dyDescent="0.3">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x14ac:dyDescent="0.3">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x14ac:dyDescent="0.3">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x14ac:dyDescent="0.3">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x14ac:dyDescent="0.3">
      <c r="A156" s="53"/>
      <c r="B156" s="53"/>
      <c r="C156" s="53"/>
      <c r="D156" s="53"/>
      <c r="E156" s="53"/>
      <c r="F156" s="53"/>
      <c r="G156" s="53"/>
      <c r="H156" s="53"/>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x14ac:dyDescent="0.3">
      <c r="A157" s="112"/>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sheetData>
  <sheetProtection algorithmName="SHA-512" hashValue="Rm3IUOWAMQkEN9etE/fN02SDxkyAhixup93w7Iy1PH/OhO8msl/Jf7HKHA4TfpLgvZYLuP40q0aumVbfMMYydQ==" saltValue="jaQ9KSoIx2VQhKsG3QaQhA==" spinCount="100000" sheet="1" objects="1" scenarios="1"/>
  <mergeCells count="112">
    <mergeCell ref="B92:AF92"/>
    <mergeCell ref="B93:AF93"/>
    <mergeCell ref="U54:W54"/>
    <mergeCell ref="X54:AF54"/>
    <mergeCell ref="B65:K65"/>
    <mergeCell ref="B66:K66"/>
    <mergeCell ref="B67:K67"/>
    <mergeCell ref="B68:K68"/>
    <mergeCell ref="B69:K69"/>
    <mergeCell ref="B70:K70"/>
    <mergeCell ref="B71:K71"/>
    <mergeCell ref="L70:T70"/>
    <mergeCell ref="U70:AC70"/>
    <mergeCell ref="L67:T67"/>
    <mergeCell ref="U67:AC67"/>
    <mergeCell ref="L68:T68"/>
    <mergeCell ref="U68:AC68"/>
    <mergeCell ref="L64:T64"/>
    <mergeCell ref="U64:AC64"/>
    <mergeCell ref="L66:T66"/>
    <mergeCell ref="U66:AC66"/>
    <mergeCell ref="B91:AF91"/>
    <mergeCell ref="L71:T71"/>
    <mergeCell ref="U71:AC71"/>
    <mergeCell ref="B5:AF5"/>
    <mergeCell ref="B12:AF12"/>
    <mergeCell ref="B25:AF27"/>
    <mergeCell ref="A58:M58"/>
    <mergeCell ref="N58:V58"/>
    <mergeCell ref="B63:K63"/>
    <mergeCell ref="A7:AF7"/>
    <mergeCell ref="B19:AF19"/>
    <mergeCell ref="B22:AF22"/>
    <mergeCell ref="B15:AF16"/>
    <mergeCell ref="A57:AF57"/>
    <mergeCell ref="B60:AF60"/>
    <mergeCell ref="L63:T63"/>
    <mergeCell ref="U63:AC63"/>
    <mergeCell ref="A54:D54"/>
    <mergeCell ref="E54:P54"/>
    <mergeCell ref="Q54:T54"/>
    <mergeCell ref="A31:AF31"/>
    <mergeCell ref="A45:AF45"/>
    <mergeCell ref="B29:AF29"/>
    <mergeCell ref="Q46:T46"/>
    <mergeCell ref="X51:AF51"/>
    <mergeCell ref="A50:D50"/>
    <mergeCell ref="B80:AF80"/>
    <mergeCell ref="B81:AF81"/>
    <mergeCell ref="B82:AF82"/>
    <mergeCell ref="A77:AF77"/>
    <mergeCell ref="A84:AF84"/>
    <mergeCell ref="B86:AF86"/>
    <mergeCell ref="L65:T65"/>
    <mergeCell ref="U65:AC65"/>
    <mergeCell ref="L74:T74"/>
    <mergeCell ref="U74:AC74"/>
    <mergeCell ref="L72:T72"/>
    <mergeCell ref="U72:AC72"/>
    <mergeCell ref="L73:T73"/>
    <mergeCell ref="U73:AC73"/>
    <mergeCell ref="B72:K72"/>
    <mergeCell ref="B73:K73"/>
    <mergeCell ref="B74:K74"/>
    <mergeCell ref="B89:AF89"/>
    <mergeCell ref="B90:AF90"/>
    <mergeCell ref="E50:P50"/>
    <mergeCell ref="Q50:T50"/>
    <mergeCell ref="U50:W50"/>
    <mergeCell ref="X50:AF50"/>
    <mergeCell ref="Q47:T47"/>
    <mergeCell ref="U47:W47"/>
    <mergeCell ref="X47:AF47"/>
    <mergeCell ref="A47:D47"/>
    <mergeCell ref="E47:P47"/>
    <mergeCell ref="X49:AF49"/>
    <mergeCell ref="Q49:T49"/>
    <mergeCell ref="U49:W49"/>
    <mergeCell ref="A49:D49"/>
    <mergeCell ref="E49:P49"/>
    <mergeCell ref="E53:P53"/>
    <mergeCell ref="Q53:T53"/>
    <mergeCell ref="L69:T69"/>
    <mergeCell ref="U69:AC69"/>
    <mergeCell ref="B64:K64"/>
    <mergeCell ref="B87:AF87"/>
    <mergeCell ref="B88:AF88"/>
    <mergeCell ref="B79:AF79"/>
    <mergeCell ref="A1:AF1"/>
    <mergeCell ref="A3:AF3"/>
    <mergeCell ref="B10:AF10"/>
    <mergeCell ref="X52:AF52"/>
    <mergeCell ref="A53:D53"/>
    <mergeCell ref="A52:D52"/>
    <mergeCell ref="E52:P52"/>
    <mergeCell ref="Q52:T52"/>
    <mergeCell ref="U52:W52"/>
    <mergeCell ref="U53:W53"/>
    <mergeCell ref="X53:AF53"/>
    <mergeCell ref="A48:D48"/>
    <mergeCell ref="E48:P48"/>
    <mergeCell ref="Q48:T48"/>
    <mergeCell ref="U48:W48"/>
    <mergeCell ref="X48:AF48"/>
    <mergeCell ref="A51:D51"/>
    <mergeCell ref="U46:W46"/>
    <mergeCell ref="X46:AF46"/>
    <mergeCell ref="E51:P51"/>
    <mergeCell ref="Q51:T51"/>
    <mergeCell ref="U51:W51"/>
    <mergeCell ref="A46:D46"/>
    <mergeCell ref="E46:P46"/>
  </mergeCells>
  <hyperlinks>
    <hyperlink ref="A2" location="TOC!A1" display="Return to TOC" xr:uid="{00000000-0004-0000-1F00-000000000000}"/>
    <hyperlink ref="N58:V58" location="C_HVAC_Chiller_WKST!A1" display="(C_HVAC_Chiller_WKST)" xr:uid="{00000000-0004-0000-1F00-000001000000}"/>
    <hyperlink ref="Q48:T48" location="C_HVAC_Chiller_WKST!A1" display="See Chiller Worksheet" xr:uid="{00000000-0004-0000-1F00-000002000000}"/>
    <hyperlink ref="Q50:T50" location="C_HVAC_Chiller_WKST!A1" display="See Chiller Worksheet" xr:uid="{00000000-0004-0000-1F00-000003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5:AF43" numberStoredAsText="1"/>
  </ignoredError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2">
    <tabColor theme="9" tint="0.79998168889431442"/>
    <pageSetUpPr autoPageBreaks="0" fitToPage="1"/>
  </sheetPr>
  <dimension ref="A1:T539"/>
  <sheetViews>
    <sheetView showGridLines="0" zoomScaleNormal="100" workbookViewId="0">
      <selection activeCell="A2" sqref="A2"/>
    </sheetView>
  </sheetViews>
  <sheetFormatPr defaultColWidth="8.88671875" defaultRowHeight="14.4" x14ac:dyDescent="0.3"/>
  <cols>
    <col min="2" max="2" width="1.88671875" customWidth="1"/>
    <col min="3" max="3" width="12.109375" customWidth="1"/>
    <col min="4" max="4" width="17.6640625" customWidth="1"/>
    <col min="5" max="5" width="5.6640625" bestFit="1" customWidth="1"/>
    <col min="6" max="11" width="14.6640625" customWidth="1"/>
    <col min="12" max="12" width="9" hidden="1" customWidth="1"/>
    <col min="13" max="13" width="6.6640625" hidden="1" customWidth="1"/>
    <col min="14" max="14" width="11.5546875" hidden="1" customWidth="1"/>
    <col min="15" max="15" width="10.5546875" hidden="1" customWidth="1"/>
    <col min="16" max="16" width="12.5546875" hidden="1" customWidth="1"/>
    <col min="17" max="17" width="4.5546875" hidden="1" customWidth="1"/>
    <col min="18" max="18" width="7.33203125" hidden="1" customWidth="1"/>
    <col min="19" max="20" width="8.88671875" hidden="1" customWidth="1"/>
  </cols>
  <sheetData>
    <row r="1" spans="1:20" ht="24.6" customHeight="1" x14ac:dyDescent="0.35">
      <c r="A1" s="500" t="s">
        <v>3652</v>
      </c>
      <c r="B1" s="500"/>
      <c r="C1" s="500"/>
      <c r="D1" s="500"/>
      <c r="E1" s="500"/>
      <c r="F1" s="500"/>
      <c r="G1" s="500"/>
      <c r="H1" s="500"/>
      <c r="I1" s="500"/>
      <c r="J1" s="500"/>
      <c r="K1" s="500"/>
      <c r="L1" s="500"/>
      <c r="M1" s="500"/>
      <c r="N1" s="500"/>
      <c r="O1" s="500"/>
      <c r="P1" s="500"/>
      <c r="Q1" s="500"/>
      <c r="R1" s="500"/>
      <c r="S1" s="500"/>
      <c r="T1" s="500"/>
    </row>
    <row r="2" spans="1:20" x14ac:dyDescent="0.3">
      <c r="A2" s="228" t="s">
        <v>1456</v>
      </c>
      <c r="D2" s="30"/>
      <c r="T2" s="94"/>
    </row>
    <row r="3" spans="1:20" s="276" customFormat="1" x14ac:dyDescent="0.3">
      <c r="A3" s="273"/>
      <c r="B3" s="273"/>
      <c r="C3" s="1689" t="s">
        <v>5228</v>
      </c>
      <c r="D3" s="1689"/>
      <c r="E3" s="274"/>
      <c r="F3" s="1688" t="s">
        <v>1025</v>
      </c>
      <c r="G3" s="1688"/>
      <c r="H3" s="274"/>
      <c r="I3" s="1688" t="s">
        <v>1160</v>
      </c>
      <c r="J3" s="1688"/>
      <c r="K3" s="275"/>
      <c r="L3" s="275"/>
      <c r="M3" s="274"/>
      <c r="N3" s="274"/>
      <c r="O3" s="274"/>
      <c r="P3" s="274"/>
      <c r="Q3" s="274"/>
      <c r="R3" s="274"/>
      <c r="T3" s="94"/>
    </row>
    <row r="4" spans="1:20" s="94" customFormat="1" x14ac:dyDescent="0.3">
      <c r="A4" s="277"/>
      <c r="B4" s="277"/>
      <c r="C4" s="278"/>
      <c r="D4" s="278"/>
      <c r="E4" s="279"/>
      <c r="F4" s="711" t="s">
        <v>2074</v>
      </c>
      <c r="G4" s="281" t="s">
        <v>2075</v>
      </c>
      <c r="H4" s="281" t="s">
        <v>2076</v>
      </c>
      <c r="I4" s="279"/>
      <c r="J4" s="279"/>
      <c r="K4" s="279"/>
      <c r="L4" s="279"/>
      <c r="M4" s="279"/>
      <c r="N4" s="279"/>
      <c r="O4" s="279"/>
      <c r="P4" s="279"/>
    </row>
    <row r="5" spans="1:20" s="94" customFormat="1" x14ac:dyDescent="0.3">
      <c r="A5" s="277"/>
      <c r="B5" s="277"/>
      <c r="C5" s="282" t="s">
        <v>1021</v>
      </c>
      <c r="D5" s="830" t="s">
        <v>1026</v>
      </c>
      <c r="E5" s="279"/>
      <c r="F5" s="282" t="s">
        <v>2077</v>
      </c>
      <c r="G5" s="283" t="str">
        <f>IF( AND($D$5="pd", R23=3), "pass",
IF(  AND($D$5="centrifugal", R23=13), "pass",
(IF(  AND($D$5="air-cooled", R23=44), "pass", "fail"))))</f>
        <v>pass</v>
      </c>
      <c r="H5" s="283" t="str">
        <f>IF( AND($D$5="pd", R65=3), "pass",
IF(  AND($D$5="centrifugal", R65=13), "pass",
(IF(  AND($D$5="air-cooled", R65=44), "pass", "fail"))))</f>
        <v>pass</v>
      </c>
      <c r="I5" s="282" t="s">
        <v>1024</v>
      </c>
      <c r="J5" s="1690">
        <f>INDEX(C_HVAC_Chiller!$U$64:$U$74,MATCH(C_HVAC_Chiller_WKST!$D$7,C_HVAC_Chiller!$B$64:$B$74,0),1)</f>
        <v>0.38</v>
      </c>
      <c r="K5" s="1690"/>
      <c r="L5" s="284"/>
      <c r="M5" s="279"/>
      <c r="N5" s="279"/>
      <c r="O5" s="279"/>
      <c r="P5" s="279"/>
    </row>
    <row r="6" spans="1:20" s="94" customFormat="1" x14ac:dyDescent="0.3">
      <c r="A6" s="277"/>
      <c r="B6" s="277"/>
      <c r="C6" s="282" t="s">
        <v>4649</v>
      </c>
      <c r="D6" s="831">
        <v>290</v>
      </c>
      <c r="E6" s="279"/>
      <c r="F6" s="280" t="s">
        <v>2078</v>
      </c>
      <c r="G6" s="283" t="str">
        <f>IF( AND($D$5="pd", R24=9), "pass",
IF(  AND($D$5="centrifugal", R24=21), "pass",
(IF(  AND($D$5="air-cooled", R24=70), "pass", "fail"))))</f>
        <v>fail</v>
      </c>
      <c r="H6" s="283" t="str">
        <f>IF( AND($D$5="pd", R66=9), "pass",
IF(  AND($D$5="centrifugal", R66=21), "pass",
(IF(  AND($D$5="air-cooled", R66=70), "pass", "fail"))))</f>
        <v>fail</v>
      </c>
      <c r="I6" s="282" t="s">
        <v>1023</v>
      </c>
      <c r="J6" s="1691">
        <f>INDEX(C_HVAC_Chiller!$L$64:$L$74,MATCH(C_HVAC_Chiller_WKST!$D$7,C_HVAC_Chiller!$B$64:$B$74,0),1)</f>
        <v>2594</v>
      </c>
      <c r="K6" s="1691"/>
      <c r="L6" s="285"/>
      <c r="M6" s="279"/>
      <c r="N6" s="286" t="s">
        <v>1028</v>
      </c>
      <c r="O6" s="279" t="s">
        <v>2079</v>
      </c>
      <c r="P6" s="279" t="s">
        <v>2080</v>
      </c>
      <c r="Q6" s="279" t="s">
        <v>2081</v>
      </c>
      <c r="R6" s="279"/>
    </row>
    <row r="7" spans="1:20" s="94" customFormat="1" x14ac:dyDescent="0.3">
      <c r="B7" s="277"/>
      <c r="C7" s="282" t="s">
        <v>1020</v>
      </c>
      <c r="D7" s="830" t="s">
        <v>1796</v>
      </c>
      <c r="E7" s="279"/>
      <c r="F7" s="277"/>
      <c r="G7" s="277"/>
      <c r="H7" s="277"/>
      <c r="I7" s="282" t="s">
        <v>2082</v>
      </c>
      <c r="J7" s="1681" t="str">
        <f>IF(AND(G5="pass",G6="pass"),$N$11,IF(AND(G5="fail",G6="pass"),$N$12,IF(AND($G$5="fail",$G$6="fail"),"Does Not Meet Requirements",$N$11)))</f>
        <v>Path A</v>
      </c>
      <c r="K7" s="1681"/>
      <c r="L7" s="284"/>
      <c r="M7" s="279"/>
      <c r="N7" s="287" t="s">
        <v>1027</v>
      </c>
      <c r="O7" s="288" t="str">
        <f>"F"&amp;ROW($F$34)&amp;":J"&amp;ROW($F$37)</f>
        <v>F34:J37</v>
      </c>
      <c r="P7" s="279">
        <f>IF($D$6&gt;=600,5,IF($D$6&gt;=300,4,IF($D$6&gt;=150,3,IF(D6&gt;=75,2,1))))</f>
        <v>3</v>
      </c>
      <c r="Q7" s="279"/>
      <c r="R7" s="279" t="s">
        <v>2083</v>
      </c>
      <c r="S7" s="94" t="s">
        <v>2084</v>
      </c>
    </row>
    <row r="8" spans="1:20" s="94" customFormat="1" x14ac:dyDescent="0.3">
      <c r="A8" s="277"/>
      <c r="B8" s="277"/>
      <c r="C8" s="280" t="s">
        <v>1019</v>
      </c>
      <c r="D8" s="832">
        <v>1</v>
      </c>
      <c r="E8" s="279"/>
      <c r="F8" s="280" t="s">
        <v>2085</v>
      </c>
      <c r="G8" s="289" t="s">
        <v>1010</v>
      </c>
      <c r="H8" s="289" t="s">
        <v>1008</v>
      </c>
      <c r="I8" s="280" t="s">
        <v>1159</v>
      </c>
      <c r="J8" s="1682">
        <f ca="1">IF(C13="",ROUND(IFERROR(INDEX($G$11:$H$11,1,MATCH($J$7,$N$11:$N$12,0))*$J$5*$D$6,0),3),"NA")</f>
        <v>20.731000000000002</v>
      </c>
      <c r="K8" s="1682"/>
      <c r="L8" s="290"/>
      <c r="M8" s="291"/>
      <c r="N8" s="287" t="s">
        <v>222</v>
      </c>
      <c r="O8" s="288" t="str">
        <f>"F"&amp;ROW($F$40)&amp;":J"&amp;ROW($F$43)</f>
        <v>F40:J43</v>
      </c>
      <c r="P8" s="279">
        <f>IF($D$6&gt;=600,5,IF($D$6&gt;=400,4,IF($D$6&gt;=300,3,IF($D$6&gt;=150,2,1))))</f>
        <v>2</v>
      </c>
      <c r="Q8" s="279" t="s">
        <v>1009</v>
      </c>
      <c r="R8" s="279">
        <v>1</v>
      </c>
      <c r="S8" s="94">
        <v>3</v>
      </c>
    </row>
    <row r="9" spans="1:20" s="94" customFormat="1" x14ac:dyDescent="0.3">
      <c r="A9" s="277"/>
      <c r="B9" s="277"/>
      <c r="C9" s="280" t="s">
        <v>1018</v>
      </c>
      <c r="D9" s="832">
        <v>0.7</v>
      </c>
      <c r="E9" s="279"/>
      <c r="F9" s="280" t="s">
        <v>2086</v>
      </c>
      <c r="G9" s="292">
        <f ca="1">INDEX(INDIRECT(VLOOKUP($D$5,$N$7:$O$9,2,0)),INDEX($R$8:$S$9,MATCH(LEFT($F9,2),$Q$8:$Q$9,0),MATCH(RIGHT(G$8,1),$R$7:$S$7,0)),VLOOKUP($D$5,$N$7:$P$9,3,0))</f>
        <v>1.1881188118811881</v>
      </c>
      <c r="H9" s="292">
        <f ca="1">INDEX(INDIRECT(VLOOKUP($D$5,$N$7:$O$9,2,0)),INDEX($R$8:$S$9,MATCH(LEFT($F9,2),$Q$8:$Q$9,0),MATCH(RIGHT(H$8,1),$R$7:$S$7,0)),VLOOKUP($D$5,$N$7:$P$9,3,0))</f>
        <v>1.2371134020618557</v>
      </c>
      <c r="I9" s="280" t="s">
        <v>1022</v>
      </c>
      <c r="J9" s="1687">
        <f ca="1">IF(C13="",ROUND(IFERROR(INDEX($G$12:$H$12,1,MATCH($J$7,$N$11:$N$12,0))*$J$6*$D$6,0),2),"NA")</f>
        <v>118212.29</v>
      </c>
      <c r="K9" s="1687"/>
      <c r="L9" s="290"/>
      <c r="M9" s="279"/>
      <c r="N9" s="287" t="s">
        <v>1026</v>
      </c>
      <c r="O9" s="288" t="str">
        <f>"I"&amp;ROW($I$46)&amp;":J"&amp;ROW($J$49)</f>
        <v>I46:J49</v>
      </c>
      <c r="P9" s="279">
        <f>IF($D$6&gt;=150,2,1)</f>
        <v>2</v>
      </c>
      <c r="Q9" s="279" t="s">
        <v>2087</v>
      </c>
      <c r="R9" s="279">
        <v>2</v>
      </c>
      <c r="S9" s="94">
        <v>4</v>
      </c>
    </row>
    <row r="10" spans="1:20" s="94" customFormat="1" x14ac:dyDescent="0.3">
      <c r="A10" s="1692" t="s">
        <v>5229</v>
      </c>
      <c r="B10" s="1692"/>
      <c r="C10" s="1692"/>
      <c r="D10" s="833"/>
      <c r="E10" s="279"/>
      <c r="F10" s="280" t="s">
        <v>2088</v>
      </c>
      <c r="G10" s="292">
        <f ca="1">INDEX(INDIRECT(VLOOKUP($D$5,$N$7:$O$9,2,0)),INDEX($R$8:$S$9,MATCH(LEFT($F10,2),$Q$8:$Q$9,0),MATCH(RIGHT(G$8,1),$R$7:$S$7,0)),VLOOKUP($D$5,$N$7:$P$9,3,0))</f>
        <v>0.8571428571428571</v>
      </c>
      <c r="H10" s="292">
        <f ca="1">INDEX(INDIRECT(VLOOKUP($D$5,$N$7:$O$9,2,0)),INDEX($R$8:$S$9,MATCH(LEFT($F10,2),$Q$8:$Q$9,0),MATCH(RIGHT(H$8,1),$R$7:$S$7,0)),VLOOKUP($D$5,$N$7:$P$9,3,0))</f>
        <v>0.74534161490683226</v>
      </c>
      <c r="I10" s="282" t="s">
        <v>2089</v>
      </c>
      <c r="J10" s="1687">
        <f ca="1">IF(C13="",ROUND($J$9*'[1]C_HVAC_Chiller-Notes'!$Q$52,2),"NA")</f>
        <v>2600670.38</v>
      </c>
      <c r="K10" s="1687"/>
      <c r="L10" s="284"/>
      <c r="M10" s="279"/>
      <c r="O10" s="279"/>
      <c r="P10" s="279"/>
      <c r="Q10" s="279"/>
      <c r="R10" s="279"/>
    </row>
    <row r="11" spans="1:20" s="94" customFormat="1" x14ac:dyDescent="0.3">
      <c r="A11" s="1692"/>
      <c r="B11" s="1692"/>
      <c r="C11" s="1692"/>
      <c r="D11" s="830" t="s">
        <v>2197</v>
      </c>
      <c r="E11" s="279"/>
      <c r="F11" s="280" t="s">
        <v>2090</v>
      </c>
      <c r="G11" s="293">
        <f ca="1">G9-$D8</f>
        <v>0.18811881188118806</v>
      </c>
      <c r="H11" s="293">
        <f ca="1">H9-$D8</f>
        <v>0.23711340206185572</v>
      </c>
      <c r="I11" s="280" t="s">
        <v>2091</v>
      </c>
      <c r="J11" s="1681" t="str">
        <f>IF(INDEX($H$5:$H$6,MATCH($J$7,$N$11:$N$12,0),1)="pass",$O$12,IF(INDEX($G$5:$G$6,MATCH($J$7,$N$11:$N$12,0),1)="pass",$O$11,"None"))</f>
        <v>Tier 2 (ASHRAE + 20%)</v>
      </c>
      <c r="K11" s="1681"/>
      <c r="L11" s="294"/>
      <c r="M11" s="279"/>
      <c r="N11" s="279" t="s">
        <v>1010</v>
      </c>
      <c r="O11" s="279" t="s">
        <v>2092</v>
      </c>
      <c r="P11" s="279"/>
      <c r="Q11" s="279"/>
      <c r="R11" s="279"/>
    </row>
    <row r="12" spans="1:20" s="94" customFormat="1" x14ac:dyDescent="0.3">
      <c r="C12" s="711"/>
      <c r="D12" s="711"/>
      <c r="E12" s="279"/>
      <c r="F12" s="280" t="s">
        <v>1017</v>
      </c>
      <c r="G12" s="293">
        <f ca="1">G10-$D9</f>
        <v>0.15714285714285714</v>
      </c>
      <c r="H12" s="293">
        <f ca="1">H10-$D9</f>
        <v>4.5341614906832306E-2</v>
      </c>
      <c r="I12" s="295"/>
      <c r="J12" s="294"/>
      <c r="K12" s="294"/>
      <c r="L12" s="294"/>
      <c r="M12" s="279"/>
      <c r="N12" s="279" t="s">
        <v>1008</v>
      </c>
      <c r="O12" s="279" t="s">
        <v>2093</v>
      </c>
      <c r="P12" s="279"/>
      <c r="Q12" s="279"/>
      <c r="R12" s="279"/>
    </row>
    <row r="13" spans="1:20" s="94" customFormat="1" x14ac:dyDescent="0.3">
      <c r="C13" s="443" t="str">
        <f>IF(OR(AND(D5="PD",D6&gt;=600),AND(D5="Centrifugal",D6&gt;=600),AND(D5="Air-cooled",D6&gt;=300),D7="Cold Storage",D7="Industrial", D11="Yes"), "Evaluate using a custom approach.","")</f>
        <v/>
      </c>
      <c r="D13" s="296"/>
      <c r="E13" s="279"/>
      <c r="F13" s="279"/>
      <c r="G13" s="296"/>
      <c r="H13" s="279"/>
      <c r="I13" s="295"/>
      <c r="J13" s="278"/>
      <c r="K13" s="278"/>
      <c r="L13" s="278"/>
      <c r="M13" s="279"/>
      <c r="N13" s="279"/>
      <c r="O13" s="279"/>
      <c r="P13" s="279"/>
      <c r="Q13" s="279"/>
      <c r="R13" s="279"/>
    </row>
    <row r="14" spans="1:20" s="94" customFormat="1" ht="27.6" x14ac:dyDescent="0.3">
      <c r="A14" s="1683" t="s">
        <v>2094</v>
      </c>
      <c r="B14" s="277"/>
      <c r="C14" s="1684" t="s">
        <v>2095</v>
      </c>
      <c r="D14" s="297" t="s">
        <v>1011</v>
      </c>
      <c r="E14" s="298"/>
      <c r="F14" s="283" t="s">
        <v>1016</v>
      </c>
      <c r="G14" s="283" t="s">
        <v>1153</v>
      </c>
      <c r="H14" s="283" t="s">
        <v>1154</v>
      </c>
      <c r="I14" s="283" t="s">
        <v>1157</v>
      </c>
      <c r="J14" s="283" t="s">
        <v>1015</v>
      </c>
      <c r="K14" s="299"/>
      <c r="L14" s="299"/>
      <c r="M14" s="279" t="s">
        <v>2096</v>
      </c>
      <c r="N14" s="279"/>
      <c r="O14" s="279"/>
      <c r="P14" s="279"/>
      <c r="Q14" s="279"/>
      <c r="R14" s="279"/>
    </row>
    <row r="15" spans="1:20" s="94" customFormat="1" x14ac:dyDescent="0.3">
      <c r="A15" s="1683"/>
      <c r="B15" s="277"/>
      <c r="C15" s="1685"/>
      <c r="D15" s="1506" t="s">
        <v>1010</v>
      </c>
      <c r="E15" s="300" t="s">
        <v>1009</v>
      </c>
      <c r="F15" s="301">
        <f t="shared" ref="F15:J18" si="0">F34*0.9</f>
        <v>0.67500000000000004</v>
      </c>
      <c r="G15" s="301">
        <f t="shared" si="0"/>
        <v>0.64800000000000002</v>
      </c>
      <c r="H15" s="301">
        <f t="shared" si="0"/>
        <v>0.59400000000000008</v>
      </c>
      <c r="I15" s="301">
        <f t="shared" si="0"/>
        <v>0.54900000000000004</v>
      </c>
      <c r="J15" s="301">
        <f t="shared" si="0"/>
        <v>0.50400000000000011</v>
      </c>
      <c r="K15" s="299"/>
      <c r="L15" s="299"/>
      <c r="M15" s="302">
        <v>1</v>
      </c>
      <c r="N15" s="279"/>
      <c r="O15" s="279"/>
      <c r="P15" s="279"/>
      <c r="Q15" s="279"/>
      <c r="R15" s="279"/>
    </row>
    <row r="16" spans="1:20" s="94" customFormat="1" x14ac:dyDescent="0.3">
      <c r="A16" s="1683"/>
      <c r="B16" s="277"/>
      <c r="C16" s="1685"/>
      <c r="D16" s="1506"/>
      <c r="E16" s="300" t="s">
        <v>1004</v>
      </c>
      <c r="F16" s="301">
        <f t="shared" si="0"/>
        <v>0.54</v>
      </c>
      <c r="G16" s="301">
        <f t="shared" si="0"/>
        <v>0.50400000000000011</v>
      </c>
      <c r="H16" s="301">
        <f t="shared" si="0"/>
        <v>0.48600000000000004</v>
      </c>
      <c r="I16" s="301">
        <f t="shared" si="0"/>
        <v>0.46800000000000003</v>
      </c>
      <c r="J16" s="301">
        <f t="shared" si="0"/>
        <v>0.45</v>
      </c>
      <c r="K16" s="299"/>
      <c r="L16" s="299"/>
      <c r="M16" s="302">
        <v>2</v>
      </c>
      <c r="N16" s="279"/>
      <c r="O16" s="279"/>
      <c r="P16" s="279"/>
      <c r="Q16" s="279"/>
      <c r="R16" s="279"/>
    </row>
    <row r="17" spans="1:18" s="94" customFormat="1" x14ac:dyDescent="0.3">
      <c r="A17" s="1683"/>
      <c r="B17" s="277"/>
      <c r="C17" s="1685"/>
      <c r="D17" s="1506" t="s">
        <v>1008</v>
      </c>
      <c r="E17" s="300" t="s">
        <v>1009</v>
      </c>
      <c r="F17" s="301">
        <f t="shared" si="0"/>
        <v>0.70200000000000007</v>
      </c>
      <c r="G17" s="301">
        <f t="shared" si="0"/>
        <v>0.67500000000000004</v>
      </c>
      <c r="H17" s="301">
        <f t="shared" si="0"/>
        <v>0.6120000000000001</v>
      </c>
      <c r="I17" s="301">
        <f t="shared" si="0"/>
        <v>0.5625</v>
      </c>
      <c r="J17" s="301">
        <f t="shared" si="0"/>
        <v>0.52649999999999997</v>
      </c>
      <c r="K17" s="299"/>
      <c r="L17" s="299"/>
      <c r="M17" s="302">
        <v>4</v>
      </c>
      <c r="N17" s="279"/>
      <c r="O17" s="279"/>
      <c r="P17" s="279"/>
      <c r="Q17" s="279"/>
      <c r="R17" s="279"/>
    </row>
    <row r="18" spans="1:18" s="94" customFormat="1" x14ac:dyDescent="0.3">
      <c r="A18" s="1683"/>
      <c r="B18" s="277"/>
      <c r="C18" s="1686"/>
      <c r="D18" s="1506"/>
      <c r="E18" s="300" t="s">
        <v>1004</v>
      </c>
      <c r="F18" s="301">
        <f t="shared" si="0"/>
        <v>0.45</v>
      </c>
      <c r="G18" s="301">
        <f t="shared" si="0"/>
        <v>0.441</v>
      </c>
      <c r="H18" s="301">
        <f t="shared" si="0"/>
        <v>0.39600000000000002</v>
      </c>
      <c r="I18" s="301">
        <f t="shared" si="0"/>
        <v>0.36899999999999999</v>
      </c>
      <c r="J18" s="301">
        <f t="shared" si="0"/>
        <v>0.34200000000000003</v>
      </c>
      <c r="K18" s="299"/>
      <c r="L18" s="299"/>
      <c r="M18" s="302">
        <v>5</v>
      </c>
      <c r="N18" s="279"/>
      <c r="O18" s="279"/>
      <c r="P18" s="279"/>
      <c r="Q18" s="279"/>
      <c r="R18" s="279"/>
    </row>
    <row r="19" spans="1:18" s="94" customFormat="1" x14ac:dyDescent="0.3">
      <c r="A19" s="1683"/>
      <c r="B19" s="277"/>
      <c r="C19" s="303"/>
      <c r="D19" s="304"/>
      <c r="E19" s="304"/>
      <c r="F19" s="305"/>
      <c r="G19" s="305"/>
      <c r="H19" s="305"/>
      <c r="I19" s="305"/>
      <c r="J19" s="305"/>
      <c r="K19" s="305"/>
      <c r="L19" s="305"/>
      <c r="M19" s="279"/>
      <c r="N19" s="279"/>
      <c r="O19" s="279"/>
      <c r="P19" s="279"/>
      <c r="Q19" s="279"/>
      <c r="R19" s="279"/>
    </row>
    <row r="20" spans="1:18" s="94" customFormat="1" ht="27.6" x14ac:dyDescent="0.3">
      <c r="A20" s="1683"/>
      <c r="B20" s="277"/>
      <c r="C20" s="1506" t="s">
        <v>222</v>
      </c>
      <c r="D20" s="297" t="s">
        <v>1011</v>
      </c>
      <c r="E20" s="297"/>
      <c r="F20" s="283" t="s">
        <v>1007</v>
      </c>
      <c r="G20" s="283" t="s">
        <v>1154</v>
      </c>
      <c r="H20" s="283" t="s">
        <v>1156</v>
      </c>
      <c r="I20" s="283" t="s">
        <v>1158</v>
      </c>
      <c r="J20" s="283" t="s">
        <v>1015</v>
      </c>
      <c r="K20" s="299"/>
      <c r="L20" s="299"/>
      <c r="M20" s="279"/>
      <c r="N20" s="279"/>
      <c r="O20" s="279"/>
      <c r="P20" s="279"/>
      <c r="Q20" s="279"/>
      <c r="R20" s="279"/>
    </row>
    <row r="21" spans="1:18" s="94" customFormat="1" x14ac:dyDescent="0.3">
      <c r="A21" s="1683"/>
      <c r="B21" s="277"/>
      <c r="C21" s="1506"/>
      <c r="D21" s="1506" t="s">
        <v>1010</v>
      </c>
      <c r="E21" s="300" t="s">
        <v>1009</v>
      </c>
      <c r="F21" s="301">
        <f t="shared" ref="F21:J24" si="1">F40*0.9</f>
        <v>0.54900000000000004</v>
      </c>
      <c r="G21" s="301">
        <f t="shared" si="1"/>
        <v>0.54900000000000004</v>
      </c>
      <c r="H21" s="301">
        <f t="shared" si="1"/>
        <v>0.50400000000000011</v>
      </c>
      <c r="I21" s="301">
        <f t="shared" si="1"/>
        <v>0.50400000000000011</v>
      </c>
      <c r="J21" s="301">
        <f t="shared" si="1"/>
        <v>0.50400000000000011</v>
      </c>
      <c r="K21" s="299"/>
      <c r="L21" s="299"/>
      <c r="M21" s="302">
        <v>6</v>
      </c>
      <c r="N21" s="279"/>
      <c r="O21" s="279" t="s">
        <v>1014</v>
      </c>
      <c r="P21" s="279"/>
      <c r="Q21" s="279"/>
      <c r="R21" s="279"/>
    </row>
    <row r="22" spans="1:18" s="94" customFormat="1" x14ac:dyDescent="0.3">
      <c r="A22" s="1683"/>
      <c r="B22" s="277"/>
      <c r="C22" s="1506"/>
      <c r="D22" s="1506"/>
      <c r="E22" s="300" t="s">
        <v>1004</v>
      </c>
      <c r="F22" s="301">
        <f t="shared" si="1"/>
        <v>0.49500000000000005</v>
      </c>
      <c r="G22" s="301">
        <f t="shared" si="1"/>
        <v>0.49500000000000005</v>
      </c>
      <c r="H22" s="301">
        <f t="shared" si="1"/>
        <v>0.46800000000000003</v>
      </c>
      <c r="I22" s="301">
        <f t="shared" si="1"/>
        <v>0.45</v>
      </c>
      <c r="J22" s="301">
        <f t="shared" si="1"/>
        <v>0.45</v>
      </c>
      <c r="K22" s="299"/>
      <c r="L22" s="299"/>
      <c r="M22" s="302">
        <v>7</v>
      </c>
      <c r="N22" s="279"/>
      <c r="O22" s="279"/>
      <c r="P22" s="279" t="s">
        <v>1009</v>
      </c>
      <c r="Q22" s="279" t="s">
        <v>1004</v>
      </c>
      <c r="R22" s="279" t="s">
        <v>1013</v>
      </c>
    </row>
    <row r="23" spans="1:18" s="94" customFormat="1" x14ac:dyDescent="0.3">
      <c r="A23" s="1683"/>
      <c r="B23" s="277"/>
      <c r="C23" s="1506"/>
      <c r="D23" s="1506" t="s">
        <v>1008</v>
      </c>
      <c r="E23" s="300" t="s">
        <v>1009</v>
      </c>
      <c r="F23" s="301">
        <f t="shared" si="1"/>
        <v>0.62549999999999994</v>
      </c>
      <c r="G23" s="301">
        <f t="shared" si="1"/>
        <v>0.57150000000000001</v>
      </c>
      <c r="H23" s="301">
        <f t="shared" si="1"/>
        <v>0.53549999999999998</v>
      </c>
      <c r="I23" s="301">
        <f t="shared" si="1"/>
        <v>0.52649999999999997</v>
      </c>
      <c r="J23" s="301">
        <f t="shared" si="1"/>
        <v>0.52649999999999997</v>
      </c>
      <c r="K23" s="299"/>
      <c r="L23" s="299"/>
      <c r="M23" s="302">
        <v>10</v>
      </c>
      <c r="N23" s="279"/>
      <c r="O23" s="279" t="s">
        <v>2097</v>
      </c>
      <c r="P23" s="296">
        <f>IF($D$5="PD",
IF(AND($D$6&gt;=600,$D$8&lt;=J$34),$M15,
IF(AND($D$6&gt;=300,$D$6&lt;600,$D$8&lt;=$I34),$M15,
IF(AND($D$6&gt;=150,$D$6&lt;300,$D$8&lt;=$H34),$M15,
IF(AND($D$6&gt;=75,$D$6&lt;150,$D$8&lt;=$G34),$M15,
IF(AND($D$6&lt;75,$D$8&lt;=F34),$M15,0))))),
IF($D$5="centrifugal",
IF(AND($D$6&gt;=600,$D$8&lt;=J40),M21,
IF(AND($D$6&gt;=400,$D$6&lt;600,$D$8&lt;=I40),M21,
IF(AND($D$6&gt;=300,$D$6&lt;400,$D$8&lt;=H40),M21,
IF(AND($D$6&gt;=150,$D$6&lt;300,$D$8&lt;=G40),M21,
IF(AND($D$6&lt;150,$D$8&lt;=F40),M21,0))))),
IF($D$5="air-cooled",
IF(AND($D$6&gt;=150,$D$8&lt;=J46),M27,
IF(AND($D$6&lt;150,$D$8&lt;=I46),M27,0)))))</f>
        <v>22</v>
      </c>
      <c r="Q23" s="279">
        <f>IF($D$5="PD",
IF(AND($D$6&gt;=600,$D$9&lt;=J$16),$M16,
IF(AND($D$6&gt;=300,$D$6&lt;600,$D$9&lt;=$I16),$M16,
IF(AND($D$6&gt;=150,$D$6&lt;300,$D$9&lt;=$H16),$M16,
IF(AND($D$6&gt;=75,$D$6&lt;150,$D$9&lt;=$G16),$M16,
IF(AND($D$6&lt;75,$D$9&lt;=$F16),$M16,0))))),
IF($D$5="centrifugal",
IF(AND($D$6&gt;=600,$D$9&lt;=J22),M22,
IF(AND($D$6&gt;=400,$D$6&lt;600,$D$9&lt;=I22),M22,
IF(AND($D$6&gt;=300,$D$6&lt;400,$D$9&lt;=H22),M22,
IF(AND($D$6&gt;=150,$D$6&lt;300,$D$9&lt;=G22),M22,
IF(AND($D$6&lt;150,$D$9&lt;=F22),M22,0))))),
IF($D$5="air-cooled",
IF(AND($D$6&gt;=150,$D$9&lt;=J28),M28,
IF(AND($D$6&lt;150,$D$9&lt;=I28),M28,0)))))</f>
        <v>22</v>
      </c>
      <c r="R23" s="279">
        <f>P23+Q23</f>
        <v>44</v>
      </c>
    </row>
    <row r="24" spans="1:18" s="94" customFormat="1" x14ac:dyDescent="0.3">
      <c r="A24" s="1683"/>
      <c r="B24" s="277"/>
      <c r="C24" s="1506"/>
      <c r="D24" s="1506"/>
      <c r="E24" s="300" t="s">
        <v>1004</v>
      </c>
      <c r="F24" s="301">
        <f t="shared" si="1"/>
        <v>0.39600000000000002</v>
      </c>
      <c r="G24" s="301">
        <f t="shared" si="1"/>
        <v>0.36000000000000004</v>
      </c>
      <c r="H24" s="301">
        <f t="shared" si="1"/>
        <v>0.35100000000000003</v>
      </c>
      <c r="I24" s="301">
        <f t="shared" si="1"/>
        <v>0.34200000000000003</v>
      </c>
      <c r="J24" s="301">
        <f t="shared" si="1"/>
        <v>0.34200000000000003</v>
      </c>
      <c r="K24" s="299"/>
      <c r="L24" s="299"/>
      <c r="M24" s="302">
        <v>11</v>
      </c>
      <c r="N24" s="279"/>
      <c r="O24" s="279" t="s">
        <v>2098</v>
      </c>
      <c r="P24" s="296">
        <f>IF($D$5="PD",
IF(AND($D$6&gt;=600,$D$8&lt;=$J36),$M17,
IF(AND($D$6&gt;=300,$D$6&lt;600,$D$8&lt;=$I36),$M17,
IF(AND($D$6&gt;=150,$D$6&lt;300,$D$8&lt;=$H36),$M17,
IF(AND($D$6&gt;=75,$D$6&lt;150,$D$8&lt;=$G36),$M17,
IF(AND($D$6&lt;75,$D$8&lt;=F36),$M17,0))))),
IF($D$5="centrifugal",
IF(AND($D$6&gt;=600,$D$8&lt;=J42),M23,
IF(AND($D$6&gt;=400,$D$6&lt;600,$D$8&lt;=I42),M23,
IF(AND($D$6&gt;=300,$D$6&lt;400,$D$8&lt;=H42),M23,
IF(AND($D$6&gt;=150,$D$6&lt;300,$D$8&lt;=G42),M23,
IF(AND($D$6&lt;150,$D$8&lt;=F42),M23,0))))),
IF($D$5="air-cooled",
IF(AND($D$6&gt;=150,$D$8&lt;=J48),M29,
IF(AND($D$6&lt;150,$D$8&lt;=I48),M29,0)))))</f>
        <v>34</v>
      </c>
      <c r="Q24" s="279">
        <f>IF($D$5="PD",
IF(AND($D$6&gt;=600,$D$9&lt;=$J18),$M18,
IF(AND($D$6&gt;=300,$D$6&lt;600,$D$9&lt;=$I18),$M18,
IF(AND($D$6&gt;=150,$D$6&lt;300,$D$9&lt;=$H18),$M18,
IF(AND($D$6&gt;=75,$D$6&lt;150,$D$9&lt;=$G18),$M18,
IF(AND($D$6&lt;75,$D$9&lt;=F$18),$M18,0))))),
IF($D$5="centrifugal",
IF(AND($D$6&gt;=600,$D$9&lt;=J24),M24,
IF(AND($D$6&gt;=400,$D$6&lt;600,$D$9&lt;=I24),M24,
IF(AND($D$6&gt;=300,$D$6&lt;400,$D$9&lt;=H24),M24,
IF(AND($D$6&gt;=150,$D$6&lt;300,$D$9&lt;=G24),M24,
IF(AND($D$6&lt;150,$D$9&lt;=F24),M24,0))))),
IF($D$5="air-cooled",
IF(AND($D$6&gt;=150,$D$9&lt;=J30),M30,
IF(AND($D$6&lt;150,$D$9&lt;=I30),M30,0)))))</f>
        <v>0</v>
      </c>
      <c r="R24" s="279">
        <f>P24+Q24</f>
        <v>34</v>
      </c>
    </row>
    <row r="25" spans="1:18" s="94" customFormat="1" x14ac:dyDescent="0.3">
      <c r="A25" s="1683"/>
      <c r="B25" s="277"/>
      <c r="K25" s="305"/>
      <c r="L25" s="305"/>
      <c r="M25" s="279"/>
      <c r="N25" s="279"/>
      <c r="O25" s="279"/>
      <c r="P25" s="279"/>
      <c r="Q25" s="279"/>
      <c r="R25" s="279"/>
    </row>
    <row r="26" spans="1:18" s="94" customFormat="1" x14ac:dyDescent="0.3">
      <c r="A26" s="1683"/>
      <c r="B26" s="277"/>
      <c r="C26" s="1507" t="s">
        <v>1005</v>
      </c>
      <c r="D26" s="283" t="s">
        <v>1012</v>
      </c>
      <c r="E26" s="283"/>
      <c r="F26" s="283" t="s">
        <v>1007</v>
      </c>
      <c r="G26" s="283" t="s">
        <v>1155</v>
      </c>
      <c r="H26" s="297" t="s">
        <v>1011</v>
      </c>
      <c r="I26" s="283" t="s">
        <v>1007</v>
      </c>
      <c r="J26" s="283" t="s">
        <v>1006</v>
      </c>
      <c r="K26" s="299"/>
      <c r="L26" s="299"/>
      <c r="M26" s="279"/>
      <c r="N26" s="279"/>
      <c r="O26" s="279"/>
      <c r="P26" s="279"/>
      <c r="Q26" s="279"/>
      <c r="R26" s="279"/>
    </row>
    <row r="27" spans="1:18" s="94" customFormat="1" x14ac:dyDescent="0.3">
      <c r="A27" s="1683"/>
      <c r="B27" s="277"/>
      <c r="C27" s="1507"/>
      <c r="D27" s="1507" t="s">
        <v>1010</v>
      </c>
      <c r="E27" s="300" t="s">
        <v>1009</v>
      </c>
      <c r="F27" s="306">
        <f t="shared" ref="F27:G30" si="2">F46*1.1</f>
        <v>11.110000000000001</v>
      </c>
      <c r="G27" s="306">
        <f t="shared" si="2"/>
        <v>11.110000000000001</v>
      </c>
      <c r="H27" s="1507" t="s">
        <v>1010</v>
      </c>
      <c r="I27" s="301">
        <f t="shared" ref="I27:J30" si="3">12/F27</f>
        <v>1.0801080108010801</v>
      </c>
      <c r="J27" s="301">
        <f t="shared" si="3"/>
        <v>1.0801080108010801</v>
      </c>
      <c r="K27" s="299"/>
      <c r="L27" s="299"/>
      <c r="M27" s="279">
        <v>22</v>
      </c>
      <c r="N27" s="279"/>
      <c r="O27" s="279"/>
      <c r="P27" s="279"/>
      <c r="Q27" s="279"/>
      <c r="R27" s="279"/>
    </row>
    <row r="28" spans="1:18" s="94" customFormat="1" x14ac:dyDescent="0.3">
      <c r="A28" s="1683"/>
      <c r="B28" s="277"/>
      <c r="C28" s="1507"/>
      <c r="D28" s="1507"/>
      <c r="E28" s="300" t="s">
        <v>1004</v>
      </c>
      <c r="F28" s="306">
        <f t="shared" si="2"/>
        <v>15.07</v>
      </c>
      <c r="G28" s="306">
        <f t="shared" si="2"/>
        <v>15.400000000000002</v>
      </c>
      <c r="H28" s="1507"/>
      <c r="I28" s="301">
        <f t="shared" si="3"/>
        <v>0.79628400796284005</v>
      </c>
      <c r="J28" s="301">
        <f t="shared" si="3"/>
        <v>0.77922077922077915</v>
      </c>
      <c r="K28" s="299"/>
      <c r="L28" s="299"/>
      <c r="M28" s="279">
        <v>22</v>
      </c>
      <c r="N28" s="279"/>
      <c r="O28" s="279"/>
      <c r="P28" s="279"/>
      <c r="Q28" s="279"/>
      <c r="R28" s="279"/>
    </row>
    <row r="29" spans="1:18" s="94" customFormat="1" x14ac:dyDescent="0.3">
      <c r="A29" s="1683"/>
      <c r="B29" s="277"/>
      <c r="C29" s="1507"/>
      <c r="D29" s="1507" t="s">
        <v>1008</v>
      </c>
      <c r="E29" s="300" t="s">
        <v>1009</v>
      </c>
      <c r="F29" s="306">
        <f t="shared" si="2"/>
        <v>10.67</v>
      </c>
      <c r="G29" s="306">
        <f t="shared" si="2"/>
        <v>10.67</v>
      </c>
      <c r="H29" s="1507" t="s">
        <v>1008</v>
      </c>
      <c r="I29" s="301">
        <f t="shared" si="3"/>
        <v>1.1246485473289598</v>
      </c>
      <c r="J29" s="301">
        <f t="shared" si="3"/>
        <v>1.1246485473289598</v>
      </c>
      <c r="K29" s="299"/>
      <c r="L29" s="299"/>
      <c r="M29" s="279">
        <v>34</v>
      </c>
      <c r="N29" s="279"/>
      <c r="O29" s="279"/>
      <c r="P29" s="279"/>
      <c r="Q29" s="279"/>
      <c r="R29" s="279"/>
    </row>
    <row r="30" spans="1:18" s="94" customFormat="1" x14ac:dyDescent="0.3">
      <c r="A30" s="1683"/>
      <c r="B30" s="277"/>
      <c r="C30" s="1507"/>
      <c r="D30" s="1507"/>
      <c r="E30" s="300" t="s">
        <v>1004</v>
      </c>
      <c r="F30" s="306">
        <f t="shared" si="2"/>
        <v>17.380000000000003</v>
      </c>
      <c r="G30" s="306">
        <f t="shared" si="2"/>
        <v>17.710000000000004</v>
      </c>
      <c r="H30" s="1507"/>
      <c r="I30" s="301">
        <f t="shared" si="3"/>
        <v>0.69044879171461437</v>
      </c>
      <c r="J30" s="301">
        <f t="shared" si="3"/>
        <v>0.67758328627893827</v>
      </c>
      <c r="K30" s="299"/>
      <c r="L30" s="299"/>
      <c r="M30" s="279">
        <v>36</v>
      </c>
      <c r="N30" s="279"/>
      <c r="O30" s="279"/>
      <c r="P30" s="279"/>
      <c r="Q30" s="279"/>
      <c r="R30" s="279"/>
    </row>
    <row r="31" spans="1:18" s="94" customFormat="1" x14ac:dyDescent="0.3">
      <c r="A31" s="277"/>
      <c r="B31" s="277"/>
      <c r="C31" s="307"/>
      <c r="D31" s="279"/>
      <c r="E31" s="281"/>
      <c r="F31" s="279"/>
      <c r="G31" s="279"/>
      <c r="H31" s="279"/>
      <c r="I31" s="278"/>
      <c r="J31" s="279"/>
      <c r="K31" s="296"/>
      <c r="L31" s="296"/>
      <c r="M31" s="279"/>
      <c r="N31" s="279"/>
      <c r="O31" s="279"/>
      <c r="P31" s="279"/>
      <c r="Q31" s="279"/>
      <c r="R31" s="279"/>
    </row>
    <row r="32" spans="1:18" s="94" customFormat="1" x14ac:dyDescent="0.3">
      <c r="A32" s="277"/>
      <c r="B32" s="277"/>
      <c r="C32" s="279"/>
      <c r="D32" s="279"/>
      <c r="E32" s="279"/>
      <c r="F32" s="279"/>
      <c r="G32" s="279"/>
      <c r="H32" s="279"/>
      <c r="I32" s="296"/>
      <c r="J32" s="296"/>
      <c r="K32" s="296"/>
      <c r="L32" s="296"/>
      <c r="M32" s="296"/>
      <c r="N32" s="296"/>
      <c r="O32" s="296"/>
      <c r="P32" s="296"/>
      <c r="Q32" s="296"/>
      <c r="R32" s="296"/>
    </row>
    <row r="33" spans="1:18" s="94" customFormat="1" ht="27.6" x14ac:dyDescent="0.3">
      <c r="A33" s="1683" t="s">
        <v>2104</v>
      </c>
      <c r="B33" s="277"/>
      <c r="C33" s="1684" t="s">
        <v>2095</v>
      </c>
      <c r="D33" s="297" t="s">
        <v>1011</v>
      </c>
      <c r="E33" s="298"/>
      <c r="F33" s="283" t="s">
        <v>1016</v>
      </c>
      <c r="G33" s="283" t="s">
        <v>1153</v>
      </c>
      <c r="H33" s="283" t="s">
        <v>1154</v>
      </c>
      <c r="I33" s="283" t="s">
        <v>1157</v>
      </c>
      <c r="J33" s="283" t="s">
        <v>1015</v>
      </c>
      <c r="K33" s="296"/>
      <c r="L33" s="296"/>
      <c r="M33" s="279"/>
      <c r="N33" s="296"/>
      <c r="O33" s="296"/>
      <c r="P33" s="296"/>
      <c r="Q33" s="296"/>
      <c r="R33" s="296"/>
    </row>
    <row r="34" spans="1:18" s="94" customFormat="1" x14ac:dyDescent="0.3">
      <c r="A34" s="1683"/>
      <c r="B34" s="277"/>
      <c r="C34" s="1685"/>
      <c r="D34" s="1506" t="s">
        <v>1010</v>
      </c>
      <c r="E34" s="300" t="s">
        <v>1009</v>
      </c>
      <c r="F34" s="301">
        <v>0.75</v>
      </c>
      <c r="G34" s="301">
        <v>0.72</v>
      </c>
      <c r="H34" s="301">
        <v>0.66</v>
      </c>
      <c r="I34" s="301">
        <v>0.61</v>
      </c>
      <c r="J34" s="301">
        <v>0.56000000000000005</v>
      </c>
      <c r="K34" s="296"/>
      <c r="L34" s="296"/>
      <c r="M34" s="302"/>
      <c r="N34" s="296"/>
      <c r="O34" s="296"/>
      <c r="P34" s="296"/>
      <c r="Q34" s="296"/>
      <c r="R34" s="296"/>
    </row>
    <row r="35" spans="1:18" s="94" customFormat="1" x14ac:dyDescent="0.3">
      <c r="A35" s="1683"/>
      <c r="B35" s="277"/>
      <c r="C35" s="1685"/>
      <c r="D35" s="1506"/>
      <c r="E35" s="300" t="s">
        <v>1004</v>
      </c>
      <c r="F35" s="308">
        <v>0.6</v>
      </c>
      <c r="G35" s="308">
        <v>0.56000000000000005</v>
      </c>
      <c r="H35" s="308">
        <v>0.54</v>
      </c>
      <c r="I35" s="308">
        <v>0.52</v>
      </c>
      <c r="J35" s="308">
        <v>0.5</v>
      </c>
      <c r="K35" s="296"/>
      <c r="L35" s="296"/>
      <c r="M35" s="302"/>
      <c r="N35" s="296"/>
      <c r="O35" s="296"/>
      <c r="P35" s="296"/>
      <c r="Q35" s="296"/>
      <c r="R35" s="296"/>
    </row>
    <row r="36" spans="1:18" s="94" customFormat="1" x14ac:dyDescent="0.3">
      <c r="A36" s="1683"/>
      <c r="B36" s="277"/>
      <c r="C36" s="1685"/>
      <c r="D36" s="1506" t="s">
        <v>1008</v>
      </c>
      <c r="E36" s="300" t="s">
        <v>1009</v>
      </c>
      <c r="F36" s="309">
        <v>0.78</v>
      </c>
      <c r="G36" s="309">
        <v>0.75</v>
      </c>
      <c r="H36" s="309">
        <v>0.68</v>
      </c>
      <c r="I36" s="309">
        <v>0.625</v>
      </c>
      <c r="J36" s="309">
        <v>0.58499999999999996</v>
      </c>
      <c r="K36" s="296"/>
      <c r="L36" s="296"/>
      <c r="M36" s="302"/>
      <c r="N36" s="296"/>
      <c r="O36" s="296"/>
      <c r="P36" s="296"/>
      <c r="Q36" s="296"/>
      <c r="R36" s="296"/>
    </row>
    <row r="37" spans="1:18" s="94" customFormat="1" x14ac:dyDescent="0.3">
      <c r="A37" s="1683"/>
      <c r="B37" s="277"/>
      <c r="C37" s="1686"/>
      <c r="D37" s="1506"/>
      <c r="E37" s="300" t="s">
        <v>1004</v>
      </c>
      <c r="F37" s="308">
        <v>0.5</v>
      </c>
      <c r="G37" s="308">
        <v>0.49</v>
      </c>
      <c r="H37" s="308">
        <v>0.44</v>
      </c>
      <c r="I37" s="308">
        <v>0.41</v>
      </c>
      <c r="J37" s="308">
        <v>0.38</v>
      </c>
      <c r="K37" s="296"/>
      <c r="L37" s="296"/>
      <c r="M37" s="302"/>
      <c r="N37" s="296"/>
      <c r="O37" s="296"/>
      <c r="P37" s="296"/>
      <c r="Q37" s="296"/>
      <c r="R37" s="296"/>
    </row>
    <row r="38" spans="1:18" s="94" customFormat="1" x14ac:dyDescent="0.3">
      <c r="A38" s="1683"/>
      <c r="B38" s="277"/>
      <c r="C38" s="303"/>
      <c r="D38" s="304"/>
      <c r="E38" s="304"/>
      <c r="F38" s="305"/>
      <c r="G38" s="305"/>
      <c r="H38" s="305"/>
      <c r="I38" s="305"/>
      <c r="J38" s="305"/>
      <c r="K38" s="305"/>
      <c r="L38" s="305"/>
      <c r="M38" s="279"/>
      <c r="N38" s="296"/>
      <c r="O38" s="296"/>
      <c r="P38" s="296"/>
      <c r="Q38" s="296"/>
      <c r="R38" s="296"/>
    </row>
    <row r="39" spans="1:18" s="94" customFormat="1" ht="27.6" x14ac:dyDescent="0.3">
      <c r="A39" s="1683"/>
      <c r="B39" s="277"/>
      <c r="C39" s="1506" t="s">
        <v>222</v>
      </c>
      <c r="D39" s="297" t="s">
        <v>1011</v>
      </c>
      <c r="E39" s="297"/>
      <c r="F39" s="283" t="s">
        <v>1007</v>
      </c>
      <c r="G39" s="283" t="s">
        <v>1154</v>
      </c>
      <c r="H39" s="283" t="s">
        <v>1156</v>
      </c>
      <c r="I39" s="283" t="s">
        <v>1158</v>
      </c>
      <c r="J39" s="283" t="s">
        <v>1015</v>
      </c>
      <c r="K39" s="296"/>
      <c r="L39" s="296"/>
      <c r="M39" s="279"/>
      <c r="N39" s="296"/>
      <c r="O39" s="296"/>
      <c r="P39" s="296"/>
      <c r="Q39" s="296"/>
      <c r="R39" s="296"/>
    </row>
    <row r="40" spans="1:18" s="94" customFormat="1" x14ac:dyDescent="0.3">
      <c r="A40" s="1683"/>
      <c r="B40" s="277"/>
      <c r="C40" s="1506"/>
      <c r="D40" s="1506" t="s">
        <v>1010</v>
      </c>
      <c r="E40" s="300" t="s">
        <v>1009</v>
      </c>
      <c r="F40" s="309">
        <v>0.61</v>
      </c>
      <c r="G40" s="309">
        <v>0.61</v>
      </c>
      <c r="H40" s="309">
        <v>0.56000000000000005</v>
      </c>
      <c r="I40" s="309">
        <v>0.56000000000000005</v>
      </c>
      <c r="J40" s="309">
        <v>0.56000000000000005</v>
      </c>
      <c r="K40" s="296"/>
      <c r="L40" s="296"/>
      <c r="M40" s="302"/>
      <c r="N40" s="296"/>
      <c r="O40" s="296"/>
      <c r="P40" s="296"/>
      <c r="Q40" s="296"/>
      <c r="R40" s="296"/>
    </row>
    <row r="41" spans="1:18" s="94" customFormat="1" x14ac:dyDescent="0.3">
      <c r="A41" s="1683"/>
      <c r="B41" s="277"/>
      <c r="C41" s="1506"/>
      <c r="D41" s="1506"/>
      <c r="E41" s="300" t="s">
        <v>1004</v>
      </c>
      <c r="F41" s="308">
        <v>0.55000000000000004</v>
      </c>
      <c r="G41" s="308">
        <v>0.55000000000000004</v>
      </c>
      <c r="H41" s="308">
        <v>0.52</v>
      </c>
      <c r="I41" s="308">
        <v>0.5</v>
      </c>
      <c r="J41" s="308">
        <v>0.5</v>
      </c>
      <c r="K41" s="296"/>
      <c r="L41" s="296"/>
      <c r="M41" s="302"/>
      <c r="N41" s="296"/>
      <c r="O41" s="296"/>
      <c r="P41" s="296"/>
      <c r="Q41" s="296"/>
      <c r="R41" s="296"/>
    </row>
    <row r="42" spans="1:18" s="94" customFormat="1" x14ac:dyDescent="0.3">
      <c r="A42" s="1683"/>
      <c r="B42" s="277"/>
      <c r="C42" s="1506"/>
      <c r="D42" s="1506" t="s">
        <v>1008</v>
      </c>
      <c r="E42" s="300" t="s">
        <v>1009</v>
      </c>
      <c r="F42" s="309">
        <v>0.69499999999999995</v>
      </c>
      <c r="G42" s="309">
        <v>0.63500000000000001</v>
      </c>
      <c r="H42" s="309">
        <v>0.59499999999999997</v>
      </c>
      <c r="I42" s="309">
        <v>0.58499999999999996</v>
      </c>
      <c r="J42" s="309">
        <v>0.58499999999999996</v>
      </c>
      <c r="K42" s="296"/>
      <c r="L42" s="296"/>
      <c r="M42" s="302"/>
      <c r="N42" s="296"/>
      <c r="O42" s="296"/>
      <c r="P42" s="296"/>
      <c r="Q42" s="296"/>
      <c r="R42" s="296"/>
    </row>
    <row r="43" spans="1:18" s="94" customFormat="1" x14ac:dyDescent="0.3">
      <c r="A43" s="1683"/>
      <c r="B43" s="277"/>
      <c r="C43" s="1506"/>
      <c r="D43" s="1506"/>
      <c r="E43" s="300" t="s">
        <v>1004</v>
      </c>
      <c r="F43" s="308">
        <v>0.44</v>
      </c>
      <c r="G43" s="308">
        <v>0.4</v>
      </c>
      <c r="H43" s="308">
        <v>0.39</v>
      </c>
      <c r="I43" s="308">
        <v>0.38</v>
      </c>
      <c r="J43" s="308">
        <v>0.38</v>
      </c>
      <c r="K43" s="296"/>
      <c r="L43" s="296"/>
      <c r="M43" s="302"/>
      <c r="N43" s="296"/>
      <c r="O43" s="296"/>
      <c r="P43" s="296"/>
      <c r="Q43" s="296"/>
      <c r="R43" s="296"/>
    </row>
    <row r="44" spans="1:18" s="94" customFormat="1" x14ac:dyDescent="0.3">
      <c r="A44" s="1683"/>
      <c r="B44" s="277"/>
      <c r="K44" s="305"/>
      <c r="L44" s="305"/>
      <c r="M44" s="279"/>
      <c r="N44" s="296"/>
      <c r="O44" s="296"/>
      <c r="P44" s="296"/>
      <c r="Q44" s="296"/>
      <c r="R44" s="296"/>
    </row>
    <row r="45" spans="1:18" s="94" customFormat="1" x14ac:dyDescent="0.3">
      <c r="A45" s="1683"/>
      <c r="B45" s="277"/>
      <c r="C45" s="1507" t="s">
        <v>1005</v>
      </c>
      <c r="D45" s="283" t="s">
        <v>1012</v>
      </c>
      <c r="E45" s="283"/>
      <c r="F45" s="283" t="s">
        <v>1007</v>
      </c>
      <c r="G45" s="283" t="s">
        <v>1155</v>
      </c>
      <c r="H45" s="297" t="s">
        <v>1011</v>
      </c>
      <c r="I45" s="283" t="s">
        <v>1007</v>
      </c>
      <c r="J45" s="283" t="s">
        <v>1006</v>
      </c>
      <c r="K45" s="296"/>
      <c r="L45" s="296"/>
      <c r="M45" s="279"/>
      <c r="N45" s="296"/>
      <c r="O45" s="296"/>
      <c r="P45" s="296"/>
      <c r="Q45" s="296"/>
      <c r="R45" s="296"/>
    </row>
    <row r="46" spans="1:18" s="94" customFormat="1" x14ac:dyDescent="0.3">
      <c r="A46" s="1683"/>
      <c r="B46" s="277"/>
      <c r="C46" s="1507"/>
      <c r="D46" s="1507" t="s">
        <v>1010</v>
      </c>
      <c r="E46" s="300" t="s">
        <v>1009</v>
      </c>
      <c r="F46" s="310">
        <v>10.1</v>
      </c>
      <c r="G46" s="310">
        <v>10.1</v>
      </c>
      <c r="H46" s="1507" t="s">
        <v>1010</v>
      </c>
      <c r="I46" s="308">
        <f>12/F46</f>
        <v>1.1881188118811881</v>
      </c>
      <c r="J46" s="308">
        <f>12/G46</f>
        <v>1.1881188118811881</v>
      </c>
      <c r="K46" s="296"/>
      <c r="L46" s="296"/>
      <c r="M46" s="279"/>
      <c r="N46" s="296"/>
      <c r="O46" s="296"/>
      <c r="P46" s="296"/>
      <c r="Q46" s="296"/>
      <c r="R46" s="296"/>
    </row>
    <row r="47" spans="1:18" s="94" customFormat="1" x14ac:dyDescent="0.3">
      <c r="A47" s="1683"/>
      <c r="B47" s="277"/>
      <c r="C47" s="1507"/>
      <c r="D47" s="1507"/>
      <c r="E47" s="300" t="s">
        <v>1004</v>
      </c>
      <c r="F47" s="311">
        <v>13.7</v>
      </c>
      <c r="G47" s="311">
        <v>14</v>
      </c>
      <c r="H47" s="1507"/>
      <c r="I47" s="308">
        <f t="shared" ref="I47:J49" si="4">12/F47</f>
        <v>0.87591240875912413</v>
      </c>
      <c r="J47" s="308">
        <f t="shared" si="4"/>
        <v>0.8571428571428571</v>
      </c>
      <c r="K47" s="296"/>
      <c r="L47" s="296"/>
      <c r="M47" s="279"/>
      <c r="N47" s="296"/>
      <c r="O47" s="296"/>
      <c r="P47" s="296"/>
      <c r="Q47" s="296"/>
      <c r="R47" s="296"/>
    </row>
    <row r="48" spans="1:18" s="94" customFormat="1" x14ac:dyDescent="0.3">
      <c r="A48" s="1683"/>
      <c r="B48" s="277"/>
      <c r="C48" s="1507"/>
      <c r="D48" s="1507" t="s">
        <v>1008</v>
      </c>
      <c r="E48" s="300" t="s">
        <v>1009</v>
      </c>
      <c r="F48" s="311">
        <v>9.6999999999999993</v>
      </c>
      <c r="G48" s="311">
        <v>9.6999999999999993</v>
      </c>
      <c r="H48" s="1507" t="s">
        <v>1008</v>
      </c>
      <c r="I48" s="308">
        <f t="shared" si="4"/>
        <v>1.2371134020618557</v>
      </c>
      <c r="J48" s="308">
        <f t="shared" si="4"/>
        <v>1.2371134020618557</v>
      </c>
      <c r="K48" s="296"/>
      <c r="L48" s="296"/>
      <c r="M48" s="279"/>
      <c r="N48" s="296"/>
      <c r="O48" s="296"/>
      <c r="P48" s="296"/>
      <c r="Q48" s="296"/>
      <c r="R48" s="296"/>
    </row>
    <row r="49" spans="1:18" s="94" customFormat="1" x14ac:dyDescent="0.3">
      <c r="A49" s="1683"/>
      <c r="B49" s="277"/>
      <c r="C49" s="1507"/>
      <c r="D49" s="1507"/>
      <c r="E49" s="300" t="s">
        <v>1004</v>
      </c>
      <c r="F49" s="311">
        <v>15.8</v>
      </c>
      <c r="G49" s="311">
        <v>16.100000000000001</v>
      </c>
      <c r="H49" s="1507"/>
      <c r="I49" s="308">
        <f t="shared" si="4"/>
        <v>0.75949367088607589</v>
      </c>
      <c r="J49" s="308">
        <f t="shared" si="4"/>
        <v>0.74534161490683226</v>
      </c>
      <c r="K49" s="296"/>
      <c r="L49" s="296"/>
      <c r="M49" s="279"/>
      <c r="N49" s="296"/>
      <c r="O49" s="296"/>
      <c r="P49" s="296"/>
      <c r="Q49" s="296"/>
      <c r="R49" s="296"/>
    </row>
    <row r="50" spans="1:18" s="94" customFormat="1" x14ac:dyDescent="0.3">
      <c r="C50" s="312" t="s">
        <v>2099</v>
      </c>
      <c r="K50" s="296"/>
      <c r="L50" s="296"/>
      <c r="M50" s="296"/>
      <c r="N50" s="296"/>
      <c r="O50" s="296"/>
      <c r="P50" s="296"/>
      <c r="Q50" s="296"/>
      <c r="R50" s="296"/>
    </row>
    <row r="51" spans="1:18" s="94" customFormat="1" x14ac:dyDescent="0.3"/>
    <row r="52" spans="1:18" s="94" customFormat="1" x14ac:dyDescent="0.3"/>
    <row r="53" spans="1:18" s="94" customFormat="1" x14ac:dyDescent="0.3"/>
    <row r="54" spans="1:18" s="94" customFormat="1" x14ac:dyDescent="0.3"/>
    <row r="55" spans="1:18" s="94" customFormat="1" x14ac:dyDescent="0.3"/>
    <row r="56" spans="1:18" s="94" customFormat="1" ht="27.6" x14ac:dyDescent="0.3">
      <c r="A56" s="1683" t="s">
        <v>2100</v>
      </c>
      <c r="B56" s="277"/>
      <c r="C56" s="1684" t="s">
        <v>2095</v>
      </c>
      <c r="D56" s="297" t="s">
        <v>1011</v>
      </c>
      <c r="E56" s="298"/>
      <c r="F56" s="283" t="s">
        <v>1016</v>
      </c>
      <c r="G56" s="283" t="s">
        <v>1153</v>
      </c>
      <c r="H56" s="283" t="s">
        <v>1154</v>
      </c>
      <c r="I56" s="283" t="s">
        <v>1157</v>
      </c>
      <c r="J56" s="283" t="s">
        <v>1015</v>
      </c>
      <c r="M56" s="279" t="s">
        <v>2096</v>
      </c>
    </row>
    <row r="57" spans="1:18" s="94" customFormat="1" x14ac:dyDescent="0.3">
      <c r="A57" s="1683"/>
      <c r="B57" s="277"/>
      <c r="C57" s="1685"/>
      <c r="D57" s="1506" t="s">
        <v>1010</v>
      </c>
      <c r="E57" s="300" t="s">
        <v>1009</v>
      </c>
      <c r="F57" s="301">
        <f>F34*0.8</f>
        <v>0.60000000000000009</v>
      </c>
      <c r="G57" s="301">
        <f t="shared" ref="G57:J57" si="5">G34*0.8</f>
        <v>0.57599999999999996</v>
      </c>
      <c r="H57" s="301">
        <f t="shared" si="5"/>
        <v>0.52800000000000002</v>
      </c>
      <c r="I57" s="301">
        <f t="shared" si="5"/>
        <v>0.48799999999999999</v>
      </c>
      <c r="J57" s="301">
        <f t="shared" si="5"/>
        <v>0.44800000000000006</v>
      </c>
      <c r="M57" s="302">
        <v>1</v>
      </c>
    </row>
    <row r="58" spans="1:18" s="94" customFormat="1" x14ac:dyDescent="0.3">
      <c r="A58" s="1683"/>
      <c r="B58" s="277"/>
      <c r="C58" s="1685"/>
      <c r="D58" s="1506"/>
      <c r="E58" s="300" t="s">
        <v>1004</v>
      </c>
      <c r="F58" s="301">
        <f t="shared" ref="F58:J60" si="6">F35*0.8</f>
        <v>0.48</v>
      </c>
      <c r="G58" s="301">
        <f t="shared" si="6"/>
        <v>0.44800000000000006</v>
      </c>
      <c r="H58" s="301">
        <f t="shared" si="6"/>
        <v>0.43200000000000005</v>
      </c>
      <c r="I58" s="301">
        <f t="shared" si="6"/>
        <v>0.41600000000000004</v>
      </c>
      <c r="J58" s="301">
        <f t="shared" si="6"/>
        <v>0.4</v>
      </c>
      <c r="M58" s="302">
        <v>2</v>
      </c>
    </row>
    <row r="59" spans="1:18" s="94" customFormat="1" x14ac:dyDescent="0.3">
      <c r="A59" s="1683"/>
      <c r="B59" s="277"/>
      <c r="C59" s="1685"/>
      <c r="D59" s="1506" t="s">
        <v>1008</v>
      </c>
      <c r="E59" s="300" t="s">
        <v>1009</v>
      </c>
      <c r="F59" s="301">
        <f t="shared" si="6"/>
        <v>0.62400000000000011</v>
      </c>
      <c r="G59" s="301">
        <f t="shared" si="6"/>
        <v>0.60000000000000009</v>
      </c>
      <c r="H59" s="301">
        <f t="shared" si="6"/>
        <v>0.54400000000000004</v>
      </c>
      <c r="I59" s="301">
        <f t="shared" si="6"/>
        <v>0.5</v>
      </c>
      <c r="J59" s="301">
        <f t="shared" si="6"/>
        <v>0.46799999999999997</v>
      </c>
      <c r="M59" s="302">
        <v>4</v>
      </c>
    </row>
    <row r="60" spans="1:18" s="94" customFormat="1" x14ac:dyDescent="0.3">
      <c r="A60" s="1683"/>
      <c r="B60" s="277"/>
      <c r="C60" s="1686"/>
      <c r="D60" s="1506"/>
      <c r="E60" s="300" t="s">
        <v>1004</v>
      </c>
      <c r="F60" s="301">
        <f t="shared" si="6"/>
        <v>0.4</v>
      </c>
      <c r="G60" s="301">
        <f t="shared" si="6"/>
        <v>0.39200000000000002</v>
      </c>
      <c r="H60" s="301">
        <f t="shared" si="6"/>
        <v>0.35200000000000004</v>
      </c>
      <c r="I60" s="301">
        <f t="shared" si="6"/>
        <v>0.32800000000000001</v>
      </c>
      <c r="J60" s="301">
        <f t="shared" si="6"/>
        <v>0.30400000000000005</v>
      </c>
      <c r="M60" s="302">
        <v>5</v>
      </c>
    </row>
    <row r="61" spans="1:18" s="94" customFormat="1" x14ac:dyDescent="0.3">
      <c r="A61" s="1683"/>
      <c r="B61" s="277"/>
      <c r="C61" s="303"/>
      <c r="D61" s="304"/>
      <c r="E61" s="304"/>
      <c r="F61" s="305"/>
      <c r="G61" s="305"/>
      <c r="H61" s="305"/>
      <c r="I61" s="305"/>
      <c r="J61" s="305"/>
      <c r="M61" s="279"/>
    </row>
    <row r="62" spans="1:18" s="94" customFormat="1" ht="27.6" x14ac:dyDescent="0.3">
      <c r="A62" s="1683"/>
      <c r="B62" s="277"/>
      <c r="C62" s="1506" t="s">
        <v>222</v>
      </c>
      <c r="D62" s="297" t="s">
        <v>1011</v>
      </c>
      <c r="E62" s="297"/>
      <c r="F62" s="283" t="s">
        <v>1007</v>
      </c>
      <c r="G62" s="283" t="s">
        <v>1154</v>
      </c>
      <c r="H62" s="283" t="s">
        <v>1156</v>
      </c>
      <c r="I62" s="283" t="s">
        <v>1158</v>
      </c>
      <c r="J62" s="283" t="s">
        <v>1015</v>
      </c>
      <c r="M62" s="279"/>
    </row>
    <row r="63" spans="1:18" s="94" customFormat="1" x14ac:dyDescent="0.3">
      <c r="A63" s="1683"/>
      <c r="B63" s="277"/>
      <c r="C63" s="1506"/>
      <c r="D63" s="1506" t="s">
        <v>1010</v>
      </c>
      <c r="E63" s="300" t="s">
        <v>1009</v>
      </c>
      <c r="F63" s="301">
        <f>F40*0.8</f>
        <v>0.48799999999999999</v>
      </c>
      <c r="G63" s="301">
        <f t="shared" ref="G63:J63" si="7">G40*0.8</f>
        <v>0.48799999999999999</v>
      </c>
      <c r="H63" s="301">
        <f t="shared" si="7"/>
        <v>0.44800000000000006</v>
      </c>
      <c r="I63" s="301">
        <f t="shared" si="7"/>
        <v>0.44800000000000006</v>
      </c>
      <c r="J63" s="301">
        <f t="shared" si="7"/>
        <v>0.44800000000000006</v>
      </c>
      <c r="M63" s="302">
        <v>6</v>
      </c>
      <c r="O63" s="279" t="s">
        <v>1014</v>
      </c>
      <c r="P63" s="279"/>
      <c r="Q63" s="279"/>
      <c r="R63" s="279"/>
    </row>
    <row r="64" spans="1:18" s="94" customFormat="1" x14ac:dyDescent="0.3">
      <c r="A64" s="1683"/>
      <c r="B64" s="277"/>
      <c r="C64" s="1506"/>
      <c r="D64" s="1506"/>
      <c r="E64" s="300" t="s">
        <v>1004</v>
      </c>
      <c r="F64" s="301">
        <f t="shared" ref="F64:J66" si="8">F41*0.8</f>
        <v>0.44000000000000006</v>
      </c>
      <c r="G64" s="301">
        <f t="shared" si="8"/>
        <v>0.44000000000000006</v>
      </c>
      <c r="H64" s="301">
        <f t="shared" si="8"/>
        <v>0.41600000000000004</v>
      </c>
      <c r="I64" s="301">
        <f t="shared" si="8"/>
        <v>0.4</v>
      </c>
      <c r="J64" s="301">
        <f t="shared" si="8"/>
        <v>0.4</v>
      </c>
      <c r="M64" s="302">
        <v>7</v>
      </c>
      <c r="O64" s="279"/>
      <c r="P64" s="279" t="s">
        <v>1009</v>
      </c>
      <c r="Q64" s="279" t="s">
        <v>1004</v>
      </c>
      <c r="R64" s="279" t="s">
        <v>1013</v>
      </c>
    </row>
    <row r="65" spans="1:18" s="94" customFormat="1" x14ac:dyDescent="0.3">
      <c r="A65" s="1683"/>
      <c r="B65" s="277"/>
      <c r="C65" s="1506"/>
      <c r="D65" s="1506" t="s">
        <v>1008</v>
      </c>
      <c r="E65" s="300" t="s">
        <v>1009</v>
      </c>
      <c r="F65" s="301">
        <f t="shared" si="8"/>
        <v>0.55599999999999994</v>
      </c>
      <c r="G65" s="301">
        <f t="shared" si="8"/>
        <v>0.50800000000000001</v>
      </c>
      <c r="H65" s="301">
        <f t="shared" si="8"/>
        <v>0.47599999999999998</v>
      </c>
      <c r="I65" s="301">
        <f t="shared" si="8"/>
        <v>0.46799999999999997</v>
      </c>
      <c r="J65" s="301">
        <f t="shared" si="8"/>
        <v>0.46799999999999997</v>
      </c>
      <c r="M65" s="302">
        <v>10</v>
      </c>
      <c r="O65" s="279" t="s">
        <v>2097</v>
      </c>
      <c r="P65" s="296">
        <f>IF($D$5="PD",
IF(AND($D$6&gt;=600,$D$8&lt;=J$34),$M57,
IF(AND($D$6&gt;=300,$D$6&lt;600,$D$8&lt;=$I34),$M57,
IF(AND($D$6&gt;=150,$D$6&lt;300,$D$8&lt;=$H34),$M57,
IF(AND($D$6&gt;=75,$D$6&lt;150,$D$8&lt;=$G34),$M57,
IF(AND($D$6&lt;75,$D$8&lt;=F34),$M57,0))))),
IF($D$5="centrifugal",
IF(AND($D$6&gt;=600,$D$8&lt;=J40),M63,
IF(AND($D$6&gt;=400,$D$6&lt;600,$D$8&lt;=I40),M63,
IF(AND($D$6&gt;=300,$D$6&lt;400,$D$8&lt;=H40),M63,
IF(AND($D$6&gt;=150,$D$6&lt;300,$D$8&lt;=G40),M63,
IF(AND($D$6&lt;150,$D$8&lt;=F40),M63,0))))),
IF($D$5="air-cooled",
IF(AND($D$6&gt;=150,$D$8&lt;=J46),M69,
IF(AND($D$6&lt;150,$D$8&lt;=I46),M69,0)))))</f>
        <v>22</v>
      </c>
      <c r="Q65" s="296">
        <f>IF($D$5="PD",
IF(AND($D$6&gt;=600,$D$9&lt;=J$58),$M58,
IF(AND($D$6&gt;=300,$D$6&lt;600,$D$9&lt;=$I58),$M58,
IF(AND($D$6&gt;=150,$D$6&lt;300,$D$9&lt;=$H58),$M58,
IF(AND($D$6&gt;=75,$D$6&lt;150,$D$9&lt;=$G58),$M58,
IF(AND($D$6&lt;75,$D$9&lt;=$F58),$M58,0))))),
IF($D$5="centrifugal",
IF(AND($D$6&gt;=600,$D$9&lt;=J64),M64,
IF(AND($D$6&gt;=400,$D$6&lt;600,$D$9&lt;=I64),M64,
IF(AND($D$6&gt;=300,$D$6&lt;400,$D$9&lt;=H64),M64,
IF(AND($D$6&gt;=150,$D$6&lt;300,$D$9&lt;=G64),M64,
IF(AND($D$6&lt;150,$D$9&lt;=F64),M64,0))))),
IF($D$5="air-cooled",
IF(AND($D$6&gt;=150,$D$9&lt;=J70),M70,
IF(AND($D$6&lt;150,$D$9&lt;=I70),M70,0)))))</f>
        <v>22</v>
      </c>
      <c r="R65" s="279">
        <f>P65+Q65</f>
        <v>44</v>
      </c>
    </row>
    <row r="66" spans="1:18" s="94" customFormat="1" x14ac:dyDescent="0.3">
      <c r="A66" s="1683"/>
      <c r="B66" s="277"/>
      <c r="C66" s="1506"/>
      <c r="D66" s="1506"/>
      <c r="E66" s="300" t="s">
        <v>1004</v>
      </c>
      <c r="F66" s="301">
        <f t="shared" si="8"/>
        <v>0.35200000000000004</v>
      </c>
      <c r="G66" s="301">
        <f t="shared" si="8"/>
        <v>0.32000000000000006</v>
      </c>
      <c r="H66" s="301">
        <f t="shared" si="8"/>
        <v>0.31200000000000006</v>
      </c>
      <c r="I66" s="301">
        <f t="shared" si="8"/>
        <v>0.30400000000000005</v>
      </c>
      <c r="J66" s="301">
        <f t="shared" si="8"/>
        <v>0.30400000000000005</v>
      </c>
      <c r="M66" s="302">
        <v>11</v>
      </c>
      <c r="O66" s="279" t="s">
        <v>2098</v>
      </c>
      <c r="P66" s="296">
        <f>IF($D$5="PD",
IF(AND($D$6&gt;=600,$D$8&lt;=$J36),$M59,
IF(AND($D$6&gt;=300,$D$6&lt;600,$D$8&lt;=$I36),$M59,
IF(AND($D$6&gt;=150,$D$6&lt;300,$D$8&lt;=$H36),$M59,
IF(AND($D$6&gt;=75,$D$6&lt;150,$D$8&lt;=$G36),$M59,
IF(AND($D$6&lt;75,$D$8&lt;=F36),$M59,0))))),
IF($D$5="centrifugal",
IF(AND($D$6&gt;=600,$D$8&lt;=J42),M65,
IF(AND($D$6&gt;=400,$D$6&lt;600,$D$8&lt;=I42),M65,
IF(AND($D$6&gt;=300,$D$6&lt;400,$D$8&lt;=H42),M65,
IF(AND($D$6&gt;=150,$D$6&lt;300,$D$8&lt;=G42),M65,
IF(AND($D$6&lt;150,$D$8&lt;=F42),M65,0))))),
IF($D$5="air-cooled",
IF(AND($D$6&gt;=150,$D$8&lt;=J48),M71,
IF(AND($D$6&lt;150,$D$8&lt;=I48),M71,0)))))</f>
        <v>34</v>
      </c>
      <c r="Q66" s="296">
        <f>IF($D$5="PD",
IF(AND($D$6&gt;=600,$D$9&lt;=$J60),$M60,
IF(AND($D$6&gt;=300,$D$6&lt;600,$D$9&lt;=$I60),$M60,
IF(AND($D$6&gt;=150,$D$6&lt;300,$D$9&lt;=$H60),$M60,
IF(AND($D$6&gt;=75,$D$6&lt;150,$D$9&lt;=$G60),$M60,
IF(AND($D$6&lt;75,$D$9&lt;=F$60),$M60,0))))),
IF($D$5="centrifugal",
IF(AND($D$6&gt;=600,$D$9&lt;=J66),M66,
IF(AND($D$6&gt;=400,$D$6&lt;600,$D$9&lt;=I66),M66,
IF(AND($D$6&gt;=300,$D$6&lt;400,$D$9&lt;=H66),M66,
IF(AND($D$6&gt;=150,$D$6&lt;300,$D$9&lt;=G66),M66,
IF(AND($D$6&lt;150,$D$9&lt;=F66),M66,0))))),
IF($D$5="air-cooled",
IF(AND($D$6&gt;=150,$D$9&lt;=J72),M72,
IF(AND($D$6&lt;150,$D$9&lt;=I72),M72,0)))))</f>
        <v>0</v>
      </c>
      <c r="R66" s="279">
        <f>P66+Q66</f>
        <v>34</v>
      </c>
    </row>
    <row r="67" spans="1:18" s="94" customFormat="1" x14ac:dyDescent="0.3">
      <c r="A67" s="1683"/>
      <c r="B67" s="277"/>
      <c r="M67" s="279"/>
    </row>
    <row r="68" spans="1:18" s="94" customFormat="1" x14ac:dyDescent="0.3">
      <c r="A68" s="1683"/>
      <c r="B68" s="277"/>
      <c r="C68" s="1507" t="s">
        <v>1005</v>
      </c>
      <c r="D68" s="283" t="s">
        <v>1012</v>
      </c>
      <c r="E68" s="283"/>
      <c r="F68" s="283" t="s">
        <v>1007</v>
      </c>
      <c r="G68" s="283" t="s">
        <v>1155</v>
      </c>
      <c r="H68" s="297" t="s">
        <v>1011</v>
      </c>
      <c r="I68" s="283" t="s">
        <v>1007</v>
      </c>
      <c r="J68" s="283" t="s">
        <v>1006</v>
      </c>
      <c r="M68" s="279"/>
    </row>
    <row r="69" spans="1:18" s="94" customFormat="1" x14ac:dyDescent="0.3">
      <c r="A69" s="1683"/>
      <c r="B69" s="277"/>
      <c r="C69" s="1507"/>
      <c r="D69" s="1507" t="s">
        <v>1010</v>
      </c>
      <c r="E69" s="300" t="s">
        <v>1009</v>
      </c>
      <c r="F69" s="306">
        <f>F46*1.2</f>
        <v>12.12</v>
      </c>
      <c r="G69" s="306">
        <f>G46*1.2</f>
        <v>12.12</v>
      </c>
      <c r="H69" s="1507" t="s">
        <v>1010</v>
      </c>
      <c r="I69" s="301">
        <f t="shared" ref="I69:J72" si="9">12/F69</f>
        <v>0.9900990099009902</v>
      </c>
      <c r="J69" s="301">
        <f t="shared" si="9"/>
        <v>0.9900990099009902</v>
      </c>
      <c r="M69" s="279">
        <v>22</v>
      </c>
    </row>
    <row r="70" spans="1:18" s="94" customFormat="1" ht="14.4" customHeight="1" x14ac:dyDescent="0.3">
      <c r="A70" s="1683"/>
      <c r="B70" s="277"/>
      <c r="C70" s="1507"/>
      <c r="D70" s="1507"/>
      <c r="E70" s="300" t="s">
        <v>1004</v>
      </c>
      <c r="F70" s="306">
        <f t="shared" ref="F70:G72" si="10">F47*1.2</f>
        <v>16.439999999999998</v>
      </c>
      <c r="G70" s="306">
        <f t="shared" si="10"/>
        <v>16.8</v>
      </c>
      <c r="H70" s="1507"/>
      <c r="I70" s="301">
        <f t="shared" si="9"/>
        <v>0.72992700729927018</v>
      </c>
      <c r="J70" s="301">
        <f t="shared" si="9"/>
        <v>0.7142857142857143</v>
      </c>
      <c r="M70" s="279">
        <v>22</v>
      </c>
    </row>
    <row r="71" spans="1:18" s="94" customFormat="1" x14ac:dyDescent="0.3">
      <c r="A71" s="1683"/>
      <c r="B71" s="277"/>
      <c r="C71" s="1507"/>
      <c r="D71" s="1507" t="s">
        <v>1008</v>
      </c>
      <c r="E71" s="300" t="s">
        <v>1009</v>
      </c>
      <c r="F71" s="306">
        <f t="shared" si="10"/>
        <v>11.639999999999999</v>
      </c>
      <c r="G71" s="306">
        <f t="shared" si="10"/>
        <v>11.639999999999999</v>
      </c>
      <c r="H71" s="1507" t="s">
        <v>1008</v>
      </c>
      <c r="I71" s="301">
        <f t="shared" si="9"/>
        <v>1.0309278350515465</v>
      </c>
      <c r="J71" s="301">
        <f t="shared" si="9"/>
        <v>1.0309278350515465</v>
      </c>
      <c r="M71" s="279">
        <v>34</v>
      </c>
    </row>
    <row r="72" spans="1:18" s="94" customFormat="1" x14ac:dyDescent="0.3">
      <c r="A72" s="1683"/>
      <c r="B72" s="277"/>
      <c r="C72" s="1507"/>
      <c r="D72" s="1507"/>
      <c r="E72" s="300" t="s">
        <v>1004</v>
      </c>
      <c r="F72" s="306">
        <f t="shared" si="10"/>
        <v>18.96</v>
      </c>
      <c r="G72" s="306">
        <f t="shared" si="10"/>
        <v>19.32</v>
      </c>
      <c r="H72" s="1507"/>
      <c r="I72" s="301">
        <f t="shared" si="9"/>
        <v>0.63291139240506322</v>
      </c>
      <c r="J72" s="301">
        <f t="shared" si="9"/>
        <v>0.6211180124223602</v>
      </c>
      <c r="M72" s="279">
        <v>36</v>
      </c>
    </row>
    <row r="73" spans="1:18" s="94" customFormat="1" x14ac:dyDescent="0.3"/>
    <row r="74" spans="1:18" s="94" customFormat="1" x14ac:dyDescent="0.3"/>
    <row r="75" spans="1:18" s="94" customFormat="1" x14ac:dyDescent="0.3">
      <c r="M75" s="279" t="s">
        <v>2101</v>
      </c>
      <c r="O75" s="279"/>
    </row>
    <row r="76" spans="1:18" s="94" customFormat="1" x14ac:dyDescent="0.3">
      <c r="M76" s="279"/>
      <c r="N76" s="282" t="s">
        <v>2102</v>
      </c>
    </row>
    <row r="77" spans="1:18" s="94" customFormat="1" x14ac:dyDescent="0.3">
      <c r="M77" s="279"/>
      <c r="N77" s="280" t="s">
        <v>2103</v>
      </c>
    </row>
    <row r="78" spans="1:18" s="94" customFormat="1" x14ac:dyDescent="0.3"/>
    <row r="79" spans="1:18" s="94" customFormat="1" x14ac:dyDescent="0.3"/>
    <row r="80" spans="1:18" s="94" customFormat="1" x14ac:dyDescent="0.3"/>
    <row r="81" s="94" customFormat="1" x14ac:dyDescent="0.3"/>
    <row r="82" s="94" customFormat="1" x14ac:dyDescent="0.3"/>
    <row r="83" s="94" customFormat="1" x14ac:dyDescent="0.3"/>
    <row r="84" s="94" customFormat="1" x14ac:dyDescent="0.3"/>
    <row r="85" s="94" customFormat="1" x14ac:dyDescent="0.3"/>
    <row r="86" s="94" customFormat="1" x14ac:dyDescent="0.3"/>
    <row r="87" s="94" customFormat="1" x14ac:dyDescent="0.3"/>
    <row r="88" s="94" customFormat="1" x14ac:dyDescent="0.3"/>
    <row r="89" s="94" customFormat="1" x14ac:dyDescent="0.3"/>
    <row r="90" s="94" customFormat="1" x14ac:dyDescent="0.3"/>
    <row r="91" s="94" customFormat="1" x14ac:dyDescent="0.3"/>
    <row r="92" s="94" customFormat="1" x14ac:dyDescent="0.3"/>
    <row r="93" s="94" customFormat="1" x14ac:dyDescent="0.3"/>
    <row r="94" s="94" customFormat="1" x14ac:dyDescent="0.3"/>
    <row r="95" s="94" customFormat="1" x14ac:dyDescent="0.3"/>
    <row r="96" s="94" customFormat="1" x14ac:dyDescent="0.3"/>
    <row r="97" s="94" customFormat="1" x14ac:dyDescent="0.3"/>
    <row r="98" s="94" customFormat="1" x14ac:dyDescent="0.3"/>
    <row r="99" s="94" customFormat="1" x14ac:dyDescent="0.3"/>
    <row r="100" s="94" customFormat="1" x14ac:dyDescent="0.3"/>
    <row r="101" s="94" customFormat="1" x14ac:dyDescent="0.3"/>
    <row r="102" s="94" customFormat="1" x14ac:dyDescent="0.3"/>
    <row r="103" s="94" customFormat="1" x14ac:dyDescent="0.3"/>
    <row r="104" s="94" customFormat="1" x14ac:dyDescent="0.3"/>
    <row r="105" s="94" customFormat="1" x14ac:dyDescent="0.3"/>
    <row r="106" s="94" customFormat="1" x14ac:dyDescent="0.3"/>
    <row r="107" s="94" customFormat="1" x14ac:dyDescent="0.3"/>
    <row r="108" s="94" customFormat="1" x14ac:dyDescent="0.3"/>
    <row r="109" s="94" customFormat="1" x14ac:dyDescent="0.3"/>
    <row r="110" s="94" customFormat="1" x14ac:dyDescent="0.3"/>
    <row r="111" s="94" customFormat="1" x14ac:dyDescent="0.3"/>
    <row r="112" s="94" customFormat="1" x14ac:dyDescent="0.3"/>
    <row r="113" s="94" customFormat="1" x14ac:dyDescent="0.3"/>
    <row r="114" s="94" customFormat="1" x14ac:dyDescent="0.3"/>
    <row r="115" s="94" customFormat="1" x14ac:dyDescent="0.3"/>
    <row r="116" s="94" customFormat="1" x14ac:dyDescent="0.3"/>
    <row r="117" s="94" customFormat="1" x14ac:dyDescent="0.3"/>
    <row r="118" s="94" customFormat="1" x14ac:dyDescent="0.3"/>
    <row r="119" s="94" customFormat="1" x14ac:dyDescent="0.3"/>
    <row r="120" s="94" customFormat="1" x14ac:dyDescent="0.3"/>
    <row r="121" s="94" customFormat="1" x14ac:dyDescent="0.3"/>
    <row r="122" s="94" customFormat="1" x14ac:dyDescent="0.3"/>
    <row r="123" s="94" customFormat="1" x14ac:dyDescent="0.3"/>
    <row r="124" s="94" customFormat="1" x14ac:dyDescent="0.3"/>
    <row r="125" s="94" customFormat="1" x14ac:dyDescent="0.3"/>
    <row r="126" s="94" customFormat="1" x14ac:dyDescent="0.3"/>
    <row r="127" s="94" customFormat="1" x14ac:dyDescent="0.3"/>
    <row r="128" s="94" customFormat="1" x14ac:dyDescent="0.3"/>
    <row r="129" s="94" customFormat="1" x14ac:dyDescent="0.3"/>
    <row r="130" s="94" customFormat="1" x14ac:dyDescent="0.3"/>
    <row r="131" s="94" customFormat="1" x14ac:dyDescent="0.3"/>
    <row r="132" s="94" customFormat="1" x14ac:dyDescent="0.3"/>
    <row r="133" s="94" customFormat="1" x14ac:dyDescent="0.3"/>
    <row r="134" s="94" customFormat="1" x14ac:dyDescent="0.3"/>
    <row r="135" s="94" customFormat="1" x14ac:dyDescent="0.3"/>
    <row r="136" s="94" customFormat="1" x14ac:dyDescent="0.3"/>
    <row r="137" s="94" customFormat="1" x14ac:dyDescent="0.3"/>
    <row r="138" s="94" customFormat="1" x14ac:dyDescent="0.3"/>
    <row r="139" s="94" customFormat="1" x14ac:dyDescent="0.3"/>
    <row r="140" s="94" customFormat="1" x14ac:dyDescent="0.3"/>
    <row r="141" s="94" customFormat="1" x14ac:dyDescent="0.3"/>
    <row r="142" s="94" customFormat="1" x14ac:dyDescent="0.3"/>
    <row r="143" s="94" customFormat="1" x14ac:dyDescent="0.3"/>
    <row r="144" s="94" customFormat="1" x14ac:dyDescent="0.3"/>
    <row r="145" s="94" customFormat="1" x14ac:dyDescent="0.3"/>
    <row r="146" s="94" customFormat="1" x14ac:dyDescent="0.3"/>
    <row r="147" s="94" customFormat="1" x14ac:dyDescent="0.3"/>
    <row r="148" s="94" customFormat="1" x14ac:dyDescent="0.3"/>
    <row r="149" s="94" customFormat="1" x14ac:dyDescent="0.3"/>
    <row r="150" s="94" customFormat="1" x14ac:dyDescent="0.3"/>
    <row r="151" s="94" customFormat="1" x14ac:dyDescent="0.3"/>
    <row r="152" s="94" customFormat="1" x14ac:dyDescent="0.3"/>
    <row r="153" s="94" customFormat="1" x14ac:dyDescent="0.3"/>
    <row r="154" s="94" customFormat="1" x14ac:dyDescent="0.3"/>
    <row r="155" s="94" customFormat="1" x14ac:dyDescent="0.3"/>
    <row r="156" s="94" customFormat="1" x14ac:dyDescent="0.3"/>
    <row r="157" s="94" customFormat="1" x14ac:dyDescent="0.3"/>
    <row r="158" s="94" customFormat="1" x14ac:dyDescent="0.3"/>
    <row r="159" s="94" customFormat="1" x14ac:dyDescent="0.3"/>
    <row r="160" s="94" customFormat="1" x14ac:dyDescent="0.3"/>
    <row r="161" s="94" customFormat="1" x14ac:dyDescent="0.3"/>
    <row r="162" s="94" customFormat="1" x14ac:dyDescent="0.3"/>
    <row r="163" s="94" customFormat="1" x14ac:dyDescent="0.3"/>
    <row r="164" s="94" customFormat="1" x14ac:dyDescent="0.3"/>
    <row r="165" s="94" customFormat="1" x14ac:dyDescent="0.3"/>
    <row r="166" s="94" customFormat="1" x14ac:dyDescent="0.3"/>
    <row r="167" s="94" customFormat="1" x14ac:dyDescent="0.3"/>
    <row r="168" s="94" customFormat="1" x14ac:dyDescent="0.3"/>
    <row r="169" s="94" customFormat="1" x14ac:dyDescent="0.3"/>
    <row r="170" s="94" customFormat="1" x14ac:dyDescent="0.3"/>
    <row r="171" s="94" customFormat="1" x14ac:dyDescent="0.3"/>
    <row r="172" s="94" customFormat="1" x14ac:dyDescent="0.3"/>
    <row r="173" s="94" customFormat="1" x14ac:dyDescent="0.3"/>
    <row r="174" s="94" customFormat="1" x14ac:dyDescent="0.3"/>
    <row r="175" s="94" customFormat="1" x14ac:dyDescent="0.3"/>
    <row r="176" s="94" customFormat="1" x14ac:dyDescent="0.3"/>
    <row r="177" s="94" customFormat="1" x14ac:dyDescent="0.3"/>
    <row r="178" s="94" customFormat="1" x14ac:dyDescent="0.3"/>
    <row r="179" s="94" customFormat="1" x14ac:dyDescent="0.3"/>
    <row r="180" s="94" customFormat="1" x14ac:dyDescent="0.3"/>
    <row r="181" s="94" customFormat="1" x14ac:dyDescent="0.3"/>
    <row r="182" s="94" customFormat="1" x14ac:dyDescent="0.3"/>
    <row r="183" s="94" customFormat="1" x14ac:dyDescent="0.3"/>
    <row r="184" s="94" customFormat="1" x14ac:dyDescent="0.3"/>
    <row r="185" s="94" customFormat="1" x14ac:dyDescent="0.3"/>
    <row r="186" s="94" customFormat="1" x14ac:dyDescent="0.3"/>
    <row r="187" s="94" customFormat="1" x14ac:dyDescent="0.3"/>
    <row r="188" s="94" customFormat="1" x14ac:dyDescent="0.3"/>
    <row r="189" s="94" customFormat="1" x14ac:dyDescent="0.3"/>
    <row r="190" s="94" customFormat="1" x14ac:dyDescent="0.3"/>
    <row r="191" s="94" customFormat="1" x14ac:dyDescent="0.3"/>
    <row r="192" s="94" customFormat="1" x14ac:dyDescent="0.3"/>
    <row r="193" s="94" customFormat="1" x14ac:dyDescent="0.3"/>
    <row r="194" s="94" customFormat="1" x14ac:dyDescent="0.3"/>
    <row r="195" s="94" customFormat="1" x14ac:dyDescent="0.3"/>
    <row r="196" s="94" customFormat="1" x14ac:dyDescent="0.3"/>
    <row r="197" s="94" customFormat="1" x14ac:dyDescent="0.3"/>
    <row r="198" s="94" customFormat="1" x14ac:dyDescent="0.3"/>
    <row r="199" s="94" customFormat="1" x14ac:dyDescent="0.3"/>
    <row r="200" s="94" customFormat="1" x14ac:dyDescent="0.3"/>
    <row r="201" s="94" customFormat="1" x14ac:dyDescent="0.3"/>
    <row r="202" s="94" customFormat="1" x14ac:dyDescent="0.3"/>
    <row r="203" s="94" customFormat="1" x14ac:dyDescent="0.3"/>
    <row r="204" s="94" customFormat="1" x14ac:dyDescent="0.3"/>
    <row r="205" s="94" customFormat="1" x14ac:dyDescent="0.3"/>
    <row r="206" s="94" customFormat="1" x14ac:dyDescent="0.3"/>
    <row r="207" s="94" customFormat="1" x14ac:dyDescent="0.3"/>
    <row r="208" s="94" customFormat="1" x14ac:dyDescent="0.3"/>
    <row r="209" s="94" customFormat="1" x14ac:dyDescent="0.3"/>
    <row r="210" s="94" customFormat="1" x14ac:dyDescent="0.3"/>
    <row r="211" s="94" customFormat="1" x14ac:dyDescent="0.3"/>
    <row r="212" s="94" customFormat="1" x14ac:dyDescent="0.3"/>
    <row r="213" s="94" customFormat="1" x14ac:dyDescent="0.3"/>
    <row r="214" s="94" customFormat="1" x14ac:dyDescent="0.3"/>
    <row r="215" s="94" customFormat="1" x14ac:dyDescent="0.3"/>
    <row r="216" s="94" customFormat="1" x14ac:dyDescent="0.3"/>
    <row r="217" s="94" customFormat="1" x14ac:dyDescent="0.3"/>
    <row r="218" s="94" customFormat="1" x14ac:dyDescent="0.3"/>
    <row r="219" s="94" customFormat="1" x14ac:dyDescent="0.3"/>
    <row r="220" s="94" customFormat="1" x14ac:dyDescent="0.3"/>
    <row r="221" s="94" customFormat="1" x14ac:dyDescent="0.3"/>
    <row r="222" s="94" customFormat="1" x14ac:dyDescent="0.3"/>
    <row r="223" s="94" customFormat="1" x14ac:dyDescent="0.3"/>
    <row r="224" s="94" customFormat="1" x14ac:dyDescent="0.3"/>
    <row r="225" s="94" customFormat="1" x14ac:dyDescent="0.3"/>
    <row r="226" s="94" customFormat="1" x14ac:dyDescent="0.3"/>
    <row r="227" s="94" customFormat="1" x14ac:dyDescent="0.3"/>
    <row r="228" s="94" customFormat="1" x14ac:dyDescent="0.3"/>
    <row r="229" s="94" customFormat="1" x14ac:dyDescent="0.3"/>
    <row r="230" s="94" customFormat="1" x14ac:dyDescent="0.3"/>
    <row r="231" s="94" customFormat="1" x14ac:dyDescent="0.3"/>
    <row r="232" s="94" customFormat="1" x14ac:dyDescent="0.3"/>
    <row r="233" s="94" customFormat="1" x14ac:dyDescent="0.3"/>
    <row r="234" s="94" customFormat="1" x14ac:dyDescent="0.3"/>
    <row r="235" s="94" customFormat="1" x14ac:dyDescent="0.3"/>
    <row r="236" s="94" customFormat="1" x14ac:dyDescent="0.3"/>
    <row r="237" s="94" customFormat="1" x14ac:dyDescent="0.3"/>
    <row r="238" s="94" customFormat="1" x14ac:dyDescent="0.3"/>
    <row r="239" s="94" customFormat="1" x14ac:dyDescent="0.3"/>
    <row r="240" s="94" customFormat="1" x14ac:dyDescent="0.3"/>
    <row r="241" s="94" customFormat="1" x14ac:dyDescent="0.3"/>
    <row r="242" s="94" customFormat="1" x14ac:dyDescent="0.3"/>
    <row r="243" s="94" customFormat="1" x14ac:dyDescent="0.3"/>
    <row r="244" s="94" customFormat="1" x14ac:dyDescent="0.3"/>
    <row r="245" s="94" customFormat="1" x14ac:dyDescent="0.3"/>
    <row r="246" s="94" customFormat="1" x14ac:dyDescent="0.3"/>
    <row r="247" s="94" customFormat="1" x14ac:dyDescent="0.3"/>
    <row r="248" s="94" customFormat="1" x14ac:dyDescent="0.3"/>
    <row r="249" s="94" customFormat="1" x14ac:dyDescent="0.3"/>
    <row r="250" s="94" customFormat="1" x14ac:dyDescent="0.3"/>
    <row r="251" s="94" customFormat="1" x14ac:dyDescent="0.3"/>
    <row r="252" s="94" customFormat="1" x14ac:dyDescent="0.3"/>
    <row r="253" s="94" customFormat="1" x14ac:dyDescent="0.3"/>
    <row r="254" s="94" customFormat="1" x14ac:dyDescent="0.3"/>
    <row r="255" s="94" customFormat="1" x14ac:dyDescent="0.3"/>
    <row r="256" s="94" customFormat="1" x14ac:dyDescent="0.3"/>
    <row r="257" s="94" customFormat="1" x14ac:dyDescent="0.3"/>
    <row r="258" s="94" customFormat="1" x14ac:dyDescent="0.3"/>
    <row r="259" s="94" customFormat="1" x14ac:dyDescent="0.3"/>
    <row r="260" s="94" customFormat="1" x14ac:dyDescent="0.3"/>
    <row r="261" s="94" customFormat="1" x14ac:dyDescent="0.3"/>
    <row r="262" s="94" customFormat="1" x14ac:dyDescent="0.3"/>
    <row r="263" s="94" customFormat="1" x14ac:dyDescent="0.3"/>
    <row r="264" s="94" customFormat="1" x14ac:dyDescent="0.3"/>
    <row r="265" s="94" customFormat="1" x14ac:dyDescent="0.3"/>
    <row r="266" s="94" customFormat="1" x14ac:dyDescent="0.3"/>
    <row r="267" s="94" customFormat="1" x14ac:dyDescent="0.3"/>
    <row r="268" s="94" customFormat="1" x14ac:dyDescent="0.3"/>
    <row r="269" s="94" customFormat="1" x14ac:dyDescent="0.3"/>
    <row r="270" s="94" customFormat="1" x14ac:dyDescent="0.3"/>
    <row r="271" s="94" customFormat="1" x14ac:dyDescent="0.3"/>
    <row r="272" s="94" customFormat="1" x14ac:dyDescent="0.3"/>
    <row r="273" s="94" customFormat="1" x14ac:dyDescent="0.3"/>
    <row r="274" s="94" customFormat="1" x14ac:dyDescent="0.3"/>
    <row r="275" s="94" customFormat="1" x14ac:dyDescent="0.3"/>
    <row r="276" s="94" customFormat="1" x14ac:dyDescent="0.3"/>
    <row r="277" s="94" customFormat="1" x14ac:dyDescent="0.3"/>
    <row r="278" s="94" customFormat="1" x14ac:dyDescent="0.3"/>
    <row r="279" s="94" customFormat="1" x14ac:dyDescent="0.3"/>
    <row r="280" s="94" customFormat="1" x14ac:dyDescent="0.3"/>
    <row r="281" s="94" customFormat="1" x14ac:dyDescent="0.3"/>
    <row r="282" s="94" customFormat="1" x14ac:dyDescent="0.3"/>
    <row r="283" s="94" customFormat="1" x14ac:dyDescent="0.3"/>
    <row r="284" s="94" customFormat="1" x14ac:dyDescent="0.3"/>
    <row r="285" s="94" customFormat="1" x14ac:dyDescent="0.3"/>
    <row r="286" s="94" customFormat="1" x14ac:dyDescent="0.3"/>
    <row r="287" s="94" customFormat="1" x14ac:dyDescent="0.3"/>
    <row r="288" s="94" customFormat="1" x14ac:dyDescent="0.3"/>
    <row r="289" s="94" customFormat="1" x14ac:dyDescent="0.3"/>
    <row r="290" s="94" customFormat="1" x14ac:dyDescent="0.3"/>
    <row r="291" s="94" customFormat="1" x14ac:dyDescent="0.3"/>
    <row r="292" s="94" customFormat="1" x14ac:dyDescent="0.3"/>
    <row r="293" s="94" customFormat="1" x14ac:dyDescent="0.3"/>
    <row r="294" s="94" customFormat="1" x14ac:dyDescent="0.3"/>
    <row r="295" s="94" customFormat="1" x14ac:dyDescent="0.3"/>
    <row r="296" s="94" customFormat="1" x14ac:dyDescent="0.3"/>
    <row r="297" s="94" customFormat="1" x14ac:dyDescent="0.3"/>
    <row r="298" s="94" customFormat="1" x14ac:dyDescent="0.3"/>
    <row r="299" s="94" customFormat="1" x14ac:dyDescent="0.3"/>
    <row r="300" s="94" customFormat="1" x14ac:dyDescent="0.3"/>
    <row r="301" s="94" customFormat="1" x14ac:dyDescent="0.3"/>
    <row r="302" s="94" customFormat="1" x14ac:dyDescent="0.3"/>
    <row r="303" s="94" customFormat="1" x14ac:dyDescent="0.3"/>
    <row r="304" s="94" customFormat="1" x14ac:dyDescent="0.3"/>
    <row r="305" s="94" customFormat="1" x14ac:dyDescent="0.3"/>
    <row r="306" s="94" customFormat="1" x14ac:dyDescent="0.3"/>
    <row r="307" s="94" customFormat="1" x14ac:dyDescent="0.3"/>
    <row r="308" s="94" customFormat="1" x14ac:dyDescent="0.3"/>
    <row r="309" s="94" customFormat="1" x14ac:dyDescent="0.3"/>
    <row r="310" s="94" customFormat="1" x14ac:dyDescent="0.3"/>
    <row r="311" s="94" customFormat="1" x14ac:dyDescent="0.3"/>
    <row r="312" s="94" customFormat="1" x14ac:dyDescent="0.3"/>
    <row r="313" s="94" customFormat="1" x14ac:dyDescent="0.3"/>
    <row r="314" s="94" customFormat="1" x14ac:dyDescent="0.3"/>
    <row r="315" s="94" customFormat="1" x14ac:dyDescent="0.3"/>
    <row r="316" s="94" customFormat="1" x14ac:dyDescent="0.3"/>
    <row r="317" s="94" customFormat="1" x14ac:dyDescent="0.3"/>
    <row r="318" s="94" customFormat="1" x14ac:dyDescent="0.3"/>
    <row r="319" s="94" customFormat="1" x14ac:dyDescent="0.3"/>
    <row r="320" s="94" customFormat="1" x14ac:dyDescent="0.3"/>
    <row r="321" s="94" customFormat="1" x14ac:dyDescent="0.3"/>
    <row r="322" s="94" customFormat="1" x14ac:dyDescent="0.3"/>
    <row r="323" s="94" customFormat="1" x14ac:dyDescent="0.3"/>
    <row r="324" s="94" customFormat="1" x14ac:dyDescent="0.3"/>
    <row r="325" s="94" customFormat="1" x14ac:dyDescent="0.3"/>
    <row r="326" s="94" customFormat="1" x14ac:dyDescent="0.3"/>
    <row r="327" s="94" customFormat="1" x14ac:dyDescent="0.3"/>
    <row r="328" s="94" customFormat="1" x14ac:dyDescent="0.3"/>
    <row r="329" s="94" customFormat="1" x14ac:dyDescent="0.3"/>
    <row r="330" s="94" customFormat="1" x14ac:dyDescent="0.3"/>
    <row r="331" s="94" customFormat="1" x14ac:dyDescent="0.3"/>
    <row r="332" s="94" customFormat="1" x14ac:dyDescent="0.3"/>
    <row r="333" s="94" customFormat="1" x14ac:dyDescent="0.3"/>
    <row r="334" s="94" customFormat="1" x14ac:dyDescent="0.3"/>
    <row r="335" s="94" customFormat="1" x14ac:dyDescent="0.3"/>
    <row r="336" s="94" customFormat="1" x14ac:dyDescent="0.3"/>
    <row r="337" s="94" customFormat="1" x14ac:dyDescent="0.3"/>
    <row r="338" s="94" customFormat="1" x14ac:dyDescent="0.3"/>
    <row r="339" s="94" customFormat="1" x14ac:dyDescent="0.3"/>
    <row r="340" s="94" customFormat="1" x14ac:dyDescent="0.3"/>
    <row r="341" s="94" customFormat="1" x14ac:dyDescent="0.3"/>
    <row r="342" s="94" customFormat="1" x14ac:dyDescent="0.3"/>
    <row r="343" s="94" customFormat="1" x14ac:dyDescent="0.3"/>
    <row r="344" s="94" customFormat="1" x14ac:dyDescent="0.3"/>
    <row r="345" s="94" customFormat="1" x14ac:dyDescent="0.3"/>
    <row r="346" s="94" customFormat="1" x14ac:dyDescent="0.3"/>
    <row r="347" s="94" customFormat="1" x14ac:dyDescent="0.3"/>
    <row r="348" s="94" customFormat="1" x14ac:dyDescent="0.3"/>
    <row r="349" s="94" customFormat="1" x14ac:dyDescent="0.3"/>
    <row r="350" s="94" customFormat="1" x14ac:dyDescent="0.3"/>
    <row r="351" s="94" customFormat="1" x14ac:dyDescent="0.3"/>
    <row r="352" s="94" customFormat="1" x14ac:dyDescent="0.3"/>
    <row r="353" s="94" customFormat="1" x14ac:dyDescent="0.3"/>
    <row r="354" s="94" customFormat="1" x14ac:dyDescent="0.3"/>
    <row r="355" s="94" customFormat="1" x14ac:dyDescent="0.3"/>
    <row r="356" s="94" customFormat="1" x14ac:dyDescent="0.3"/>
    <row r="357" s="94" customFormat="1" x14ac:dyDescent="0.3"/>
    <row r="358" s="94" customFormat="1" x14ac:dyDescent="0.3"/>
    <row r="359" s="94" customFormat="1" x14ac:dyDescent="0.3"/>
    <row r="360" s="94" customFormat="1" x14ac:dyDescent="0.3"/>
    <row r="361" s="94" customFormat="1" x14ac:dyDescent="0.3"/>
    <row r="362" s="94" customFormat="1" x14ac:dyDescent="0.3"/>
    <row r="363" s="94" customFormat="1" x14ac:dyDescent="0.3"/>
    <row r="364" s="94" customFormat="1" x14ac:dyDescent="0.3"/>
    <row r="365" s="94" customFormat="1" x14ac:dyDescent="0.3"/>
    <row r="366" s="94" customFormat="1" x14ac:dyDescent="0.3"/>
    <row r="367" s="94" customFormat="1" x14ac:dyDescent="0.3"/>
    <row r="368" s="94" customFormat="1" x14ac:dyDescent="0.3"/>
    <row r="369" s="94" customFormat="1" x14ac:dyDescent="0.3"/>
    <row r="370" s="94" customFormat="1" x14ac:dyDescent="0.3"/>
    <row r="371" s="94" customFormat="1" x14ac:dyDescent="0.3"/>
    <row r="372" s="94" customFormat="1" x14ac:dyDescent="0.3"/>
    <row r="373" s="94" customFormat="1" x14ac:dyDescent="0.3"/>
    <row r="374" s="94" customFormat="1" x14ac:dyDescent="0.3"/>
    <row r="375" s="94" customFormat="1" x14ac:dyDescent="0.3"/>
    <row r="376" s="94" customFormat="1" x14ac:dyDescent="0.3"/>
    <row r="377" s="94" customFormat="1" x14ac:dyDescent="0.3"/>
    <row r="378" s="94" customFormat="1" x14ac:dyDescent="0.3"/>
    <row r="379" s="94" customFormat="1" x14ac:dyDescent="0.3"/>
    <row r="380" s="94" customFormat="1" x14ac:dyDescent="0.3"/>
    <row r="381" s="94" customFormat="1" x14ac:dyDescent="0.3"/>
    <row r="382" s="94" customFormat="1" x14ac:dyDescent="0.3"/>
    <row r="383" s="94" customFormat="1" x14ac:dyDescent="0.3"/>
    <row r="384" s="94" customFormat="1" x14ac:dyDescent="0.3"/>
    <row r="385" s="94" customFormat="1" x14ac:dyDescent="0.3"/>
    <row r="386" s="94" customFormat="1" x14ac:dyDescent="0.3"/>
    <row r="387" s="94" customFormat="1" x14ac:dyDescent="0.3"/>
    <row r="388" s="94" customFormat="1" x14ac:dyDescent="0.3"/>
    <row r="389" s="94" customFormat="1" x14ac:dyDescent="0.3"/>
    <row r="390" s="94" customFormat="1" x14ac:dyDescent="0.3"/>
    <row r="391" s="94" customFormat="1" x14ac:dyDescent="0.3"/>
    <row r="392" s="94" customFormat="1" x14ac:dyDescent="0.3"/>
    <row r="393" s="94" customFormat="1" x14ac:dyDescent="0.3"/>
    <row r="394" s="94" customFormat="1" x14ac:dyDescent="0.3"/>
    <row r="395" s="94" customFormat="1" x14ac:dyDescent="0.3"/>
    <row r="396" s="94" customFormat="1" x14ac:dyDescent="0.3"/>
    <row r="397" s="94" customFormat="1" x14ac:dyDescent="0.3"/>
    <row r="398" s="94" customFormat="1" x14ac:dyDescent="0.3"/>
    <row r="399" s="94" customFormat="1" x14ac:dyDescent="0.3"/>
    <row r="400" s="94" customFormat="1" x14ac:dyDescent="0.3"/>
    <row r="401" s="94" customFormat="1" x14ac:dyDescent="0.3"/>
    <row r="402" s="94" customFormat="1" x14ac:dyDescent="0.3"/>
    <row r="403" s="94" customFormat="1" x14ac:dyDescent="0.3"/>
    <row r="404" s="94" customFormat="1" x14ac:dyDescent="0.3"/>
    <row r="405" s="94" customFormat="1" x14ac:dyDescent="0.3"/>
    <row r="406" s="94" customFormat="1" x14ac:dyDescent="0.3"/>
    <row r="407" s="94" customFormat="1" x14ac:dyDescent="0.3"/>
    <row r="408" s="94" customFormat="1" x14ac:dyDescent="0.3"/>
    <row r="409" s="94" customFormat="1" x14ac:dyDescent="0.3"/>
    <row r="410" s="94" customFormat="1" x14ac:dyDescent="0.3"/>
    <row r="411" s="94" customFormat="1" x14ac:dyDescent="0.3"/>
    <row r="412" s="94" customFormat="1" x14ac:dyDescent="0.3"/>
    <row r="413" s="94" customFormat="1" x14ac:dyDescent="0.3"/>
    <row r="414" s="94" customFormat="1" x14ac:dyDescent="0.3"/>
    <row r="415" s="94" customFormat="1" x14ac:dyDescent="0.3"/>
    <row r="416" s="94" customFormat="1" x14ac:dyDescent="0.3"/>
    <row r="417" s="94" customFormat="1" x14ac:dyDescent="0.3"/>
    <row r="418" s="94" customFormat="1" x14ac:dyDescent="0.3"/>
    <row r="419" s="94" customFormat="1" x14ac:dyDescent="0.3"/>
    <row r="420" s="94" customFormat="1" x14ac:dyDescent="0.3"/>
    <row r="421" s="94" customFormat="1" x14ac:dyDescent="0.3"/>
    <row r="422" s="94" customFormat="1" x14ac:dyDescent="0.3"/>
    <row r="423" s="94" customFormat="1" x14ac:dyDescent="0.3"/>
    <row r="424" s="94" customFormat="1" x14ac:dyDescent="0.3"/>
    <row r="425" s="94" customFormat="1" x14ac:dyDescent="0.3"/>
    <row r="426" s="94" customFormat="1" x14ac:dyDescent="0.3"/>
    <row r="427" s="94" customFormat="1" x14ac:dyDescent="0.3"/>
    <row r="428" s="94" customFormat="1" x14ac:dyDescent="0.3"/>
    <row r="429" s="94" customFormat="1" x14ac:dyDescent="0.3"/>
    <row r="430" s="94" customFormat="1" x14ac:dyDescent="0.3"/>
    <row r="431" s="94" customFormat="1" x14ac:dyDescent="0.3"/>
    <row r="432" s="94" customFormat="1" x14ac:dyDescent="0.3"/>
    <row r="433" s="94" customFormat="1" x14ac:dyDescent="0.3"/>
    <row r="434" s="94" customFormat="1" x14ac:dyDescent="0.3"/>
    <row r="435" s="94" customFormat="1" x14ac:dyDescent="0.3"/>
    <row r="436" s="94" customFormat="1" x14ac:dyDescent="0.3"/>
    <row r="437" s="94" customFormat="1" x14ac:dyDescent="0.3"/>
    <row r="438" s="94" customFormat="1" x14ac:dyDescent="0.3"/>
    <row r="439" s="94" customFormat="1" x14ac:dyDescent="0.3"/>
    <row r="440" s="94" customFormat="1" x14ac:dyDescent="0.3"/>
    <row r="441" s="94" customFormat="1" x14ac:dyDescent="0.3"/>
    <row r="442" s="94" customFormat="1" x14ac:dyDescent="0.3"/>
    <row r="443" s="94" customFormat="1" x14ac:dyDescent="0.3"/>
    <row r="444" s="94" customFormat="1" x14ac:dyDescent="0.3"/>
    <row r="445" s="94" customFormat="1" x14ac:dyDescent="0.3"/>
    <row r="446" s="94" customFormat="1" x14ac:dyDescent="0.3"/>
    <row r="447" s="94" customFormat="1" x14ac:dyDescent="0.3"/>
    <row r="448" s="94" customFormat="1" x14ac:dyDescent="0.3"/>
    <row r="449" s="94" customFormat="1" x14ac:dyDescent="0.3"/>
    <row r="450" s="94" customFormat="1" x14ac:dyDescent="0.3"/>
    <row r="451" s="94" customFormat="1" x14ac:dyDescent="0.3"/>
    <row r="452" s="94" customFormat="1" x14ac:dyDescent="0.3"/>
    <row r="453" s="94" customFormat="1" x14ac:dyDescent="0.3"/>
    <row r="454" s="94" customFormat="1" x14ac:dyDescent="0.3"/>
    <row r="455" s="94" customFormat="1" x14ac:dyDescent="0.3"/>
    <row r="456" s="94" customFormat="1" x14ac:dyDescent="0.3"/>
    <row r="457" s="94" customFormat="1" x14ac:dyDescent="0.3"/>
    <row r="458" s="94" customFormat="1" x14ac:dyDescent="0.3"/>
    <row r="459" s="94" customFormat="1" x14ac:dyDescent="0.3"/>
    <row r="460" s="94" customFormat="1" x14ac:dyDescent="0.3"/>
    <row r="461" s="94" customFormat="1" x14ac:dyDescent="0.3"/>
    <row r="462" s="94" customFormat="1" x14ac:dyDescent="0.3"/>
    <row r="463" s="94" customFormat="1" x14ac:dyDescent="0.3"/>
    <row r="464" s="94" customFormat="1" x14ac:dyDescent="0.3"/>
    <row r="465" s="94" customFormat="1" x14ac:dyDescent="0.3"/>
    <row r="466" s="94" customFormat="1" x14ac:dyDescent="0.3"/>
    <row r="467" s="94" customFormat="1" x14ac:dyDescent="0.3"/>
    <row r="468" s="94" customFormat="1" x14ac:dyDescent="0.3"/>
    <row r="469" s="94" customFormat="1" x14ac:dyDescent="0.3"/>
    <row r="470" s="94" customFormat="1" x14ac:dyDescent="0.3"/>
    <row r="471" s="94" customFormat="1" x14ac:dyDescent="0.3"/>
    <row r="472" s="94" customFormat="1" x14ac:dyDescent="0.3"/>
    <row r="473" s="94" customFormat="1" x14ac:dyDescent="0.3"/>
    <row r="474" s="94" customFormat="1" x14ac:dyDescent="0.3"/>
    <row r="475" s="94" customFormat="1" x14ac:dyDescent="0.3"/>
    <row r="476" s="94" customFormat="1" x14ac:dyDescent="0.3"/>
    <row r="477" s="94" customFormat="1" x14ac:dyDescent="0.3"/>
    <row r="478" s="94" customFormat="1" x14ac:dyDescent="0.3"/>
    <row r="479" s="94" customFormat="1" x14ac:dyDescent="0.3"/>
    <row r="480" s="94" customFormat="1" x14ac:dyDescent="0.3"/>
    <row r="481" s="94" customFormat="1" x14ac:dyDescent="0.3"/>
    <row r="482" s="94" customFormat="1" x14ac:dyDescent="0.3"/>
    <row r="483" s="94" customFormat="1" x14ac:dyDescent="0.3"/>
    <row r="484" s="94" customFormat="1" x14ac:dyDescent="0.3"/>
    <row r="485" s="94" customFormat="1" x14ac:dyDescent="0.3"/>
    <row r="486" s="94" customFormat="1" x14ac:dyDescent="0.3"/>
    <row r="487" s="94" customFormat="1" x14ac:dyDescent="0.3"/>
    <row r="488" s="94" customFormat="1" x14ac:dyDescent="0.3"/>
    <row r="489" s="94" customFormat="1" x14ac:dyDescent="0.3"/>
    <row r="490" s="94" customFormat="1" x14ac:dyDescent="0.3"/>
    <row r="491" s="94" customFormat="1" x14ac:dyDescent="0.3"/>
    <row r="492" s="94" customFormat="1" x14ac:dyDescent="0.3"/>
    <row r="493" s="94" customFormat="1" x14ac:dyDescent="0.3"/>
    <row r="494" s="94" customFormat="1" x14ac:dyDescent="0.3"/>
    <row r="495" s="94" customFormat="1" x14ac:dyDescent="0.3"/>
    <row r="496" s="94" customFormat="1" x14ac:dyDescent="0.3"/>
    <row r="497" s="94" customFormat="1" x14ac:dyDescent="0.3"/>
    <row r="498" s="94" customFormat="1" x14ac:dyDescent="0.3"/>
    <row r="499" s="94" customFormat="1" x14ac:dyDescent="0.3"/>
    <row r="500" s="94" customFormat="1" x14ac:dyDescent="0.3"/>
    <row r="501" s="94" customFormat="1" x14ac:dyDescent="0.3"/>
    <row r="502" s="94" customFormat="1" x14ac:dyDescent="0.3"/>
    <row r="503" s="94" customFormat="1" x14ac:dyDescent="0.3"/>
    <row r="504" s="94" customFormat="1" x14ac:dyDescent="0.3"/>
    <row r="505" s="94" customFormat="1" x14ac:dyDescent="0.3"/>
    <row r="506" s="94" customFormat="1" x14ac:dyDescent="0.3"/>
    <row r="507" s="94" customFormat="1" x14ac:dyDescent="0.3"/>
    <row r="508" s="94" customFormat="1" x14ac:dyDescent="0.3"/>
    <row r="509" s="94" customFormat="1" x14ac:dyDescent="0.3"/>
    <row r="510" s="94" customFormat="1" x14ac:dyDescent="0.3"/>
    <row r="511" s="94" customFormat="1" x14ac:dyDescent="0.3"/>
    <row r="512" s="94" customFormat="1" x14ac:dyDescent="0.3"/>
    <row r="513" s="94" customFormat="1" x14ac:dyDescent="0.3"/>
    <row r="514" s="94" customFormat="1" x14ac:dyDescent="0.3"/>
    <row r="515" s="94" customFormat="1" x14ac:dyDescent="0.3"/>
    <row r="516" s="94" customFormat="1" x14ac:dyDescent="0.3"/>
    <row r="517" s="94" customFormat="1" x14ac:dyDescent="0.3"/>
    <row r="518" s="94" customFormat="1" x14ac:dyDescent="0.3"/>
    <row r="519" s="94" customFormat="1" x14ac:dyDescent="0.3"/>
    <row r="520" s="94" customFormat="1" x14ac:dyDescent="0.3"/>
    <row r="521" s="94" customFormat="1" x14ac:dyDescent="0.3"/>
    <row r="522" s="94" customFormat="1" x14ac:dyDescent="0.3"/>
    <row r="523" s="94" customFormat="1" x14ac:dyDescent="0.3"/>
    <row r="524" s="94" customFormat="1" x14ac:dyDescent="0.3"/>
    <row r="525" s="94" customFormat="1" x14ac:dyDescent="0.3"/>
    <row r="526" s="94" customFormat="1" x14ac:dyDescent="0.3"/>
    <row r="527" s="94" customFormat="1" x14ac:dyDescent="0.3"/>
    <row r="528" s="94" customFormat="1" x14ac:dyDescent="0.3"/>
    <row r="529" s="94" customFormat="1" x14ac:dyDescent="0.3"/>
    <row r="530" s="94" customFormat="1" x14ac:dyDescent="0.3"/>
    <row r="531" s="94" customFormat="1" x14ac:dyDescent="0.3"/>
    <row r="532" s="94" customFormat="1" x14ac:dyDescent="0.3"/>
    <row r="533" s="94" customFormat="1" x14ac:dyDescent="0.3"/>
    <row r="534" s="94" customFormat="1" x14ac:dyDescent="0.3"/>
    <row r="535" s="94" customFormat="1" x14ac:dyDescent="0.3"/>
    <row r="536" s="94" customFormat="1" x14ac:dyDescent="0.3"/>
    <row r="537" s="94" customFormat="1" x14ac:dyDescent="0.3"/>
    <row r="538" s="94" customFormat="1" x14ac:dyDescent="0.3"/>
    <row r="539" s="94" customFormat="1" x14ac:dyDescent="0.3"/>
  </sheetData>
  <sheetProtection algorithmName="SHA-512" hashValue="Y80WMjfkRt6XZc2C1MAsr/fqetjwVbs4GoxgwRNUVO0AOv6JCpkcbJR+HbmJs/jvFWNrGfZpHUIFQJGvXzhwKQ==" saltValue="LpdbF7eDf6VUZuRDxt2+jA==" spinCount="100000" sheet="1" objects="1" scenarios="1"/>
  <mergeCells count="47">
    <mergeCell ref="A10:C11"/>
    <mergeCell ref="H46:H47"/>
    <mergeCell ref="D48:D49"/>
    <mergeCell ref="H48:H49"/>
    <mergeCell ref="A56:A72"/>
    <mergeCell ref="C56:C60"/>
    <mergeCell ref="D57:D58"/>
    <mergeCell ref="D59:D60"/>
    <mergeCell ref="C62:C66"/>
    <mergeCell ref="D63:D64"/>
    <mergeCell ref="D65:D66"/>
    <mergeCell ref="C68:C72"/>
    <mergeCell ref="D69:D70"/>
    <mergeCell ref="H69:H70"/>
    <mergeCell ref="D71:D72"/>
    <mergeCell ref="H71:H72"/>
    <mergeCell ref="C39:C43"/>
    <mergeCell ref="D40:D41"/>
    <mergeCell ref="D42:D43"/>
    <mergeCell ref="C45:C49"/>
    <mergeCell ref="D46:D47"/>
    <mergeCell ref="D27:D28"/>
    <mergeCell ref="H27:H28"/>
    <mergeCell ref="D29:D30"/>
    <mergeCell ref="H29:H30"/>
    <mergeCell ref="D36:D37"/>
    <mergeCell ref="I3:J3"/>
    <mergeCell ref="C3:D3"/>
    <mergeCell ref="F3:G3"/>
    <mergeCell ref="J5:K5"/>
    <mergeCell ref="J6:K6"/>
    <mergeCell ref="J7:K7"/>
    <mergeCell ref="J8:K8"/>
    <mergeCell ref="A33:A49"/>
    <mergeCell ref="C33:C37"/>
    <mergeCell ref="D34:D35"/>
    <mergeCell ref="J9:K9"/>
    <mergeCell ref="J10:K10"/>
    <mergeCell ref="J11:K11"/>
    <mergeCell ref="A14:A30"/>
    <mergeCell ref="C14:C18"/>
    <mergeCell ref="D15:D16"/>
    <mergeCell ref="D17:D18"/>
    <mergeCell ref="C20:C24"/>
    <mergeCell ref="D21:D22"/>
    <mergeCell ref="D23:D24"/>
    <mergeCell ref="C26:C30"/>
  </mergeCells>
  <conditionalFormatting sqref="G5">
    <cfRule type="expression" dxfId="23" priority="11">
      <formula>IF($G$5="pass", 1,0)</formula>
    </cfRule>
    <cfRule type="expression" dxfId="22" priority="12">
      <formula>IF($G$5="fail", 1,0)</formula>
    </cfRule>
  </conditionalFormatting>
  <conditionalFormatting sqref="G6">
    <cfRule type="expression" dxfId="21" priority="9">
      <formula>IF($G$6="fail", 1,0)</formula>
    </cfRule>
    <cfRule type="expression" dxfId="20" priority="10">
      <formula>IF($G$6="pass", 1,0)</formula>
    </cfRule>
  </conditionalFormatting>
  <conditionalFormatting sqref="H5">
    <cfRule type="expression" dxfId="19" priority="7">
      <formula>IF($H$5="pass", 1,0)</formula>
    </cfRule>
    <cfRule type="expression" dxfId="18" priority="8">
      <formula>IF($H$5="fail", 1,0)</formula>
    </cfRule>
  </conditionalFormatting>
  <conditionalFormatting sqref="H6">
    <cfRule type="expression" dxfId="17" priority="1">
      <formula>IF($H$6="fail", 1,0)</formula>
    </cfRule>
    <cfRule type="expression" dxfId="16" priority="2">
      <formula>IF($H$6="pass", 1,0)</formula>
    </cfRule>
  </conditionalFormatting>
  <dataValidations count="3">
    <dataValidation type="list" allowBlank="1" showInputMessage="1" showErrorMessage="1" sqref="J7" xr:uid="{00000000-0002-0000-2000-000000000000}">
      <formula1>$N$11:$N$12</formula1>
    </dataValidation>
    <dataValidation type="list" allowBlank="1" showInputMessage="1" showErrorMessage="1" sqref="D5" xr:uid="{00000000-0002-0000-2000-000001000000}">
      <formula1>$N$7:$N$9</formula1>
    </dataValidation>
    <dataValidation type="list" allowBlank="1" showInputMessage="1" showErrorMessage="1" sqref="D11" xr:uid="{00000000-0002-0000-2000-000002000000}">
      <formula1>"Yes,No"</formula1>
    </dataValidation>
  </dataValidations>
  <hyperlinks>
    <hyperlink ref="A2" location="TOC!A1" display="Return to TOC" xr:uid="{00000000-0004-0000-20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3000000}">
          <x14:formula1>
            <xm:f>C_HVAC_Chiller!$B$64:$B$74</xm:f>
          </x14:formula1>
          <xm:sqref>D7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7">
    <tabColor theme="9" tint="0.79998168889431442"/>
    <pageSetUpPr autoPageBreaks="0"/>
  </sheetPr>
  <dimension ref="A1:BT99"/>
  <sheetViews>
    <sheetView zoomScaleNormal="100" workbookViewId="0">
      <selection sqref="A1:AF1"/>
    </sheetView>
  </sheetViews>
  <sheetFormatPr defaultColWidth="2.6640625" defaultRowHeight="14.4" x14ac:dyDescent="0.3"/>
  <cols>
    <col min="1" max="32" width="2.6640625" style="121"/>
    <col min="33" max="16384" width="2.6640625" style="1"/>
  </cols>
  <sheetData>
    <row r="1" spans="1:38" customFormat="1" ht="18" x14ac:dyDescent="0.3">
      <c r="A1" s="1131" t="s">
        <v>3723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
      <c r="AH1" s="1"/>
      <c r="AI1" s="1"/>
      <c r="AJ1" s="1"/>
      <c r="AL1" s="775"/>
    </row>
    <row r="2" spans="1:38" customFormat="1" ht="18" x14ac:dyDescent="0.3">
      <c r="A2" s="512"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
      <c r="AH2" s="1"/>
      <c r="AI2" s="1"/>
      <c r="AJ2" s="1"/>
      <c r="AL2" s="766"/>
    </row>
    <row r="3" spans="1:38" customFormat="1"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c r="AG3" s="1"/>
      <c r="AH3" s="1"/>
      <c r="AI3" s="1"/>
      <c r="AJ3" s="1"/>
      <c r="AL3" s="709"/>
    </row>
    <row r="4" spans="1:38" customFormat="1"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
      <c r="AH4" s="1"/>
      <c r="AI4" s="1"/>
      <c r="AJ4" s="1"/>
      <c r="AL4" s="709"/>
    </row>
    <row r="5" spans="1:38" customFormat="1" ht="52.5" customHeight="1" x14ac:dyDescent="0.3">
      <c r="A5" s="121"/>
      <c r="B5" s="889" t="s">
        <v>6308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G5" s="1"/>
      <c r="AH5" s="1"/>
      <c r="AI5" s="1"/>
      <c r="AJ5" s="1"/>
      <c r="AL5" s="478"/>
    </row>
    <row r="6" spans="1:38" customFormat="1" ht="18"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
      <c r="AH6" s="1"/>
      <c r="AI6" s="1"/>
      <c r="AJ6" s="1"/>
      <c r="AL6" s="709"/>
    </row>
    <row r="7" spans="1:38" customForma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
      <c r="AH7" s="1"/>
      <c r="AI7" s="1"/>
      <c r="AJ7" s="1"/>
      <c r="AL7" s="709"/>
    </row>
    <row r="8" spans="1:38" customFormat="1"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1"/>
      <c r="AH8" s="1"/>
      <c r="AI8" s="1"/>
      <c r="AJ8" s="1"/>
      <c r="AL8" s="709"/>
    </row>
    <row r="9" spans="1:38" customFormat="1"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L9" s="709"/>
    </row>
    <row r="10" spans="1:38" customFormat="1" ht="31.5" customHeight="1" x14ac:dyDescent="0.3">
      <c r="A10" s="121"/>
      <c r="B10" s="1373" t="s">
        <v>3724</v>
      </c>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
      <c r="AH10" s="1"/>
      <c r="AI10" s="1"/>
      <c r="AJ10" s="1"/>
      <c r="AL10" s="709"/>
    </row>
    <row r="11" spans="1:38" customFormat="1" ht="30" customHeight="1" x14ac:dyDescent="0.3">
      <c r="A11" s="121"/>
      <c r="B11" s="370" t="s">
        <v>803</v>
      </c>
      <c r="C11" s="1373" t="s">
        <v>6309</v>
      </c>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
      <c r="AH11" s="1"/>
      <c r="AI11" s="1"/>
      <c r="AJ11" s="1"/>
      <c r="AL11" s="478"/>
    </row>
    <row r="12" spans="1:38" customFormat="1" ht="30" customHeight="1" x14ac:dyDescent="0.3">
      <c r="A12" s="121"/>
      <c r="B12" s="370" t="s">
        <v>803</v>
      </c>
      <c r="C12" s="1373" t="s">
        <v>6310</v>
      </c>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
      <c r="AH12" s="1"/>
      <c r="AI12" s="1"/>
      <c r="AJ12" s="1"/>
      <c r="AL12" s="709"/>
    </row>
    <row r="13" spans="1:38" customFormat="1" ht="30" customHeight="1" x14ac:dyDescent="0.3">
      <c r="A13" s="121"/>
      <c r="B13" s="370" t="s">
        <v>803</v>
      </c>
      <c r="C13" s="1373" t="s">
        <v>6330</v>
      </c>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
      <c r="AH13" s="1"/>
      <c r="AI13" s="1"/>
      <c r="AJ13" s="1"/>
      <c r="AL13" s="709"/>
    </row>
    <row r="14" spans="1:38" customFormat="1" x14ac:dyDescent="0.3">
      <c r="A14" s="121"/>
      <c r="B14" s="370" t="s">
        <v>803</v>
      </c>
      <c r="C14" s="1373" t="s">
        <v>6311</v>
      </c>
      <c r="D14" s="1373"/>
      <c r="E14" s="1373"/>
      <c r="F14" s="1373"/>
      <c r="G14" s="1373"/>
      <c r="H14" s="1373"/>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
      <c r="AH14" s="1"/>
      <c r="AI14" s="1"/>
      <c r="AJ14" s="1"/>
      <c r="AL14" s="709"/>
    </row>
    <row r="15" spans="1:38" customFormat="1" x14ac:dyDescent="0.3">
      <c r="A15" s="121"/>
      <c r="B15" s="370" t="s">
        <v>803</v>
      </c>
      <c r="C15" s="59" t="s">
        <v>3725</v>
      </c>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3"/>
      <c r="AE15" s="313"/>
      <c r="AF15" s="313"/>
      <c r="AG15" s="1"/>
      <c r="AH15" s="1"/>
      <c r="AI15" s="1"/>
      <c r="AJ15" s="1"/>
      <c r="AL15" s="709"/>
    </row>
    <row r="16" spans="1:38" customFormat="1" x14ac:dyDescent="0.3">
      <c r="A16" s="121"/>
      <c r="B16" s="370" t="s">
        <v>803</v>
      </c>
      <c r="C16" s="59" t="s">
        <v>3726</v>
      </c>
      <c r="D16" s="313"/>
      <c r="E16" s="313"/>
      <c r="F16" s="313"/>
      <c r="G16" s="313"/>
      <c r="H16" s="313"/>
      <c r="I16" s="313"/>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1"/>
      <c r="AH16" s="1"/>
      <c r="AI16" s="1"/>
      <c r="AJ16" s="1"/>
      <c r="AL16" s="709"/>
    </row>
    <row r="17" spans="1:38" customFormat="1" x14ac:dyDescent="0.3">
      <c r="A17" s="121"/>
      <c r="B17" s="370" t="s">
        <v>803</v>
      </c>
      <c r="C17" s="59" t="s">
        <v>6312</v>
      </c>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1"/>
      <c r="AH17" s="1"/>
      <c r="AI17" s="1"/>
      <c r="AJ17" s="1"/>
      <c r="AL17" s="709"/>
    </row>
    <row r="18" spans="1:38" customFormat="1" x14ac:dyDescent="0.3">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J18" s="1"/>
      <c r="AL18" s="709"/>
    </row>
    <row r="19" spans="1:38" customFormat="1" x14ac:dyDescent="0.3">
      <c r="A19" s="121"/>
      <c r="B19" s="267" t="s">
        <v>4</v>
      </c>
      <c r="C19" s="267"/>
      <c r="D19" s="267"/>
      <c r="E19" s="267"/>
      <c r="F19" s="267"/>
      <c r="G19" s="267"/>
      <c r="H19" s="267"/>
      <c r="I19" s="267"/>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
      <c r="AH19" s="1"/>
      <c r="AI19" s="1"/>
      <c r="AJ19" s="1"/>
      <c r="AL19" s="709"/>
    </row>
    <row r="20" spans="1:38" customFormat="1" ht="31.5" customHeight="1" x14ac:dyDescent="0.3">
      <c r="A20" s="121"/>
      <c r="B20" s="884" t="s">
        <v>6313</v>
      </c>
      <c r="C20" s="884"/>
      <c r="D20" s="884"/>
      <c r="E20" s="884"/>
      <c r="F20" s="884"/>
      <c r="G20" s="884"/>
      <c r="H20" s="884"/>
      <c r="I20" s="884"/>
      <c r="J20" s="884"/>
      <c r="K20" s="884"/>
      <c r="L20" s="884"/>
      <c r="M20" s="884"/>
      <c r="N20" s="884"/>
      <c r="O20" s="884"/>
      <c r="P20" s="884"/>
      <c r="Q20" s="884"/>
      <c r="R20" s="884"/>
      <c r="S20" s="884"/>
      <c r="T20" s="884"/>
      <c r="U20" s="884"/>
      <c r="V20" s="884"/>
      <c r="W20" s="884"/>
      <c r="X20" s="884"/>
      <c r="Y20" s="884"/>
      <c r="Z20" s="884"/>
      <c r="AA20" s="884"/>
      <c r="AB20" s="884"/>
      <c r="AC20" s="884"/>
      <c r="AD20" s="884"/>
      <c r="AE20" s="884"/>
      <c r="AF20" s="884"/>
      <c r="AG20" s="1"/>
      <c r="AH20" s="1"/>
      <c r="AI20" s="1"/>
      <c r="AJ20" s="1"/>
      <c r="AL20" s="478"/>
    </row>
    <row r="21" spans="1:38" customFormat="1" x14ac:dyDescent="0.3">
      <c r="A21" s="121"/>
      <c r="B21" s="267"/>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
      <c r="AH21" s="1"/>
      <c r="AI21" s="1"/>
      <c r="AJ21" s="1"/>
      <c r="AL21" s="709"/>
    </row>
    <row r="22" spans="1:38" customFormat="1" ht="33.75" customHeight="1" x14ac:dyDescent="0.3">
      <c r="A22" s="122"/>
      <c r="B22" s="884" t="s">
        <v>6331</v>
      </c>
      <c r="C22" s="884"/>
      <c r="D22" s="884"/>
      <c r="E22" s="884"/>
      <c r="F22" s="884"/>
      <c r="G22" s="884"/>
      <c r="H22" s="884"/>
      <c r="I22" s="884"/>
      <c r="J22" s="884"/>
      <c r="K22" s="884"/>
      <c r="L22" s="884"/>
      <c r="M22" s="884"/>
      <c r="N22" s="884"/>
      <c r="O22" s="884"/>
      <c r="P22" s="884"/>
      <c r="Q22" s="884"/>
      <c r="R22" s="884"/>
      <c r="S22" s="884"/>
      <c r="T22" s="884"/>
      <c r="U22" s="884"/>
      <c r="V22" s="884"/>
      <c r="W22" s="884"/>
      <c r="X22" s="884"/>
      <c r="Y22" s="884"/>
      <c r="Z22" s="884"/>
      <c r="AA22" s="884"/>
      <c r="AB22" s="884"/>
      <c r="AC22" s="884"/>
      <c r="AD22" s="884"/>
      <c r="AE22" s="884"/>
      <c r="AF22" s="884"/>
      <c r="AG22" s="1"/>
      <c r="AH22" s="1"/>
      <c r="AI22" s="1"/>
      <c r="AJ22" s="1"/>
      <c r="AL22" s="709"/>
    </row>
    <row r="23" spans="1:38" customFormat="1" x14ac:dyDescent="0.3">
      <c r="A23" s="122"/>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1"/>
      <c r="AH23" s="1"/>
      <c r="AI23" s="1"/>
      <c r="AJ23" s="1"/>
      <c r="AL23" s="709"/>
    </row>
    <row r="24" spans="1:38" customFormat="1" x14ac:dyDescent="0.3">
      <c r="A24" s="122"/>
      <c r="B24" s="884" t="s">
        <v>3727</v>
      </c>
      <c r="C24" s="884"/>
      <c r="D24" s="884"/>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4"/>
      <c r="AG24" s="1"/>
      <c r="AH24" s="1"/>
      <c r="AI24" s="1"/>
      <c r="AJ24" s="1"/>
      <c r="AL24" s="709"/>
    </row>
    <row r="25" spans="1:38" customFormat="1" x14ac:dyDescent="0.3">
      <c r="A25" s="122"/>
      <c r="B25" s="370" t="s">
        <v>803</v>
      </c>
      <c r="C25" s="884" t="s">
        <v>3728</v>
      </c>
      <c r="D25" s="884"/>
      <c r="E25" s="884"/>
      <c r="F25" s="884"/>
      <c r="G25" s="884"/>
      <c r="H25" s="884"/>
      <c r="I25" s="884"/>
      <c r="J25" s="884"/>
      <c r="K25" s="884"/>
      <c r="L25" s="884"/>
      <c r="M25" s="884"/>
      <c r="N25" s="884"/>
      <c r="O25" s="884"/>
      <c r="P25" s="884"/>
      <c r="Q25" s="884"/>
      <c r="R25" s="884"/>
      <c r="S25" s="884"/>
      <c r="T25" s="884"/>
      <c r="U25" s="884"/>
      <c r="V25" s="884"/>
      <c r="W25" s="884"/>
      <c r="X25" s="884"/>
      <c r="Y25" s="884"/>
      <c r="Z25" s="884"/>
      <c r="AA25" s="884"/>
      <c r="AB25" s="884"/>
      <c r="AC25" s="884"/>
      <c r="AD25" s="884"/>
      <c r="AE25" s="884"/>
      <c r="AF25" s="884"/>
      <c r="AG25" s="1"/>
      <c r="AH25" s="1"/>
      <c r="AI25" s="1"/>
      <c r="AJ25" s="1"/>
      <c r="AL25" s="709"/>
    </row>
    <row r="26" spans="1:38" customFormat="1" x14ac:dyDescent="0.3">
      <c r="A26" s="122"/>
      <c r="B26" s="370" t="s">
        <v>803</v>
      </c>
      <c r="C26" s="884" t="s">
        <v>3729</v>
      </c>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4"/>
      <c r="AG26" s="1"/>
      <c r="AH26" s="1"/>
      <c r="AI26" s="1"/>
      <c r="AJ26" s="1"/>
      <c r="AL26" s="709"/>
    </row>
    <row r="27" spans="1:38" customFormat="1" x14ac:dyDescent="0.3">
      <c r="A27" s="122"/>
      <c r="B27" s="370" t="s">
        <v>803</v>
      </c>
      <c r="C27" s="884" t="s">
        <v>3730</v>
      </c>
      <c r="D27" s="884"/>
      <c r="E27" s="884"/>
      <c r="F27" s="884"/>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4"/>
      <c r="AE27" s="884"/>
      <c r="AF27" s="884"/>
      <c r="AG27" s="1"/>
      <c r="AH27" s="1"/>
      <c r="AI27" s="1"/>
      <c r="AJ27" s="1"/>
      <c r="AL27" s="709"/>
    </row>
    <row r="28" spans="1:38" customFormat="1" x14ac:dyDescent="0.3">
      <c r="A28" s="122"/>
      <c r="B28" s="370" t="s">
        <v>803</v>
      </c>
      <c r="C28" s="884" t="s">
        <v>3705</v>
      </c>
      <c r="D28" s="884"/>
      <c r="E28" s="884"/>
      <c r="F28" s="884"/>
      <c r="G28" s="884"/>
      <c r="H28" s="884"/>
      <c r="I28" s="884"/>
      <c r="J28" s="884"/>
      <c r="K28" s="884"/>
      <c r="L28" s="884"/>
      <c r="M28" s="884"/>
      <c r="N28" s="884"/>
      <c r="O28" s="884"/>
      <c r="P28" s="884"/>
      <c r="Q28" s="884"/>
      <c r="R28" s="884"/>
      <c r="S28" s="884"/>
      <c r="T28" s="884"/>
      <c r="U28" s="884"/>
      <c r="V28" s="884"/>
      <c r="W28" s="884"/>
      <c r="X28" s="884"/>
      <c r="Y28" s="884"/>
      <c r="Z28" s="884"/>
      <c r="AA28" s="884"/>
      <c r="AB28" s="884"/>
      <c r="AC28" s="884"/>
      <c r="AD28" s="884"/>
      <c r="AE28" s="884"/>
      <c r="AF28" s="884"/>
      <c r="AG28" s="1"/>
      <c r="AH28" s="1"/>
      <c r="AI28" s="1"/>
      <c r="AJ28" s="1"/>
      <c r="AL28" s="709"/>
    </row>
    <row r="29" spans="1:38" customFormat="1" x14ac:dyDescent="0.3">
      <c r="A29" s="122"/>
      <c r="B29" s="370" t="s">
        <v>803</v>
      </c>
      <c r="C29" s="884" t="s">
        <v>3731</v>
      </c>
      <c r="D29" s="884"/>
      <c r="E29" s="884"/>
      <c r="F29" s="884"/>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1"/>
      <c r="AH29" s="1"/>
      <c r="AI29" s="1"/>
      <c r="AJ29" s="1"/>
      <c r="AL29" s="709"/>
    </row>
    <row r="30" spans="1:38" customFormat="1" x14ac:dyDescent="0.3">
      <c r="A30" s="121"/>
      <c r="B30" s="370" t="s">
        <v>803</v>
      </c>
      <c r="C30" s="884" t="s">
        <v>3732</v>
      </c>
      <c r="D30" s="884"/>
      <c r="E30" s="884"/>
      <c r="F30" s="884"/>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1"/>
      <c r="AH30" s="1"/>
      <c r="AI30" s="1"/>
      <c r="AJ30" s="1"/>
      <c r="AL30" s="709"/>
    </row>
    <row r="31" spans="1:38" customFormat="1" x14ac:dyDescent="0.3">
      <c r="A31" s="121"/>
      <c r="B31" s="370"/>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8"/>
      <c r="AE31" s="508"/>
      <c r="AF31" s="508"/>
      <c r="AG31" s="1"/>
      <c r="AH31" s="1"/>
      <c r="AI31" s="1"/>
      <c r="AJ31" s="1"/>
      <c r="AL31" s="709"/>
    </row>
    <row r="32" spans="1:38" customFormat="1" x14ac:dyDescent="0.3">
      <c r="A32" s="121"/>
      <c r="B32" s="267" t="s">
        <v>5</v>
      </c>
      <c r="C32" s="267"/>
      <c r="D32" s="267"/>
      <c r="E32" s="267"/>
      <c r="F32" s="267"/>
      <c r="G32" s="267"/>
      <c r="H32" s="267"/>
      <c r="I32" s="267"/>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
      <c r="AH32" s="1"/>
      <c r="AI32" s="1"/>
      <c r="AJ32" s="1"/>
      <c r="AL32" s="709"/>
    </row>
    <row r="33" spans="1:38" customFormat="1" x14ac:dyDescent="0.3">
      <c r="A33" s="121"/>
      <c r="B33" s="121" t="s">
        <v>2718</v>
      </c>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
      <c r="AH33" s="1"/>
      <c r="AI33" s="1"/>
      <c r="AJ33" s="1"/>
      <c r="AL33" s="709"/>
    </row>
    <row r="34" spans="1:38" customFormat="1"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
      <c r="AH34" s="1"/>
      <c r="AI34" s="1"/>
      <c r="AJ34" s="1"/>
      <c r="AL34" s="709"/>
    </row>
    <row r="35" spans="1:38" customFormat="1" x14ac:dyDescent="0.3">
      <c r="A35" s="121"/>
      <c r="B35" s="267" t="s">
        <v>6</v>
      </c>
      <c r="C35" s="267"/>
      <c r="D35" s="267"/>
      <c r="E35" s="267"/>
      <c r="F35" s="267"/>
      <c r="G35" s="267"/>
      <c r="H35" s="267"/>
      <c r="I35" s="267"/>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L35" s="709"/>
    </row>
    <row r="36" spans="1:38" customFormat="1" ht="92.25" customHeight="1" x14ac:dyDescent="0.3">
      <c r="A36" s="122"/>
      <c r="B36" s="889" t="s">
        <v>6332</v>
      </c>
      <c r="C36" s="889"/>
      <c r="D36" s="889"/>
      <c r="E36" s="889"/>
      <c r="F36" s="889"/>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1"/>
      <c r="AH36" s="1"/>
      <c r="AI36" s="1"/>
      <c r="AJ36" s="1"/>
      <c r="AL36" s="478"/>
    </row>
    <row r="37" spans="1:38" customFormat="1" x14ac:dyDescent="0.3">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
      <c r="AH37" s="1"/>
      <c r="AI37" s="1"/>
      <c r="AJ37" s="1"/>
      <c r="AL37" s="709"/>
    </row>
    <row r="38" spans="1:38" customFormat="1" ht="84.75" customHeight="1" x14ac:dyDescent="0.3">
      <c r="A38" s="122"/>
      <c r="B38" s="884" t="s">
        <v>6314</v>
      </c>
      <c r="C38" s="884"/>
      <c r="D38" s="884"/>
      <c r="E38" s="884"/>
      <c r="F38" s="884"/>
      <c r="G38" s="884"/>
      <c r="H38" s="884"/>
      <c r="I38" s="884"/>
      <c r="J38" s="884"/>
      <c r="K38" s="884"/>
      <c r="L38" s="884"/>
      <c r="M38" s="884"/>
      <c r="N38" s="884"/>
      <c r="O38" s="884"/>
      <c r="P38" s="884"/>
      <c r="Q38" s="884"/>
      <c r="R38" s="884"/>
      <c r="S38" s="884"/>
      <c r="T38" s="884"/>
      <c r="U38" s="884"/>
      <c r="V38" s="884"/>
      <c r="W38" s="884"/>
      <c r="X38" s="884"/>
      <c r="Y38" s="884"/>
      <c r="Z38" s="884"/>
      <c r="AA38" s="884"/>
      <c r="AB38" s="884"/>
      <c r="AC38" s="884"/>
      <c r="AD38" s="884"/>
      <c r="AE38" s="884"/>
      <c r="AF38" s="884"/>
      <c r="AG38" s="1"/>
      <c r="AH38" s="1"/>
      <c r="AI38" s="1"/>
      <c r="AJ38" s="1"/>
      <c r="AL38" s="478"/>
    </row>
    <row r="39" spans="1:38" customFormat="1" x14ac:dyDescent="0.3">
      <c r="A39" s="122"/>
      <c r="B39" s="122"/>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
      <c r="AH39" s="1"/>
      <c r="AI39" s="1"/>
      <c r="AJ39" s="1"/>
      <c r="AL39" s="709"/>
    </row>
    <row r="40" spans="1:38" customFormat="1" ht="60.75" customHeight="1" x14ac:dyDescent="0.3">
      <c r="A40" s="121"/>
      <c r="B40" s="884" t="s">
        <v>6315</v>
      </c>
      <c r="C40" s="884"/>
      <c r="D40" s="884"/>
      <c r="E40" s="884"/>
      <c r="F40" s="884"/>
      <c r="G40" s="884"/>
      <c r="H40" s="884"/>
      <c r="I40" s="884"/>
      <c r="J40" s="884"/>
      <c r="K40" s="884"/>
      <c r="L40" s="884"/>
      <c r="M40" s="884"/>
      <c r="N40" s="884"/>
      <c r="O40" s="884"/>
      <c r="P40" s="884"/>
      <c r="Q40" s="884"/>
      <c r="R40" s="884"/>
      <c r="S40" s="884"/>
      <c r="T40" s="884"/>
      <c r="U40" s="884"/>
      <c r="V40" s="884"/>
      <c r="W40" s="884"/>
      <c r="X40" s="884"/>
      <c r="Y40" s="884"/>
      <c r="Z40" s="884"/>
      <c r="AA40" s="884"/>
      <c r="AB40" s="884"/>
      <c r="AC40" s="884"/>
      <c r="AD40" s="884"/>
      <c r="AE40" s="884"/>
      <c r="AF40" s="884"/>
      <c r="AL40" s="478"/>
    </row>
    <row r="41" spans="1:38" customFormat="1" x14ac:dyDescent="0.3">
      <c r="A41" s="121"/>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L41" s="478"/>
    </row>
    <row r="42" spans="1:38" customFormat="1" ht="34.5" customHeight="1" x14ac:dyDescent="0.3">
      <c r="A42" s="122"/>
      <c r="B42" s="889" t="s">
        <v>3733</v>
      </c>
      <c r="C42" s="889"/>
      <c r="D42" s="889"/>
      <c r="E42" s="889"/>
      <c r="F42" s="889"/>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c r="AG42" s="1"/>
      <c r="AH42" s="1"/>
      <c r="AI42" s="1"/>
      <c r="AJ42" s="1"/>
      <c r="AL42" s="709"/>
    </row>
    <row r="43" spans="1:38" customFormat="1" x14ac:dyDescent="0.3">
      <c r="A43" s="122"/>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
      <c r="AH43" s="1"/>
      <c r="AI43" s="1"/>
      <c r="AJ43" s="1"/>
      <c r="AL43" s="709"/>
    </row>
    <row r="44" spans="1:38" customFormat="1" ht="95.25" customHeight="1" x14ac:dyDescent="0.3">
      <c r="A44" s="122"/>
      <c r="B44" s="889" t="s">
        <v>6333</v>
      </c>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1"/>
      <c r="AH44" s="1"/>
      <c r="AI44" s="1"/>
      <c r="AJ44" s="1"/>
      <c r="AL44" s="478"/>
    </row>
    <row r="45" spans="1:38" customFormat="1" x14ac:dyDescent="0.3">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
      <c r="AH45" s="1"/>
      <c r="AI45" s="1"/>
      <c r="AJ45" s="1"/>
      <c r="AL45" s="709"/>
    </row>
    <row r="46" spans="1:38" customFormat="1" x14ac:dyDescent="0.3">
      <c r="A46" s="121"/>
      <c r="B46" s="267" t="s">
        <v>13</v>
      </c>
      <c r="C46" s="267"/>
      <c r="D46" s="267"/>
      <c r="E46" s="267"/>
      <c r="F46" s="267"/>
      <c r="G46" s="267"/>
      <c r="H46" s="267"/>
      <c r="I46" s="267"/>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
      <c r="AH46" s="1"/>
      <c r="AI46" s="1"/>
      <c r="AJ46" s="1"/>
      <c r="AL46" s="709"/>
    </row>
    <row r="47" spans="1:38" customFormat="1" ht="81" customHeight="1" x14ac:dyDescent="0.3">
      <c r="A47" s="122"/>
      <c r="B47" s="884" t="s">
        <v>6334</v>
      </c>
      <c r="C47" s="884"/>
      <c r="D47" s="884"/>
      <c r="E47" s="884"/>
      <c r="F47" s="884"/>
      <c r="G47" s="884"/>
      <c r="H47" s="884"/>
      <c r="I47" s="884"/>
      <c r="J47" s="884"/>
      <c r="K47" s="884"/>
      <c r="L47" s="884"/>
      <c r="M47" s="884"/>
      <c r="N47" s="884"/>
      <c r="O47" s="884"/>
      <c r="P47" s="884"/>
      <c r="Q47" s="884"/>
      <c r="R47" s="884"/>
      <c r="S47" s="884"/>
      <c r="T47" s="884"/>
      <c r="U47" s="884"/>
      <c r="V47" s="884"/>
      <c r="W47" s="884"/>
      <c r="X47" s="884"/>
      <c r="Y47" s="884"/>
      <c r="Z47" s="884"/>
      <c r="AA47" s="884"/>
      <c r="AB47" s="884"/>
      <c r="AC47" s="884"/>
      <c r="AD47" s="884"/>
      <c r="AE47" s="884"/>
      <c r="AF47" s="884"/>
      <c r="AG47" s="1"/>
      <c r="AH47" s="1"/>
      <c r="AI47" s="1"/>
      <c r="AJ47" s="1"/>
      <c r="AL47" s="478"/>
    </row>
    <row r="48" spans="1:38" customFormat="1" x14ac:dyDescent="0.3">
      <c r="A48" s="122"/>
      <c r="B48" s="508"/>
      <c r="C48" s="508"/>
      <c r="D48" s="508"/>
      <c r="E48" s="508"/>
      <c r="F48" s="508"/>
      <c r="G48" s="508"/>
      <c r="H48" s="508"/>
      <c r="I48" s="508"/>
      <c r="J48" s="508"/>
      <c r="K48" s="508"/>
      <c r="L48" s="508"/>
      <c r="M48" s="508"/>
      <c r="N48" s="508"/>
      <c r="O48" s="508"/>
      <c r="P48" s="508"/>
      <c r="Q48" s="508"/>
      <c r="R48" s="508"/>
      <c r="S48" s="508"/>
      <c r="T48" s="508"/>
      <c r="U48" s="508"/>
      <c r="V48" s="508"/>
      <c r="W48" s="508"/>
      <c r="X48" s="508"/>
      <c r="Y48" s="508"/>
      <c r="Z48" s="508"/>
      <c r="AA48" s="508"/>
      <c r="AB48" s="508"/>
      <c r="AC48" s="508"/>
      <c r="AD48" s="508"/>
      <c r="AE48" s="508"/>
      <c r="AF48" s="508"/>
      <c r="AL48" s="709"/>
    </row>
    <row r="49" spans="1:72" customFormat="1" ht="88.5" customHeight="1" x14ac:dyDescent="0.3">
      <c r="A49" s="122"/>
      <c r="B49" s="884" t="s">
        <v>6335</v>
      </c>
      <c r="C49" s="884"/>
      <c r="D49" s="884"/>
      <c r="E49" s="884"/>
      <c r="F49" s="884"/>
      <c r="G49" s="884"/>
      <c r="H49" s="884"/>
      <c r="I49" s="884"/>
      <c r="J49" s="884"/>
      <c r="K49" s="884"/>
      <c r="L49" s="884"/>
      <c r="M49" s="884"/>
      <c r="N49" s="884"/>
      <c r="O49" s="884"/>
      <c r="P49" s="884"/>
      <c r="Q49" s="884"/>
      <c r="R49" s="884"/>
      <c r="S49" s="884"/>
      <c r="T49" s="884"/>
      <c r="U49" s="884"/>
      <c r="V49" s="884"/>
      <c r="W49" s="884"/>
      <c r="X49" s="884"/>
      <c r="Y49" s="884"/>
      <c r="Z49" s="884"/>
      <c r="AA49" s="884"/>
      <c r="AB49" s="884"/>
      <c r="AC49" s="884"/>
      <c r="AD49" s="884"/>
      <c r="AE49" s="884"/>
      <c r="AF49" s="884"/>
      <c r="AL49" s="1693"/>
      <c r="AM49" s="1693"/>
      <c r="AN49" s="1693"/>
      <c r="AO49" s="1693"/>
      <c r="AP49" s="1693"/>
      <c r="AQ49" s="1693"/>
      <c r="AR49" s="1693"/>
      <c r="AS49" s="1693"/>
      <c r="AT49" s="1693"/>
      <c r="AU49" s="1693"/>
      <c r="AV49" s="1693"/>
      <c r="AW49" s="1693"/>
      <c r="AX49" s="1693"/>
      <c r="AY49" s="1693"/>
      <c r="AZ49" s="1693"/>
      <c r="BA49" s="1693"/>
      <c r="BB49" s="1693"/>
      <c r="BC49" s="1693"/>
      <c r="BD49" s="1693"/>
      <c r="BE49" s="1693"/>
      <c r="BF49" s="1693"/>
      <c r="BG49" s="1693"/>
      <c r="BH49" s="1693"/>
      <c r="BI49" s="1693"/>
      <c r="BJ49" s="1693"/>
      <c r="BK49" s="1693"/>
      <c r="BL49" s="1693"/>
      <c r="BM49" s="1693"/>
      <c r="BN49" s="1693"/>
      <c r="BO49" s="1693"/>
      <c r="BP49" s="1693"/>
      <c r="BQ49" s="1693"/>
      <c r="BR49" s="1693"/>
      <c r="BS49" s="1693"/>
      <c r="BT49" s="1693"/>
    </row>
    <row r="50" spans="1:72" customFormat="1" x14ac:dyDescent="0.3">
      <c r="A50" s="121"/>
      <c r="B50" s="712"/>
      <c r="C50" s="712"/>
      <c r="D50" s="712"/>
      <c r="E50" s="712"/>
      <c r="F50" s="712"/>
      <c r="G50" s="712"/>
      <c r="H50" s="712"/>
      <c r="I50" s="712"/>
      <c r="J50" s="712"/>
      <c r="K50" s="712"/>
      <c r="L50" s="712"/>
      <c r="M50" s="712"/>
      <c r="N50" s="712"/>
      <c r="O50" s="712"/>
      <c r="P50" s="712"/>
      <c r="Q50" s="712"/>
      <c r="R50" s="712"/>
      <c r="S50" s="712"/>
      <c r="T50" s="712"/>
      <c r="U50" s="712"/>
      <c r="V50" s="712"/>
      <c r="W50" s="712"/>
      <c r="X50" s="712"/>
      <c r="Y50" s="712"/>
      <c r="Z50" s="712"/>
      <c r="AA50" s="712"/>
      <c r="AB50" s="712"/>
      <c r="AC50" s="712"/>
      <c r="AD50" s="712"/>
      <c r="AE50" s="712"/>
      <c r="AF50" s="712"/>
      <c r="AL50" s="709"/>
    </row>
    <row r="51" spans="1:72" customFormat="1" ht="60.75" customHeight="1" x14ac:dyDescent="0.3">
      <c r="A51" s="121"/>
      <c r="B51" s="884" t="s">
        <v>6336</v>
      </c>
      <c r="C51" s="884"/>
      <c r="D51" s="884"/>
      <c r="E51" s="884"/>
      <c r="F51" s="884"/>
      <c r="G51" s="884"/>
      <c r="H51" s="884"/>
      <c r="I51" s="884"/>
      <c r="J51" s="884"/>
      <c r="K51" s="884"/>
      <c r="L51" s="884"/>
      <c r="M51" s="884"/>
      <c r="N51" s="884"/>
      <c r="O51" s="884"/>
      <c r="P51" s="884"/>
      <c r="Q51" s="884"/>
      <c r="R51" s="884"/>
      <c r="S51" s="884"/>
      <c r="T51" s="884"/>
      <c r="U51" s="884"/>
      <c r="V51" s="884"/>
      <c r="W51" s="884"/>
      <c r="X51" s="884"/>
      <c r="Y51" s="884"/>
      <c r="Z51" s="884"/>
      <c r="AA51" s="884"/>
      <c r="AB51" s="884"/>
      <c r="AC51" s="884"/>
      <c r="AD51" s="884"/>
      <c r="AE51" s="884"/>
      <c r="AF51" s="884"/>
      <c r="AL51" s="478"/>
    </row>
    <row r="52" spans="1:72" customFormat="1" x14ac:dyDescent="0.3">
      <c r="A52" s="121"/>
      <c r="B52" s="503"/>
      <c r="C52" s="503"/>
      <c r="D52" s="503"/>
      <c r="E52" s="503"/>
      <c r="F52" s="503"/>
      <c r="G52" s="503"/>
      <c r="H52" s="503"/>
      <c r="I52" s="503"/>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1"/>
      <c r="AH52" s="1"/>
      <c r="AI52" s="1"/>
      <c r="AJ52" s="1"/>
      <c r="AL52" s="709"/>
    </row>
    <row r="53" spans="1:72" customFormat="1"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
      <c r="AH53" s="1"/>
      <c r="AI53" s="1"/>
      <c r="AJ53" s="1"/>
      <c r="AL53" s="709"/>
    </row>
    <row r="54" spans="1:72" x14ac:dyDescent="0.3">
      <c r="A54" s="1290" t="s">
        <v>7</v>
      </c>
      <c r="B54" s="1290"/>
      <c r="C54" s="1290"/>
      <c r="D54" s="1290"/>
      <c r="E54" s="1290"/>
      <c r="F54" s="1290"/>
      <c r="G54" s="1290"/>
      <c r="H54" s="1290"/>
      <c r="I54" s="1290"/>
      <c r="J54" s="1290"/>
      <c r="K54" s="1290"/>
      <c r="L54" s="1290"/>
      <c r="M54" s="1290"/>
      <c r="N54" s="1290"/>
      <c r="O54" s="1290"/>
      <c r="P54" s="1290"/>
      <c r="Q54" s="1290"/>
      <c r="R54" s="1290"/>
      <c r="S54" s="1290"/>
      <c r="T54" s="1290"/>
      <c r="U54" s="1290"/>
      <c r="V54" s="1290"/>
      <c r="W54" s="1290"/>
      <c r="X54" s="1290"/>
      <c r="Y54" s="1290"/>
      <c r="Z54" s="1290"/>
      <c r="AA54" s="1290"/>
      <c r="AB54" s="1290"/>
      <c r="AC54" s="1290"/>
      <c r="AD54" s="1290"/>
      <c r="AE54" s="1290"/>
      <c r="AF54" s="1290"/>
      <c r="AK54"/>
      <c r="AL54" s="709"/>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ustomFormat="1" x14ac:dyDescent="0.3">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
      <c r="AH55" s="1"/>
      <c r="AI55" s="1"/>
      <c r="AJ55" s="1"/>
      <c r="AL55" s="709"/>
    </row>
    <row r="56" spans="1:72" x14ac:dyDescent="0.3">
      <c r="B56" s="372" t="s">
        <v>2137</v>
      </c>
      <c r="AK56"/>
      <c r="AL56" s="709"/>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ustomFormat="1" x14ac:dyDescent="0.3">
      <c r="A57" s="121"/>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
      <c r="AH57" s="1"/>
      <c r="AI57" s="1"/>
      <c r="AJ57" s="1"/>
      <c r="AL57" s="709"/>
    </row>
    <row r="58" spans="1:72" ht="18" customHeight="1" x14ac:dyDescent="0.3">
      <c r="A58" s="1694"/>
      <c r="B58" s="1694"/>
      <c r="C58" s="1694"/>
      <c r="D58" s="1694"/>
      <c r="E58" s="1694"/>
      <c r="F58" s="1694"/>
      <c r="G58" s="1694"/>
      <c r="H58" s="1694"/>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t="s">
        <v>1463</v>
      </c>
      <c r="AK58"/>
      <c r="AL58" s="709"/>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3">
      <c r="A59" s="60"/>
      <c r="B59" s="60"/>
      <c r="C59" s="60"/>
      <c r="D59" s="59" t="s">
        <v>6316</v>
      </c>
      <c r="F59" s="60"/>
      <c r="G59" s="60"/>
      <c r="H59" s="60"/>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K59"/>
      <c r="AL59" s="478"/>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3">
      <c r="A60" s="60"/>
      <c r="B60" s="60"/>
      <c r="C60" s="60"/>
      <c r="D60" s="60"/>
      <c r="E60" s="60"/>
      <c r="F60" s="60"/>
      <c r="G60" s="60"/>
      <c r="H60" s="60"/>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K60"/>
      <c r="AL60" s="709"/>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3">
      <c r="A61" s="60"/>
      <c r="B61" s="372" t="s">
        <v>2027</v>
      </c>
      <c r="C61" s="60"/>
      <c r="D61" s="60"/>
      <c r="E61" s="60"/>
      <c r="F61" s="60"/>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K61"/>
      <c r="AL61" s="709"/>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x14ac:dyDescent="0.3">
      <c r="A62" s="60"/>
      <c r="B62" s="60"/>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K62"/>
      <c r="AL62" s="709"/>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3">
      <c r="A63" s="1694"/>
      <c r="B63" s="1694"/>
      <c r="C63" s="1694"/>
      <c r="D63" s="1694"/>
      <c r="E63" s="1694"/>
      <c r="F63" s="1694"/>
      <c r="G63" s="1694"/>
      <c r="H63" s="1694"/>
      <c r="I63" s="63"/>
      <c r="J63" s="272"/>
      <c r="K63" s="272"/>
      <c r="L63" s="272"/>
      <c r="M63" s="272"/>
      <c r="N63" s="272"/>
      <c r="O63" s="272"/>
      <c r="P63" s="272"/>
      <c r="Q63" s="272"/>
      <c r="R63" s="272"/>
      <c r="S63" s="272"/>
      <c r="T63" s="272"/>
      <c r="U63" s="272"/>
      <c r="V63" s="272"/>
      <c r="W63" s="272"/>
      <c r="X63" s="272"/>
      <c r="Y63" s="272"/>
      <c r="Z63" s="272"/>
      <c r="AA63" s="272"/>
      <c r="AB63" s="272"/>
      <c r="AC63" s="272"/>
      <c r="AD63" s="272"/>
      <c r="AE63" s="272"/>
      <c r="AF63" s="272" t="s">
        <v>1464</v>
      </c>
      <c r="AK63"/>
      <c r="AL63" s="709"/>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3">
      <c r="A64" s="60"/>
      <c r="B64" s="60"/>
      <c r="C64" s="60"/>
      <c r="D64" s="59" t="s">
        <v>6317</v>
      </c>
      <c r="G64" s="60"/>
      <c r="H64" s="60"/>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K64"/>
      <c r="AL64" s="478"/>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3">
      <c r="A65" s="60"/>
      <c r="B65" s="60"/>
      <c r="C65" s="60"/>
      <c r="D65" s="59" t="s">
        <v>6318</v>
      </c>
      <c r="G65" s="60"/>
      <c r="H65" s="60"/>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K65"/>
      <c r="AL65" s="478"/>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3">
      <c r="A66" s="60"/>
      <c r="B66" s="60"/>
      <c r="C66" s="60"/>
      <c r="D66" s="60"/>
      <c r="E66" s="60"/>
      <c r="F66" s="59"/>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K66"/>
      <c r="AL66" s="709"/>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3">
      <c r="A67" s="60"/>
      <c r="B67" s="372" t="s">
        <v>1811</v>
      </c>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K67"/>
      <c r="AL67" s="709"/>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3">
      <c r="A68" s="60"/>
      <c r="B68" s="60"/>
      <c r="C68" s="60"/>
      <c r="D68" s="60"/>
      <c r="E68" s="60"/>
      <c r="F68" s="60"/>
      <c r="G68" s="60"/>
      <c r="H68" s="60"/>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K68"/>
      <c r="AL68" s="709"/>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3">
      <c r="A69" s="1694"/>
      <c r="B69" s="1694"/>
      <c r="C69" s="1694"/>
      <c r="D69" s="1694"/>
      <c r="E69" s="1694"/>
      <c r="F69" s="1694"/>
      <c r="G69" s="1694"/>
      <c r="H69" s="1694"/>
      <c r="I69" s="272"/>
      <c r="J69" s="63"/>
      <c r="K69" s="63"/>
      <c r="L69" s="63"/>
      <c r="M69" s="63"/>
      <c r="N69" s="63"/>
      <c r="O69" s="63"/>
      <c r="P69" s="63"/>
      <c r="Q69" s="63"/>
      <c r="R69" s="63"/>
      <c r="S69" s="63"/>
      <c r="T69" s="63"/>
      <c r="U69" s="63"/>
      <c r="V69" s="63"/>
      <c r="W69" s="63"/>
      <c r="X69" s="63"/>
      <c r="Y69" s="63"/>
      <c r="Z69" s="63"/>
      <c r="AA69" s="63"/>
      <c r="AB69" s="63"/>
      <c r="AC69" s="63"/>
      <c r="AD69" s="63"/>
      <c r="AE69" s="63"/>
      <c r="AF69" s="272" t="s">
        <v>1465</v>
      </c>
      <c r="AK69"/>
      <c r="AL69" s="70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3">
      <c r="A70" s="581"/>
      <c r="B70" s="581"/>
      <c r="C70" s="581"/>
      <c r="D70" s="581"/>
      <c r="E70" s="581"/>
      <c r="F70" s="581"/>
      <c r="G70" s="581"/>
      <c r="H70" s="581"/>
      <c r="AK70"/>
      <c r="AL70" s="709"/>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ustomFormat="1" x14ac:dyDescent="0.3">
      <c r="A71" s="1290" t="s">
        <v>8</v>
      </c>
      <c r="B71" s="1290"/>
      <c r="C71" s="1290"/>
      <c r="D71" s="1290"/>
      <c r="E71" s="1290"/>
      <c r="F71" s="1290"/>
      <c r="G71" s="1290"/>
      <c r="H71" s="1290"/>
      <c r="I71" s="1290"/>
      <c r="J71" s="1290"/>
      <c r="K71" s="1290"/>
      <c r="L71" s="1290"/>
      <c r="M71" s="1290"/>
      <c r="N71" s="1290"/>
      <c r="O71" s="1290"/>
      <c r="P71" s="1290"/>
      <c r="Q71" s="1290"/>
      <c r="R71" s="1290"/>
      <c r="S71" s="1290"/>
      <c r="T71" s="1290"/>
      <c r="U71" s="1290"/>
      <c r="V71" s="1290"/>
      <c r="W71" s="1290"/>
      <c r="X71" s="1290"/>
      <c r="Y71" s="1290"/>
      <c r="Z71" s="1290"/>
      <c r="AA71" s="1290"/>
      <c r="AB71" s="1290"/>
      <c r="AC71" s="1290"/>
      <c r="AD71" s="1290"/>
      <c r="AE71" s="1290"/>
      <c r="AF71" s="1290"/>
      <c r="AG71" s="1"/>
      <c r="AH71" s="1"/>
      <c r="AI71" s="1"/>
      <c r="AJ71" s="1"/>
      <c r="AL71" s="709"/>
    </row>
    <row r="72" spans="1:72" customFormat="1" x14ac:dyDescent="0.3">
      <c r="A72" s="1366" t="s">
        <v>9</v>
      </c>
      <c r="B72" s="1367"/>
      <c r="C72" s="1367"/>
      <c r="D72" s="1368"/>
      <c r="E72" s="1366" t="s">
        <v>3</v>
      </c>
      <c r="F72" s="1367"/>
      <c r="G72" s="1367"/>
      <c r="H72" s="1367"/>
      <c r="I72" s="1367"/>
      <c r="J72" s="1367"/>
      <c r="K72" s="1367"/>
      <c r="L72" s="1367"/>
      <c r="M72" s="1367"/>
      <c r="N72" s="1367"/>
      <c r="O72" s="1367"/>
      <c r="P72" s="1368"/>
      <c r="Q72" s="1366" t="s">
        <v>10</v>
      </c>
      <c r="R72" s="1367"/>
      <c r="S72" s="1367"/>
      <c r="T72" s="1368"/>
      <c r="U72" s="1366" t="s">
        <v>11</v>
      </c>
      <c r="V72" s="1367"/>
      <c r="W72" s="1368"/>
      <c r="X72" s="1366" t="s">
        <v>1466</v>
      </c>
      <c r="Y72" s="1367"/>
      <c r="Z72" s="1367"/>
      <c r="AA72" s="1367"/>
      <c r="AB72" s="1367"/>
      <c r="AC72" s="1367"/>
      <c r="AD72" s="1367"/>
      <c r="AE72" s="1367"/>
      <c r="AF72" s="1368"/>
      <c r="AG72" s="1"/>
      <c r="AH72" s="1"/>
      <c r="AI72" s="1"/>
      <c r="AJ72" s="1"/>
      <c r="AL72" s="709"/>
    </row>
    <row r="73" spans="1:72" customFormat="1" ht="60.75" customHeight="1" x14ac:dyDescent="0.3">
      <c r="A73" s="1349" t="s">
        <v>2720</v>
      </c>
      <c r="B73" s="1350"/>
      <c r="C73" s="1350"/>
      <c r="D73" s="1351"/>
      <c r="E73" s="1163" t="s">
        <v>4643</v>
      </c>
      <c r="F73" s="1164"/>
      <c r="G73" s="1164"/>
      <c r="H73" s="1164"/>
      <c r="I73" s="1164"/>
      <c r="J73" s="1164"/>
      <c r="K73" s="1164"/>
      <c r="L73" s="1164"/>
      <c r="M73" s="1164"/>
      <c r="N73" s="1164"/>
      <c r="O73" s="1164"/>
      <c r="P73" s="1165"/>
      <c r="Q73" s="1166" t="s">
        <v>2721</v>
      </c>
      <c r="R73" s="1167"/>
      <c r="S73" s="1167"/>
      <c r="T73" s="1168"/>
      <c r="U73" s="1352" t="s">
        <v>2722</v>
      </c>
      <c r="V73" s="1353"/>
      <c r="W73" s="1354"/>
      <c r="X73" s="1207" t="s">
        <v>2723</v>
      </c>
      <c r="Y73" s="1208"/>
      <c r="Z73" s="1208"/>
      <c r="AA73" s="1208"/>
      <c r="AB73" s="1208"/>
      <c r="AC73" s="1208"/>
      <c r="AD73" s="1208"/>
      <c r="AE73" s="1208"/>
      <c r="AF73" s="1209"/>
      <c r="AG73" s="1"/>
      <c r="AH73" s="1"/>
      <c r="AI73" s="1"/>
      <c r="AJ73" s="1"/>
      <c r="AL73" s="709"/>
    </row>
    <row r="74" spans="1:72" customFormat="1" ht="119.25" customHeight="1" x14ac:dyDescent="0.3">
      <c r="A74" s="1163" t="s">
        <v>6337</v>
      </c>
      <c r="B74" s="1164"/>
      <c r="C74" s="1164"/>
      <c r="D74" s="1165"/>
      <c r="E74" s="1163" t="s">
        <v>6319</v>
      </c>
      <c r="F74" s="1164"/>
      <c r="G74" s="1164"/>
      <c r="H74" s="1164"/>
      <c r="I74" s="1164"/>
      <c r="J74" s="1164"/>
      <c r="K74" s="1164"/>
      <c r="L74" s="1164"/>
      <c r="M74" s="1164"/>
      <c r="N74" s="1164"/>
      <c r="O74" s="1164"/>
      <c r="P74" s="1165"/>
      <c r="Q74" s="1166" t="s">
        <v>3734</v>
      </c>
      <c r="R74" s="1167"/>
      <c r="S74" s="1167"/>
      <c r="T74" s="1168"/>
      <c r="U74" s="1352" t="s">
        <v>2725</v>
      </c>
      <c r="V74" s="1353"/>
      <c r="W74" s="1354"/>
      <c r="X74" s="1207" t="s">
        <v>6338</v>
      </c>
      <c r="Y74" s="1208"/>
      <c r="Z74" s="1208"/>
      <c r="AA74" s="1208"/>
      <c r="AB74" s="1208"/>
      <c r="AC74" s="1208"/>
      <c r="AD74" s="1208"/>
      <c r="AE74" s="1208"/>
      <c r="AF74" s="1209"/>
      <c r="AG74" s="1"/>
      <c r="AH74" s="1"/>
      <c r="AI74" s="1"/>
      <c r="AJ74" s="1"/>
      <c r="AL74" s="478"/>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row>
    <row r="75" spans="1:72" customFormat="1" ht="114.75" customHeight="1" x14ac:dyDescent="0.3">
      <c r="A75" s="1163" t="s">
        <v>6339</v>
      </c>
      <c r="B75" s="1164"/>
      <c r="C75" s="1164"/>
      <c r="D75" s="1165"/>
      <c r="E75" s="1163" t="s">
        <v>6320</v>
      </c>
      <c r="F75" s="1164"/>
      <c r="G75" s="1164"/>
      <c r="H75" s="1164"/>
      <c r="I75" s="1164"/>
      <c r="J75" s="1164"/>
      <c r="K75" s="1164"/>
      <c r="L75" s="1164"/>
      <c r="M75" s="1164"/>
      <c r="N75" s="1164"/>
      <c r="O75" s="1164"/>
      <c r="P75" s="1165"/>
      <c r="Q75" s="1166" t="s">
        <v>156</v>
      </c>
      <c r="R75" s="1167"/>
      <c r="S75" s="1167"/>
      <c r="T75" s="1168"/>
      <c r="U75" s="1352" t="s">
        <v>2725</v>
      </c>
      <c r="V75" s="1353"/>
      <c r="W75" s="1354"/>
      <c r="X75" s="1207" t="s">
        <v>6340</v>
      </c>
      <c r="Y75" s="1208"/>
      <c r="Z75" s="1208"/>
      <c r="AA75" s="1208"/>
      <c r="AB75" s="1208"/>
      <c r="AC75" s="1208"/>
      <c r="AD75" s="1208"/>
      <c r="AE75" s="1208"/>
      <c r="AF75" s="1209"/>
      <c r="AG75" s="1"/>
      <c r="AH75" s="1"/>
      <c r="AI75" s="1"/>
      <c r="AJ75" s="1"/>
      <c r="AL75" s="478"/>
    </row>
    <row r="76" spans="1:72" customFormat="1" ht="121.5" customHeight="1" x14ac:dyDescent="0.3">
      <c r="A76" s="1163" t="s">
        <v>6341</v>
      </c>
      <c r="B76" s="1164"/>
      <c r="C76" s="1164"/>
      <c r="D76" s="1165"/>
      <c r="E76" s="1163" t="s">
        <v>6321</v>
      </c>
      <c r="F76" s="1164"/>
      <c r="G76" s="1164"/>
      <c r="H76" s="1164"/>
      <c r="I76" s="1164"/>
      <c r="J76" s="1164"/>
      <c r="K76" s="1164"/>
      <c r="L76" s="1164"/>
      <c r="M76" s="1164"/>
      <c r="N76" s="1164"/>
      <c r="O76" s="1164"/>
      <c r="P76" s="1165"/>
      <c r="Q76" s="1166" t="s">
        <v>3734</v>
      </c>
      <c r="R76" s="1167"/>
      <c r="S76" s="1167"/>
      <c r="T76" s="1168"/>
      <c r="U76" s="1352" t="s">
        <v>2725</v>
      </c>
      <c r="V76" s="1353"/>
      <c r="W76" s="1354"/>
      <c r="X76" s="1207" t="s">
        <v>6338</v>
      </c>
      <c r="Y76" s="1208"/>
      <c r="Z76" s="1208"/>
      <c r="AA76" s="1208"/>
      <c r="AB76" s="1208"/>
      <c r="AC76" s="1208"/>
      <c r="AD76" s="1208"/>
      <c r="AE76" s="1208"/>
      <c r="AF76" s="1209"/>
      <c r="AG76" s="1"/>
      <c r="AH76" s="1"/>
      <c r="AI76" s="1"/>
      <c r="AJ76" s="1"/>
      <c r="AL76" s="478"/>
    </row>
    <row r="77" spans="1:72" customFormat="1" ht="110.25" customHeight="1" x14ac:dyDescent="0.3">
      <c r="A77" s="1163" t="s">
        <v>6342</v>
      </c>
      <c r="B77" s="1164"/>
      <c r="C77" s="1164"/>
      <c r="D77" s="1165"/>
      <c r="E77" s="1163" t="s">
        <v>6322</v>
      </c>
      <c r="F77" s="1164"/>
      <c r="G77" s="1164"/>
      <c r="H77" s="1164"/>
      <c r="I77" s="1164"/>
      <c r="J77" s="1164"/>
      <c r="K77" s="1164"/>
      <c r="L77" s="1164"/>
      <c r="M77" s="1164"/>
      <c r="N77" s="1164"/>
      <c r="O77" s="1164"/>
      <c r="P77" s="1165"/>
      <c r="Q77" s="1166" t="s">
        <v>156</v>
      </c>
      <c r="R77" s="1167"/>
      <c r="S77" s="1167"/>
      <c r="T77" s="1168"/>
      <c r="U77" s="1352" t="s">
        <v>2725</v>
      </c>
      <c r="V77" s="1353"/>
      <c r="W77" s="1354"/>
      <c r="X77" s="1207" t="s">
        <v>6340</v>
      </c>
      <c r="Y77" s="1208"/>
      <c r="Z77" s="1208"/>
      <c r="AA77" s="1208"/>
      <c r="AB77" s="1208"/>
      <c r="AC77" s="1208"/>
      <c r="AD77" s="1208"/>
      <c r="AE77" s="1208"/>
      <c r="AF77" s="1209"/>
      <c r="AG77" s="1"/>
      <c r="AH77" s="1"/>
      <c r="AI77" s="1"/>
      <c r="AJ77" s="1"/>
      <c r="AL77" s="478"/>
    </row>
    <row r="78" spans="1:72" customFormat="1" ht="65.25" customHeight="1" x14ac:dyDescent="0.3">
      <c r="A78" s="1349" t="s">
        <v>235</v>
      </c>
      <c r="B78" s="1350"/>
      <c r="C78" s="1350"/>
      <c r="D78" s="1351"/>
      <c r="E78" s="1163" t="s">
        <v>918</v>
      </c>
      <c r="F78" s="1164"/>
      <c r="G78" s="1164"/>
      <c r="H78" s="1164"/>
      <c r="I78" s="1164"/>
      <c r="J78" s="1164"/>
      <c r="K78" s="1164"/>
      <c r="L78" s="1164"/>
      <c r="M78" s="1164"/>
      <c r="N78" s="1164"/>
      <c r="O78" s="1164"/>
      <c r="P78" s="1165"/>
      <c r="Q78" s="1166" t="s">
        <v>3735</v>
      </c>
      <c r="R78" s="1167"/>
      <c r="S78" s="1167"/>
      <c r="T78" s="1168"/>
      <c r="U78" s="1352" t="s">
        <v>37</v>
      </c>
      <c r="V78" s="1353"/>
      <c r="W78" s="1354"/>
      <c r="X78" s="1207" t="s">
        <v>6323</v>
      </c>
      <c r="Y78" s="1208"/>
      <c r="Z78" s="1208"/>
      <c r="AA78" s="1208"/>
      <c r="AB78" s="1208"/>
      <c r="AC78" s="1208"/>
      <c r="AD78" s="1208"/>
      <c r="AE78" s="1208"/>
      <c r="AF78" s="1209"/>
      <c r="AG78" s="1"/>
      <c r="AH78" s="1"/>
      <c r="AI78" s="1"/>
      <c r="AJ78" s="1"/>
      <c r="AL78" s="709"/>
    </row>
    <row r="79" spans="1:72" customFormat="1" ht="83.25" customHeight="1" x14ac:dyDescent="0.3">
      <c r="A79" s="1349" t="s">
        <v>21</v>
      </c>
      <c r="B79" s="1350"/>
      <c r="C79" s="1350"/>
      <c r="D79" s="1351"/>
      <c r="E79" s="1163" t="s">
        <v>96</v>
      </c>
      <c r="F79" s="1164"/>
      <c r="G79" s="1164"/>
      <c r="H79" s="1164"/>
      <c r="I79" s="1164"/>
      <c r="J79" s="1164"/>
      <c r="K79" s="1164"/>
      <c r="L79" s="1164"/>
      <c r="M79" s="1164"/>
      <c r="N79" s="1164"/>
      <c r="O79" s="1164"/>
      <c r="P79" s="1165"/>
      <c r="Q79" s="1166" t="s">
        <v>3735</v>
      </c>
      <c r="R79" s="1167"/>
      <c r="S79" s="1167"/>
      <c r="T79" s="1168"/>
      <c r="U79" s="1365" t="s">
        <v>20</v>
      </c>
      <c r="V79" s="1353"/>
      <c r="W79" s="1354"/>
      <c r="X79" s="1207" t="s">
        <v>6324</v>
      </c>
      <c r="Y79" s="1208"/>
      <c r="Z79" s="1208"/>
      <c r="AA79" s="1208"/>
      <c r="AB79" s="1208"/>
      <c r="AC79" s="1208"/>
      <c r="AD79" s="1208"/>
      <c r="AE79" s="1208"/>
      <c r="AF79" s="1209"/>
      <c r="AG79" s="1"/>
      <c r="AH79" s="1"/>
      <c r="AI79" s="1"/>
      <c r="AJ79" s="1"/>
      <c r="AL79" s="709"/>
    </row>
    <row r="80" spans="1:72" customFormat="1" ht="34.5" customHeight="1" x14ac:dyDescent="0.3">
      <c r="A80" s="1349" t="s">
        <v>2562</v>
      </c>
      <c r="B80" s="1350"/>
      <c r="C80" s="1350"/>
      <c r="D80" s="1351"/>
      <c r="E80" s="1163" t="s">
        <v>2050</v>
      </c>
      <c r="F80" s="1164"/>
      <c r="G80" s="1164"/>
      <c r="H80" s="1164"/>
      <c r="I80" s="1164"/>
      <c r="J80" s="1164"/>
      <c r="K80" s="1164"/>
      <c r="L80" s="1164"/>
      <c r="M80" s="1164"/>
      <c r="N80" s="1164"/>
      <c r="O80" s="1164"/>
      <c r="P80" s="1165"/>
      <c r="Q80" s="1166">
        <f>'Master EUL'!X78</f>
        <v>15</v>
      </c>
      <c r="R80" s="1167"/>
      <c r="S80" s="1167"/>
      <c r="T80" s="1168"/>
      <c r="U80" s="1352" t="s">
        <v>28</v>
      </c>
      <c r="V80" s="1353"/>
      <c r="W80" s="1354"/>
      <c r="X80" s="1207" t="s">
        <v>1518</v>
      </c>
      <c r="Y80" s="1208"/>
      <c r="Z80" s="1208"/>
      <c r="AA80" s="1208"/>
      <c r="AB80" s="1208"/>
      <c r="AC80" s="1208"/>
      <c r="AD80" s="1208"/>
      <c r="AE80" s="1208"/>
      <c r="AF80" s="1209"/>
      <c r="AG80" s="1"/>
      <c r="AH80" s="1"/>
      <c r="AI80" s="1"/>
      <c r="AJ80" s="1"/>
      <c r="AL80" s="766"/>
    </row>
    <row r="81" spans="1:38" customFormat="1" x14ac:dyDescent="0.3">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
      <c r="AH81" s="1"/>
      <c r="AI81" s="1"/>
      <c r="AJ81" s="1"/>
      <c r="AL81" s="709"/>
    </row>
    <row r="82" spans="1:38" customFormat="1" x14ac:dyDescent="0.3">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
      <c r="AH82" s="1"/>
      <c r="AI82" s="1"/>
      <c r="AJ82" s="1"/>
      <c r="AL82" s="709"/>
    </row>
    <row r="83" spans="1:38" customFormat="1" x14ac:dyDescent="0.3">
      <c r="A83" s="1290" t="s">
        <v>14</v>
      </c>
      <c r="B83" s="1290"/>
      <c r="C83" s="1290"/>
      <c r="D83" s="1290"/>
      <c r="E83" s="1290"/>
      <c r="F83" s="1290"/>
      <c r="G83" s="1290"/>
      <c r="H83" s="1290"/>
      <c r="I83" s="1290"/>
      <c r="J83" s="1290"/>
      <c r="K83" s="1290"/>
      <c r="L83" s="1290"/>
      <c r="M83" s="1290"/>
      <c r="N83" s="1290"/>
      <c r="O83" s="1290"/>
      <c r="P83" s="1290"/>
      <c r="Q83" s="1290"/>
      <c r="R83" s="1290"/>
      <c r="S83" s="1290"/>
      <c r="T83" s="1290"/>
      <c r="U83" s="1290"/>
      <c r="V83" s="1290"/>
      <c r="W83" s="1290"/>
      <c r="X83" s="1290"/>
      <c r="Y83" s="1290"/>
      <c r="Z83" s="1290"/>
      <c r="AA83" s="1290"/>
      <c r="AB83" s="1290"/>
      <c r="AC83" s="1290"/>
      <c r="AD83" s="1290"/>
      <c r="AE83" s="1290"/>
      <c r="AF83" s="1290"/>
      <c r="AG83" s="1"/>
      <c r="AH83" s="1"/>
      <c r="AI83" s="1"/>
      <c r="AJ83" s="1"/>
      <c r="AL83" s="709"/>
    </row>
    <row r="84" spans="1:38" customFormat="1" x14ac:dyDescent="0.3">
      <c r="A84" s="65"/>
      <c r="B84" s="65"/>
      <c r="C84" s="65"/>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1"/>
      <c r="AH84" s="1"/>
      <c r="AI84" s="1"/>
      <c r="AJ84" s="1"/>
      <c r="AL84" s="709"/>
    </row>
    <row r="85" spans="1:38" customFormat="1" x14ac:dyDescent="0.3">
      <c r="A85" s="121"/>
      <c r="B85" s="1258" t="s">
        <v>3736</v>
      </c>
      <c r="C85" s="1258"/>
      <c r="D85" s="1258"/>
      <c r="E85" s="1258"/>
      <c r="F85" s="1258"/>
      <c r="G85" s="1258"/>
      <c r="H85" s="1258"/>
      <c r="I85" s="1258"/>
      <c r="J85" s="1258"/>
      <c r="K85" s="1258"/>
      <c r="L85" s="1258"/>
      <c r="M85" s="1258"/>
      <c r="N85" s="1258"/>
      <c r="O85" s="1258"/>
      <c r="P85" s="1258"/>
      <c r="Q85" s="1258"/>
      <c r="R85" s="1258"/>
      <c r="S85" s="1258"/>
      <c r="T85" s="789" t="s">
        <v>3737</v>
      </c>
      <c r="U85" s="789"/>
      <c r="V85" s="789"/>
      <c r="W85" s="789"/>
      <c r="X85" s="789"/>
      <c r="Y85" s="789"/>
      <c r="Z85" s="789"/>
      <c r="AA85" s="789"/>
      <c r="AB85" s="790"/>
      <c r="AC85" s="121"/>
      <c r="AD85" s="121"/>
      <c r="AE85" s="121"/>
      <c r="AF85" s="121"/>
      <c r="AG85" s="1"/>
      <c r="AH85" s="1"/>
      <c r="AI85" s="1"/>
      <c r="AJ85" s="1"/>
      <c r="AL85" s="766"/>
    </row>
    <row r="86" spans="1:38" customFormat="1" x14ac:dyDescent="0.3">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
      <c r="AH86" s="1"/>
      <c r="AI86" s="1"/>
      <c r="AJ86" s="1"/>
      <c r="AL86" s="709"/>
    </row>
    <row r="87" spans="1:38" customFormat="1" x14ac:dyDescent="0.3">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
      <c r="AH87" s="1"/>
      <c r="AI87" s="1"/>
      <c r="AJ87" s="1"/>
      <c r="AL87" s="709"/>
    </row>
    <row r="88" spans="1:38" customFormat="1" x14ac:dyDescent="0.3">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
      <c r="AH88" s="1"/>
      <c r="AI88" s="1"/>
      <c r="AJ88" s="1"/>
      <c r="AL88" s="709"/>
    </row>
    <row r="89" spans="1:38" customFormat="1" x14ac:dyDescent="0.3">
      <c r="A89" s="1290" t="s">
        <v>1514</v>
      </c>
      <c r="B89" s="1290"/>
      <c r="C89" s="1290"/>
      <c r="D89" s="1290"/>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c r="AF89" s="1290"/>
      <c r="AG89" s="1"/>
      <c r="AH89" s="1"/>
      <c r="AI89" s="1"/>
      <c r="AJ89" s="1"/>
      <c r="AL89" s="709"/>
    </row>
    <row r="90" spans="1:38" customFormat="1" x14ac:dyDescent="0.3">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1"/>
      <c r="AH90" s="1"/>
      <c r="AI90" s="1"/>
      <c r="AJ90" s="1"/>
      <c r="AL90" s="709"/>
    </row>
    <row r="91" spans="1:38" customFormat="1" x14ac:dyDescent="0.3">
      <c r="A91" s="370" t="s">
        <v>803</v>
      </c>
      <c r="B91" s="884" t="s">
        <v>6325</v>
      </c>
      <c r="C91" s="884"/>
      <c r="D91" s="884"/>
      <c r="E91" s="884"/>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c r="AG91" s="1"/>
      <c r="AH91" s="1"/>
      <c r="AI91" s="1"/>
      <c r="AJ91" s="1"/>
      <c r="AL91" s="478"/>
    </row>
    <row r="92" spans="1:38" customFormat="1" x14ac:dyDescent="0.3">
      <c r="A92" s="370" t="s">
        <v>803</v>
      </c>
      <c r="B92" s="884" t="s">
        <v>6343</v>
      </c>
      <c r="C92" s="884"/>
      <c r="D92" s="884"/>
      <c r="E92" s="884"/>
      <c r="F92" s="884"/>
      <c r="G92" s="884"/>
      <c r="H92" s="884"/>
      <c r="I92" s="884"/>
      <c r="J92" s="884"/>
      <c r="K92" s="884"/>
      <c r="L92" s="884"/>
      <c r="M92" s="884"/>
      <c r="N92" s="884"/>
      <c r="O92" s="884"/>
      <c r="P92" s="884"/>
      <c r="Q92" s="884"/>
      <c r="R92" s="884"/>
      <c r="S92" s="884"/>
      <c r="T92" s="884"/>
      <c r="U92" s="884"/>
      <c r="V92" s="884"/>
      <c r="W92" s="884"/>
      <c r="X92" s="884"/>
      <c r="Y92" s="884"/>
      <c r="Z92" s="884"/>
      <c r="AA92" s="884"/>
      <c r="AB92" s="884"/>
      <c r="AC92" s="884"/>
      <c r="AD92" s="884"/>
      <c r="AE92" s="884"/>
      <c r="AF92" s="884"/>
      <c r="AL92" s="478"/>
    </row>
    <row r="93" spans="1:38" customFormat="1" ht="30" customHeight="1" x14ac:dyDescent="0.3">
      <c r="A93" s="370" t="s">
        <v>803</v>
      </c>
      <c r="B93" s="884" t="s">
        <v>6344</v>
      </c>
      <c r="C93" s="884"/>
      <c r="D93" s="884"/>
      <c r="E93" s="884"/>
      <c r="F93" s="884"/>
      <c r="G93" s="884"/>
      <c r="H93" s="884"/>
      <c r="I93" s="884"/>
      <c r="J93" s="884"/>
      <c r="K93" s="884"/>
      <c r="L93" s="884"/>
      <c r="M93" s="884"/>
      <c r="N93" s="884"/>
      <c r="O93" s="884"/>
      <c r="P93" s="884"/>
      <c r="Q93" s="884"/>
      <c r="R93" s="884"/>
      <c r="S93" s="884"/>
      <c r="T93" s="884"/>
      <c r="U93" s="884"/>
      <c r="V93" s="884"/>
      <c r="W93" s="884"/>
      <c r="X93" s="884"/>
      <c r="Y93" s="884"/>
      <c r="Z93" s="884"/>
      <c r="AA93" s="884"/>
      <c r="AB93" s="884"/>
      <c r="AC93" s="884"/>
      <c r="AD93" s="884"/>
      <c r="AE93" s="884"/>
      <c r="AF93" s="884"/>
      <c r="AG93" s="1"/>
      <c r="AH93" s="1"/>
      <c r="AI93" s="1"/>
      <c r="AJ93" s="1"/>
      <c r="AL93" s="478"/>
    </row>
    <row r="94" spans="1:38" customFormat="1" ht="43.5" customHeight="1" x14ac:dyDescent="0.3">
      <c r="A94" s="370" t="s">
        <v>803</v>
      </c>
      <c r="B94" s="884" t="s">
        <v>6326</v>
      </c>
      <c r="C94" s="884"/>
      <c r="D94" s="884"/>
      <c r="E94" s="884"/>
      <c r="F94" s="884"/>
      <c r="G94" s="884"/>
      <c r="H94" s="884"/>
      <c r="I94" s="884"/>
      <c r="J94" s="884"/>
      <c r="K94" s="884"/>
      <c r="L94" s="884"/>
      <c r="M94" s="884"/>
      <c r="N94" s="884"/>
      <c r="O94" s="884"/>
      <c r="P94" s="884"/>
      <c r="Q94" s="884"/>
      <c r="R94" s="884"/>
      <c r="S94" s="884"/>
      <c r="T94" s="884"/>
      <c r="U94" s="884"/>
      <c r="V94" s="884"/>
      <c r="W94" s="884"/>
      <c r="X94" s="884"/>
      <c r="Y94" s="884"/>
      <c r="Z94" s="884"/>
      <c r="AA94" s="884"/>
      <c r="AB94" s="884"/>
      <c r="AC94" s="884"/>
      <c r="AD94" s="884"/>
      <c r="AE94" s="884"/>
      <c r="AF94" s="884"/>
      <c r="AG94" s="1"/>
      <c r="AH94" s="1"/>
      <c r="AI94" s="1"/>
      <c r="AJ94" s="1"/>
      <c r="AL94" s="478"/>
    </row>
    <row r="95" spans="1:38" customFormat="1" ht="49.5" customHeight="1" x14ac:dyDescent="0.3">
      <c r="A95" s="370" t="s">
        <v>803</v>
      </c>
      <c r="B95" s="889" t="s">
        <v>6327</v>
      </c>
      <c r="C95" s="889"/>
      <c r="D95" s="889"/>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c r="AE95" s="889"/>
      <c r="AF95" s="889"/>
      <c r="AG95" s="1"/>
      <c r="AH95" s="1"/>
      <c r="AI95" s="1"/>
      <c r="AJ95" s="1"/>
      <c r="AL95" s="478"/>
    </row>
    <row r="96" spans="1:38" customFormat="1" ht="67.5" customHeight="1" x14ac:dyDescent="0.3">
      <c r="A96" s="370" t="s">
        <v>803</v>
      </c>
      <c r="B96" s="889" t="s">
        <v>6328</v>
      </c>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c r="AG96" s="1"/>
      <c r="AH96" s="1"/>
      <c r="AI96" s="1"/>
      <c r="AJ96" s="1"/>
      <c r="AL96" s="478"/>
    </row>
    <row r="97" spans="1:38" customFormat="1" ht="66.75" customHeight="1" x14ac:dyDescent="0.3">
      <c r="A97" s="370" t="s">
        <v>803</v>
      </c>
      <c r="B97" s="889" t="s">
        <v>6329</v>
      </c>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1"/>
      <c r="AH97" s="1"/>
      <c r="AI97" s="1"/>
      <c r="AJ97" s="1"/>
      <c r="AL97" s="478"/>
    </row>
    <row r="98" spans="1:38" customFormat="1" ht="63.75" customHeight="1" x14ac:dyDescent="0.3">
      <c r="A98" s="370" t="s">
        <v>803</v>
      </c>
      <c r="B98" s="884" t="s">
        <v>2501</v>
      </c>
      <c r="C98" s="884"/>
      <c r="D98" s="884"/>
      <c r="E98" s="884"/>
      <c r="F98" s="884"/>
      <c r="G98" s="884"/>
      <c r="H98" s="884"/>
      <c r="I98" s="884"/>
      <c r="J98" s="884"/>
      <c r="K98" s="884"/>
      <c r="L98" s="884"/>
      <c r="M98" s="884"/>
      <c r="N98" s="884"/>
      <c r="O98" s="884"/>
      <c r="P98" s="884"/>
      <c r="Q98" s="884"/>
      <c r="R98" s="884"/>
      <c r="S98" s="884"/>
      <c r="T98" s="884"/>
      <c r="U98" s="884"/>
      <c r="V98" s="884"/>
      <c r="W98" s="884"/>
      <c r="X98" s="884"/>
      <c r="Y98" s="884"/>
      <c r="Z98" s="884"/>
      <c r="AA98" s="884"/>
      <c r="AB98" s="884"/>
      <c r="AC98" s="884"/>
      <c r="AD98" s="884"/>
      <c r="AE98" s="884"/>
      <c r="AF98" s="884"/>
      <c r="AG98" s="1"/>
      <c r="AH98" s="1"/>
      <c r="AI98" s="1"/>
      <c r="AJ98" s="1"/>
      <c r="AL98" s="709"/>
    </row>
    <row r="99" spans="1:38" customFormat="1" ht="67.5" customHeight="1" x14ac:dyDescent="0.3">
      <c r="A99" s="370" t="s">
        <v>803</v>
      </c>
      <c r="B99" s="884" t="s">
        <v>2717</v>
      </c>
      <c r="C99" s="884"/>
      <c r="D99" s="884"/>
      <c r="E99" s="884"/>
      <c r="F99" s="884"/>
      <c r="G99" s="884"/>
      <c r="H99" s="884"/>
      <c r="I99" s="884"/>
      <c r="J99" s="884"/>
      <c r="K99" s="884"/>
      <c r="L99" s="884"/>
      <c r="M99" s="884"/>
      <c r="N99" s="884"/>
      <c r="O99" s="884"/>
      <c r="P99" s="884"/>
      <c r="Q99" s="884"/>
      <c r="R99" s="884"/>
      <c r="S99" s="884"/>
      <c r="T99" s="884"/>
      <c r="U99" s="884"/>
      <c r="V99" s="884"/>
      <c r="W99" s="884"/>
      <c r="X99" s="884"/>
      <c r="Y99" s="884"/>
      <c r="Z99" s="884"/>
      <c r="AA99" s="884"/>
      <c r="AB99" s="884"/>
      <c r="AC99" s="884"/>
      <c r="AD99" s="884"/>
      <c r="AE99" s="884"/>
      <c r="AF99" s="884"/>
      <c r="AG99" s="1"/>
      <c r="AH99" s="1"/>
      <c r="AI99" s="1"/>
      <c r="AJ99" s="1"/>
      <c r="AL99" s="709"/>
    </row>
  </sheetData>
  <sheetProtection algorithmName="SHA-512" hashValue="JhxKTdOwhIiGaxsRCDe28ydkHT1kYqn2CztshvcOBmbrK151yk4xUJtRVfR/8LiIloMFwfUhXUlwioIk8rFmYA==" saltValue="Cf62pbvj0MKJjOS411nCAw==" spinCount="100000" sheet="1" objects="1" scenarios="1"/>
  <mergeCells count="89">
    <mergeCell ref="A75:D75"/>
    <mergeCell ref="E75:P75"/>
    <mergeCell ref="Q75:T75"/>
    <mergeCell ref="U75:W75"/>
    <mergeCell ref="X75:AF75"/>
    <mergeCell ref="B49:AF49"/>
    <mergeCell ref="B51:AF51"/>
    <mergeCell ref="A72:D72"/>
    <mergeCell ref="E72:P72"/>
    <mergeCell ref="Q72:T72"/>
    <mergeCell ref="U72:W72"/>
    <mergeCell ref="X72:AF72"/>
    <mergeCell ref="A54:AF54"/>
    <mergeCell ref="A58:H58"/>
    <mergeCell ref="A63:H63"/>
    <mergeCell ref="A69:H69"/>
    <mergeCell ref="A71:AF71"/>
    <mergeCell ref="C29:AF29"/>
    <mergeCell ref="C30:AF30"/>
    <mergeCell ref="B36:AF36"/>
    <mergeCell ref="B38:AF38"/>
    <mergeCell ref="B47:AF47"/>
    <mergeCell ref="B40:AF40"/>
    <mergeCell ref="B42:AF42"/>
    <mergeCell ref="B44:AF44"/>
    <mergeCell ref="B24:AF24"/>
    <mergeCell ref="C25:AF25"/>
    <mergeCell ref="C26:AF26"/>
    <mergeCell ref="C27:AF27"/>
    <mergeCell ref="C28:AF28"/>
    <mergeCell ref="B20:AF20"/>
    <mergeCell ref="B22:AF22"/>
    <mergeCell ref="C11:AF11"/>
    <mergeCell ref="C12:AF12"/>
    <mergeCell ref="C13:AF13"/>
    <mergeCell ref="C14:AF14"/>
    <mergeCell ref="A1:AF1"/>
    <mergeCell ref="A3:AF3"/>
    <mergeCell ref="B5:AF5"/>
    <mergeCell ref="A7:AF7"/>
    <mergeCell ref="B10:AF10"/>
    <mergeCell ref="A73:D73"/>
    <mergeCell ref="E73:P73"/>
    <mergeCell ref="Q73:T73"/>
    <mergeCell ref="U73:W73"/>
    <mergeCell ref="X73:AF73"/>
    <mergeCell ref="A74:D74"/>
    <mergeCell ref="E74:P74"/>
    <mergeCell ref="Q74:T74"/>
    <mergeCell ref="U74:W74"/>
    <mergeCell ref="X74:AF74"/>
    <mergeCell ref="E76:P76"/>
    <mergeCell ref="Q76:T76"/>
    <mergeCell ref="U76:W76"/>
    <mergeCell ref="X76:AF76"/>
    <mergeCell ref="A77:D77"/>
    <mergeCell ref="E77:P77"/>
    <mergeCell ref="Q77:T77"/>
    <mergeCell ref="U77:W77"/>
    <mergeCell ref="X77:AF77"/>
    <mergeCell ref="A76:D76"/>
    <mergeCell ref="A78:D78"/>
    <mergeCell ref="E78:P78"/>
    <mergeCell ref="Q78:T78"/>
    <mergeCell ref="U78:W78"/>
    <mergeCell ref="X78:AF78"/>
    <mergeCell ref="U80:W80"/>
    <mergeCell ref="X80:AF80"/>
    <mergeCell ref="A79:D79"/>
    <mergeCell ref="E79:P79"/>
    <mergeCell ref="Q79:T79"/>
    <mergeCell ref="U79:W79"/>
    <mergeCell ref="X79:AF79"/>
    <mergeCell ref="B98:AF98"/>
    <mergeCell ref="B99:AF99"/>
    <mergeCell ref="AL49:BT49"/>
    <mergeCell ref="B93:AF93"/>
    <mergeCell ref="B94:AF94"/>
    <mergeCell ref="B95:AF95"/>
    <mergeCell ref="B96:AF96"/>
    <mergeCell ref="B97:AF97"/>
    <mergeCell ref="A83:AF83"/>
    <mergeCell ref="B85:S85"/>
    <mergeCell ref="A89:AF89"/>
    <mergeCell ref="B91:AF91"/>
    <mergeCell ref="B92:AF92"/>
    <mergeCell ref="A80:D80"/>
    <mergeCell ref="E80:P80"/>
    <mergeCell ref="Q80:T80"/>
  </mergeCells>
  <hyperlinks>
    <hyperlink ref="A2" location="TOC!A1" display="Return to TOC" xr:uid="{CF62E0F9-0D02-4442-BE3C-52B0BF97FE6D}"/>
    <hyperlink ref="T85:AB85" location="C_HVAC_AC_HP_WKST!A1" display=" (C_HVAC_AC_HP_WKST)" xr:uid="{DAD4292B-D225-4D86-80D4-B8D078774CAA}"/>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8:AF69" numberStoredAsText="1"/>
  </ignoredError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3">
    <tabColor theme="9" tint="0.79998168889431442"/>
    <pageSetUpPr autoPageBreaks="0" fitToPage="1"/>
  </sheetPr>
  <dimension ref="A1:U176"/>
  <sheetViews>
    <sheetView showGridLines="0" workbookViewId="0">
      <selection activeCell="A2" sqref="A2"/>
    </sheetView>
  </sheetViews>
  <sheetFormatPr defaultColWidth="8.88671875" defaultRowHeight="14.4" x14ac:dyDescent="0.3"/>
  <cols>
    <col min="1" max="1" width="2.6640625" customWidth="1"/>
    <col min="2" max="2" width="39.109375" customWidth="1"/>
    <col min="3" max="3" width="38" customWidth="1"/>
    <col min="4" max="4" width="13.5546875" customWidth="1"/>
    <col min="5" max="5" width="15.6640625" customWidth="1"/>
    <col min="6" max="6" width="30.33203125" customWidth="1"/>
    <col min="7" max="8" width="15.6640625" customWidth="1"/>
    <col min="9" max="9" width="5.109375" customWidth="1"/>
    <col min="10" max="12" width="15.6640625" customWidth="1"/>
    <col min="13" max="13" width="14" customWidth="1"/>
    <col min="14" max="14" width="14" style="438" customWidth="1"/>
    <col min="15" max="15" width="14" customWidth="1"/>
    <col min="16" max="19" width="14" style="94" customWidth="1"/>
    <col min="20" max="21" width="14" customWidth="1"/>
  </cols>
  <sheetData>
    <row r="1" spans="1:21" ht="23.4" x14ac:dyDescent="0.45">
      <c r="A1" s="526" t="s">
        <v>3738</v>
      </c>
      <c r="B1" s="527"/>
      <c r="C1" s="527"/>
      <c r="D1" s="527"/>
      <c r="E1" s="527"/>
      <c r="F1" s="527"/>
      <c r="G1" s="527"/>
      <c r="H1" s="527"/>
      <c r="I1" s="527"/>
      <c r="J1" s="527"/>
      <c r="K1" s="527"/>
      <c r="L1" s="527"/>
      <c r="M1" s="527"/>
      <c r="N1" s="527"/>
      <c r="O1" s="527"/>
      <c r="P1" s="527"/>
      <c r="Q1" s="527"/>
      <c r="R1" s="527"/>
      <c r="S1" s="527"/>
      <c r="T1" s="527"/>
    </row>
    <row r="2" spans="1:21" ht="18" x14ac:dyDescent="0.3">
      <c r="A2" s="512" t="s">
        <v>1456</v>
      </c>
      <c r="B2" s="145"/>
      <c r="C2" s="145"/>
      <c r="D2" s="145"/>
      <c r="E2" s="145"/>
      <c r="O2" s="374"/>
      <c r="Q2" s="121" t="s">
        <v>2753</v>
      </c>
      <c r="T2" s="94"/>
      <c r="U2" s="94"/>
    </row>
    <row r="3" spans="1:21" x14ac:dyDescent="0.3">
      <c r="G3" t="s">
        <v>6345</v>
      </c>
      <c r="Q3" s="121"/>
      <c r="T3" s="94"/>
      <c r="U3" s="94"/>
    </row>
    <row r="4" spans="1:21" x14ac:dyDescent="0.3">
      <c r="B4" s="467" t="s">
        <v>4542</v>
      </c>
      <c r="F4" s="1702" t="s">
        <v>1025</v>
      </c>
      <c r="G4" s="1702"/>
      <c r="J4" s="1702" t="s">
        <v>1160</v>
      </c>
      <c r="K4" s="1702"/>
      <c r="Q4" s="375" t="s">
        <v>6346</v>
      </c>
      <c r="T4" s="94"/>
      <c r="U4" s="94"/>
    </row>
    <row r="5" spans="1:21" x14ac:dyDescent="0.3">
      <c r="G5" s="148" t="s">
        <v>2732</v>
      </c>
      <c r="H5" s="148" t="s">
        <v>2754</v>
      </c>
      <c r="Q5" s="375" t="s">
        <v>6347</v>
      </c>
      <c r="T5" s="94"/>
      <c r="U5" s="94"/>
    </row>
    <row r="6" spans="1:21" x14ac:dyDescent="0.3">
      <c r="B6" s="179" t="s">
        <v>3739</v>
      </c>
      <c r="C6" s="834" t="s">
        <v>6347</v>
      </c>
      <c r="D6" s="438"/>
      <c r="F6" s="623" t="s">
        <v>343</v>
      </c>
      <c r="G6" s="509" t="str">
        <f>IF(VLOOKUP($C$6,$B$57:$F$88,5,FALSE)="NA","NA",IF($C$9&gt;=INDEX($F$57:$F$88,MATCH($C$6&amp;" - "&amp;$G$9,$G$19:$G$50,0),1),"Pass","Fail"))</f>
        <v>NA</v>
      </c>
      <c r="H6" s="509" t="str">
        <f>IF($C$10&gt;=INDEX($D$57:$E$88,MATCH($C$6&amp;" - "&amp;$G$9,$G$19:$G$50,0),MATCH($D$10,$D$18:$E$18,0)),"Pass", "Fail")</f>
        <v>Pass</v>
      </c>
      <c r="J6" s="179" t="s">
        <v>1024</v>
      </c>
      <c r="K6" s="1695">
        <f>INDEX($C$134:$D$144,MATCH($C$8,$B$134:$B$144,0),2)</f>
        <v>0.48</v>
      </c>
      <c r="L6" s="1695"/>
      <c r="Q6" s="375" t="s">
        <v>6348</v>
      </c>
      <c r="T6" s="94"/>
      <c r="U6" s="94"/>
    </row>
    <row r="7" spans="1:21" x14ac:dyDescent="0.3">
      <c r="B7" s="179" t="s">
        <v>4650</v>
      </c>
      <c r="C7" s="835">
        <v>64000</v>
      </c>
      <c r="F7" s="623" t="s">
        <v>344</v>
      </c>
      <c r="G7" s="509" t="str">
        <f>IF(VLOOKUP($C$6,$B$95:$F$126,5,FALSE)="NA","NA",IF($C$9&gt;=INDEX($F$95:$F$126,MATCH($C$6&amp;" - "&amp;$G$9,$G$19:$G$50,0),1),"Pass","Fail"))</f>
        <v>NA</v>
      </c>
      <c r="H7" s="509" t="str">
        <f>IF($C$10&gt;=INDEX($D$95:$E$126,MATCH($C$6&amp;" - "&amp;$G$9,$G$19:$G$50,0),MATCH($D$10,$D$18:$E$18,0)),"Pass", "Fail")</f>
        <v>Fail</v>
      </c>
      <c r="J7" s="179" t="s">
        <v>1023</v>
      </c>
      <c r="K7" s="1703">
        <f>INDEX($C$134:$D$144,MATCH($C$8,$B$134:$B$144,0),1)</f>
        <v>2754</v>
      </c>
      <c r="L7" s="1703"/>
      <c r="N7" s="553"/>
      <c r="Q7" s="375" t="s">
        <v>6349</v>
      </c>
      <c r="T7" s="94"/>
      <c r="U7" s="94"/>
    </row>
    <row r="8" spans="1:21" x14ac:dyDescent="0.3">
      <c r="B8" s="179" t="s">
        <v>3495</v>
      </c>
      <c r="C8" s="836" t="s">
        <v>47</v>
      </c>
      <c r="F8" s="94"/>
      <c r="G8" s="94"/>
      <c r="H8" s="94"/>
      <c r="J8" s="163" t="s">
        <v>1159</v>
      </c>
      <c r="K8" s="1704">
        <f>ROUND(IF(OR($K$11=$F$6,$K$11=$F$7),$C$7/1000*(1/$G10-1/$C9)*$K6,0),3)</f>
        <v>0</v>
      </c>
      <c r="L8" s="1704"/>
      <c r="Q8" s="375" t="s">
        <v>6350</v>
      </c>
      <c r="T8" s="94"/>
      <c r="U8" s="94"/>
    </row>
    <row r="9" spans="1:21" x14ac:dyDescent="0.3">
      <c r="B9" s="268" t="s">
        <v>2756</v>
      </c>
      <c r="C9" s="837">
        <v>10.6</v>
      </c>
      <c r="D9" s="313" t="s">
        <v>5790</v>
      </c>
      <c r="F9" s="479" t="s">
        <v>2757</v>
      </c>
      <c r="G9" s="1547" t="str">
        <f>IF(C6=Q14,INDEX($R$31:$R$34,MATCH($C$7,$Q$31:$Q$34,1),1),IF(C6=Q4,INDEX($R$36:$R$38,MATCH($C$7,$Q$36:$Q$38,1),1),IF(OR(C6=Q15,C6=Q16,C6=Q17,C6=Q18),INDEX($R$40:$R$43,MATCH($C$7,$Q$40:$Q$43,1),1),IF(C6=Q19,INDEX($R$45:$R$47,MATCH($C$7,$Q$45:$Q$47,1),1),INDEX($R$26:$R$29,MATCH($C$7,$Q$26:$Q$29,1),1)))))</f>
        <v>&lt; 65,000 Btu/h</v>
      </c>
      <c r="H9" s="1547"/>
      <c r="J9" s="163" t="s">
        <v>1022</v>
      </c>
      <c r="K9" s="1695">
        <f>ROUND(IF(OR($K$11=$F$6,$K$11=$F$7),$C$7/1000*(1/$G11-1/$C10)*$K7,0),2)</f>
        <v>1557.64</v>
      </c>
      <c r="L9" s="1695"/>
      <c r="Q9" s="375" t="s">
        <v>6351</v>
      </c>
      <c r="T9" s="94"/>
      <c r="U9" s="94"/>
    </row>
    <row r="10" spans="1:21" x14ac:dyDescent="0.3">
      <c r="B10" s="268" t="s">
        <v>2758</v>
      </c>
      <c r="C10" s="837">
        <v>15.2</v>
      </c>
      <c r="D10" s="313" t="str">
        <f>IF($C$7&lt;65000, "SEER or SEER2","IEER")</f>
        <v>SEER or SEER2</v>
      </c>
      <c r="F10" s="479" t="s">
        <v>2759</v>
      </c>
      <c r="G10" s="509">
        <f>INDEX($F$19:$F$50,MATCH($C$6&amp;" - "&amp;$G$9,$G$19:$G$50,0),1)</f>
        <v>10.6</v>
      </c>
      <c r="H10" s="509" t="s">
        <v>5790</v>
      </c>
      <c r="J10" s="179" t="s">
        <v>2089</v>
      </c>
      <c r="K10" s="1429">
        <f>ROUND(K9*'C_HVAC_AC &amp; Heat Pump'!Q80,2)</f>
        <v>23364.6</v>
      </c>
      <c r="L10" s="1429"/>
      <c r="M10" s="94"/>
      <c r="Q10" s="375" t="s">
        <v>6352</v>
      </c>
      <c r="T10" s="94"/>
      <c r="U10" s="94"/>
    </row>
    <row r="11" spans="1:21" ht="15" customHeight="1" x14ac:dyDescent="0.3">
      <c r="B11" s="1701" t="s">
        <v>6353</v>
      </c>
      <c r="C11" s="238" t="str">
        <f>IF(AND(C6=Q14,C7&gt;134999),"Check Water-Source HP capacity","")</f>
        <v/>
      </c>
      <c r="D11" s="94"/>
      <c r="F11" s="479" t="s">
        <v>2760</v>
      </c>
      <c r="G11" s="509">
        <f>INDEX($D$19:$E$50,MATCH($C$6&amp;" - "&amp;$G$9,$G$19:$G$50,0),MATCH($D$10,$D$18:$E$18,0))</f>
        <v>13.4</v>
      </c>
      <c r="H11" s="509" t="str">
        <f>IF($C$7&lt;65000, "SEER or SEER2","IEER")</f>
        <v>SEER or SEER2</v>
      </c>
      <c r="J11" s="163" t="s">
        <v>2091</v>
      </c>
      <c r="K11" s="1696" t="str">
        <f>IF(AND(OR(G7="Pass",G7="NA"),H7="Pass"),F7,IF(AND(OR(G6="Pass",G6="NA"),H6="Pass"),F6,"Does Not Qualify"))</f>
        <v>Tier 1</v>
      </c>
      <c r="L11" s="1696"/>
      <c r="Q11" s="375" t="s">
        <v>6354</v>
      </c>
      <c r="T11" s="94"/>
      <c r="U11" s="94"/>
    </row>
    <row r="12" spans="1:21" x14ac:dyDescent="0.3">
      <c r="B12" s="1701"/>
      <c r="C12" s="238" t="str">
        <f>IF(C7&gt;239999,"Use custom approach for capacities ≥ 240,000 Btu/h","")</f>
        <v/>
      </c>
      <c r="D12" s="94"/>
      <c r="Q12" s="375" t="s">
        <v>6355</v>
      </c>
      <c r="T12" s="94"/>
      <c r="U12" s="94"/>
    </row>
    <row r="13" spans="1:21" x14ac:dyDescent="0.3">
      <c r="B13" s="1701"/>
      <c r="C13" s="238" t="str">
        <f>IF(AND(C7&gt;64999,OR(C6=Q4,C6=Q5,C6=Q6,C6=Q7,C6=Q9,C6=Q10,C6=Q11,C6=Q12,C6=Q15,C6=Q16,C6=Q17,C6=Q18)),"Check capacity","")</f>
        <v/>
      </c>
      <c r="D13" s="94"/>
      <c r="Q13" s="375" t="s">
        <v>2739</v>
      </c>
      <c r="T13" s="94"/>
      <c r="U13" s="94"/>
    </row>
    <row r="14" spans="1:21" x14ac:dyDescent="0.3">
      <c r="A14" s="94"/>
      <c r="B14" s="94"/>
      <c r="C14" s="238" t="str">
        <f>IF(AND(OR(C6=Q15,C6=Q16,C6=Q17,C6=Q18),F37&lt;0),"Check PTAC or PTHP capacity","")</f>
        <v/>
      </c>
      <c r="D14" s="94"/>
      <c r="E14" s="94"/>
      <c r="F14" s="94"/>
      <c r="G14" s="94"/>
      <c r="H14" s="94"/>
      <c r="I14" s="94"/>
      <c r="J14" s="94"/>
      <c r="K14" s="94"/>
      <c r="L14" s="94"/>
      <c r="M14" s="94"/>
      <c r="N14" s="94"/>
      <c r="Q14" s="375" t="s">
        <v>3709</v>
      </c>
      <c r="T14" s="94"/>
      <c r="U14" s="94"/>
    </row>
    <row r="15" spans="1:21" x14ac:dyDescent="0.3">
      <c r="A15" s="94"/>
      <c r="B15" s="94"/>
      <c r="C15" s="94"/>
      <c r="D15" s="94"/>
      <c r="E15" s="94"/>
      <c r="F15" s="94"/>
      <c r="G15" s="94"/>
      <c r="H15" s="94"/>
      <c r="I15" s="94"/>
      <c r="J15" s="94"/>
      <c r="K15" s="94"/>
      <c r="L15" s="94"/>
      <c r="M15" s="94"/>
      <c r="N15" s="94"/>
      <c r="O15" s="94"/>
      <c r="Q15" s="375" t="s">
        <v>3741</v>
      </c>
      <c r="T15" s="94"/>
      <c r="U15" s="94"/>
    </row>
    <row r="16" spans="1:21" ht="18" x14ac:dyDescent="0.3">
      <c r="A16" s="94"/>
      <c r="B16" s="144" t="s">
        <v>6356</v>
      </c>
      <c r="C16" s="94"/>
      <c r="D16" s="94"/>
      <c r="E16" s="94"/>
      <c r="F16" s="94"/>
      <c r="G16" s="94"/>
      <c r="H16" s="94"/>
      <c r="I16" s="94"/>
      <c r="J16" s="94"/>
      <c r="K16" s="94"/>
      <c r="L16" s="94"/>
      <c r="M16" s="94"/>
      <c r="N16" s="94"/>
      <c r="O16" s="94"/>
      <c r="Q16" s="375" t="s">
        <v>3742</v>
      </c>
      <c r="T16" s="94"/>
      <c r="U16" s="94"/>
    </row>
    <row r="17" spans="1:21" ht="15" customHeight="1" x14ac:dyDescent="0.3">
      <c r="A17" s="94"/>
      <c r="B17" s="1697" t="s">
        <v>2729</v>
      </c>
      <c r="C17" s="1697" t="s">
        <v>2730</v>
      </c>
      <c r="D17" s="1699" t="s">
        <v>2731</v>
      </c>
      <c r="E17" s="1700"/>
      <c r="F17" s="510" t="s">
        <v>2761</v>
      </c>
      <c r="G17" s="61"/>
      <c r="H17" s="61"/>
      <c r="I17" s="94"/>
      <c r="J17" s="94"/>
      <c r="K17" s="94"/>
      <c r="L17" s="94"/>
      <c r="M17" s="94"/>
      <c r="O17" s="94"/>
      <c r="Q17" s="375" t="s">
        <v>3743</v>
      </c>
      <c r="T17" s="94"/>
      <c r="U17" s="94"/>
    </row>
    <row r="18" spans="1:21" x14ac:dyDescent="0.3">
      <c r="A18" s="94"/>
      <c r="B18" s="1698"/>
      <c r="C18" s="1698"/>
      <c r="D18" s="377" t="s">
        <v>6357</v>
      </c>
      <c r="E18" s="377" t="s">
        <v>2733</v>
      </c>
      <c r="F18" s="377" t="s">
        <v>5790</v>
      </c>
      <c r="G18" s="61" t="s">
        <v>2762</v>
      </c>
      <c r="H18" s="94"/>
      <c r="I18" s="94"/>
      <c r="J18" s="94"/>
      <c r="K18" s="94"/>
      <c r="L18" s="94"/>
      <c r="M18" s="94"/>
      <c r="O18" s="94"/>
      <c r="Q18" s="375" t="s">
        <v>3740</v>
      </c>
      <c r="T18" s="94"/>
      <c r="U18" s="94"/>
    </row>
    <row r="19" spans="1:21" x14ac:dyDescent="0.3">
      <c r="A19" s="94"/>
      <c r="B19" s="510" t="s">
        <v>6346</v>
      </c>
      <c r="C19" s="510" t="s">
        <v>6358</v>
      </c>
      <c r="D19" s="791">
        <v>14.3</v>
      </c>
      <c r="E19" s="516" t="s">
        <v>2736</v>
      </c>
      <c r="F19" s="792">
        <v>11.7</v>
      </c>
      <c r="G19" s="94" t="str">
        <f t="shared" ref="G19:G50" si="0">B19&amp;" - "&amp;C19</f>
        <v>Single-Phase Split System AC - &lt; 45,000 Btu/h</v>
      </c>
      <c r="H19" s="94"/>
      <c r="I19" s="94"/>
      <c r="J19" s="94"/>
      <c r="K19" s="94"/>
      <c r="L19" s="94"/>
      <c r="M19" s="94"/>
      <c r="O19" s="94"/>
      <c r="Q19" s="375" t="s">
        <v>3744</v>
      </c>
      <c r="T19" s="94"/>
      <c r="U19" s="94"/>
    </row>
    <row r="20" spans="1:21" x14ac:dyDescent="0.3">
      <c r="A20" s="94"/>
      <c r="B20" s="510" t="s">
        <v>6346</v>
      </c>
      <c r="C20" s="510" t="s">
        <v>6359</v>
      </c>
      <c r="D20" s="791">
        <v>13.8</v>
      </c>
      <c r="E20" s="516" t="s">
        <v>2736</v>
      </c>
      <c r="F20" s="793">
        <v>11.2</v>
      </c>
      <c r="G20" s="94" t="str">
        <f t="shared" si="0"/>
        <v>Single-Phase Split System AC - ≥ 45,000 and &lt; 65,000 Btu/h</v>
      </c>
      <c r="H20" s="94"/>
      <c r="I20" s="94"/>
      <c r="J20" s="94"/>
      <c r="K20" s="94"/>
      <c r="L20" s="94"/>
      <c r="M20" s="94"/>
      <c r="O20" s="94"/>
      <c r="T20" s="94"/>
      <c r="U20" s="94"/>
    </row>
    <row r="21" spans="1:21" x14ac:dyDescent="0.3">
      <c r="A21" s="94"/>
      <c r="B21" s="510" t="s">
        <v>6347</v>
      </c>
      <c r="C21" s="510" t="s">
        <v>2735</v>
      </c>
      <c r="D21" s="791">
        <v>13.4</v>
      </c>
      <c r="E21" s="516" t="s">
        <v>2736</v>
      </c>
      <c r="F21" s="793">
        <v>10.6</v>
      </c>
      <c r="G21" s="94" t="str">
        <f t="shared" si="0"/>
        <v>Single-Phase Single Package AC - &lt; 65,000 Btu/h</v>
      </c>
      <c r="H21" s="94"/>
      <c r="I21" s="94"/>
      <c r="J21" s="94"/>
      <c r="K21" s="94"/>
      <c r="L21" s="94"/>
      <c r="M21" s="94"/>
      <c r="O21" s="94"/>
      <c r="Q21" s="59" t="s">
        <v>2755</v>
      </c>
      <c r="T21" s="94"/>
      <c r="U21" s="94"/>
    </row>
    <row r="22" spans="1:21" x14ac:dyDescent="0.3">
      <c r="A22" s="94"/>
      <c r="B22" s="510" t="s">
        <v>6348</v>
      </c>
      <c r="C22" s="510" t="s">
        <v>2735</v>
      </c>
      <c r="D22" s="791">
        <v>13.4</v>
      </c>
      <c r="E22" s="516" t="s">
        <v>2736</v>
      </c>
      <c r="F22" s="793">
        <v>10.6</v>
      </c>
      <c r="G22" s="94" t="str">
        <f t="shared" si="0"/>
        <v>Three-Phase Split System AC - &lt; 65,000 Btu/h</v>
      </c>
      <c r="H22" s="94"/>
      <c r="I22" s="94"/>
      <c r="J22" s="94"/>
      <c r="K22" s="94"/>
      <c r="L22" s="94"/>
      <c r="M22" s="94"/>
      <c r="O22" s="94"/>
      <c r="Q22" s="59" t="s">
        <v>6357</v>
      </c>
      <c r="T22" s="94"/>
      <c r="U22" s="94"/>
    </row>
    <row r="23" spans="1:21" x14ac:dyDescent="0.3">
      <c r="A23" s="94"/>
      <c r="B23" s="510" t="s">
        <v>6349</v>
      </c>
      <c r="C23" s="510" t="s">
        <v>2735</v>
      </c>
      <c r="D23" s="791">
        <v>13.4</v>
      </c>
      <c r="E23" s="516" t="s">
        <v>2736</v>
      </c>
      <c r="F23" s="793">
        <v>10.6</v>
      </c>
      <c r="G23" s="94" t="str">
        <f t="shared" si="0"/>
        <v>Three-Phase Single Package AC - &lt; 65,000 Btu/h</v>
      </c>
      <c r="H23" s="94"/>
      <c r="I23" s="94"/>
      <c r="J23" s="94"/>
      <c r="K23" s="94"/>
      <c r="L23" s="94"/>
      <c r="M23" s="94"/>
      <c r="O23" s="94"/>
      <c r="Q23" s="59" t="s">
        <v>2733</v>
      </c>
      <c r="T23" s="94"/>
      <c r="U23" s="94"/>
    </row>
    <row r="24" spans="1:21" x14ac:dyDescent="0.3">
      <c r="A24" s="94"/>
      <c r="B24" s="510" t="s">
        <v>6350</v>
      </c>
      <c r="C24" s="510" t="s">
        <v>2746</v>
      </c>
      <c r="D24" s="516" t="s">
        <v>2736</v>
      </c>
      <c r="E24" s="794">
        <v>14.8</v>
      </c>
      <c r="F24" s="795">
        <v>11.2</v>
      </c>
      <c r="G24" s="94" t="str">
        <f t="shared" si="0"/>
        <v>Split System &amp; Single Package AC - ≥ 65,000 and &lt; 135,000 Btu/h</v>
      </c>
      <c r="H24" s="94"/>
      <c r="I24" s="94"/>
      <c r="J24" s="94"/>
      <c r="K24" s="94"/>
      <c r="L24" s="94"/>
      <c r="M24" s="94"/>
      <c r="O24" s="94"/>
      <c r="T24" s="94"/>
      <c r="U24" s="94"/>
    </row>
    <row r="25" spans="1:21" x14ac:dyDescent="0.3">
      <c r="A25" s="94"/>
      <c r="B25" s="510" t="s">
        <v>6350</v>
      </c>
      <c r="C25" s="510" t="s">
        <v>2747</v>
      </c>
      <c r="D25" s="516" t="s">
        <v>2736</v>
      </c>
      <c r="E25" s="794">
        <v>14.2</v>
      </c>
      <c r="F25" s="795">
        <v>11</v>
      </c>
      <c r="G25" s="94" t="str">
        <f t="shared" si="0"/>
        <v>Split System &amp; Single Package AC - ≥ 135,000 and &lt; 240,000 Btu/h</v>
      </c>
      <c r="H25" s="94"/>
      <c r="I25" s="94"/>
      <c r="J25" s="94"/>
      <c r="K25" s="94"/>
      <c r="L25" s="94"/>
      <c r="M25" s="94"/>
      <c r="O25" s="94"/>
    </row>
    <row r="26" spans="1:21" x14ac:dyDescent="0.3">
      <c r="A26" s="94"/>
      <c r="B26" s="510" t="s">
        <v>6350</v>
      </c>
      <c r="C26" s="510" t="s">
        <v>2749</v>
      </c>
      <c r="D26" s="516" t="s">
        <v>2736</v>
      </c>
      <c r="E26" s="794">
        <v>13.2</v>
      </c>
      <c r="F26" s="795">
        <v>10</v>
      </c>
      <c r="G26" s="94" t="str">
        <f t="shared" si="0"/>
        <v>Split System &amp; Single Package AC - ≥ 240,000 Btu/h</v>
      </c>
      <c r="H26" s="94"/>
      <c r="I26" s="94"/>
      <c r="J26" s="94"/>
      <c r="K26" s="94"/>
      <c r="L26" s="94"/>
      <c r="M26" s="94"/>
      <c r="O26" s="94"/>
      <c r="Q26" s="94">
        <v>1000</v>
      </c>
      <c r="R26" s="375" t="s">
        <v>2735</v>
      </c>
    </row>
    <row r="27" spans="1:21" x14ac:dyDescent="0.3">
      <c r="A27" s="94"/>
      <c r="B27" s="510" t="s">
        <v>6351</v>
      </c>
      <c r="C27" s="510" t="s">
        <v>2735</v>
      </c>
      <c r="D27" s="791">
        <v>14.3</v>
      </c>
      <c r="E27" s="516" t="s">
        <v>2736</v>
      </c>
      <c r="F27" s="793">
        <v>11.7</v>
      </c>
      <c r="G27" s="94" t="str">
        <f t="shared" si="0"/>
        <v>Single-Phase Split System HP - &lt; 65,000 Btu/h</v>
      </c>
      <c r="H27" s="94"/>
      <c r="I27" s="94"/>
      <c r="J27" s="94"/>
      <c r="K27" s="94"/>
      <c r="L27" s="94"/>
      <c r="M27" s="94"/>
      <c r="O27" s="94"/>
      <c r="Q27" s="94">
        <v>65000</v>
      </c>
      <c r="R27" s="375" t="s">
        <v>2746</v>
      </c>
      <c r="T27" s="94"/>
    </row>
    <row r="28" spans="1:21" x14ac:dyDescent="0.3">
      <c r="A28" s="94"/>
      <c r="B28" s="510" t="s">
        <v>6352</v>
      </c>
      <c r="C28" s="510" t="s">
        <v>2735</v>
      </c>
      <c r="D28" s="791">
        <v>13.4</v>
      </c>
      <c r="E28" s="516" t="s">
        <v>2736</v>
      </c>
      <c r="F28" s="793">
        <v>10.6</v>
      </c>
      <c r="G28" s="94" t="str">
        <f t="shared" si="0"/>
        <v>Single-Phase Single Package HP - &lt; 65,000 Btu/h</v>
      </c>
      <c r="H28" s="94"/>
      <c r="I28" s="94"/>
      <c r="J28" s="94"/>
      <c r="K28" s="94"/>
      <c r="L28" s="94"/>
      <c r="M28" s="94"/>
      <c r="O28" s="94"/>
      <c r="Q28" s="94">
        <v>135000</v>
      </c>
      <c r="R28" s="375" t="s">
        <v>2747</v>
      </c>
      <c r="T28" s="94"/>
    </row>
    <row r="29" spans="1:21" x14ac:dyDescent="0.3">
      <c r="A29" s="94"/>
      <c r="B29" s="510" t="s">
        <v>6354</v>
      </c>
      <c r="C29" s="510" t="s">
        <v>2735</v>
      </c>
      <c r="D29" s="791">
        <v>14.3</v>
      </c>
      <c r="E29" s="516" t="s">
        <v>2736</v>
      </c>
      <c r="F29" s="793">
        <v>11.7</v>
      </c>
      <c r="G29" s="94" t="str">
        <f t="shared" si="0"/>
        <v>Three-Phase Split System Air-Source HP - &lt; 65,000 Btu/h</v>
      </c>
      <c r="H29" s="94"/>
      <c r="I29" s="94"/>
      <c r="J29" s="94"/>
      <c r="K29" s="94"/>
      <c r="L29" s="94"/>
      <c r="M29" s="94"/>
      <c r="O29" s="94"/>
      <c r="Q29" s="94">
        <v>240000</v>
      </c>
      <c r="R29" s="375" t="s">
        <v>2749</v>
      </c>
      <c r="T29" s="94"/>
    </row>
    <row r="30" spans="1:21" x14ac:dyDescent="0.3">
      <c r="A30" s="94"/>
      <c r="B30" s="510" t="s">
        <v>6355</v>
      </c>
      <c r="C30" s="510" t="s">
        <v>2735</v>
      </c>
      <c r="D30" s="791">
        <v>13.4</v>
      </c>
      <c r="E30" s="516" t="s">
        <v>2736</v>
      </c>
      <c r="F30" s="793">
        <v>10.6</v>
      </c>
      <c r="G30" s="94" t="str">
        <f t="shared" si="0"/>
        <v>Three-Phase Single Package Air-Source HP - &lt; 65,000 Btu/h</v>
      </c>
      <c r="H30" s="94"/>
      <c r="I30" s="94"/>
      <c r="J30" s="94"/>
      <c r="K30" s="94"/>
      <c r="L30" s="94"/>
      <c r="M30" s="94"/>
      <c r="O30" s="94"/>
      <c r="T30" s="94"/>
    </row>
    <row r="31" spans="1:21" x14ac:dyDescent="0.3">
      <c r="A31" s="94"/>
      <c r="B31" s="510" t="s">
        <v>2739</v>
      </c>
      <c r="C31" s="510" t="s">
        <v>2746</v>
      </c>
      <c r="D31" s="516" t="s">
        <v>2736</v>
      </c>
      <c r="E31" s="794">
        <v>14.1</v>
      </c>
      <c r="F31" s="795">
        <v>11</v>
      </c>
      <c r="G31" s="94" t="str">
        <f t="shared" si="0"/>
        <v>Air-Source HP - ≥ 65,000 and &lt; 135,000 Btu/h</v>
      </c>
      <c r="H31" s="94"/>
      <c r="I31" s="94"/>
      <c r="J31" s="94"/>
      <c r="K31" s="94"/>
      <c r="L31" s="94"/>
      <c r="M31" s="94"/>
      <c r="O31" s="94"/>
      <c r="Q31" s="94">
        <v>1000</v>
      </c>
      <c r="R31" s="375" t="s">
        <v>3710</v>
      </c>
      <c r="T31" s="94"/>
    </row>
    <row r="32" spans="1:21" x14ac:dyDescent="0.3">
      <c r="A32" s="94"/>
      <c r="B32" s="510" t="s">
        <v>2739</v>
      </c>
      <c r="C32" s="510" t="s">
        <v>2747</v>
      </c>
      <c r="D32" s="516" t="s">
        <v>2736</v>
      </c>
      <c r="E32" s="794">
        <v>13.5</v>
      </c>
      <c r="F32" s="795">
        <v>10.6</v>
      </c>
      <c r="G32" s="94" t="str">
        <f t="shared" si="0"/>
        <v>Air-Source HP - ≥ 135,000 and &lt; 240,000 Btu/h</v>
      </c>
      <c r="H32" s="94"/>
      <c r="I32" s="94"/>
      <c r="J32" s="94"/>
      <c r="K32" s="94"/>
      <c r="L32" s="94"/>
      <c r="M32" s="94"/>
      <c r="O32" s="94"/>
      <c r="Q32" s="94">
        <v>17000</v>
      </c>
      <c r="R32" s="375" t="s">
        <v>3717</v>
      </c>
      <c r="T32" s="94"/>
    </row>
    <row r="33" spans="1:20" x14ac:dyDescent="0.3">
      <c r="A33" s="94"/>
      <c r="B33" s="510" t="s">
        <v>2739</v>
      </c>
      <c r="C33" s="510" t="s">
        <v>2749</v>
      </c>
      <c r="D33" s="516" t="s">
        <v>2736</v>
      </c>
      <c r="E33" s="794">
        <v>12.5</v>
      </c>
      <c r="F33" s="795">
        <v>9.5</v>
      </c>
      <c r="G33" s="94" t="str">
        <f t="shared" si="0"/>
        <v>Air-Source HP - ≥ 240,000 Btu/h</v>
      </c>
      <c r="H33" s="94"/>
      <c r="I33" s="94"/>
      <c r="J33" s="94"/>
      <c r="K33" s="94"/>
      <c r="L33" s="94"/>
      <c r="M33" s="94"/>
      <c r="O33" s="94"/>
      <c r="Q33" s="94">
        <v>65000</v>
      </c>
      <c r="R33" s="375" t="s">
        <v>3718</v>
      </c>
      <c r="T33" s="94"/>
    </row>
    <row r="34" spans="1:20" x14ac:dyDescent="0.3">
      <c r="A34" s="94"/>
      <c r="B34" s="510" t="s">
        <v>3709</v>
      </c>
      <c r="C34" s="510" t="s">
        <v>3710</v>
      </c>
      <c r="D34" s="796">
        <f>F34</f>
        <v>12.2</v>
      </c>
      <c r="E34" s="516" t="s">
        <v>2736</v>
      </c>
      <c r="F34" s="795">
        <v>12.2</v>
      </c>
      <c r="G34" s="94" t="str">
        <f t="shared" si="0"/>
        <v>Water-Source HP - &lt; 17,000 Btu/h</v>
      </c>
      <c r="H34" s="94"/>
      <c r="I34" s="94"/>
      <c r="J34" s="94"/>
      <c r="K34" s="94"/>
      <c r="L34" s="94"/>
      <c r="M34" s="94"/>
      <c r="O34" s="94"/>
      <c r="Q34" s="94">
        <v>135000</v>
      </c>
      <c r="R34" s="375" t="s">
        <v>3719</v>
      </c>
      <c r="T34" s="94"/>
    </row>
    <row r="35" spans="1:20" x14ac:dyDescent="0.3">
      <c r="A35" s="94"/>
      <c r="B35" s="510" t="s">
        <v>3709</v>
      </c>
      <c r="C35" s="510" t="s">
        <v>3717</v>
      </c>
      <c r="D35" s="796">
        <f>F35</f>
        <v>13</v>
      </c>
      <c r="E35" s="516" t="s">
        <v>2736</v>
      </c>
      <c r="F35" s="795">
        <v>13</v>
      </c>
      <c r="G35" s="94" t="str">
        <f t="shared" si="0"/>
        <v>Water-Source HP - ≥ 17,000 and &lt; 65,000 Btu/h</v>
      </c>
      <c r="H35" s="94"/>
      <c r="I35" s="94"/>
      <c r="J35" s="94"/>
      <c r="K35" s="94"/>
      <c r="L35" s="94"/>
      <c r="M35" s="94"/>
      <c r="O35" s="94"/>
      <c r="T35" s="438"/>
    </row>
    <row r="36" spans="1:20" x14ac:dyDescent="0.3">
      <c r="A36" s="94"/>
      <c r="B36" s="510" t="s">
        <v>3709</v>
      </c>
      <c r="C36" s="510" t="s">
        <v>3718</v>
      </c>
      <c r="D36" s="516" t="s">
        <v>2736</v>
      </c>
      <c r="E36" s="794">
        <f>F36</f>
        <v>13</v>
      </c>
      <c r="F36" s="795">
        <v>13</v>
      </c>
      <c r="G36" s="94" t="str">
        <f t="shared" si="0"/>
        <v>Water-Source HP - ≥ 65,000 and &lt; 135,000 Btu/h</v>
      </c>
      <c r="H36" s="94"/>
      <c r="I36" s="94"/>
      <c r="J36" s="94"/>
      <c r="K36" s="94"/>
      <c r="L36" s="94"/>
      <c r="M36" s="94"/>
      <c r="O36" s="94"/>
      <c r="Q36" s="94">
        <v>1000</v>
      </c>
      <c r="R36" s="375" t="s">
        <v>6358</v>
      </c>
      <c r="T36" s="94"/>
    </row>
    <row r="37" spans="1:20" x14ac:dyDescent="0.3">
      <c r="A37" s="94"/>
      <c r="B37" s="510" t="s">
        <v>3741</v>
      </c>
      <c r="C37" s="510" t="s">
        <v>6360</v>
      </c>
      <c r="D37" s="796">
        <f>F37</f>
        <v>11.9</v>
      </c>
      <c r="E37" s="516" t="s">
        <v>2736</v>
      </c>
      <c r="F37" s="795">
        <v>11.9</v>
      </c>
      <c r="G37" s="94" t="str">
        <f t="shared" si="0"/>
        <v>PTAC (Std) - &lt; 7,000 Btu/h</v>
      </c>
      <c r="H37" s="94"/>
      <c r="I37" s="94"/>
      <c r="J37" s="94"/>
      <c r="K37" s="94"/>
      <c r="L37" s="94"/>
      <c r="M37" s="94"/>
      <c r="O37" s="94"/>
      <c r="Q37" s="94">
        <v>45000</v>
      </c>
      <c r="R37" s="375" t="s">
        <v>6359</v>
      </c>
      <c r="T37" s="94"/>
    </row>
    <row r="38" spans="1:20" x14ac:dyDescent="0.3">
      <c r="A38" s="94"/>
      <c r="B38" s="510" t="s">
        <v>3741</v>
      </c>
      <c r="C38" s="510" t="s">
        <v>6365</v>
      </c>
      <c r="D38" s="797">
        <f>F38</f>
        <v>-5.2</v>
      </c>
      <c r="E38" s="516" t="s">
        <v>2736</v>
      </c>
      <c r="F38" s="798">
        <f>IF(ISBLANK($C$7), "Size Dependent", ROUND(14-(0.3*$C$7/1000), 1))</f>
        <v>-5.2</v>
      </c>
      <c r="G38" s="94" t="str">
        <f t="shared" si="0"/>
        <v>PTAC (Std) - ≥ 7,000 and ≤ 15,000 Btu/h</v>
      </c>
      <c r="H38" s="94"/>
      <c r="I38" s="94"/>
      <c r="J38" s="94"/>
      <c r="K38" s="94"/>
      <c r="L38" s="94"/>
      <c r="M38" s="94"/>
      <c r="O38" s="94"/>
      <c r="Q38" s="94">
        <v>65000</v>
      </c>
      <c r="R38" s="375" t="s">
        <v>6361</v>
      </c>
      <c r="T38" s="94"/>
    </row>
    <row r="39" spans="1:20" x14ac:dyDescent="0.3">
      <c r="A39" s="94"/>
      <c r="B39" s="510" t="s">
        <v>3741</v>
      </c>
      <c r="C39" s="510" t="s">
        <v>6362</v>
      </c>
      <c r="D39" s="796">
        <f>F39</f>
        <v>9.5</v>
      </c>
      <c r="E39" s="516" t="s">
        <v>2736</v>
      </c>
      <c r="F39" s="795">
        <v>9.5</v>
      </c>
      <c r="G39" s="94" t="str">
        <f t="shared" si="0"/>
        <v>PTAC (Std) - &gt; 15,000 and &lt; 65,000 Btu/h</v>
      </c>
      <c r="H39" s="94"/>
      <c r="I39" s="94"/>
      <c r="J39" s="94"/>
      <c r="K39" s="94"/>
      <c r="L39" s="94"/>
      <c r="M39" s="94"/>
      <c r="O39" s="94"/>
      <c r="T39" s="94"/>
    </row>
    <row r="40" spans="1:20" x14ac:dyDescent="0.3">
      <c r="A40" s="94"/>
      <c r="B40" s="510" t="s">
        <v>3742</v>
      </c>
      <c r="C40" s="510" t="s">
        <v>6360</v>
      </c>
      <c r="D40" s="796">
        <f t="shared" ref="D40:D48" si="1">F40</f>
        <v>9.4</v>
      </c>
      <c r="E40" s="516" t="s">
        <v>2736</v>
      </c>
      <c r="F40" s="795">
        <v>9.4</v>
      </c>
      <c r="G40" s="94" t="str">
        <f t="shared" si="0"/>
        <v>PTAC (Non-Std) - &lt; 7,000 Btu/h</v>
      </c>
      <c r="H40" s="94"/>
      <c r="I40" s="94"/>
      <c r="J40" s="94"/>
      <c r="K40" s="94"/>
      <c r="L40" s="94"/>
      <c r="M40" s="94"/>
      <c r="O40" s="94"/>
      <c r="Q40" s="94">
        <v>1000</v>
      </c>
      <c r="R40" s="375" t="s">
        <v>6360</v>
      </c>
      <c r="T40" s="94"/>
    </row>
    <row r="41" spans="1:20" x14ac:dyDescent="0.3">
      <c r="A41" s="94"/>
      <c r="B41" s="510" t="s">
        <v>3742</v>
      </c>
      <c r="C41" s="510" t="s">
        <v>6365</v>
      </c>
      <c r="D41" s="797">
        <f t="shared" si="1"/>
        <v>-2.7</v>
      </c>
      <c r="E41" s="516" t="s">
        <v>2736</v>
      </c>
      <c r="F41" s="798">
        <f>IF(ISBLANK($C$7), "Size Dependent", ROUND(10.9-(0.213*$C$7/1000), 1))</f>
        <v>-2.7</v>
      </c>
      <c r="G41" s="94" t="str">
        <f t="shared" si="0"/>
        <v>PTAC (Non-Std) - ≥ 7,000 and ≤ 15,000 Btu/h</v>
      </c>
      <c r="H41" s="94"/>
      <c r="I41" s="94"/>
      <c r="J41" s="94"/>
      <c r="K41" s="94"/>
      <c r="L41" s="94"/>
      <c r="M41" s="94"/>
      <c r="O41" s="94"/>
      <c r="Q41" s="94">
        <v>7000</v>
      </c>
      <c r="R41" s="375" t="s">
        <v>6365</v>
      </c>
      <c r="T41" s="94"/>
    </row>
    <row r="42" spans="1:20" x14ac:dyDescent="0.3">
      <c r="A42" s="94"/>
      <c r="B42" s="510" t="s">
        <v>3742</v>
      </c>
      <c r="C42" s="510" t="s">
        <v>6362</v>
      </c>
      <c r="D42" s="796">
        <f t="shared" si="1"/>
        <v>7.7</v>
      </c>
      <c r="E42" s="516" t="s">
        <v>2736</v>
      </c>
      <c r="F42" s="795">
        <v>7.7</v>
      </c>
      <c r="G42" s="94" t="str">
        <f t="shared" si="0"/>
        <v>PTAC (Non-Std) - &gt; 15,000 and &lt; 65,000 Btu/h</v>
      </c>
      <c r="H42" s="94"/>
      <c r="I42" s="94"/>
      <c r="J42" s="94"/>
      <c r="K42" s="94"/>
      <c r="L42" s="94"/>
      <c r="M42" s="94"/>
      <c r="O42" s="94"/>
      <c r="Q42" s="94">
        <v>15001</v>
      </c>
      <c r="R42" s="375" t="s">
        <v>6362</v>
      </c>
      <c r="T42" s="94"/>
    </row>
    <row r="43" spans="1:20" x14ac:dyDescent="0.3">
      <c r="A43" s="94"/>
      <c r="B43" s="510" t="s">
        <v>3743</v>
      </c>
      <c r="C43" s="510" t="s">
        <v>6360</v>
      </c>
      <c r="D43" s="796">
        <f t="shared" si="1"/>
        <v>11.9</v>
      </c>
      <c r="E43" s="516" t="s">
        <v>2736</v>
      </c>
      <c r="F43" s="795">
        <v>11.9</v>
      </c>
      <c r="G43" s="94" t="str">
        <f t="shared" si="0"/>
        <v>PTHP (Std) - &lt; 7,000 Btu/h</v>
      </c>
      <c r="H43" s="94"/>
      <c r="I43" s="94"/>
      <c r="J43" s="94"/>
      <c r="K43" s="94"/>
      <c r="L43" s="94"/>
      <c r="M43" s="94"/>
      <c r="O43" s="94"/>
      <c r="Q43" s="94">
        <v>65000</v>
      </c>
      <c r="R43" s="375" t="s">
        <v>6361</v>
      </c>
      <c r="T43" s="94"/>
    </row>
    <row r="44" spans="1:20" x14ac:dyDescent="0.3">
      <c r="A44" s="94"/>
      <c r="B44" s="510" t="s">
        <v>3743</v>
      </c>
      <c r="C44" s="510" t="s">
        <v>6365</v>
      </c>
      <c r="D44" s="797">
        <f t="shared" si="1"/>
        <v>-5.2</v>
      </c>
      <c r="E44" s="516" t="s">
        <v>2736</v>
      </c>
      <c r="F44" s="798">
        <f t="shared" ref="F44" si="2">IF(ISBLANK($C$7), "Size Dependent", ROUND(14-(0.3*$C$7/1000), 1))</f>
        <v>-5.2</v>
      </c>
      <c r="G44" s="94" t="str">
        <f t="shared" si="0"/>
        <v>PTHP (Std) - ≥ 7,000 and ≤ 15,000 Btu/h</v>
      </c>
      <c r="H44" s="94"/>
      <c r="I44" s="94"/>
      <c r="J44" s="94"/>
      <c r="K44" s="94"/>
      <c r="L44" s="94"/>
      <c r="M44" s="94"/>
      <c r="O44" s="94"/>
      <c r="T44" s="94"/>
    </row>
    <row r="45" spans="1:20" ht="15" customHeight="1" x14ac:dyDescent="0.3">
      <c r="A45" s="94"/>
      <c r="B45" s="510" t="s">
        <v>3743</v>
      </c>
      <c r="C45" s="510" t="s">
        <v>6362</v>
      </c>
      <c r="D45" s="796">
        <f t="shared" si="1"/>
        <v>9.5</v>
      </c>
      <c r="E45" s="516" t="s">
        <v>2736</v>
      </c>
      <c r="F45" s="795">
        <v>9.5</v>
      </c>
      <c r="G45" s="94" t="str">
        <f t="shared" si="0"/>
        <v>PTHP (Std) - &gt; 15,000 and &lt; 65,000 Btu/h</v>
      </c>
      <c r="H45" s="94"/>
      <c r="I45" s="94"/>
      <c r="J45" s="94"/>
      <c r="K45" s="94"/>
      <c r="L45" s="94"/>
      <c r="M45" s="94"/>
      <c r="O45" s="94"/>
      <c r="Q45" s="94">
        <v>1000</v>
      </c>
      <c r="R45" s="375" t="s">
        <v>2735</v>
      </c>
      <c r="T45" s="94"/>
    </row>
    <row r="46" spans="1:20" x14ac:dyDescent="0.3">
      <c r="A46" s="94"/>
      <c r="B46" s="510" t="s">
        <v>3740</v>
      </c>
      <c r="C46" s="510" t="s">
        <v>6360</v>
      </c>
      <c r="D46" s="796">
        <f t="shared" si="1"/>
        <v>9.3000000000000007</v>
      </c>
      <c r="E46" s="516" t="s">
        <v>2736</v>
      </c>
      <c r="F46" s="795">
        <v>9.3000000000000007</v>
      </c>
      <c r="G46" s="94" t="str">
        <f t="shared" si="0"/>
        <v>PTHP (Non-Std) - &lt; 7,000 Btu/h</v>
      </c>
      <c r="H46" s="94"/>
      <c r="I46" s="94"/>
      <c r="J46" s="94"/>
      <c r="K46" s="94"/>
      <c r="L46" s="94"/>
      <c r="M46" s="94"/>
      <c r="O46" s="94"/>
      <c r="Q46" s="94">
        <v>65000</v>
      </c>
      <c r="R46" s="375" t="s">
        <v>6366</v>
      </c>
      <c r="T46" s="94"/>
    </row>
    <row r="47" spans="1:20" x14ac:dyDescent="0.3">
      <c r="A47" s="94"/>
      <c r="B47" s="510" t="s">
        <v>3740</v>
      </c>
      <c r="C47" s="510" t="s">
        <v>6365</v>
      </c>
      <c r="D47" s="797">
        <f t="shared" si="1"/>
        <v>-2.8</v>
      </c>
      <c r="E47" s="516" t="s">
        <v>2736</v>
      </c>
      <c r="F47" s="798">
        <f>IF(ISBLANK($C$7), "Size Dependent", ROUND(10.8-(0.213*$C$7/1000), 1))</f>
        <v>-2.8</v>
      </c>
      <c r="G47" s="94" t="str">
        <f t="shared" si="0"/>
        <v>PTHP (Non-Std) - ≥ 7,000 and ≤ 15,000 Btu/h</v>
      </c>
      <c r="H47" s="94"/>
      <c r="I47" s="94"/>
      <c r="J47" s="94"/>
      <c r="K47" s="94"/>
      <c r="L47" s="94"/>
      <c r="M47" s="94"/>
      <c r="O47" s="94"/>
      <c r="Q47" s="94">
        <v>240000</v>
      </c>
      <c r="R47" s="375" t="s">
        <v>2749</v>
      </c>
      <c r="T47" s="94"/>
    </row>
    <row r="48" spans="1:20" x14ac:dyDescent="0.3">
      <c r="A48" s="94"/>
      <c r="B48" s="510" t="s">
        <v>3740</v>
      </c>
      <c r="C48" s="510" t="s">
        <v>6362</v>
      </c>
      <c r="D48" s="796">
        <f t="shared" si="1"/>
        <v>7.6</v>
      </c>
      <c r="E48" s="516" t="s">
        <v>2736</v>
      </c>
      <c r="F48" s="795">
        <v>7.6</v>
      </c>
      <c r="G48" s="94" t="str">
        <f t="shared" si="0"/>
        <v>PTHP (Non-Std) - &gt; 15,000 and &lt; 65,000 Btu/h</v>
      </c>
      <c r="H48" s="94"/>
      <c r="I48" s="94"/>
      <c r="J48" s="94"/>
      <c r="K48" s="94"/>
      <c r="L48" s="94"/>
      <c r="M48" s="94"/>
      <c r="O48" s="94"/>
      <c r="T48" s="94"/>
    </row>
    <row r="49" spans="1:20" x14ac:dyDescent="0.3">
      <c r="A49" s="94"/>
      <c r="B49" s="510" t="s">
        <v>3744</v>
      </c>
      <c r="C49" s="510" t="s">
        <v>2735</v>
      </c>
      <c r="D49" s="796">
        <f>F49</f>
        <v>11</v>
      </c>
      <c r="E49" s="520" t="s">
        <v>2736</v>
      </c>
      <c r="F49" s="795">
        <v>11</v>
      </c>
      <c r="G49" s="94" t="str">
        <f t="shared" si="0"/>
        <v>Vertical AC or HP - &lt; 65,000 Btu/h</v>
      </c>
      <c r="H49" s="94"/>
      <c r="I49" s="94"/>
      <c r="J49" s="94"/>
      <c r="K49" s="94"/>
      <c r="L49" s="94"/>
      <c r="M49" s="94"/>
      <c r="O49" s="94"/>
      <c r="T49" s="94"/>
    </row>
    <row r="50" spans="1:20" x14ac:dyDescent="0.3">
      <c r="A50" s="94"/>
      <c r="B50" s="510" t="s">
        <v>3744</v>
      </c>
      <c r="C50" s="510" t="s">
        <v>6366</v>
      </c>
      <c r="D50" s="516" t="s">
        <v>2736</v>
      </c>
      <c r="E50" s="794">
        <f>F50</f>
        <v>10</v>
      </c>
      <c r="F50" s="795">
        <v>10</v>
      </c>
      <c r="G50" s="94" t="str">
        <f t="shared" si="0"/>
        <v>Vertical AC or HP - ≥ 65,000 and &lt; 240,000 Btu/h</v>
      </c>
      <c r="H50" s="94"/>
      <c r="I50" s="94"/>
      <c r="J50" s="94"/>
      <c r="K50" s="94"/>
      <c r="L50" s="94"/>
      <c r="M50" s="94"/>
      <c r="O50" s="94"/>
      <c r="T50" s="94"/>
    </row>
    <row r="51" spans="1:20" x14ac:dyDescent="0.3">
      <c r="A51" s="94"/>
      <c r="B51" s="94"/>
      <c r="C51" s="94"/>
      <c r="D51" s="518"/>
      <c r="E51" s="518"/>
      <c r="F51" s="518"/>
      <c r="G51" s="94"/>
      <c r="H51" s="94"/>
      <c r="I51" s="94"/>
      <c r="J51" s="94"/>
      <c r="K51" s="94"/>
      <c r="L51" s="94"/>
      <c r="M51" s="94"/>
      <c r="O51" s="94"/>
      <c r="T51" s="94"/>
    </row>
    <row r="52" spans="1:20" x14ac:dyDescent="0.3">
      <c r="A52" s="94"/>
      <c r="B52" s="94"/>
      <c r="C52" s="94"/>
      <c r="D52" s="518"/>
      <c r="E52" s="518"/>
      <c r="F52" s="518"/>
      <c r="G52" s="94"/>
      <c r="H52" s="94"/>
      <c r="I52" s="94"/>
      <c r="J52" s="94"/>
      <c r="K52" s="94"/>
      <c r="L52" s="94"/>
      <c r="M52" s="94"/>
      <c r="O52" s="94"/>
      <c r="T52" s="94"/>
    </row>
    <row r="53" spans="1:20" ht="18" x14ac:dyDescent="0.3">
      <c r="A53" s="94"/>
      <c r="B53" s="144" t="s">
        <v>6363</v>
      </c>
      <c r="C53" s="94"/>
      <c r="D53" s="518"/>
      <c r="E53" s="518"/>
      <c r="F53" s="518"/>
      <c r="G53" s="94"/>
      <c r="H53" s="94"/>
      <c r="I53" s="94"/>
      <c r="J53" s="94"/>
      <c r="K53" s="94"/>
      <c r="L53" s="94"/>
      <c r="M53" s="94"/>
      <c r="O53" s="94"/>
      <c r="T53" s="94"/>
    </row>
    <row r="54" spans="1:20" x14ac:dyDescent="0.3">
      <c r="A54" s="94"/>
      <c r="B54" s="94"/>
      <c r="C54" s="94"/>
      <c r="D54" s="518"/>
      <c r="E54" s="518"/>
      <c r="F54" s="518"/>
      <c r="G54" s="94"/>
      <c r="H54" s="94"/>
      <c r="I54" s="94"/>
      <c r="J54" s="94"/>
      <c r="K54" s="94"/>
      <c r="L54" s="94"/>
      <c r="M54" s="94"/>
      <c r="O54" s="94"/>
      <c r="T54" s="94"/>
    </row>
    <row r="55" spans="1:20" x14ac:dyDescent="0.3">
      <c r="A55" s="94"/>
      <c r="B55" s="1697" t="s">
        <v>2729</v>
      </c>
      <c r="C55" s="1697" t="s">
        <v>2730</v>
      </c>
      <c r="D55" s="1705" t="s">
        <v>2731</v>
      </c>
      <c r="E55" s="1706"/>
      <c r="F55" s="378" t="s">
        <v>2761</v>
      </c>
      <c r="G55" s="94"/>
      <c r="H55" s="94"/>
      <c r="I55" s="94"/>
      <c r="J55" s="94"/>
      <c r="K55" s="94"/>
      <c r="L55" s="94"/>
      <c r="M55" s="94"/>
      <c r="O55" s="94"/>
      <c r="T55" s="94"/>
    </row>
    <row r="56" spans="1:20" x14ac:dyDescent="0.3">
      <c r="A56" s="94"/>
      <c r="B56" s="1698"/>
      <c r="C56" s="1698"/>
      <c r="D56" s="519" t="s">
        <v>798</v>
      </c>
      <c r="E56" s="519" t="s">
        <v>2733</v>
      </c>
      <c r="F56" s="519" t="s">
        <v>285</v>
      </c>
      <c r="G56" s="94"/>
      <c r="H56" s="94"/>
      <c r="I56" s="94"/>
      <c r="J56" s="94"/>
      <c r="K56" s="94"/>
      <c r="L56" s="94"/>
      <c r="M56" s="94"/>
      <c r="O56" s="94"/>
      <c r="T56" s="94"/>
    </row>
    <row r="57" spans="1:20" x14ac:dyDescent="0.3">
      <c r="A57" s="94"/>
      <c r="B57" s="510" t="s">
        <v>6346</v>
      </c>
      <c r="C57" s="510" t="s">
        <v>6358</v>
      </c>
      <c r="D57" s="791">
        <v>15.2</v>
      </c>
      <c r="E57" s="516" t="s">
        <v>2736</v>
      </c>
      <c r="F57" s="792" t="s">
        <v>3486</v>
      </c>
      <c r="G57" s="94"/>
      <c r="H57" s="94"/>
      <c r="I57" s="94"/>
      <c r="J57" s="94"/>
      <c r="K57" s="94"/>
      <c r="L57" s="94"/>
      <c r="M57" s="94"/>
      <c r="O57" s="94"/>
      <c r="T57" s="94"/>
    </row>
    <row r="58" spans="1:20" x14ac:dyDescent="0.3">
      <c r="A58" s="94"/>
      <c r="B58" s="510" t="s">
        <v>6346</v>
      </c>
      <c r="C58" s="510" t="s">
        <v>6359</v>
      </c>
      <c r="D58" s="791">
        <v>15.2</v>
      </c>
      <c r="E58" s="516" t="s">
        <v>2736</v>
      </c>
      <c r="F58" s="793" t="s">
        <v>3486</v>
      </c>
      <c r="G58" s="94"/>
      <c r="H58" s="94"/>
      <c r="I58" s="94"/>
      <c r="J58" s="94"/>
      <c r="K58" s="94"/>
      <c r="L58" s="94"/>
      <c r="M58" s="94"/>
      <c r="O58" s="94"/>
      <c r="T58" s="94"/>
    </row>
    <row r="59" spans="1:20" x14ac:dyDescent="0.3">
      <c r="A59" s="94"/>
      <c r="B59" s="510" t="s">
        <v>6347</v>
      </c>
      <c r="C59" s="510" t="s">
        <v>2735</v>
      </c>
      <c r="D59" s="791">
        <v>15.2</v>
      </c>
      <c r="E59" s="516" t="s">
        <v>2736</v>
      </c>
      <c r="F59" s="793" t="s">
        <v>3486</v>
      </c>
      <c r="G59" s="94"/>
      <c r="H59" s="94"/>
      <c r="I59" s="94"/>
      <c r="J59" s="94"/>
      <c r="K59" s="94"/>
      <c r="L59" s="94"/>
      <c r="M59" s="94"/>
      <c r="O59" s="94"/>
      <c r="T59" s="94"/>
    </row>
    <row r="60" spans="1:20" x14ac:dyDescent="0.3">
      <c r="A60" s="94"/>
      <c r="B60" s="510" t="s">
        <v>6348</v>
      </c>
      <c r="C60" s="510" t="s">
        <v>2735</v>
      </c>
      <c r="D60" s="791">
        <f t="shared" ref="D60:D61" si="3">ROUND(D22*1.1,1)</f>
        <v>14.7</v>
      </c>
      <c r="E60" s="516" t="s">
        <v>2736</v>
      </c>
      <c r="F60" s="793" t="s">
        <v>3486</v>
      </c>
      <c r="G60" s="94"/>
      <c r="H60" s="94"/>
      <c r="I60" s="94"/>
      <c r="J60" s="94"/>
      <c r="K60" s="94"/>
      <c r="L60" s="94"/>
      <c r="M60" s="94"/>
      <c r="O60" s="94"/>
      <c r="T60" s="94"/>
    </row>
    <row r="61" spans="1:20" x14ac:dyDescent="0.3">
      <c r="A61" s="94"/>
      <c r="B61" s="510" t="s">
        <v>6349</v>
      </c>
      <c r="C61" s="510" t="s">
        <v>2735</v>
      </c>
      <c r="D61" s="791">
        <f t="shared" si="3"/>
        <v>14.7</v>
      </c>
      <c r="E61" s="516" t="s">
        <v>2736</v>
      </c>
      <c r="F61" s="793" t="s">
        <v>3486</v>
      </c>
      <c r="G61" s="94"/>
      <c r="H61" s="94"/>
      <c r="I61" s="94"/>
      <c r="J61" s="94"/>
      <c r="K61" s="94"/>
      <c r="L61" s="94"/>
      <c r="M61" s="94"/>
      <c r="O61" s="94"/>
      <c r="T61" s="94"/>
    </row>
    <row r="62" spans="1:20" x14ac:dyDescent="0.3">
      <c r="A62" s="94"/>
      <c r="B62" s="510" t="s">
        <v>6350</v>
      </c>
      <c r="C62" s="510" t="s">
        <v>2746</v>
      </c>
      <c r="D62" s="516" t="s">
        <v>2736</v>
      </c>
      <c r="E62" s="794">
        <f>ROUND(E24*1.1,1)</f>
        <v>16.3</v>
      </c>
      <c r="F62" s="793" t="s">
        <v>3486</v>
      </c>
      <c r="G62" s="94"/>
      <c r="H62" s="94"/>
      <c r="I62" s="94"/>
      <c r="J62" s="94"/>
      <c r="K62" s="94"/>
      <c r="L62" s="94"/>
      <c r="M62" s="94"/>
      <c r="O62" s="94"/>
      <c r="T62" s="94"/>
    </row>
    <row r="63" spans="1:20" x14ac:dyDescent="0.3">
      <c r="A63" s="94"/>
      <c r="B63" s="510" t="s">
        <v>6350</v>
      </c>
      <c r="C63" s="510" t="s">
        <v>2747</v>
      </c>
      <c r="D63" s="516" t="s">
        <v>2736</v>
      </c>
      <c r="E63" s="794">
        <f t="shared" ref="E63:E64" si="4">ROUND(E25*1.1,1)</f>
        <v>15.6</v>
      </c>
      <c r="F63" s="793" t="s">
        <v>3486</v>
      </c>
      <c r="G63" s="94"/>
      <c r="H63" s="94"/>
      <c r="I63" s="94"/>
      <c r="J63" s="94"/>
      <c r="K63" s="94"/>
      <c r="L63" s="94"/>
      <c r="M63" s="94"/>
      <c r="O63" s="94"/>
      <c r="T63" s="94"/>
    </row>
    <row r="64" spans="1:20" x14ac:dyDescent="0.3">
      <c r="A64" s="94"/>
      <c r="B64" s="510" t="s">
        <v>6350</v>
      </c>
      <c r="C64" s="510" t="s">
        <v>2749</v>
      </c>
      <c r="D64" s="516" t="s">
        <v>2736</v>
      </c>
      <c r="E64" s="794">
        <f t="shared" si="4"/>
        <v>14.5</v>
      </c>
      <c r="F64" s="793" t="s">
        <v>3486</v>
      </c>
      <c r="G64" s="94"/>
      <c r="H64" s="94"/>
      <c r="I64" s="94"/>
      <c r="J64" s="94"/>
      <c r="K64" s="94"/>
      <c r="L64" s="94"/>
      <c r="M64" s="94"/>
      <c r="O64" s="94"/>
      <c r="T64" s="94"/>
    </row>
    <row r="65" spans="1:20" x14ac:dyDescent="0.3">
      <c r="A65" s="94"/>
      <c r="B65" s="510" t="s">
        <v>6351</v>
      </c>
      <c r="C65" s="510" t="s">
        <v>2735</v>
      </c>
      <c r="D65" s="791">
        <v>15.2</v>
      </c>
      <c r="E65" s="516"/>
      <c r="F65" s="793" t="s">
        <v>3486</v>
      </c>
      <c r="G65" s="94"/>
      <c r="H65" s="94"/>
      <c r="I65" s="94"/>
      <c r="J65" s="94"/>
      <c r="K65" s="94"/>
      <c r="L65" s="94"/>
      <c r="M65" s="94"/>
      <c r="O65" s="94"/>
      <c r="T65" s="94"/>
    </row>
    <row r="66" spans="1:20" x14ac:dyDescent="0.3">
      <c r="A66" s="94"/>
      <c r="B66" s="510" t="s">
        <v>6352</v>
      </c>
      <c r="C66" s="510" t="s">
        <v>2735</v>
      </c>
      <c r="D66" s="791">
        <v>15.2</v>
      </c>
      <c r="E66" s="516"/>
      <c r="F66" s="793" t="s">
        <v>3486</v>
      </c>
      <c r="G66" s="94"/>
      <c r="H66" s="94"/>
      <c r="I66" s="94"/>
      <c r="J66" s="94"/>
      <c r="K66" s="94"/>
      <c r="L66" s="94"/>
      <c r="M66" s="94"/>
      <c r="O66" s="94"/>
      <c r="T66" s="94"/>
    </row>
    <row r="67" spans="1:20" x14ac:dyDescent="0.3">
      <c r="A67" s="94"/>
      <c r="B67" s="510" t="s">
        <v>6354</v>
      </c>
      <c r="C67" s="510" t="s">
        <v>2735</v>
      </c>
      <c r="D67" s="791">
        <f>ROUND(D29*1.1,1)</f>
        <v>15.7</v>
      </c>
      <c r="E67" s="516"/>
      <c r="F67" s="793" t="s">
        <v>3486</v>
      </c>
      <c r="G67" s="94"/>
      <c r="H67" s="94"/>
      <c r="I67" s="94"/>
      <c r="J67" s="94"/>
      <c r="K67" s="94"/>
      <c r="L67" s="94"/>
      <c r="M67" s="94"/>
      <c r="O67" s="94"/>
      <c r="T67" s="94"/>
    </row>
    <row r="68" spans="1:20" x14ac:dyDescent="0.3">
      <c r="A68" s="94"/>
      <c r="B68" s="510" t="s">
        <v>6355</v>
      </c>
      <c r="C68" s="510" t="s">
        <v>2735</v>
      </c>
      <c r="D68" s="791">
        <f>ROUND(D30*1.1,1)</f>
        <v>14.7</v>
      </c>
      <c r="E68" s="516"/>
      <c r="F68" s="793" t="s">
        <v>3486</v>
      </c>
      <c r="G68" s="94"/>
      <c r="H68" s="94"/>
      <c r="I68" s="94"/>
      <c r="J68" s="94"/>
      <c r="K68" s="94"/>
      <c r="L68" s="94"/>
      <c r="M68" s="94"/>
      <c r="O68" s="94"/>
      <c r="T68" s="94"/>
    </row>
    <row r="69" spans="1:20" x14ac:dyDescent="0.3">
      <c r="A69" s="94"/>
      <c r="B69" s="510" t="s">
        <v>2739</v>
      </c>
      <c r="C69" s="510" t="s">
        <v>2746</v>
      </c>
      <c r="D69" s="516" t="s">
        <v>2736</v>
      </c>
      <c r="E69" s="794">
        <f t="shared" ref="E69:F84" si="5">ROUND(E31*1.1,1)</f>
        <v>15.5</v>
      </c>
      <c r="F69" s="793" t="s">
        <v>3486</v>
      </c>
      <c r="G69" s="94"/>
      <c r="H69" s="94"/>
      <c r="I69" s="94"/>
      <c r="J69" s="94"/>
      <c r="K69" s="94"/>
      <c r="L69" s="94"/>
      <c r="M69" s="94"/>
      <c r="O69" s="94"/>
      <c r="T69" s="94"/>
    </row>
    <row r="70" spans="1:20" x14ac:dyDescent="0.3">
      <c r="A70" s="94"/>
      <c r="B70" s="510" t="s">
        <v>2739</v>
      </c>
      <c r="C70" s="510" t="s">
        <v>2747</v>
      </c>
      <c r="D70" s="516" t="s">
        <v>2736</v>
      </c>
      <c r="E70" s="794">
        <f t="shared" si="5"/>
        <v>14.9</v>
      </c>
      <c r="F70" s="793" t="s">
        <v>3486</v>
      </c>
      <c r="G70" s="94"/>
      <c r="H70" s="94"/>
      <c r="I70" s="94"/>
      <c r="J70" s="94"/>
      <c r="K70" s="94"/>
      <c r="L70" s="94"/>
      <c r="M70" s="94"/>
      <c r="O70" s="94"/>
      <c r="T70" s="94"/>
    </row>
    <row r="71" spans="1:20" x14ac:dyDescent="0.3">
      <c r="A71" s="94"/>
      <c r="B71" s="510" t="s">
        <v>2739</v>
      </c>
      <c r="C71" s="510" t="s">
        <v>2749</v>
      </c>
      <c r="D71" s="516" t="s">
        <v>2736</v>
      </c>
      <c r="E71" s="794">
        <f t="shared" si="5"/>
        <v>13.8</v>
      </c>
      <c r="F71" s="793" t="s">
        <v>3486</v>
      </c>
      <c r="G71" s="94"/>
      <c r="H71" s="94"/>
      <c r="I71" s="94"/>
      <c r="J71" s="94"/>
      <c r="K71" s="94"/>
      <c r="L71" s="94"/>
      <c r="M71" s="94"/>
      <c r="O71" s="94"/>
      <c r="T71" s="94"/>
    </row>
    <row r="72" spans="1:20" x14ac:dyDescent="0.3">
      <c r="A72" s="94"/>
      <c r="B72" s="510" t="s">
        <v>3709</v>
      </c>
      <c r="C72" s="510" t="s">
        <v>3710</v>
      </c>
      <c r="D72" s="796">
        <f>F72</f>
        <v>13.4</v>
      </c>
      <c r="E72" s="516" t="s">
        <v>2736</v>
      </c>
      <c r="F72" s="795">
        <f t="shared" si="5"/>
        <v>13.4</v>
      </c>
      <c r="G72" s="94"/>
      <c r="H72" s="94"/>
      <c r="I72" s="94"/>
      <c r="J72" s="94"/>
      <c r="K72" s="94"/>
      <c r="L72" s="94"/>
      <c r="M72" s="94"/>
      <c r="O72" s="94"/>
      <c r="T72" s="94"/>
    </row>
    <row r="73" spans="1:20" ht="15" customHeight="1" x14ac:dyDescent="0.3">
      <c r="A73" s="94"/>
      <c r="B73" s="510" t="s">
        <v>3709</v>
      </c>
      <c r="C73" s="510" t="s">
        <v>3717</v>
      </c>
      <c r="D73" s="796">
        <f>F73</f>
        <v>14.3</v>
      </c>
      <c r="E73" s="516" t="s">
        <v>2736</v>
      </c>
      <c r="F73" s="795">
        <f t="shared" si="5"/>
        <v>14.3</v>
      </c>
      <c r="G73" s="94"/>
      <c r="H73" s="94"/>
      <c r="I73" s="94"/>
      <c r="J73" s="94"/>
      <c r="K73" s="94"/>
      <c r="L73" s="94"/>
      <c r="M73" s="94"/>
      <c r="O73" s="94"/>
      <c r="T73" s="94"/>
    </row>
    <row r="74" spans="1:20" x14ac:dyDescent="0.3">
      <c r="A74" s="94"/>
      <c r="B74" s="510" t="s">
        <v>3709</v>
      </c>
      <c r="C74" s="510" t="s">
        <v>3718</v>
      </c>
      <c r="D74" s="516" t="s">
        <v>2736</v>
      </c>
      <c r="E74" s="794">
        <f>F74</f>
        <v>14.3</v>
      </c>
      <c r="F74" s="795">
        <f t="shared" si="5"/>
        <v>14.3</v>
      </c>
      <c r="G74" s="94"/>
      <c r="H74" s="94"/>
      <c r="I74" s="94"/>
      <c r="J74" s="94"/>
      <c r="K74" s="94"/>
      <c r="L74" s="94"/>
      <c r="M74" s="94"/>
      <c r="O74" s="94"/>
      <c r="T74" s="94"/>
    </row>
    <row r="75" spans="1:20" x14ac:dyDescent="0.3">
      <c r="A75" s="94"/>
      <c r="B75" s="510" t="s">
        <v>3741</v>
      </c>
      <c r="C75" s="510" t="s">
        <v>6360</v>
      </c>
      <c r="D75" s="796">
        <f>F75</f>
        <v>13.1</v>
      </c>
      <c r="E75" s="516" t="s">
        <v>2736</v>
      </c>
      <c r="F75" s="795">
        <f t="shared" si="5"/>
        <v>13.1</v>
      </c>
      <c r="G75" s="94"/>
      <c r="H75" s="94"/>
      <c r="I75" s="94"/>
      <c r="J75" s="94"/>
      <c r="K75" s="94"/>
      <c r="L75" s="94"/>
      <c r="M75" s="94"/>
      <c r="O75" s="94"/>
      <c r="T75" s="94"/>
    </row>
    <row r="76" spans="1:20" x14ac:dyDescent="0.3">
      <c r="A76" s="94"/>
      <c r="B76" s="510" t="s">
        <v>3741</v>
      </c>
      <c r="C76" s="510" t="s">
        <v>6365</v>
      </c>
      <c r="D76" s="797">
        <f>F76</f>
        <v>-5.7</v>
      </c>
      <c r="E76" s="516" t="s">
        <v>2736</v>
      </c>
      <c r="F76" s="798">
        <f t="shared" si="5"/>
        <v>-5.7</v>
      </c>
      <c r="G76" s="94"/>
      <c r="H76" s="94"/>
      <c r="I76" s="94"/>
      <c r="J76" s="94"/>
      <c r="K76" s="94"/>
      <c r="L76" s="94"/>
      <c r="M76" s="94"/>
      <c r="O76" s="94"/>
      <c r="T76" s="94"/>
    </row>
    <row r="77" spans="1:20" x14ac:dyDescent="0.3">
      <c r="A77" s="94"/>
      <c r="B77" s="510" t="s">
        <v>3741</v>
      </c>
      <c r="C77" s="510" t="s">
        <v>6362</v>
      </c>
      <c r="D77" s="796">
        <f>F77</f>
        <v>10.5</v>
      </c>
      <c r="E77" s="516" t="s">
        <v>2736</v>
      </c>
      <c r="F77" s="795">
        <f t="shared" si="5"/>
        <v>10.5</v>
      </c>
      <c r="G77" s="94"/>
      <c r="H77" s="94"/>
      <c r="I77" s="94"/>
      <c r="J77" s="94"/>
      <c r="K77" s="94"/>
      <c r="L77" s="94"/>
      <c r="M77" s="94"/>
      <c r="O77" s="94"/>
      <c r="T77" s="94"/>
    </row>
    <row r="78" spans="1:20" x14ac:dyDescent="0.3">
      <c r="A78" s="94"/>
      <c r="B78" s="510" t="s">
        <v>3742</v>
      </c>
      <c r="C78" s="510" t="s">
        <v>6360</v>
      </c>
      <c r="D78" s="796">
        <f t="shared" ref="D78:D86" si="6">F78</f>
        <v>10.3</v>
      </c>
      <c r="E78" s="516" t="s">
        <v>2736</v>
      </c>
      <c r="F78" s="795">
        <f t="shared" si="5"/>
        <v>10.3</v>
      </c>
      <c r="G78" s="94"/>
      <c r="H78" s="94"/>
      <c r="I78" s="94"/>
      <c r="J78" s="94"/>
      <c r="K78" s="94"/>
      <c r="L78" s="94"/>
      <c r="M78" s="94"/>
      <c r="O78" s="94"/>
      <c r="T78" s="94"/>
    </row>
    <row r="79" spans="1:20" x14ac:dyDescent="0.3">
      <c r="A79" s="94"/>
      <c r="B79" s="510" t="s">
        <v>3742</v>
      </c>
      <c r="C79" s="510" t="s">
        <v>6365</v>
      </c>
      <c r="D79" s="797">
        <f t="shared" si="6"/>
        <v>-3</v>
      </c>
      <c r="E79" s="516" t="s">
        <v>2736</v>
      </c>
      <c r="F79" s="798">
        <f t="shared" si="5"/>
        <v>-3</v>
      </c>
      <c r="G79" s="94"/>
      <c r="H79" s="94"/>
      <c r="I79" s="94"/>
      <c r="J79" s="94"/>
      <c r="K79" s="94"/>
      <c r="L79" s="94"/>
      <c r="M79" s="94"/>
      <c r="O79" s="94"/>
      <c r="T79" s="94"/>
    </row>
    <row r="80" spans="1:20" x14ac:dyDescent="0.3">
      <c r="A80" s="94"/>
      <c r="B80" s="510" t="s">
        <v>3742</v>
      </c>
      <c r="C80" s="510" t="s">
        <v>6362</v>
      </c>
      <c r="D80" s="796">
        <f t="shared" si="6"/>
        <v>8.5</v>
      </c>
      <c r="E80" s="516" t="s">
        <v>2736</v>
      </c>
      <c r="F80" s="795">
        <f t="shared" si="5"/>
        <v>8.5</v>
      </c>
      <c r="G80" s="94"/>
      <c r="H80" s="94"/>
      <c r="I80" s="94"/>
      <c r="J80" s="94"/>
      <c r="K80" s="94"/>
      <c r="L80" s="94"/>
      <c r="M80" s="94"/>
      <c r="O80" s="94"/>
      <c r="T80" s="94"/>
    </row>
    <row r="81" spans="1:20" x14ac:dyDescent="0.3">
      <c r="A81" s="94"/>
      <c r="B81" s="510" t="s">
        <v>3743</v>
      </c>
      <c r="C81" s="510" t="s">
        <v>6360</v>
      </c>
      <c r="D81" s="796">
        <f t="shared" si="6"/>
        <v>13.1</v>
      </c>
      <c r="E81" s="516" t="s">
        <v>2736</v>
      </c>
      <c r="F81" s="795">
        <f t="shared" si="5"/>
        <v>13.1</v>
      </c>
      <c r="G81" s="94"/>
      <c r="H81" s="94"/>
      <c r="I81" s="94"/>
      <c r="J81" s="94"/>
      <c r="K81" s="94"/>
      <c r="L81" s="94"/>
      <c r="M81" s="94"/>
      <c r="O81" s="94"/>
      <c r="T81" s="94"/>
    </row>
    <row r="82" spans="1:20" x14ac:dyDescent="0.3">
      <c r="A82" s="94"/>
      <c r="B82" s="510" t="s">
        <v>3743</v>
      </c>
      <c r="C82" s="510" t="s">
        <v>6365</v>
      </c>
      <c r="D82" s="797">
        <f t="shared" si="6"/>
        <v>-5.7</v>
      </c>
      <c r="E82" s="516" t="s">
        <v>2736</v>
      </c>
      <c r="F82" s="798">
        <f t="shared" si="5"/>
        <v>-5.7</v>
      </c>
      <c r="G82" s="94"/>
      <c r="H82" s="94"/>
      <c r="I82" s="94"/>
      <c r="J82" s="94"/>
      <c r="K82" s="94"/>
      <c r="L82" s="94"/>
      <c r="M82" s="94"/>
      <c r="O82" s="94"/>
      <c r="T82" s="94"/>
    </row>
    <row r="83" spans="1:20" x14ac:dyDescent="0.3">
      <c r="A83" s="94"/>
      <c r="B83" s="510" t="s">
        <v>3743</v>
      </c>
      <c r="C83" s="510" t="s">
        <v>6362</v>
      </c>
      <c r="D83" s="796">
        <f t="shared" si="6"/>
        <v>10.5</v>
      </c>
      <c r="E83" s="516" t="s">
        <v>2736</v>
      </c>
      <c r="F83" s="795">
        <f t="shared" si="5"/>
        <v>10.5</v>
      </c>
      <c r="G83" s="94"/>
      <c r="H83" s="94"/>
      <c r="I83" s="94"/>
      <c r="J83" s="94"/>
      <c r="K83" s="94"/>
      <c r="L83" s="94"/>
      <c r="M83" s="94"/>
      <c r="O83" s="94"/>
      <c r="T83" s="94"/>
    </row>
    <row r="84" spans="1:20" x14ac:dyDescent="0.3">
      <c r="A84" s="94"/>
      <c r="B84" s="510" t="s">
        <v>3740</v>
      </c>
      <c r="C84" s="510" t="s">
        <v>6360</v>
      </c>
      <c r="D84" s="796">
        <f t="shared" si="6"/>
        <v>10.199999999999999</v>
      </c>
      <c r="E84" s="516" t="s">
        <v>2736</v>
      </c>
      <c r="F84" s="795">
        <f t="shared" si="5"/>
        <v>10.199999999999999</v>
      </c>
      <c r="G84" s="94"/>
      <c r="H84" s="94"/>
      <c r="I84" s="94"/>
      <c r="J84" s="94"/>
      <c r="K84" s="94"/>
      <c r="L84" s="94"/>
      <c r="M84" s="94"/>
      <c r="O84" s="94"/>
      <c r="T84" s="94"/>
    </row>
    <row r="85" spans="1:20" x14ac:dyDescent="0.3">
      <c r="A85" s="94"/>
      <c r="B85" s="510" t="s">
        <v>3740</v>
      </c>
      <c r="C85" s="510" t="s">
        <v>6365</v>
      </c>
      <c r="D85" s="797">
        <f>F85</f>
        <v>-3.1</v>
      </c>
      <c r="E85" s="516" t="s">
        <v>2736</v>
      </c>
      <c r="F85" s="798">
        <f>ROUND(F47*1.1,1)</f>
        <v>-3.1</v>
      </c>
      <c r="G85" s="94"/>
      <c r="H85" s="94"/>
      <c r="I85" s="94"/>
      <c r="J85" s="94"/>
      <c r="K85" s="94"/>
      <c r="L85" s="94"/>
      <c r="M85" s="94"/>
      <c r="O85" s="94"/>
      <c r="T85" s="94"/>
    </row>
    <row r="86" spans="1:20" x14ac:dyDescent="0.3">
      <c r="A86" s="94"/>
      <c r="B86" s="510" t="s">
        <v>3740</v>
      </c>
      <c r="C86" s="510" t="s">
        <v>6362</v>
      </c>
      <c r="D86" s="796">
        <f t="shared" si="6"/>
        <v>8.4</v>
      </c>
      <c r="E86" s="516" t="s">
        <v>2736</v>
      </c>
      <c r="F86" s="795">
        <f t="shared" ref="F86:F88" si="7">ROUND(F48*1.1,1)</f>
        <v>8.4</v>
      </c>
      <c r="G86" s="94"/>
      <c r="H86" s="94"/>
      <c r="I86" s="94"/>
      <c r="J86" s="94"/>
      <c r="K86" s="94"/>
      <c r="L86" s="94"/>
      <c r="M86" s="94"/>
      <c r="O86" s="94"/>
      <c r="T86" s="94"/>
    </row>
    <row r="87" spans="1:20" x14ac:dyDescent="0.3">
      <c r="A87" s="94"/>
      <c r="B87" s="510" t="s">
        <v>3744</v>
      </c>
      <c r="C87" s="510" t="s">
        <v>2735</v>
      </c>
      <c r="D87" s="796">
        <f>F87</f>
        <v>12.1</v>
      </c>
      <c r="E87" s="520" t="s">
        <v>2736</v>
      </c>
      <c r="F87" s="795">
        <f t="shared" si="7"/>
        <v>12.1</v>
      </c>
      <c r="G87" s="94"/>
      <c r="H87" s="94"/>
      <c r="I87" s="94"/>
      <c r="J87" s="94"/>
      <c r="K87" s="94"/>
      <c r="L87" s="94"/>
      <c r="M87" s="94"/>
      <c r="O87" s="94"/>
      <c r="T87" s="94"/>
    </row>
    <row r="88" spans="1:20" x14ac:dyDescent="0.3">
      <c r="A88" s="94"/>
      <c r="B88" s="510" t="s">
        <v>3744</v>
      </c>
      <c r="C88" s="510" t="s">
        <v>6366</v>
      </c>
      <c r="D88" s="516" t="s">
        <v>2736</v>
      </c>
      <c r="E88" s="794">
        <f>F88</f>
        <v>11</v>
      </c>
      <c r="F88" s="795">
        <f t="shared" si="7"/>
        <v>11</v>
      </c>
      <c r="G88" s="94"/>
      <c r="H88" s="94"/>
      <c r="I88" s="94"/>
      <c r="J88" s="94"/>
      <c r="K88" s="94"/>
      <c r="L88" s="94"/>
      <c r="M88" s="94"/>
      <c r="O88" s="94"/>
      <c r="T88" s="94"/>
    </row>
    <row r="89" spans="1:20" x14ac:dyDescent="0.3">
      <c r="A89" s="94"/>
      <c r="B89" s="94"/>
      <c r="C89" s="94"/>
      <c r="D89" s="518"/>
      <c r="E89" s="518"/>
      <c r="F89" s="518"/>
      <c r="G89" s="94"/>
      <c r="H89" s="94"/>
      <c r="I89" s="94"/>
      <c r="J89" s="94"/>
      <c r="K89" s="94"/>
      <c r="L89" s="94"/>
      <c r="M89" s="94"/>
      <c r="O89" s="94"/>
      <c r="T89" s="94"/>
    </row>
    <row r="90" spans="1:20" x14ac:dyDescent="0.3">
      <c r="A90" s="94"/>
      <c r="B90" s="94"/>
      <c r="C90" s="94"/>
      <c r="D90" s="518"/>
      <c r="E90" s="518"/>
      <c r="F90" s="518"/>
      <c r="G90" s="94"/>
      <c r="H90" s="94"/>
      <c r="I90" s="94"/>
      <c r="J90" s="94"/>
      <c r="K90" s="94"/>
      <c r="L90" s="94"/>
      <c r="M90" s="94"/>
      <c r="O90" s="94"/>
      <c r="T90" s="94"/>
    </row>
    <row r="91" spans="1:20" ht="18" x14ac:dyDescent="0.3">
      <c r="A91" s="94"/>
      <c r="B91" s="144" t="s">
        <v>6364</v>
      </c>
      <c r="C91" s="94"/>
      <c r="D91" s="518"/>
      <c r="E91" s="518"/>
      <c r="F91" s="518"/>
      <c r="G91" s="94"/>
      <c r="H91" s="94"/>
      <c r="I91" s="94"/>
      <c r="J91" s="94"/>
      <c r="K91" s="94"/>
      <c r="L91" s="94"/>
      <c r="M91" s="94"/>
      <c r="O91" s="94"/>
      <c r="T91" s="94"/>
    </row>
    <row r="92" spans="1:20" x14ac:dyDescent="0.3">
      <c r="A92" s="94"/>
      <c r="B92" s="94"/>
      <c r="C92" s="94"/>
      <c r="D92" s="518"/>
      <c r="E92" s="518"/>
      <c r="F92" s="518"/>
      <c r="G92" s="94"/>
      <c r="H92" s="94"/>
      <c r="I92" s="94"/>
      <c r="J92" s="94"/>
      <c r="K92" s="94"/>
      <c r="L92" s="94"/>
      <c r="M92" s="94"/>
      <c r="O92" s="94"/>
      <c r="T92" s="94"/>
    </row>
    <row r="93" spans="1:20" x14ac:dyDescent="0.3">
      <c r="A93" s="94"/>
      <c r="B93" s="1697" t="s">
        <v>2729</v>
      </c>
      <c r="C93" s="1697" t="s">
        <v>2730</v>
      </c>
      <c r="D93" s="1705" t="s">
        <v>2731</v>
      </c>
      <c r="E93" s="1706"/>
      <c r="F93" s="378" t="s">
        <v>2761</v>
      </c>
      <c r="G93" s="94"/>
      <c r="H93" s="94"/>
      <c r="I93" s="94"/>
      <c r="J93" s="94"/>
      <c r="K93" s="94"/>
      <c r="L93" s="94"/>
      <c r="M93" s="94"/>
      <c r="O93" s="94"/>
      <c r="T93" s="94"/>
    </row>
    <row r="94" spans="1:20" x14ac:dyDescent="0.3">
      <c r="A94" s="94"/>
      <c r="B94" s="1698"/>
      <c r="C94" s="1698"/>
      <c r="D94" s="519" t="s">
        <v>798</v>
      </c>
      <c r="E94" s="519" t="s">
        <v>2733</v>
      </c>
      <c r="F94" s="519" t="s">
        <v>285</v>
      </c>
      <c r="G94" s="94"/>
      <c r="H94" s="94"/>
      <c r="I94" s="94"/>
      <c r="J94" s="94"/>
      <c r="K94" s="94"/>
      <c r="L94" s="94"/>
      <c r="M94" s="94"/>
      <c r="O94" s="94"/>
      <c r="T94" s="94"/>
    </row>
    <row r="95" spans="1:20" x14ac:dyDescent="0.3">
      <c r="A95" s="94"/>
      <c r="B95" s="510" t="s">
        <v>6346</v>
      </c>
      <c r="C95" s="510" t="s">
        <v>6358</v>
      </c>
      <c r="D95" s="791">
        <f>ROUND(D57*1.1,1)</f>
        <v>16.7</v>
      </c>
      <c r="E95" s="516" t="s">
        <v>2736</v>
      </c>
      <c r="F95" s="792" t="s">
        <v>3486</v>
      </c>
      <c r="G95" s="94"/>
      <c r="H95" s="94"/>
      <c r="I95" s="94"/>
      <c r="J95" s="94"/>
      <c r="K95" s="94"/>
      <c r="L95" s="94"/>
      <c r="M95" s="94"/>
      <c r="O95" s="94"/>
      <c r="T95" s="94"/>
    </row>
    <row r="96" spans="1:20" x14ac:dyDescent="0.3">
      <c r="A96" s="94"/>
      <c r="B96" s="510" t="s">
        <v>6346</v>
      </c>
      <c r="C96" s="510" t="s">
        <v>6359</v>
      </c>
      <c r="D96" s="791">
        <f t="shared" ref="D96:D97" si="8">ROUND(D58*1.1,1)</f>
        <v>16.7</v>
      </c>
      <c r="E96" s="516" t="s">
        <v>2736</v>
      </c>
      <c r="F96" s="793" t="s">
        <v>3486</v>
      </c>
      <c r="G96" s="94"/>
      <c r="H96" s="94"/>
      <c r="I96" s="94"/>
      <c r="J96" s="94"/>
      <c r="K96" s="94"/>
      <c r="L96" s="94"/>
      <c r="M96" s="94"/>
      <c r="O96" s="94"/>
      <c r="T96" s="94"/>
    </row>
    <row r="97" spans="1:20" x14ac:dyDescent="0.3">
      <c r="A97" s="94"/>
      <c r="B97" s="510" t="s">
        <v>6347</v>
      </c>
      <c r="C97" s="510" t="s">
        <v>2735</v>
      </c>
      <c r="D97" s="791">
        <f t="shared" si="8"/>
        <v>16.7</v>
      </c>
      <c r="E97" s="516" t="s">
        <v>2736</v>
      </c>
      <c r="F97" s="793" t="s">
        <v>3486</v>
      </c>
      <c r="G97" s="94"/>
      <c r="H97" s="94"/>
      <c r="I97" s="94"/>
      <c r="J97" s="94"/>
      <c r="K97" s="94"/>
      <c r="L97" s="94"/>
      <c r="M97" s="94"/>
      <c r="O97" s="94"/>
      <c r="T97" s="94"/>
    </row>
    <row r="98" spans="1:20" x14ac:dyDescent="0.3">
      <c r="A98" s="94"/>
      <c r="B98" s="510" t="s">
        <v>6348</v>
      </c>
      <c r="C98" s="510" t="s">
        <v>2735</v>
      </c>
      <c r="D98" s="791">
        <f>ROUND(D22*1.2,1)</f>
        <v>16.100000000000001</v>
      </c>
      <c r="E98" s="516" t="s">
        <v>2736</v>
      </c>
      <c r="F98" s="793" t="s">
        <v>3486</v>
      </c>
      <c r="G98" s="94"/>
      <c r="H98" s="94"/>
      <c r="I98" s="94"/>
      <c r="J98" s="94"/>
      <c r="K98" s="94"/>
      <c r="L98" s="94"/>
      <c r="M98" s="94"/>
      <c r="O98" s="94"/>
      <c r="T98" s="94"/>
    </row>
    <row r="99" spans="1:20" x14ac:dyDescent="0.3">
      <c r="A99" s="94"/>
      <c r="B99" s="510" t="s">
        <v>6349</v>
      </c>
      <c r="C99" s="510" t="s">
        <v>2735</v>
      </c>
      <c r="D99" s="791">
        <f>ROUND(D23*1.2,1)</f>
        <v>16.100000000000001</v>
      </c>
      <c r="E99" s="516" t="s">
        <v>2736</v>
      </c>
      <c r="F99" s="793" t="s">
        <v>3486</v>
      </c>
      <c r="G99" s="94"/>
      <c r="H99" s="94"/>
      <c r="I99" s="94"/>
      <c r="J99" s="94"/>
      <c r="K99" s="94"/>
      <c r="L99" s="94"/>
      <c r="M99" s="94"/>
      <c r="O99" s="94"/>
      <c r="T99" s="94"/>
    </row>
    <row r="100" spans="1:20" x14ac:dyDescent="0.3">
      <c r="A100" s="94"/>
      <c r="B100" s="510" t="s">
        <v>6350</v>
      </c>
      <c r="C100" s="510" t="s">
        <v>2746</v>
      </c>
      <c r="D100" s="516" t="s">
        <v>2736</v>
      </c>
      <c r="E100" s="794">
        <f>ROUND(E24*1.2,1)</f>
        <v>17.8</v>
      </c>
      <c r="F100" s="793" t="s">
        <v>3486</v>
      </c>
      <c r="G100" s="94"/>
      <c r="H100" s="94"/>
      <c r="I100" s="94"/>
      <c r="J100" s="94"/>
      <c r="K100" s="94"/>
      <c r="L100" s="94"/>
      <c r="M100" s="94"/>
      <c r="O100" s="94"/>
      <c r="T100" s="94"/>
    </row>
    <row r="101" spans="1:20" x14ac:dyDescent="0.3">
      <c r="A101" s="94"/>
      <c r="B101" s="510" t="s">
        <v>6350</v>
      </c>
      <c r="C101" s="510" t="s">
        <v>2747</v>
      </c>
      <c r="D101" s="516" t="s">
        <v>2736</v>
      </c>
      <c r="E101" s="794">
        <f t="shared" ref="E101:E102" si="9">ROUND(E25*1.2,1)</f>
        <v>17</v>
      </c>
      <c r="F101" s="793" t="s">
        <v>3486</v>
      </c>
      <c r="G101" s="94"/>
      <c r="H101" s="94"/>
      <c r="I101" s="94"/>
      <c r="J101" s="94"/>
      <c r="K101" s="94"/>
      <c r="L101" s="94"/>
      <c r="M101" s="94"/>
      <c r="O101" s="94"/>
      <c r="T101" s="94"/>
    </row>
    <row r="102" spans="1:20" x14ac:dyDescent="0.3">
      <c r="A102" s="94"/>
      <c r="B102" s="510" t="s">
        <v>6350</v>
      </c>
      <c r="C102" s="510" t="s">
        <v>2749</v>
      </c>
      <c r="D102" s="516" t="s">
        <v>2736</v>
      </c>
      <c r="E102" s="794">
        <f t="shared" si="9"/>
        <v>15.8</v>
      </c>
      <c r="F102" s="793" t="s">
        <v>3486</v>
      </c>
      <c r="G102" s="94"/>
      <c r="H102" s="94"/>
      <c r="I102" s="94"/>
      <c r="J102" s="94"/>
      <c r="K102" s="94"/>
      <c r="L102" s="94"/>
      <c r="M102" s="94"/>
      <c r="O102" s="94"/>
      <c r="T102" s="94"/>
    </row>
    <row r="103" spans="1:20" x14ac:dyDescent="0.3">
      <c r="A103" s="94"/>
      <c r="B103" s="510" t="s">
        <v>6351</v>
      </c>
      <c r="C103" s="510" t="s">
        <v>2735</v>
      </c>
      <c r="D103" s="791">
        <f t="shared" ref="D103:D104" si="10">ROUND(D65*1.1,1)</f>
        <v>16.7</v>
      </c>
      <c r="E103" s="516"/>
      <c r="F103" s="793" t="s">
        <v>3486</v>
      </c>
      <c r="G103" s="94"/>
      <c r="H103" s="94"/>
      <c r="I103" s="94"/>
      <c r="J103" s="94"/>
      <c r="K103" s="94"/>
      <c r="L103" s="94"/>
      <c r="M103" s="94"/>
      <c r="O103" s="94"/>
      <c r="T103" s="94"/>
    </row>
    <row r="104" spans="1:20" x14ac:dyDescent="0.3">
      <c r="A104" s="94"/>
      <c r="B104" s="510" t="s">
        <v>6352</v>
      </c>
      <c r="C104" s="510" t="s">
        <v>2735</v>
      </c>
      <c r="D104" s="791">
        <f t="shared" si="10"/>
        <v>16.7</v>
      </c>
      <c r="E104" s="516"/>
      <c r="F104" s="793" t="s">
        <v>3486</v>
      </c>
      <c r="G104" s="94"/>
      <c r="H104" s="94"/>
      <c r="I104" s="94"/>
      <c r="J104" s="94"/>
      <c r="K104" s="94"/>
      <c r="L104" s="94"/>
      <c r="M104" s="94"/>
      <c r="O104" s="94"/>
      <c r="T104" s="94"/>
    </row>
    <row r="105" spans="1:20" x14ac:dyDescent="0.3">
      <c r="A105" s="94"/>
      <c r="B105" s="510" t="s">
        <v>6354</v>
      </c>
      <c r="C105" s="510" t="s">
        <v>2735</v>
      </c>
      <c r="D105" s="791">
        <f t="shared" ref="D105:D106" si="11">ROUND(D29*1.2,1)</f>
        <v>17.2</v>
      </c>
      <c r="E105" s="516"/>
      <c r="F105" s="793" t="s">
        <v>3486</v>
      </c>
      <c r="G105" s="94"/>
      <c r="H105" s="94"/>
      <c r="I105" s="94"/>
      <c r="J105" s="94"/>
      <c r="K105" s="94"/>
      <c r="L105" s="94"/>
      <c r="M105" s="94"/>
      <c r="O105" s="94"/>
      <c r="T105" s="94"/>
    </row>
    <row r="106" spans="1:20" x14ac:dyDescent="0.3">
      <c r="A106" s="94"/>
      <c r="B106" s="510" t="s">
        <v>6355</v>
      </c>
      <c r="C106" s="510" t="s">
        <v>2735</v>
      </c>
      <c r="D106" s="791">
        <f t="shared" si="11"/>
        <v>16.100000000000001</v>
      </c>
      <c r="E106" s="516"/>
      <c r="F106" s="793" t="s">
        <v>3486</v>
      </c>
      <c r="G106" s="94"/>
      <c r="H106" s="94"/>
      <c r="I106" s="94"/>
      <c r="J106" s="94"/>
      <c r="K106" s="94"/>
      <c r="L106" s="94"/>
      <c r="M106" s="94"/>
      <c r="O106" s="94"/>
      <c r="T106" s="94"/>
    </row>
    <row r="107" spans="1:20" x14ac:dyDescent="0.3">
      <c r="A107" s="94"/>
      <c r="B107" s="510" t="s">
        <v>2739</v>
      </c>
      <c r="C107" s="510" t="s">
        <v>2746</v>
      </c>
      <c r="D107" s="516" t="s">
        <v>2736</v>
      </c>
      <c r="E107" s="794">
        <f t="shared" ref="E107:E109" si="12">ROUND(E31*1.2,1)</f>
        <v>16.899999999999999</v>
      </c>
      <c r="F107" s="793" t="s">
        <v>3486</v>
      </c>
      <c r="G107" s="94"/>
      <c r="H107" s="94"/>
      <c r="I107" s="94"/>
      <c r="J107" s="94"/>
      <c r="K107" s="94"/>
      <c r="L107" s="94"/>
      <c r="M107" s="94"/>
      <c r="O107" s="94"/>
      <c r="T107" s="94"/>
    </row>
    <row r="108" spans="1:20" x14ac:dyDescent="0.3">
      <c r="A108" s="94"/>
      <c r="B108" s="510" t="s">
        <v>2739</v>
      </c>
      <c r="C108" s="510" t="s">
        <v>2747</v>
      </c>
      <c r="D108" s="516" t="s">
        <v>2736</v>
      </c>
      <c r="E108" s="794">
        <f t="shared" si="12"/>
        <v>16.2</v>
      </c>
      <c r="F108" s="793" t="s">
        <v>3486</v>
      </c>
      <c r="G108" s="94"/>
      <c r="H108" s="94"/>
      <c r="I108" s="94"/>
      <c r="J108" s="94"/>
      <c r="K108" s="94"/>
      <c r="L108" s="94"/>
      <c r="M108" s="94"/>
      <c r="O108" s="94"/>
      <c r="T108" s="94"/>
    </row>
    <row r="109" spans="1:20" x14ac:dyDescent="0.3">
      <c r="A109" s="94"/>
      <c r="B109" s="510" t="s">
        <v>2739</v>
      </c>
      <c r="C109" s="510" t="s">
        <v>2749</v>
      </c>
      <c r="D109" s="516" t="s">
        <v>2736</v>
      </c>
      <c r="E109" s="794">
        <f t="shared" si="12"/>
        <v>15</v>
      </c>
      <c r="F109" s="793" t="s">
        <v>3486</v>
      </c>
      <c r="G109" s="94"/>
      <c r="H109" s="94"/>
      <c r="I109" s="94"/>
      <c r="J109" s="94"/>
      <c r="K109" s="94"/>
      <c r="L109" s="94"/>
      <c r="M109" s="94"/>
      <c r="O109" s="94"/>
      <c r="T109" s="94"/>
    </row>
    <row r="110" spans="1:20" x14ac:dyDescent="0.3">
      <c r="A110" s="94"/>
      <c r="B110" s="510" t="s">
        <v>3709</v>
      </c>
      <c r="C110" s="510" t="s">
        <v>3710</v>
      </c>
      <c r="D110" s="796">
        <f>F110</f>
        <v>14.6</v>
      </c>
      <c r="E110" s="516" t="s">
        <v>2736</v>
      </c>
      <c r="F110" s="795">
        <f>ROUND(F34*1.2,1)</f>
        <v>14.6</v>
      </c>
      <c r="G110" s="94"/>
      <c r="H110" s="94"/>
      <c r="I110" s="94"/>
      <c r="J110" s="94"/>
      <c r="K110" s="94"/>
      <c r="L110" s="94"/>
      <c r="M110" s="94"/>
      <c r="O110" s="94"/>
      <c r="T110" s="94"/>
    </row>
    <row r="111" spans="1:20" x14ac:dyDescent="0.3">
      <c r="A111" s="94"/>
      <c r="B111" s="510" t="s">
        <v>3709</v>
      </c>
      <c r="C111" s="510" t="s">
        <v>3717</v>
      </c>
      <c r="D111" s="796">
        <f>F111</f>
        <v>15.6</v>
      </c>
      <c r="E111" s="516" t="s">
        <v>2736</v>
      </c>
      <c r="F111" s="795">
        <f t="shared" ref="F111:F126" si="13">ROUND(F35*1.2,1)</f>
        <v>15.6</v>
      </c>
      <c r="G111" s="94"/>
      <c r="H111" s="94"/>
      <c r="I111" s="94"/>
      <c r="J111" s="94"/>
      <c r="K111" s="94"/>
      <c r="L111" s="94"/>
      <c r="M111" s="94"/>
      <c r="O111" s="94"/>
      <c r="T111" s="94"/>
    </row>
    <row r="112" spans="1:20" x14ac:dyDescent="0.3">
      <c r="A112" s="94"/>
      <c r="B112" s="510" t="s">
        <v>3709</v>
      </c>
      <c r="C112" s="510" t="s">
        <v>3718</v>
      </c>
      <c r="D112" s="516" t="s">
        <v>2736</v>
      </c>
      <c r="E112" s="794">
        <f>F112</f>
        <v>15.6</v>
      </c>
      <c r="F112" s="795">
        <f t="shared" si="13"/>
        <v>15.6</v>
      </c>
      <c r="G112" s="94"/>
      <c r="H112" s="94"/>
      <c r="I112" s="94"/>
      <c r="J112" s="94"/>
      <c r="K112" s="94"/>
      <c r="L112" s="94"/>
      <c r="M112" s="94"/>
      <c r="O112" s="94"/>
      <c r="T112" s="94"/>
    </row>
    <row r="113" spans="1:20" x14ac:dyDescent="0.3">
      <c r="A113" s="94"/>
      <c r="B113" s="510" t="s">
        <v>3741</v>
      </c>
      <c r="C113" s="510" t="s">
        <v>6360</v>
      </c>
      <c r="D113" s="796">
        <f>F113</f>
        <v>14.3</v>
      </c>
      <c r="E113" s="516" t="s">
        <v>2736</v>
      </c>
      <c r="F113" s="795">
        <f t="shared" si="13"/>
        <v>14.3</v>
      </c>
      <c r="G113" s="94"/>
      <c r="H113" s="94"/>
      <c r="I113" s="94"/>
      <c r="J113" s="94"/>
      <c r="K113" s="94"/>
      <c r="L113" s="94"/>
      <c r="M113" s="94"/>
      <c r="O113" s="94"/>
      <c r="T113" s="94"/>
    </row>
    <row r="114" spans="1:20" x14ac:dyDescent="0.3">
      <c r="A114" s="94"/>
      <c r="B114" s="510" t="s">
        <v>3741</v>
      </c>
      <c r="C114" s="510" t="s">
        <v>6365</v>
      </c>
      <c r="D114" s="797">
        <f>F114</f>
        <v>-6.2</v>
      </c>
      <c r="E114" s="516" t="s">
        <v>2736</v>
      </c>
      <c r="F114" s="798">
        <f t="shared" si="13"/>
        <v>-6.2</v>
      </c>
      <c r="G114" s="94"/>
      <c r="H114" s="94"/>
      <c r="I114" s="94"/>
      <c r="J114" s="94"/>
      <c r="K114" s="94"/>
      <c r="L114" s="94"/>
      <c r="M114" s="94"/>
      <c r="O114" s="94"/>
      <c r="T114" s="94"/>
    </row>
    <row r="115" spans="1:20" x14ac:dyDescent="0.3">
      <c r="A115" s="94"/>
      <c r="B115" s="510" t="s">
        <v>3741</v>
      </c>
      <c r="C115" s="510" t="s">
        <v>6362</v>
      </c>
      <c r="D115" s="796">
        <f>F115</f>
        <v>11.4</v>
      </c>
      <c r="E115" s="516" t="s">
        <v>2736</v>
      </c>
      <c r="F115" s="795">
        <f t="shared" si="13"/>
        <v>11.4</v>
      </c>
      <c r="G115" s="94"/>
      <c r="H115" s="94"/>
      <c r="I115" s="94"/>
      <c r="J115" s="94"/>
      <c r="K115" s="94"/>
      <c r="L115" s="94"/>
      <c r="M115" s="94"/>
      <c r="O115" s="94"/>
      <c r="T115" s="94"/>
    </row>
    <row r="116" spans="1:20" x14ac:dyDescent="0.3">
      <c r="A116" s="94"/>
      <c r="B116" s="510" t="s">
        <v>3742</v>
      </c>
      <c r="C116" s="510" t="s">
        <v>6360</v>
      </c>
      <c r="D116" s="796">
        <f>F116</f>
        <v>11.3</v>
      </c>
      <c r="E116" s="516" t="s">
        <v>2736</v>
      </c>
      <c r="F116" s="795">
        <f t="shared" si="13"/>
        <v>11.3</v>
      </c>
      <c r="G116" s="94"/>
      <c r="H116" s="94"/>
      <c r="I116" s="94"/>
      <c r="J116" s="94"/>
      <c r="K116" s="94"/>
      <c r="L116" s="94"/>
      <c r="M116" s="94"/>
      <c r="O116" s="94"/>
      <c r="T116" s="94"/>
    </row>
    <row r="117" spans="1:20" x14ac:dyDescent="0.3">
      <c r="A117" s="94"/>
      <c r="B117" s="510" t="s">
        <v>3742</v>
      </c>
      <c r="C117" s="510" t="s">
        <v>6365</v>
      </c>
      <c r="D117" s="797">
        <f t="shared" ref="D117:D122" si="14">F117</f>
        <v>-3.2</v>
      </c>
      <c r="E117" s="516" t="s">
        <v>2736</v>
      </c>
      <c r="F117" s="798">
        <f t="shared" si="13"/>
        <v>-3.2</v>
      </c>
      <c r="G117" s="94"/>
      <c r="H117" s="94"/>
      <c r="I117" s="94"/>
      <c r="J117" s="94"/>
      <c r="K117" s="94"/>
      <c r="L117" s="94"/>
      <c r="M117" s="94"/>
      <c r="O117" s="94"/>
      <c r="T117" s="94"/>
    </row>
    <row r="118" spans="1:20" x14ac:dyDescent="0.3">
      <c r="A118" s="94"/>
      <c r="B118" s="510" t="s">
        <v>3742</v>
      </c>
      <c r="C118" s="510" t="s">
        <v>6362</v>
      </c>
      <c r="D118" s="796">
        <f t="shared" si="14"/>
        <v>9.1999999999999993</v>
      </c>
      <c r="E118" s="516" t="s">
        <v>2736</v>
      </c>
      <c r="F118" s="795">
        <f t="shared" si="13"/>
        <v>9.1999999999999993</v>
      </c>
      <c r="G118" s="94"/>
      <c r="H118" s="94"/>
      <c r="I118" s="94"/>
      <c r="J118" s="94"/>
      <c r="K118" s="94"/>
      <c r="L118" s="94"/>
      <c r="M118" s="94"/>
      <c r="O118" s="94"/>
      <c r="T118" s="94"/>
    </row>
    <row r="119" spans="1:20" x14ac:dyDescent="0.3">
      <c r="A119" s="94"/>
      <c r="B119" s="510" t="s">
        <v>3743</v>
      </c>
      <c r="C119" s="510" t="s">
        <v>6360</v>
      </c>
      <c r="D119" s="796">
        <f t="shared" si="14"/>
        <v>14.3</v>
      </c>
      <c r="E119" s="516" t="s">
        <v>2736</v>
      </c>
      <c r="F119" s="795">
        <f t="shared" si="13"/>
        <v>14.3</v>
      </c>
      <c r="G119" s="94"/>
      <c r="H119" s="94"/>
      <c r="I119" s="94"/>
      <c r="J119" s="94"/>
      <c r="K119" s="94"/>
      <c r="L119" s="94"/>
      <c r="M119" s="94"/>
      <c r="O119" s="94"/>
      <c r="T119" s="94"/>
    </row>
    <row r="120" spans="1:20" x14ac:dyDescent="0.3">
      <c r="A120" s="94"/>
      <c r="B120" s="510" t="s">
        <v>3743</v>
      </c>
      <c r="C120" s="510" t="s">
        <v>6365</v>
      </c>
      <c r="D120" s="797">
        <f t="shared" si="14"/>
        <v>-6.2</v>
      </c>
      <c r="E120" s="516" t="s">
        <v>2736</v>
      </c>
      <c r="F120" s="798">
        <f t="shared" si="13"/>
        <v>-6.2</v>
      </c>
      <c r="G120" s="94"/>
      <c r="H120" s="94"/>
      <c r="I120" s="94"/>
      <c r="J120" s="94"/>
      <c r="K120" s="94"/>
      <c r="L120" s="94"/>
      <c r="M120" s="94"/>
      <c r="O120" s="94"/>
      <c r="T120" s="94"/>
    </row>
    <row r="121" spans="1:20" x14ac:dyDescent="0.3">
      <c r="A121" s="94"/>
      <c r="B121" s="510" t="s">
        <v>3743</v>
      </c>
      <c r="C121" s="510" t="s">
        <v>6362</v>
      </c>
      <c r="D121" s="796">
        <f t="shared" si="14"/>
        <v>11.4</v>
      </c>
      <c r="E121" s="516" t="s">
        <v>2736</v>
      </c>
      <c r="F121" s="795">
        <f t="shared" si="13"/>
        <v>11.4</v>
      </c>
      <c r="G121" s="94"/>
      <c r="H121" s="94"/>
      <c r="I121" s="94"/>
      <c r="J121" s="94"/>
      <c r="K121" s="94"/>
      <c r="L121" s="94"/>
      <c r="M121" s="94"/>
      <c r="O121" s="94"/>
      <c r="T121" s="94"/>
    </row>
    <row r="122" spans="1:20" x14ac:dyDescent="0.3">
      <c r="A122" s="94"/>
      <c r="B122" s="510" t="s">
        <v>3740</v>
      </c>
      <c r="C122" s="510" t="s">
        <v>6360</v>
      </c>
      <c r="D122" s="796">
        <f t="shared" si="14"/>
        <v>11.2</v>
      </c>
      <c r="E122" s="516" t="s">
        <v>2736</v>
      </c>
      <c r="F122" s="795">
        <f t="shared" si="13"/>
        <v>11.2</v>
      </c>
      <c r="G122" s="94"/>
      <c r="H122" s="94"/>
      <c r="I122" s="94"/>
      <c r="J122" s="94"/>
      <c r="K122" s="94"/>
      <c r="L122" s="94"/>
      <c r="M122" s="94"/>
      <c r="O122" s="94"/>
      <c r="T122" s="94"/>
    </row>
    <row r="123" spans="1:20" x14ac:dyDescent="0.3">
      <c r="A123" s="94"/>
      <c r="B123" s="510" t="s">
        <v>3740</v>
      </c>
      <c r="C123" s="510" t="s">
        <v>6365</v>
      </c>
      <c r="D123" s="797">
        <f>F123</f>
        <v>-3.4</v>
      </c>
      <c r="E123" s="516" t="s">
        <v>2736</v>
      </c>
      <c r="F123" s="798">
        <f t="shared" si="13"/>
        <v>-3.4</v>
      </c>
      <c r="G123" s="94"/>
      <c r="H123" s="94"/>
      <c r="I123" s="94"/>
      <c r="J123" s="94"/>
      <c r="K123" s="94"/>
      <c r="L123" s="94"/>
      <c r="M123" s="94"/>
      <c r="O123" s="94"/>
      <c r="T123" s="94"/>
    </row>
    <row r="124" spans="1:20" x14ac:dyDescent="0.3">
      <c r="A124" s="94"/>
      <c r="B124" s="510" t="s">
        <v>3740</v>
      </c>
      <c r="C124" s="510" t="s">
        <v>6362</v>
      </c>
      <c r="D124" s="796">
        <f t="shared" ref="D124" si="15">F124</f>
        <v>9.1</v>
      </c>
      <c r="E124" s="516" t="s">
        <v>2736</v>
      </c>
      <c r="F124" s="795">
        <f t="shared" si="13"/>
        <v>9.1</v>
      </c>
      <c r="G124" s="94"/>
      <c r="H124" s="94"/>
      <c r="I124" s="94"/>
      <c r="J124" s="94"/>
      <c r="K124" s="94"/>
      <c r="L124" s="94"/>
      <c r="M124" s="94"/>
      <c r="O124" s="94"/>
      <c r="T124" s="94"/>
    </row>
    <row r="125" spans="1:20" x14ac:dyDescent="0.3">
      <c r="A125" s="94"/>
      <c r="B125" s="510" t="s">
        <v>3744</v>
      </c>
      <c r="C125" s="510" t="s">
        <v>2735</v>
      </c>
      <c r="D125" s="796">
        <f>F125</f>
        <v>13.2</v>
      </c>
      <c r="E125" s="520" t="s">
        <v>2736</v>
      </c>
      <c r="F125" s="795">
        <f t="shared" si="13"/>
        <v>13.2</v>
      </c>
      <c r="G125" s="94"/>
      <c r="H125" s="94"/>
      <c r="I125" s="94"/>
      <c r="J125" s="94"/>
      <c r="K125" s="94"/>
      <c r="L125" s="94"/>
      <c r="M125" s="94"/>
      <c r="O125" s="94"/>
      <c r="T125" s="94"/>
    </row>
    <row r="126" spans="1:20" x14ac:dyDescent="0.3">
      <c r="A126" s="94"/>
      <c r="B126" s="510" t="s">
        <v>3744</v>
      </c>
      <c r="C126" s="510" t="s">
        <v>6366</v>
      </c>
      <c r="D126" s="516" t="s">
        <v>2736</v>
      </c>
      <c r="E126" s="794">
        <f>F126</f>
        <v>12</v>
      </c>
      <c r="F126" s="795">
        <f t="shared" si="13"/>
        <v>12</v>
      </c>
      <c r="G126" s="94"/>
      <c r="H126" s="94"/>
      <c r="I126" s="94"/>
      <c r="J126" s="94"/>
      <c r="K126" s="94"/>
      <c r="L126" s="94"/>
      <c r="M126" s="94"/>
      <c r="O126" s="94"/>
      <c r="T126" s="94"/>
    </row>
    <row r="127" spans="1:20" x14ac:dyDescent="0.3">
      <c r="A127" s="94"/>
      <c r="B127" s="94"/>
      <c r="C127" s="94"/>
      <c r="D127" s="94"/>
      <c r="E127" s="94"/>
      <c r="F127" s="94"/>
      <c r="G127" s="94"/>
      <c r="H127" s="94"/>
      <c r="I127" s="94"/>
      <c r="J127" s="94"/>
      <c r="K127" s="94"/>
      <c r="L127" s="94"/>
      <c r="M127" s="94"/>
      <c r="O127" s="94"/>
      <c r="T127" s="94"/>
    </row>
    <row r="128" spans="1:20" x14ac:dyDescent="0.3">
      <c r="A128" s="94"/>
      <c r="B128" s="94"/>
      <c r="C128" s="94"/>
      <c r="D128" s="94"/>
      <c r="E128" s="94"/>
      <c r="F128" s="94"/>
      <c r="G128" s="94"/>
      <c r="H128" s="94"/>
      <c r="I128" s="94"/>
      <c r="J128" s="94"/>
      <c r="K128" s="94"/>
      <c r="L128" s="94"/>
      <c r="M128" s="94"/>
      <c r="O128" s="94"/>
      <c r="T128" s="94"/>
    </row>
    <row r="129" spans="1:20" x14ac:dyDescent="0.3">
      <c r="A129" s="94"/>
      <c r="B129" s="94"/>
      <c r="C129" s="94"/>
      <c r="D129" s="94"/>
      <c r="E129" s="94"/>
      <c r="F129" s="94"/>
      <c r="G129" s="94"/>
      <c r="H129" s="94"/>
      <c r="I129" s="94"/>
      <c r="J129" s="94"/>
      <c r="K129" s="94"/>
      <c r="L129" s="94"/>
      <c r="M129" s="94"/>
      <c r="O129" s="94"/>
      <c r="T129" s="94"/>
    </row>
    <row r="130" spans="1:20" x14ac:dyDescent="0.3">
      <c r="A130" s="94"/>
      <c r="B130" s="94"/>
      <c r="C130" s="94"/>
      <c r="D130" s="94"/>
      <c r="E130" s="94"/>
      <c r="F130" s="94"/>
      <c r="G130" s="94"/>
      <c r="H130" s="94"/>
      <c r="I130" s="94"/>
      <c r="J130" s="121"/>
      <c r="K130" s="121"/>
      <c r="L130" s="121"/>
      <c r="M130" s="94"/>
      <c r="O130" s="94"/>
      <c r="T130" s="94"/>
    </row>
    <row r="131" spans="1:20" ht="18" x14ac:dyDescent="0.3">
      <c r="A131" s="94"/>
      <c r="B131" s="144" t="s">
        <v>3722</v>
      </c>
      <c r="C131" s="121"/>
      <c r="D131" s="121"/>
      <c r="E131" s="121"/>
      <c r="F131" s="121"/>
      <c r="G131" s="121"/>
      <c r="H131" s="121"/>
      <c r="I131" s="121"/>
      <c r="J131" s="121"/>
      <c r="K131" s="121"/>
      <c r="L131" s="121"/>
      <c r="M131" s="121"/>
      <c r="N131" s="513"/>
      <c r="O131" s="94"/>
      <c r="T131" s="94"/>
    </row>
    <row r="132" spans="1:20" x14ac:dyDescent="0.3">
      <c r="A132" s="94"/>
      <c r="B132" s="57"/>
      <c r="C132" s="121"/>
      <c r="D132" s="121"/>
      <c r="E132" s="121"/>
      <c r="F132" s="121"/>
      <c r="G132" s="121"/>
      <c r="H132" s="121"/>
      <c r="I132" s="121"/>
      <c r="J132" s="379"/>
      <c r="K132" s="94"/>
      <c r="L132" s="94"/>
      <c r="M132" s="121"/>
      <c r="N132" s="513"/>
      <c r="O132" s="121"/>
      <c r="T132" s="94"/>
    </row>
    <row r="133" spans="1:20" x14ac:dyDescent="0.3">
      <c r="A133" s="94"/>
      <c r="B133" s="380" t="s">
        <v>46</v>
      </c>
      <c r="C133" s="380" t="s">
        <v>235</v>
      </c>
      <c r="D133" s="380" t="s">
        <v>21</v>
      </c>
      <c r="E133" s="379"/>
      <c r="F133" s="121"/>
      <c r="G133" s="121"/>
      <c r="H133" s="121"/>
      <c r="I133" s="379"/>
      <c r="J133" s="58"/>
      <c r="K133" s="94"/>
      <c r="L133" s="94"/>
      <c r="M133" s="94"/>
      <c r="O133" s="121"/>
      <c r="T133" s="94"/>
    </row>
    <row r="134" spans="1:20" x14ac:dyDescent="0.3">
      <c r="A134" s="94"/>
      <c r="B134" s="510" t="s">
        <v>1796</v>
      </c>
      <c r="C134" s="524">
        <f>'EFLH &amp; CF'!I53</f>
        <v>2594</v>
      </c>
      <c r="D134" s="525">
        <f>'EFLH &amp; CF'!M53</f>
        <v>0.38</v>
      </c>
      <c r="E134" s="58"/>
      <c r="F134" s="121"/>
      <c r="G134" s="121"/>
      <c r="H134" s="121"/>
      <c r="I134" s="58"/>
      <c r="J134" s="58"/>
      <c r="K134" s="94"/>
      <c r="L134" s="94"/>
      <c r="M134" s="94"/>
      <c r="O134" s="94"/>
      <c r="T134" s="94"/>
    </row>
    <row r="135" spans="1:20" x14ac:dyDescent="0.3">
      <c r="A135" s="94"/>
      <c r="B135" s="510" t="s">
        <v>211</v>
      </c>
      <c r="C135" s="524" t="str">
        <f>'EFLH &amp; CF'!I54</f>
        <v>Varies</v>
      </c>
      <c r="D135" s="525" t="str">
        <f>'EFLH &amp; CF'!M54</f>
        <v>Varies</v>
      </c>
      <c r="E135" s="58"/>
      <c r="F135" s="121"/>
      <c r="G135" s="121"/>
      <c r="H135" s="121"/>
      <c r="I135" s="58"/>
      <c r="J135" s="58"/>
      <c r="K135" s="94"/>
      <c r="L135" s="94"/>
      <c r="M135" s="94"/>
      <c r="O135" s="94"/>
      <c r="T135" s="94"/>
    </row>
    <row r="136" spans="1:20" x14ac:dyDescent="0.3">
      <c r="A136" s="94"/>
      <c r="B136" s="510" t="s">
        <v>212</v>
      </c>
      <c r="C136" s="524">
        <f>'EFLH &amp; CF'!I55</f>
        <v>2549</v>
      </c>
      <c r="D136" s="525">
        <f>'EFLH &amp; CF'!M55</f>
        <v>0.43</v>
      </c>
      <c r="E136" s="58"/>
      <c r="F136" s="121"/>
      <c r="G136" s="121"/>
      <c r="H136" s="121"/>
      <c r="I136" s="58"/>
      <c r="J136" s="58"/>
      <c r="K136" s="94"/>
      <c r="L136" s="94"/>
      <c r="M136" s="94"/>
      <c r="O136" s="94"/>
      <c r="T136" s="94"/>
    </row>
    <row r="137" spans="1:20" x14ac:dyDescent="0.3">
      <c r="A137" s="94"/>
      <c r="B137" s="510" t="s">
        <v>213</v>
      </c>
      <c r="C137" s="524">
        <f>'EFLH &amp; CF'!I56</f>
        <v>1531</v>
      </c>
      <c r="D137" s="525">
        <f>'EFLH &amp; CF'!M56</f>
        <v>0.27</v>
      </c>
      <c r="E137" s="58"/>
      <c r="F137" s="121"/>
      <c r="G137" s="121"/>
      <c r="H137" s="121"/>
      <c r="I137" s="58"/>
      <c r="J137" s="58"/>
      <c r="K137" s="94"/>
      <c r="L137" s="94"/>
      <c r="M137" s="94"/>
      <c r="O137" s="94"/>
      <c r="T137" s="94"/>
    </row>
    <row r="138" spans="1:20" x14ac:dyDescent="0.3">
      <c r="A138" s="94"/>
      <c r="B138" s="510" t="s">
        <v>214</v>
      </c>
      <c r="C138" s="524">
        <f>'EFLH &amp; CF'!I57</f>
        <v>4891</v>
      </c>
      <c r="D138" s="525">
        <f>'EFLH &amp; CF'!M57</f>
        <v>0.55000000000000004</v>
      </c>
      <c r="E138" s="58"/>
      <c r="F138" s="121"/>
      <c r="G138" s="121"/>
      <c r="H138" s="121"/>
      <c r="I138" s="58"/>
      <c r="J138" s="58"/>
      <c r="K138" s="94"/>
      <c r="L138" s="94"/>
      <c r="M138" s="94"/>
      <c r="O138" s="94"/>
      <c r="T138" s="94"/>
    </row>
    <row r="139" spans="1:20" x14ac:dyDescent="0.3">
      <c r="A139" s="94"/>
      <c r="B139" s="510" t="s">
        <v>215</v>
      </c>
      <c r="C139" s="524">
        <f>'EFLH &amp; CF'!I58</f>
        <v>4910</v>
      </c>
      <c r="D139" s="525">
        <f>'EFLH &amp; CF'!M58</f>
        <v>0.6</v>
      </c>
      <c r="E139" s="58"/>
      <c r="F139" s="121"/>
      <c r="G139" s="121"/>
      <c r="H139" s="121"/>
      <c r="I139" s="58"/>
      <c r="J139" s="58"/>
      <c r="K139" s="94"/>
      <c r="L139" s="94"/>
      <c r="M139" s="94"/>
      <c r="O139" s="94"/>
      <c r="T139" s="94"/>
    </row>
    <row r="140" spans="1:20" x14ac:dyDescent="0.3">
      <c r="A140" s="94"/>
      <c r="B140" s="510" t="s">
        <v>216</v>
      </c>
      <c r="C140" s="524" t="str">
        <f>'EFLH &amp; CF'!I59</f>
        <v>Varies</v>
      </c>
      <c r="D140" s="525" t="str">
        <f>'EFLH &amp; CF'!M59</f>
        <v>Varies</v>
      </c>
      <c r="E140" s="58"/>
      <c r="F140" s="121"/>
      <c r="G140" s="121"/>
      <c r="H140" s="121"/>
      <c r="I140" s="58"/>
      <c r="J140" s="58"/>
      <c r="K140" s="94"/>
      <c r="L140" s="94"/>
      <c r="M140" s="94"/>
      <c r="O140" s="94"/>
      <c r="T140" s="94"/>
    </row>
    <row r="141" spans="1:20" x14ac:dyDescent="0.3">
      <c r="A141" s="94"/>
      <c r="B141" s="510" t="s">
        <v>47</v>
      </c>
      <c r="C141" s="524">
        <f>'EFLH &amp; CF'!I60</f>
        <v>2754</v>
      </c>
      <c r="D141" s="525">
        <f>'EFLH &amp; CF'!M60</f>
        <v>0.48</v>
      </c>
      <c r="E141" s="58"/>
      <c r="F141" s="121"/>
      <c r="G141" s="121"/>
      <c r="H141" s="121"/>
      <c r="I141" s="58"/>
      <c r="J141" s="58"/>
      <c r="K141" s="94"/>
      <c r="L141" s="94"/>
      <c r="M141" s="94"/>
      <c r="O141" s="94"/>
      <c r="T141" s="94"/>
    </row>
    <row r="142" spans="1:20" x14ac:dyDescent="0.3">
      <c r="A142" s="94"/>
      <c r="B142" s="510" t="s">
        <v>217</v>
      </c>
      <c r="C142" s="524">
        <f>'EFLH &amp; CF'!I61</f>
        <v>2451</v>
      </c>
      <c r="D142" s="525">
        <f>'EFLH &amp; CF'!M61</f>
        <v>0.4</v>
      </c>
      <c r="E142" s="58"/>
      <c r="F142" s="121"/>
      <c r="G142" s="121"/>
      <c r="H142" s="121"/>
      <c r="I142" s="58"/>
      <c r="J142" s="58"/>
      <c r="K142" s="94"/>
      <c r="L142" s="94"/>
      <c r="M142" s="94"/>
      <c r="O142" s="94"/>
      <c r="T142" s="94"/>
    </row>
    <row r="143" spans="1:20" x14ac:dyDescent="0.3">
      <c r="A143" s="94"/>
      <c r="B143" s="510" t="s">
        <v>218</v>
      </c>
      <c r="C143" s="524">
        <f>'EFLH &amp; CF'!I62</f>
        <v>1913</v>
      </c>
      <c r="D143" s="525">
        <f>'EFLH &amp; CF'!M62</f>
        <v>0.28999999999999998</v>
      </c>
      <c r="E143" s="58"/>
      <c r="F143" s="121"/>
      <c r="G143" s="121"/>
      <c r="H143" s="121"/>
      <c r="I143" s="58"/>
      <c r="J143" s="58"/>
      <c r="K143" s="94"/>
      <c r="L143" s="94"/>
      <c r="M143" s="94"/>
      <c r="O143" s="94"/>
      <c r="T143" s="94"/>
    </row>
    <row r="144" spans="1:20" x14ac:dyDescent="0.3">
      <c r="A144" s="94"/>
      <c r="B144" s="510" t="s">
        <v>219</v>
      </c>
      <c r="C144" s="524">
        <f>'EFLH &amp; CF'!I63</f>
        <v>1033</v>
      </c>
      <c r="D144" s="525">
        <f>'EFLH &amp; CF'!M63</f>
        <v>0.01</v>
      </c>
      <c r="E144" s="58"/>
      <c r="F144" s="121"/>
      <c r="G144" s="121"/>
      <c r="H144" s="121"/>
      <c r="I144" s="58"/>
      <c r="J144" s="94"/>
      <c r="K144" s="94"/>
      <c r="L144" s="94"/>
      <c r="M144" s="94"/>
      <c r="O144" s="94"/>
      <c r="T144" s="94"/>
    </row>
    <row r="145" spans="1:20" x14ac:dyDescent="0.3">
      <c r="A145" s="94"/>
      <c r="B145" s="94"/>
      <c r="C145" s="94"/>
      <c r="D145" s="94"/>
      <c r="E145" s="94"/>
      <c r="F145" s="121"/>
      <c r="G145" s="121"/>
      <c r="H145" s="121"/>
      <c r="I145" s="94"/>
      <c r="J145" s="94"/>
      <c r="K145" s="94"/>
      <c r="L145" s="94"/>
      <c r="M145" s="94"/>
      <c r="O145" s="94"/>
      <c r="S145" s="121"/>
      <c r="T145" s="121"/>
    </row>
    <row r="146" spans="1:20" x14ac:dyDescent="0.3">
      <c r="A146" s="94"/>
      <c r="B146" s="94"/>
      <c r="C146" s="94"/>
      <c r="D146" s="94"/>
      <c r="E146" s="94"/>
      <c r="F146" s="121"/>
      <c r="G146" s="121"/>
      <c r="H146" s="121"/>
      <c r="I146" s="94"/>
      <c r="J146" s="94"/>
      <c r="K146" s="94"/>
      <c r="L146" s="94"/>
      <c r="M146" s="94"/>
      <c r="O146" s="94"/>
      <c r="Q146" s="121"/>
      <c r="R146" s="121"/>
      <c r="S146" s="121"/>
      <c r="T146" s="121"/>
    </row>
    <row r="147" spans="1:20" x14ac:dyDescent="0.3">
      <c r="A147" s="94"/>
      <c r="B147" s="94"/>
      <c r="C147" s="94"/>
      <c r="D147" s="94"/>
      <c r="E147" s="94"/>
      <c r="F147" s="94"/>
      <c r="G147" s="94"/>
      <c r="H147" s="94"/>
      <c r="I147" s="94"/>
      <c r="J147" s="94"/>
      <c r="K147" s="94"/>
      <c r="L147" s="94"/>
      <c r="M147" s="94"/>
      <c r="O147" s="94"/>
      <c r="Q147" s="121"/>
      <c r="R147" s="121"/>
      <c r="T147" s="94"/>
    </row>
    <row r="148" spans="1:20" x14ac:dyDescent="0.3">
      <c r="A148" s="94"/>
      <c r="B148" s="94"/>
      <c r="C148" s="94"/>
      <c r="D148" s="94"/>
      <c r="E148" s="94"/>
      <c r="F148" s="94"/>
      <c r="G148" s="94"/>
      <c r="H148" s="94"/>
      <c r="I148" s="94"/>
      <c r="J148" s="94"/>
      <c r="K148" s="94"/>
      <c r="L148" s="94"/>
      <c r="M148" s="94"/>
      <c r="O148" s="94"/>
      <c r="T148" s="94"/>
    </row>
    <row r="149" spans="1:20" x14ac:dyDescent="0.3">
      <c r="A149" s="94"/>
      <c r="B149" s="94"/>
      <c r="C149" s="330"/>
      <c r="D149" s="330"/>
      <c r="E149" s="330"/>
      <c r="F149" s="330"/>
      <c r="G149" s="330"/>
      <c r="H149" s="330"/>
      <c r="I149" s="330"/>
      <c r="J149" s="330"/>
      <c r="K149" s="330"/>
      <c r="L149" s="330"/>
      <c r="M149" s="330"/>
      <c r="N149" s="522"/>
      <c r="O149" s="94"/>
      <c r="T149" s="94"/>
    </row>
    <row r="150" spans="1:20" x14ac:dyDescent="0.3">
      <c r="A150" s="94"/>
      <c r="B150" s="94"/>
      <c r="C150" s="122"/>
      <c r="D150" s="122"/>
      <c r="E150" s="122"/>
      <c r="F150" s="122"/>
      <c r="G150" s="122"/>
      <c r="H150" s="122"/>
      <c r="I150" s="122"/>
      <c r="J150" s="122"/>
      <c r="K150" s="122"/>
      <c r="L150" s="122"/>
      <c r="M150" s="331"/>
      <c r="N150" s="523"/>
      <c r="O150" s="330"/>
      <c r="T150" s="94"/>
    </row>
    <row r="151" spans="1:20" x14ac:dyDescent="0.3">
      <c r="A151" s="94"/>
      <c r="B151" s="94"/>
      <c r="C151" s="122"/>
      <c r="D151" s="122"/>
      <c r="E151" s="122"/>
      <c r="F151" s="122"/>
      <c r="G151" s="122"/>
      <c r="H151" s="122"/>
      <c r="I151" s="122"/>
      <c r="J151" s="122"/>
      <c r="K151" s="122"/>
      <c r="L151" s="122"/>
      <c r="M151" s="331"/>
      <c r="N151" s="523"/>
      <c r="O151" s="331"/>
      <c r="T151" s="94"/>
    </row>
    <row r="152" spans="1:20" x14ac:dyDescent="0.3">
      <c r="A152" s="94"/>
      <c r="B152" s="94"/>
      <c r="C152" s="122"/>
      <c r="D152" s="122"/>
      <c r="E152" s="122"/>
      <c r="F152" s="122"/>
      <c r="G152" s="122"/>
      <c r="H152" s="122"/>
      <c r="I152" s="122"/>
      <c r="J152" s="122"/>
      <c r="K152" s="122"/>
      <c r="L152" s="122"/>
      <c r="M152" s="331"/>
      <c r="N152" s="523"/>
      <c r="O152" s="331"/>
      <c r="T152" s="94"/>
    </row>
    <row r="153" spans="1:20" x14ac:dyDescent="0.3">
      <c r="A153" s="94"/>
      <c r="B153" s="94"/>
      <c r="C153" s="122"/>
      <c r="D153" s="122"/>
      <c r="E153" s="122"/>
      <c r="F153" s="122"/>
      <c r="G153" s="122"/>
      <c r="H153" s="122"/>
      <c r="I153" s="122"/>
      <c r="J153" s="122"/>
      <c r="K153" s="122"/>
      <c r="L153" s="122"/>
      <c r="M153" s="331"/>
      <c r="N153" s="523"/>
      <c r="O153" s="331"/>
      <c r="T153" s="94"/>
    </row>
    <row r="154" spans="1:20" x14ac:dyDescent="0.3">
      <c r="A154" s="94"/>
      <c r="B154" s="94"/>
      <c r="C154" s="122"/>
      <c r="D154" s="122"/>
      <c r="E154" s="122"/>
      <c r="F154" s="122"/>
      <c r="G154" s="122"/>
      <c r="H154" s="122"/>
      <c r="I154" s="122"/>
      <c r="J154" s="122"/>
      <c r="K154" s="122"/>
      <c r="L154" s="122"/>
      <c r="M154" s="331"/>
      <c r="N154" s="523"/>
      <c r="O154" s="331"/>
      <c r="P154" s="330"/>
      <c r="T154" s="94"/>
    </row>
    <row r="155" spans="1:20" x14ac:dyDescent="0.3">
      <c r="A155" s="94"/>
      <c r="B155" s="94"/>
      <c r="C155" s="122"/>
      <c r="D155" s="122"/>
      <c r="E155" s="122"/>
      <c r="F155" s="122"/>
      <c r="G155" s="122"/>
      <c r="H155" s="122"/>
      <c r="I155" s="122"/>
      <c r="J155" s="122"/>
      <c r="K155" s="122"/>
      <c r="L155" s="122"/>
      <c r="M155" s="331"/>
      <c r="N155" s="523"/>
      <c r="O155" s="331"/>
      <c r="P155" s="331"/>
      <c r="T155" s="94"/>
    </row>
    <row r="156" spans="1:20" x14ac:dyDescent="0.3">
      <c r="A156" s="94"/>
      <c r="B156" s="94"/>
      <c r="C156" s="122"/>
      <c r="D156" s="122"/>
      <c r="E156" s="122"/>
      <c r="F156" s="122"/>
      <c r="G156" s="122"/>
      <c r="H156" s="122"/>
      <c r="I156" s="122"/>
      <c r="J156" s="122"/>
      <c r="K156" s="122"/>
      <c r="L156" s="122"/>
      <c r="M156" s="331"/>
      <c r="N156" s="523"/>
      <c r="O156" s="331"/>
      <c r="P156" s="331"/>
      <c r="T156" s="94"/>
    </row>
    <row r="157" spans="1:20" x14ac:dyDescent="0.3">
      <c r="A157" s="94"/>
      <c r="B157" s="94"/>
      <c r="C157" s="122"/>
      <c r="D157" s="122"/>
      <c r="E157" s="122"/>
      <c r="F157" s="122"/>
      <c r="G157" s="122"/>
      <c r="H157" s="122"/>
      <c r="I157" s="122"/>
      <c r="J157" s="122"/>
      <c r="K157" s="122"/>
      <c r="L157" s="122"/>
      <c r="M157" s="331"/>
      <c r="N157" s="523"/>
      <c r="O157" s="331"/>
      <c r="P157" s="331"/>
      <c r="T157" s="94"/>
    </row>
    <row r="158" spans="1:20" x14ac:dyDescent="0.3">
      <c r="A158" s="94"/>
      <c r="B158" s="94"/>
      <c r="C158" s="122"/>
      <c r="D158" s="122"/>
      <c r="E158" s="122"/>
      <c r="F158" s="122"/>
      <c r="G158" s="122"/>
      <c r="H158" s="122"/>
      <c r="I158" s="122"/>
      <c r="J158" s="122"/>
      <c r="K158" s="122"/>
      <c r="L158" s="122"/>
      <c r="M158" s="331"/>
      <c r="N158" s="523"/>
      <c r="O158" s="331"/>
      <c r="P158" s="331"/>
      <c r="T158" s="94"/>
    </row>
    <row r="159" spans="1:20" x14ac:dyDescent="0.3">
      <c r="A159" s="94"/>
      <c r="B159" s="94"/>
      <c r="C159" s="122"/>
      <c r="D159" s="122"/>
      <c r="E159" s="122"/>
      <c r="F159" s="122"/>
      <c r="G159" s="122"/>
      <c r="H159" s="122"/>
      <c r="I159" s="122"/>
      <c r="J159" s="122"/>
      <c r="K159" s="122"/>
      <c r="L159" s="122"/>
      <c r="M159" s="331"/>
      <c r="N159" s="523"/>
      <c r="O159" s="331"/>
      <c r="P159" s="331"/>
      <c r="T159" s="94"/>
    </row>
    <row r="160" spans="1:20" x14ac:dyDescent="0.3">
      <c r="A160" s="94"/>
      <c r="B160" s="94"/>
      <c r="C160" s="122"/>
      <c r="D160" s="122"/>
      <c r="E160" s="122"/>
      <c r="F160" s="122"/>
      <c r="G160" s="122"/>
      <c r="H160" s="122"/>
      <c r="I160" s="122"/>
      <c r="J160" s="122"/>
      <c r="K160" s="122"/>
      <c r="L160" s="122"/>
      <c r="M160" s="331"/>
      <c r="N160" s="523"/>
      <c r="O160" s="331"/>
      <c r="P160" s="331"/>
      <c r="T160" s="94"/>
    </row>
    <row r="161" spans="1:20" x14ac:dyDescent="0.3">
      <c r="A161" s="94"/>
      <c r="B161" s="94"/>
      <c r="C161" s="94"/>
      <c r="D161" s="94"/>
      <c r="E161" s="94"/>
      <c r="F161" s="94"/>
      <c r="G161" s="94"/>
      <c r="H161" s="94"/>
      <c r="I161" s="94"/>
      <c r="J161" s="94"/>
      <c r="K161" s="94"/>
      <c r="L161" s="94"/>
      <c r="M161" s="94"/>
      <c r="O161" s="331"/>
      <c r="P161" s="331"/>
      <c r="T161" s="94"/>
    </row>
    <row r="162" spans="1:20" x14ac:dyDescent="0.3">
      <c r="A162" s="94"/>
      <c r="B162" s="94"/>
      <c r="C162" s="94"/>
      <c r="D162" s="94"/>
      <c r="E162" s="94"/>
      <c r="F162" s="94"/>
      <c r="G162" s="94"/>
      <c r="H162" s="94"/>
      <c r="I162" s="94"/>
      <c r="J162" s="94"/>
      <c r="K162" s="94"/>
      <c r="L162" s="94"/>
      <c r="M162" s="94"/>
      <c r="O162" s="94"/>
      <c r="P162" s="331"/>
      <c r="T162" s="94"/>
    </row>
    <row r="163" spans="1:20" x14ac:dyDescent="0.3">
      <c r="O163" s="94"/>
      <c r="P163" s="331"/>
      <c r="Q163" s="330"/>
      <c r="R163" s="330"/>
      <c r="S163" s="330"/>
      <c r="T163" s="330"/>
    </row>
    <row r="164" spans="1:20" x14ac:dyDescent="0.3">
      <c r="P164" s="331"/>
      <c r="Q164" s="331"/>
      <c r="R164" s="331"/>
      <c r="S164" s="331"/>
      <c r="T164" s="331"/>
    </row>
    <row r="165" spans="1:20" x14ac:dyDescent="0.3">
      <c r="P165" s="331"/>
      <c r="Q165" s="331"/>
      <c r="R165" s="331"/>
      <c r="S165" s="331"/>
      <c r="T165" s="331"/>
    </row>
    <row r="166" spans="1:20" x14ac:dyDescent="0.3">
      <c r="Q166" s="331"/>
      <c r="R166" s="331"/>
      <c r="S166" s="331"/>
      <c r="T166" s="331"/>
    </row>
    <row r="167" spans="1:20" x14ac:dyDescent="0.3">
      <c r="Q167" s="331"/>
      <c r="R167" s="331"/>
      <c r="S167" s="331"/>
      <c r="T167" s="331"/>
    </row>
    <row r="168" spans="1:20" x14ac:dyDescent="0.3">
      <c r="Q168" s="331"/>
      <c r="R168" s="331"/>
      <c r="S168" s="331"/>
      <c r="T168" s="331"/>
    </row>
    <row r="169" spans="1:20" x14ac:dyDescent="0.3">
      <c r="Q169" s="331"/>
      <c r="R169" s="331"/>
      <c r="S169" s="331"/>
      <c r="T169" s="331"/>
    </row>
    <row r="170" spans="1:20" x14ac:dyDescent="0.3">
      <c r="Q170" s="331"/>
      <c r="R170" s="331"/>
      <c r="S170" s="331"/>
      <c r="T170" s="331"/>
    </row>
    <row r="171" spans="1:20" x14ac:dyDescent="0.3">
      <c r="Q171" s="331"/>
      <c r="R171" s="331"/>
      <c r="S171" s="331"/>
      <c r="T171" s="331"/>
    </row>
    <row r="172" spans="1:20" x14ac:dyDescent="0.3">
      <c r="Q172" s="331"/>
      <c r="R172" s="331"/>
      <c r="S172" s="331"/>
      <c r="T172" s="331"/>
    </row>
    <row r="173" spans="1:20" x14ac:dyDescent="0.3">
      <c r="Q173" s="331"/>
      <c r="R173" s="331"/>
      <c r="S173" s="331"/>
      <c r="T173" s="331"/>
    </row>
    <row r="174" spans="1:20" x14ac:dyDescent="0.3">
      <c r="Q174" s="331"/>
      <c r="R174" s="331"/>
      <c r="S174" s="331"/>
      <c r="T174" s="331"/>
    </row>
    <row r="175" spans="1:20" x14ac:dyDescent="0.3">
      <c r="T175" s="94"/>
    </row>
    <row r="176" spans="1:20" x14ac:dyDescent="0.3">
      <c r="T176" s="94"/>
    </row>
  </sheetData>
  <sheetProtection algorithmName="SHA-512" hashValue="/tjQaGbz09iqPYlaTl7AMgOHK8v40NgOaRz8EfzVbgTv+WnlFdT1ca72GKzlPO8t5oJlcwFiC2XVE5BK49f0OQ==" saltValue="k5AerHlI7Whj1eyXbK5OCw==" spinCount="100000" sheet="1" objects="1" scenarios="1"/>
  <mergeCells count="19">
    <mergeCell ref="B55:B56"/>
    <mergeCell ref="C55:C56"/>
    <mergeCell ref="D55:E55"/>
    <mergeCell ref="B93:B94"/>
    <mergeCell ref="C93:C94"/>
    <mergeCell ref="D93:E93"/>
    <mergeCell ref="F4:G4"/>
    <mergeCell ref="J4:K4"/>
    <mergeCell ref="K6:L6"/>
    <mergeCell ref="K7:L7"/>
    <mergeCell ref="K8:L8"/>
    <mergeCell ref="G9:H9"/>
    <mergeCell ref="K9:L9"/>
    <mergeCell ref="K10:L10"/>
    <mergeCell ref="K11:L11"/>
    <mergeCell ref="B17:B18"/>
    <mergeCell ref="C17:C18"/>
    <mergeCell ref="D17:E17"/>
    <mergeCell ref="B11:B13"/>
  </mergeCells>
  <conditionalFormatting sqref="H6:H7">
    <cfRule type="containsText" dxfId="15" priority="3" operator="containsText" text="Fail">
      <formula>NOT(ISERROR(SEARCH("Fail",H6)))</formula>
    </cfRule>
    <cfRule type="containsText" dxfId="14" priority="4" operator="containsText" text="Pass">
      <formula>NOT(ISERROR(SEARCH("Pass",H6)))</formula>
    </cfRule>
  </conditionalFormatting>
  <conditionalFormatting sqref="G6:G7">
    <cfRule type="containsText" dxfId="13" priority="1" operator="containsText" text="Fail">
      <formula>NOT(ISERROR(SEARCH("Fail",G6)))</formula>
    </cfRule>
    <cfRule type="containsText" dxfId="12" priority="2" operator="containsText" text="Pass">
      <formula>NOT(ISERROR(SEARCH("Pass",G6)))</formula>
    </cfRule>
  </conditionalFormatting>
  <dataValidations count="2">
    <dataValidation type="list" allowBlank="1" showInputMessage="1" showErrorMessage="1" sqref="C6" xr:uid="{C3C5723B-C319-4B20-BF43-27975289F8F6}">
      <formula1>$Q$4:$Q$19</formula1>
    </dataValidation>
    <dataValidation type="list" allowBlank="1" showInputMessage="1" showErrorMessage="1" sqref="C8" xr:uid="{CCF9B61C-6576-410A-807E-B97695168CED}">
      <formula1>$B$134:$B$144</formula1>
    </dataValidation>
  </dataValidations>
  <hyperlinks>
    <hyperlink ref="A2" location="TOC!A1" display="Return to TOC" xr:uid="{7E7A83E7-0562-408D-8CCB-6EEAD4A6CA15}"/>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pageSetUpPr autoPageBreaks="0"/>
  </sheetPr>
  <dimension ref="A1:AF124"/>
  <sheetViews>
    <sheetView workbookViewId="0">
      <selection sqref="A1:AF1"/>
    </sheetView>
  </sheetViews>
  <sheetFormatPr defaultColWidth="2.6640625" defaultRowHeight="14.4" x14ac:dyDescent="0.3"/>
  <cols>
    <col min="1" max="32" width="2.6640625" style="190"/>
  </cols>
  <sheetData>
    <row r="1" spans="1:32" ht="18" x14ac:dyDescent="0.3">
      <c r="A1" s="1712" t="s">
        <v>3453</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row>
    <row r="2" spans="1:32" ht="18" x14ac:dyDescent="0.3">
      <c r="A2" s="228" t="s">
        <v>1456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4.25" customHeight="1" x14ac:dyDescent="0.3">
      <c r="A5" s="121"/>
      <c r="B5" s="872" t="s">
        <v>4651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x14ac:dyDescent="0.3">
      <c r="A6" s="228"/>
      <c r="B6"/>
      <c r="C6"/>
      <c r="D6"/>
      <c r="E6"/>
      <c r="F6"/>
      <c r="G6"/>
      <c r="H6"/>
      <c r="I6"/>
      <c r="J6"/>
      <c r="K6"/>
      <c r="L6"/>
      <c r="M6"/>
      <c r="N6"/>
      <c r="O6"/>
      <c r="P6"/>
      <c r="Q6"/>
      <c r="R6"/>
      <c r="S6"/>
      <c r="T6"/>
      <c r="U6"/>
      <c r="V6"/>
      <c r="W6"/>
      <c r="X6"/>
      <c r="Y6"/>
      <c r="Z6"/>
      <c r="AA6"/>
      <c r="AB6"/>
      <c r="AC6"/>
      <c r="AD6"/>
      <c r="AE6"/>
      <c r="AF6"/>
    </row>
    <row r="7" spans="1:32" x14ac:dyDescent="0.3">
      <c r="A7" s="1713" t="s">
        <v>2</v>
      </c>
      <c r="B7" s="1713"/>
      <c r="C7" s="1713"/>
      <c r="D7" s="1713"/>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3"/>
      <c r="AD7" s="1713"/>
      <c r="AE7" s="1713"/>
      <c r="AF7" s="1713"/>
    </row>
    <row r="8" spans="1:32" x14ac:dyDescent="0.3">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row>
    <row r="9" spans="1:32" x14ac:dyDescent="0.3">
      <c r="A9" s="398"/>
      <c r="B9" s="1707" t="s">
        <v>3</v>
      </c>
      <c r="C9" s="1707"/>
      <c r="D9" s="1707"/>
      <c r="E9" s="1707"/>
      <c r="F9" s="1707"/>
      <c r="G9" s="1707"/>
      <c r="H9" s="1707"/>
      <c r="I9" s="1707"/>
      <c r="J9" s="398"/>
      <c r="K9" s="398"/>
      <c r="L9" s="398"/>
      <c r="M9" s="398"/>
      <c r="N9" s="398"/>
      <c r="O9" s="398"/>
      <c r="P9" s="398"/>
      <c r="Q9" s="398"/>
      <c r="R9" s="398"/>
      <c r="S9" s="398"/>
      <c r="T9" s="398"/>
      <c r="U9" s="398"/>
      <c r="V9" s="398"/>
      <c r="W9" s="398"/>
      <c r="X9" s="398"/>
      <c r="Y9" s="398"/>
      <c r="Z9" s="398"/>
      <c r="AA9" s="398"/>
      <c r="AB9" s="398"/>
      <c r="AC9" s="398"/>
      <c r="AD9" s="398"/>
      <c r="AE9" s="398"/>
      <c r="AF9" s="398"/>
    </row>
    <row r="10" spans="1:32" ht="60" customHeight="1" x14ac:dyDescent="0.3">
      <c r="A10" s="399"/>
      <c r="B10" s="1708" t="s">
        <v>3649</v>
      </c>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row>
    <row r="11" spans="1:32" x14ac:dyDescent="0.3">
      <c r="A11" s="398"/>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x14ac:dyDescent="0.3">
      <c r="A12" s="398"/>
      <c r="B12" s="1707" t="s">
        <v>4</v>
      </c>
      <c r="C12" s="1707"/>
      <c r="D12" s="1707"/>
      <c r="E12" s="1707"/>
      <c r="F12" s="1707"/>
      <c r="G12" s="1707"/>
      <c r="H12" s="1707"/>
      <c r="I12" s="1707"/>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46.5" customHeight="1" x14ac:dyDescent="0.3">
      <c r="A13" s="398"/>
      <c r="B13" s="1708" t="s">
        <v>3415</v>
      </c>
      <c r="C13" s="1709"/>
      <c r="D13" s="1709"/>
      <c r="E13" s="1709"/>
      <c r="F13" s="1709"/>
      <c r="G13" s="1709"/>
      <c r="H13" s="1709"/>
      <c r="I13" s="1709"/>
      <c r="J13" s="1709"/>
      <c r="K13" s="1709"/>
      <c r="L13" s="1709"/>
      <c r="M13" s="1709"/>
      <c r="N13" s="1709"/>
      <c r="O13" s="1709"/>
      <c r="P13" s="1709"/>
      <c r="Q13" s="1709"/>
      <c r="R13" s="1709"/>
      <c r="S13" s="1709"/>
      <c r="T13" s="1709"/>
      <c r="U13" s="1709"/>
      <c r="V13" s="1709"/>
      <c r="W13" s="1709"/>
      <c r="X13" s="1709"/>
      <c r="Y13" s="1709"/>
      <c r="Z13" s="1709"/>
      <c r="AA13" s="1709"/>
      <c r="AB13" s="1709"/>
      <c r="AC13" s="1709"/>
      <c r="AD13" s="1709"/>
      <c r="AE13" s="1709"/>
      <c r="AF13" s="1709"/>
    </row>
    <row r="14" spans="1:32" x14ac:dyDescent="0.3">
      <c r="A14" s="398"/>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x14ac:dyDescent="0.3">
      <c r="A15" s="398"/>
      <c r="B15" s="1707" t="s">
        <v>5</v>
      </c>
      <c r="C15" s="1707"/>
      <c r="D15" s="1707"/>
      <c r="E15" s="1707"/>
      <c r="F15" s="1707"/>
      <c r="G15" s="1707"/>
      <c r="H15" s="1707"/>
      <c r="I15" s="1707"/>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x14ac:dyDescent="0.3">
      <c r="A16" s="398"/>
      <c r="B16" s="1710" t="s">
        <v>3346</v>
      </c>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row>
    <row r="17" spans="1:32" x14ac:dyDescent="0.3">
      <c r="A17" s="398"/>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x14ac:dyDescent="0.3">
      <c r="A18" s="398"/>
      <c r="B18" s="1707" t="s">
        <v>6</v>
      </c>
      <c r="C18" s="1707"/>
      <c r="D18" s="1707"/>
      <c r="E18" s="1707"/>
      <c r="F18" s="1707"/>
      <c r="G18" s="1707"/>
      <c r="H18" s="1707"/>
      <c r="I18" s="1707"/>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64.5" customHeight="1" x14ac:dyDescent="0.3">
      <c r="A19" s="399"/>
      <c r="B19" s="1708" t="s">
        <v>3454</v>
      </c>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row>
    <row r="20" spans="1:32" x14ac:dyDescent="0.3">
      <c r="A20" s="399"/>
      <c r="B20" s="454"/>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row>
    <row r="21" spans="1:32" ht="77.25" customHeight="1" x14ac:dyDescent="0.3">
      <c r="A21" s="399"/>
      <c r="B21" s="1708" t="s">
        <v>3455</v>
      </c>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row>
    <row r="22" spans="1:32" x14ac:dyDescent="0.3">
      <c r="A22" s="399"/>
      <c r="B22" s="454"/>
      <c r="C22" s="455"/>
      <c r="D22" s="455"/>
      <c r="E22" s="455"/>
      <c r="F22" s="455"/>
      <c r="G22" s="455"/>
      <c r="H22" s="455"/>
      <c r="I22" s="455"/>
      <c r="J22" s="455"/>
      <c r="K22" s="455"/>
      <c r="L22" s="455"/>
      <c r="M22" s="455"/>
      <c r="N22" s="455"/>
      <c r="O22" s="455"/>
      <c r="P22" s="455"/>
      <c r="Q22" s="455"/>
      <c r="R22" s="455"/>
      <c r="S22" s="455"/>
      <c r="T22" s="455"/>
      <c r="U22" s="455"/>
      <c r="V22" s="455"/>
      <c r="W22" s="455"/>
      <c r="X22" s="455"/>
      <c r="Y22" s="455"/>
      <c r="Z22" s="455"/>
      <c r="AA22" s="455"/>
      <c r="AB22" s="455"/>
      <c r="AC22" s="455"/>
      <c r="AD22" s="455"/>
      <c r="AE22" s="455"/>
      <c r="AF22" s="455"/>
    </row>
    <row r="23" spans="1:32" ht="48" customHeight="1" x14ac:dyDescent="0.3">
      <c r="A23" s="399"/>
      <c r="B23" s="1708" t="s">
        <v>3456</v>
      </c>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row>
    <row r="24" spans="1:32" x14ac:dyDescent="0.3">
      <c r="A24" s="398"/>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x14ac:dyDescent="0.3">
      <c r="A25" s="398"/>
      <c r="B25" s="403" t="s">
        <v>13</v>
      </c>
      <c r="C25" s="403"/>
      <c r="D25" s="403"/>
      <c r="E25" s="403"/>
      <c r="F25" s="403"/>
      <c r="G25" s="403"/>
      <c r="H25" s="403"/>
      <c r="I25" s="403"/>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32" ht="78.75" customHeight="1" x14ac:dyDescent="0.3">
      <c r="A26" s="398"/>
      <c r="B26" s="1708" t="s">
        <v>3457</v>
      </c>
      <c r="C26" s="1711"/>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row>
    <row r="27" spans="1:32" x14ac:dyDescent="0.3">
      <c r="A27" s="398"/>
      <c r="B27" s="45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row>
    <row r="28" spans="1:32" ht="18" customHeight="1" x14ac:dyDescent="0.3">
      <c r="A28" s="398"/>
      <c r="B28" s="1722" t="s">
        <v>3691</v>
      </c>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row>
    <row r="29" spans="1:32" x14ac:dyDescent="0.3">
      <c r="A29" s="398"/>
      <c r="B29" s="45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row>
    <row r="30" spans="1:32" ht="56.1" customHeight="1" x14ac:dyDescent="0.3">
      <c r="A30" s="398"/>
      <c r="B30" s="1722" t="s">
        <v>3692</v>
      </c>
      <c r="C30" s="1723"/>
      <c r="D30" s="1723"/>
      <c r="E30" s="1723"/>
      <c r="F30" s="1723"/>
      <c r="G30" s="1723"/>
      <c r="H30" s="1723"/>
      <c r="I30" s="1723"/>
      <c r="J30" s="1723"/>
      <c r="K30" s="1723"/>
      <c r="L30" s="1723"/>
      <c r="M30" s="1723"/>
      <c r="N30" s="1723"/>
      <c r="O30" s="1723"/>
      <c r="P30" s="1723"/>
      <c r="Q30" s="1723"/>
      <c r="R30" s="1723"/>
      <c r="S30" s="1723"/>
      <c r="T30" s="1723"/>
      <c r="U30" s="1723"/>
      <c r="V30" s="1723"/>
      <c r="W30" s="1723"/>
      <c r="X30" s="1723"/>
      <c r="Y30" s="1723"/>
      <c r="Z30" s="1723"/>
      <c r="AA30" s="1723"/>
      <c r="AB30" s="1723"/>
      <c r="AC30" s="1723"/>
      <c r="AD30" s="1723"/>
      <c r="AE30" s="1723"/>
      <c r="AF30" s="1723"/>
    </row>
    <row r="31" spans="1:32" x14ac:dyDescent="0.3">
      <c r="A31" s="398"/>
      <c r="B31" s="454"/>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row>
    <row r="32" spans="1:32" x14ac:dyDescent="0.3">
      <c r="A32" s="399"/>
      <c r="B32" s="1715" t="s">
        <v>3531</v>
      </c>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row>
    <row r="33" spans="1:32" ht="16.2" x14ac:dyDescent="0.3">
      <c r="A33" s="399"/>
      <c r="B33" s="1716" t="s">
        <v>3458</v>
      </c>
      <c r="C33" s="1717"/>
      <c r="D33" s="1717"/>
      <c r="E33" s="1717"/>
      <c r="F33" s="1717"/>
      <c r="G33" s="1717"/>
      <c r="H33" s="1718"/>
      <c r="I33" s="1714" t="s">
        <v>3459</v>
      </c>
      <c r="J33" s="1714"/>
      <c r="K33" s="1714"/>
      <c r="L33" s="1714"/>
      <c r="M33" s="1714"/>
      <c r="N33" s="1714"/>
      <c r="O33" s="1714" t="s">
        <v>3460</v>
      </c>
      <c r="P33" s="1714"/>
      <c r="Q33" s="1714"/>
      <c r="R33" s="1714"/>
      <c r="S33" s="1714"/>
      <c r="T33" s="1714"/>
      <c r="U33" s="1714" t="s">
        <v>3461</v>
      </c>
      <c r="V33" s="1714"/>
      <c r="W33" s="1714"/>
      <c r="X33" s="1714"/>
      <c r="Y33" s="1714"/>
      <c r="Z33" s="1714"/>
      <c r="AA33" s="1714"/>
      <c r="AB33" s="1714"/>
      <c r="AC33" s="1714"/>
      <c r="AD33" s="1714"/>
      <c r="AE33" s="1714"/>
      <c r="AF33" s="1714"/>
    </row>
    <row r="34" spans="1:32" ht="15.6" x14ac:dyDescent="0.3">
      <c r="A34" s="399"/>
      <c r="B34" s="1719"/>
      <c r="C34" s="1720"/>
      <c r="D34" s="1720"/>
      <c r="E34" s="1720"/>
      <c r="F34" s="1720"/>
      <c r="G34" s="1720"/>
      <c r="H34" s="1721"/>
      <c r="I34" s="1714" t="s">
        <v>3462</v>
      </c>
      <c r="J34" s="1714"/>
      <c r="K34" s="1714"/>
      <c r="L34" s="1714" t="s">
        <v>3463</v>
      </c>
      <c r="M34" s="1714"/>
      <c r="N34" s="1714"/>
      <c r="O34" s="1714" t="s">
        <v>3464</v>
      </c>
      <c r="P34" s="1714"/>
      <c r="Q34" s="1714"/>
      <c r="R34" s="1714" t="s">
        <v>3465</v>
      </c>
      <c r="S34" s="1714"/>
      <c r="T34" s="1714"/>
      <c r="U34" s="1714" t="s">
        <v>3466</v>
      </c>
      <c r="V34" s="1714"/>
      <c r="W34" s="1714"/>
      <c r="X34" s="1714" t="s">
        <v>3467</v>
      </c>
      <c r="Y34" s="1714"/>
      <c r="Z34" s="1714"/>
      <c r="AA34" s="1714" t="s">
        <v>3468</v>
      </c>
      <c r="AB34" s="1714"/>
      <c r="AC34" s="1714"/>
      <c r="AD34" s="1714" t="s">
        <v>3469</v>
      </c>
      <c r="AE34" s="1714"/>
      <c r="AF34" s="1714"/>
    </row>
    <row r="35" spans="1:32" x14ac:dyDescent="0.3">
      <c r="A35" s="399"/>
      <c r="B35" s="1725" t="s">
        <v>3470</v>
      </c>
      <c r="C35" s="1725"/>
      <c r="D35" s="1725"/>
      <c r="E35" s="1725"/>
      <c r="F35" s="1725"/>
      <c r="G35" s="1725"/>
      <c r="H35" s="1725"/>
      <c r="I35" s="1724">
        <f>ROUND(L35/1.01,1)</f>
        <v>9.6</v>
      </c>
      <c r="J35" s="1724"/>
      <c r="K35" s="1724"/>
      <c r="L35" s="1724">
        <v>9.6999999999999993</v>
      </c>
      <c r="M35" s="1724"/>
      <c r="N35" s="1724"/>
      <c r="O35" s="1724">
        <v>11</v>
      </c>
      <c r="P35" s="1724"/>
      <c r="Q35" s="1724"/>
      <c r="R35" s="1724">
        <f>ROUND(O35*1.01,1)</f>
        <v>11.1</v>
      </c>
      <c r="S35" s="1724"/>
      <c r="T35" s="1724"/>
      <c r="U35" s="1724">
        <v>12.1</v>
      </c>
      <c r="V35" s="1724"/>
      <c r="W35" s="1724"/>
      <c r="X35" s="1724">
        <f>ROUND(U35*1.01,1)</f>
        <v>12.2</v>
      </c>
      <c r="Y35" s="1724"/>
      <c r="Z35" s="1724"/>
      <c r="AA35" s="1724">
        <f>ROUND(U35-0.05*U35,1)</f>
        <v>11.5</v>
      </c>
      <c r="AB35" s="1724"/>
      <c r="AC35" s="1724"/>
      <c r="AD35" s="1724">
        <f>ROUND(AA35*1.01,1)</f>
        <v>11.6</v>
      </c>
      <c r="AE35" s="1724"/>
      <c r="AF35" s="1724"/>
    </row>
    <row r="36" spans="1:32" x14ac:dyDescent="0.3">
      <c r="A36" s="399"/>
      <c r="B36" s="1725" t="s">
        <v>3471</v>
      </c>
      <c r="C36" s="1725"/>
      <c r="D36" s="1725"/>
      <c r="E36" s="1725"/>
      <c r="F36" s="1725"/>
      <c r="G36" s="1725"/>
      <c r="H36" s="1725"/>
      <c r="I36" s="1724">
        <f t="shared" ref="I36:I38" si="0">ROUND(L36/1.01,1)</f>
        <v>9.6999999999999993</v>
      </c>
      <c r="J36" s="1724"/>
      <c r="K36" s="1724"/>
      <c r="L36" s="1724">
        <v>9.8000000000000007</v>
      </c>
      <c r="M36" s="1724"/>
      <c r="N36" s="1724"/>
      <c r="O36" s="1724">
        <v>10.9</v>
      </c>
      <c r="P36" s="1724"/>
      <c r="Q36" s="1724"/>
      <c r="R36" s="1724">
        <f t="shared" ref="R36:R38" si="1">ROUND(O36*1.01,1)</f>
        <v>11</v>
      </c>
      <c r="S36" s="1724"/>
      <c r="T36" s="1724"/>
      <c r="U36" s="1724">
        <v>12</v>
      </c>
      <c r="V36" s="1724"/>
      <c r="W36" s="1724"/>
      <c r="X36" s="1724">
        <f t="shared" ref="X36:X38" si="2">ROUND(U36*1.01,1)</f>
        <v>12.1</v>
      </c>
      <c r="Y36" s="1724"/>
      <c r="Z36" s="1724"/>
      <c r="AA36" s="1724">
        <f t="shared" ref="AA36:AA38" si="3">ROUND(U36-0.05*U36,1)</f>
        <v>11.4</v>
      </c>
      <c r="AB36" s="1724"/>
      <c r="AC36" s="1724"/>
      <c r="AD36" s="1724">
        <f t="shared" ref="AD36:AD38" si="4">ROUND(AA36*1.01,1)</f>
        <v>11.5</v>
      </c>
      <c r="AE36" s="1724"/>
      <c r="AF36" s="1724"/>
    </row>
    <row r="37" spans="1:32" x14ac:dyDescent="0.3">
      <c r="A37" s="399"/>
      <c r="B37" s="1725" t="s">
        <v>3472</v>
      </c>
      <c r="C37" s="1725"/>
      <c r="D37" s="1725"/>
      <c r="E37" s="1725"/>
      <c r="F37" s="1725"/>
      <c r="G37" s="1725"/>
      <c r="H37" s="1725"/>
      <c r="I37" s="1724">
        <f t="shared" si="0"/>
        <v>9.6</v>
      </c>
      <c r="J37" s="1724"/>
      <c r="K37" s="1724"/>
      <c r="L37" s="1724">
        <v>9.6999999999999993</v>
      </c>
      <c r="M37" s="1724"/>
      <c r="N37" s="1724"/>
      <c r="O37" s="1724">
        <v>10.7</v>
      </c>
      <c r="P37" s="1724"/>
      <c r="Q37" s="1724"/>
      <c r="R37" s="1724">
        <f t="shared" si="1"/>
        <v>10.8</v>
      </c>
      <c r="S37" s="1724"/>
      <c r="T37" s="1724"/>
      <c r="U37" s="1724">
        <v>11.8</v>
      </c>
      <c r="V37" s="1724"/>
      <c r="W37" s="1724"/>
      <c r="X37" s="1724">
        <f t="shared" si="2"/>
        <v>11.9</v>
      </c>
      <c r="Y37" s="1724"/>
      <c r="Z37" s="1724"/>
      <c r="AA37" s="1724">
        <f t="shared" si="3"/>
        <v>11.2</v>
      </c>
      <c r="AB37" s="1724"/>
      <c r="AC37" s="1724"/>
      <c r="AD37" s="1724">
        <f t="shared" si="4"/>
        <v>11.3</v>
      </c>
      <c r="AE37" s="1724"/>
      <c r="AF37" s="1724"/>
    </row>
    <row r="38" spans="1:32" x14ac:dyDescent="0.3">
      <c r="A38" s="399"/>
      <c r="B38" s="1725" t="s">
        <v>3473</v>
      </c>
      <c r="C38" s="1725"/>
      <c r="D38" s="1725"/>
      <c r="E38" s="1725"/>
      <c r="F38" s="1725"/>
      <c r="G38" s="1725"/>
      <c r="H38" s="1725"/>
      <c r="I38" s="1724">
        <f t="shared" si="0"/>
        <v>8.4</v>
      </c>
      <c r="J38" s="1724"/>
      <c r="K38" s="1724"/>
      <c r="L38" s="1724">
        <v>8.5</v>
      </c>
      <c r="M38" s="1724"/>
      <c r="N38" s="1724"/>
      <c r="O38" s="1724">
        <v>9.4</v>
      </c>
      <c r="P38" s="1724"/>
      <c r="Q38" s="1724"/>
      <c r="R38" s="1724">
        <f t="shared" si="1"/>
        <v>9.5</v>
      </c>
      <c r="S38" s="1724"/>
      <c r="T38" s="1724"/>
      <c r="U38" s="1724">
        <v>10.3</v>
      </c>
      <c r="V38" s="1724"/>
      <c r="W38" s="1724"/>
      <c r="X38" s="1724">
        <f t="shared" si="2"/>
        <v>10.4</v>
      </c>
      <c r="Y38" s="1724"/>
      <c r="Z38" s="1724"/>
      <c r="AA38" s="1724">
        <f t="shared" si="3"/>
        <v>9.8000000000000007</v>
      </c>
      <c r="AB38" s="1724"/>
      <c r="AC38" s="1724"/>
      <c r="AD38" s="1724">
        <f t="shared" si="4"/>
        <v>9.9</v>
      </c>
      <c r="AE38" s="1724"/>
      <c r="AF38" s="1724"/>
    </row>
    <row r="39" spans="1:32" ht="45" customHeight="1" x14ac:dyDescent="0.3">
      <c r="A39" s="399"/>
      <c r="B39" s="1727" t="s">
        <v>3474</v>
      </c>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row>
    <row r="40" spans="1:32" ht="45" customHeight="1" x14ac:dyDescent="0.3">
      <c r="A40" s="399"/>
      <c r="B40" s="1726" t="s">
        <v>3475</v>
      </c>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c r="AF40" s="1726"/>
    </row>
    <row r="41" spans="1:32" ht="45" customHeight="1" x14ac:dyDescent="0.3">
      <c r="A41" s="399"/>
      <c r="B41" s="1726" t="s">
        <v>3476</v>
      </c>
      <c r="C41" s="1726"/>
      <c r="D41" s="1726"/>
      <c r="E41" s="1726"/>
      <c r="F41" s="1726"/>
      <c r="G41" s="1726"/>
      <c r="H41" s="1726"/>
      <c r="I41" s="1726"/>
      <c r="J41" s="1726"/>
      <c r="K41" s="1726"/>
      <c r="L41" s="1726"/>
      <c r="M41" s="1726"/>
      <c r="N41" s="1726"/>
      <c r="O41" s="1726"/>
      <c r="P41" s="1726"/>
      <c r="Q41" s="1726"/>
      <c r="R41" s="1726"/>
      <c r="S41" s="1726"/>
      <c r="T41" s="1726"/>
      <c r="U41" s="1726"/>
      <c r="V41" s="1726"/>
      <c r="W41" s="1726"/>
      <c r="X41" s="1726"/>
      <c r="Y41" s="1726"/>
      <c r="Z41" s="1726"/>
      <c r="AA41" s="1726"/>
      <c r="AB41" s="1726"/>
      <c r="AC41" s="1726"/>
      <c r="AD41" s="1726"/>
      <c r="AE41" s="1726"/>
      <c r="AF41" s="1726"/>
    </row>
    <row r="42" spans="1:32" x14ac:dyDescent="0.3">
      <c r="A42" s="399"/>
      <c r="B42" s="454"/>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row>
    <row r="43" spans="1:32" x14ac:dyDescent="0.3">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x14ac:dyDescent="0.3">
      <c r="A44" s="1713" t="s">
        <v>7</v>
      </c>
      <c r="B44" s="1713"/>
      <c r="C44" s="1713"/>
      <c r="D44" s="1713"/>
      <c r="E44" s="1713"/>
      <c r="F44" s="1713"/>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row>
    <row r="45" spans="1:32" x14ac:dyDescent="0.3">
      <c r="A45" s="398"/>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x14ac:dyDescent="0.3">
      <c r="A46" s="121"/>
      <c r="B46" s="231" t="s">
        <v>3347</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2" x14ac:dyDescent="0.3">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3">
      <c r="A48" s="1694"/>
      <c r="B48" s="1694"/>
      <c r="C48" s="1694"/>
      <c r="D48" s="1694"/>
      <c r="E48" s="1694"/>
      <c r="F48" s="1694"/>
      <c r="G48" s="1694"/>
      <c r="H48" s="1694"/>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t="s">
        <v>1463</v>
      </c>
    </row>
    <row r="49" spans="1:32" x14ac:dyDescent="0.3">
      <c r="A49" s="60"/>
      <c r="B49" s="60"/>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row>
    <row r="50" spans="1:32" x14ac:dyDescent="0.3">
      <c r="A50" s="121"/>
      <c r="B50" s="231" t="s">
        <v>3348</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row>
    <row r="51" spans="1:32"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3">
      <c r="A52" s="1694"/>
      <c r="B52" s="1694"/>
      <c r="C52" s="1694"/>
      <c r="D52" s="1694"/>
      <c r="E52" s="1694"/>
      <c r="F52" s="1694"/>
      <c r="G52" s="1694"/>
      <c r="H52" s="1694"/>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t="s">
        <v>1464</v>
      </c>
    </row>
    <row r="53" spans="1:32" x14ac:dyDescent="0.3">
      <c r="A53" s="60"/>
      <c r="B53" s="60"/>
      <c r="C53" s="60"/>
      <c r="D53" s="60"/>
      <c r="E53" s="60"/>
      <c r="F53" s="60"/>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row>
    <row r="54" spans="1:32" x14ac:dyDescent="0.3">
      <c r="A54" s="60"/>
      <c r="B54" s="372" t="s">
        <v>3349</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row>
    <row r="55" spans="1:32" x14ac:dyDescent="0.3">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row>
    <row r="56" spans="1:32" x14ac:dyDescent="0.3">
      <c r="A56" s="1694"/>
      <c r="B56" s="1694"/>
      <c r="C56" s="1694"/>
      <c r="D56" s="1694"/>
      <c r="E56" s="1694"/>
      <c r="F56" s="1694"/>
      <c r="G56" s="1694"/>
      <c r="H56" s="1694"/>
      <c r="I56" s="63"/>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t="s">
        <v>1465</v>
      </c>
    </row>
    <row r="57" spans="1:32" x14ac:dyDescent="0.3">
      <c r="A57" s="60"/>
      <c r="B57" s="60"/>
      <c r="C57" s="60"/>
      <c r="D57" s="60"/>
      <c r="E57" s="59"/>
      <c r="F57" s="121"/>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row>
    <row r="58" spans="1:32" x14ac:dyDescent="0.3">
      <c r="A58" s="60"/>
      <c r="B58" s="372" t="s">
        <v>3350</v>
      </c>
      <c r="C58" s="60"/>
      <c r="D58" s="60"/>
      <c r="E58" s="60"/>
      <c r="F58" s="60"/>
      <c r="G58" s="60"/>
      <c r="H58" s="60"/>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row>
    <row r="59" spans="1:32" x14ac:dyDescent="0.3">
      <c r="A59" s="60"/>
      <c r="B59" s="60"/>
      <c r="C59" s="60"/>
      <c r="D59" s="60"/>
      <c r="E59" s="60"/>
      <c r="F59" s="60"/>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row>
    <row r="60" spans="1:32" x14ac:dyDescent="0.3">
      <c r="A60" s="1694"/>
      <c r="B60" s="1694"/>
      <c r="C60" s="1694"/>
      <c r="D60" s="1694"/>
      <c r="E60" s="1694"/>
      <c r="F60" s="1694"/>
      <c r="G60" s="1694"/>
      <c r="H60" s="1694"/>
      <c r="I60" s="63"/>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t="s">
        <v>1517</v>
      </c>
    </row>
    <row r="61" spans="1:32" x14ac:dyDescent="0.3">
      <c r="A61" s="60"/>
      <c r="B61" s="60"/>
      <c r="C61" s="60"/>
      <c r="D61" s="60"/>
      <c r="E61" s="59"/>
      <c r="F61" s="121"/>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row>
    <row r="62" spans="1:32" x14ac:dyDescent="0.3">
      <c r="A62" s="60"/>
      <c r="B62" s="372" t="s">
        <v>3351</v>
      </c>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row>
    <row r="63" spans="1:32" x14ac:dyDescent="0.3">
      <c r="A63" s="60"/>
      <c r="B63" s="60"/>
      <c r="C63" s="60"/>
      <c r="D63" s="60"/>
      <c r="E63" s="60"/>
      <c r="F63" s="60"/>
      <c r="G63" s="60"/>
      <c r="H63" s="60"/>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row>
    <row r="64" spans="1:32" x14ac:dyDescent="0.3">
      <c r="A64" s="1694"/>
      <c r="B64" s="1694"/>
      <c r="C64" s="1694"/>
      <c r="D64" s="1694"/>
      <c r="E64" s="1694"/>
      <c r="F64" s="1694"/>
      <c r="G64" s="1694"/>
      <c r="H64" s="1694"/>
      <c r="I64" s="272"/>
      <c r="J64" s="63"/>
      <c r="K64" s="63"/>
      <c r="L64" s="63"/>
      <c r="M64" s="63"/>
      <c r="N64" s="63"/>
      <c r="O64" s="63"/>
      <c r="P64" s="63"/>
      <c r="Q64" s="63"/>
      <c r="R64" s="63"/>
      <c r="S64" s="63"/>
      <c r="T64" s="63"/>
      <c r="U64" s="63"/>
      <c r="V64" s="63"/>
      <c r="W64" s="63"/>
      <c r="X64" s="63"/>
      <c r="Y64" s="63"/>
      <c r="Z64" s="63"/>
      <c r="AA64" s="63"/>
      <c r="AB64" s="63"/>
      <c r="AC64" s="63"/>
      <c r="AD64" s="63"/>
      <c r="AE64" s="63"/>
      <c r="AF64" s="272" t="s">
        <v>1556</v>
      </c>
    </row>
    <row r="65" spans="1:32" x14ac:dyDescent="0.3">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row>
    <row r="66" spans="1:32" x14ac:dyDescent="0.3">
      <c r="A66" s="60"/>
      <c r="B66" s="372" t="s">
        <v>3352</v>
      </c>
      <c r="C66" s="60"/>
      <c r="D66" s="60"/>
      <c r="E66" s="60"/>
      <c r="F66" s="60"/>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row>
    <row r="67" spans="1:32" x14ac:dyDescent="0.3">
      <c r="A67" s="60"/>
      <c r="B67" s="60"/>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row>
    <row r="68" spans="1:32" x14ac:dyDescent="0.3">
      <c r="A68" s="1694"/>
      <c r="B68" s="1694"/>
      <c r="C68" s="1694"/>
      <c r="D68" s="1694"/>
      <c r="E68" s="1694"/>
      <c r="F68" s="1694"/>
      <c r="G68" s="1694"/>
      <c r="H68" s="1694"/>
      <c r="I68" s="272"/>
      <c r="J68" s="63"/>
      <c r="K68" s="63"/>
      <c r="L68" s="63"/>
      <c r="M68" s="63"/>
      <c r="N68" s="63"/>
      <c r="O68" s="63"/>
      <c r="P68" s="63"/>
      <c r="Q68" s="63"/>
      <c r="R68" s="63"/>
      <c r="S68" s="63"/>
      <c r="T68" s="63"/>
      <c r="U68" s="63"/>
      <c r="V68" s="63"/>
      <c r="W68" s="63"/>
      <c r="X68" s="63"/>
      <c r="Y68" s="63"/>
      <c r="Z68" s="63"/>
      <c r="AA68" s="63"/>
      <c r="AB68" s="63"/>
      <c r="AC68" s="63"/>
      <c r="AD68" s="63"/>
      <c r="AE68" s="63"/>
      <c r="AF68" s="272" t="s">
        <v>1558</v>
      </c>
    </row>
    <row r="69" spans="1:32" x14ac:dyDescent="0.3">
      <c r="A69" s="581"/>
      <c r="B69" s="581"/>
      <c r="C69" s="581"/>
      <c r="D69" s="581"/>
      <c r="E69" s="581"/>
      <c r="F69" s="581"/>
      <c r="G69" s="581"/>
      <c r="H69" s="58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row>
    <row r="70" spans="1:32" x14ac:dyDescent="0.3">
      <c r="A70" s="1713" t="s">
        <v>8</v>
      </c>
      <c r="B70" s="1713"/>
      <c r="C70" s="1713"/>
      <c r="D70" s="1713"/>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c r="AA70" s="1713"/>
      <c r="AB70" s="1713"/>
      <c r="AC70" s="1713"/>
      <c r="AD70" s="1713"/>
      <c r="AE70" s="1713"/>
      <c r="AF70" s="1713"/>
    </row>
    <row r="71" spans="1:32" x14ac:dyDescent="0.3">
      <c r="A71" s="1728" t="s">
        <v>9</v>
      </c>
      <c r="B71" s="1728"/>
      <c r="C71" s="1728"/>
      <c r="D71" s="1728"/>
      <c r="E71" s="1728" t="s">
        <v>3</v>
      </c>
      <c r="F71" s="1728"/>
      <c r="G71" s="1728"/>
      <c r="H71" s="1728"/>
      <c r="I71" s="1728"/>
      <c r="J71" s="1728"/>
      <c r="K71" s="1728"/>
      <c r="L71" s="1728"/>
      <c r="M71" s="1728"/>
      <c r="N71" s="1728"/>
      <c r="O71" s="1728"/>
      <c r="P71" s="1728"/>
      <c r="Q71" s="1728" t="s">
        <v>10</v>
      </c>
      <c r="R71" s="1728"/>
      <c r="S71" s="1728"/>
      <c r="T71" s="1728"/>
      <c r="U71" s="1729" t="s">
        <v>11</v>
      </c>
      <c r="V71" s="1730"/>
      <c r="W71" s="1731"/>
      <c r="X71" s="1729" t="s">
        <v>1466</v>
      </c>
      <c r="Y71" s="1730"/>
      <c r="Z71" s="1730"/>
      <c r="AA71" s="1730"/>
      <c r="AB71" s="1730"/>
      <c r="AC71" s="1730"/>
      <c r="AD71" s="1730"/>
      <c r="AE71" s="1730"/>
      <c r="AF71" s="1731"/>
    </row>
    <row r="72" spans="1:32" ht="49.5" customHeight="1" x14ac:dyDescent="0.3">
      <c r="A72" s="1732" t="s">
        <v>2720</v>
      </c>
      <c r="B72" s="1733" t="s">
        <v>450</v>
      </c>
      <c r="C72" s="1733" t="s">
        <v>450</v>
      </c>
      <c r="D72" s="1734" t="s">
        <v>450</v>
      </c>
      <c r="E72" s="1735" t="s">
        <v>4641</v>
      </c>
      <c r="F72" s="1735"/>
      <c r="G72" s="1735" t="s">
        <v>451</v>
      </c>
      <c r="H72" s="1735"/>
      <c r="I72" s="1735" t="s">
        <v>451</v>
      </c>
      <c r="J72" s="1735"/>
      <c r="K72" s="1735" t="s">
        <v>451</v>
      </c>
      <c r="L72" s="1735"/>
      <c r="M72" s="1735" t="s">
        <v>451</v>
      </c>
      <c r="N72" s="1735"/>
      <c r="O72" s="1735" t="s">
        <v>451</v>
      </c>
      <c r="P72" s="1735"/>
      <c r="Q72" s="1736" t="s">
        <v>2721</v>
      </c>
      <c r="R72" s="1736">
        <v>1.28</v>
      </c>
      <c r="S72" s="1736">
        <v>1.28</v>
      </c>
      <c r="T72" s="1736">
        <v>1.28</v>
      </c>
      <c r="U72" s="1737" t="s">
        <v>2722</v>
      </c>
      <c r="V72" s="1738"/>
      <c r="W72" s="1739"/>
      <c r="X72" s="1740" t="s">
        <v>3477</v>
      </c>
      <c r="Y72" s="1741"/>
      <c r="Z72" s="1741"/>
      <c r="AA72" s="1741"/>
      <c r="AB72" s="1741"/>
      <c r="AC72" s="1741"/>
      <c r="AD72" s="1741"/>
      <c r="AE72" s="1741"/>
      <c r="AF72" s="1742"/>
    </row>
    <row r="73" spans="1:32" ht="66.75" customHeight="1" x14ac:dyDescent="0.3">
      <c r="A73" s="1732" t="s">
        <v>3360</v>
      </c>
      <c r="B73" s="1733" t="s">
        <v>202</v>
      </c>
      <c r="C73" s="1733" t="s">
        <v>202</v>
      </c>
      <c r="D73" s="1734" t="s">
        <v>202</v>
      </c>
      <c r="E73" s="1735" t="s">
        <v>3381</v>
      </c>
      <c r="F73" s="1735"/>
      <c r="G73" s="1735" t="s">
        <v>204</v>
      </c>
      <c r="H73" s="1735"/>
      <c r="I73" s="1735" t="s">
        <v>204</v>
      </c>
      <c r="J73" s="1735"/>
      <c r="K73" s="1735" t="s">
        <v>204</v>
      </c>
      <c r="L73" s="1735"/>
      <c r="M73" s="1735" t="s">
        <v>204</v>
      </c>
      <c r="N73" s="1735"/>
      <c r="O73" s="1735" t="s">
        <v>204</v>
      </c>
      <c r="P73" s="1735"/>
      <c r="Q73" s="1743" t="s">
        <v>516</v>
      </c>
      <c r="R73" s="1743" t="s">
        <v>205</v>
      </c>
      <c r="S73" s="1743" t="s">
        <v>205</v>
      </c>
      <c r="T73" s="1743" t="s">
        <v>205</v>
      </c>
      <c r="U73" s="1737" t="s">
        <v>2725</v>
      </c>
      <c r="V73" s="1738"/>
      <c r="W73" s="1739"/>
      <c r="X73" s="1740" t="s">
        <v>3354</v>
      </c>
      <c r="Y73" s="1741"/>
      <c r="Z73" s="1741"/>
      <c r="AA73" s="1741"/>
      <c r="AB73" s="1741"/>
      <c r="AC73" s="1741"/>
      <c r="AD73" s="1741"/>
      <c r="AE73" s="1741"/>
      <c r="AF73" s="1742"/>
    </row>
    <row r="74" spans="1:32" ht="63.75" customHeight="1" x14ac:dyDescent="0.3">
      <c r="A74" s="1732" t="s">
        <v>3361</v>
      </c>
      <c r="B74" s="1733" t="s">
        <v>202</v>
      </c>
      <c r="C74" s="1733" t="s">
        <v>202</v>
      </c>
      <c r="D74" s="1734" t="s">
        <v>202</v>
      </c>
      <c r="E74" s="1735" t="s">
        <v>3382</v>
      </c>
      <c r="F74" s="1735"/>
      <c r="G74" s="1735" t="s">
        <v>204</v>
      </c>
      <c r="H74" s="1735"/>
      <c r="I74" s="1735" t="s">
        <v>204</v>
      </c>
      <c r="J74" s="1735"/>
      <c r="K74" s="1735" t="s">
        <v>204</v>
      </c>
      <c r="L74" s="1735"/>
      <c r="M74" s="1735" t="s">
        <v>204</v>
      </c>
      <c r="N74" s="1735"/>
      <c r="O74" s="1735" t="s">
        <v>204</v>
      </c>
      <c r="P74" s="1735"/>
      <c r="Q74" s="1743" t="s">
        <v>516</v>
      </c>
      <c r="R74" s="1743" t="s">
        <v>205</v>
      </c>
      <c r="S74" s="1743" t="s">
        <v>205</v>
      </c>
      <c r="T74" s="1743" t="s">
        <v>205</v>
      </c>
      <c r="U74" s="1737" t="s">
        <v>2725</v>
      </c>
      <c r="V74" s="1738"/>
      <c r="W74" s="1739"/>
      <c r="X74" s="1740" t="s">
        <v>3478</v>
      </c>
      <c r="Y74" s="1741"/>
      <c r="Z74" s="1741"/>
      <c r="AA74" s="1741"/>
      <c r="AB74" s="1741"/>
      <c r="AC74" s="1741"/>
      <c r="AD74" s="1741"/>
      <c r="AE74" s="1741"/>
      <c r="AF74" s="1742"/>
    </row>
    <row r="75" spans="1:32" ht="72" customHeight="1" x14ac:dyDescent="0.3">
      <c r="A75" s="1732" t="s">
        <v>3363</v>
      </c>
      <c r="B75" s="1733" t="s">
        <v>203</v>
      </c>
      <c r="C75" s="1733" t="s">
        <v>203</v>
      </c>
      <c r="D75" s="1734" t="s">
        <v>203</v>
      </c>
      <c r="E75" s="1735" t="s">
        <v>3383</v>
      </c>
      <c r="F75" s="1735"/>
      <c r="G75" s="1735" t="s">
        <v>204</v>
      </c>
      <c r="H75" s="1735"/>
      <c r="I75" s="1735" t="s">
        <v>204</v>
      </c>
      <c r="J75" s="1735"/>
      <c r="K75" s="1735" t="s">
        <v>204</v>
      </c>
      <c r="L75" s="1735"/>
      <c r="M75" s="1735" t="s">
        <v>204</v>
      </c>
      <c r="N75" s="1735"/>
      <c r="O75" s="1735" t="s">
        <v>204</v>
      </c>
      <c r="P75" s="1735"/>
      <c r="Q75" s="1743" t="s">
        <v>2723</v>
      </c>
      <c r="R75" s="1743" t="s">
        <v>205</v>
      </c>
      <c r="S75" s="1743" t="s">
        <v>205</v>
      </c>
      <c r="T75" s="1743" t="s">
        <v>205</v>
      </c>
      <c r="U75" s="1737" t="s">
        <v>2725</v>
      </c>
      <c r="V75" s="1738"/>
      <c r="W75" s="1739"/>
      <c r="X75" s="1740" t="s">
        <v>3689</v>
      </c>
      <c r="Y75" s="1741"/>
      <c r="Z75" s="1741"/>
      <c r="AA75" s="1741"/>
      <c r="AB75" s="1741"/>
      <c r="AC75" s="1741"/>
      <c r="AD75" s="1741"/>
      <c r="AE75" s="1741"/>
      <c r="AF75" s="1742"/>
    </row>
    <row r="76" spans="1:32" ht="51" customHeight="1" x14ac:dyDescent="0.3">
      <c r="A76" s="1732" t="s">
        <v>3358</v>
      </c>
      <c r="B76" s="1733" t="s">
        <v>202</v>
      </c>
      <c r="C76" s="1733" t="s">
        <v>202</v>
      </c>
      <c r="D76" s="1734" t="s">
        <v>202</v>
      </c>
      <c r="E76" s="1735" t="s">
        <v>3384</v>
      </c>
      <c r="F76" s="1735"/>
      <c r="G76" s="1735" t="s">
        <v>204</v>
      </c>
      <c r="H76" s="1735"/>
      <c r="I76" s="1735" t="s">
        <v>204</v>
      </c>
      <c r="J76" s="1735"/>
      <c r="K76" s="1735" t="s">
        <v>204</v>
      </c>
      <c r="L76" s="1735"/>
      <c r="M76" s="1735" t="s">
        <v>204</v>
      </c>
      <c r="N76" s="1735"/>
      <c r="O76" s="1735" t="s">
        <v>204</v>
      </c>
      <c r="P76" s="1735"/>
      <c r="Q76" s="1743" t="s">
        <v>516</v>
      </c>
      <c r="R76" s="1743" t="s">
        <v>205</v>
      </c>
      <c r="S76" s="1743" t="s">
        <v>205</v>
      </c>
      <c r="T76" s="1743" t="s">
        <v>205</v>
      </c>
      <c r="U76" s="1737" t="s">
        <v>2725</v>
      </c>
      <c r="V76" s="1738"/>
      <c r="W76" s="1739"/>
      <c r="X76" s="1740" t="s">
        <v>3479</v>
      </c>
      <c r="Y76" s="1741"/>
      <c r="Z76" s="1741"/>
      <c r="AA76" s="1741"/>
      <c r="AB76" s="1741"/>
      <c r="AC76" s="1741"/>
      <c r="AD76" s="1741"/>
      <c r="AE76" s="1741"/>
      <c r="AF76" s="1742"/>
    </row>
    <row r="77" spans="1:32" ht="63.75" customHeight="1" x14ac:dyDescent="0.3">
      <c r="A77" s="1732" t="s">
        <v>3359</v>
      </c>
      <c r="B77" s="1733" t="s">
        <v>202</v>
      </c>
      <c r="C77" s="1733" t="s">
        <v>202</v>
      </c>
      <c r="D77" s="1734" t="s">
        <v>202</v>
      </c>
      <c r="E77" s="1735" t="s">
        <v>3385</v>
      </c>
      <c r="F77" s="1735"/>
      <c r="G77" s="1735" t="s">
        <v>204</v>
      </c>
      <c r="H77" s="1735"/>
      <c r="I77" s="1735" t="s">
        <v>204</v>
      </c>
      <c r="J77" s="1735"/>
      <c r="K77" s="1735" t="s">
        <v>204</v>
      </c>
      <c r="L77" s="1735"/>
      <c r="M77" s="1735" t="s">
        <v>204</v>
      </c>
      <c r="N77" s="1735"/>
      <c r="O77" s="1735" t="s">
        <v>204</v>
      </c>
      <c r="P77" s="1735"/>
      <c r="Q77" s="1743" t="s">
        <v>516</v>
      </c>
      <c r="R77" s="1743" t="s">
        <v>205</v>
      </c>
      <c r="S77" s="1743" t="s">
        <v>205</v>
      </c>
      <c r="T77" s="1743" t="s">
        <v>205</v>
      </c>
      <c r="U77" s="1737" t="s">
        <v>2725</v>
      </c>
      <c r="V77" s="1738"/>
      <c r="W77" s="1739"/>
      <c r="X77" s="1740" t="s">
        <v>3353</v>
      </c>
      <c r="Y77" s="1741"/>
      <c r="Z77" s="1741"/>
      <c r="AA77" s="1741"/>
      <c r="AB77" s="1741"/>
      <c r="AC77" s="1741"/>
      <c r="AD77" s="1741"/>
      <c r="AE77" s="1741"/>
      <c r="AF77" s="1742"/>
    </row>
    <row r="78" spans="1:32" ht="132.75" customHeight="1" x14ac:dyDescent="0.3">
      <c r="A78" s="1732" t="s">
        <v>3362</v>
      </c>
      <c r="B78" s="1733" t="s">
        <v>203</v>
      </c>
      <c r="C78" s="1733" t="s">
        <v>203</v>
      </c>
      <c r="D78" s="1734" t="s">
        <v>203</v>
      </c>
      <c r="E78" s="1735" t="s">
        <v>3386</v>
      </c>
      <c r="F78" s="1735"/>
      <c r="G78" s="1735" t="s">
        <v>204</v>
      </c>
      <c r="H78" s="1735"/>
      <c r="I78" s="1735" t="s">
        <v>204</v>
      </c>
      <c r="J78" s="1735"/>
      <c r="K78" s="1735" t="s">
        <v>204</v>
      </c>
      <c r="L78" s="1735"/>
      <c r="M78" s="1735" t="s">
        <v>204</v>
      </c>
      <c r="N78" s="1735"/>
      <c r="O78" s="1735" t="s">
        <v>204</v>
      </c>
      <c r="P78" s="1735"/>
      <c r="Q78" s="1743" t="s">
        <v>2723</v>
      </c>
      <c r="R78" s="1743" t="s">
        <v>205</v>
      </c>
      <c r="S78" s="1743" t="s">
        <v>205</v>
      </c>
      <c r="T78" s="1743" t="s">
        <v>205</v>
      </c>
      <c r="U78" s="1737" t="s">
        <v>2725</v>
      </c>
      <c r="V78" s="1738"/>
      <c r="W78" s="1739"/>
      <c r="X78" s="1740" t="s">
        <v>3690</v>
      </c>
      <c r="Y78" s="1741"/>
      <c r="Z78" s="1741"/>
      <c r="AA78" s="1741"/>
      <c r="AB78" s="1741"/>
      <c r="AC78" s="1741"/>
      <c r="AD78" s="1741"/>
      <c r="AE78" s="1741"/>
      <c r="AF78" s="1742"/>
    </row>
    <row r="79" spans="1:32" ht="76.5" customHeight="1" x14ac:dyDescent="0.3">
      <c r="A79" s="1732" t="s">
        <v>21</v>
      </c>
      <c r="B79" s="1733" t="s">
        <v>21</v>
      </c>
      <c r="C79" s="1733" t="s">
        <v>21</v>
      </c>
      <c r="D79" s="1734" t="s">
        <v>21</v>
      </c>
      <c r="E79" s="1735" t="s">
        <v>96</v>
      </c>
      <c r="F79" s="1735"/>
      <c r="G79" s="1735" t="s">
        <v>444</v>
      </c>
      <c r="H79" s="1735"/>
      <c r="I79" s="1735" t="s">
        <v>444</v>
      </c>
      <c r="J79" s="1735"/>
      <c r="K79" s="1735" t="s">
        <v>444</v>
      </c>
      <c r="L79" s="1735"/>
      <c r="M79" s="1735" t="s">
        <v>444</v>
      </c>
      <c r="N79" s="1735"/>
      <c r="O79" s="1735" t="s">
        <v>444</v>
      </c>
      <c r="P79" s="1735"/>
      <c r="Q79" s="1744" t="s">
        <v>864</v>
      </c>
      <c r="R79" s="1744">
        <v>0.5</v>
      </c>
      <c r="S79" s="1744">
        <v>0.5</v>
      </c>
      <c r="T79" s="1744">
        <v>0.5</v>
      </c>
      <c r="U79" s="1745" t="s">
        <v>20</v>
      </c>
      <c r="V79" s="1746"/>
      <c r="W79" s="1747" t="s">
        <v>850</v>
      </c>
      <c r="X79" s="1207" t="s">
        <v>3264</v>
      </c>
      <c r="Y79" s="1208"/>
      <c r="Z79" s="1208"/>
      <c r="AA79" s="1208"/>
      <c r="AB79" s="1208"/>
      <c r="AC79" s="1208"/>
      <c r="AD79" s="1208"/>
      <c r="AE79" s="1208"/>
      <c r="AF79" s="1209"/>
    </row>
    <row r="80" spans="1:32" ht="65.25" customHeight="1" x14ac:dyDescent="0.3">
      <c r="A80" s="1732" t="s">
        <v>235</v>
      </c>
      <c r="B80" s="1733" t="s">
        <v>206</v>
      </c>
      <c r="C80" s="1733" t="s">
        <v>206</v>
      </c>
      <c r="D80" s="1734" t="s">
        <v>206</v>
      </c>
      <c r="E80" s="1735" t="s">
        <v>918</v>
      </c>
      <c r="F80" s="1735"/>
      <c r="G80" s="1735" t="s">
        <v>207</v>
      </c>
      <c r="H80" s="1735"/>
      <c r="I80" s="1735" t="s">
        <v>207</v>
      </c>
      <c r="J80" s="1735"/>
      <c r="K80" s="1735" t="s">
        <v>207</v>
      </c>
      <c r="L80" s="1735"/>
      <c r="M80" s="1735" t="s">
        <v>207</v>
      </c>
      <c r="N80" s="1735"/>
      <c r="O80" s="1735" t="s">
        <v>207</v>
      </c>
      <c r="P80" s="1735"/>
      <c r="Q80" s="1744" t="s">
        <v>864</v>
      </c>
      <c r="R80" s="1744">
        <v>0.5</v>
      </c>
      <c r="S80" s="1744">
        <v>0.5</v>
      </c>
      <c r="T80" s="1744">
        <v>0.5</v>
      </c>
      <c r="U80" s="1745" t="s">
        <v>790</v>
      </c>
      <c r="V80" s="1746"/>
      <c r="W80" s="1747" t="s">
        <v>851</v>
      </c>
      <c r="X80" s="1207" t="s">
        <v>3480</v>
      </c>
      <c r="Y80" s="1208"/>
      <c r="Z80" s="1208"/>
      <c r="AA80" s="1208"/>
      <c r="AB80" s="1208"/>
      <c r="AC80" s="1208"/>
      <c r="AD80" s="1208"/>
      <c r="AE80" s="1208"/>
      <c r="AF80" s="1209"/>
    </row>
    <row r="81" spans="1:32" x14ac:dyDescent="0.3">
      <c r="A81" s="1732" t="s">
        <v>34</v>
      </c>
      <c r="B81" s="1733" t="s">
        <v>34</v>
      </c>
      <c r="C81" s="1733" t="s">
        <v>34</v>
      </c>
      <c r="D81" s="1734" t="s">
        <v>34</v>
      </c>
      <c r="E81" s="1735" t="s">
        <v>644</v>
      </c>
      <c r="F81" s="1735"/>
      <c r="G81" s="1735" t="s">
        <v>446</v>
      </c>
      <c r="H81" s="1735"/>
      <c r="I81" s="1735" t="s">
        <v>446</v>
      </c>
      <c r="J81" s="1735"/>
      <c r="K81" s="1735" t="s">
        <v>446</v>
      </c>
      <c r="L81" s="1735"/>
      <c r="M81" s="1735" t="s">
        <v>446</v>
      </c>
      <c r="N81" s="1735"/>
      <c r="O81" s="1735" t="s">
        <v>446</v>
      </c>
      <c r="P81" s="1735"/>
      <c r="Q81" s="1744">
        <v>1</v>
      </c>
      <c r="R81" s="1744">
        <v>1</v>
      </c>
      <c r="S81" s="1744">
        <v>1</v>
      </c>
      <c r="T81" s="1744">
        <v>1</v>
      </c>
      <c r="U81" s="1745" t="s">
        <v>20</v>
      </c>
      <c r="V81" s="1746"/>
      <c r="W81" s="1747"/>
      <c r="X81" s="1748"/>
      <c r="Y81" s="1749"/>
      <c r="Z81" s="1749"/>
      <c r="AA81" s="1749"/>
      <c r="AB81" s="1749"/>
      <c r="AC81" s="1749"/>
      <c r="AD81" s="1749"/>
      <c r="AE81" s="1749"/>
      <c r="AF81" s="1750"/>
    </row>
    <row r="82" spans="1:32" x14ac:dyDescent="0.3">
      <c r="A82" s="1316" t="s">
        <v>159</v>
      </c>
      <c r="B82" s="1317"/>
      <c r="C82" s="1317"/>
      <c r="D82" s="1318"/>
      <c r="E82" s="1322" t="s">
        <v>3365</v>
      </c>
      <c r="F82" s="1323"/>
      <c r="G82" s="1323"/>
      <c r="H82" s="1323"/>
      <c r="I82" s="1323"/>
      <c r="J82" s="1323"/>
      <c r="K82" s="1323"/>
      <c r="L82" s="1323"/>
      <c r="M82" s="1323"/>
      <c r="N82" s="1323"/>
      <c r="O82" s="1323"/>
      <c r="P82" s="1324"/>
      <c r="Q82" s="1751">
        <v>1000</v>
      </c>
      <c r="R82" s="1751"/>
      <c r="S82" s="1751"/>
      <c r="T82" s="1751"/>
      <c r="U82" s="1745" t="s">
        <v>271</v>
      </c>
      <c r="V82" s="1746"/>
      <c r="W82" s="1747"/>
      <c r="X82" s="1748"/>
      <c r="Y82" s="1749"/>
      <c r="Z82" s="1749"/>
      <c r="AA82" s="1749"/>
      <c r="AB82" s="1749"/>
      <c r="AC82" s="1749"/>
      <c r="AD82" s="1749"/>
      <c r="AE82" s="1749"/>
      <c r="AF82" s="1750"/>
    </row>
    <row r="83" spans="1:32" x14ac:dyDescent="0.3">
      <c r="A83" s="1349" t="s">
        <v>1611</v>
      </c>
      <c r="B83" s="1350"/>
      <c r="C83" s="1350"/>
      <c r="D83" s="1351"/>
      <c r="E83" s="1163" t="s">
        <v>3366</v>
      </c>
      <c r="F83" s="1164"/>
      <c r="G83" s="1164"/>
      <c r="H83" s="1164"/>
      <c r="I83" s="1164"/>
      <c r="J83" s="1164"/>
      <c r="K83" s="1164"/>
      <c r="L83" s="1164"/>
      <c r="M83" s="1164"/>
      <c r="N83" s="1164"/>
      <c r="O83" s="1164"/>
      <c r="P83" s="1165"/>
      <c r="Q83" s="1744">
        <f>Q84/3</f>
        <v>3</v>
      </c>
      <c r="R83" s="1744"/>
      <c r="S83" s="1744"/>
      <c r="T83" s="1744"/>
      <c r="U83" s="1745" t="s">
        <v>38</v>
      </c>
      <c r="V83" s="1746"/>
      <c r="W83" s="1747"/>
      <c r="X83" s="1748" t="s">
        <v>3367</v>
      </c>
      <c r="Y83" s="1749"/>
      <c r="Z83" s="1749"/>
      <c r="AA83" s="1749"/>
      <c r="AB83" s="1749"/>
      <c r="AC83" s="1749"/>
      <c r="AD83" s="1749"/>
      <c r="AE83" s="1749"/>
      <c r="AF83" s="1750"/>
    </row>
    <row r="84" spans="1:32" x14ac:dyDescent="0.3">
      <c r="A84" s="1349" t="s">
        <v>2562</v>
      </c>
      <c r="B84" s="1350"/>
      <c r="C84" s="1350"/>
      <c r="D84" s="1351"/>
      <c r="E84" s="1163" t="s">
        <v>2050</v>
      </c>
      <c r="F84" s="1164"/>
      <c r="G84" s="1164"/>
      <c r="H84" s="1164"/>
      <c r="I84" s="1164"/>
      <c r="J84" s="1164"/>
      <c r="K84" s="1164"/>
      <c r="L84" s="1164"/>
      <c r="M84" s="1164"/>
      <c r="N84" s="1164"/>
      <c r="O84" s="1164"/>
      <c r="P84" s="1165"/>
      <c r="Q84" s="1744">
        <f>'Master EUL'!X79</f>
        <v>9</v>
      </c>
      <c r="R84" s="1744"/>
      <c r="S84" s="1744"/>
      <c r="T84" s="1744"/>
      <c r="U84" s="1745" t="s">
        <v>38</v>
      </c>
      <c r="V84" s="1746"/>
      <c r="W84" s="1747"/>
      <c r="X84" s="1748" t="s">
        <v>3364</v>
      </c>
      <c r="Y84" s="1749"/>
      <c r="Z84" s="1749"/>
      <c r="AA84" s="1749"/>
      <c r="AB84" s="1749"/>
      <c r="AC84" s="1749"/>
      <c r="AD84" s="1749"/>
      <c r="AE84" s="1749"/>
      <c r="AF84" s="1750"/>
    </row>
    <row r="85" spans="1:32" x14ac:dyDescent="0.3">
      <c r="A85" s="1753" t="s">
        <v>3418</v>
      </c>
      <c r="B85" s="1753"/>
      <c r="C85" s="1753"/>
      <c r="D85" s="1753"/>
      <c r="E85" s="1753"/>
      <c r="F85" s="1753"/>
      <c r="G85" s="1753"/>
      <c r="H85" s="1753"/>
      <c r="I85" s="1753"/>
      <c r="J85" s="1753"/>
      <c r="K85" s="1753"/>
      <c r="L85" s="1753"/>
      <c r="M85" s="1753"/>
      <c r="N85" s="1753"/>
      <c r="O85" s="1753"/>
      <c r="P85" s="1753"/>
      <c r="Q85" s="1753"/>
      <c r="R85" s="1753"/>
      <c r="S85" s="1753"/>
      <c r="T85" s="1753"/>
      <c r="U85" s="1753"/>
      <c r="V85" s="1753"/>
      <c r="W85" s="1753"/>
      <c r="X85" s="1753"/>
      <c r="Y85" s="1753"/>
      <c r="Z85" s="1753"/>
      <c r="AA85" s="1753"/>
      <c r="AB85" s="1753"/>
      <c r="AC85" s="1753"/>
      <c r="AD85" s="1753"/>
      <c r="AE85" s="1753"/>
      <c r="AF85" s="1753"/>
    </row>
    <row r="86" spans="1:32" ht="45" customHeight="1" x14ac:dyDescent="0.3">
      <c r="A86" s="1752" t="s">
        <v>3481</v>
      </c>
      <c r="B86" s="1752"/>
      <c r="C86" s="1752"/>
      <c r="D86" s="1752"/>
      <c r="E86" s="1752"/>
      <c r="F86" s="1752"/>
      <c r="G86" s="1752"/>
      <c r="H86" s="1752"/>
      <c r="I86" s="1752"/>
      <c r="J86" s="1752"/>
      <c r="K86" s="1752"/>
      <c r="L86" s="1752"/>
      <c r="M86" s="1752"/>
      <c r="N86" s="1752"/>
      <c r="O86" s="1752"/>
      <c r="P86" s="1752"/>
      <c r="Q86" s="1752"/>
      <c r="R86" s="1752"/>
      <c r="S86" s="1752"/>
      <c r="T86" s="1752"/>
      <c r="U86" s="1752"/>
      <c r="V86" s="1752"/>
      <c r="W86" s="1752"/>
      <c r="X86" s="1752"/>
      <c r="Y86" s="1752"/>
      <c r="Z86" s="1752"/>
      <c r="AA86" s="1752"/>
      <c r="AB86" s="1752"/>
      <c r="AC86" s="1752"/>
      <c r="AD86" s="1752"/>
      <c r="AE86" s="1752"/>
      <c r="AF86" s="1752"/>
    </row>
    <row r="87" spans="1:32" ht="104.25" customHeight="1" x14ac:dyDescent="0.3">
      <c r="A87" s="1752" t="s">
        <v>3482</v>
      </c>
      <c r="B87" s="1752"/>
      <c r="C87" s="1752"/>
      <c r="D87" s="1752"/>
      <c r="E87" s="1752"/>
      <c r="F87" s="1752"/>
      <c r="G87" s="1752"/>
      <c r="H87" s="1752"/>
      <c r="I87" s="1752"/>
      <c r="J87" s="1752"/>
      <c r="K87" s="1752"/>
      <c r="L87" s="1752"/>
      <c r="M87" s="1752"/>
      <c r="N87" s="1752"/>
      <c r="O87" s="1752"/>
      <c r="P87" s="1752"/>
      <c r="Q87" s="1752"/>
      <c r="R87" s="1752"/>
      <c r="S87" s="1752"/>
      <c r="T87" s="1752"/>
      <c r="U87" s="1752"/>
      <c r="V87" s="1752"/>
      <c r="W87" s="1752"/>
      <c r="X87" s="1752"/>
      <c r="Y87" s="1752"/>
      <c r="Z87" s="1752"/>
      <c r="AA87" s="1752"/>
      <c r="AB87" s="1752"/>
      <c r="AC87" s="1752"/>
      <c r="AD87" s="1752"/>
      <c r="AE87" s="1752"/>
      <c r="AF87" s="1752"/>
    </row>
    <row r="88" spans="1:32" x14ac:dyDescent="0.3">
      <c r="A88" s="439"/>
      <c r="B88" s="439"/>
      <c r="C88" s="439"/>
      <c r="D88" s="439"/>
      <c r="E88" s="440"/>
      <c r="F88" s="440"/>
      <c r="G88" s="440"/>
      <c r="H88" s="440"/>
      <c r="I88" s="440"/>
      <c r="J88" s="440"/>
      <c r="K88" s="440"/>
      <c r="L88" s="440"/>
      <c r="M88" s="440"/>
      <c r="N88" s="440"/>
      <c r="O88" s="440"/>
      <c r="P88" s="440"/>
      <c r="Q88" s="441"/>
      <c r="R88" s="441"/>
      <c r="S88" s="441"/>
      <c r="T88" s="441"/>
      <c r="U88" s="441"/>
      <c r="V88" s="441"/>
      <c r="W88" s="441"/>
      <c r="X88" s="440"/>
      <c r="Y88" s="440"/>
      <c r="Z88" s="440"/>
      <c r="AA88" s="440"/>
      <c r="AB88" s="440"/>
      <c r="AC88" s="440"/>
      <c r="AD88" s="440"/>
      <c r="AE88" s="440"/>
      <c r="AF88" s="440"/>
    </row>
    <row r="89" spans="1:32" x14ac:dyDescent="0.3">
      <c r="A89" s="1713" t="s">
        <v>14</v>
      </c>
      <c r="B89" s="1713"/>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row>
    <row r="90" spans="1:32" x14ac:dyDescent="0.3">
      <c r="A90" s="400"/>
      <c r="B90" s="402"/>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row>
    <row r="91" spans="1:32" x14ac:dyDescent="0.3">
      <c r="A91" s="94"/>
      <c r="B91" s="884" t="s">
        <v>3483</v>
      </c>
      <c r="C91" s="884"/>
      <c r="D91" s="884"/>
      <c r="E91" s="884"/>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row>
    <row r="92" spans="1:32" x14ac:dyDescent="0.3">
      <c r="A92" s="94"/>
      <c r="B92" s="94"/>
      <c r="C92" s="94"/>
      <c r="D92" s="94"/>
      <c r="E92" s="94"/>
      <c r="F92" s="94"/>
      <c r="G92" s="1754" t="s">
        <v>3533</v>
      </c>
      <c r="H92" s="1754"/>
      <c r="I92" s="1754"/>
      <c r="J92" s="1754"/>
      <c r="K92" s="1754"/>
      <c r="L92" s="1754"/>
      <c r="M92" s="1754"/>
      <c r="N92" s="1754"/>
      <c r="O92" s="1754"/>
      <c r="P92" s="1754"/>
      <c r="Q92" s="94"/>
      <c r="R92" s="94"/>
      <c r="S92" s="94"/>
      <c r="T92" s="94"/>
      <c r="U92" s="94"/>
      <c r="V92" s="94"/>
      <c r="W92" s="94"/>
      <c r="X92" s="94"/>
      <c r="Y92" s="94"/>
      <c r="Z92" s="94"/>
      <c r="AA92" s="94"/>
      <c r="AB92" s="94"/>
      <c r="AC92" s="94"/>
      <c r="AD92" s="94"/>
      <c r="AE92" s="94"/>
      <c r="AF92" s="94"/>
    </row>
    <row r="93" spans="1:32"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ht="68.25" customHeight="1" x14ac:dyDescent="0.3">
      <c r="A94" s="59"/>
      <c r="B94" s="889" t="s">
        <v>3484</v>
      </c>
      <c r="C94" s="889"/>
      <c r="D94" s="889"/>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c r="AE94" s="889"/>
      <c r="AF94" s="889"/>
    </row>
    <row r="95" spans="1:32" x14ac:dyDescent="0.3">
      <c r="A95" s="59"/>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x14ac:dyDescent="0.3">
      <c r="A96" s="59"/>
      <c r="B96" s="57" t="s">
        <v>3485</v>
      </c>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row>
    <row r="97" spans="1:32" x14ac:dyDescent="0.3">
      <c r="A97" s="59"/>
      <c r="B97" s="1106" t="s">
        <v>46</v>
      </c>
      <c r="C97" s="1107"/>
      <c r="D97" s="1107"/>
      <c r="E97" s="1107"/>
      <c r="F97" s="1107"/>
      <c r="G97" s="1107"/>
      <c r="H97" s="1107"/>
      <c r="I97" s="1107"/>
      <c r="J97" s="1107"/>
      <c r="K97" s="1108"/>
      <c r="L97" s="1493" t="s">
        <v>235</v>
      </c>
      <c r="M97" s="1493"/>
      <c r="N97" s="1493"/>
      <c r="O97" s="1493"/>
      <c r="P97" s="1493"/>
      <c r="Q97" s="1493"/>
      <c r="R97" s="1493"/>
      <c r="S97" s="1493"/>
      <c r="T97" s="1493"/>
      <c r="U97" s="1493" t="s">
        <v>21</v>
      </c>
      <c r="V97" s="1493"/>
      <c r="W97" s="1493"/>
      <c r="X97" s="1493"/>
      <c r="Y97" s="1493"/>
      <c r="Z97" s="1493"/>
      <c r="AA97" s="1493"/>
      <c r="AB97" s="1493"/>
      <c r="AC97" s="1493"/>
      <c r="AD97" s="59"/>
      <c r="AE97" s="59"/>
      <c r="AF97" s="59"/>
    </row>
    <row r="98" spans="1:32" x14ac:dyDescent="0.3">
      <c r="A98" s="59"/>
      <c r="B98" s="1677" t="s">
        <v>1796</v>
      </c>
      <c r="C98" s="1339"/>
      <c r="D98" s="1339"/>
      <c r="E98" s="1339"/>
      <c r="F98" s="1339"/>
      <c r="G98" s="1339"/>
      <c r="H98" s="1339"/>
      <c r="I98" s="1339"/>
      <c r="J98" s="1339"/>
      <c r="K98" s="1340"/>
      <c r="L98" s="1675" t="s">
        <v>3486</v>
      </c>
      <c r="M98" s="1675"/>
      <c r="N98" s="1675"/>
      <c r="O98" s="1675"/>
      <c r="P98" s="1675"/>
      <c r="Q98" s="1675"/>
      <c r="R98" s="1675"/>
      <c r="S98" s="1675"/>
      <c r="T98" s="1675"/>
      <c r="U98" s="1676" t="s">
        <v>3486</v>
      </c>
      <c r="V98" s="1676"/>
      <c r="W98" s="1676"/>
      <c r="X98" s="1676"/>
      <c r="Y98" s="1676"/>
      <c r="Z98" s="1676"/>
      <c r="AA98" s="1676"/>
      <c r="AB98" s="1676"/>
      <c r="AC98" s="1676"/>
      <c r="AD98" s="59"/>
      <c r="AE98" s="59"/>
      <c r="AF98" s="59"/>
    </row>
    <row r="99" spans="1:32" ht="15" customHeight="1" x14ac:dyDescent="0.3">
      <c r="A99" s="65"/>
      <c r="B99" s="1677" t="s">
        <v>211</v>
      </c>
      <c r="C99" s="1339"/>
      <c r="D99" s="1339"/>
      <c r="E99" s="1339"/>
      <c r="F99" s="1339"/>
      <c r="G99" s="1339"/>
      <c r="H99" s="1339"/>
      <c r="I99" s="1339"/>
      <c r="J99" s="1339"/>
      <c r="K99" s="1340"/>
      <c r="L99" s="1675" t="s">
        <v>3486</v>
      </c>
      <c r="M99" s="1675"/>
      <c r="N99" s="1675"/>
      <c r="O99" s="1675"/>
      <c r="P99" s="1675"/>
      <c r="Q99" s="1675"/>
      <c r="R99" s="1675"/>
      <c r="S99" s="1675"/>
      <c r="T99" s="1675"/>
      <c r="U99" s="1676" t="s">
        <v>3486</v>
      </c>
      <c r="V99" s="1676"/>
      <c r="W99" s="1676"/>
      <c r="X99" s="1676"/>
      <c r="Y99" s="1676"/>
      <c r="Z99" s="1676"/>
      <c r="AA99" s="1676"/>
      <c r="AB99" s="1676"/>
      <c r="AC99" s="1676"/>
      <c r="AD99" s="59"/>
      <c r="AE99" s="59"/>
      <c r="AF99" s="59"/>
    </row>
    <row r="100" spans="1:32" x14ac:dyDescent="0.3">
      <c r="A100" s="59"/>
      <c r="B100" s="1677" t="s">
        <v>212</v>
      </c>
      <c r="C100" s="1339"/>
      <c r="D100" s="1339"/>
      <c r="E100" s="1339"/>
      <c r="F100" s="1339"/>
      <c r="G100" s="1339"/>
      <c r="H100" s="1339"/>
      <c r="I100" s="1339"/>
      <c r="J100" s="1339"/>
      <c r="K100" s="1340"/>
      <c r="L100" s="1675">
        <f>'EFLH &amp; CF'!I55</f>
        <v>2549</v>
      </c>
      <c r="M100" s="1675"/>
      <c r="N100" s="1675"/>
      <c r="O100" s="1675"/>
      <c r="P100" s="1675"/>
      <c r="Q100" s="1675"/>
      <c r="R100" s="1675"/>
      <c r="S100" s="1675"/>
      <c r="T100" s="1675"/>
      <c r="U100" s="1676">
        <f>'EFLH &amp; CF'!M55</f>
        <v>0.43</v>
      </c>
      <c r="V100" s="1676"/>
      <c r="W100" s="1676"/>
      <c r="X100" s="1676"/>
      <c r="Y100" s="1676"/>
      <c r="Z100" s="1676"/>
      <c r="AA100" s="1676"/>
      <c r="AB100" s="1676"/>
      <c r="AC100" s="1676"/>
      <c r="AD100" s="59"/>
      <c r="AE100" s="59"/>
      <c r="AF100" s="59"/>
    </row>
    <row r="101" spans="1:32" x14ac:dyDescent="0.3">
      <c r="A101" s="59"/>
      <c r="B101" s="1677" t="s">
        <v>213</v>
      </c>
      <c r="C101" s="1339"/>
      <c r="D101" s="1339"/>
      <c r="E101" s="1339"/>
      <c r="F101" s="1339"/>
      <c r="G101" s="1339"/>
      <c r="H101" s="1339"/>
      <c r="I101" s="1339"/>
      <c r="J101" s="1339"/>
      <c r="K101" s="1340"/>
      <c r="L101" s="1675">
        <f>'EFLH &amp; CF'!I56</f>
        <v>1531</v>
      </c>
      <c r="M101" s="1675"/>
      <c r="N101" s="1675"/>
      <c r="O101" s="1675"/>
      <c r="P101" s="1675"/>
      <c r="Q101" s="1675"/>
      <c r="R101" s="1675"/>
      <c r="S101" s="1675"/>
      <c r="T101" s="1675"/>
      <c r="U101" s="1676">
        <f>'EFLH &amp; CF'!M56</f>
        <v>0.27</v>
      </c>
      <c r="V101" s="1676"/>
      <c r="W101" s="1676"/>
      <c r="X101" s="1676"/>
      <c r="Y101" s="1676"/>
      <c r="Z101" s="1676"/>
      <c r="AA101" s="1676"/>
      <c r="AB101" s="1676"/>
      <c r="AC101" s="1676"/>
      <c r="AD101" s="59"/>
      <c r="AE101" s="59"/>
      <c r="AF101" s="59"/>
    </row>
    <row r="102" spans="1:32" ht="15" customHeight="1" x14ac:dyDescent="0.3">
      <c r="A102" s="59"/>
      <c r="B102" s="1677" t="s">
        <v>214</v>
      </c>
      <c r="C102" s="1339"/>
      <c r="D102" s="1339"/>
      <c r="E102" s="1339"/>
      <c r="F102" s="1339"/>
      <c r="G102" s="1339"/>
      <c r="H102" s="1339"/>
      <c r="I102" s="1339"/>
      <c r="J102" s="1339"/>
      <c r="K102" s="1340"/>
      <c r="L102" s="1675" t="s">
        <v>3486</v>
      </c>
      <c r="M102" s="1675"/>
      <c r="N102" s="1675"/>
      <c r="O102" s="1675"/>
      <c r="P102" s="1675"/>
      <c r="Q102" s="1675"/>
      <c r="R102" s="1675"/>
      <c r="S102" s="1675"/>
      <c r="T102" s="1675"/>
      <c r="U102" s="1676" t="s">
        <v>3486</v>
      </c>
      <c r="V102" s="1676"/>
      <c r="W102" s="1676"/>
      <c r="X102" s="1676"/>
      <c r="Y102" s="1676"/>
      <c r="Z102" s="1676"/>
      <c r="AA102" s="1676"/>
      <c r="AB102" s="1676"/>
      <c r="AC102" s="1676"/>
      <c r="AD102" s="59"/>
      <c r="AE102" s="59"/>
      <c r="AF102" s="59"/>
    </row>
    <row r="103" spans="1:32" x14ac:dyDescent="0.3">
      <c r="A103" s="59"/>
      <c r="B103" s="1677" t="s">
        <v>215</v>
      </c>
      <c r="C103" s="1339"/>
      <c r="D103" s="1339"/>
      <c r="E103" s="1339"/>
      <c r="F103" s="1339"/>
      <c r="G103" s="1339"/>
      <c r="H103" s="1339"/>
      <c r="I103" s="1339"/>
      <c r="J103" s="1339"/>
      <c r="K103" s="1340"/>
      <c r="L103" s="1675">
        <f>'EFLH &amp; CF'!I58</f>
        <v>4910</v>
      </c>
      <c r="M103" s="1675"/>
      <c r="N103" s="1675"/>
      <c r="O103" s="1675"/>
      <c r="P103" s="1675"/>
      <c r="Q103" s="1675"/>
      <c r="R103" s="1675"/>
      <c r="S103" s="1675"/>
      <c r="T103" s="1675"/>
      <c r="U103" s="1676">
        <f>'EFLH &amp; CF'!M58</f>
        <v>0.6</v>
      </c>
      <c r="V103" s="1676"/>
      <c r="W103" s="1676"/>
      <c r="X103" s="1676"/>
      <c r="Y103" s="1676"/>
      <c r="Z103" s="1676"/>
      <c r="AA103" s="1676"/>
      <c r="AB103" s="1676"/>
      <c r="AC103" s="1676"/>
      <c r="AD103" s="59"/>
      <c r="AE103" s="59"/>
      <c r="AF103" s="59"/>
    </row>
    <row r="104" spans="1:32" ht="15" customHeight="1" x14ac:dyDescent="0.3">
      <c r="A104" s="65"/>
      <c r="B104" s="1677" t="s">
        <v>216</v>
      </c>
      <c r="C104" s="1339"/>
      <c r="D104" s="1339"/>
      <c r="E104" s="1339"/>
      <c r="F104" s="1339"/>
      <c r="G104" s="1339"/>
      <c r="H104" s="1339"/>
      <c r="I104" s="1339"/>
      <c r="J104" s="1339"/>
      <c r="K104" s="1340"/>
      <c r="L104" s="1675" t="s">
        <v>3486</v>
      </c>
      <c r="M104" s="1675"/>
      <c r="N104" s="1675"/>
      <c r="O104" s="1675"/>
      <c r="P104" s="1675"/>
      <c r="Q104" s="1675"/>
      <c r="R104" s="1675"/>
      <c r="S104" s="1675"/>
      <c r="T104" s="1675"/>
      <c r="U104" s="1676" t="s">
        <v>3486</v>
      </c>
      <c r="V104" s="1676"/>
      <c r="W104" s="1676"/>
      <c r="X104" s="1676"/>
      <c r="Y104" s="1676"/>
      <c r="Z104" s="1676"/>
      <c r="AA104" s="1676"/>
      <c r="AB104" s="1676"/>
      <c r="AC104" s="1676"/>
      <c r="AD104" s="59"/>
      <c r="AE104" s="59"/>
      <c r="AF104" s="59"/>
    </row>
    <row r="105" spans="1:32" x14ac:dyDescent="0.3">
      <c r="A105" s="59"/>
      <c r="B105" s="1677" t="s">
        <v>47</v>
      </c>
      <c r="C105" s="1339"/>
      <c r="D105" s="1339"/>
      <c r="E105" s="1339"/>
      <c r="F105" s="1339"/>
      <c r="G105" s="1339"/>
      <c r="H105" s="1339"/>
      <c r="I105" s="1339"/>
      <c r="J105" s="1339"/>
      <c r="K105" s="1340"/>
      <c r="L105" s="1675">
        <f>'EFLH &amp; CF'!I60</f>
        <v>2754</v>
      </c>
      <c r="M105" s="1675"/>
      <c r="N105" s="1675"/>
      <c r="O105" s="1675"/>
      <c r="P105" s="1675"/>
      <c r="Q105" s="1675"/>
      <c r="R105" s="1675"/>
      <c r="S105" s="1675"/>
      <c r="T105" s="1675"/>
      <c r="U105" s="1676">
        <f>'EFLH &amp; CF'!M60</f>
        <v>0.48</v>
      </c>
      <c r="V105" s="1676"/>
      <c r="W105" s="1676"/>
      <c r="X105" s="1676"/>
      <c r="Y105" s="1676"/>
      <c r="Z105" s="1676"/>
      <c r="AA105" s="1676"/>
      <c r="AB105" s="1676"/>
      <c r="AC105" s="1676"/>
      <c r="AD105" s="59"/>
      <c r="AE105" s="59"/>
      <c r="AF105" s="59"/>
    </row>
    <row r="106" spans="1:32" x14ac:dyDescent="0.3">
      <c r="A106" s="59"/>
      <c r="B106" s="1677" t="s">
        <v>217</v>
      </c>
      <c r="C106" s="1339"/>
      <c r="D106" s="1339"/>
      <c r="E106" s="1339"/>
      <c r="F106" s="1339"/>
      <c r="G106" s="1339"/>
      <c r="H106" s="1339"/>
      <c r="I106" s="1339"/>
      <c r="J106" s="1339"/>
      <c r="K106" s="1340"/>
      <c r="L106" s="1675">
        <f>'EFLH &amp; CF'!I61</f>
        <v>2451</v>
      </c>
      <c r="M106" s="1675"/>
      <c r="N106" s="1675"/>
      <c r="O106" s="1675"/>
      <c r="P106" s="1675"/>
      <c r="Q106" s="1675"/>
      <c r="R106" s="1675"/>
      <c r="S106" s="1675"/>
      <c r="T106" s="1675"/>
      <c r="U106" s="1676">
        <f>'EFLH &amp; CF'!M61</f>
        <v>0.4</v>
      </c>
      <c r="V106" s="1676"/>
      <c r="W106" s="1676"/>
      <c r="X106" s="1676"/>
      <c r="Y106" s="1676"/>
      <c r="Z106" s="1676"/>
      <c r="AA106" s="1676"/>
      <c r="AB106" s="1676"/>
      <c r="AC106" s="1676"/>
      <c r="AD106" s="59"/>
      <c r="AE106" s="59"/>
      <c r="AF106" s="59"/>
    </row>
    <row r="107" spans="1:32" x14ac:dyDescent="0.3">
      <c r="A107" s="59"/>
      <c r="B107" s="1677" t="s">
        <v>218</v>
      </c>
      <c r="C107" s="1339"/>
      <c r="D107" s="1339"/>
      <c r="E107" s="1339"/>
      <c r="F107" s="1339"/>
      <c r="G107" s="1339"/>
      <c r="H107" s="1339"/>
      <c r="I107" s="1339"/>
      <c r="J107" s="1339"/>
      <c r="K107" s="1340"/>
      <c r="L107" s="1675">
        <f>'EFLH &amp; CF'!I62</f>
        <v>1913</v>
      </c>
      <c r="M107" s="1675"/>
      <c r="N107" s="1675"/>
      <c r="O107" s="1675"/>
      <c r="P107" s="1675"/>
      <c r="Q107" s="1675"/>
      <c r="R107" s="1675"/>
      <c r="S107" s="1675"/>
      <c r="T107" s="1675"/>
      <c r="U107" s="1676">
        <f>'EFLH &amp; CF'!M62</f>
        <v>0.28999999999999998</v>
      </c>
      <c r="V107" s="1676"/>
      <c r="W107" s="1676"/>
      <c r="X107" s="1676"/>
      <c r="Y107" s="1676"/>
      <c r="Z107" s="1676"/>
      <c r="AA107" s="1676"/>
      <c r="AB107" s="1676"/>
      <c r="AC107" s="1676"/>
      <c r="AD107" s="59"/>
      <c r="AE107" s="59"/>
      <c r="AF107" s="59"/>
    </row>
    <row r="108" spans="1:32" ht="15" customHeight="1" x14ac:dyDescent="0.3">
      <c r="A108" s="65"/>
      <c r="B108" s="1677" t="s">
        <v>219</v>
      </c>
      <c r="C108" s="1339"/>
      <c r="D108" s="1339"/>
      <c r="E108" s="1339"/>
      <c r="F108" s="1339"/>
      <c r="G108" s="1339"/>
      <c r="H108" s="1339"/>
      <c r="I108" s="1339"/>
      <c r="J108" s="1339"/>
      <c r="K108" s="1340"/>
      <c r="L108" s="1675" t="s">
        <v>3486</v>
      </c>
      <c r="M108" s="1675"/>
      <c r="N108" s="1675"/>
      <c r="O108" s="1675"/>
      <c r="P108" s="1675"/>
      <c r="Q108" s="1675"/>
      <c r="R108" s="1675"/>
      <c r="S108" s="1675"/>
      <c r="T108" s="1675"/>
      <c r="U108" s="1676" t="s">
        <v>3486</v>
      </c>
      <c r="V108" s="1676"/>
      <c r="W108" s="1676"/>
      <c r="X108" s="1676"/>
      <c r="Y108" s="1676"/>
      <c r="Z108" s="1676"/>
      <c r="AA108" s="1676"/>
      <c r="AB108" s="1676"/>
      <c r="AC108" s="1676"/>
      <c r="AD108" s="59"/>
      <c r="AE108" s="59"/>
      <c r="AF108" s="59"/>
    </row>
    <row r="109" spans="1:32" x14ac:dyDescent="0.3">
      <c r="A109" s="65"/>
      <c r="B109" s="1355" t="s">
        <v>3487</v>
      </c>
      <c r="C109" s="1355"/>
      <c r="D109" s="1355"/>
      <c r="E109" s="1355"/>
      <c r="F109" s="1355"/>
      <c r="G109" s="1355"/>
      <c r="H109" s="1355"/>
      <c r="I109" s="1355"/>
      <c r="J109" s="1355"/>
      <c r="K109" s="1355"/>
      <c r="L109" s="1355"/>
      <c r="M109" s="1355"/>
      <c r="N109" s="1355"/>
      <c r="O109" s="1355"/>
      <c r="P109" s="1355"/>
      <c r="Q109" s="1355"/>
      <c r="R109" s="1355"/>
      <c r="S109" s="1355"/>
      <c r="T109" s="1355"/>
      <c r="U109" s="1355"/>
      <c r="V109" s="1355"/>
      <c r="W109" s="1355"/>
      <c r="X109" s="1355"/>
      <c r="Y109" s="1355"/>
      <c r="Z109" s="1355"/>
      <c r="AA109" s="1355"/>
      <c r="AB109" s="1355"/>
      <c r="AC109" s="1355"/>
      <c r="AD109" s="1355"/>
      <c r="AE109" s="1355"/>
      <c r="AF109" s="1355"/>
    </row>
    <row r="111" spans="1:32" x14ac:dyDescent="0.3">
      <c r="A111" s="1290" t="s">
        <v>1514</v>
      </c>
      <c r="B111" s="1290"/>
      <c r="C111" s="1290"/>
      <c r="D111" s="1290"/>
      <c r="E111" s="1290"/>
      <c r="F111" s="1290"/>
      <c r="G111" s="1290"/>
      <c r="H111" s="1290"/>
      <c r="I111" s="1290"/>
      <c r="J111" s="1290"/>
      <c r="K111" s="1290"/>
      <c r="L111" s="1290"/>
      <c r="M111" s="1290"/>
      <c r="N111" s="1290"/>
      <c r="O111" s="1290"/>
      <c r="P111" s="1290"/>
      <c r="Q111" s="1290"/>
      <c r="R111" s="1290"/>
      <c r="S111" s="1290"/>
      <c r="T111" s="1290"/>
      <c r="U111" s="1290"/>
      <c r="V111" s="1290"/>
      <c r="W111" s="1290"/>
      <c r="X111" s="1290"/>
      <c r="Y111" s="1290"/>
      <c r="Z111" s="1290"/>
      <c r="AA111" s="1290"/>
      <c r="AB111" s="1290"/>
      <c r="AC111" s="1290"/>
      <c r="AD111" s="1290"/>
      <c r="AE111" s="1290"/>
      <c r="AF111" s="1290"/>
    </row>
    <row r="112" spans="1:32" x14ac:dyDescent="0.3">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row>
    <row r="113" spans="1:32" ht="63" customHeight="1" x14ac:dyDescent="0.3">
      <c r="A113" s="370" t="s">
        <v>803</v>
      </c>
      <c r="B113" s="884" t="s">
        <v>3488</v>
      </c>
      <c r="C113" s="884"/>
      <c r="D113" s="884"/>
      <c r="E113" s="884"/>
      <c r="F113" s="884"/>
      <c r="G113" s="884"/>
      <c r="H113" s="884"/>
      <c r="I113" s="884"/>
      <c r="J113" s="884"/>
      <c r="K113" s="884"/>
      <c r="L113" s="884"/>
      <c r="M113" s="884"/>
      <c r="N113" s="884"/>
      <c r="O113" s="884"/>
      <c r="P113" s="884"/>
      <c r="Q113" s="884"/>
      <c r="R113" s="884"/>
      <c r="S113" s="884"/>
      <c r="T113" s="884"/>
      <c r="U113" s="884"/>
      <c r="V113" s="884"/>
      <c r="W113" s="884"/>
      <c r="X113" s="884"/>
      <c r="Y113" s="884"/>
      <c r="Z113" s="884"/>
      <c r="AA113" s="884"/>
      <c r="AB113" s="884"/>
      <c r="AC113" s="884"/>
      <c r="AD113" s="884"/>
      <c r="AE113" s="884"/>
      <c r="AF113" s="884"/>
    </row>
    <row r="114" spans="1:32" ht="48" customHeight="1" x14ac:dyDescent="0.3">
      <c r="A114" s="368" t="s">
        <v>803</v>
      </c>
      <c r="B114" s="889" t="s">
        <v>1913</v>
      </c>
      <c r="C114" s="889"/>
      <c r="D114" s="889"/>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c r="AE114" s="889"/>
      <c r="AF114" s="889"/>
    </row>
    <row r="115" spans="1:32" ht="65.25" customHeight="1" x14ac:dyDescent="0.3">
      <c r="A115" s="368" t="s">
        <v>803</v>
      </c>
      <c r="B115" s="953" t="s">
        <v>3368</v>
      </c>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row>
    <row r="116" spans="1:32" ht="33" customHeight="1" x14ac:dyDescent="0.3">
      <c r="A116" s="370" t="s">
        <v>803</v>
      </c>
      <c r="B116" s="884" t="s">
        <v>3489</v>
      </c>
      <c r="C116" s="884"/>
      <c r="D116" s="884"/>
      <c r="E116" s="884"/>
      <c r="F116" s="884"/>
      <c r="G116" s="884"/>
      <c r="H116" s="884"/>
      <c r="I116" s="884"/>
      <c r="J116" s="884"/>
      <c r="K116" s="884"/>
      <c r="L116" s="884"/>
      <c r="M116" s="884"/>
      <c r="N116" s="884"/>
      <c r="O116" s="884"/>
      <c r="P116" s="884"/>
      <c r="Q116" s="884"/>
      <c r="R116" s="884"/>
      <c r="S116" s="884"/>
      <c r="T116" s="884"/>
      <c r="U116" s="884"/>
      <c r="V116" s="884"/>
      <c r="W116" s="884"/>
      <c r="X116" s="884"/>
      <c r="Y116" s="884"/>
      <c r="Z116" s="884"/>
      <c r="AA116" s="884"/>
      <c r="AB116" s="884"/>
      <c r="AC116" s="884"/>
      <c r="AD116" s="884"/>
      <c r="AE116" s="884"/>
      <c r="AF116" s="884"/>
    </row>
    <row r="117" spans="1:32" ht="51" customHeight="1" x14ac:dyDescent="0.3">
      <c r="A117" s="370" t="s">
        <v>803</v>
      </c>
      <c r="B117" s="884" t="s">
        <v>3414</v>
      </c>
      <c r="C117" s="884"/>
      <c r="D117" s="884"/>
      <c r="E117" s="884"/>
      <c r="F117" s="884"/>
      <c r="G117" s="884"/>
      <c r="H117" s="884"/>
      <c r="I117" s="884"/>
      <c r="J117" s="884"/>
      <c r="K117" s="884"/>
      <c r="L117" s="884"/>
      <c r="M117" s="884"/>
      <c r="N117" s="884"/>
      <c r="O117" s="884"/>
      <c r="P117" s="884"/>
      <c r="Q117" s="884"/>
      <c r="R117" s="884"/>
      <c r="S117" s="884"/>
      <c r="T117" s="884"/>
      <c r="U117" s="884"/>
      <c r="V117" s="884"/>
      <c r="W117" s="884"/>
      <c r="X117" s="884"/>
      <c r="Y117" s="884"/>
      <c r="Z117" s="884"/>
      <c r="AA117" s="884"/>
      <c r="AB117" s="884"/>
      <c r="AC117" s="884"/>
      <c r="AD117" s="884"/>
      <c r="AE117" s="884"/>
      <c r="AF117" s="884"/>
    </row>
    <row r="118" spans="1:32" ht="34.5" customHeight="1" x14ac:dyDescent="0.3">
      <c r="A118" s="370" t="s">
        <v>803</v>
      </c>
      <c r="B118" s="884" t="s">
        <v>3369</v>
      </c>
      <c r="C118" s="884"/>
      <c r="D118" s="884"/>
      <c r="E118" s="884"/>
      <c r="F118" s="884"/>
      <c r="G118" s="884"/>
      <c r="H118" s="884"/>
      <c r="I118" s="884"/>
      <c r="J118" s="884"/>
      <c r="K118" s="884"/>
      <c r="L118" s="884"/>
      <c r="M118" s="884"/>
      <c r="N118" s="884"/>
      <c r="O118" s="884"/>
      <c r="P118" s="884"/>
      <c r="Q118" s="884"/>
      <c r="R118" s="884"/>
      <c r="S118" s="884"/>
      <c r="T118" s="884"/>
      <c r="U118" s="884"/>
      <c r="V118" s="884"/>
      <c r="W118" s="884"/>
      <c r="X118" s="884"/>
      <c r="Y118" s="884"/>
      <c r="Z118" s="884"/>
      <c r="AA118" s="884"/>
      <c r="AB118" s="884"/>
      <c r="AC118" s="884"/>
      <c r="AD118" s="884"/>
      <c r="AE118" s="884"/>
      <c r="AF118" s="884"/>
    </row>
    <row r="119" spans="1:32" ht="34.5" customHeight="1" x14ac:dyDescent="0.3">
      <c r="A119" s="370" t="s">
        <v>803</v>
      </c>
      <c r="B119" s="884" t="s">
        <v>3490</v>
      </c>
      <c r="C119" s="884"/>
      <c r="D119" s="884"/>
      <c r="E119" s="884"/>
      <c r="F119" s="884"/>
      <c r="G119" s="884"/>
      <c r="H119" s="884"/>
      <c r="I119" s="884"/>
      <c r="J119" s="884"/>
      <c r="K119" s="884"/>
      <c r="L119" s="884"/>
      <c r="M119" s="884"/>
      <c r="N119" s="884"/>
      <c r="O119" s="884"/>
      <c r="P119" s="884"/>
      <c r="Q119" s="884"/>
      <c r="R119" s="884"/>
      <c r="S119" s="884"/>
      <c r="T119" s="884"/>
      <c r="U119" s="884"/>
      <c r="V119" s="884"/>
      <c r="W119" s="884"/>
      <c r="X119" s="884"/>
      <c r="Y119" s="884"/>
      <c r="Z119" s="884"/>
      <c r="AA119" s="884"/>
      <c r="AB119" s="884"/>
      <c r="AC119" s="884"/>
      <c r="AD119" s="884"/>
      <c r="AE119" s="884"/>
      <c r="AF119" s="884"/>
    </row>
    <row r="120" spans="1:32" ht="75.75" customHeight="1" x14ac:dyDescent="0.3">
      <c r="A120" s="368" t="s">
        <v>803</v>
      </c>
      <c r="B120" s="889" t="s">
        <v>3491</v>
      </c>
      <c r="C120" s="889"/>
      <c r="D120" s="889"/>
      <c r="E120" s="889"/>
      <c r="F120" s="88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row>
    <row r="121" spans="1:32" ht="64.5" customHeight="1" x14ac:dyDescent="0.3">
      <c r="A121" s="370" t="s">
        <v>803</v>
      </c>
      <c r="B121" s="884" t="s">
        <v>2717</v>
      </c>
      <c r="C121" s="884"/>
      <c r="D121" s="884"/>
      <c r="E121" s="884"/>
      <c r="F121" s="884"/>
      <c r="G121" s="884"/>
      <c r="H121" s="884"/>
      <c r="I121" s="884"/>
      <c r="J121" s="884"/>
      <c r="K121" s="884"/>
      <c r="L121" s="884"/>
      <c r="M121" s="884"/>
      <c r="N121" s="884"/>
      <c r="O121" s="884"/>
      <c r="P121" s="884"/>
      <c r="Q121" s="884"/>
      <c r="R121" s="884"/>
      <c r="S121" s="884"/>
      <c r="T121" s="884"/>
      <c r="U121" s="884"/>
      <c r="V121" s="884"/>
      <c r="W121" s="884"/>
      <c r="X121" s="884"/>
      <c r="Y121" s="884"/>
      <c r="Z121" s="884"/>
      <c r="AA121" s="884"/>
      <c r="AB121" s="884"/>
      <c r="AC121" s="884"/>
      <c r="AD121" s="884"/>
      <c r="AE121" s="884"/>
      <c r="AF121" s="884"/>
    </row>
    <row r="122" spans="1:32" x14ac:dyDescent="0.3">
      <c r="A122" s="370" t="s">
        <v>803</v>
      </c>
      <c r="B122" s="884" t="s">
        <v>3492</v>
      </c>
      <c r="C122" s="884"/>
      <c r="D122" s="884"/>
      <c r="E122" s="884"/>
      <c r="F122" s="884"/>
      <c r="G122" s="884"/>
      <c r="H122" s="884"/>
      <c r="I122" s="884"/>
      <c r="J122" s="884"/>
      <c r="K122" s="884"/>
      <c r="L122" s="884"/>
      <c r="M122" s="884"/>
      <c r="N122" s="884"/>
      <c r="O122" s="884"/>
      <c r="P122" s="884"/>
      <c r="Q122" s="884"/>
      <c r="R122" s="884"/>
      <c r="S122" s="884"/>
      <c r="T122" s="884"/>
      <c r="U122" s="884"/>
      <c r="V122" s="884"/>
      <c r="W122" s="884"/>
      <c r="X122" s="884"/>
      <c r="Y122" s="884"/>
      <c r="Z122" s="884"/>
      <c r="AA122" s="884"/>
      <c r="AB122" s="884"/>
      <c r="AC122" s="884"/>
      <c r="AD122" s="884"/>
      <c r="AE122" s="884"/>
      <c r="AF122" s="884"/>
    </row>
    <row r="123" spans="1:32" ht="30.75" customHeight="1" x14ac:dyDescent="0.3">
      <c r="A123" s="370" t="s">
        <v>803</v>
      </c>
      <c r="B123" s="884" t="s">
        <v>3493</v>
      </c>
      <c r="C123" s="884"/>
      <c r="D123" s="884"/>
      <c r="E123" s="884"/>
      <c r="F123" s="884"/>
      <c r="G123" s="884"/>
      <c r="H123" s="884"/>
      <c r="I123" s="884"/>
      <c r="J123" s="884"/>
      <c r="K123" s="884"/>
      <c r="L123" s="884"/>
      <c r="M123" s="884"/>
      <c r="N123" s="884"/>
      <c r="O123" s="884"/>
      <c r="P123" s="884"/>
      <c r="Q123" s="884"/>
      <c r="R123" s="884"/>
      <c r="S123" s="884"/>
      <c r="T123" s="884"/>
      <c r="U123" s="884"/>
      <c r="V123" s="884"/>
      <c r="W123" s="884"/>
      <c r="X123" s="884"/>
      <c r="Y123" s="884"/>
      <c r="Z123" s="884"/>
      <c r="AA123" s="884"/>
      <c r="AB123" s="884"/>
      <c r="AC123" s="884"/>
      <c r="AD123" s="884"/>
      <c r="AE123" s="884"/>
      <c r="AF123" s="884"/>
    </row>
    <row r="124" spans="1:32" ht="35.25" customHeight="1" x14ac:dyDescent="0.3">
      <c r="A124" s="368" t="s">
        <v>803</v>
      </c>
      <c r="B124" s="889" t="s">
        <v>3494</v>
      </c>
      <c r="C124" s="889"/>
      <c r="D124" s="889"/>
      <c r="E124" s="889"/>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c r="AE124" s="889"/>
      <c r="AF124" s="889"/>
    </row>
  </sheetData>
  <sheetProtection algorithmName="SHA-512" hashValue="q0PWM3EMBmqyDyj94MlW9ZQm5rXKt732LgyT6bYgtz+Hczv0mopaEtQ8ZAkYZEZl2x9py87++fAnF4OSZwFEgg==" saltValue="RV7vmG7x7BP9P+7JNfzoJQ==" spinCount="100000" sheet="1" objects="1" scenarios="1"/>
  <mergeCells count="204">
    <mergeCell ref="B120:AF120"/>
    <mergeCell ref="B121:AF121"/>
    <mergeCell ref="B122:AF122"/>
    <mergeCell ref="B123:AF123"/>
    <mergeCell ref="B124:AF124"/>
    <mergeCell ref="G92:P92"/>
    <mergeCell ref="B114:AF114"/>
    <mergeCell ref="B115:AF115"/>
    <mergeCell ref="B116:AF116"/>
    <mergeCell ref="B117:AF117"/>
    <mergeCell ref="B118:AF118"/>
    <mergeCell ref="B119:AF119"/>
    <mergeCell ref="B108:K108"/>
    <mergeCell ref="L108:T108"/>
    <mergeCell ref="U108:AC108"/>
    <mergeCell ref="B109:AF109"/>
    <mergeCell ref="A111:AF111"/>
    <mergeCell ref="B113:AF113"/>
    <mergeCell ref="B106:K106"/>
    <mergeCell ref="L106:T106"/>
    <mergeCell ref="U106:AC106"/>
    <mergeCell ref="B107:K107"/>
    <mergeCell ref="L107:T107"/>
    <mergeCell ref="U107:AC107"/>
    <mergeCell ref="B104:K104"/>
    <mergeCell ref="L104:T104"/>
    <mergeCell ref="U104:AC104"/>
    <mergeCell ref="B105:K105"/>
    <mergeCell ref="L105:T105"/>
    <mergeCell ref="U105:AC105"/>
    <mergeCell ref="B102:K102"/>
    <mergeCell ref="L102:T102"/>
    <mergeCell ref="U102:AC102"/>
    <mergeCell ref="B103:K103"/>
    <mergeCell ref="L103:T103"/>
    <mergeCell ref="U103:AC103"/>
    <mergeCell ref="B100:K100"/>
    <mergeCell ref="L100:T100"/>
    <mergeCell ref="U100:AC100"/>
    <mergeCell ref="B101:K101"/>
    <mergeCell ref="L101:T101"/>
    <mergeCell ref="U101:AC101"/>
    <mergeCell ref="B98:K98"/>
    <mergeCell ref="L98:T98"/>
    <mergeCell ref="U98:AC98"/>
    <mergeCell ref="B99:K99"/>
    <mergeCell ref="L99:T99"/>
    <mergeCell ref="U99:AC99"/>
    <mergeCell ref="A86:AF86"/>
    <mergeCell ref="A87:AF87"/>
    <mergeCell ref="A89:AF89"/>
    <mergeCell ref="B91:AF91"/>
    <mergeCell ref="B94:AF94"/>
    <mergeCell ref="B97:K97"/>
    <mergeCell ref="L97:T97"/>
    <mergeCell ref="U97:AC97"/>
    <mergeCell ref="A84:D84"/>
    <mergeCell ref="E84:P84"/>
    <mergeCell ref="Q84:T84"/>
    <mergeCell ref="U84:W84"/>
    <mergeCell ref="X84:AF84"/>
    <mergeCell ref="A85:AF85"/>
    <mergeCell ref="A82:D82"/>
    <mergeCell ref="E82:P82"/>
    <mergeCell ref="Q82:T82"/>
    <mergeCell ref="U82:W82"/>
    <mergeCell ref="X82:AF82"/>
    <mergeCell ref="A83:D83"/>
    <mergeCell ref="E83:P83"/>
    <mergeCell ref="Q83:T83"/>
    <mergeCell ref="U83:W83"/>
    <mergeCell ref="X83:AF83"/>
    <mergeCell ref="A80:D80"/>
    <mergeCell ref="E80:P80"/>
    <mergeCell ref="Q80:T80"/>
    <mergeCell ref="U80:W80"/>
    <mergeCell ref="X80:AF80"/>
    <mergeCell ref="A81:D81"/>
    <mergeCell ref="E81:P81"/>
    <mergeCell ref="Q81:T81"/>
    <mergeCell ref="U81:W81"/>
    <mergeCell ref="X81:AF81"/>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77:D77"/>
    <mergeCell ref="E77:P77"/>
    <mergeCell ref="Q77:T77"/>
    <mergeCell ref="U77:W77"/>
    <mergeCell ref="X77:AF77"/>
    <mergeCell ref="A74:D74"/>
    <mergeCell ref="E74:P74"/>
    <mergeCell ref="Q74:T74"/>
    <mergeCell ref="U74:W74"/>
    <mergeCell ref="X74:AF74"/>
    <mergeCell ref="A75:D75"/>
    <mergeCell ref="E75:P75"/>
    <mergeCell ref="Q75:T75"/>
    <mergeCell ref="U75:W75"/>
    <mergeCell ref="X75:AF75"/>
    <mergeCell ref="A72:D72"/>
    <mergeCell ref="E72:P72"/>
    <mergeCell ref="Q72:T72"/>
    <mergeCell ref="U72:W72"/>
    <mergeCell ref="X72:AF72"/>
    <mergeCell ref="A73:D73"/>
    <mergeCell ref="E73:P73"/>
    <mergeCell ref="Q73:T73"/>
    <mergeCell ref="U73:W73"/>
    <mergeCell ref="X73:AF73"/>
    <mergeCell ref="A56:H56"/>
    <mergeCell ref="A60:H60"/>
    <mergeCell ref="A64:H64"/>
    <mergeCell ref="A68:H68"/>
    <mergeCell ref="A70:AF70"/>
    <mergeCell ref="A71:D71"/>
    <mergeCell ref="E71:P71"/>
    <mergeCell ref="Q71:T71"/>
    <mergeCell ref="U71:W71"/>
    <mergeCell ref="X71:AF71"/>
    <mergeCell ref="B40:AF40"/>
    <mergeCell ref="B41:AF41"/>
    <mergeCell ref="A44:AF44"/>
    <mergeCell ref="A48:H48"/>
    <mergeCell ref="A52:H52"/>
    <mergeCell ref="AD37:AF37"/>
    <mergeCell ref="B38:H38"/>
    <mergeCell ref="I38:K38"/>
    <mergeCell ref="L38:N38"/>
    <mergeCell ref="O38:Q38"/>
    <mergeCell ref="R38:T38"/>
    <mergeCell ref="U38:W38"/>
    <mergeCell ref="X38:Z38"/>
    <mergeCell ref="AA38:AC38"/>
    <mergeCell ref="AD38:AF38"/>
    <mergeCell ref="B37:H37"/>
    <mergeCell ref="I37:K37"/>
    <mergeCell ref="L37:N37"/>
    <mergeCell ref="O37:Q37"/>
    <mergeCell ref="R37:T37"/>
    <mergeCell ref="U37:W37"/>
    <mergeCell ref="X37:Z37"/>
    <mergeCell ref="AA37:AC37"/>
    <mergeCell ref="B39:AF39"/>
    <mergeCell ref="X35:Z35"/>
    <mergeCell ref="AA35:AC35"/>
    <mergeCell ref="AD35:AF35"/>
    <mergeCell ref="B36:H36"/>
    <mergeCell ref="I36:K36"/>
    <mergeCell ref="L36:N36"/>
    <mergeCell ref="O36:Q36"/>
    <mergeCell ref="R36:T36"/>
    <mergeCell ref="U36:W36"/>
    <mergeCell ref="X36:Z36"/>
    <mergeCell ref="B35:H35"/>
    <mergeCell ref="I35:K35"/>
    <mergeCell ref="L35:N35"/>
    <mergeCell ref="O35:Q35"/>
    <mergeCell ref="R35:T35"/>
    <mergeCell ref="U35:W35"/>
    <mergeCell ref="AA36:AC36"/>
    <mergeCell ref="AD36:AF36"/>
    <mergeCell ref="O34:Q34"/>
    <mergeCell ref="R34:T34"/>
    <mergeCell ref="U34:W34"/>
    <mergeCell ref="X34:Z34"/>
    <mergeCell ref="AA34:AC34"/>
    <mergeCell ref="AD34:AF34"/>
    <mergeCell ref="B21:AF21"/>
    <mergeCell ref="B23:AF23"/>
    <mergeCell ref="B26:AF26"/>
    <mergeCell ref="B32:AF32"/>
    <mergeCell ref="B33:H34"/>
    <mergeCell ref="I33:N33"/>
    <mergeCell ref="O33:T33"/>
    <mergeCell ref="U33:AF33"/>
    <mergeCell ref="I34:K34"/>
    <mergeCell ref="L34:N34"/>
    <mergeCell ref="B30:AF30"/>
    <mergeCell ref="B28:AF2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2300-000000000000}"/>
    <hyperlink ref="G92:P92" location="C_HVAC_WindowAC_WKST!A1" display="(C_HVAC_WindowAC_WKST)" xr:uid="{00000000-0004-0000-2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68"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79998168889431442"/>
    <pageSetUpPr autoPageBreaks="0" fitToPage="1"/>
  </sheetPr>
  <dimension ref="A1:AD38"/>
  <sheetViews>
    <sheetView showGridLines="0" workbookViewId="0">
      <selection activeCell="B2" sqref="B2"/>
    </sheetView>
  </sheetViews>
  <sheetFormatPr defaultRowHeight="14.4" x14ac:dyDescent="0.3"/>
  <cols>
    <col min="1" max="1" width="2.6640625" customWidth="1"/>
    <col min="2" max="2" width="45.33203125" customWidth="1"/>
    <col min="3" max="3" width="40.44140625" bestFit="1" customWidth="1"/>
    <col min="4" max="4" width="20" bestFit="1" customWidth="1"/>
    <col min="5" max="5" width="20.44140625" customWidth="1"/>
    <col min="6" max="6" width="15.6640625" customWidth="1"/>
    <col min="7" max="7" width="18.109375" customWidth="1"/>
    <col min="8" max="8" width="18.44140625" customWidth="1"/>
    <col min="9" max="9" width="22.44140625" bestFit="1" customWidth="1"/>
    <col min="10" max="11" width="15.6640625" customWidth="1"/>
  </cols>
  <sheetData>
    <row r="1" spans="1:30" ht="24.6" customHeight="1" x14ac:dyDescent="0.3">
      <c r="A1" s="579" t="s">
        <v>3504</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row>
    <row r="2" spans="1:30" ht="18" x14ac:dyDescent="0.3">
      <c r="B2" s="228" t="s">
        <v>1456</v>
      </c>
      <c r="C2" s="145"/>
      <c r="D2" s="145"/>
      <c r="E2" s="145"/>
      <c r="F2" s="145"/>
      <c r="G2" s="145"/>
      <c r="H2" s="145"/>
    </row>
    <row r="3" spans="1:30" x14ac:dyDescent="0.3">
      <c r="B3" s="467" t="s">
        <v>1172</v>
      </c>
      <c r="E3" s="467" t="s">
        <v>1025</v>
      </c>
      <c r="I3" s="467" t="s">
        <v>1160</v>
      </c>
      <c r="J3" s="467"/>
    </row>
    <row r="5" spans="1:30" x14ac:dyDescent="0.3">
      <c r="B5" s="268" t="s">
        <v>3648</v>
      </c>
      <c r="C5" s="836" t="s">
        <v>1578</v>
      </c>
      <c r="D5" s="501"/>
    </row>
    <row r="6" spans="1:30" x14ac:dyDescent="0.3">
      <c r="B6" s="268" t="s">
        <v>3495</v>
      </c>
      <c r="C6" s="836" t="s">
        <v>218</v>
      </c>
      <c r="D6" s="443" t="str">
        <f>IF($J$7="NA","Building Type is Not Applicable","")</f>
        <v/>
      </c>
      <c r="I6" s="22"/>
    </row>
    <row r="7" spans="1:30" x14ac:dyDescent="0.3">
      <c r="B7" s="268" t="s">
        <v>1165</v>
      </c>
      <c r="C7" s="836" t="s">
        <v>3496</v>
      </c>
      <c r="E7" s="22" t="str">
        <f>"EER_"&amp;IF($C$5="Yes","EE_Min","EE_Base")</f>
        <v>EER_EE_Min</v>
      </c>
      <c r="F7" s="465">
        <f>INDEX($C$28:$F$35,MATCH($C$7,$B$28:$B$35,0),MATCH($E7,$C$27:$F$27,0))</f>
        <v>11.6</v>
      </c>
      <c r="G7" s="29" t="str">
        <f>IF(C9&gt;=F7,"Pass","Fail")</f>
        <v>Pass</v>
      </c>
      <c r="I7" s="22" t="s">
        <v>1024</v>
      </c>
      <c r="J7" s="29">
        <f>INDEX('C_HVAC_Window AC'!$U$98:$U$108,MATCH($C$6,'C_HVAC_Window AC'!$B$98:B108,0),1)</f>
        <v>0.28999999999999998</v>
      </c>
    </row>
    <row r="8" spans="1:30" x14ac:dyDescent="0.3">
      <c r="B8" s="268" t="s">
        <v>4646</v>
      </c>
      <c r="C8" s="835">
        <v>7000</v>
      </c>
      <c r="D8"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c r="E8" s="22" t="str">
        <f>"CEER_"&amp;IF($C$5="Yes","EE_Min","EE_Base")</f>
        <v>CEER_EE_Min</v>
      </c>
      <c r="F8" s="465">
        <f>INDEX($C$28:$F$35,MATCH($C$7,$B$28:$B$35,0),MATCH($E8,$C$27:$F$27,0))</f>
        <v>11.5</v>
      </c>
      <c r="G8" s="29" t="str">
        <f>IF(C10&gt;=F8,"Pass","Fail")</f>
        <v>Pass</v>
      </c>
      <c r="I8" s="22" t="s">
        <v>1023</v>
      </c>
      <c r="J8" s="474">
        <f>INDEX('C_HVAC_Window AC'!$L$98:$L$108,MATCH($C$6,'C_HVAC_Window AC'!$B$98:B108,0),1)</f>
        <v>1913</v>
      </c>
    </row>
    <row r="9" spans="1:30" ht="15.6" x14ac:dyDescent="0.3">
      <c r="B9" s="268" t="s">
        <v>3392</v>
      </c>
      <c r="C9" s="838">
        <v>14</v>
      </c>
      <c r="E9" s="499" t="s">
        <v>3465</v>
      </c>
      <c r="F9" s="465">
        <f>IF($C$7="Room AC w/ recycling (&lt; 8,000 Btu/h)",$D$17,IF($C$7="Room AC w/o recycling (&lt; 8,000 Btu/h)",$D$18,IF($C$7="Room AC w/ recycling (8,000-13,999 Btu/h)",$D$19,IF($C$7="Room AC w/o recycling (8,000-13,999 Btu/h)",$D$20,IF($C$7="Room AC w/ recycling (14,000-19,999 Btu/h)",$D$21,IF($C$7="Room AC w/o recycling (14,000-19,999 Btu/h)",$D$22,IF($C$7="Room AC w/ recycling (20,000-27,999 Btu/h)",$D$23,IF($C$7="Room AC w/o recycling (20,000-27,999 Btu/h)",$D$24,""))))))))</f>
        <v>11.1</v>
      </c>
      <c r="I9" s="22" t="s">
        <v>2773</v>
      </c>
      <c r="J9" s="464">
        <f>INDEX($G$28:$G$35,MATCH($C$7,$B$28:$B$35,0),MATCH(LEFT(I9,LEN(I9)-1),$G$27:$G$27,0))</f>
        <v>1</v>
      </c>
    </row>
    <row r="10" spans="1:30" ht="15.6" x14ac:dyDescent="0.3">
      <c r="B10" s="268" t="s">
        <v>3393</v>
      </c>
      <c r="C10" s="839">
        <v>14</v>
      </c>
      <c r="E10" s="499" t="s">
        <v>3464</v>
      </c>
      <c r="F10" s="465">
        <f>IF($C$7="Room AC w/ recycling (&lt; 8,000 Btu/h)",$C$17,IF($C$7="Room AC w/o recycling (&lt; 8,000 Btu/h)",$C$18,IF($C$7="Room AC w/ recycling (8,000-13,999 Btu/h)",$C$19,IF($C$7="Room AC w/o recycling (8,000-13,999 Btu/h)",$C$20,IF($C$7="Room AC w/ recycling (14,000-19,999 Btu/h)",$C$21,IF($C$7="Room AC w/o recycling (14,000-19,999 Btu/h)",$C$22,IF($C$7="Room AC w/ recycling (20,000-27,999 Btu/h)",$C$23,IF($C$7="Room AC w/o recycling (20,000-27,999 Btu/h)",$C$24,""))))))))</f>
        <v>11</v>
      </c>
      <c r="I10" s="22" t="s">
        <v>2774</v>
      </c>
      <c r="J10" s="468">
        <f>IF(AND($G$7="Pass",$G$8="Pass",$D$8=""),ROUND($C$8*(1/$F9-1/$C9)/1000*$J7*$J9,3),0)</f>
        <v>3.7999999999999999E-2</v>
      </c>
      <c r="K10"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1" spans="1:30" ht="15.6" x14ac:dyDescent="0.3">
      <c r="B11" s="113" t="s">
        <v>3497</v>
      </c>
      <c r="E11" s="499" t="s">
        <v>3463</v>
      </c>
      <c r="F11" s="465">
        <f>IF($C$7="Room AC w/ recycling (&lt; 8,000 Btu/h)",$F$17,IF($C$7="Room AC w/ recycling (8,000-13,999 Btu/h)",$F$19,IF($C$7="Room AC w/ recycling (14,000-19,999 Btu/h)",$F$21,IF($C$7="Room AC w/ recycling (20,000-27,999 Btu/h)",$F$23,""))))</f>
        <v>9.6999999999999993</v>
      </c>
      <c r="G11" s="235" t="s">
        <v>3394</v>
      </c>
      <c r="I11" s="22" t="s">
        <v>3395</v>
      </c>
      <c r="J11" s="468">
        <f>IF(AND(OR($C$7="Room AC w/ recycling (&lt; 8,000 Btu/h)",$C$7="Room AC w/ recycling (8,000-13,999 Btu/h)",$C$7="Room AC w/ recycling (14,000-19,999 Btu/h)",$C$7="Room AC w/ recycling (20,000-27,999 Btu/h)"),$G$7="Pass",$G$8="Pass",$D$8=""),ROUND($C$8*(1/$F11-1/$C9)/1000*$J7*$J9,3),0)</f>
        <v>6.4000000000000001E-2</v>
      </c>
      <c r="K11" s="235" t="s">
        <v>3396</v>
      </c>
    </row>
    <row r="12" spans="1:30" ht="15.6" x14ac:dyDescent="0.3">
      <c r="B12" s="113" t="s">
        <v>3498</v>
      </c>
      <c r="E12" s="499" t="s">
        <v>3462</v>
      </c>
      <c r="F12" s="465">
        <f>IF($C$7="Room AC w/ recycling (&lt; 8,000 Btu/h)",$E$17,IF($C$7="Room AC w/ recycling (8,000-13,999 Btu/h)",$E$19,IF($C$7="Room AC w/ recycling (14,000-19,999 Btu/h)",$E$21,IF($C$7="Room AC w/ recycling (20,000-27,999 Btu/h)",$E$23,""))))</f>
        <v>9.6</v>
      </c>
      <c r="G12" s="235" t="s">
        <v>3394</v>
      </c>
      <c r="I12" s="22" t="s">
        <v>1022</v>
      </c>
      <c r="J12" s="469">
        <f>IF(AND($G$7="Pass",$G$8="Pass",$D$8=""),ROUND($C$8*(1/$F10-1/$C10)/1000*$J8*$J9,2),0)</f>
        <v>260.86</v>
      </c>
      <c r="K12"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3" spans="1:30" x14ac:dyDescent="0.3">
      <c r="B13" s="94"/>
      <c r="C13" s="94"/>
      <c r="D13" s="94"/>
      <c r="E13" s="94"/>
      <c r="F13" s="94"/>
      <c r="G13" s="94"/>
      <c r="H13" s="94"/>
      <c r="I13" s="22" t="s">
        <v>3397</v>
      </c>
      <c r="J13" s="463">
        <f>IF(AND(OR($C$7="Room AC w/ recycling (&lt; 8,000 Btu/h)",$C$7="Room AC w/ recycling (8,000-13,999 Btu/h)",$C$7="Room AC w/ recycling (14,000-19,999 Btu/h)",$C$7="Room AC w/ recycling (20,000-27,999 Btu/h)"),$G$7="Pass",$G$8="Pass",$D$8=""),ROUND($C$8*(1/$F12-1/$C10)/1000*$J8*$J9,2),0)</f>
        <v>438.4</v>
      </c>
      <c r="K13" s="235" t="s">
        <v>3396</v>
      </c>
    </row>
    <row r="14" spans="1:30" ht="15.6" x14ac:dyDescent="0.3">
      <c r="B14" s="444" t="s">
        <v>3398</v>
      </c>
      <c r="C14" s="94"/>
      <c r="D14" s="94"/>
      <c r="E14" s="94"/>
      <c r="F14" s="94"/>
      <c r="G14" s="94"/>
      <c r="H14" s="94"/>
      <c r="I14" s="268" t="s">
        <v>2089</v>
      </c>
      <c r="J14" s="463">
        <f>IF($C$7="Room AC w/ recycling (&lt; 8,000 Btu/h)",ROUND(J13*$H$28/3+J12*($H$28*2/3),2),IF($C$7="Room AC w/ recycling (8,000-13,999 Btu/h)",ROUND(J13*$H$30/3+J12*($H$30*2/3),2),IF($C$7="Room AC w/ recycling (14,000-19,999 Btu/h)",ROUND(J13*$H$32/3+J12*($H$32*2/3),2),IF($C$7="Room AC w/ recycling (20,000-27,999 Btu/h)",ROUND(J13*$H$34/3+J12*($H$34*2/3),2),IF(AND($G$8="Pass",$D$8=""),ROUND(J12*INDEX($H$28:$H$35,MATCH($C$7,$B$28:$B$35,0),1),2),0)))))</f>
        <v>2880.36</v>
      </c>
      <c r="K14"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f>
        <v/>
      </c>
    </row>
    <row r="15" spans="1:30" x14ac:dyDescent="0.3">
      <c r="A15" s="384"/>
      <c r="B15" s="1755" t="s">
        <v>2729</v>
      </c>
      <c r="C15" s="1757" t="s">
        <v>3405</v>
      </c>
      <c r="D15" s="1758"/>
      <c r="E15" s="1759" t="s">
        <v>3401</v>
      </c>
      <c r="F15" s="1760"/>
      <c r="G15" s="94"/>
      <c r="H15" s="94"/>
      <c r="I15" s="94"/>
      <c r="J15" s="94"/>
      <c r="K15" s="94"/>
    </row>
    <row r="16" spans="1:30" ht="15.6" x14ac:dyDescent="0.3">
      <c r="A16" s="384">
        <v>65000</v>
      </c>
      <c r="B16" s="1756"/>
      <c r="C16" s="502" t="s">
        <v>3464</v>
      </c>
      <c r="D16" s="502" t="s">
        <v>3465</v>
      </c>
      <c r="E16" s="502" t="s">
        <v>3462</v>
      </c>
      <c r="F16" s="502" t="s">
        <v>3463</v>
      </c>
      <c r="G16" s="94"/>
      <c r="H16" s="94"/>
      <c r="I16" s="94"/>
      <c r="J16" s="94"/>
      <c r="K16" s="94"/>
    </row>
    <row r="17" spans="1:13" x14ac:dyDescent="0.3">
      <c r="A17" s="384"/>
      <c r="B17" s="447" t="s">
        <v>3496</v>
      </c>
      <c r="C17" s="448">
        <v>11</v>
      </c>
      <c r="D17" s="448">
        <v>11.1</v>
      </c>
      <c r="E17" s="448">
        <v>9.6</v>
      </c>
      <c r="F17" s="448">
        <v>9.6999999999999993</v>
      </c>
      <c r="G17" s="470"/>
      <c r="H17" s="470"/>
      <c r="I17" s="94"/>
      <c r="J17" s="94"/>
      <c r="K17" s="94"/>
    </row>
    <row r="18" spans="1:13" x14ac:dyDescent="0.3">
      <c r="A18" s="384"/>
      <c r="B18" s="447" t="s">
        <v>3499</v>
      </c>
      <c r="C18" s="448">
        <v>11</v>
      </c>
      <c r="D18" s="448">
        <v>11.1</v>
      </c>
      <c r="E18" s="471"/>
      <c r="F18" s="442"/>
      <c r="G18" s="470"/>
      <c r="H18" s="470"/>
      <c r="I18" s="94"/>
      <c r="J18" s="94"/>
      <c r="K18" s="94"/>
    </row>
    <row r="19" spans="1:13" x14ac:dyDescent="0.3">
      <c r="B19" s="447" t="s">
        <v>3403</v>
      </c>
      <c r="C19" s="448">
        <v>10.9</v>
      </c>
      <c r="D19" s="448">
        <v>11</v>
      </c>
      <c r="E19" s="448">
        <v>9.6999999999999993</v>
      </c>
      <c r="F19" s="448">
        <v>9.8000000000000007</v>
      </c>
      <c r="G19" s="94"/>
      <c r="H19" s="94"/>
      <c r="I19" s="94"/>
      <c r="J19" s="94"/>
      <c r="K19" s="94"/>
    </row>
    <row r="20" spans="1:13" x14ac:dyDescent="0.3">
      <c r="B20" s="447" t="s">
        <v>3391</v>
      </c>
      <c r="C20" s="448">
        <v>10.9</v>
      </c>
      <c r="D20" s="448">
        <v>11</v>
      </c>
      <c r="E20" s="471"/>
      <c r="F20" s="442"/>
      <c r="G20" s="94"/>
      <c r="H20" s="94"/>
      <c r="I20" s="94"/>
      <c r="J20" s="94"/>
      <c r="K20" s="94"/>
    </row>
    <row r="21" spans="1:13" x14ac:dyDescent="0.3">
      <c r="B21" s="447" t="s">
        <v>3500</v>
      </c>
      <c r="C21" s="448">
        <v>10.7</v>
      </c>
      <c r="D21" s="448">
        <v>10.8</v>
      </c>
      <c r="E21" s="448">
        <v>9.6</v>
      </c>
      <c r="F21" s="448">
        <v>9.6999999999999993</v>
      </c>
      <c r="G21" s="94"/>
      <c r="H21" s="94"/>
      <c r="I21" s="94"/>
      <c r="J21" s="94"/>
      <c r="K21" s="94"/>
    </row>
    <row r="22" spans="1:13" x14ac:dyDescent="0.3">
      <c r="B22" s="447" t="s">
        <v>3501</v>
      </c>
      <c r="C22" s="448">
        <v>10.7</v>
      </c>
      <c r="D22" s="448">
        <v>10.8</v>
      </c>
      <c r="E22" s="471"/>
      <c r="F22" s="442"/>
      <c r="G22" s="94"/>
      <c r="H22" s="94"/>
      <c r="I22" s="94"/>
      <c r="J22" s="94"/>
      <c r="K22" s="94"/>
    </row>
    <row r="23" spans="1:13" x14ac:dyDescent="0.3">
      <c r="B23" s="447" t="s">
        <v>3502</v>
      </c>
      <c r="C23" s="448">
        <v>9.4</v>
      </c>
      <c r="D23" s="448">
        <v>9.5</v>
      </c>
      <c r="E23" s="448">
        <v>8.4</v>
      </c>
      <c r="F23" s="448">
        <v>8.5</v>
      </c>
      <c r="G23" s="94"/>
      <c r="H23" s="94"/>
      <c r="I23" s="94"/>
      <c r="J23" s="94"/>
      <c r="K23" s="94"/>
    </row>
    <row r="24" spans="1:13" x14ac:dyDescent="0.3">
      <c r="B24" s="447" t="s">
        <v>3503</v>
      </c>
      <c r="C24" s="448">
        <v>9.4</v>
      </c>
      <c r="D24" s="448">
        <v>9.5</v>
      </c>
      <c r="E24" s="452"/>
      <c r="F24" s="453"/>
      <c r="G24" s="94"/>
      <c r="H24" s="94"/>
      <c r="I24" s="94"/>
      <c r="J24" s="94"/>
      <c r="K24" s="94"/>
    </row>
    <row r="25" spans="1:13" x14ac:dyDescent="0.3">
      <c r="B25" s="94"/>
      <c r="C25" s="94"/>
      <c r="D25" s="94"/>
      <c r="E25" s="94"/>
      <c r="F25" s="94"/>
      <c r="G25" s="94"/>
      <c r="H25" s="94"/>
      <c r="I25" s="94"/>
      <c r="J25" s="94"/>
      <c r="K25" s="94"/>
    </row>
    <row r="26" spans="1:13" ht="15.6" x14ac:dyDescent="0.3">
      <c r="B26" s="451" t="s">
        <v>3404</v>
      </c>
      <c r="C26" s="94"/>
      <c r="D26" s="94"/>
      <c r="E26" s="94"/>
      <c r="F26" s="94"/>
      <c r="G26" s="94"/>
      <c r="H26" s="94"/>
      <c r="I26" s="94"/>
      <c r="J26" s="94"/>
      <c r="K26" s="94"/>
    </row>
    <row r="27" spans="1:13" x14ac:dyDescent="0.3">
      <c r="B27" s="445" t="s">
        <v>2729</v>
      </c>
      <c r="C27" s="446" t="s">
        <v>3653</v>
      </c>
      <c r="D27" s="446" t="s">
        <v>3646</v>
      </c>
      <c r="E27" s="446" t="s">
        <v>3654</v>
      </c>
      <c r="F27" s="446" t="s">
        <v>3647</v>
      </c>
      <c r="G27" s="446" t="s">
        <v>34</v>
      </c>
      <c r="H27" s="446" t="s">
        <v>2562</v>
      </c>
      <c r="I27" s="94"/>
      <c r="J27" s="94"/>
      <c r="K27" s="94"/>
      <c r="L27" s="438"/>
      <c r="M27" s="438"/>
    </row>
    <row r="28" spans="1:13" x14ac:dyDescent="0.3">
      <c r="B28" s="447" t="s">
        <v>3496</v>
      </c>
      <c r="C28" s="472">
        <v>11.5</v>
      </c>
      <c r="D28" s="472">
        <v>11.6</v>
      </c>
      <c r="E28" s="472">
        <v>12.1</v>
      </c>
      <c r="F28" s="472">
        <v>12.2</v>
      </c>
      <c r="G28" s="473">
        <f>'C_HVAC_Window AC'!$Q$81</f>
        <v>1</v>
      </c>
      <c r="H28" s="34">
        <f>'C_HVAC_Window AC'!$Q$84</f>
        <v>9</v>
      </c>
      <c r="I28" s="94"/>
      <c r="J28" s="94"/>
      <c r="K28" s="94"/>
      <c r="L28" s="438"/>
      <c r="M28" s="438"/>
    </row>
    <row r="29" spans="1:13" x14ac:dyDescent="0.3">
      <c r="B29" s="447" t="s">
        <v>3499</v>
      </c>
      <c r="C29" s="472">
        <v>11.5</v>
      </c>
      <c r="D29" s="472">
        <v>11.6</v>
      </c>
      <c r="E29" s="472">
        <v>12.1</v>
      </c>
      <c r="F29" s="472">
        <v>12.2</v>
      </c>
      <c r="G29" s="473">
        <f>'C_HVAC_Window AC'!$Q$81</f>
        <v>1</v>
      </c>
      <c r="H29" s="34">
        <f>'C_HVAC_Window AC'!$Q$84</f>
        <v>9</v>
      </c>
      <c r="I29" s="94"/>
      <c r="J29" s="94"/>
      <c r="K29" s="94"/>
      <c r="L29" s="438"/>
      <c r="M29" s="438"/>
    </row>
    <row r="30" spans="1:13" x14ac:dyDescent="0.3">
      <c r="B30" s="447" t="s">
        <v>3403</v>
      </c>
      <c r="C30" s="472">
        <v>11.4</v>
      </c>
      <c r="D30" s="472">
        <v>11.5</v>
      </c>
      <c r="E30" s="472">
        <v>12</v>
      </c>
      <c r="F30" s="472">
        <v>12.1</v>
      </c>
      <c r="G30" s="473">
        <f>'C_HVAC_Window AC'!$Q$81</f>
        <v>1</v>
      </c>
      <c r="H30" s="34">
        <f>'C_HVAC_Window AC'!$Q$84</f>
        <v>9</v>
      </c>
      <c r="I30" s="94"/>
      <c r="J30" s="94"/>
      <c r="K30" s="94"/>
      <c r="L30" s="438"/>
      <c r="M30" s="438"/>
    </row>
    <row r="31" spans="1:13" x14ac:dyDescent="0.3">
      <c r="B31" s="447" t="s">
        <v>3391</v>
      </c>
      <c r="C31" s="472">
        <v>11.4</v>
      </c>
      <c r="D31" s="472">
        <v>11.5</v>
      </c>
      <c r="E31" s="472">
        <v>12</v>
      </c>
      <c r="F31" s="472">
        <v>12.1</v>
      </c>
      <c r="G31" s="473">
        <f>'C_HVAC_Window AC'!$Q$81</f>
        <v>1</v>
      </c>
      <c r="H31" s="34">
        <f>'C_HVAC_Window AC'!$Q$84</f>
        <v>9</v>
      </c>
      <c r="I31" s="94"/>
      <c r="J31" s="94"/>
      <c r="K31" s="94"/>
      <c r="L31" s="438"/>
      <c r="M31" s="438"/>
    </row>
    <row r="32" spans="1:13" x14ac:dyDescent="0.3">
      <c r="B32" s="447" t="s">
        <v>3500</v>
      </c>
      <c r="C32" s="472">
        <v>11.2</v>
      </c>
      <c r="D32" s="472">
        <v>11.3</v>
      </c>
      <c r="E32" s="472">
        <v>11.8</v>
      </c>
      <c r="F32" s="472">
        <v>11.9</v>
      </c>
      <c r="G32" s="473">
        <f>'C_HVAC_Window AC'!$Q$81</f>
        <v>1</v>
      </c>
      <c r="H32" s="34">
        <f>'C_HVAC_Window AC'!$Q$84</f>
        <v>9</v>
      </c>
      <c r="I32" s="94"/>
      <c r="J32" s="94"/>
      <c r="K32" s="94"/>
      <c r="L32" s="438"/>
      <c r="M32" s="438"/>
    </row>
    <row r="33" spans="2:13" x14ac:dyDescent="0.3">
      <c r="B33" s="447" t="s">
        <v>3501</v>
      </c>
      <c r="C33" s="472">
        <v>11.2</v>
      </c>
      <c r="D33" s="472">
        <v>11.3</v>
      </c>
      <c r="E33" s="472">
        <v>11.8</v>
      </c>
      <c r="F33" s="472">
        <v>11.9</v>
      </c>
      <c r="G33" s="473">
        <f>'C_HVAC_Window AC'!$Q$81</f>
        <v>1</v>
      </c>
      <c r="H33" s="34">
        <f>'C_HVAC_Window AC'!$Q$84</f>
        <v>9</v>
      </c>
      <c r="I33" s="94"/>
      <c r="J33" s="94"/>
      <c r="K33" s="94"/>
      <c r="L33" s="438"/>
      <c r="M33" s="438"/>
    </row>
    <row r="34" spans="2:13" x14ac:dyDescent="0.3">
      <c r="B34" s="447" t="s">
        <v>3502</v>
      </c>
      <c r="C34" s="472">
        <v>9.8000000000000007</v>
      </c>
      <c r="D34" s="472">
        <v>9.9</v>
      </c>
      <c r="E34" s="472">
        <v>10.3</v>
      </c>
      <c r="F34" s="472">
        <v>10.4</v>
      </c>
      <c r="G34" s="473">
        <f>'C_HVAC_Window AC'!$Q$81</f>
        <v>1</v>
      </c>
      <c r="H34" s="34">
        <f>'C_HVAC_Window AC'!$Q$84</f>
        <v>9</v>
      </c>
      <c r="I34" s="94"/>
      <c r="J34" s="94"/>
      <c r="K34" s="94"/>
      <c r="L34" s="438"/>
      <c r="M34" s="438"/>
    </row>
    <row r="35" spans="2:13" x14ac:dyDescent="0.3">
      <c r="B35" s="447" t="s">
        <v>3503</v>
      </c>
      <c r="C35" s="472">
        <v>9.8000000000000007</v>
      </c>
      <c r="D35" s="472">
        <v>9.9</v>
      </c>
      <c r="E35" s="472">
        <v>10.3</v>
      </c>
      <c r="F35" s="472">
        <v>10.4</v>
      </c>
      <c r="G35" s="473">
        <f>'C_HVAC_Window AC'!$Q$81</f>
        <v>1</v>
      </c>
      <c r="H35" s="34">
        <f>'C_HVAC_Window AC'!$Q$84</f>
        <v>9</v>
      </c>
      <c r="I35" s="94"/>
      <c r="J35" s="94"/>
      <c r="K35" s="94"/>
      <c r="L35" s="438"/>
      <c r="M35" s="438"/>
    </row>
    <row r="36" spans="2:13" x14ac:dyDescent="0.3">
      <c r="B36" s="94"/>
      <c r="C36" s="94"/>
      <c r="D36" s="94"/>
      <c r="E36" s="94"/>
      <c r="F36" s="94"/>
      <c r="G36" s="94"/>
      <c r="H36" s="94"/>
      <c r="I36" s="94"/>
      <c r="J36" s="94"/>
      <c r="K36" s="94"/>
    </row>
    <row r="37" spans="2:13" ht="45" customHeight="1" x14ac:dyDescent="0.3">
      <c r="B37" s="889" t="s">
        <v>3693</v>
      </c>
      <c r="C37" s="889"/>
      <c r="D37" s="889"/>
      <c r="E37" s="889"/>
      <c r="F37" s="889"/>
      <c r="G37" s="889"/>
      <c r="H37" s="889"/>
      <c r="I37" s="94"/>
      <c r="J37" s="94"/>
      <c r="K37" s="94"/>
    </row>
    <row r="38" spans="2:13" x14ac:dyDescent="0.3">
      <c r="B38" s="94"/>
      <c r="C38" s="94"/>
      <c r="D38" s="94"/>
      <c r="E38" s="94"/>
      <c r="F38" s="94"/>
      <c r="G38" s="94"/>
      <c r="H38" s="94"/>
      <c r="I38" s="94"/>
      <c r="J38" s="94"/>
      <c r="K38" s="94"/>
    </row>
  </sheetData>
  <sheetProtection algorithmName="SHA-512" hashValue="4Dc7JUUgw/k5MpDF4GpNNjvNMpfBVIKEjPZWs1EahJg7k8V0sHD8na7XZzp4kx2zMFCJVFqH4xx+ZP6as7SxPA==" saltValue="KlrJ6OC3pPkF4CpNxv5JGg==" spinCount="100000" sheet="1" objects="1" scenarios="1"/>
  <mergeCells count="4">
    <mergeCell ref="B15:B16"/>
    <mergeCell ref="C15:D15"/>
    <mergeCell ref="E15:F15"/>
    <mergeCell ref="B37:H37"/>
  </mergeCells>
  <conditionalFormatting sqref="G7:G8">
    <cfRule type="containsText" dxfId="11" priority="1" operator="containsText" text="Fail">
      <formula>NOT(ISERROR(SEARCH("Fail",G7)))</formula>
    </cfRule>
    <cfRule type="containsText" dxfId="10" priority="2" operator="containsText" text="Pass">
      <formula>NOT(ISERROR(SEARCH("Pass",G7)))</formula>
    </cfRule>
  </conditionalFormatting>
  <dataValidations count="2">
    <dataValidation type="list" allowBlank="1" showInputMessage="1" showErrorMessage="1" sqref="C7" xr:uid="{00000000-0002-0000-2400-000000000000}">
      <formula1>$B$28:$B$35</formula1>
    </dataValidation>
    <dataValidation type="list" allowBlank="1" showInputMessage="1" showErrorMessage="1" sqref="C5" xr:uid="{00000000-0002-0000-2400-000001000000}">
      <formula1>"Yes,No"</formula1>
    </dataValidation>
  </dataValidations>
  <hyperlinks>
    <hyperlink ref="B2" location="TOC!A1" display="Return to TOC" xr:uid="{00000000-0004-0000-24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2000000}">
          <x14:formula1>
            <xm:f>'C_HVAC_Window AC'!$B$98:$B$108</xm:f>
          </x14:formula1>
          <xm:sqref>C6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8">
    <tabColor theme="9" tint="0.79998168889431442"/>
    <pageSetUpPr autoPageBreaks="0"/>
  </sheetPr>
  <dimension ref="A1:CH127"/>
  <sheetViews>
    <sheetView zoomScaleNormal="100" workbookViewId="0">
      <selection activeCell="A2" sqref="A2"/>
    </sheetView>
  </sheetViews>
  <sheetFormatPr defaultColWidth="2.6640625" defaultRowHeight="14.4" x14ac:dyDescent="0.3"/>
  <cols>
    <col min="1" max="4" width="2.6640625" style="8"/>
    <col min="5" max="5" width="2.6640625" style="8" customWidth="1"/>
    <col min="6" max="8" width="2.6640625" style="8"/>
    <col min="9" max="9" width="2.6640625" style="8" customWidth="1"/>
    <col min="10" max="16384" width="2.6640625" style="8"/>
  </cols>
  <sheetData>
    <row r="1" spans="1:32" s="1" customFormat="1" ht="18" x14ac:dyDescent="0.3">
      <c r="A1" s="1131" t="s">
        <v>2548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customFormat="1" ht="14.4" customHeight="1" x14ac:dyDescent="0.3">
      <c r="A6" s="228"/>
    </row>
    <row r="7" spans="1:32"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customFormat="1" x14ac:dyDescent="0.3">
      <c r="A9" s="1"/>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customFormat="1" ht="35.25" customHeight="1" x14ac:dyDescent="0.3">
      <c r="A10" s="1"/>
      <c r="B10" s="953" t="s">
        <v>552</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customFormat="1"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customFormat="1" x14ac:dyDescent="0.3">
      <c r="A12" s="1"/>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customFormat="1" ht="126.75" customHeight="1" x14ac:dyDescent="0.3">
      <c r="A13" s="4"/>
      <c r="B13" s="953" t="s">
        <v>2681</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customForma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customFormat="1" x14ac:dyDescent="0.3">
      <c r="A15" s="1"/>
      <c r="B15" s="51" t="s">
        <v>5</v>
      </c>
      <c r="C15" s="51"/>
      <c r="D15" s="51"/>
      <c r="E15" s="51"/>
      <c r="F15" s="51"/>
      <c r="G15" s="51"/>
      <c r="H15" s="51"/>
      <c r="I15" s="51"/>
      <c r="J15" s="1"/>
      <c r="K15" s="1"/>
      <c r="L15" s="1"/>
      <c r="M15" s="1"/>
      <c r="N15" s="1"/>
      <c r="O15" s="1"/>
      <c r="P15" s="1"/>
      <c r="Q15" s="1"/>
      <c r="R15" s="1"/>
      <c r="S15" s="1"/>
      <c r="T15" s="1"/>
      <c r="U15" s="1"/>
      <c r="V15" s="1"/>
      <c r="W15" s="1"/>
      <c r="X15" s="1"/>
      <c r="Y15" s="1"/>
      <c r="Z15" s="1"/>
      <c r="AA15" s="1"/>
      <c r="AB15" s="1"/>
      <c r="AC15" s="1"/>
      <c r="AD15" s="1"/>
      <c r="AE15" s="1"/>
      <c r="AF15" s="1"/>
    </row>
    <row r="16" spans="1:32" customFormat="1" x14ac:dyDescent="0.3">
      <c r="A16" s="1"/>
      <c r="B16" s="1" t="s">
        <v>2552</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customForma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customFormat="1" x14ac:dyDescent="0.3">
      <c r="A18" s="1"/>
      <c r="B18" s="51" t="s">
        <v>6</v>
      </c>
      <c r="C18" s="51"/>
      <c r="D18" s="51"/>
      <c r="E18" s="51"/>
      <c r="F18" s="51"/>
      <c r="G18" s="51"/>
      <c r="H18" s="51"/>
      <c r="I18" s="51"/>
      <c r="J18" s="1"/>
      <c r="K18" s="1"/>
      <c r="L18" s="1"/>
      <c r="M18" s="1"/>
      <c r="N18" s="1"/>
      <c r="O18" s="1"/>
      <c r="P18" s="1"/>
      <c r="Q18" s="1"/>
      <c r="R18" s="1"/>
      <c r="S18" s="1"/>
      <c r="T18" s="1"/>
      <c r="U18" s="1"/>
      <c r="V18" s="1"/>
      <c r="W18" s="1"/>
      <c r="X18" s="1"/>
      <c r="Y18" s="1"/>
      <c r="Z18" s="1"/>
      <c r="AA18" s="1"/>
      <c r="AB18" s="1"/>
      <c r="AC18" s="1"/>
      <c r="AD18" s="1"/>
      <c r="AE18" s="1"/>
      <c r="AF18" s="1"/>
    </row>
    <row r="19" spans="1:32" customFormat="1" x14ac:dyDescent="0.3">
      <c r="A19" s="4"/>
      <c r="B19" s="872" t="s">
        <v>1137</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32" customForma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customFormat="1" x14ac:dyDescent="0.3">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customFormat="1" x14ac:dyDescent="0.3">
      <c r="A22" s="1"/>
      <c r="B22" s="1" t="s">
        <v>553</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customForma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customForma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customFormat="1"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customFormat="1" x14ac:dyDescent="0.3"/>
    <row r="27" spans="1:32" s="121" customFormat="1" x14ac:dyDescent="0.3">
      <c r="B27" s="267" t="s">
        <v>2137</v>
      </c>
      <c r="H27" s="272"/>
    </row>
    <row r="28" spans="1:32" s="121" customFormat="1" x14ac:dyDescent="0.3">
      <c r="H28" s="272"/>
    </row>
    <row r="29" spans="1:32" customFormat="1" x14ac:dyDescent="0.3">
      <c r="L29" s="19"/>
      <c r="AB29" s="8"/>
      <c r="AC29" s="8"/>
      <c r="AD29" s="8"/>
      <c r="AF29" s="19" t="s">
        <v>1463</v>
      </c>
    </row>
    <row r="30" spans="1:32" customFormat="1" x14ac:dyDescent="0.3">
      <c r="L30" s="19"/>
      <c r="AB30" s="8"/>
      <c r="AC30" s="8"/>
      <c r="AD30" s="8"/>
    </row>
    <row r="31" spans="1:32" customFormat="1" x14ac:dyDescent="0.3">
      <c r="B31" s="267" t="s">
        <v>2027</v>
      </c>
      <c r="L31" s="19"/>
      <c r="AB31" s="8"/>
      <c r="AC31" s="8"/>
      <c r="AD31" s="8"/>
    </row>
    <row r="32" spans="1:32" customFormat="1" x14ac:dyDescent="0.3">
      <c r="L32" s="19"/>
      <c r="U32" s="20"/>
      <c r="AB32" s="8"/>
      <c r="AC32" s="8"/>
      <c r="AD32" s="8"/>
    </row>
    <row r="33" spans="1:86" customFormat="1" x14ac:dyDescent="0.3">
      <c r="A33" s="18"/>
      <c r="K33" s="20"/>
      <c r="AF33" s="19" t="s">
        <v>1464</v>
      </c>
      <c r="AL33" s="8"/>
    </row>
    <row r="34" spans="1:86" customFormat="1" x14ac:dyDescent="0.3">
      <c r="A34" s="18"/>
      <c r="K34" s="20"/>
    </row>
    <row r="35" spans="1:86" customFormat="1" x14ac:dyDescent="0.3">
      <c r="A35" s="18"/>
      <c r="B35" s="267" t="s">
        <v>1811</v>
      </c>
      <c r="C35" s="121"/>
      <c r="D35" s="121"/>
      <c r="E35" s="121"/>
      <c r="F35" s="121"/>
      <c r="G35" s="121"/>
      <c r="H35" s="121"/>
      <c r="I35" s="64"/>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row>
    <row r="36" spans="1:86" customFormat="1" x14ac:dyDescent="0.3">
      <c r="A36" s="18"/>
      <c r="B36" s="121"/>
      <c r="C36" s="121"/>
      <c r="D36" s="121"/>
      <c r="E36" s="121"/>
      <c r="F36" s="121"/>
      <c r="G36" s="121"/>
      <c r="H36" s="121"/>
      <c r="I36" s="64"/>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row>
    <row r="37" spans="1:86" customFormat="1" x14ac:dyDescent="0.3">
      <c r="A37" s="18"/>
      <c r="B37" s="121"/>
      <c r="C37" s="121"/>
      <c r="D37" s="121"/>
      <c r="E37" s="121"/>
      <c r="F37" s="121"/>
      <c r="G37" s="121"/>
      <c r="H37" s="121"/>
      <c r="I37" s="64"/>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t="s">
        <v>1465</v>
      </c>
      <c r="AG37" s="121"/>
    </row>
    <row r="38" spans="1:86" customFormat="1" x14ac:dyDescent="0.3">
      <c r="A38" s="18"/>
      <c r="B38" s="121"/>
      <c r="C38" s="121"/>
      <c r="D38" s="121"/>
      <c r="E38" s="121"/>
      <c r="F38" s="121"/>
      <c r="G38" s="121"/>
      <c r="H38" s="121"/>
      <c r="I38" s="64"/>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c r="AG38" s="121"/>
    </row>
    <row r="39" spans="1:86" customFormat="1" x14ac:dyDescent="0.3">
      <c r="A39" s="18"/>
      <c r="B39" s="121"/>
      <c r="C39" s="121"/>
      <c r="D39" s="121"/>
      <c r="E39" s="121"/>
      <c r="F39" s="121"/>
      <c r="G39" s="121"/>
      <c r="H39" s="121"/>
      <c r="I39" s="64"/>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c r="AG39" s="121"/>
    </row>
    <row r="40" spans="1:86" customFormat="1" x14ac:dyDescent="0.3">
      <c r="A40" s="869" t="s">
        <v>8</v>
      </c>
      <c r="B40" s="870"/>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1"/>
    </row>
    <row r="41" spans="1:86" customFormat="1" ht="14.4" customHeight="1" x14ac:dyDescent="0.3">
      <c r="A41" s="1259" t="s">
        <v>9</v>
      </c>
      <c r="B41" s="1260"/>
      <c r="C41" s="1260"/>
      <c r="D41" s="1421"/>
      <c r="E41" s="1259" t="s">
        <v>3</v>
      </c>
      <c r="F41" s="1260"/>
      <c r="G41" s="1260"/>
      <c r="H41" s="1260"/>
      <c r="I41" s="1260"/>
      <c r="J41" s="1260"/>
      <c r="K41" s="1260"/>
      <c r="L41" s="1260"/>
      <c r="M41" s="1260"/>
      <c r="N41" s="1260"/>
      <c r="O41" s="1260"/>
      <c r="P41" s="1421"/>
      <c r="Q41" s="1259" t="s">
        <v>10</v>
      </c>
      <c r="R41" s="1260"/>
      <c r="S41" s="1260"/>
      <c r="T41" s="1421"/>
      <c r="U41" s="1259" t="s">
        <v>11</v>
      </c>
      <c r="V41" s="1260"/>
      <c r="W41" s="1421"/>
      <c r="X41" s="1259" t="s">
        <v>1466</v>
      </c>
      <c r="Y41" s="1260"/>
      <c r="Z41" s="1260"/>
      <c r="AA41" s="1260"/>
      <c r="AB41" s="1260"/>
      <c r="AC41" s="1260"/>
      <c r="AD41" s="1260"/>
      <c r="AE41" s="1260"/>
      <c r="AF41" s="1421"/>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row>
    <row r="42" spans="1:86" customFormat="1" ht="14.4" customHeight="1" x14ac:dyDescent="0.3">
      <c r="A42" s="1246" t="s">
        <v>2554</v>
      </c>
      <c r="B42" s="1155"/>
      <c r="C42" s="1155"/>
      <c r="D42" s="1156"/>
      <c r="E42" s="1148" t="s">
        <v>2555</v>
      </c>
      <c r="F42" s="1149"/>
      <c r="G42" s="1149"/>
      <c r="H42" s="1149"/>
      <c r="I42" s="1149"/>
      <c r="J42" s="1149"/>
      <c r="K42" s="1149"/>
      <c r="L42" s="1149"/>
      <c r="M42" s="1149"/>
      <c r="N42" s="1149"/>
      <c r="O42" s="1149"/>
      <c r="P42" s="1150"/>
      <c r="Q42" s="1243" t="s">
        <v>156</v>
      </c>
      <c r="R42" s="1244"/>
      <c r="S42" s="1244"/>
      <c r="T42" s="1245"/>
      <c r="U42" s="1243" t="s">
        <v>2554</v>
      </c>
      <c r="V42" s="1244"/>
      <c r="W42" s="1245"/>
      <c r="X42" s="1794" t="s">
        <v>2560</v>
      </c>
      <c r="Y42" s="1795"/>
      <c r="Z42" s="1795"/>
      <c r="AA42" s="1795"/>
      <c r="AB42" s="1795"/>
      <c r="AC42" s="1795"/>
      <c r="AD42" s="1795"/>
      <c r="AE42" s="1795"/>
      <c r="AF42" s="1796"/>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row>
    <row r="43" spans="1:86" customFormat="1" ht="14.4" customHeight="1" x14ac:dyDescent="0.3">
      <c r="A43" s="1246" t="s">
        <v>2567</v>
      </c>
      <c r="B43" s="1155"/>
      <c r="C43" s="1155"/>
      <c r="D43" s="1156"/>
      <c r="E43" s="1148" t="s">
        <v>1209</v>
      </c>
      <c r="F43" s="1149"/>
      <c r="G43" s="1149"/>
      <c r="H43" s="1149"/>
      <c r="I43" s="1149"/>
      <c r="J43" s="1149"/>
      <c r="K43" s="1149"/>
      <c r="L43" s="1149"/>
      <c r="M43" s="1149"/>
      <c r="N43" s="1149"/>
      <c r="O43" s="1149"/>
      <c r="P43" s="1150"/>
      <c r="Q43" s="1800">
        <v>0.746</v>
      </c>
      <c r="R43" s="1801"/>
      <c r="S43" s="1801"/>
      <c r="T43" s="1802"/>
      <c r="U43" s="1243" t="s">
        <v>773</v>
      </c>
      <c r="V43" s="1244"/>
      <c r="W43" s="1245"/>
      <c r="X43" s="1794" t="s">
        <v>2560</v>
      </c>
      <c r="Y43" s="1795"/>
      <c r="Z43" s="1795"/>
      <c r="AA43" s="1795"/>
      <c r="AB43" s="1795"/>
      <c r="AC43" s="1795"/>
      <c r="AD43" s="1795"/>
      <c r="AE43" s="1795"/>
      <c r="AF43" s="1796"/>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row>
    <row r="44" spans="1:86" customFormat="1" ht="34.5" customHeight="1" x14ac:dyDescent="0.35">
      <c r="A44" s="1246" t="s">
        <v>228</v>
      </c>
      <c r="B44" s="1155"/>
      <c r="C44" s="1155"/>
      <c r="D44" s="1156"/>
      <c r="E44" s="1148" t="s">
        <v>637</v>
      </c>
      <c r="F44" s="1149"/>
      <c r="G44" s="1149"/>
      <c r="H44" s="1149"/>
      <c r="I44" s="1149"/>
      <c r="J44" s="1149"/>
      <c r="K44" s="1149"/>
      <c r="L44" s="1149"/>
      <c r="M44" s="1149"/>
      <c r="N44" s="1149"/>
      <c r="O44" s="1149"/>
      <c r="P44" s="1150"/>
      <c r="Q44" s="1446">
        <v>0.75</v>
      </c>
      <c r="R44" s="1447"/>
      <c r="S44" s="1447"/>
      <c r="T44" s="1448"/>
      <c r="U44" s="1243" t="s">
        <v>20</v>
      </c>
      <c r="V44" s="1244"/>
      <c r="W44" s="1245"/>
      <c r="X44" s="1794" t="s">
        <v>2549</v>
      </c>
      <c r="Y44" s="1795"/>
      <c r="Z44" s="1795"/>
      <c r="AA44" s="1795"/>
      <c r="AB44" s="1795"/>
      <c r="AC44" s="1795"/>
      <c r="AD44" s="1795"/>
      <c r="AE44" s="1795"/>
      <c r="AF44" s="1796"/>
      <c r="AI44" s="94"/>
      <c r="AJ44" s="356"/>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row>
    <row r="45" spans="1:86" customFormat="1" ht="63" customHeight="1" x14ac:dyDescent="0.3">
      <c r="A45" s="1246" t="s">
        <v>19</v>
      </c>
      <c r="B45" s="1155"/>
      <c r="C45" s="1155"/>
      <c r="D45" s="1156"/>
      <c r="E45" s="1148" t="s">
        <v>638</v>
      </c>
      <c r="F45" s="1149"/>
      <c r="G45" s="1149"/>
      <c r="H45" s="1149"/>
      <c r="I45" s="1149"/>
      <c r="J45" s="1149"/>
      <c r="K45" s="1149"/>
      <c r="L45" s="1149"/>
      <c r="M45" s="1149"/>
      <c r="N45" s="1149"/>
      <c r="O45" s="1149"/>
      <c r="P45" s="1150"/>
      <c r="Q45" s="1243" t="s">
        <v>156</v>
      </c>
      <c r="R45" s="1244"/>
      <c r="S45" s="1244"/>
      <c r="T45" s="1245"/>
      <c r="U45" s="1243" t="s">
        <v>20</v>
      </c>
      <c r="V45" s="1244"/>
      <c r="W45" s="1245"/>
      <c r="X45" s="1797" t="s">
        <v>2556</v>
      </c>
      <c r="Y45" s="1798"/>
      <c r="Z45" s="1798"/>
      <c r="AA45" s="1798"/>
      <c r="AB45" s="1798"/>
      <c r="AC45" s="1798"/>
      <c r="AD45" s="1798"/>
      <c r="AE45" s="1798"/>
      <c r="AF45" s="1799"/>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row>
    <row r="46" spans="1:86" customFormat="1" ht="63.75" customHeight="1" x14ac:dyDescent="0.35">
      <c r="A46" s="1154" t="s">
        <v>2565</v>
      </c>
      <c r="B46" s="1155"/>
      <c r="C46" s="1155"/>
      <c r="D46" s="1156"/>
      <c r="E46" s="1148" t="s">
        <v>639</v>
      </c>
      <c r="F46" s="1149"/>
      <c r="G46" s="1149"/>
      <c r="H46" s="1149"/>
      <c r="I46" s="1149"/>
      <c r="J46" s="1149"/>
      <c r="K46" s="1149"/>
      <c r="L46" s="1149"/>
      <c r="M46" s="1149"/>
      <c r="N46" s="1149"/>
      <c r="O46" s="1149"/>
      <c r="P46" s="1150"/>
      <c r="Q46" s="1243" t="s">
        <v>304</v>
      </c>
      <c r="R46" s="1244"/>
      <c r="S46" s="1244"/>
      <c r="T46" s="1245"/>
      <c r="U46" s="1243" t="s">
        <v>20</v>
      </c>
      <c r="V46" s="1244"/>
      <c r="W46" s="1245"/>
      <c r="X46" s="1794" t="s">
        <v>2557</v>
      </c>
      <c r="Y46" s="1795"/>
      <c r="Z46" s="1795"/>
      <c r="AA46" s="1795"/>
      <c r="AB46" s="1795"/>
      <c r="AC46" s="1795"/>
      <c r="AD46" s="1795"/>
      <c r="AE46" s="1795"/>
      <c r="AF46" s="1796"/>
      <c r="AI46" s="94"/>
      <c r="AJ46" s="356"/>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row>
    <row r="47" spans="1:86" customFormat="1" ht="57.6" customHeight="1" x14ac:dyDescent="0.3">
      <c r="A47" s="1154" t="s">
        <v>2566</v>
      </c>
      <c r="B47" s="1155"/>
      <c r="C47" s="1155"/>
      <c r="D47" s="1156"/>
      <c r="E47" s="1148" t="s">
        <v>640</v>
      </c>
      <c r="F47" s="1149"/>
      <c r="G47" s="1149"/>
      <c r="H47" s="1149"/>
      <c r="I47" s="1149"/>
      <c r="J47" s="1149"/>
      <c r="K47" s="1149"/>
      <c r="L47" s="1149"/>
      <c r="M47" s="1149"/>
      <c r="N47" s="1149"/>
      <c r="O47" s="1149"/>
      <c r="P47" s="1150"/>
      <c r="Q47" s="1243" t="s">
        <v>304</v>
      </c>
      <c r="R47" s="1244"/>
      <c r="S47" s="1244"/>
      <c r="T47" s="1245"/>
      <c r="U47" s="1243" t="s">
        <v>20</v>
      </c>
      <c r="V47" s="1244"/>
      <c r="W47" s="1245"/>
      <c r="X47" s="1794" t="s">
        <v>2558</v>
      </c>
      <c r="Y47" s="1795"/>
      <c r="Z47" s="1795"/>
      <c r="AA47" s="1795"/>
      <c r="AB47" s="1795"/>
      <c r="AC47" s="1795"/>
      <c r="AD47" s="1795"/>
      <c r="AE47" s="1795"/>
      <c r="AF47" s="1796"/>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row>
    <row r="48" spans="1:86" customFormat="1" ht="50.25" customHeight="1" x14ac:dyDescent="0.3">
      <c r="A48" s="1154" t="s">
        <v>21</v>
      </c>
      <c r="B48" s="1155"/>
      <c r="C48" s="1155"/>
      <c r="D48" s="1156"/>
      <c r="E48" s="1148" t="s">
        <v>96</v>
      </c>
      <c r="F48" s="1149"/>
      <c r="G48" s="1149"/>
      <c r="H48" s="1149"/>
      <c r="I48" s="1149"/>
      <c r="J48" s="1149"/>
      <c r="K48" s="1149"/>
      <c r="L48" s="1149"/>
      <c r="M48" s="1149"/>
      <c r="N48" s="1149"/>
      <c r="O48" s="1149"/>
      <c r="P48" s="1150"/>
      <c r="Q48" s="1151" t="s">
        <v>2594</v>
      </c>
      <c r="R48" s="1152"/>
      <c r="S48" s="1152"/>
      <c r="T48" s="1153"/>
      <c r="U48" s="1243" t="s">
        <v>20</v>
      </c>
      <c r="V48" s="1244"/>
      <c r="W48" s="1245"/>
      <c r="X48" s="1207" t="s">
        <v>2591</v>
      </c>
      <c r="Y48" s="1208"/>
      <c r="Z48" s="1208"/>
      <c r="AA48" s="1208"/>
      <c r="AB48" s="1208"/>
      <c r="AC48" s="1208"/>
      <c r="AD48" s="1208"/>
      <c r="AE48" s="1208"/>
      <c r="AF48" s="1209"/>
      <c r="AM48" s="355"/>
      <c r="AN48" s="355"/>
      <c r="AO48" s="355"/>
      <c r="AP48" s="355"/>
      <c r="AQ48" s="355"/>
      <c r="AR48" s="355"/>
      <c r="AS48" s="355"/>
      <c r="AT48" s="355"/>
      <c r="AU48" s="355"/>
    </row>
    <row r="49" spans="1:38" customFormat="1" ht="49.5" customHeight="1" x14ac:dyDescent="0.3">
      <c r="A49" s="1154" t="s">
        <v>24</v>
      </c>
      <c r="B49" s="1155"/>
      <c r="C49" s="1155"/>
      <c r="D49" s="1156"/>
      <c r="E49" s="1148" t="s">
        <v>2553</v>
      </c>
      <c r="F49" s="1149"/>
      <c r="G49" s="1149"/>
      <c r="H49" s="1149"/>
      <c r="I49" s="1149"/>
      <c r="J49" s="1149"/>
      <c r="K49" s="1149"/>
      <c r="L49" s="1149"/>
      <c r="M49" s="1149"/>
      <c r="N49" s="1149"/>
      <c r="O49" s="1149"/>
      <c r="P49" s="1150"/>
      <c r="Q49" s="1151" t="s">
        <v>2593</v>
      </c>
      <c r="R49" s="1152"/>
      <c r="S49" s="1152"/>
      <c r="T49" s="1153"/>
      <c r="U49" s="1243" t="s">
        <v>37</v>
      </c>
      <c r="V49" s="1244"/>
      <c r="W49" s="1245"/>
      <c r="X49" s="1207" t="s">
        <v>2592</v>
      </c>
      <c r="Y49" s="1208"/>
      <c r="Z49" s="1208"/>
      <c r="AA49" s="1208"/>
      <c r="AB49" s="1208"/>
      <c r="AC49" s="1208"/>
      <c r="AD49" s="1208"/>
      <c r="AE49" s="1208"/>
      <c r="AF49" s="1209"/>
    </row>
    <row r="50" spans="1:38" customFormat="1" ht="49.5" customHeight="1" x14ac:dyDescent="0.3">
      <c r="A50" s="1154" t="s">
        <v>2562</v>
      </c>
      <c r="B50" s="1155"/>
      <c r="C50" s="1155"/>
      <c r="D50" s="1156"/>
      <c r="E50" s="1163" t="s">
        <v>2050</v>
      </c>
      <c r="F50" s="1164"/>
      <c r="G50" s="1164"/>
      <c r="H50" s="1164"/>
      <c r="I50" s="1164"/>
      <c r="J50" s="1164"/>
      <c r="K50" s="1164"/>
      <c r="L50" s="1164"/>
      <c r="M50" s="1164"/>
      <c r="N50" s="1164"/>
      <c r="O50" s="1164"/>
      <c r="P50" s="1165"/>
      <c r="Q50" s="1243">
        <f>'Master EUL'!X83</f>
        <v>15</v>
      </c>
      <c r="R50" s="1244"/>
      <c r="S50" s="1244"/>
      <c r="T50" s="1245"/>
      <c r="U50" s="1243" t="s">
        <v>38</v>
      </c>
      <c r="V50" s="1244"/>
      <c r="W50" s="1245"/>
      <c r="X50" s="1794" t="s">
        <v>2563</v>
      </c>
      <c r="Y50" s="1795"/>
      <c r="Z50" s="1795"/>
      <c r="AA50" s="1795"/>
      <c r="AB50" s="1795"/>
      <c r="AC50" s="1795"/>
      <c r="AD50" s="1795"/>
      <c r="AE50" s="1795"/>
      <c r="AF50" s="1796"/>
    </row>
    <row r="51" spans="1:38" customFormat="1" ht="51" customHeight="1" x14ac:dyDescent="0.3">
      <c r="A51" s="1270" t="s">
        <v>2550</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L51" s="26"/>
    </row>
    <row r="52" spans="1:38" customFormat="1" ht="31.5" customHeight="1" x14ac:dyDescent="0.3">
      <c r="A52" s="1082" t="s">
        <v>2585</v>
      </c>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c r="AA52" s="1082"/>
      <c r="AB52" s="1082"/>
      <c r="AC52" s="1082"/>
      <c r="AD52" s="1082"/>
      <c r="AE52" s="1082"/>
      <c r="AF52" s="1082"/>
      <c r="AL52" s="26"/>
    </row>
    <row r="53" spans="1:38" customFormat="1" ht="46.5" customHeight="1" x14ac:dyDescent="0.3">
      <c r="A53" s="1082" t="s">
        <v>2559</v>
      </c>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c r="AA53" s="1082"/>
      <c r="AB53" s="1082"/>
      <c r="AC53" s="1082"/>
      <c r="AD53" s="1082"/>
      <c r="AE53" s="1082"/>
      <c r="AF53" s="1082"/>
    </row>
    <row r="54" spans="1:38" customFormat="1" ht="94.5" customHeight="1" x14ac:dyDescent="0.3">
      <c r="A54" s="1082" t="s">
        <v>2561</v>
      </c>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c r="AA54" s="1082"/>
      <c r="AB54" s="1082"/>
      <c r="AC54" s="1082"/>
      <c r="AD54" s="1082"/>
      <c r="AE54" s="1082"/>
      <c r="AF54" s="1082"/>
    </row>
    <row r="55" spans="1:38" customFormat="1" ht="56.25" customHeight="1" x14ac:dyDescent="0.3">
      <c r="A55" s="1082" t="s">
        <v>2595</v>
      </c>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row>
    <row r="56" spans="1:38" customFormat="1" x14ac:dyDescent="0.3">
      <c r="A56" s="359">
        <v>1</v>
      </c>
      <c r="B56" s="359">
        <v>2</v>
      </c>
      <c r="C56" s="359">
        <v>3</v>
      </c>
      <c r="D56" s="359">
        <v>4</v>
      </c>
      <c r="E56" s="359">
        <v>5</v>
      </c>
      <c r="F56" s="359">
        <v>6</v>
      </c>
      <c r="G56" s="359">
        <v>7</v>
      </c>
      <c r="H56" s="359">
        <v>8</v>
      </c>
      <c r="I56" s="359">
        <v>9</v>
      </c>
      <c r="J56" s="359">
        <v>10</v>
      </c>
      <c r="K56" s="359">
        <v>11</v>
      </c>
      <c r="L56" s="359">
        <v>12</v>
      </c>
      <c r="M56" s="359">
        <v>13</v>
      </c>
      <c r="N56" s="359">
        <v>14</v>
      </c>
      <c r="O56" s="359">
        <v>15</v>
      </c>
      <c r="P56" s="359">
        <v>16</v>
      </c>
      <c r="Q56" s="359">
        <v>17</v>
      </c>
      <c r="R56" s="359">
        <v>18</v>
      </c>
      <c r="S56" s="359">
        <v>19</v>
      </c>
      <c r="T56" s="359">
        <v>20</v>
      </c>
      <c r="U56" s="359">
        <v>21</v>
      </c>
      <c r="V56" s="359">
        <v>22</v>
      </c>
      <c r="W56" s="359">
        <v>23</v>
      </c>
      <c r="X56" s="359">
        <v>24</v>
      </c>
      <c r="Y56" s="359">
        <v>25</v>
      </c>
      <c r="Z56" s="359">
        <v>26</v>
      </c>
      <c r="AA56" s="359">
        <v>27</v>
      </c>
      <c r="AB56" s="359">
        <v>28</v>
      </c>
      <c r="AC56" s="359">
        <v>29</v>
      </c>
      <c r="AD56" s="359">
        <v>30</v>
      </c>
      <c r="AE56" s="316"/>
      <c r="AF56" s="316"/>
    </row>
    <row r="57" spans="1:38" customFormat="1" ht="15" customHeight="1" x14ac:dyDescent="0.3">
      <c r="A57" s="114" t="s">
        <v>2568</v>
      </c>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row>
    <row r="58" spans="1:38" customFormat="1" x14ac:dyDescent="0.3">
      <c r="A58" s="1777" t="s">
        <v>602</v>
      </c>
      <c r="B58" s="1777"/>
      <c r="C58" s="1777"/>
      <c r="D58" s="1777"/>
      <c r="E58" s="1777"/>
      <c r="F58" s="1777"/>
      <c r="G58" s="1777"/>
      <c r="H58" s="1777"/>
      <c r="I58" s="1777"/>
      <c r="J58" s="1777"/>
      <c r="K58" s="1777" t="s">
        <v>2577</v>
      </c>
      <c r="L58" s="1777"/>
      <c r="M58" s="1777"/>
      <c r="N58" s="1777"/>
      <c r="O58" s="1777"/>
      <c r="P58" s="1777" t="s">
        <v>2578</v>
      </c>
      <c r="Q58" s="1777"/>
      <c r="R58" s="1777"/>
      <c r="S58" s="1777"/>
      <c r="T58" s="1777"/>
      <c r="U58" s="1777" t="s">
        <v>2579</v>
      </c>
      <c r="V58" s="1777"/>
      <c r="W58" s="1777"/>
      <c r="X58" s="1777"/>
      <c r="Y58" s="1777"/>
      <c r="Z58" s="1777" t="s">
        <v>2580</v>
      </c>
      <c r="AA58" s="1777"/>
      <c r="AB58" s="1777"/>
      <c r="AC58" s="1777"/>
      <c r="AD58" s="1777"/>
      <c r="AE58" s="316"/>
      <c r="AF58" s="316"/>
      <c r="AG58" s="316"/>
      <c r="AH58" s="316"/>
      <c r="AI58" s="316"/>
      <c r="AJ58" s="316"/>
      <c r="AK58" s="316"/>
    </row>
    <row r="59" spans="1:38" customFormat="1" ht="15" customHeight="1" x14ac:dyDescent="0.3">
      <c r="A59" s="1777" t="s">
        <v>603</v>
      </c>
      <c r="B59" s="1777"/>
      <c r="C59" s="1777"/>
      <c r="D59" s="1777"/>
      <c r="E59" s="1777"/>
      <c r="F59" s="1777"/>
      <c r="G59" s="1777"/>
      <c r="H59" s="1777"/>
      <c r="I59" s="1777"/>
      <c r="J59" s="1777"/>
      <c r="K59" s="1778">
        <v>0.56999999999999995</v>
      </c>
      <c r="L59" s="1778"/>
      <c r="M59" s="1778"/>
      <c r="N59" s="1778"/>
      <c r="O59" s="1778"/>
      <c r="P59" s="1778">
        <v>0.498</v>
      </c>
      <c r="Q59" s="1778"/>
      <c r="R59" s="1778"/>
      <c r="S59" s="1778"/>
      <c r="T59" s="1778"/>
      <c r="U59" s="1778">
        <v>0.56999999999999995</v>
      </c>
      <c r="V59" s="1778"/>
      <c r="W59" s="1778"/>
      <c r="X59" s="1778"/>
      <c r="Y59" s="1778"/>
      <c r="Z59" s="1778">
        <v>0.51</v>
      </c>
      <c r="AA59" s="1778"/>
      <c r="AB59" s="1778"/>
      <c r="AC59" s="1778"/>
      <c r="AD59" s="1778"/>
      <c r="AE59" s="316"/>
      <c r="AF59" s="316"/>
      <c r="AG59" s="316"/>
      <c r="AH59" s="316"/>
      <c r="AI59" s="316"/>
      <c r="AJ59" s="316"/>
      <c r="AK59" s="316"/>
    </row>
    <row r="60" spans="1:38" customFormat="1" ht="15" customHeight="1" x14ac:dyDescent="0.3">
      <c r="A60" s="1777" t="s">
        <v>607</v>
      </c>
      <c r="B60" s="1777"/>
      <c r="C60" s="1777"/>
      <c r="D60" s="1777"/>
      <c r="E60" s="1777"/>
      <c r="F60" s="1777"/>
      <c r="G60" s="1777"/>
      <c r="H60" s="1777"/>
      <c r="I60" s="1777"/>
      <c r="J60" s="1777"/>
      <c r="K60" s="1778" t="s">
        <v>230</v>
      </c>
      <c r="L60" s="1778"/>
      <c r="M60" s="1778"/>
      <c r="N60" s="1778"/>
      <c r="O60" s="1778"/>
      <c r="P60" s="1778" t="s">
        <v>230</v>
      </c>
      <c r="Q60" s="1778"/>
      <c r="R60" s="1778"/>
      <c r="S60" s="1778"/>
      <c r="T60" s="1778"/>
      <c r="U60" s="1778">
        <v>0.2</v>
      </c>
      <c r="V60" s="1778"/>
      <c r="W60" s="1778"/>
      <c r="X60" s="1778"/>
      <c r="Y60" s="1778"/>
      <c r="Z60" s="1778">
        <v>0.24299999999999999</v>
      </c>
      <c r="AA60" s="1778"/>
      <c r="AB60" s="1778"/>
      <c r="AC60" s="1778"/>
      <c r="AD60" s="1778"/>
      <c r="AE60" s="316"/>
      <c r="AF60" s="316"/>
      <c r="AG60" s="316"/>
      <c r="AH60" s="316"/>
      <c r="AI60" s="316"/>
      <c r="AJ60" s="316"/>
      <c r="AK60" s="316"/>
    </row>
    <row r="61" spans="1:38" customFormat="1" ht="15" customHeight="1" x14ac:dyDescent="0.3">
      <c r="A61" s="1777" t="s">
        <v>605</v>
      </c>
      <c r="B61" s="1777"/>
      <c r="C61" s="1777"/>
      <c r="D61" s="1777"/>
      <c r="E61" s="1777"/>
      <c r="F61" s="1777"/>
      <c r="G61" s="1777"/>
      <c r="H61" s="1777"/>
      <c r="I61" s="1777"/>
      <c r="J61" s="1777"/>
      <c r="K61" s="1778">
        <v>0.31</v>
      </c>
      <c r="L61" s="1778"/>
      <c r="M61" s="1778"/>
      <c r="N61" s="1778"/>
      <c r="O61" s="1778"/>
      <c r="P61" s="1778">
        <v>0.35599999999999998</v>
      </c>
      <c r="Q61" s="1778"/>
      <c r="R61" s="1778"/>
      <c r="S61" s="1778"/>
      <c r="T61" s="1778"/>
      <c r="U61" s="1778" t="s">
        <v>230</v>
      </c>
      <c r="V61" s="1778"/>
      <c r="W61" s="1778"/>
      <c r="X61" s="1778"/>
      <c r="Y61" s="1778"/>
      <c r="Z61" s="1778" t="s">
        <v>230</v>
      </c>
      <c r="AA61" s="1778"/>
      <c r="AB61" s="1778"/>
      <c r="AC61" s="1778"/>
      <c r="AD61" s="1778"/>
      <c r="AE61" s="316"/>
      <c r="AF61" s="316"/>
      <c r="AG61" s="316"/>
      <c r="AH61" s="316"/>
      <c r="AI61" s="316"/>
      <c r="AJ61" s="316"/>
      <c r="AK61" s="316"/>
    </row>
    <row r="62" spans="1:38" customFormat="1" ht="15" customHeight="1" x14ac:dyDescent="0.3">
      <c r="A62" s="1777" t="s">
        <v>604</v>
      </c>
      <c r="B62" s="1777"/>
      <c r="C62" s="1777"/>
      <c r="D62" s="1777"/>
      <c r="E62" s="1777"/>
      <c r="F62" s="1777"/>
      <c r="G62" s="1777"/>
      <c r="H62" s="1777"/>
      <c r="I62" s="1777"/>
      <c r="J62" s="1777"/>
      <c r="K62" s="1778">
        <v>0.06</v>
      </c>
      <c r="L62" s="1778"/>
      <c r="M62" s="1778"/>
      <c r="N62" s="1778"/>
      <c r="O62" s="1778"/>
      <c r="P62" s="1778">
        <v>0.10100000000000001</v>
      </c>
      <c r="Q62" s="1778"/>
      <c r="R62" s="1778"/>
      <c r="S62" s="1778"/>
      <c r="T62" s="1778"/>
      <c r="U62" s="1778" t="s">
        <v>230</v>
      </c>
      <c r="V62" s="1778"/>
      <c r="W62" s="1778"/>
      <c r="X62" s="1778"/>
      <c r="Y62" s="1778"/>
      <c r="Z62" s="1778" t="s">
        <v>230</v>
      </c>
      <c r="AA62" s="1778"/>
      <c r="AB62" s="1778"/>
      <c r="AC62" s="1778"/>
      <c r="AD62" s="1778"/>
      <c r="AE62" s="316"/>
      <c r="AF62" s="316"/>
      <c r="AG62" s="316"/>
      <c r="AH62" s="316"/>
      <c r="AI62" s="316"/>
      <c r="AJ62" s="316"/>
      <c r="AK62" s="316"/>
    </row>
    <row r="63" spans="1:38" customFormat="1" ht="15" customHeight="1" x14ac:dyDescent="0.3">
      <c r="A63" s="1777" t="s">
        <v>606</v>
      </c>
      <c r="B63" s="1777"/>
      <c r="C63" s="1777"/>
      <c r="D63" s="1777"/>
      <c r="E63" s="1777"/>
      <c r="F63" s="1777"/>
      <c r="G63" s="1777"/>
      <c r="H63" s="1777"/>
      <c r="I63" s="1777"/>
      <c r="J63" s="1777"/>
      <c r="K63" s="1778">
        <v>0.22</v>
      </c>
      <c r="L63" s="1778"/>
      <c r="M63" s="1778"/>
      <c r="N63" s="1778"/>
      <c r="O63" s="1778"/>
      <c r="P63" s="1778">
        <v>0.27200000000000002</v>
      </c>
      <c r="Q63" s="1778"/>
      <c r="R63" s="1778"/>
      <c r="S63" s="1778"/>
      <c r="T63" s="1778"/>
      <c r="U63" s="1778" t="s">
        <v>230</v>
      </c>
      <c r="V63" s="1778"/>
      <c r="W63" s="1778"/>
      <c r="X63" s="1778"/>
      <c r="Y63" s="1778"/>
      <c r="Z63" s="1778" t="s">
        <v>230</v>
      </c>
      <c r="AA63" s="1778"/>
      <c r="AB63" s="1778"/>
      <c r="AC63" s="1778"/>
      <c r="AD63" s="1778"/>
      <c r="AE63" s="316"/>
      <c r="AF63" s="316"/>
      <c r="AG63" s="316"/>
      <c r="AH63" s="316"/>
      <c r="AI63" s="316"/>
      <c r="AJ63" s="316"/>
      <c r="AK63" s="316"/>
    </row>
    <row r="64" spans="1:38" customFormat="1" ht="15" customHeight="1" x14ac:dyDescent="0.3">
      <c r="A64" s="1777" t="s">
        <v>608</v>
      </c>
      <c r="B64" s="1777"/>
      <c r="C64" s="1777"/>
      <c r="D64" s="1777"/>
      <c r="E64" s="1777"/>
      <c r="F64" s="1777"/>
      <c r="G64" s="1777"/>
      <c r="H64" s="1777"/>
      <c r="I64" s="1777"/>
      <c r="J64" s="1777"/>
      <c r="K64" s="1778" t="s">
        <v>230</v>
      </c>
      <c r="L64" s="1778"/>
      <c r="M64" s="1778"/>
      <c r="N64" s="1778"/>
      <c r="O64" s="1778"/>
      <c r="P64" s="1778" t="s">
        <v>230</v>
      </c>
      <c r="Q64" s="1778"/>
      <c r="R64" s="1778"/>
      <c r="S64" s="1778"/>
      <c r="T64" s="1778"/>
      <c r="U64" s="1778">
        <v>0.47</v>
      </c>
      <c r="V64" s="1778"/>
      <c r="W64" s="1778"/>
      <c r="X64" s="1778"/>
      <c r="Y64" s="1778"/>
      <c r="Z64" s="1778">
        <v>0.45500000000000002</v>
      </c>
      <c r="AA64" s="1778"/>
      <c r="AB64" s="1778"/>
      <c r="AC64" s="1778"/>
      <c r="AD64" s="1778"/>
      <c r="AE64" s="316"/>
      <c r="AF64" s="316"/>
      <c r="AG64" s="316"/>
      <c r="AH64" s="316"/>
      <c r="AI64" s="316"/>
      <c r="AJ64" s="316"/>
      <c r="AK64" s="316"/>
    </row>
    <row r="65" spans="1:51" customFormat="1" ht="15" customHeight="1" x14ac:dyDescent="0.3">
      <c r="A65" s="1762" t="s">
        <v>49</v>
      </c>
      <c r="B65" s="1762"/>
      <c r="C65" s="1762"/>
      <c r="D65" s="1762"/>
      <c r="E65" s="1762"/>
      <c r="F65" s="1762"/>
      <c r="G65" s="1762"/>
      <c r="H65" s="1762"/>
      <c r="I65" s="1762"/>
      <c r="J65" s="1762"/>
      <c r="K65" s="1763">
        <f>ROUND(AVERAGE(K59:O64),2)</f>
        <v>0.28999999999999998</v>
      </c>
      <c r="L65" s="1763"/>
      <c r="M65" s="1763"/>
      <c r="N65" s="1763"/>
      <c r="O65" s="1763"/>
      <c r="P65" s="1763">
        <f>ROUND(AVERAGE(P59:T64),2)</f>
        <v>0.31</v>
      </c>
      <c r="Q65" s="1763"/>
      <c r="R65" s="1763"/>
      <c r="S65" s="1763"/>
      <c r="T65" s="1763"/>
      <c r="U65" s="1763">
        <f>ROUND(AVERAGE(U59:Y64),2)</f>
        <v>0.41</v>
      </c>
      <c r="V65" s="1763"/>
      <c r="W65" s="1763"/>
      <c r="X65" s="1763"/>
      <c r="Y65" s="1763"/>
      <c r="Z65" s="1763">
        <f>ROUND(AVERAGE(Z59:AD64),2)</f>
        <v>0.4</v>
      </c>
      <c r="AA65" s="1763"/>
      <c r="AB65" s="1763"/>
      <c r="AC65" s="1763"/>
      <c r="AD65" s="1763"/>
      <c r="AE65" s="316"/>
      <c r="AF65" s="316"/>
      <c r="AG65" s="316"/>
      <c r="AH65" s="316"/>
      <c r="AI65" s="316"/>
      <c r="AJ65" s="316"/>
      <c r="AK65" s="316"/>
    </row>
    <row r="66" spans="1:51" s="1" customFormat="1" ht="54" customHeight="1" x14ac:dyDescent="0.3">
      <c r="A66" s="948" t="s">
        <v>2682</v>
      </c>
      <c r="B66" s="948"/>
      <c r="C66" s="948"/>
      <c r="D66" s="948"/>
      <c r="E66" s="948"/>
      <c r="F66" s="948"/>
      <c r="G66" s="948"/>
      <c r="H66" s="948"/>
      <c r="I66" s="948"/>
      <c r="J66" s="948"/>
      <c r="K66" s="948"/>
      <c r="L66" s="948"/>
      <c r="M66" s="948"/>
      <c r="N66" s="948"/>
      <c r="O66" s="948"/>
      <c r="P66" s="948"/>
      <c r="Q66" s="948"/>
      <c r="R66" s="948"/>
      <c r="S66" s="948"/>
      <c r="T66" s="948"/>
      <c r="U66" s="948"/>
      <c r="V66" s="948"/>
      <c r="W66" s="948"/>
      <c r="X66" s="948"/>
      <c r="Y66" s="948"/>
      <c r="Z66" s="948"/>
      <c r="AA66" s="948"/>
      <c r="AB66" s="948"/>
      <c r="AC66" s="948"/>
      <c r="AD66" s="948"/>
      <c r="AE66" s="948"/>
      <c r="AF66" s="948"/>
      <c r="AU66" s="357"/>
      <c r="AV66" s="358"/>
      <c r="AW66" s="358"/>
      <c r="AX66" s="358"/>
      <c r="AY66" s="358"/>
    </row>
    <row r="67" spans="1:51" s="1" customFormat="1" ht="30.75" customHeight="1" x14ac:dyDescent="0.3">
      <c r="A67" s="948" t="s">
        <v>2564</v>
      </c>
      <c r="B67" s="948"/>
      <c r="C67" s="948"/>
      <c r="D67" s="948"/>
      <c r="E67" s="948"/>
      <c r="F67" s="948"/>
      <c r="G67" s="948"/>
      <c r="H67" s="948"/>
      <c r="I67" s="948"/>
      <c r="J67" s="948"/>
      <c r="K67" s="948"/>
      <c r="L67" s="948"/>
      <c r="M67" s="948"/>
      <c r="N67" s="948"/>
      <c r="O67" s="948"/>
      <c r="P67" s="948"/>
      <c r="Q67" s="948"/>
      <c r="R67" s="948"/>
      <c r="S67" s="948"/>
      <c r="T67" s="948"/>
      <c r="U67" s="948"/>
      <c r="V67" s="948"/>
      <c r="W67" s="948"/>
      <c r="X67" s="948"/>
      <c r="Y67" s="948"/>
      <c r="Z67" s="948"/>
      <c r="AA67" s="948"/>
      <c r="AB67" s="948"/>
      <c r="AC67" s="948"/>
      <c r="AD67" s="948"/>
      <c r="AE67" s="948"/>
      <c r="AF67" s="948"/>
      <c r="AU67" s="357"/>
      <c r="AV67" s="358"/>
      <c r="AW67" s="358"/>
      <c r="AX67" s="358"/>
      <c r="AY67" s="358"/>
    </row>
    <row r="68" spans="1:51" x14ac:dyDescent="0.3">
      <c r="A68" s="3"/>
      <c r="B68" s="115"/>
      <c r="AU68" s="357"/>
      <c r="AV68" s="358"/>
      <c r="AW68" s="358"/>
      <c r="AX68" s="358"/>
      <c r="AY68" s="358"/>
    </row>
    <row r="69" spans="1:51" s="1" customFormat="1" ht="15" customHeight="1" x14ac:dyDescent="0.3">
      <c r="A69" s="1141" t="s">
        <v>14</v>
      </c>
      <c r="B69" s="1141"/>
      <c r="C69" s="1141"/>
      <c r="D69" s="1141"/>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c r="AU69" s="357"/>
      <c r="AV69" s="358"/>
      <c r="AW69" s="358"/>
      <c r="AX69" s="358"/>
      <c r="AY69" s="358"/>
    </row>
    <row r="70" spans="1:51" s="1" customFormat="1" x14ac:dyDescent="0.3">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U70" s="357"/>
      <c r="AV70" s="358"/>
      <c r="AW70" s="358"/>
      <c r="AX70" s="358"/>
      <c r="AY70" s="358"/>
    </row>
    <row r="71" spans="1:51" s="232" customFormat="1" x14ac:dyDescent="0.3">
      <c r="A71" s="1"/>
      <c r="B71" s="232" t="s">
        <v>2598</v>
      </c>
    </row>
    <row r="72" spans="1:51" s="232" customFormat="1" x14ac:dyDescent="0.3">
      <c r="A72" s="1"/>
      <c r="B72" s="232" t="s">
        <v>2599</v>
      </c>
    </row>
    <row r="73" spans="1:51" s="232" customFormat="1" x14ac:dyDescent="0.3"/>
    <row r="74" spans="1:51" ht="15" customHeight="1" x14ac:dyDescent="0.3">
      <c r="B74" s="8" t="s">
        <v>2569</v>
      </c>
      <c r="C74" s="2"/>
      <c r="D74" s="2"/>
      <c r="AU74" s="357"/>
      <c r="AV74" s="358"/>
      <c r="AW74" s="358"/>
      <c r="AX74" s="358"/>
      <c r="AY74" s="358"/>
    </row>
    <row r="75" spans="1:51" s="2" customFormat="1"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U75" s="357"/>
      <c r="AV75" s="358"/>
      <c r="AW75" s="358"/>
      <c r="AX75" s="358"/>
      <c r="AY75" s="358"/>
    </row>
    <row r="76" spans="1:51" x14ac:dyDescent="0.3">
      <c r="C76" s="1782" t="s">
        <v>2575</v>
      </c>
      <c r="D76" s="1783"/>
      <c r="E76" s="1783"/>
      <c r="F76" s="1784"/>
      <c r="AU76" s="357"/>
      <c r="AV76" s="358"/>
      <c r="AW76" s="358"/>
      <c r="AX76" s="358"/>
      <c r="AY76" s="358"/>
    </row>
    <row r="77" spans="1:51" x14ac:dyDescent="0.3">
      <c r="AU77" s="357"/>
      <c r="AV77" s="358"/>
      <c r="AW77" s="358"/>
      <c r="AX77" s="358"/>
      <c r="AY77" s="358"/>
    </row>
    <row r="78" spans="1:51" x14ac:dyDescent="0.3">
      <c r="B78" s="8" t="s">
        <v>2570</v>
      </c>
      <c r="C78" s="2"/>
      <c r="D78" s="2"/>
      <c r="AU78" s="357"/>
      <c r="AV78" s="358"/>
      <c r="AW78" s="358"/>
      <c r="AX78" s="358"/>
      <c r="AY78" s="358"/>
    </row>
    <row r="79" spans="1:51" x14ac:dyDescent="0.3">
      <c r="B79" s="4"/>
      <c r="C79" s="4"/>
      <c r="D79" s="4"/>
      <c r="E79" s="4"/>
      <c r="F79" s="4"/>
      <c r="G79" s="4"/>
      <c r="H79" s="4"/>
      <c r="I79" s="4"/>
      <c r="J79" s="4"/>
      <c r="K79" s="4"/>
      <c r="L79" s="4"/>
      <c r="M79" s="4"/>
      <c r="N79" s="4"/>
      <c r="O79" s="4"/>
      <c r="P79" s="4"/>
      <c r="AU79" s="357"/>
      <c r="AV79" s="358"/>
      <c r="AW79" s="358"/>
      <c r="AX79" s="358"/>
      <c r="AY79" s="358"/>
    </row>
    <row r="80" spans="1:51" ht="15.6" x14ac:dyDescent="0.3">
      <c r="C80" s="1782" t="s">
        <v>603</v>
      </c>
      <c r="D80" s="1783"/>
      <c r="E80" s="1783"/>
      <c r="F80" s="1783"/>
      <c r="G80" s="1783"/>
      <c r="H80" s="1783"/>
      <c r="I80" s="1784"/>
      <c r="M80" s="55" t="s">
        <v>2581</v>
      </c>
      <c r="N80" s="1779">
        <f>IF(C76="Fan VFD",VLOOKUP(C80,A59:AD64,11,FALSE),VLOOKUP(C80,A59:AD64,21,FALSE))</f>
        <v>0.56999999999999995</v>
      </c>
      <c r="O80" s="1780"/>
      <c r="P80" s="1780"/>
      <c r="Q80" s="1781"/>
      <c r="U80" s="55" t="s">
        <v>2582</v>
      </c>
      <c r="V80" s="1779">
        <f>IF(C76="Fan VFD",VLOOKUP(C80,A59:AD64,16,FALSE),VLOOKUP(C80,A59:AD64,26,FALSE))</f>
        <v>0.498</v>
      </c>
      <c r="W80" s="1780"/>
      <c r="X80" s="1780"/>
      <c r="Y80" s="1781"/>
      <c r="AU80" s="357"/>
      <c r="AV80" s="358"/>
      <c r="AW80" s="358"/>
      <c r="AX80" s="358"/>
      <c r="AY80" s="358"/>
    </row>
    <row r="81" spans="2:51" x14ac:dyDescent="0.3">
      <c r="AU81" s="357"/>
      <c r="AV81" s="358"/>
      <c r="AW81" s="358"/>
      <c r="AX81" s="358"/>
      <c r="AY81" s="358"/>
    </row>
    <row r="82" spans="2:51" x14ac:dyDescent="0.3">
      <c r="B82" s="8" t="s">
        <v>2584</v>
      </c>
      <c r="AU82" s="357"/>
      <c r="AV82" s="358"/>
      <c r="AW82" s="358"/>
      <c r="AX82" s="358"/>
      <c r="AY82" s="358"/>
    </row>
    <row r="83" spans="2:51" x14ac:dyDescent="0.3">
      <c r="AU83" s="357"/>
      <c r="AV83" s="358"/>
      <c r="AW83" s="358"/>
      <c r="AX83" s="358"/>
      <c r="AY83" s="358"/>
    </row>
    <row r="84" spans="2:51" x14ac:dyDescent="0.3">
      <c r="C84" s="1782">
        <v>2</v>
      </c>
      <c r="D84" s="1783"/>
      <c r="E84" s="1783"/>
      <c r="F84" s="1784"/>
      <c r="AU84" s="357"/>
      <c r="AV84" s="358"/>
      <c r="AW84" s="358"/>
      <c r="AX84" s="358"/>
      <c r="AY84" s="358"/>
    </row>
    <row r="85" spans="2:51" x14ac:dyDescent="0.3">
      <c r="AU85" s="357"/>
      <c r="AV85" s="358"/>
      <c r="AW85" s="358"/>
      <c r="AX85" s="358"/>
      <c r="AY85" s="358"/>
    </row>
    <row r="86" spans="2:51" x14ac:dyDescent="0.3">
      <c r="B86" s="8" t="s">
        <v>2583</v>
      </c>
      <c r="AU86" s="357"/>
      <c r="AV86" s="358"/>
      <c r="AW86" s="358"/>
      <c r="AX86" s="358"/>
      <c r="AY86" s="358"/>
    </row>
    <row r="87" spans="2:51" x14ac:dyDescent="0.3">
      <c r="AU87" s="357"/>
      <c r="AV87" s="358"/>
      <c r="AW87" s="358"/>
      <c r="AX87" s="358"/>
      <c r="AY87" s="358"/>
    </row>
    <row r="88" spans="2:51" x14ac:dyDescent="0.3">
      <c r="C88" s="1785">
        <v>0.85499999999999998</v>
      </c>
      <c r="D88" s="1786"/>
      <c r="E88" s="1786"/>
      <c r="F88" s="1787"/>
      <c r="AU88" s="357"/>
      <c r="AV88" s="358"/>
      <c r="AW88" s="358"/>
      <c r="AX88" s="358"/>
      <c r="AY88" s="358"/>
    </row>
    <row r="89" spans="2:51" x14ac:dyDescent="0.3">
      <c r="AU89" s="357"/>
      <c r="AV89" s="358"/>
      <c r="AW89" s="358"/>
      <c r="AX89" s="358"/>
      <c r="AY89" s="358"/>
    </row>
    <row r="90" spans="2:51" x14ac:dyDescent="0.3">
      <c r="B90" s="8" t="s">
        <v>2574</v>
      </c>
      <c r="AU90" s="357"/>
      <c r="AV90" s="358"/>
      <c r="AW90" s="358"/>
      <c r="AX90" s="358"/>
      <c r="AY90" s="358"/>
    </row>
    <row r="91" spans="2:51" x14ac:dyDescent="0.3">
      <c r="AU91" s="357"/>
      <c r="AV91" s="358"/>
      <c r="AW91" s="358"/>
      <c r="AX91" s="358"/>
      <c r="AY91" s="358"/>
    </row>
    <row r="92" spans="2:51" ht="31.5" customHeight="1" x14ac:dyDescent="0.3">
      <c r="C92" s="1782">
        <v>0.5</v>
      </c>
      <c r="D92" s="1783"/>
      <c r="E92" s="1783"/>
      <c r="F92" s="1784"/>
      <c r="H92" s="1058" t="s">
        <v>2600</v>
      </c>
      <c r="I92" s="1058"/>
      <c r="J92" s="1058"/>
      <c r="K92" s="1058"/>
      <c r="L92" s="1058"/>
      <c r="M92" s="1058"/>
      <c r="N92" s="1058"/>
      <c r="O92" s="1058"/>
      <c r="P92" s="1058"/>
      <c r="Q92" s="1058"/>
      <c r="R92" s="1058"/>
      <c r="S92" s="1058"/>
      <c r="T92" s="1058"/>
      <c r="U92" s="1058"/>
      <c r="V92" s="1058"/>
      <c r="W92" s="1058"/>
      <c r="X92" s="1058"/>
      <c r="Y92" s="1058"/>
      <c r="Z92" s="1058"/>
      <c r="AA92" s="1058"/>
      <c r="AB92" s="1058"/>
      <c r="AC92" s="1058"/>
      <c r="AD92" s="1058"/>
      <c r="AE92" s="1058"/>
      <c r="AF92" s="1058"/>
      <c r="AU92" s="357"/>
      <c r="AV92" s="358"/>
      <c r="AW92" s="358"/>
      <c r="AX92" s="358"/>
      <c r="AY92" s="358"/>
    </row>
    <row r="93" spans="2:51" x14ac:dyDescent="0.3">
      <c r="AU93" s="357"/>
      <c r="AV93" s="358"/>
      <c r="AW93" s="358"/>
      <c r="AX93" s="358"/>
      <c r="AY93" s="358"/>
    </row>
    <row r="94" spans="2:51" x14ac:dyDescent="0.3">
      <c r="B94" s="8" t="s">
        <v>2573</v>
      </c>
      <c r="AU94" s="357"/>
      <c r="AV94" s="358"/>
      <c r="AW94" s="358"/>
      <c r="AX94" s="358"/>
      <c r="AY94" s="358"/>
    </row>
    <row r="95" spans="2:51" x14ac:dyDescent="0.3">
      <c r="AU95" s="357"/>
      <c r="AV95" s="358"/>
      <c r="AW95" s="358"/>
      <c r="AX95" s="358"/>
      <c r="AY95" s="358"/>
    </row>
    <row r="96" spans="2:51" ht="65.25" customHeight="1" x14ac:dyDescent="0.3">
      <c r="C96" s="1788">
        <v>4000</v>
      </c>
      <c r="D96" s="1789"/>
      <c r="E96" s="1789"/>
      <c r="F96" s="1790"/>
      <c r="H96" s="1058" t="s">
        <v>2601</v>
      </c>
      <c r="I96" s="1058"/>
      <c r="J96" s="1058"/>
      <c r="K96" s="1058"/>
      <c r="L96" s="1058"/>
      <c r="M96" s="1058"/>
      <c r="N96" s="1058"/>
      <c r="O96" s="1058"/>
      <c r="P96" s="1058"/>
      <c r="Q96" s="1058"/>
      <c r="R96" s="1058"/>
      <c r="S96" s="1058"/>
      <c r="T96" s="1058"/>
      <c r="U96" s="1058"/>
      <c r="V96" s="1058"/>
      <c r="W96" s="1058"/>
      <c r="X96" s="1058"/>
      <c r="Y96" s="1058"/>
      <c r="Z96" s="1058"/>
      <c r="AA96" s="1058"/>
      <c r="AB96" s="1058"/>
      <c r="AC96" s="1058"/>
      <c r="AD96" s="1058"/>
      <c r="AE96" s="1058"/>
      <c r="AF96" s="1058"/>
      <c r="AU96" s="357"/>
      <c r="AV96" s="358"/>
      <c r="AW96" s="358"/>
      <c r="AX96" s="358"/>
      <c r="AY96" s="358"/>
    </row>
    <row r="97" spans="1:51" x14ac:dyDescent="0.3">
      <c r="AU97" s="357"/>
      <c r="AV97" s="358"/>
      <c r="AW97" s="358"/>
      <c r="AX97" s="358"/>
      <c r="AY97" s="358"/>
    </row>
    <row r="98" spans="1:51" ht="15" thickBot="1" x14ac:dyDescent="0.35"/>
    <row r="99" spans="1:51" ht="33" customHeight="1" x14ac:dyDescent="0.3">
      <c r="A99" s="1252" t="s">
        <v>15</v>
      </c>
      <c r="B99" s="1253"/>
      <c r="C99" s="1253"/>
      <c r="D99" s="1253"/>
      <c r="E99" s="1253"/>
      <c r="F99" s="1253"/>
      <c r="G99" s="1253"/>
      <c r="H99" s="1253"/>
      <c r="I99" s="1278" t="s">
        <v>2780</v>
      </c>
      <c r="J99" s="1278"/>
      <c r="K99" s="1278"/>
      <c r="L99" s="1278"/>
      <c r="M99" s="1278"/>
      <c r="N99" s="1278"/>
      <c r="O99" s="1278"/>
      <c r="P99" s="1278"/>
      <c r="Q99" s="1278" t="s">
        <v>2776</v>
      </c>
      <c r="R99" s="1253"/>
      <c r="S99" s="1253"/>
      <c r="T99" s="1253"/>
      <c r="U99" s="1253"/>
      <c r="V99" s="1253"/>
      <c r="W99" s="1253"/>
      <c r="X99" s="1279"/>
      <c r="Y99" s="1278" t="s">
        <v>1554</v>
      </c>
      <c r="Z99" s="1253"/>
      <c r="AA99" s="1253"/>
      <c r="AB99" s="1253"/>
      <c r="AC99" s="1253"/>
      <c r="AD99" s="1253"/>
      <c r="AE99" s="1253"/>
      <c r="AF99" s="1254"/>
    </row>
    <row r="100" spans="1:51" ht="15" thickBot="1" x14ac:dyDescent="0.35">
      <c r="A100" s="1247" t="str">
        <f>C76</f>
        <v>Fan VFD</v>
      </c>
      <c r="B100" s="1248"/>
      <c r="C100" s="1248"/>
      <c r="D100" s="1248"/>
      <c r="E100" s="1248"/>
      <c r="F100" s="1248"/>
      <c r="G100" s="1248"/>
      <c r="H100" s="1248"/>
      <c r="I100" s="1280">
        <f>ROUND($C$84*0.746*(Q$44/C88)*C92*N80,3)</f>
        <v>0.373</v>
      </c>
      <c r="J100" s="1280"/>
      <c r="K100" s="1280"/>
      <c r="L100" s="1280"/>
      <c r="M100" s="1280"/>
      <c r="N100" s="1280"/>
      <c r="O100" s="1280"/>
      <c r="P100" s="1280"/>
      <c r="Q100" s="1281">
        <f>ROUND($C$84*0.746*(Q$44/C88)*C96*V80,2)</f>
        <v>2607.0700000000002</v>
      </c>
      <c r="R100" s="1281"/>
      <c r="S100" s="1281"/>
      <c r="T100" s="1281"/>
      <c r="U100" s="1281"/>
      <c r="V100" s="1281"/>
      <c r="W100" s="1281"/>
      <c r="X100" s="1282"/>
      <c r="Y100" s="1283">
        <f>Q100*Q50</f>
        <v>39106.050000000003</v>
      </c>
      <c r="Z100" s="1283"/>
      <c r="AA100" s="1283"/>
      <c r="AB100" s="1283"/>
      <c r="AC100" s="1283"/>
      <c r="AD100" s="1283"/>
      <c r="AE100" s="1283"/>
      <c r="AF100" s="1284"/>
    </row>
    <row r="101" spans="1:51" x14ac:dyDescent="0.25">
      <c r="A101" s="269" t="s">
        <v>2221</v>
      </c>
    </row>
    <row r="102" spans="1:51" x14ac:dyDescent="0.25">
      <c r="A102" s="269"/>
    </row>
    <row r="103" spans="1:51" x14ac:dyDescent="0.25">
      <c r="A103" s="269"/>
    </row>
    <row r="104" spans="1:51" x14ac:dyDescent="0.3">
      <c r="B104" s="232" t="s">
        <v>2602</v>
      </c>
    </row>
    <row r="106" spans="1:51" ht="31.5" customHeight="1" x14ac:dyDescent="0.3">
      <c r="A106" s="1764" t="s">
        <v>2608</v>
      </c>
      <c r="B106" s="1764"/>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c r="AF106" s="1764"/>
    </row>
    <row r="107" spans="1:51" ht="86.4" customHeight="1" x14ac:dyDescent="0.3">
      <c r="A107" s="1791" t="s">
        <v>46</v>
      </c>
      <c r="B107" s="1791"/>
      <c r="C107" s="1791"/>
      <c r="D107" s="1791"/>
      <c r="E107" s="1792" t="s">
        <v>21</v>
      </c>
      <c r="F107" s="1792"/>
      <c r="G107" s="1792" t="s">
        <v>2603</v>
      </c>
      <c r="H107" s="1792"/>
      <c r="I107" s="1791" t="s">
        <v>2596</v>
      </c>
      <c r="J107" s="1791"/>
      <c r="K107" s="1791"/>
      <c r="L107" s="1791"/>
      <c r="M107" s="1791" t="s">
        <v>2597</v>
      </c>
      <c r="N107" s="1791"/>
      <c r="O107" s="1791"/>
      <c r="P107" s="1791"/>
      <c r="Q107" s="1793" t="s">
        <v>2604</v>
      </c>
      <c r="R107" s="1793"/>
      <c r="S107" s="1793"/>
      <c r="T107" s="1793"/>
      <c r="U107" s="1793" t="s">
        <v>2605</v>
      </c>
      <c r="V107" s="1793"/>
      <c r="W107" s="1793"/>
      <c r="X107" s="1793"/>
      <c r="Y107" s="1793" t="s">
        <v>2606</v>
      </c>
      <c r="Z107" s="1793"/>
      <c r="AA107" s="1793"/>
      <c r="AB107" s="1793"/>
      <c r="AC107" s="1793" t="s">
        <v>2607</v>
      </c>
      <c r="AD107" s="1793"/>
      <c r="AE107" s="1793"/>
      <c r="AF107" s="1793"/>
    </row>
    <row r="108" spans="1:51" ht="28.95" customHeight="1" x14ac:dyDescent="0.3">
      <c r="A108" s="1766" t="s">
        <v>210</v>
      </c>
      <c r="B108" s="1766"/>
      <c r="C108" s="1766"/>
      <c r="D108" s="1766"/>
      <c r="E108" s="1767">
        <v>0.5</v>
      </c>
      <c r="F108" s="1767"/>
      <c r="G108" s="1768">
        <f>'EFLH &amp; CF'!I53</f>
        <v>2594</v>
      </c>
      <c r="H108" s="1768"/>
      <c r="I108" s="1769">
        <f>0.746*($Q$44/1)*$E108*$K$65</f>
        <v>8.1127499999999991E-2</v>
      </c>
      <c r="J108" s="1769"/>
      <c r="K108" s="1769"/>
      <c r="L108" s="1769"/>
      <c r="M108" s="1770">
        <f>0.746*($Q$44/1)*$G108*$P$65</f>
        <v>449.91633000000002</v>
      </c>
      <c r="N108" s="1770"/>
      <c r="O108" s="1770"/>
      <c r="P108" s="1770"/>
      <c r="Q108" s="1769">
        <f>0.746*($Q$44/1)*$E108*$U$65</f>
        <v>0.11469749999999999</v>
      </c>
      <c r="R108" s="1769"/>
      <c r="S108" s="1769"/>
      <c r="T108" s="1769"/>
      <c r="U108" s="1770">
        <f>0.746*($Q$44/1)*$G108*$Z$65</f>
        <v>580.5372000000001</v>
      </c>
      <c r="V108" s="1770"/>
      <c r="W108" s="1770"/>
      <c r="X108" s="1770"/>
      <c r="Y108" s="1769">
        <f>Q108</f>
        <v>0.11469749999999999</v>
      </c>
      <c r="Z108" s="1769"/>
      <c r="AA108" s="1769"/>
      <c r="AB108" s="1769"/>
      <c r="AC108" s="1770">
        <f>U108</f>
        <v>580.5372000000001</v>
      </c>
      <c r="AD108" s="1770"/>
      <c r="AE108" s="1770"/>
      <c r="AF108" s="1770"/>
    </row>
    <row r="109" spans="1:51" x14ac:dyDescent="0.3">
      <c r="A109" s="1766" t="s">
        <v>211</v>
      </c>
      <c r="B109" s="1766"/>
      <c r="C109" s="1766"/>
      <c r="D109" s="1766"/>
      <c r="E109" s="1767">
        <v>0.5</v>
      </c>
      <c r="F109" s="1767"/>
      <c r="G109" s="1768" t="str">
        <f>'EFLH &amp; CF'!I54</f>
        <v>Varies</v>
      </c>
      <c r="H109" s="1768"/>
      <c r="I109" s="1774" t="s">
        <v>1905</v>
      </c>
      <c r="J109" s="1775"/>
      <c r="K109" s="1775"/>
      <c r="L109" s="1776"/>
      <c r="M109" s="1771" t="s">
        <v>1905</v>
      </c>
      <c r="N109" s="1772"/>
      <c r="O109" s="1772"/>
      <c r="P109" s="1773"/>
      <c r="Q109" s="1774" t="s">
        <v>1905</v>
      </c>
      <c r="R109" s="1775"/>
      <c r="S109" s="1775"/>
      <c r="T109" s="1776"/>
      <c r="U109" s="1771" t="s">
        <v>1905</v>
      </c>
      <c r="V109" s="1772"/>
      <c r="W109" s="1772"/>
      <c r="X109" s="1773"/>
      <c r="Y109" s="1774" t="s">
        <v>1905</v>
      </c>
      <c r="Z109" s="1775"/>
      <c r="AA109" s="1775"/>
      <c r="AB109" s="1776"/>
      <c r="AC109" s="1771" t="s">
        <v>1905</v>
      </c>
      <c r="AD109" s="1772"/>
      <c r="AE109" s="1772"/>
      <c r="AF109" s="1773"/>
    </row>
    <row r="110" spans="1:51" x14ac:dyDescent="0.3">
      <c r="A110" s="1766" t="s">
        <v>212</v>
      </c>
      <c r="B110" s="1766"/>
      <c r="C110" s="1766"/>
      <c r="D110" s="1766"/>
      <c r="E110" s="1767">
        <v>0.5</v>
      </c>
      <c r="F110" s="1767"/>
      <c r="G110" s="1768">
        <f>'EFLH &amp; CF'!I55</f>
        <v>2549</v>
      </c>
      <c r="H110" s="1768"/>
      <c r="I110" s="1769">
        <f t="shared" ref="I110:I113" si="0">0.746*($Q$44/1)*$E110*$K$65</f>
        <v>8.1127499999999991E-2</v>
      </c>
      <c r="J110" s="1769"/>
      <c r="K110" s="1769"/>
      <c r="L110" s="1769"/>
      <c r="M110" s="1770">
        <f>0.746*($Q$44/1)*$G110*$P$65</f>
        <v>442.11130500000002</v>
      </c>
      <c r="N110" s="1770"/>
      <c r="O110" s="1770"/>
      <c r="P110" s="1770"/>
      <c r="Q110" s="1769">
        <f t="shared" ref="Q110:Q113" si="1">0.746*($Q$44/1)*$E110*$U$65</f>
        <v>0.11469749999999999</v>
      </c>
      <c r="R110" s="1769"/>
      <c r="S110" s="1769"/>
      <c r="T110" s="1769"/>
      <c r="U110" s="1770">
        <f t="shared" ref="U110:U113" si="2">0.746*($Q$44/1)*$G110*$Z$65</f>
        <v>570.46620000000007</v>
      </c>
      <c r="V110" s="1770"/>
      <c r="W110" s="1770"/>
      <c r="X110" s="1770"/>
      <c r="Y110" s="1769">
        <f t="shared" ref="Y110:Y113" si="3">Q110</f>
        <v>0.11469749999999999</v>
      </c>
      <c r="Z110" s="1769"/>
      <c r="AA110" s="1769"/>
      <c r="AB110" s="1769"/>
      <c r="AC110" s="1770">
        <f t="shared" ref="AC110:AC113" si="4">U110</f>
        <v>570.46620000000007</v>
      </c>
      <c r="AD110" s="1770"/>
      <c r="AE110" s="1770"/>
      <c r="AF110" s="1770"/>
    </row>
    <row r="111" spans="1:51" x14ac:dyDescent="0.3">
      <c r="A111" s="1766" t="s">
        <v>213</v>
      </c>
      <c r="B111" s="1766"/>
      <c r="C111" s="1766"/>
      <c r="D111" s="1766"/>
      <c r="E111" s="1767">
        <v>0.5</v>
      </c>
      <c r="F111" s="1767"/>
      <c r="G111" s="1768">
        <f>'EFLH &amp; CF'!I56</f>
        <v>1531</v>
      </c>
      <c r="H111" s="1768"/>
      <c r="I111" s="1769">
        <f t="shared" si="0"/>
        <v>8.1127499999999991E-2</v>
      </c>
      <c r="J111" s="1769"/>
      <c r="K111" s="1769"/>
      <c r="L111" s="1769"/>
      <c r="M111" s="1770">
        <f t="shared" ref="M111:M113" si="5">0.746*($Q$44/1)*$G111*$P$65</f>
        <v>265.54429500000003</v>
      </c>
      <c r="N111" s="1770"/>
      <c r="O111" s="1770"/>
      <c r="P111" s="1770"/>
      <c r="Q111" s="1769">
        <f t="shared" si="1"/>
        <v>0.11469749999999999</v>
      </c>
      <c r="R111" s="1769"/>
      <c r="S111" s="1769"/>
      <c r="T111" s="1769"/>
      <c r="U111" s="1770">
        <f t="shared" si="2"/>
        <v>342.63780000000003</v>
      </c>
      <c r="V111" s="1770"/>
      <c r="W111" s="1770"/>
      <c r="X111" s="1770"/>
      <c r="Y111" s="1769">
        <f t="shared" si="3"/>
        <v>0.11469749999999999</v>
      </c>
      <c r="Z111" s="1769"/>
      <c r="AA111" s="1769"/>
      <c r="AB111" s="1769"/>
      <c r="AC111" s="1770">
        <f t="shared" si="4"/>
        <v>342.63780000000003</v>
      </c>
      <c r="AD111" s="1770"/>
      <c r="AE111" s="1770"/>
      <c r="AF111" s="1770"/>
    </row>
    <row r="112" spans="1:51" x14ac:dyDescent="0.3">
      <c r="A112" s="1766" t="s">
        <v>214</v>
      </c>
      <c r="B112" s="1766"/>
      <c r="C112" s="1766"/>
      <c r="D112" s="1766"/>
      <c r="E112" s="1767">
        <v>0.5</v>
      </c>
      <c r="F112" s="1767"/>
      <c r="G112" s="1768">
        <f>'EFLH &amp; CF'!I57</f>
        <v>4891</v>
      </c>
      <c r="H112" s="1768"/>
      <c r="I112" s="1769">
        <f t="shared" si="0"/>
        <v>8.1127499999999991E-2</v>
      </c>
      <c r="J112" s="1769"/>
      <c r="K112" s="1769"/>
      <c r="L112" s="1769"/>
      <c r="M112" s="1770">
        <f t="shared" si="5"/>
        <v>848.31949499999996</v>
      </c>
      <c r="N112" s="1770"/>
      <c r="O112" s="1770"/>
      <c r="P112" s="1770"/>
      <c r="Q112" s="1769">
        <f t="shared" si="1"/>
        <v>0.11469749999999999</v>
      </c>
      <c r="R112" s="1769"/>
      <c r="S112" s="1769"/>
      <c r="T112" s="1769"/>
      <c r="U112" s="1770">
        <f t="shared" si="2"/>
        <v>1094.6058</v>
      </c>
      <c r="V112" s="1770"/>
      <c r="W112" s="1770"/>
      <c r="X112" s="1770"/>
      <c r="Y112" s="1769">
        <f t="shared" si="3"/>
        <v>0.11469749999999999</v>
      </c>
      <c r="Z112" s="1769"/>
      <c r="AA112" s="1769"/>
      <c r="AB112" s="1769"/>
      <c r="AC112" s="1770">
        <f t="shared" si="4"/>
        <v>1094.6058</v>
      </c>
      <c r="AD112" s="1770"/>
      <c r="AE112" s="1770"/>
      <c r="AF112" s="1770"/>
    </row>
    <row r="113" spans="1:33" x14ac:dyDescent="0.3">
      <c r="A113" s="1766" t="s">
        <v>215</v>
      </c>
      <c r="B113" s="1766"/>
      <c r="C113" s="1766"/>
      <c r="D113" s="1766"/>
      <c r="E113" s="1767">
        <v>0.5</v>
      </c>
      <c r="F113" s="1767"/>
      <c r="G113" s="1768">
        <f>'EFLH &amp; CF'!I58</f>
        <v>4910</v>
      </c>
      <c r="H113" s="1768"/>
      <c r="I113" s="1769">
        <f t="shared" si="0"/>
        <v>8.1127499999999991E-2</v>
      </c>
      <c r="J113" s="1769"/>
      <c r="K113" s="1769"/>
      <c r="L113" s="1769"/>
      <c r="M113" s="1770">
        <f t="shared" si="5"/>
        <v>851.61495000000002</v>
      </c>
      <c r="N113" s="1770"/>
      <c r="O113" s="1770"/>
      <c r="P113" s="1770"/>
      <c r="Q113" s="1769">
        <f t="shared" si="1"/>
        <v>0.11469749999999999</v>
      </c>
      <c r="R113" s="1769"/>
      <c r="S113" s="1769"/>
      <c r="T113" s="1769"/>
      <c r="U113" s="1770">
        <f t="shared" si="2"/>
        <v>1098.8579999999999</v>
      </c>
      <c r="V113" s="1770"/>
      <c r="W113" s="1770"/>
      <c r="X113" s="1770"/>
      <c r="Y113" s="1769">
        <f t="shared" si="3"/>
        <v>0.11469749999999999</v>
      </c>
      <c r="Z113" s="1769"/>
      <c r="AA113" s="1769"/>
      <c r="AB113" s="1769"/>
      <c r="AC113" s="1770">
        <f t="shared" si="4"/>
        <v>1098.8579999999999</v>
      </c>
      <c r="AD113" s="1770"/>
      <c r="AE113" s="1770"/>
      <c r="AF113" s="1770"/>
    </row>
    <row r="114" spans="1:33" x14ac:dyDescent="0.3">
      <c r="A114" s="1766" t="s">
        <v>216</v>
      </c>
      <c r="B114" s="1766"/>
      <c r="C114" s="1766"/>
      <c r="D114" s="1766"/>
      <c r="E114" s="1767">
        <v>0.5</v>
      </c>
      <c r="F114" s="1767"/>
      <c r="G114" s="1768" t="str">
        <f>'EFLH &amp; CF'!I59</f>
        <v>Varies</v>
      </c>
      <c r="H114" s="1768"/>
      <c r="I114" s="1769" t="s">
        <v>1905</v>
      </c>
      <c r="J114" s="1769"/>
      <c r="K114" s="1769"/>
      <c r="L114" s="1769"/>
      <c r="M114" s="1770" t="s">
        <v>1905</v>
      </c>
      <c r="N114" s="1770"/>
      <c r="O114" s="1770"/>
      <c r="P114" s="1770"/>
      <c r="Q114" s="1769" t="s">
        <v>1905</v>
      </c>
      <c r="R114" s="1769"/>
      <c r="S114" s="1769"/>
      <c r="T114" s="1769"/>
      <c r="U114" s="1770" t="s">
        <v>1905</v>
      </c>
      <c r="V114" s="1770"/>
      <c r="W114" s="1770"/>
      <c r="X114" s="1770"/>
      <c r="Y114" s="1769" t="s">
        <v>1905</v>
      </c>
      <c r="Z114" s="1769"/>
      <c r="AA114" s="1769"/>
      <c r="AB114" s="1769"/>
      <c r="AC114" s="1770" t="s">
        <v>1905</v>
      </c>
      <c r="AD114" s="1770"/>
      <c r="AE114" s="1770"/>
      <c r="AF114" s="1770"/>
    </row>
    <row r="115" spans="1:33" x14ac:dyDescent="0.3">
      <c r="A115" s="1766" t="s">
        <v>47</v>
      </c>
      <c r="B115" s="1766"/>
      <c r="C115" s="1766"/>
      <c r="D115" s="1766"/>
      <c r="E115" s="1767">
        <v>0.5</v>
      </c>
      <c r="F115" s="1767"/>
      <c r="G115" s="1768">
        <f>'EFLH &amp; CF'!I60</f>
        <v>2754</v>
      </c>
      <c r="H115" s="1768"/>
      <c r="I115" s="1769">
        <f t="shared" ref="I115:I118" si="6">0.746*($Q$44/1)*$E115*$K$65</f>
        <v>8.1127499999999991E-2</v>
      </c>
      <c r="J115" s="1769"/>
      <c r="K115" s="1769"/>
      <c r="L115" s="1769"/>
      <c r="M115" s="1770">
        <f t="shared" ref="M115:M118" si="7">0.746*($Q$44/1)*$G115*$P$65</f>
        <v>477.66753</v>
      </c>
      <c r="N115" s="1770"/>
      <c r="O115" s="1770"/>
      <c r="P115" s="1770"/>
      <c r="Q115" s="1769">
        <f t="shared" ref="Q115:Q118" si="8">0.746*($Q$44/1)*$E115*$U$65</f>
        <v>0.11469749999999999</v>
      </c>
      <c r="R115" s="1769"/>
      <c r="S115" s="1769"/>
      <c r="T115" s="1769"/>
      <c r="U115" s="1771">
        <f t="shared" ref="U115:U118" si="9">0.746*($Q$44/1)*$G115*$Z$65</f>
        <v>616.34520000000009</v>
      </c>
      <c r="V115" s="1772"/>
      <c r="W115" s="1772"/>
      <c r="X115" s="1773"/>
      <c r="Y115" s="1769">
        <f t="shared" ref="Y115:Y118" si="10">Q115</f>
        <v>0.11469749999999999</v>
      </c>
      <c r="Z115" s="1769"/>
      <c r="AA115" s="1769"/>
      <c r="AB115" s="1769"/>
      <c r="AC115" s="1770">
        <f t="shared" ref="AC115:AC118" si="11">U115</f>
        <v>616.34520000000009</v>
      </c>
      <c r="AD115" s="1770"/>
      <c r="AE115" s="1770"/>
      <c r="AF115" s="1770"/>
    </row>
    <row r="116" spans="1:33" x14ac:dyDescent="0.3">
      <c r="A116" s="1766" t="s">
        <v>217</v>
      </c>
      <c r="B116" s="1766"/>
      <c r="C116" s="1766"/>
      <c r="D116" s="1766"/>
      <c r="E116" s="1767">
        <v>0.5</v>
      </c>
      <c r="F116" s="1767"/>
      <c r="G116" s="1768">
        <f>'EFLH &amp; CF'!I61</f>
        <v>2451</v>
      </c>
      <c r="H116" s="1768"/>
      <c r="I116" s="1769">
        <f t="shared" si="6"/>
        <v>8.1127499999999991E-2</v>
      </c>
      <c r="J116" s="1769"/>
      <c r="K116" s="1769"/>
      <c r="L116" s="1769"/>
      <c r="M116" s="1770">
        <f t="shared" si="7"/>
        <v>425.11369499999995</v>
      </c>
      <c r="N116" s="1770"/>
      <c r="O116" s="1770"/>
      <c r="P116" s="1770"/>
      <c r="Q116" s="1769">
        <f t="shared" si="8"/>
        <v>0.11469749999999999</v>
      </c>
      <c r="R116" s="1769"/>
      <c r="S116" s="1769"/>
      <c r="T116" s="1769"/>
      <c r="U116" s="1771">
        <f t="shared" si="9"/>
        <v>548.53380000000004</v>
      </c>
      <c r="V116" s="1772"/>
      <c r="W116" s="1772"/>
      <c r="X116" s="1773"/>
      <c r="Y116" s="1769">
        <f t="shared" si="10"/>
        <v>0.11469749999999999</v>
      </c>
      <c r="Z116" s="1769"/>
      <c r="AA116" s="1769"/>
      <c r="AB116" s="1769"/>
      <c r="AC116" s="1770">
        <f t="shared" si="11"/>
        <v>548.53380000000004</v>
      </c>
      <c r="AD116" s="1770"/>
      <c r="AE116" s="1770"/>
      <c r="AF116" s="1770"/>
    </row>
    <row r="117" spans="1:33" x14ac:dyDescent="0.3">
      <c r="A117" s="1766" t="s">
        <v>218</v>
      </c>
      <c r="B117" s="1766"/>
      <c r="C117" s="1766"/>
      <c r="D117" s="1766"/>
      <c r="E117" s="1767">
        <v>0.5</v>
      </c>
      <c r="F117" s="1767"/>
      <c r="G117" s="1768">
        <f>'EFLH &amp; CF'!I62</f>
        <v>1913</v>
      </c>
      <c r="H117" s="1768"/>
      <c r="I117" s="1769">
        <f t="shared" si="6"/>
        <v>8.1127499999999991E-2</v>
      </c>
      <c r="J117" s="1769"/>
      <c r="K117" s="1769"/>
      <c r="L117" s="1769"/>
      <c r="M117" s="1770">
        <f t="shared" si="7"/>
        <v>331.80028499999997</v>
      </c>
      <c r="N117" s="1770"/>
      <c r="O117" s="1770"/>
      <c r="P117" s="1770"/>
      <c r="Q117" s="1769">
        <f t="shared" si="8"/>
        <v>0.11469749999999999</v>
      </c>
      <c r="R117" s="1769"/>
      <c r="S117" s="1769"/>
      <c r="T117" s="1769"/>
      <c r="U117" s="1771">
        <f t="shared" si="9"/>
        <v>428.12940000000003</v>
      </c>
      <c r="V117" s="1772"/>
      <c r="W117" s="1772"/>
      <c r="X117" s="1773"/>
      <c r="Y117" s="1769">
        <f t="shared" si="10"/>
        <v>0.11469749999999999</v>
      </c>
      <c r="Z117" s="1769"/>
      <c r="AA117" s="1769"/>
      <c r="AB117" s="1769"/>
      <c r="AC117" s="1770">
        <f t="shared" si="11"/>
        <v>428.12940000000003</v>
      </c>
      <c r="AD117" s="1770"/>
      <c r="AE117" s="1770"/>
      <c r="AF117" s="1770"/>
    </row>
    <row r="118" spans="1:33" x14ac:dyDescent="0.3">
      <c r="A118" s="1766" t="s">
        <v>219</v>
      </c>
      <c r="B118" s="1766"/>
      <c r="C118" s="1766"/>
      <c r="D118" s="1766"/>
      <c r="E118" s="1767">
        <v>0.5</v>
      </c>
      <c r="F118" s="1767"/>
      <c r="G118" s="1768">
        <f>'EFLH &amp; CF'!I63</f>
        <v>1033</v>
      </c>
      <c r="H118" s="1768"/>
      <c r="I118" s="1769">
        <f t="shared" si="6"/>
        <v>8.1127499999999991E-2</v>
      </c>
      <c r="J118" s="1769"/>
      <c r="K118" s="1769"/>
      <c r="L118" s="1769"/>
      <c r="M118" s="1770">
        <f t="shared" si="7"/>
        <v>179.16868499999998</v>
      </c>
      <c r="N118" s="1770"/>
      <c r="O118" s="1770"/>
      <c r="P118" s="1770"/>
      <c r="Q118" s="1769">
        <f t="shared" si="8"/>
        <v>0.11469749999999999</v>
      </c>
      <c r="R118" s="1769"/>
      <c r="S118" s="1769"/>
      <c r="T118" s="1769"/>
      <c r="U118" s="1771">
        <f t="shared" si="9"/>
        <v>231.18539999999999</v>
      </c>
      <c r="V118" s="1772"/>
      <c r="W118" s="1772"/>
      <c r="X118" s="1773"/>
      <c r="Y118" s="1769">
        <f t="shared" si="10"/>
        <v>0.11469749999999999</v>
      </c>
      <c r="Z118" s="1769"/>
      <c r="AA118" s="1769"/>
      <c r="AB118" s="1769"/>
      <c r="AC118" s="1770">
        <f t="shared" si="11"/>
        <v>231.18539999999999</v>
      </c>
      <c r="AD118" s="1770"/>
      <c r="AE118" s="1770"/>
      <c r="AF118" s="1770"/>
    </row>
    <row r="119" spans="1:33" ht="44.25" customHeight="1" x14ac:dyDescent="0.3">
      <c r="A119" s="1765" t="s">
        <v>2808</v>
      </c>
      <c r="B119" s="1765"/>
      <c r="C119" s="1765"/>
      <c r="D119" s="1765"/>
      <c r="E119" s="1765"/>
      <c r="F119" s="1765"/>
      <c r="G119" s="1765"/>
      <c r="H119" s="1765"/>
      <c r="I119" s="1765"/>
      <c r="J119" s="1765"/>
      <c r="K119" s="1765"/>
      <c r="L119" s="1765"/>
      <c r="M119" s="1765"/>
      <c r="N119" s="1765"/>
      <c r="O119" s="1765"/>
      <c r="P119" s="1765"/>
      <c r="Q119" s="1765"/>
      <c r="R119" s="1765"/>
      <c r="S119" s="1765"/>
      <c r="T119" s="1765"/>
      <c r="U119" s="1765"/>
      <c r="V119" s="1765"/>
      <c r="W119" s="1765"/>
      <c r="X119" s="1765"/>
      <c r="Y119" s="1765"/>
      <c r="Z119" s="1765"/>
      <c r="AA119" s="1765"/>
      <c r="AB119" s="1765"/>
      <c r="AC119" s="1765"/>
      <c r="AD119" s="1765"/>
      <c r="AE119" s="1765"/>
      <c r="AF119" s="1765"/>
    </row>
    <row r="120" spans="1:33" ht="30" customHeight="1" x14ac:dyDescent="0.3">
      <c r="A120" s="1761" t="s">
        <v>2683</v>
      </c>
      <c r="B120" s="1761"/>
      <c r="C120" s="1761"/>
      <c r="D120" s="1761"/>
      <c r="E120" s="1761"/>
      <c r="F120" s="1761"/>
      <c r="G120" s="1761"/>
      <c r="H120" s="1761"/>
      <c r="I120" s="1761"/>
      <c r="J120" s="1761"/>
      <c r="K120" s="1761"/>
      <c r="L120" s="1761"/>
      <c r="M120" s="1761"/>
      <c r="N120" s="1761"/>
      <c r="O120" s="1761"/>
      <c r="P120" s="1761"/>
      <c r="Q120" s="1761"/>
      <c r="R120" s="1761"/>
      <c r="S120" s="1761"/>
      <c r="T120" s="1761"/>
      <c r="U120" s="1761"/>
      <c r="V120" s="1761"/>
      <c r="W120" s="1761"/>
      <c r="X120" s="1761"/>
      <c r="Y120" s="1761"/>
      <c r="Z120" s="1761"/>
      <c r="AA120" s="1761"/>
      <c r="AB120" s="1761"/>
      <c r="AC120" s="1761"/>
      <c r="AD120" s="1761"/>
      <c r="AE120" s="1761"/>
      <c r="AF120" s="1761"/>
    </row>
    <row r="121" spans="1:33" ht="14.4" customHeight="1" x14ac:dyDescent="0.3">
      <c r="B121" s="175"/>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row>
    <row r="122" spans="1:33" x14ac:dyDescent="0.3">
      <c r="A122" s="1141" t="s">
        <v>1514</v>
      </c>
      <c r="B122" s="1141"/>
      <c r="C122" s="1141"/>
      <c r="D122" s="1141"/>
      <c r="E122" s="1141"/>
      <c r="F122" s="1141"/>
      <c r="G122" s="1141"/>
      <c r="H122" s="1141"/>
      <c r="I122" s="1141"/>
      <c r="J122" s="1141"/>
      <c r="K122" s="1141"/>
      <c r="L122" s="1141"/>
      <c r="M122" s="1141"/>
      <c r="N122" s="1141"/>
      <c r="O122" s="1141"/>
      <c r="P122" s="1141"/>
      <c r="Q122" s="1141"/>
      <c r="R122" s="1141"/>
      <c r="S122" s="1141"/>
      <c r="T122" s="1141"/>
      <c r="U122" s="1141"/>
      <c r="V122" s="1141"/>
      <c r="W122" s="1141"/>
      <c r="X122" s="1141"/>
      <c r="Y122" s="1141"/>
      <c r="Z122" s="1141"/>
      <c r="AA122" s="1141"/>
      <c r="AB122" s="1141"/>
      <c r="AC122" s="1141"/>
      <c r="AD122" s="1141"/>
      <c r="AE122" s="1141"/>
      <c r="AF122" s="1141"/>
    </row>
    <row r="123" spans="1:33" x14ac:dyDescent="0.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3" x14ac:dyDescent="0.3">
      <c r="A124" s="368" t="s">
        <v>803</v>
      </c>
      <c r="B124" s="884" t="s">
        <v>2590</v>
      </c>
      <c r="C124" s="884"/>
      <c r="D124" s="884"/>
      <c r="E124" s="884"/>
      <c r="F124" s="884"/>
      <c r="G124" s="884"/>
      <c r="H124" s="884"/>
      <c r="I124" s="884"/>
      <c r="J124" s="884"/>
      <c r="K124" s="884"/>
      <c r="L124" s="884"/>
      <c r="M124" s="884"/>
      <c r="N124" s="884"/>
      <c r="O124" s="884"/>
      <c r="P124" s="884"/>
      <c r="Q124" s="884"/>
      <c r="R124" s="884"/>
      <c r="S124" s="884"/>
      <c r="T124" s="884"/>
      <c r="U124" s="884"/>
      <c r="V124" s="884"/>
      <c r="W124" s="884"/>
      <c r="X124" s="884"/>
      <c r="Y124" s="884"/>
      <c r="Z124" s="884"/>
      <c r="AA124" s="884"/>
      <c r="AB124" s="884"/>
      <c r="AC124" s="884"/>
      <c r="AD124" s="884"/>
      <c r="AE124" s="884"/>
      <c r="AF124" s="884"/>
    </row>
    <row r="125" spans="1:33" ht="51" customHeight="1" x14ac:dyDescent="0.3">
      <c r="A125" s="368" t="s">
        <v>803</v>
      </c>
      <c r="B125" s="863" t="s">
        <v>2587</v>
      </c>
      <c r="C125" s="863"/>
      <c r="D125" s="863"/>
      <c r="E125" s="863"/>
      <c r="F125" s="863"/>
      <c r="G125" s="863"/>
      <c r="H125" s="863"/>
      <c r="I125" s="863"/>
      <c r="J125" s="863"/>
      <c r="K125" s="863"/>
      <c r="L125" s="863"/>
      <c r="M125" s="863"/>
      <c r="N125" s="863"/>
      <c r="O125" s="863"/>
      <c r="P125" s="863"/>
      <c r="Q125" s="863"/>
      <c r="R125" s="863"/>
      <c r="S125" s="863"/>
      <c r="T125" s="863"/>
      <c r="U125" s="863"/>
      <c r="V125" s="863"/>
      <c r="W125" s="863"/>
      <c r="X125" s="863"/>
      <c r="Y125" s="863"/>
      <c r="Z125" s="863"/>
      <c r="AA125" s="863"/>
      <c r="AB125" s="863"/>
      <c r="AC125" s="863"/>
      <c r="AD125" s="863"/>
      <c r="AE125" s="863"/>
      <c r="AF125" s="863"/>
      <c r="AG125" s="863"/>
    </row>
    <row r="126" spans="1:33" ht="65.25" customHeight="1" x14ac:dyDescent="0.3">
      <c r="A126" s="368" t="s">
        <v>803</v>
      </c>
      <c r="B126" s="863" t="s">
        <v>2586</v>
      </c>
      <c r="C126" s="863"/>
      <c r="D126" s="863"/>
      <c r="E126" s="863"/>
      <c r="F126" s="863"/>
      <c r="G126" s="863"/>
      <c r="H126" s="863"/>
      <c r="I126" s="863"/>
      <c r="J126" s="863"/>
      <c r="K126" s="863"/>
      <c r="L126" s="863"/>
      <c r="M126" s="863"/>
      <c r="N126" s="863"/>
      <c r="O126" s="863"/>
      <c r="P126" s="863"/>
      <c r="Q126" s="863"/>
      <c r="R126" s="863"/>
      <c r="S126" s="863"/>
      <c r="T126" s="863"/>
      <c r="U126" s="863"/>
      <c r="V126" s="863"/>
      <c r="W126" s="863"/>
      <c r="X126" s="863"/>
      <c r="Y126" s="863"/>
      <c r="Z126" s="863"/>
      <c r="AA126" s="863"/>
      <c r="AB126" s="863"/>
      <c r="AC126" s="863"/>
      <c r="AD126" s="863"/>
      <c r="AE126" s="863"/>
      <c r="AF126" s="863"/>
      <c r="AG126" s="863"/>
    </row>
    <row r="127" spans="1:33" ht="65.25" customHeight="1" x14ac:dyDescent="0.3">
      <c r="A127" s="368" t="s">
        <v>803</v>
      </c>
      <c r="B127" s="863" t="s">
        <v>2588</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row>
  </sheetData>
  <sheetProtection algorithmName="SHA-512" hashValue="yFMeGHwkcKruh1rWtoqvF40zk6ue1mbJoOBTsLAgtLsiuG7amTEGzcNmNMDXNG7MH0Xbvjk39lv5wOky+MyNfQ==" saltValue="Zsl0tzMTcNVyKeD0UKaITw==" spinCount="100000" sheet="1" objects="1" scenarios="1"/>
  <mergeCells count="241">
    <mergeCell ref="N80:Q80"/>
    <mergeCell ref="A67:AF67"/>
    <mergeCell ref="A66:AF66"/>
    <mergeCell ref="A3:AF3"/>
    <mergeCell ref="B5:AF5"/>
    <mergeCell ref="A51:AF51"/>
    <mergeCell ref="A25:AF25"/>
    <mergeCell ref="A7:AF7"/>
    <mergeCell ref="B10:AF10"/>
    <mergeCell ref="B13:AF13"/>
    <mergeCell ref="A69:AF69"/>
    <mergeCell ref="X44:AF44"/>
    <mergeCell ref="Q43:T43"/>
    <mergeCell ref="U43:W43"/>
    <mergeCell ref="X43:AF43"/>
    <mergeCell ref="A46:D46"/>
    <mergeCell ref="E46:P46"/>
    <mergeCell ref="E47:P47"/>
    <mergeCell ref="Q47:T47"/>
    <mergeCell ref="U47:W47"/>
    <mergeCell ref="X47:AF47"/>
    <mergeCell ref="C76:F76"/>
    <mergeCell ref="X42:AF42"/>
    <mergeCell ref="A53:AF53"/>
    <mergeCell ref="A1:AF1"/>
    <mergeCell ref="B19:AF19"/>
    <mergeCell ref="A50:D50"/>
    <mergeCell ref="E50:P50"/>
    <mergeCell ref="Q50:T50"/>
    <mergeCell ref="U50:W50"/>
    <mergeCell ref="X50:AF50"/>
    <mergeCell ref="A49:D49"/>
    <mergeCell ref="E49:P49"/>
    <mergeCell ref="Q49:T49"/>
    <mergeCell ref="U49:W49"/>
    <mergeCell ref="X49:AF49"/>
    <mergeCell ref="A47:D47"/>
    <mergeCell ref="A42:D42"/>
    <mergeCell ref="E42:P42"/>
    <mergeCell ref="Q42:T42"/>
    <mergeCell ref="U42:W42"/>
    <mergeCell ref="A40:AF40"/>
    <mergeCell ref="A41:D41"/>
    <mergeCell ref="E41:P41"/>
    <mergeCell ref="Q41:T41"/>
    <mergeCell ref="U41:W41"/>
    <mergeCell ref="X41:AF41"/>
    <mergeCell ref="U46:W46"/>
    <mergeCell ref="A52:AF52"/>
    <mergeCell ref="A55:AF55"/>
    <mergeCell ref="A48:D48"/>
    <mergeCell ref="E48:P48"/>
    <mergeCell ref="Q48:T48"/>
    <mergeCell ref="U48:W48"/>
    <mergeCell ref="X48:AF48"/>
    <mergeCell ref="A54:AF54"/>
    <mergeCell ref="A43:D43"/>
    <mergeCell ref="E43:P43"/>
    <mergeCell ref="X46:AF46"/>
    <mergeCell ref="A45:D45"/>
    <mergeCell ref="Q46:T46"/>
    <mergeCell ref="E45:P45"/>
    <mergeCell ref="Q45:T45"/>
    <mergeCell ref="U45:W45"/>
    <mergeCell ref="X45:AF45"/>
    <mergeCell ref="A44:D44"/>
    <mergeCell ref="E44:P44"/>
    <mergeCell ref="Q44:T44"/>
    <mergeCell ref="U44:W44"/>
    <mergeCell ref="C96:F96"/>
    <mergeCell ref="A99:H99"/>
    <mergeCell ref="I99:P99"/>
    <mergeCell ref="Q99:X99"/>
    <mergeCell ref="H96:AF96"/>
    <mergeCell ref="A122:AF122"/>
    <mergeCell ref="B127:AG127"/>
    <mergeCell ref="B126:AG126"/>
    <mergeCell ref="B125:AG125"/>
    <mergeCell ref="B124:AF124"/>
    <mergeCell ref="A107:D107"/>
    <mergeCell ref="E107:F107"/>
    <mergeCell ref="G107:H107"/>
    <mergeCell ref="I107:L107"/>
    <mergeCell ref="M107:P107"/>
    <mergeCell ref="Q107:T107"/>
    <mergeCell ref="U107:X107"/>
    <mergeCell ref="Y107:AB107"/>
    <mergeCell ref="AC107:AF107"/>
    <mergeCell ref="A108:D108"/>
    <mergeCell ref="E108:F108"/>
    <mergeCell ref="G108:H108"/>
    <mergeCell ref="I108:L108"/>
    <mergeCell ref="M108:P108"/>
    <mergeCell ref="Z59:AD59"/>
    <mergeCell ref="Y99:AF99"/>
    <mergeCell ref="A100:H100"/>
    <mergeCell ref="I100:P100"/>
    <mergeCell ref="Q100:X100"/>
    <mergeCell ref="Y100:AF100"/>
    <mergeCell ref="V80:Y80"/>
    <mergeCell ref="C80:I80"/>
    <mergeCell ref="K58:O58"/>
    <mergeCell ref="P58:T58"/>
    <mergeCell ref="U58:Y58"/>
    <mergeCell ref="Z58:AD58"/>
    <mergeCell ref="K60:O60"/>
    <mergeCell ref="P60:T60"/>
    <mergeCell ref="U60:Y60"/>
    <mergeCell ref="Z60:AD60"/>
    <mergeCell ref="K61:O61"/>
    <mergeCell ref="P61:T61"/>
    <mergeCell ref="U61:Y61"/>
    <mergeCell ref="Z61:AD61"/>
    <mergeCell ref="K62:O62"/>
    <mergeCell ref="C84:F84"/>
    <mergeCell ref="C88:F88"/>
    <mergeCell ref="C92:F92"/>
    <mergeCell ref="Z62:AD62"/>
    <mergeCell ref="K63:O63"/>
    <mergeCell ref="P63:T63"/>
    <mergeCell ref="U63:Y63"/>
    <mergeCell ref="Z63:AD63"/>
    <mergeCell ref="K64:O64"/>
    <mergeCell ref="P64:T64"/>
    <mergeCell ref="U64:Y64"/>
    <mergeCell ref="Z64:AD64"/>
    <mergeCell ref="A58:J58"/>
    <mergeCell ref="A59:J59"/>
    <mergeCell ref="A60:J60"/>
    <mergeCell ref="A61:J61"/>
    <mergeCell ref="A62:J62"/>
    <mergeCell ref="A63:J63"/>
    <mergeCell ref="A64:J64"/>
    <mergeCell ref="P62:T62"/>
    <mergeCell ref="U62:Y62"/>
    <mergeCell ref="K59:O59"/>
    <mergeCell ref="P59:T59"/>
    <mergeCell ref="U59:Y59"/>
    <mergeCell ref="Q108:T108"/>
    <mergeCell ref="U108:X108"/>
    <mergeCell ref="Y108:AB108"/>
    <mergeCell ref="AC108:AF108"/>
    <mergeCell ref="A109:D109"/>
    <mergeCell ref="E109:F109"/>
    <mergeCell ref="G109:H109"/>
    <mergeCell ref="I109:L109"/>
    <mergeCell ref="M109:P109"/>
    <mergeCell ref="Q109:T109"/>
    <mergeCell ref="U109:X109"/>
    <mergeCell ref="Y109:AB109"/>
    <mergeCell ref="AC109:AF109"/>
    <mergeCell ref="A110:D110"/>
    <mergeCell ref="E110:F110"/>
    <mergeCell ref="G110:H110"/>
    <mergeCell ref="I110:L110"/>
    <mergeCell ref="M110:P110"/>
    <mergeCell ref="Q110:T110"/>
    <mergeCell ref="U110:X110"/>
    <mergeCell ref="Y110:AB110"/>
    <mergeCell ref="AC110:AF110"/>
    <mergeCell ref="A111:D111"/>
    <mergeCell ref="E111:F111"/>
    <mergeCell ref="G111:H111"/>
    <mergeCell ref="I111:L111"/>
    <mergeCell ref="M111:P111"/>
    <mergeCell ref="Q111:T111"/>
    <mergeCell ref="U111:X111"/>
    <mergeCell ref="Y111:AB111"/>
    <mergeCell ref="AC111:AF111"/>
    <mergeCell ref="A112:D112"/>
    <mergeCell ref="E112:F112"/>
    <mergeCell ref="G112:H112"/>
    <mergeCell ref="I112:L112"/>
    <mergeCell ref="M112:P112"/>
    <mergeCell ref="Q112:T112"/>
    <mergeCell ref="U112:X112"/>
    <mergeCell ref="Y112:AB112"/>
    <mergeCell ref="AC112:AF112"/>
    <mergeCell ref="A113:D113"/>
    <mergeCell ref="E113:F113"/>
    <mergeCell ref="G113:H113"/>
    <mergeCell ref="I113:L113"/>
    <mergeCell ref="M113:P113"/>
    <mergeCell ref="Q113:T113"/>
    <mergeCell ref="U113:X113"/>
    <mergeCell ref="Y113:AB113"/>
    <mergeCell ref="AC113:AF113"/>
    <mergeCell ref="A114:D114"/>
    <mergeCell ref="E114:F114"/>
    <mergeCell ref="G114:H114"/>
    <mergeCell ref="I114:L114"/>
    <mergeCell ref="M114:P114"/>
    <mergeCell ref="Q114:T114"/>
    <mergeCell ref="U114:X114"/>
    <mergeCell ref="Y114:AB114"/>
    <mergeCell ref="AC114:AF114"/>
    <mergeCell ref="A115:D115"/>
    <mergeCell ref="E115:F115"/>
    <mergeCell ref="G115:H115"/>
    <mergeCell ref="I115:L115"/>
    <mergeCell ref="M115:P115"/>
    <mergeCell ref="Q115:T115"/>
    <mergeCell ref="U115:X115"/>
    <mergeCell ref="Y115:AB115"/>
    <mergeCell ref="AC115:AF115"/>
    <mergeCell ref="U117:X117"/>
    <mergeCell ref="Y117:AB117"/>
    <mergeCell ref="AC117:AF117"/>
    <mergeCell ref="A116:D116"/>
    <mergeCell ref="E116:F116"/>
    <mergeCell ref="G116:H116"/>
    <mergeCell ref="I116:L116"/>
    <mergeCell ref="M116:P116"/>
    <mergeCell ref="Q116:T116"/>
    <mergeCell ref="U116:X116"/>
    <mergeCell ref="Y116:AB116"/>
    <mergeCell ref="AC116:AF116"/>
    <mergeCell ref="A120:AF120"/>
    <mergeCell ref="A65:J65"/>
    <mergeCell ref="K65:O65"/>
    <mergeCell ref="P65:T65"/>
    <mergeCell ref="U65:Y65"/>
    <mergeCell ref="Z65:AD65"/>
    <mergeCell ref="A106:AF106"/>
    <mergeCell ref="H92:AF92"/>
    <mergeCell ref="A119:AF119"/>
    <mergeCell ref="A118:D118"/>
    <mergeCell ref="E118:F118"/>
    <mergeCell ref="G118:H118"/>
    <mergeCell ref="I118:L118"/>
    <mergeCell ref="M118:P118"/>
    <mergeCell ref="Q118:T118"/>
    <mergeCell ref="U118:X118"/>
    <mergeCell ref="Y118:AB118"/>
    <mergeCell ref="AC118:AF118"/>
    <mergeCell ref="A117:D117"/>
    <mergeCell ref="E117:F117"/>
    <mergeCell ref="G117:H117"/>
    <mergeCell ref="I117:L117"/>
    <mergeCell ref="M117:P117"/>
    <mergeCell ref="Q117:T117"/>
  </mergeCells>
  <hyperlinks>
    <hyperlink ref="A2" location="TOC!A1" display="Return to TOC" xr:uid="{00000000-0004-0000-2500-000000000000}"/>
    <hyperlink ref="X45:AF45" location="'C_HVAC_VFD Water Pump Reference'!A1" display="See &quot;C_HVAC_VFD Water Pump Reference&quot; table if nameplate efficiency is missing" xr:uid="{00000000-0004-0000-25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3 AF34:AF3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500-000000000000}">
          <x14:formula1>
            <xm:f>Dropdown!$Q$6:$Q$7</xm:f>
          </x14:formula1>
          <xm:sqref>C76:F76</xm:sqref>
        </x14:dataValidation>
        <x14:dataValidation type="list" allowBlank="1" showInputMessage="1" showErrorMessage="1" xr:uid="{00000000-0002-0000-2500-000001000000}">
          <x14:formula1>
            <xm:f>Dropdown!$R$6:$R$11</xm:f>
          </x14:formula1>
          <xm:sqref>C80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F341"/>
  <sheetViews>
    <sheetView workbookViewId="0">
      <selection sqref="A1:AF1"/>
    </sheetView>
  </sheetViews>
  <sheetFormatPr defaultColWidth="8.88671875" defaultRowHeight="13.2" x14ac:dyDescent="0.25"/>
  <cols>
    <col min="1" max="1" width="11.109375" style="190" customWidth="1"/>
    <col min="2" max="2" width="8.6640625" style="190" customWidth="1"/>
    <col min="3" max="3" width="11.109375" style="190" customWidth="1"/>
    <col min="4" max="4" width="8.33203125" style="190" customWidth="1"/>
    <col min="5" max="5" width="11.109375" style="190" customWidth="1"/>
    <col min="6" max="6" width="12.88671875" style="190" bestFit="1" customWidth="1"/>
    <col min="7" max="7" width="8.6640625" style="190" bestFit="1" customWidth="1"/>
    <col min="8" max="8" width="14.5546875" style="190" bestFit="1" customWidth="1"/>
    <col min="9" max="16384" width="8.88671875" style="190"/>
  </cols>
  <sheetData>
    <row r="1" spans="1:32" s="1" customFormat="1" ht="18" x14ac:dyDescent="0.3">
      <c r="A1" s="1057" t="s">
        <v>2589</v>
      </c>
      <c r="B1" s="1057"/>
      <c r="C1" s="1057"/>
      <c r="D1" s="1057"/>
      <c r="E1" s="1057"/>
      <c r="F1" s="1057"/>
      <c r="G1" s="1057"/>
      <c r="H1" s="1057"/>
      <c r="I1" s="178"/>
      <c r="J1" s="178"/>
      <c r="K1" s="178"/>
      <c r="L1" s="178"/>
      <c r="M1" s="178"/>
      <c r="N1" s="178"/>
      <c r="O1" s="178"/>
      <c r="P1" s="178"/>
      <c r="Q1" s="178"/>
      <c r="R1" s="178"/>
      <c r="S1" s="178"/>
      <c r="T1" s="178"/>
      <c r="U1" s="178"/>
      <c r="V1" s="178"/>
      <c r="W1" s="178"/>
      <c r="X1" s="178"/>
      <c r="Y1" s="178"/>
      <c r="Z1" s="178"/>
      <c r="AA1" s="178"/>
      <c r="AB1" s="178"/>
      <c r="AC1" s="178"/>
      <c r="AD1" s="178"/>
      <c r="AE1" s="178"/>
      <c r="AF1" s="178"/>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228"/>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row>
    <row r="4" spans="1:32" s="1" customFormat="1" ht="62.25" customHeight="1" x14ac:dyDescent="0.3">
      <c r="A4" s="1373" t="s">
        <v>3019</v>
      </c>
      <c r="B4" s="1373"/>
      <c r="C4" s="1373"/>
      <c r="D4" s="1373"/>
      <c r="E4" s="1373"/>
      <c r="F4" s="1373"/>
      <c r="G4" s="1373"/>
      <c r="H4" s="1373"/>
      <c r="I4" s="145"/>
      <c r="J4" s="145"/>
      <c r="K4" s="145"/>
      <c r="L4" s="145"/>
      <c r="M4" s="145"/>
      <c r="N4" s="145"/>
      <c r="O4" s="145"/>
      <c r="P4" s="145"/>
      <c r="Q4" s="145"/>
      <c r="R4" s="145"/>
      <c r="S4" s="145"/>
      <c r="T4" s="145"/>
      <c r="U4" s="145"/>
      <c r="V4" s="145"/>
      <c r="W4" s="145"/>
      <c r="X4" s="145"/>
      <c r="Y4" s="145"/>
      <c r="Z4" s="145"/>
      <c r="AA4" s="145"/>
      <c r="AB4" s="145"/>
      <c r="AC4" s="145"/>
      <c r="AD4" s="145"/>
      <c r="AE4" s="145"/>
      <c r="AF4" s="145"/>
    </row>
    <row r="5" spans="1:32" s="1" customFormat="1" ht="14.4" customHeight="1" x14ac:dyDescent="0.3">
      <c r="A5" s="228"/>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ht="17.399999999999999" x14ac:dyDescent="0.3">
      <c r="A6" s="189" t="s">
        <v>1268</v>
      </c>
    </row>
    <row r="7" spans="1:32" ht="15" x14ac:dyDescent="0.25">
      <c r="A7" s="191" t="s">
        <v>1269</v>
      </c>
    </row>
    <row r="8" spans="1:32" ht="16.8" x14ac:dyDescent="0.3">
      <c r="A8" s="192"/>
    </row>
    <row r="9" spans="1:32" x14ac:dyDescent="0.25">
      <c r="A9" s="193" t="s">
        <v>1270</v>
      </c>
    </row>
    <row r="10" spans="1:32" x14ac:dyDescent="0.25">
      <c r="A10" s="193" t="s">
        <v>1271</v>
      </c>
    </row>
    <row r="11" spans="1:32" x14ac:dyDescent="0.25">
      <c r="A11" s="193" t="s">
        <v>1272</v>
      </c>
    </row>
    <row r="12" spans="1:32" x14ac:dyDescent="0.25">
      <c r="A12" s="193" t="s">
        <v>1273</v>
      </c>
    </row>
    <row r="13" spans="1:32" x14ac:dyDescent="0.25">
      <c r="A13" s="193" t="s">
        <v>1274</v>
      </c>
    </row>
    <row r="15" spans="1:32" x14ac:dyDescent="0.25">
      <c r="A15" s="194" t="s">
        <v>1268</v>
      </c>
    </row>
    <row r="16" spans="1:32" x14ac:dyDescent="0.25">
      <c r="A16" s="195" t="s">
        <v>1275</v>
      </c>
    </row>
    <row r="18" spans="1:8" s="197" customFormat="1" x14ac:dyDescent="0.25">
      <c r="A18" s="196" t="s">
        <v>1276</v>
      </c>
      <c r="B18" s="196" t="s">
        <v>1277</v>
      </c>
      <c r="C18" s="196" t="s">
        <v>1278</v>
      </c>
      <c r="D18" s="196" t="s">
        <v>1279</v>
      </c>
      <c r="E18" s="196" t="s">
        <v>1280</v>
      </c>
      <c r="F18" s="196" t="s">
        <v>1281</v>
      </c>
      <c r="G18" s="196" t="s">
        <v>1282</v>
      </c>
      <c r="H18" s="196" t="s">
        <v>1283</v>
      </c>
    </row>
    <row r="19" spans="1:8" x14ac:dyDescent="0.25">
      <c r="A19" s="198" t="s">
        <v>1217</v>
      </c>
      <c r="B19" s="199">
        <v>3600</v>
      </c>
      <c r="C19" s="199">
        <v>1</v>
      </c>
      <c r="D19" s="199">
        <v>460</v>
      </c>
      <c r="E19" s="200"/>
      <c r="F19" s="200"/>
      <c r="G19" s="200"/>
      <c r="H19" s="201">
        <v>77</v>
      </c>
    </row>
    <row r="20" spans="1:8" x14ac:dyDescent="0.25">
      <c r="A20" s="198" t="s">
        <v>1217</v>
      </c>
      <c r="B20" s="199">
        <v>3600</v>
      </c>
      <c r="C20" s="201">
        <v>1.5</v>
      </c>
      <c r="D20" s="199">
        <v>460</v>
      </c>
      <c r="E20" s="201">
        <v>80</v>
      </c>
      <c r="F20" s="201">
        <v>82.5</v>
      </c>
      <c r="G20" s="200"/>
      <c r="H20" s="201">
        <v>84</v>
      </c>
    </row>
    <row r="21" spans="1:8" x14ac:dyDescent="0.25">
      <c r="A21" s="198" t="s">
        <v>1217</v>
      </c>
      <c r="B21" s="199">
        <v>3600</v>
      </c>
      <c r="C21" s="199">
        <v>2</v>
      </c>
      <c r="D21" s="199">
        <v>460</v>
      </c>
      <c r="E21" s="201">
        <v>82.5</v>
      </c>
      <c r="F21" s="201">
        <v>84</v>
      </c>
      <c r="G21" s="200"/>
      <c r="H21" s="201">
        <v>85.5</v>
      </c>
    </row>
    <row r="22" spans="1:8" x14ac:dyDescent="0.25">
      <c r="A22" s="198" t="s">
        <v>1217</v>
      </c>
      <c r="B22" s="199">
        <v>3600</v>
      </c>
      <c r="C22" s="199">
        <v>3</v>
      </c>
      <c r="D22" s="199">
        <v>460</v>
      </c>
      <c r="E22" s="201">
        <v>82.5</v>
      </c>
      <c r="F22" s="201">
        <v>84</v>
      </c>
      <c r="G22" s="200"/>
      <c r="H22" s="201">
        <v>85.5</v>
      </c>
    </row>
    <row r="23" spans="1:8" x14ac:dyDescent="0.25">
      <c r="A23" s="198" t="s">
        <v>1217</v>
      </c>
      <c r="B23" s="199">
        <v>3600</v>
      </c>
      <c r="C23" s="199">
        <v>5</v>
      </c>
      <c r="D23" s="199">
        <v>460</v>
      </c>
      <c r="E23" s="201">
        <v>85.5</v>
      </c>
      <c r="F23" s="201">
        <v>85.5</v>
      </c>
      <c r="G23" s="200"/>
      <c r="H23" s="201">
        <v>86.5</v>
      </c>
    </row>
    <row r="24" spans="1:8" x14ac:dyDescent="0.25">
      <c r="A24" s="198" t="s">
        <v>1217</v>
      </c>
      <c r="B24" s="199">
        <v>3600</v>
      </c>
      <c r="C24" s="201">
        <v>7.5</v>
      </c>
      <c r="D24" s="199">
        <v>460</v>
      </c>
      <c r="E24" s="201">
        <v>85.5</v>
      </c>
      <c r="F24" s="201">
        <v>87.5</v>
      </c>
      <c r="G24" s="200"/>
      <c r="H24" s="201">
        <v>88.5</v>
      </c>
    </row>
    <row r="25" spans="1:8" x14ac:dyDescent="0.25">
      <c r="A25" s="198" t="s">
        <v>1217</v>
      </c>
      <c r="B25" s="199">
        <v>3600</v>
      </c>
      <c r="C25" s="199">
        <v>10</v>
      </c>
      <c r="D25" s="199">
        <v>460</v>
      </c>
      <c r="E25" s="201">
        <v>87.5</v>
      </c>
      <c r="F25" s="201">
        <v>88.5</v>
      </c>
      <c r="G25" s="200"/>
      <c r="H25" s="201">
        <v>89.5</v>
      </c>
    </row>
    <row r="26" spans="1:8" x14ac:dyDescent="0.25">
      <c r="A26" s="198" t="s">
        <v>1217</v>
      </c>
      <c r="B26" s="199">
        <v>3600</v>
      </c>
      <c r="C26" s="199">
        <v>15</v>
      </c>
      <c r="D26" s="199">
        <v>460</v>
      </c>
      <c r="E26" s="201">
        <v>89.5</v>
      </c>
      <c r="F26" s="201">
        <v>89.5</v>
      </c>
      <c r="G26" s="200"/>
      <c r="H26" s="201">
        <v>90.2</v>
      </c>
    </row>
    <row r="27" spans="1:8" x14ac:dyDescent="0.25">
      <c r="A27" s="198" t="s">
        <v>1217</v>
      </c>
      <c r="B27" s="199">
        <v>3600</v>
      </c>
      <c r="C27" s="199">
        <v>20</v>
      </c>
      <c r="D27" s="199">
        <v>460</v>
      </c>
      <c r="E27" s="201">
        <v>90.2</v>
      </c>
      <c r="F27" s="201">
        <v>90.2</v>
      </c>
      <c r="G27" s="200"/>
      <c r="H27" s="201">
        <v>91</v>
      </c>
    </row>
    <row r="28" spans="1:8" x14ac:dyDescent="0.25">
      <c r="A28" s="198" t="s">
        <v>1217</v>
      </c>
      <c r="B28" s="199">
        <v>3600</v>
      </c>
      <c r="C28" s="199">
        <v>25</v>
      </c>
      <c r="D28" s="199">
        <v>460</v>
      </c>
      <c r="E28" s="201">
        <v>91</v>
      </c>
      <c r="F28" s="201">
        <v>91</v>
      </c>
      <c r="G28" s="200"/>
      <c r="H28" s="201">
        <v>91.7</v>
      </c>
    </row>
    <row r="29" spans="1:8" x14ac:dyDescent="0.25">
      <c r="A29" s="198" t="s">
        <v>1217</v>
      </c>
      <c r="B29" s="199">
        <v>3600</v>
      </c>
      <c r="C29" s="199">
        <v>30</v>
      </c>
      <c r="D29" s="199">
        <v>460</v>
      </c>
      <c r="E29" s="201">
        <v>91</v>
      </c>
      <c r="F29" s="201">
        <v>91</v>
      </c>
      <c r="G29" s="200"/>
      <c r="H29" s="201">
        <v>91.7</v>
      </c>
    </row>
    <row r="30" spans="1:8" x14ac:dyDescent="0.25">
      <c r="A30" s="198" t="s">
        <v>1217</v>
      </c>
      <c r="B30" s="199">
        <v>3600</v>
      </c>
      <c r="C30" s="199">
        <v>40</v>
      </c>
      <c r="D30" s="199">
        <v>460</v>
      </c>
      <c r="E30" s="201">
        <v>91.7</v>
      </c>
      <c r="F30" s="201">
        <v>91.7</v>
      </c>
      <c r="G30" s="200"/>
      <c r="H30" s="201">
        <v>92.4</v>
      </c>
    </row>
    <row r="31" spans="1:8" x14ac:dyDescent="0.25">
      <c r="A31" s="198" t="s">
        <v>1217</v>
      </c>
      <c r="B31" s="199">
        <v>3600</v>
      </c>
      <c r="C31" s="199">
        <v>50</v>
      </c>
      <c r="D31" s="199">
        <v>460</v>
      </c>
      <c r="E31" s="201">
        <v>91.7</v>
      </c>
      <c r="F31" s="201">
        <v>92.4</v>
      </c>
      <c r="G31" s="200"/>
      <c r="H31" s="201">
        <v>93</v>
      </c>
    </row>
    <row r="32" spans="1:8" x14ac:dyDescent="0.25">
      <c r="A32" s="198" t="s">
        <v>1217</v>
      </c>
      <c r="B32" s="199">
        <v>3600</v>
      </c>
      <c r="C32" s="199">
        <v>60</v>
      </c>
      <c r="D32" s="199">
        <v>460</v>
      </c>
      <c r="E32" s="201">
        <v>93</v>
      </c>
      <c r="F32" s="201">
        <v>93</v>
      </c>
      <c r="G32" s="200"/>
      <c r="H32" s="201">
        <v>93.6</v>
      </c>
    </row>
    <row r="33" spans="1:8" x14ac:dyDescent="0.25">
      <c r="A33" s="198" t="s">
        <v>1217</v>
      </c>
      <c r="B33" s="199">
        <v>3600</v>
      </c>
      <c r="C33" s="199">
        <v>75</v>
      </c>
      <c r="D33" s="199">
        <v>460</v>
      </c>
      <c r="E33" s="201">
        <v>93</v>
      </c>
      <c r="F33" s="201">
        <v>93</v>
      </c>
      <c r="G33" s="200"/>
      <c r="H33" s="201">
        <v>93.6</v>
      </c>
    </row>
    <row r="34" spans="1:8" x14ac:dyDescent="0.25">
      <c r="A34" s="198" t="s">
        <v>1217</v>
      </c>
      <c r="B34" s="199">
        <v>3600</v>
      </c>
      <c r="C34" s="199">
        <v>100</v>
      </c>
      <c r="D34" s="199">
        <v>460</v>
      </c>
      <c r="E34" s="201">
        <v>93</v>
      </c>
      <c r="F34" s="201">
        <v>93</v>
      </c>
      <c r="G34" s="200"/>
      <c r="H34" s="201">
        <v>93.6</v>
      </c>
    </row>
    <row r="35" spans="1:8" x14ac:dyDescent="0.25">
      <c r="A35" s="198" t="s">
        <v>1217</v>
      </c>
      <c r="B35" s="199">
        <v>3600</v>
      </c>
      <c r="C35" s="199">
        <v>125</v>
      </c>
      <c r="D35" s="199">
        <v>460</v>
      </c>
      <c r="E35" s="201">
        <v>93</v>
      </c>
      <c r="F35" s="201">
        <v>93.6</v>
      </c>
      <c r="G35" s="200"/>
      <c r="H35" s="201">
        <v>94.1</v>
      </c>
    </row>
    <row r="36" spans="1:8" x14ac:dyDescent="0.25">
      <c r="A36" s="198" t="s">
        <v>1217</v>
      </c>
      <c r="B36" s="199">
        <v>3600</v>
      </c>
      <c r="C36" s="199">
        <v>150</v>
      </c>
      <c r="D36" s="199">
        <v>460</v>
      </c>
      <c r="E36" s="201">
        <v>93.6</v>
      </c>
      <c r="F36" s="201">
        <v>93.6</v>
      </c>
      <c r="G36" s="200"/>
      <c r="H36" s="201">
        <v>94.1</v>
      </c>
    </row>
    <row r="37" spans="1:8" x14ac:dyDescent="0.25">
      <c r="A37" s="198" t="s">
        <v>1217</v>
      </c>
      <c r="B37" s="199">
        <v>3600</v>
      </c>
      <c r="C37" s="199">
        <v>200</v>
      </c>
      <c r="D37" s="199">
        <v>460</v>
      </c>
      <c r="E37" s="201">
        <v>93.6</v>
      </c>
      <c r="F37" s="201">
        <v>94.5</v>
      </c>
      <c r="G37" s="200"/>
      <c r="H37" s="201">
        <v>95</v>
      </c>
    </row>
    <row r="38" spans="1:8" x14ac:dyDescent="0.25">
      <c r="A38" s="198" t="s">
        <v>1217</v>
      </c>
      <c r="B38" s="199">
        <v>3600</v>
      </c>
      <c r="C38" s="199">
        <v>250</v>
      </c>
      <c r="D38" s="199">
        <v>460</v>
      </c>
      <c r="E38" s="200"/>
      <c r="F38" s="201">
        <v>94.5</v>
      </c>
      <c r="G38" s="200"/>
      <c r="H38" s="201">
        <v>95</v>
      </c>
    </row>
    <row r="39" spans="1:8" x14ac:dyDescent="0.25">
      <c r="A39" s="198" t="s">
        <v>1217</v>
      </c>
      <c r="B39" s="199">
        <v>3600</v>
      </c>
      <c r="C39" s="199">
        <v>300</v>
      </c>
      <c r="D39" s="199">
        <v>460</v>
      </c>
      <c r="E39" s="200"/>
      <c r="F39" s="201">
        <v>95</v>
      </c>
      <c r="G39" s="200"/>
      <c r="H39" s="201">
        <v>95.4</v>
      </c>
    </row>
    <row r="40" spans="1:8" x14ac:dyDescent="0.25">
      <c r="A40" s="198" t="s">
        <v>1217</v>
      </c>
      <c r="B40" s="199">
        <v>3600</v>
      </c>
      <c r="C40" s="199">
        <v>350</v>
      </c>
      <c r="D40" s="199">
        <v>460</v>
      </c>
      <c r="E40" s="200"/>
      <c r="F40" s="201">
        <v>95</v>
      </c>
      <c r="G40" s="200"/>
      <c r="H40" s="201">
        <v>95.4</v>
      </c>
    </row>
    <row r="41" spans="1:8" x14ac:dyDescent="0.25">
      <c r="A41" s="198" t="s">
        <v>1217</v>
      </c>
      <c r="B41" s="199">
        <v>3600</v>
      </c>
      <c r="C41" s="199">
        <v>400</v>
      </c>
      <c r="D41" s="199">
        <v>460</v>
      </c>
      <c r="E41" s="200"/>
      <c r="F41" s="201">
        <v>95.4</v>
      </c>
      <c r="G41" s="200"/>
      <c r="H41" s="201">
        <v>95.8</v>
      </c>
    </row>
    <row r="42" spans="1:8" x14ac:dyDescent="0.25">
      <c r="A42" s="198" t="s">
        <v>1217</v>
      </c>
      <c r="B42" s="199">
        <v>3600</v>
      </c>
      <c r="C42" s="199">
        <v>450</v>
      </c>
      <c r="D42" s="199">
        <v>460</v>
      </c>
      <c r="E42" s="200"/>
      <c r="F42" s="201">
        <v>95.8</v>
      </c>
      <c r="G42" s="200"/>
      <c r="H42" s="201">
        <v>95.8</v>
      </c>
    </row>
    <row r="43" spans="1:8" x14ac:dyDescent="0.25">
      <c r="A43" s="198" t="s">
        <v>1217</v>
      </c>
      <c r="B43" s="199">
        <v>3600</v>
      </c>
      <c r="C43" s="199">
        <v>500</v>
      </c>
      <c r="D43" s="199">
        <v>460</v>
      </c>
      <c r="E43" s="200"/>
      <c r="F43" s="201">
        <v>95.8</v>
      </c>
      <c r="G43" s="200"/>
      <c r="H43" s="201">
        <v>95.8</v>
      </c>
    </row>
    <row r="44" spans="1:8" x14ac:dyDescent="0.25">
      <c r="A44" s="198" t="s">
        <v>1217</v>
      </c>
      <c r="B44" s="199">
        <v>1800</v>
      </c>
      <c r="C44" s="199">
        <v>1</v>
      </c>
      <c r="D44" s="199">
        <v>460</v>
      </c>
      <c r="E44" s="201">
        <v>82.5</v>
      </c>
      <c r="F44" s="201">
        <v>82.5</v>
      </c>
      <c r="G44" s="200"/>
      <c r="H44" s="201">
        <v>85.5</v>
      </c>
    </row>
    <row r="45" spans="1:8" x14ac:dyDescent="0.25">
      <c r="A45" s="198" t="s">
        <v>1217</v>
      </c>
      <c r="B45" s="199">
        <v>1800</v>
      </c>
      <c r="C45" s="201">
        <v>1.5</v>
      </c>
      <c r="D45" s="199">
        <v>460</v>
      </c>
      <c r="E45" s="201">
        <v>82.5</v>
      </c>
      <c r="F45" s="201">
        <v>84</v>
      </c>
      <c r="G45" s="200"/>
      <c r="H45" s="201">
        <v>86.5</v>
      </c>
    </row>
    <row r="46" spans="1:8" x14ac:dyDescent="0.25">
      <c r="A46" s="198" t="s">
        <v>1217</v>
      </c>
      <c r="B46" s="199">
        <v>1800</v>
      </c>
      <c r="C46" s="199">
        <v>2</v>
      </c>
      <c r="D46" s="199">
        <v>460</v>
      </c>
      <c r="E46" s="201">
        <v>82.5</v>
      </c>
      <c r="F46" s="201">
        <v>84</v>
      </c>
      <c r="G46" s="200"/>
      <c r="H46" s="201">
        <v>86.5</v>
      </c>
    </row>
    <row r="47" spans="1:8" x14ac:dyDescent="0.25">
      <c r="A47" s="198" t="s">
        <v>1217</v>
      </c>
      <c r="B47" s="199">
        <v>1800</v>
      </c>
      <c r="C47" s="199">
        <v>3</v>
      </c>
      <c r="D47" s="199">
        <v>460</v>
      </c>
      <c r="E47" s="201">
        <v>86.5</v>
      </c>
      <c r="F47" s="201">
        <v>86.5</v>
      </c>
      <c r="G47" s="200"/>
      <c r="H47" s="201">
        <v>89.5</v>
      </c>
    </row>
    <row r="48" spans="1:8" x14ac:dyDescent="0.25">
      <c r="A48" s="198" t="s">
        <v>1217</v>
      </c>
      <c r="B48" s="199">
        <v>1800</v>
      </c>
      <c r="C48" s="199">
        <v>5</v>
      </c>
      <c r="D48" s="199">
        <v>460</v>
      </c>
      <c r="E48" s="201">
        <v>86.5</v>
      </c>
      <c r="F48" s="201">
        <v>87.5</v>
      </c>
      <c r="G48" s="200"/>
      <c r="H48" s="201">
        <v>89.5</v>
      </c>
    </row>
    <row r="49" spans="1:8" x14ac:dyDescent="0.25">
      <c r="A49" s="198" t="s">
        <v>1217</v>
      </c>
      <c r="B49" s="199">
        <v>1800</v>
      </c>
      <c r="C49" s="201">
        <v>7.5</v>
      </c>
      <c r="D49" s="199">
        <v>460</v>
      </c>
      <c r="E49" s="201">
        <v>88.5</v>
      </c>
      <c r="F49" s="201">
        <v>88.5</v>
      </c>
      <c r="G49" s="200"/>
      <c r="H49" s="201">
        <v>91</v>
      </c>
    </row>
    <row r="50" spans="1:8" x14ac:dyDescent="0.25">
      <c r="A50" s="198" t="s">
        <v>1217</v>
      </c>
      <c r="B50" s="199">
        <v>1800</v>
      </c>
      <c r="C50" s="199">
        <v>10</v>
      </c>
      <c r="D50" s="199">
        <v>460</v>
      </c>
      <c r="E50" s="201">
        <v>88.5</v>
      </c>
      <c r="F50" s="201">
        <v>89.5</v>
      </c>
      <c r="G50" s="200"/>
      <c r="H50" s="201">
        <v>91.7</v>
      </c>
    </row>
    <row r="51" spans="1:8" x14ac:dyDescent="0.25">
      <c r="A51" s="198" t="s">
        <v>1217</v>
      </c>
      <c r="B51" s="199">
        <v>1800</v>
      </c>
      <c r="C51" s="199">
        <v>15</v>
      </c>
      <c r="D51" s="199">
        <v>460</v>
      </c>
      <c r="E51" s="201">
        <v>90.2</v>
      </c>
      <c r="F51" s="201">
        <v>91</v>
      </c>
      <c r="G51" s="200"/>
      <c r="H51" s="201">
        <v>93</v>
      </c>
    </row>
    <row r="52" spans="1:8" x14ac:dyDescent="0.25">
      <c r="A52" s="198" t="s">
        <v>1217</v>
      </c>
      <c r="B52" s="199">
        <v>1800</v>
      </c>
      <c r="C52" s="199">
        <v>20</v>
      </c>
      <c r="D52" s="199">
        <v>460</v>
      </c>
      <c r="E52" s="201">
        <v>91</v>
      </c>
      <c r="F52" s="201">
        <v>91</v>
      </c>
      <c r="G52" s="200"/>
      <c r="H52" s="201">
        <v>93</v>
      </c>
    </row>
    <row r="54" spans="1:8" x14ac:dyDescent="0.25">
      <c r="A54" s="195" t="s">
        <v>1284</v>
      </c>
    </row>
    <row r="56" spans="1:8" x14ac:dyDescent="0.25">
      <c r="A56" s="194" t="s">
        <v>1268</v>
      </c>
    </row>
    <row r="57" spans="1:8" x14ac:dyDescent="0.25">
      <c r="A57" s="195" t="s">
        <v>1275</v>
      </c>
    </row>
    <row r="59" spans="1:8" s="197" customFormat="1" x14ac:dyDescent="0.25">
      <c r="A59" s="196" t="s">
        <v>1276</v>
      </c>
      <c r="B59" s="196" t="s">
        <v>1277</v>
      </c>
      <c r="C59" s="196" t="s">
        <v>1278</v>
      </c>
      <c r="D59" s="196" t="s">
        <v>1279</v>
      </c>
      <c r="E59" s="196" t="s">
        <v>1280</v>
      </c>
      <c r="F59" s="196" t="s">
        <v>1281</v>
      </c>
      <c r="G59" s="196" t="s">
        <v>1282</v>
      </c>
      <c r="H59" s="196" t="s">
        <v>1283</v>
      </c>
    </row>
    <row r="60" spans="1:8" x14ac:dyDescent="0.25">
      <c r="A60" s="198" t="s">
        <v>1217</v>
      </c>
      <c r="B60" s="199">
        <v>1800</v>
      </c>
      <c r="C60" s="199">
        <v>15</v>
      </c>
      <c r="D60" s="199">
        <v>460</v>
      </c>
      <c r="E60" s="201">
        <v>90.2</v>
      </c>
      <c r="F60" s="201">
        <v>91</v>
      </c>
      <c r="G60" s="200"/>
      <c r="H60" s="201">
        <v>93</v>
      </c>
    </row>
    <row r="61" spans="1:8" x14ac:dyDescent="0.25">
      <c r="A61" s="198" t="s">
        <v>1217</v>
      </c>
      <c r="B61" s="199">
        <v>1800</v>
      </c>
      <c r="C61" s="199">
        <v>20</v>
      </c>
      <c r="D61" s="199">
        <v>460</v>
      </c>
      <c r="E61" s="201">
        <v>91</v>
      </c>
      <c r="F61" s="201">
        <v>91</v>
      </c>
      <c r="G61" s="200"/>
      <c r="H61" s="201">
        <v>93</v>
      </c>
    </row>
    <row r="62" spans="1:8" x14ac:dyDescent="0.25">
      <c r="A62" s="198" t="s">
        <v>1217</v>
      </c>
      <c r="B62" s="199">
        <v>1800</v>
      </c>
      <c r="C62" s="199">
        <v>25</v>
      </c>
      <c r="D62" s="199">
        <v>460</v>
      </c>
      <c r="E62" s="201">
        <v>91.7</v>
      </c>
      <c r="F62" s="201">
        <v>91.7</v>
      </c>
      <c r="G62" s="200"/>
      <c r="H62" s="201">
        <v>93.6</v>
      </c>
    </row>
    <row r="63" spans="1:8" x14ac:dyDescent="0.25">
      <c r="A63" s="198" t="s">
        <v>1217</v>
      </c>
      <c r="B63" s="199">
        <v>1800</v>
      </c>
      <c r="C63" s="199">
        <v>30</v>
      </c>
      <c r="D63" s="199">
        <v>460</v>
      </c>
      <c r="E63" s="201">
        <v>91.7</v>
      </c>
      <c r="F63" s="201">
        <v>92.4</v>
      </c>
      <c r="G63" s="200"/>
      <c r="H63" s="201">
        <v>94.1</v>
      </c>
    </row>
    <row r="64" spans="1:8" x14ac:dyDescent="0.25">
      <c r="A64" s="198" t="s">
        <v>1217</v>
      </c>
      <c r="B64" s="199">
        <v>1800</v>
      </c>
      <c r="C64" s="199">
        <v>40</v>
      </c>
      <c r="D64" s="199">
        <v>460</v>
      </c>
      <c r="E64" s="201">
        <v>92.4</v>
      </c>
      <c r="F64" s="201">
        <v>93</v>
      </c>
      <c r="G64" s="200"/>
      <c r="H64" s="201">
        <v>94.1</v>
      </c>
    </row>
    <row r="65" spans="1:8" x14ac:dyDescent="0.25">
      <c r="A65" s="198" t="s">
        <v>1217</v>
      </c>
      <c r="B65" s="199">
        <v>1800</v>
      </c>
      <c r="C65" s="199">
        <v>50</v>
      </c>
      <c r="D65" s="199">
        <v>460</v>
      </c>
      <c r="E65" s="201">
        <v>92.4</v>
      </c>
      <c r="F65" s="201">
        <v>93</v>
      </c>
      <c r="G65" s="200"/>
      <c r="H65" s="201">
        <v>94.5</v>
      </c>
    </row>
    <row r="66" spans="1:8" x14ac:dyDescent="0.25">
      <c r="A66" s="198" t="s">
        <v>1217</v>
      </c>
      <c r="B66" s="199">
        <v>1800</v>
      </c>
      <c r="C66" s="199">
        <v>60</v>
      </c>
      <c r="D66" s="199">
        <v>460</v>
      </c>
      <c r="E66" s="201">
        <v>93</v>
      </c>
      <c r="F66" s="201">
        <v>93.6</v>
      </c>
      <c r="G66" s="200"/>
      <c r="H66" s="201">
        <v>95</v>
      </c>
    </row>
    <row r="67" spans="1:8" x14ac:dyDescent="0.25">
      <c r="A67" s="198" t="s">
        <v>1217</v>
      </c>
      <c r="B67" s="199">
        <v>1800</v>
      </c>
      <c r="C67" s="199">
        <v>75</v>
      </c>
      <c r="D67" s="199">
        <v>460</v>
      </c>
      <c r="E67" s="201">
        <v>93.6</v>
      </c>
      <c r="F67" s="201">
        <v>94.1</v>
      </c>
      <c r="G67" s="200"/>
      <c r="H67" s="201">
        <v>95</v>
      </c>
    </row>
    <row r="68" spans="1:8" x14ac:dyDescent="0.25">
      <c r="A68" s="198" t="s">
        <v>1217</v>
      </c>
      <c r="B68" s="199">
        <v>1800</v>
      </c>
      <c r="C68" s="199">
        <v>100</v>
      </c>
      <c r="D68" s="199">
        <v>460</v>
      </c>
      <c r="E68" s="201">
        <v>93.6</v>
      </c>
      <c r="F68" s="201">
        <v>94.1</v>
      </c>
      <c r="G68" s="200"/>
      <c r="H68" s="201">
        <v>95.4</v>
      </c>
    </row>
    <row r="69" spans="1:8" x14ac:dyDescent="0.25">
      <c r="A69" s="198" t="s">
        <v>1217</v>
      </c>
      <c r="B69" s="199">
        <v>1800</v>
      </c>
      <c r="C69" s="199">
        <v>125</v>
      </c>
      <c r="D69" s="199">
        <v>460</v>
      </c>
      <c r="E69" s="201">
        <v>93.6</v>
      </c>
      <c r="F69" s="201">
        <v>94.5</v>
      </c>
      <c r="G69" s="200"/>
      <c r="H69" s="201">
        <v>95.4</v>
      </c>
    </row>
    <row r="70" spans="1:8" x14ac:dyDescent="0.25">
      <c r="A70" s="198" t="s">
        <v>1217</v>
      </c>
      <c r="B70" s="199">
        <v>1800</v>
      </c>
      <c r="C70" s="199">
        <v>150</v>
      </c>
      <c r="D70" s="199">
        <v>460</v>
      </c>
      <c r="E70" s="201">
        <v>94.1</v>
      </c>
      <c r="F70" s="201">
        <v>95</v>
      </c>
      <c r="G70" s="200"/>
      <c r="H70" s="201">
        <v>95.8</v>
      </c>
    </row>
    <row r="71" spans="1:8" x14ac:dyDescent="0.25">
      <c r="A71" s="198" t="s">
        <v>1217</v>
      </c>
      <c r="B71" s="199">
        <v>1800</v>
      </c>
      <c r="C71" s="199">
        <v>200</v>
      </c>
      <c r="D71" s="199">
        <v>460</v>
      </c>
      <c r="E71" s="201">
        <v>94.1</v>
      </c>
      <c r="F71" s="201">
        <v>95</v>
      </c>
      <c r="G71" s="200"/>
      <c r="H71" s="201">
        <v>95.8</v>
      </c>
    </row>
    <row r="72" spans="1:8" x14ac:dyDescent="0.25">
      <c r="A72" s="198" t="s">
        <v>1217</v>
      </c>
      <c r="B72" s="199">
        <v>1800</v>
      </c>
      <c r="C72" s="199">
        <v>250</v>
      </c>
      <c r="D72" s="199">
        <v>460</v>
      </c>
      <c r="E72" s="200"/>
      <c r="F72" s="201">
        <v>95.4</v>
      </c>
      <c r="G72" s="200"/>
      <c r="H72" s="201">
        <v>95.8</v>
      </c>
    </row>
    <row r="73" spans="1:8" x14ac:dyDescent="0.25">
      <c r="A73" s="198" t="s">
        <v>1217</v>
      </c>
      <c r="B73" s="199">
        <v>1800</v>
      </c>
      <c r="C73" s="199">
        <v>300</v>
      </c>
      <c r="D73" s="199">
        <v>460</v>
      </c>
      <c r="E73" s="200"/>
      <c r="F73" s="201">
        <v>95.4</v>
      </c>
      <c r="G73" s="200"/>
      <c r="H73" s="201">
        <v>95.8</v>
      </c>
    </row>
    <row r="74" spans="1:8" x14ac:dyDescent="0.25">
      <c r="A74" s="198" t="s">
        <v>1217</v>
      </c>
      <c r="B74" s="199">
        <v>1800</v>
      </c>
      <c r="C74" s="199">
        <v>350</v>
      </c>
      <c r="D74" s="199">
        <v>460</v>
      </c>
      <c r="E74" s="200"/>
      <c r="F74" s="201">
        <v>95.4</v>
      </c>
      <c r="G74" s="200"/>
      <c r="H74" s="201">
        <v>95.8</v>
      </c>
    </row>
    <row r="75" spans="1:8" x14ac:dyDescent="0.25">
      <c r="A75" s="198" t="s">
        <v>1217</v>
      </c>
      <c r="B75" s="199">
        <v>1800</v>
      </c>
      <c r="C75" s="199">
        <v>400</v>
      </c>
      <c r="D75" s="199">
        <v>460</v>
      </c>
      <c r="E75" s="200"/>
      <c r="F75" s="201">
        <v>95.4</v>
      </c>
      <c r="G75" s="200"/>
      <c r="H75" s="201">
        <v>95.8</v>
      </c>
    </row>
    <row r="76" spans="1:8" x14ac:dyDescent="0.25">
      <c r="A76" s="198" t="s">
        <v>1217</v>
      </c>
      <c r="B76" s="199">
        <v>1800</v>
      </c>
      <c r="C76" s="199">
        <v>450</v>
      </c>
      <c r="D76" s="199">
        <v>460</v>
      </c>
      <c r="E76" s="200"/>
      <c r="F76" s="201">
        <v>95.8</v>
      </c>
      <c r="G76" s="200"/>
      <c r="H76" s="201">
        <v>96.2</v>
      </c>
    </row>
    <row r="77" spans="1:8" x14ac:dyDescent="0.25">
      <c r="A77" s="198" t="s">
        <v>1217</v>
      </c>
      <c r="B77" s="199">
        <v>1800</v>
      </c>
      <c r="C77" s="199">
        <v>500</v>
      </c>
      <c r="D77" s="199">
        <v>460</v>
      </c>
      <c r="E77" s="200"/>
      <c r="F77" s="201">
        <v>95.8</v>
      </c>
      <c r="G77" s="200"/>
      <c r="H77" s="201">
        <v>96.2</v>
      </c>
    </row>
    <row r="78" spans="1:8" x14ac:dyDescent="0.25">
      <c r="A78" s="198" t="s">
        <v>1217</v>
      </c>
      <c r="B78" s="199">
        <v>1200</v>
      </c>
      <c r="C78" s="199">
        <v>1</v>
      </c>
      <c r="D78" s="199">
        <v>460</v>
      </c>
      <c r="E78" s="201">
        <v>77</v>
      </c>
      <c r="F78" s="201">
        <v>80</v>
      </c>
      <c r="G78" s="200"/>
      <c r="H78" s="201">
        <v>82.5</v>
      </c>
    </row>
    <row r="79" spans="1:8" x14ac:dyDescent="0.25">
      <c r="A79" s="198" t="s">
        <v>1217</v>
      </c>
      <c r="B79" s="199">
        <v>1200</v>
      </c>
      <c r="C79" s="201">
        <v>1.5</v>
      </c>
      <c r="D79" s="199">
        <v>460</v>
      </c>
      <c r="E79" s="201">
        <v>82.5</v>
      </c>
      <c r="F79" s="201">
        <v>84</v>
      </c>
      <c r="G79" s="200"/>
      <c r="H79" s="201">
        <v>86.5</v>
      </c>
    </row>
    <row r="80" spans="1:8" x14ac:dyDescent="0.25">
      <c r="A80" s="198" t="s">
        <v>1217</v>
      </c>
      <c r="B80" s="199">
        <v>1200</v>
      </c>
      <c r="C80" s="199">
        <v>2</v>
      </c>
      <c r="D80" s="199">
        <v>460</v>
      </c>
      <c r="E80" s="201">
        <v>84</v>
      </c>
      <c r="F80" s="201">
        <v>85.5</v>
      </c>
      <c r="G80" s="200"/>
      <c r="H80" s="201">
        <v>87.5</v>
      </c>
    </row>
    <row r="81" spans="1:8" x14ac:dyDescent="0.25">
      <c r="A81" s="198" t="s">
        <v>1217</v>
      </c>
      <c r="B81" s="199">
        <v>1200</v>
      </c>
      <c r="C81" s="199">
        <v>3</v>
      </c>
      <c r="D81" s="199">
        <v>460</v>
      </c>
      <c r="E81" s="201">
        <v>85.5</v>
      </c>
      <c r="F81" s="201">
        <v>86.5</v>
      </c>
      <c r="G81" s="200"/>
      <c r="H81" s="201">
        <v>88.5</v>
      </c>
    </row>
    <row r="82" spans="1:8" x14ac:dyDescent="0.25">
      <c r="A82" s="198" t="s">
        <v>1217</v>
      </c>
      <c r="B82" s="199">
        <v>1200</v>
      </c>
      <c r="C82" s="199">
        <v>5</v>
      </c>
      <c r="D82" s="199">
        <v>460</v>
      </c>
      <c r="E82" s="201">
        <v>86.5</v>
      </c>
      <c r="F82" s="201">
        <v>87.5</v>
      </c>
      <c r="G82" s="200"/>
      <c r="H82" s="201">
        <v>89.5</v>
      </c>
    </row>
    <row r="83" spans="1:8" x14ac:dyDescent="0.25">
      <c r="A83" s="198" t="s">
        <v>1217</v>
      </c>
      <c r="B83" s="199">
        <v>1200</v>
      </c>
      <c r="C83" s="201">
        <v>7.5</v>
      </c>
      <c r="D83" s="199">
        <v>460</v>
      </c>
      <c r="E83" s="201">
        <v>88.5</v>
      </c>
      <c r="F83" s="201">
        <v>88.5</v>
      </c>
      <c r="G83" s="200"/>
      <c r="H83" s="201">
        <v>90.2</v>
      </c>
    </row>
    <row r="84" spans="1:8" x14ac:dyDescent="0.25">
      <c r="A84" s="198" t="s">
        <v>1217</v>
      </c>
      <c r="B84" s="199">
        <v>1200</v>
      </c>
      <c r="C84" s="199">
        <v>10</v>
      </c>
      <c r="D84" s="199">
        <v>460</v>
      </c>
      <c r="E84" s="201">
        <v>90.2</v>
      </c>
      <c r="F84" s="201">
        <v>90.2</v>
      </c>
      <c r="G84" s="200"/>
      <c r="H84" s="201">
        <v>91.7</v>
      </c>
    </row>
    <row r="85" spans="1:8" x14ac:dyDescent="0.25">
      <c r="A85" s="198" t="s">
        <v>1217</v>
      </c>
      <c r="B85" s="199">
        <v>1200</v>
      </c>
      <c r="C85" s="199">
        <v>15</v>
      </c>
      <c r="D85" s="199">
        <v>460</v>
      </c>
      <c r="E85" s="201">
        <v>89.5</v>
      </c>
      <c r="F85" s="201">
        <v>90.2</v>
      </c>
      <c r="G85" s="200"/>
      <c r="H85" s="201">
        <v>91.7</v>
      </c>
    </row>
    <row r="86" spans="1:8" x14ac:dyDescent="0.25">
      <c r="A86" s="198" t="s">
        <v>1217</v>
      </c>
      <c r="B86" s="199">
        <v>1200</v>
      </c>
      <c r="C86" s="199">
        <v>20</v>
      </c>
      <c r="D86" s="199">
        <v>460</v>
      </c>
      <c r="E86" s="201">
        <v>90.2</v>
      </c>
      <c r="F86" s="201">
        <v>91</v>
      </c>
      <c r="G86" s="200"/>
      <c r="H86" s="201">
        <v>92.4</v>
      </c>
    </row>
    <row r="87" spans="1:8" x14ac:dyDescent="0.25">
      <c r="A87" s="198" t="s">
        <v>1217</v>
      </c>
      <c r="B87" s="199">
        <v>1200</v>
      </c>
      <c r="C87" s="199">
        <v>25</v>
      </c>
      <c r="D87" s="199">
        <v>460</v>
      </c>
      <c r="E87" s="201">
        <v>91</v>
      </c>
      <c r="F87" s="201">
        <v>91.7</v>
      </c>
      <c r="G87" s="200"/>
      <c r="H87" s="201">
        <v>93</v>
      </c>
    </row>
    <row r="88" spans="1:8" x14ac:dyDescent="0.25">
      <c r="A88" s="198" t="s">
        <v>1217</v>
      </c>
      <c r="B88" s="199">
        <v>1200</v>
      </c>
      <c r="C88" s="199">
        <v>30</v>
      </c>
      <c r="D88" s="199">
        <v>460</v>
      </c>
      <c r="E88" s="201">
        <v>91.7</v>
      </c>
      <c r="F88" s="201">
        <v>92.4</v>
      </c>
      <c r="G88" s="200"/>
      <c r="H88" s="201">
        <v>93.6</v>
      </c>
    </row>
    <row r="89" spans="1:8" x14ac:dyDescent="0.25">
      <c r="A89" s="198" t="s">
        <v>1217</v>
      </c>
      <c r="B89" s="199">
        <v>1200</v>
      </c>
      <c r="C89" s="199">
        <v>40</v>
      </c>
      <c r="D89" s="199">
        <v>460</v>
      </c>
      <c r="E89" s="201">
        <v>91.7</v>
      </c>
      <c r="F89" s="201">
        <v>93</v>
      </c>
      <c r="G89" s="200"/>
      <c r="H89" s="201">
        <v>94.1</v>
      </c>
    </row>
    <row r="90" spans="1:8" x14ac:dyDescent="0.25">
      <c r="A90" s="198" t="s">
        <v>1217</v>
      </c>
      <c r="B90" s="199">
        <v>1200</v>
      </c>
      <c r="C90" s="199">
        <v>50</v>
      </c>
      <c r="D90" s="199">
        <v>460</v>
      </c>
      <c r="E90" s="201">
        <v>91.7</v>
      </c>
      <c r="F90" s="201">
        <v>93</v>
      </c>
      <c r="G90" s="200"/>
      <c r="H90" s="201">
        <v>94.1</v>
      </c>
    </row>
    <row r="91" spans="1:8" x14ac:dyDescent="0.25">
      <c r="A91" s="198" t="s">
        <v>1217</v>
      </c>
      <c r="B91" s="199">
        <v>1200</v>
      </c>
      <c r="C91" s="199">
        <v>60</v>
      </c>
      <c r="D91" s="199">
        <v>460</v>
      </c>
      <c r="E91" s="201">
        <v>92.4</v>
      </c>
      <c r="F91" s="201">
        <v>93.6</v>
      </c>
      <c r="G91" s="200"/>
      <c r="H91" s="201">
        <v>94.5</v>
      </c>
    </row>
    <row r="92" spans="1:8" x14ac:dyDescent="0.25">
      <c r="A92" s="198" t="s">
        <v>1217</v>
      </c>
      <c r="B92" s="199">
        <v>1200</v>
      </c>
      <c r="C92" s="199">
        <v>75</v>
      </c>
      <c r="D92" s="199">
        <v>460</v>
      </c>
      <c r="E92" s="201">
        <v>93</v>
      </c>
      <c r="F92" s="201">
        <v>93.6</v>
      </c>
      <c r="G92" s="200"/>
      <c r="H92" s="201">
        <v>94.5</v>
      </c>
    </row>
    <row r="93" spans="1:8" x14ac:dyDescent="0.25">
      <c r="A93" s="198" t="s">
        <v>1217</v>
      </c>
      <c r="B93" s="199">
        <v>1200</v>
      </c>
      <c r="C93" s="199">
        <v>100</v>
      </c>
      <c r="D93" s="199">
        <v>460</v>
      </c>
      <c r="E93" s="201">
        <v>93.6</v>
      </c>
      <c r="F93" s="201">
        <v>94.1</v>
      </c>
      <c r="G93" s="200"/>
      <c r="H93" s="201">
        <v>95</v>
      </c>
    </row>
    <row r="95" spans="1:8" x14ac:dyDescent="0.25">
      <c r="A95" s="195" t="s">
        <v>1285</v>
      </c>
    </row>
    <row r="97" spans="1:8" x14ac:dyDescent="0.25">
      <c r="A97" s="194" t="s">
        <v>1268</v>
      </c>
    </row>
    <row r="98" spans="1:8" x14ac:dyDescent="0.25">
      <c r="A98" s="195" t="s">
        <v>1275</v>
      </c>
    </row>
    <row r="100" spans="1:8" s="197" customFormat="1" x14ac:dyDescent="0.25">
      <c r="A100" s="196" t="s">
        <v>1276</v>
      </c>
      <c r="B100" s="196" t="s">
        <v>1277</v>
      </c>
      <c r="C100" s="196" t="s">
        <v>1278</v>
      </c>
      <c r="D100" s="196" t="s">
        <v>1279</v>
      </c>
      <c r="E100" s="196" t="s">
        <v>1280</v>
      </c>
      <c r="F100" s="196" t="s">
        <v>1281</v>
      </c>
      <c r="G100" s="196" t="s">
        <v>1282</v>
      </c>
      <c r="H100" s="196" t="s">
        <v>1283</v>
      </c>
    </row>
    <row r="101" spans="1:8" x14ac:dyDescent="0.25">
      <c r="A101" s="198" t="s">
        <v>1217</v>
      </c>
      <c r="B101" s="199">
        <v>1200</v>
      </c>
      <c r="C101" s="199">
        <v>125</v>
      </c>
      <c r="D101" s="199">
        <v>460</v>
      </c>
      <c r="E101" s="201">
        <v>93.6</v>
      </c>
      <c r="F101" s="201">
        <v>94.1</v>
      </c>
      <c r="G101" s="200"/>
      <c r="H101" s="201">
        <v>95</v>
      </c>
    </row>
    <row r="102" spans="1:8" x14ac:dyDescent="0.25">
      <c r="A102" s="198" t="s">
        <v>1217</v>
      </c>
      <c r="B102" s="199">
        <v>1200</v>
      </c>
      <c r="C102" s="199">
        <v>150</v>
      </c>
      <c r="D102" s="199">
        <v>460</v>
      </c>
      <c r="E102" s="201">
        <v>93.6</v>
      </c>
      <c r="F102" s="201">
        <v>94.5</v>
      </c>
      <c r="G102" s="200"/>
      <c r="H102" s="201">
        <v>95.4</v>
      </c>
    </row>
    <row r="103" spans="1:8" x14ac:dyDescent="0.25">
      <c r="A103" s="198" t="s">
        <v>1217</v>
      </c>
      <c r="B103" s="199">
        <v>1200</v>
      </c>
      <c r="C103" s="199">
        <v>200</v>
      </c>
      <c r="D103" s="199">
        <v>460</v>
      </c>
      <c r="E103" s="201">
        <v>94.1</v>
      </c>
      <c r="F103" s="201">
        <v>94.5</v>
      </c>
      <c r="G103" s="200"/>
      <c r="H103" s="201">
        <v>95.4</v>
      </c>
    </row>
    <row r="104" spans="1:8" x14ac:dyDescent="0.25">
      <c r="A104" s="198" t="s">
        <v>1217</v>
      </c>
      <c r="B104" s="199">
        <v>1200</v>
      </c>
      <c r="C104" s="199">
        <v>250</v>
      </c>
      <c r="D104" s="199">
        <v>460</v>
      </c>
      <c r="E104" s="200"/>
      <c r="F104" s="201">
        <v>95.4</v>
      </c>
      <c r="G104" s="200"/>
      <c r="H104" s="201">
        <v>95.4</v>
      </c>
    </row>
    <row r="105" spans="1:8" x14ac:dyDescent="0.25">
      <c r="A105" s="198" t="s">
        <v>1217</v>
      </c>
      <c r="B105" s="199">
        <v>1200</v>
      </c>
      <c r="C105" s="199">
        <v>300</v>
      </c>
      <c r="D105" s="199">
        <v>460</v>
      </c>
      <c r="E105" s="200"/>
      <c r="F105" s="201">
        <v>95.4</v>
      </c>
      <c r="G105" s="200"/>
      <c r="H105" s="201">
        <v>95.4</v>
      </c>
    </row>
    <row r="106" spans="1:8" x14ac:dyDescent="0.25">
      <c r="A106" s="198" t="s">
        <v>1217</v>
      </c>
      <c r="B106" s="199">
        <v>1200</v>
      </c>
      <c r="C106" s="199">
        <v>350</v>
      </c>
      <c r="D106" s="199">
        <v>460</v>
      </c>
      <c r="E106" s="200"/>
      <c r="F106" s="201">
        <v>95.4</v>
      </c>
      <c r="G106" s="200"/>
      <c r="H106" s="201">
        <v>95.4</v>
      </c>
    </row>
    <row r="107" spans="1:8" x14ac:dyDescent="0.25">
      <c r="A107" s="198" t="s">
        <v>1217</v>
      </c>
      <c r="B107" s="199">
        <v>1200</v>
      </c>
      <c r="C107" s="199">
        <v>400</v>
      </c>
      <c r="D107" s="199">
        <v>460</v>
      </c>
      <c r="E107" s="200"/>
      <c r="F107" s="200"/>
      <c r="G107" s="200"/>
      <c r="H107" s="201">
        <v>95.8</v>
      </c>
    </row>
    <row r="108" spans="1:8" x14ac:dyDescent="0.25">
      <c r="A108" s="198" t="s">
        <v>1217</v>
      </c>
      <c r="B108" s="199">
        <v>1200</v>
      </c>
      <c r="C108" s="199">
        <v>450</v>
      </c>
      <c r="D108" s="199">
        <v>460</v>
      </c>
      <c r="E108" s="200"/>
      <c r="F108" s="200"/>
      <c r="G108" s="200"/>
      <c r="H108" s="201">
        <v>96.2</v>
      </c>
    </row>
    <row r="109" spans="1:8" x14ac:dyDescent="0.25">
      <c r="A109" s="198" t="s">
        <v>1217</v>
      </c>
      <c r="B109" s="199">
        <v>1200</v>
      </c>
      <c r="C109" s="199">
        <v>500</v>
      </c>
      <c r="D109" s="199">
        <v>460</v>
      </c>
      <c r="E109" s="200"/>
      <c r="F109" s="200"/>
      <c r="G109" s="200"/>
      <c r="H109" s="201">
        <v>96.2</v>
      </c>
    </row>
    <row r="110" spans="1:8" x14ac:dyDescent="0.25">
      <c r="A110" s="198" t="s">
        <v>1217</v>
      </c>
      <c r="B110" s="199">
        <v>900</v>
      </c>
      <c r="C110" s="199">
        <v>1</v>
      </c>
      <c r="D110" s="199">
        <v>460</v>
      </c>
      <c r="E110" s="201">
        <v>72</v>
      </c>
      <c r="F110" s="201">
        <v>74</v>
      </c>
      <c r="G110" s="200"/>
      <c r="H110" s="200"/>
    </row>
    <row r="111" spans="1:8" x14ac:dyDescent="0.25">
      <c r="A111" s="198" t="s">
        <v>1217</v>
      </c>
      <c r="B111" s="199">
        <v>900</v>
      </c>
      <c r="C111" s="201">
        <v>1.5</v>
      </c>
      <c r="D111" s="199">
        <v>460</v>
      </c>
      <c r="E111" s="201">
        <v>75.5</v>
      </c>
      <c r="F111" s="201">
        <v>75.5</v>
      </c>
      <c r="G111" s="200"/>
      <c r="H111" s="200"/>
    </row>
    <row r="112" spans="1:8" x14ac:dyDescent="0.25">
      <c r="A112" s="198" t="s">
        <v>1217</v>
      </c>
      <c r="B112" s="199">
        <v>900</v>
      </c>
      <c r="C112" s="199">
        <v>2</v>
      </c>
      <c r="D112" s="199">
        <v>460</v>
      </c>
      <c r="E112" s="201">
        <v>85.5</v>
      </c>
      <c r="F112" s="201">
        <v>85.5</v>
      </c>
      <c r="G112" s="200"/>
      <c r="H112" s="200"/>
    </row>
    <row r="113" spans="1:8" x14ac:dyDescent="0.25">
      <c r="A113" s="198" t="s">
        <v>1217</v>
      </c>
      <c r="B113" s="199">
        <v>900</v>
      </c>
      <c r="C113" s="199">
        <v>3</v>
      </c>
      <c r="D113" s="199">
        <v>460</v>
      </c>
      <c r="E113" s="201">
        <v>86.5</v>
      </c>
      <c r="F113" s="201">
        <v>86.5</v>
      </c>
      <c r="G113" s="200"/>
      <c r="H113" s="200"/>
    </row>
    <row r="114" spans="1:8" x14ac:dyDescent="0.25">
      <c r="A114" s="198" t="s">
        <v>1217</v>
      </c>
      <c r="B114" s="199">
        <v>900</v>
      </c>
      <c r="C114" s="199">
        <v>5</v>
      </c>
      <c r="D114" s="199">
        <v>460</v>
      </c>
      <c r="E114" s="201">
        <v>87.5</v>
      </c>
      <c r="F114" s="201">
        <v>87.5</v>
      </c>
      <c r="G114" s="200"/>
      <c r="H114" s="200"/>
    </row>
    <row r="115" spans="1:8" x14ac:dyDescent="0.25">
      <c r="A115" s="198" t="s">
        <v>1217</v>
      </c>
      <c r="B115" s="199">
        <v>900</v>
      </c>
      <c r="C115" s="201">
        <v>7.5</v>
      </c>
      <c r="D115" s="199">
        <v>460</v>
      </c>
      <c r="E115" s="201">
        <v>88.5</v>
      </c>
      <c r="F115" s="201">
        <v>88.5</v>
      </c>
      <c r="G115" s="200"/>
      <c r="H115" s="200"/>
    </row>
    <row r="116" spans="1:8" x14ac:dyDescent="0.25">
      <c r="A116" s="198" t="s">
        <v>1217</v>
      </c>
      <c r="B116" s="199">
        <v>900</v>
      </c>
      <c r="C116" s="199">
        <v>10</v>
      </c>
      <c r="D116" s="199">
        <v>460</v>
      </c>
      <c r="E116" s="201">
        <v>89.5</v>
      </c>
      <c r="F116" s="201">
        <v>89.5</v>
      </c>
      <c r="G116" s="200"/>
      <c r="H116" s="200"/>
    </row>
    <row r="117" spans="1:8" x14ac:dyDescent="0.25">
      <c r="A117" s="198" t="s">
        <v>1217</v>
      </c>
      <c r="B117" s="199">
        <v>900</v>
      </c>
      <c r="C117" s="199">
        <v>15</v>
      </c>
      <c r="D117" s="199">
        <v>460</v>
      </c>
      <c r="E117" s="201">
        <v>89.5</v>
      </c>
      <c r="F117" s="201">
        <v>89.5</v>
      </c>
      <c r="G117" s="200"/>
      <c r="H117" s="200"/>
    </row>
    <row r="118" spans="1:8" x14ac:dyDescent="0.25">
      <c r="A118" s="198" t="s">
        <v>1217</v>
      </c>
      <c r="B118" s="199">
        <v>900</v>
      </c>
      <c r="C118" s="199">
        <v>20</v>
      </c>
      <c r="D118" s="199">
        <v>460</v>
      </c>
      <c r="E118" s="201">
        <v>90.2</v>
      </c>
      <c r="F118" s="201">
        <v>90.2</v>
      </c>
      <c r="G118" s="200"/>
      <c r="H118" s="200"/>
    </row>
    <row r="119" spans="1:8" x14ac:dyDescent="0.25">
      <c r="A119" s="198" t="s">
        <v>1217</v>
      </c>
      <c r="B119" s="199">
        <v>900</v>
      </c>
      <c r="C119" s="199">
        <v>25</v>
      </c>
      <c r="D119" s="199">
        <v>460</v>
      </c>
      <c r="E119" s="201">
        <v>90.2</v>
      </c>
      <c r="F119" s="201">
        <v>90.2</v>
      </c>
      <c r="G119" s="200"/>
      <c r="H119" s="200"/>
    </row>
    <row r="120" spans="1:8" x14ac:dyDescent="0.25">
      <c r="A120" s="198" t="s">
        <v>1217</v>
      </c>
      <c r="B120" s="199">
        <v>900</v>
      </c>
      <c r="C120" s="199">
        <v>30</v>
      </c>
      <c r="D120" s="199">
        <v>460</v>
      </c>
      <c r="E120" s="201">
        <v>91</v>
      </c>
      <c r="F120" s="201">
        <v>91</v>
      </c>
      <c r="G120" s="200"/>
      <c r="H120" s="200"/>
    </row>
    <row r="121" spans="1:8" x14ac:dyDescent="0.25">
      <c r="A121" s="198" t="s">
        <v>1217</v>
      </c>
      <c r="B121" s="199">
        <v>900</v>
      </c>
      <c r="C121" s="199">
        <v>40</v>
      </c>
      <c r="D121" s="199">
        <v>460</v>
      </c>
      <c r="E121" s="201">
        <v>90.2</v>
      </c>
      <c r="F121" s="201">
        <v>91</v>
      </c>
      <c r="G121" s="200"/>
      <c r="H121" s="200"/>
    </row>
    <row r="122" spans="1:8" x14ac:dyDescent="0.25">
      <c r="A122" s="198" t="s">
        <v>1217</v>
      </c>
      <c r="B122" s="199">
        <v>900</v>
      </c>
      <c r="C122" s="199">
        <v>50</v>
      </c>
      <c r="D122" s="199">
        <v>460</v>
      </c>
      <c r="E122" s="201">
        <v>91.7</v>
      </c>
      <c r="F122" s="201">
        <v>91.7</v>
      </c>
      <c r="G122" s="200"/>
      <c r="H122" s="200"/>
    </row>
    <row r="123" spans="1:8" x14ac:dyDescent="0.25">
      <c r="A123" s="198" t="s">
        <v>1217</v>
      </c>
      <c r="B123" s="199">
        <v>900</v>
      </c>
      <c r="C123" s="199">
        <v>60</v>
      </c>
      <c r="D123" s="199">
        <v>460</v>
      </c>
      <c r="E123" s="201">
        <v>92.4</v>
      </c>
      <c r="F123" s="201">
        <v>92.4</v>
      </c>
      <c r="G123" s="200"/>
      <c r="H123" s="200"/>
    </row>
    <row r="124" spans="1:8" x14ac:dyDescent="0.25">
      <c r="A124" s="198" t="s">
        <v>1217</v>
      </c>
      <c r="B124" s="199">
        <v>900</v>
      </c>
      <c r="C124" s="199">
        <v>75</v>
      </c>
      <c r="D124" s="199">
        <v>460</v>
      </c>
      <c r="E124" s="201">
        <v>93.6</v>
      </c>
      <c r="F124" s="201">
        <v>93.6</v>
      </c>
      <c r="G124" s="200"/>
      <c r="H124" s="200"/>
    </row>
    <row r="125" spans="1:8" x14ac:dyDescent="0.25">
      <c r="A125" s="198" t="s">
        <v>1217</v>
      </c>
      <c r="B125" s="199">
        <v>900</v>
      </c>
      <c r="C125" s="199">
        <v>100</v>
      </c>
      <c r="D125" s="199">
        <v>460</v>
      </c>
      <c r="E125" s="201">
        <v>93.6</v>
      </c>
      <c r="F125" s="201">
        <v>93.6</v>
      </c>
      <c r="G125" s="200"/>
      <c r="H125" s="200"/>
    </row>
    <row r="126" spans="1:8" x14ac:dyDescent="0.25">
      <c r="A126" s="198" t="s">
        <v>1217</v>
      </c>
      <c r="B126" s="199">
        <v>900</v>
      </c>
      <c r="C126" s="199">
        <v>125</v>
      </c>
      <c r="D126" s="199">
        <v>460</v>
      </c>
      <c r="E126" s="201">
        <v>93.6</v>
      </c>
      <c r="F126" s="201">
        <v>93.6</v>
      </c>
      <c r="G126" s="200"/>
      <c r="H126" s="200"/>
    </row>
    <row r="127" spans="1:8" x14ac:dyDescent="0.25">
      <c r="A127" s="198" t="s">
        <v>1217</v>
      </c>
      <c r="B127" s="199">
        <v>900</v>
      </c>
      <c r="C127" s="199">
        <v>150</v>
      </c>
      <c r="D127" s="199">
        <v>460</v>
      </c>
      <c r="E127" s="201">
        <v>93.6</v>
      </c>
      <c r="F127" s="201">
        <v>93.6</v>
      </c>
      <c r="G127" s="200"/>
      <c r="H127" s="200"/>
    </row>
    <row r="128" spans="1:8" x14ac:dyDescent="0.25">
      <c r="A128" s="198" t="s">
        <v>1217</v>
      </c>
      <c r="B128" s="199">
        <v>900</v>
      </c>
      <c r="C128" s="199">
        <v>200</v>
      </c>
      <c r="D128" s="199">
        <v>460</v>
      </c>
      <c r="E128" s="201">
        <v>93.6</v>
      </c>
      <c r="F128" s="201">
        <v>93.6</v>
      </c>
      <c r="G128" s="200"/>
      <c r="H128" s="200"/>
    </row>
    <row r="129" spans="1:8" x14ac:dyDescent="0.25">
      <c r="A129" s="198" t="s">
        <v>1217</v>
      </c>
      <c r="B129" s="199">
        <v>900</v>
      </c>
      <c r="C129" s="199">
        <v>250</v>
      </c>
      <c r="D129" s="199">
        <v>460</v>
      </c>
      <c r="E129" s="200"/>
      <c r="F129" s="201">
        <v>94.5</v>
      </c>
      <c r="G129" s="200"/>
      <c r="H129" s="200"/>
    </row>
    <row r="130" spans="1:8" x14ac:dyDescent="0.25">
      <c r="A130" s="198" t="s">
        <v>1217</v>
      </c>
      <c r="B130" s="199">
        <v>900</v>
      </c>
      <c r="C130" s="199">
        <v>300</v>
      </c>
      <c r="D130" s="199">
        <v>460</v>
      </c>
      <c r="E130" s="200"/>
      <c r="F130" s="200"/>
      <c r="G130" s="200"/>
      <c r="H130" s="200"/>
    </row>
    <row r="131" spans="1:8" x14ac:dyDescent="0.25">
      <c r="A131" s="198" t="s">
        <v>1217</v>
      </c>
      <c r="B131" s="199">
        <v>900</v>
      </c>
      <c r="C131" s="199">
        <v>350</v>
      </c>
      <c r="D131" s="199">
        <v>460</v>
      </c>
      <c r="E131" s="200"/>
      <c r="F131" s="200"/>
      <c r="G131" s="200"/>
      <c r="H131" s="200"/>
    </row>
    <row r="132" spans="1:8" x14ac:dyDescent="0.25">
      <c r="A132" s="198" t="s">
        <v>1217</v>
      </c>
      <c r="B132" s="199">
        <v>900</v>
      </c>
      <c r="C132" s="199">
        <v>400</v>
      </c>
      <c r="D132" s="199">
        <v>460</v>
      </c>
      <c r="E132" s="200"/>
      <c r="F132" s="200"/>
      <c r="G132" s="200"/>
      <c r="H132" s="200"/>
    </row>
    <row r="133" spans="1:8" x14ac:dyDescent="0.25">
      <c r="A133" s="198" t="s">
        <v>1217</v>
      </c>
      <c r="B133" s="199">
        <v>900</v>
      </c>
      <c r="C133" s="199">
        <v>450</v>
      </c>
      <c r="D133" s="199">
        <v>460</v>
      </c>
      <c r="E133" s="200"/>
      <c r="F133" s="200"/>
      <c r="G133" s="200"/>
      <c r="H133" s="200"/>
    </row>
    <row r="134" spans="1:8" x14ac:dyDescent="0.25">
      <c r="A134" s="198" t="s">
        <v>1217</v>
      </c>
      <c r="B134" s="199">
        <v>900</v>
      </c>
      <c r="C134" s="199">
        <v>500</v>
      </c>
      <c r="D134" s="199">
        <v>460</v>
      </c>
      <c r="E134" s="200"/>
      <c r="F134" s="200"/>
      <c r="G134" s="200"/>
      <c r="H134" s="200"/>
    </row>
    <row r="136" spans="1:8" x14ac:dyDescent="0.25">
      <c r="A136" s="195" t="s">
        <v>1286</v>
      </c>
    </row>
    <row r="138" spans="1:8" x14ac:dyDescent="0.25">
      <c r="A138" s="194" t="s">
        <v>1268</v>
      </c>
    </row>
    <row r="139" spans="1:8" x14ac:dyDescent="0.25">
      <c r="A139" s="195" t="s">
        <v>1275</v>
      </c>
    </row>
    <row r="141" spans="1:8" s="197" customFormat="1" x14ac:dyDescent="0.25">
      <c r="A141" s="196" t="s">
        <v>1276</v>
      </c>
      <c r="B141" s="196" t="s">
        <v>1277</v>
      </c>
      <c r="C141" s="196" t="s">
        <v>1278</v>
      </c>
      <c r="D141" s="196" t="s">
        <v>1279</v>
      </c>
      <c r="E141" s="196" t="s">
        <v>1280</v>
      </c>
      <c r="F141" s="196" t="s">
        <v>1281</v>
      </c>
      <c r="G141" s="196" t="s">
        <v>1282</v>
      </c>
      <c r="H141" s="196" t="s">
        <v>1283</v>
      </c>
    </row>
    <row r="142" spans="1:8" x14ac:dyDescent="0.25">
      <c r="A142" s="198" t="s">
        <v>1218</v>
      </c>
      <c r="B142" s="199">
        <v>3600</v>
      </c>
      <c r="C142" s="199">
        <v>1</v>
      </c>
      <c r="D142" s="199">
        <v>460</v>
      </c>
      <c r="E142" s="200"/>
      <c r="F142" s="201">
        <v>75.5</v>
      </c>
      <c r="G142" s="201">
        <v>77</v>
      </c>
      <c r="H142" s="201">
        <v>77</v>
      </c>
    </row>
    <row r="143" spans="1:8" x14ac:dyDescent="0.25">
      <c r="A143" s="198" t="s">
        <v>1218</v>
      </c>
      <c r="B143" s="199">
        <v>3600</v>
      </c>
      <c r="C143" s="201">
        <v>1.5</v>
      </c>
      <c r="D143" s="199">
        <v>460</v>
      </c>
      <c r="E143" s="201">
        <v>78.5</v>
      </c>
      <c r="F143" s="201">
        <v>82.5</v>
      </c>
      <c r="G143" s="201">
        <v>84</v>
      </c>
      <c r="H143" s="201">
        <v>84</v>
      </c>
    </row>
    <row r="144" spans="1:8" x14ac:dyDescent="0.25">
      <c r="A144" s="198" t="s">
        <v>1218</v>
      </c>
      <c r="B144" s="199">
        <v>3600</v>
      </c>
      <c r="C144" s="199">
        <v>2</v>
      </c>
      <c r="D144" s="199">
        <v>460</v>
      </c>
      <c r="E144" s="201">
        <v>81.5</v>
      </c>
      <c r="F144" s="201">
        <v>84</v>
      </c>
      <c r="G144" s="201">
        <v>85.5</v>
      </c>
      <c r="H144" s="201">
        <v>85.5</v>
      </c>
    </row>
    <row r="145" spans="1:8" x14ac:dyDescent="0.25">
      <c r="A145" s="198" t="s">
        <v>1218</v>
      </c>
      <c r="B145" s="199">
        <v>3600</v>
      </c>
      <c r="C145" s="199">
        <v>3</v>
      </c>
      <c r="D145" s="199">
        <v>460</v>
      </c>
      <c r="E145" s="201">
        <v>82.5</v>
      </c>
      <c r="F145" s="201">
        <v>85.5</v>
      </c>
      <c r="G145" s="201">
        <v>86.5</v>
      </c>
      <c r="H145" s="201">
        <v>86.5</v>
      </c>
    </row>
    <row r="146" spans="1:8" x14ac:dyDescent="0.25">
      <c r="A146" s="198" t="s">
        <v>1218</v>
      </c>
      <c r="B146" s="199">
        <v>3600</v>
      </c>
      <c r="C146" s="199">
        <v>5</v>
      </c>
      <c r="D146" s="199">
        <v>460</v>
      </c>
      <c r="E146" s="201">
        <v>85.5</v>
      </c>
      <c r="F146" s="201">
        <v>87.5</v>
      </c>
      <c r="G146" s="201">
        <v>88.5</v>
      </c>
      <c r="H146" s="201">
        <v>88.5</v>
      </c>
    </row>
    <row r="147" spans="1:8" x14ac:dyDescent="0.25">
      <c r="A147" s="198" t="s">
        <v>1218</v>
      </c>
      <c r="B147" s="199">
        <v>3600</v>
      </c>
      <c r="C147" s="201">
        <v>7.5</v>
      </c>
      <c r="D147" s="199">
        <v>460</v>
      </c>
      <c r="E147" s="201">
        <v>85.5</v>
      </c>
      <c r="F147" s="201">
        <v>88.5</v>
      </c>
      <c r="G147" s="201">
        <v>89.5</v>
      </c>
      <c r="H147" s="201">
        <v>89.5</v>
      </c>
    </row>
    <row r="148" spans="1:8" x14ac:dyDescent="0.25">
      <c r="A148" s="198" t="s">
        <v>1218</v>
      </c>
      <c r="B148" s="199">
        <v>3600</v>
      </c>
      <c r="C148" s="199">
        <v>10</v>
      </c>
      <c r="D148" s="199">
        <v>460</v>
      </c>
      <c r="E148" s="201">
        <v>87.5</v>
      </c>
      <c r="F148" s="201">
        <v>89.5</v>
      </c>
      <c r="G148" s="201">
        <v>90.2</v>
      </c>
      <c r="H148" s="201">
        <v>90.2</v>
      </c>
    </row>
    <row r="149" spans="1:8" x14ac:dyDescent="0.25">
      <c r="A149" s="198" t="s">
        <v>1218</v>
      </c>
      <c r="B149" s="199">
        <v>3600</v>
      </c>
      <c r="C149" s="199">
        <v>15</v>
      </c>
      <c r="D149" s="199">
        <v>460</v>
      </c>
      <c r="E149" s="201">
        <v>87.5</v>
      </c>
      <c r="F149" s="201">
        <v>90.2</v>
      </c>
      <c r="G149" s="201">
        <v>91</v>
      </c>
      <c r="H149" s="201">
        <v>91</v>
      </c>
    </row>
    <row r="150" spans="1:8" x14ac:dyDescent="0.25">
      <c r="A150" s="198" t="s">
        <v>1218</v>
      </c>
      <c r="B150" s="199">
        <v>3600</v>
      </c>
      <c r="C150" s="199">
        <v>20</v>
      </c>
      <c r="D150" s="199">
        <v>460</v>
      </c>
      <c r="E150" s="201">
        <v>88.5</v>
      </c>
      <c r="F150" s="201">
        <v>90.2</v>
      </c>
      <c r="G150" s="201">
        <v>91</v>
      </c>
      <c r="H150" s="201">
        <v>91</v>
      </c>
    </row>
    <row r="151" spans="1:8" x14ac:dyDescent="0.25">
      <c r="A151" s="198" t="s">
        <v>1218</v>
      </c>
      <c r="B151" s="199">
        <v>3600</v>
      </c>
      <c r="C151" s="199">
        <v>25</v>
      </c>
      <c r="D151" s="199">
        <v>460</v>
      </c>
      <c r="E151" s="201">
        <v>89.5</v>
      </c>
      <c r="F151" s="201">
        <v>91</v>
      </c>
      <c r="G151" s="201">
        <v>91.7</v>
      </c>
      <c r="H151" s="201">
        <v>91.7</v>
      </c>
    </row>
    <row r="152" spans="1:8" x14ac:dyDescent="0.25">
      <c r="A152" s="198" t="s">
        <v>1218</v>
      </c>
      <c r="B152" s="199">
        <v>3600</v>
      </c>
      <c r="C152" s="199">
        <v>30</v>
      </c>
      <c r="D152" s="199">
        <v>460</v>
      </c>
      <c r="E152" s="201">
        <v>89.5</v>
      </c>
      <c r="F152" s="201">
        <v>91</v>
      </c>
      <c r="G152" s="201">
        <v>91.7</v>
      </c>
      <c r="H152" s="201">
        <v>91.7</v>
      </c>
    </row>
    <row r="153" spans="1:8" x14ac:dyDescent="0.25">
      <c r="A153" s="198" t="s">
        <v>1218</v>
      </c>
      <c r="B153" s="199">
        <v>3600</v>
      </c>
      <c r="C153" s="199">
        <v>40</v>
      </c>
      <c r="D153" s="199">
        <v>460</v>
      </c>
      <c r="E153" s="201">
        <v>90.2</v>
      </c>
      <c r="F153" s="201">
        <v>91.7</v>
      </c>
      <c r="G153" s="201">
        <v>92.4</v>
      </c>
      <c r="H153" s="201">
        <v>92.4</v>
      </c>
    </row>
    <row r="154" spans="1:8" x14ac:dyDescent="0.25">
      <c r="A154" s="198" t="s">
        <v>1218</v>
      </c>
      <c r="B154" s="199">
        <v>3600</v>
      </c>
      <c r="C154" s="199">
        <v>50</v>
      </c>
      <c r="D154" s="199">
        <v>460</v>
      </c>
      <c r="E154" s="201">
        <v>90.2</v>
      </c>
      <c r="F154" s="201">
        <v>92.4</v>
      </c>
      <c r="G154" s="201">
        <v>93</v>
      </c>
      <c r="H154" s="201">
        <v>93</v>
      </c>
    </row>
    <row r="155" spans="1:8" x14ac:dyDescent="0.25">
      <c r="A155" s="198" t="s">
        <v>1218</v>
      </c>
      <c r="B155" s="199">
        <v>3600</v>
      </c>
      <c r="C155" s="199">
        <v>60</v>
      </c>
      <c r="D155" s="199">
        <v>460</v>
      </c>
      <c r="E155" s="201">
        <v>91.7</v>
      </c>
      <c r="F155" s="201">
        <v>93</v>
      </c>
      <c r="G155" s="201">
        <v>93.6</v>
      </c>
      <c r="H155" s="201">
        <v>93.6</v>
      </c>
    </row>
    <row r="156" spans="1:8" x14ac:dyDescent="0.25">
      <c r="A156" s="198" t="s">
        <v>1218</v>
      </c>
      <c r="B156" s="199">
        <v>3600</v>
      </c>
      <c r="C156" s="199">
        <v>75</v>
      </c>
      <c r="D156" s="199">
        <v>460</v>
      </c>
      <c r="E156" s="201">
        <v>92.4</v>
      </c>
      <c r="F156" s="201">
        <v>93</v>
      </c>
      <c r="G156" s="201">
        <v>93.6</v>
      </c>
      <c r="H156" s="201">
        <v>93.6</v>
      </c>
    </row>
    <row r="157" spans="1:8" x14ac:dyDescent="0.25">
      <c r="A157" s="198" t="s">
        <v>1218</v>
      </c>
      <c r="B157" s="199">
        <v>3600</v>
      </c>
      <c r="C157" s="199">
        <v>100</v>
      </c>
      <c r="D157" s="199">
        <v>460</v>
      </c>
      <c r="E157" s="201">
        <v>93</v>
      </c>
      <c r="F157" s="201">
        <v>93.6</v>
      </c>
      <c r="G157" s="201">
        <v>94.1</v>
      </c>
      <c r="H157" s="201">
        <v>94.1</v>
      </c>
    </row>
    <row r="158" spans="1:8" x14ac:dyDescent="0.25">
      <c r="A158" s="198" t="s">
        <v>1218</v>
      </c>
      <c r="B158" s="199">
        <v>3600</v>
      </c>
      <c r="C158" s="199">
        <v>125</v>
      </c>
      <c r="D158" s="199">
        <v>460</v>
      </c>
      <c r="E158" s="201">
        <v>93</v>
      </c>
      <c r="F158" s="201">
        <v>94.5</v>
      </c>
      <c r="G158" s="201">
        <v>95</v>
      </c>
      <c r="H158" s="201">
        <v>95</v>
      </c>
    </row>
    <row r="159" spans="1:8" x14ac:dyDescent="0.25">
      <c r="A159" s="198" t="s">
        <v>1218</v>
      </c>
      <c r="B159" s="199">
        <v>3600</v>
      </c>
      <c r="C159" s="199">
        <v>150</v>
      </c>
      <c r="D159" s="199">
        <v>460</v>
      </c>
      <c r="E159" s="201">
        <v>93</v>
      </c>
      <c r="F159" s="201">
        <v>94.5</v>
      </c>
      <c r="G159" s="201">
        <v>95</v>
      </c>
      <c r="H159" s="201">
        <v>95</v>
      </c>
    </row>
    <row r="160" spans="1:8" x14ac:dyDescent="0.25">
      <c r="A160" s="198" t="s">
        <v>1218</v>
      </c>
      <c r="B160" s="199">
        <v>3600</v>
      </c>
      <c r="C160" s="199">
        <v>200</v>
      </c>
      <c r="D160" s="199">
        <v>460</v>
      </c>
      <c r="E160" s="201">
        <v>94.1</v>
      </c>
      <c r="F160" s="201">
        <v>95</v>
      </c>
      <c r="G160" s="201">
        <v>95.4</v>
      </c>
      <c r="H160" s="201">
        <v>95.4</v>
      </c>
    </row>
    <row r="161" spans="1:8" x14ac:dyDescent="0.25">
      <c r="A161" s="198" t="s">
        <v>1218</v>
      </c>
      <c r="B161" s="199">
        <v>3600</v>
      </c>
      <c r="C161" s="199">
        <v>250</v>
      </c>
      <c r="D161" s="199">
        <v>460</v>
      </c>
      <c r="E161" s="200"/>
      <c r="F161" s="201">
        <v>95.4</v>
      </c>
      <c r="G161" s="201">
        <v>95.4</v>
      </c>
      <c r="H161" s="201">
        <v>95.8</v>
      </c>
    </row>
    <row r="162" spans="1:8" x14ac:dyDescent="0.25">
      <c r="A162" s="198" t="s">
        <v>1218</v>
      </c>
      <c r="B162" s="199">
        <v>3600</v>
      </c>
      <c r="C162" s="199">
        <v>300</v>
      </c>
      <c r="D162" s="199">
        <v>460</v>
      </c>
      <c r="E162" s="200"/>
      <c r="F162" s="201">
        <v>95.4</v>
      </c>
      <c r="G162" s="201">
        <v>95.4</v>
      </c>
      <c r="H162" s="201">
        <v>95.8</v>
      </c>
    </row>
    <row r="163" spans="1:8" x14ac:dyDescent="0.25">
      <c r="A163" s="198" t="s">
        <v>1218</v>
      </c>
      <c r="B163" s="199">
        <v>3600</v>
      </c>
      <c r="C163" s="199">
        <v>350</v>
      </c>
      <c r="D163" s="199">
        <v>460</v>
      </c>
      <c r="E163" s="200"/>
      <c r="F163" s="201">
        <v>95.4</v>
      </c>
      <c r="G163" s="201">
        <v>95.4</v>
      </c>
      <c r="H163" s="201">
        <v>95.8</v>
      </c>
    </row>
    <row r="164" spans="1:8" x14ac:dyDescent="0.25">
      <c r="A164" s="198" t="s">
        <v>1218</v>
      </c>
      <c r="B164" s="199">
        <v>3600</v>
      </c>
      <c r="C164" s="199">
        <v>400</v>
      </c>
      <c r="D164" s="199">
        <v>460</v>
      </c>
      <c r="E164" s="200"/>
      <c r="F164" s="201">
        <v>95.4</v>
      </c>
      <c r="G164" s="201">
        <v>95.4</v>
      </c>
      <c r="H164" s="201">
        <v>95.8</v>
      </c>
    </row>
    <row r="165" spans="1:8" x14ac:dyDescent="0.25">
      <c r="A165" s="198" t="s">
        <v>1218</v>
      </c>
      <c r="B165" s="199">
        <v>3600</v>
      </c>
      <c r="C165" s="199">
        <v>450</v>
      </c>
      <c r="D165" s="199">
        <v>460</v>
      </c>
      <c r="E165" s="200"/>
      <c r="F165" s="201">
        <v>95.4</v>
      </c>
      <c r="G165" s="201">
        <v>95.4</v>
      </c>
      <c r="H165" s="201">
        <v>95.8</v>
      </c>
    </row>
    <row r="166" spans="1:8" x14ac:dyDescent="0.25">
      <c r="A166" s="198" t="s">
        <v>1218</v>
      </c>
      <c r="B166" s="199">
        <v>3600</v>
      </c>
      <c r="C166" s="199">
        <v>500</v>
      </c>
      <c r="D166" s="199">
        <v>460</v>
      </c>
      <c r="E166" s="200"/>
      <c r="F166" s="201">
        <v>95.4</v>
      </c>
      <c r="G166" s="201">
        <v>95.4</v>
      </c>
      <c r="H166" s="201">
        <v>95.8</v>
      </c>
    </row>
    <row r="167" spans="1:8" x14ac:dyDescent="0.25">
      <c r="A167" s="198" t="s">
        <v>1218</v>
      </c>
      <c r="B167" s="199">
        <v>1800</v>
      </c>
      <c r="C167" s="199">
        <v>1</v>
      </c>
      <c r="D167" s="199">
        <v>460</v>
      </c>
      <c r="E167" s="201">
        <v>80</v>
      </c>
      <c r="F167" s="201">
        <v>82.5</v>
      </c>
      <c r="G167" s="201">
        <v>84</v>
      </c>
      <c r="H167" s="201">
        <v>85.5</v>
      </c>
    </row>
    <row r="168" spans="1:8" x14ac:dyDescent="0.25">
      <c r="A168" s="198" t="s">
        <v>1218</v>
      </c>
      <c r="B168" s="199">
        <v>1800</v>
      </c>
      <c r="C168" s="201">
        <v>1.5</v>
      </c>
      <c r="D168" s="199">
        <v>460</v>
      </c>
      <c r="E168" s="201">
        <v>81.5</v>
      </c>
      <c r="F168" s="201">
        <v>84</v>
      </c>
      <c r="G168" s="201">
        <v>85.5</v>
      </c>
      <c r="H168" s="201">
        <v>86.5</v>
      </c>
    </row>
    <row r="169" spans="1:8" x14ac:dyDescent="0.25">
      <c r="A169" s="198" t="s">
        <v>1218</v>
      </c>
      <c r="B169" s="199">
        <v>1800</v>
      </c>
      <c r="C169" s="199">
        <v>2</v>
      </c>
      <c r="D169" s="199">
        <v>460</v>
      </c>
      <c r="E169" s="201">
        <v>82.5</v>
      </c>
      <c r="F169" s="201">
        <v>84</v>
      </c>
      <c r="G169" s="201">
        <v>85.5</v>
      </c>
      <c r="H169" s="201">
        <v>86.5</v>
      </c>
    </row>
    <row r="170" spans="1:8" x14ac:dyDescent="0.25">
      <c r="A170" s="198" t="s">
        <v>1218</v>
      </c>
      <c r="B170" s="199">
        <v>1800</v>
      </c>
      <c r="C170" s="199">
        <v>3</v>
      </c>
      <c r="D170" s="199">
        <v>460</v>
      </c>
      <c r="E170" s="201">
        <v>84</v>
      </c>
      <c r="F170" s="201">
        <v>87.5</v>
      </c>
      <c r="G170" s="201">
        <v>88.5</v>
      </c>
      <c r="H170" s="201">
        <v>89.5</v>
      </c>
    </row>
    <row r="171" spans="1:8" x14ac:dyDescent="0.25">
      <c r="A171" s="198" t="s">
        <v>1218</v>
      </c>
      <c r="B171" s="199">
        <v>1800</v>
      </c>
      <c r="C171" s="199">
        <v>5</v>
      </c>
      <c r="D171" s="199">
        <v>460</v>
      </c>
      <c r="E171" s="201">
        <v>85.5</v>
      </c>
      <c r="F171" s="201">
        <v>87.5</v>
      </c>
      <c r="G171" s="201">
        <v>88.5</v>
      </c>
      <c r="H171" s="201">
        <v>89.5</v>
      </c>
    </row>
    <row r="172" spans="1:8" x14ac:dyDescent="0.25">
      <c r="A172" s="198" t="s">
        <v>1218</v>
      </c>
      <c r="B172" s="199">
        <v>1800</v>
      </c>
      <c r="C172" s="201">
        <v>7.5</v>
      </c>
      <c r="D172" s="199">
        <v>460</v>
      </c>
      <c r="E172" s="201">
        <v>87.5</v>
      </c>
      <c r="F172" s="201">
        <v>89.5</v>
      </c>
      <c r="G172" s="201">
        <v>90.2</v>
      </c>
      <c r="H172" s="201">
        <v>91.7</v>
      </c>
    </row>
    <row r="173" spans="1:8" x14ac:dyDescent="0.25">
      <c r="A173" s="198" t="s">
        <v>1218</v>
      </c>
      <c r="B173" s="199">
        <v>1800</v>
      </c>
      <c r="C173" s="199">
        <v>10</v>
      </c>
      <c r="D173" s="199">
        <v>460</v>
      </c>
      <c r="E173" s="201">
        <v>87.5</v>
      </c>
      <c r="F173" s="201">
        <v>89.5</v>
      </c>
      <c r="G173" s="201">
        <v>90.2</v>
      </c>
      <c r="H173" s="201">
        <v>91.7</v>
      </c>
    </row>
    <row r="174" spans="1:8" x14ac:dyDescent="0.25">
      <c r="A174" s="198" t="s">
        <v>1218</v>
      </c>
      <c r="B174" s="199">
        <v>1800</v>
      </c>
      <c r="C174" s="199">
        <v>15</v>
      </c>
      <c r="D174" s="199">
        <v>460</v>
      </c>
      <c r="E174" s="201">
        <v>88.5</v>
      </c>
      <c r="F174" s="201">
        <v>91</v>
      </c>
      <c r="G174" s="201">
        <v>91.7</v>
      </c>
      <c r="H174" s="201">
        <v>92.4</v>
      </c>
    </row>
    <row r="176" spans="1:8" x14ac:dyDescent="0.25">
      <c r="A176" s="195" t="s">
        <v>1287</v>
      </c>
    </row>
    <row r="178" spans="1:8" x14ac:dyDescent="0.25">
      <c r="A178" s="194" t="s">
        <v>1268</v>
      </c>
    </row>
    <row r="179" spans="1:8" x14ac:dyDescent="0.25">
      <c r="A179" s="195" t="s">
        <v>1275</v>
      </c>
    </row>
    <row r="181" spans="1:8" s="197" customFormat="1" x14ac:dyDescent="0.25">
      <c r="A181" s="196" t="s">
        <v>1276</v>
      </c>
      <c r="B181" s="196" t="s">
        <v>1277</v>
      </c>
      <c r="C181" s="196" t="s">
        <v>1278</v>
      </c>
      <c r="D181" s="196" t="s">
        <v>1279</v>
      </c>
      <c r="E181" s="196" t="s">
        <v>1280</v>
      </c>
      <c r="F181" s="196" t="s">
        <v>1281</v>
      </c>
      <c r="G181" s="196" t="s">
        <v>1282</v>
      </c>
      <c r="H181" s="196" t="s">
        <v>1283</v>
      </c>
    </row>
    <row r="182" spans="1:8" x14ac:dyDescent="0.25">
      <c r="A182" s="198" t="s">
        <v>1218</v>
      </c>
      <c r="B182" s="199">
        <v>1800</v>
      </c>
      <c r="C182" s="199">
        <v>20</v>
      </c>
      <c r="D182" s="199">
        <v>460</v>
      </c>
      <c r="E182" s="201">
        <v>90.2</v>
      </c>
      <c r="F182" s="201">
        <v>91</v>
      </c>
      <c r="G182" s="201">
        <v>91.7</v>
      </c>
      <c r="H182" s="201">
        <v>93</v>
      </c>
    </row>
    <row r="183" spans="1:8" x14ac:dyDescent="0.25">
      <c r="A183" s="198" t="s">
        <v>1218</v>
      </c>
      <c r="B183" s="199">
        <v>1800</v>
      </c>
      <c r="C183" s="199">
        <v>25</v>
      </c>
      <c r="D183" s="199">
        <v>460</v>
      </c>
      <c r="E183" s="201">
        <v>91</v>
      </c>
      <c r="F183" s="201">
        <v>92.4</v>
      </c>
      <c r="G183" s="201">
        <v>93</v>
      </c>
      <c r="H183" s="201">
        <v>93.6</v>
      </c>
    </row>
    <row r="184" spans="1:8" x14ac:dyDescent="0.25">
      <c r="A184" s="198" t="s">
        <v>1218</v>
      </c>
      <c r="B184" s="199">
        <v>1800</v>
      </c>
      <c r="C184" s="199">
        <v>30</v>
      </c>
      <c r="D184" s="199">
        <v>460</v>
      </c>
      <c r="E184" s="201">
        <v>91</v>
      </c>
      <c r="F184" s="201">
        <v>92.4</v>
      </c>
      <c r="G184" s="201">
        <v>93</v>
      </c>
      <c r="H184" s="201">
        <v>93.6</v>
      </c>
    </row>
    <row r="185" spans="1:8" x14ac:dyDescent="0.25">
      <c r="A185" s="198" t="s">
        <v>1218</v>
      </c>
      <c r="B185" s="199">
        <v>1800</v>
      </c>
      <c r="C185" s="199">
        <v>40</v>
      </c>
      <c r="D185" s="199">
        <v>460</v>
      </c>
      <c r="E185" s="201">
        <v>91.7</v>
      </c>
      <c r="F185" s="201">
        <v>93</v>
      </c>
      <c r="G185" s="201">
        <v>93.6</v>
      </c>
      <c r="H185" s="201">
        <v>94.1</v>
      </c>
    </row>
    <row r="186" spans="1:8" x14ac:dyDescent="0.25">
      <c r="A186" s="198" t="s">
        <v>1218</v>
      </c>
      <c r="B186" s="199">
        <v>1800</v>
      </c>
      <c r="C186" s="199">
        <v>50</v>
      </c>
      <c r="D186" s="199">
        <v>460</v>
      </c>
      <c r="E186" s="201">
        <v>92.4</v>
      </c>
      <c r="F186" s="201">
        <v>93</v>
      </c>
      <c r="G186" s="201">
        <v>93.6</v>
      </c>
      <c r="H186" s="201">
        <v>94.5</v>
      </c>
    </row>
    <row r="187" spans="1:8" x14ac:dyDescent="0.25">
      <c r="A187" s="198" t="s">
        <v>1218</v>
      </c>
      <c r="B187" s="199">
        <v>1800</v>
      </c>
      <c r="C187" s="199">
        <v>60</v>
      </c>
      <c r="D187" s="199">
        <v>460</v>
      </c>
      <c r="E187" s="201">
        <v>93</v>
      </c>
      <c r="F187" s="201">
        <v>93.6</v>
      </c>
      <c r="G187" s="201">
        <v>94.1</v>
      </c>
      <c r="H187" s="201">
        <v>95</v>
      </c>
    </row>
    <row r="188" spans="1:8" x14ac:dyDescent="0.25">
      <c r="A188" s="198" t="s">
        <v>1218</v>
      </c>
      <c r="B188" s="199">
        <v>1800</v>
      </c>
      <c r="C188" s="199">
        <v>75</v>
      </c>
      <c r="D188" s="199">
        <v>460</v>
      </c>
      <c r="E188" s="201">
        <v>93</v>
      </c>
      <c r="F188" s="201">
        <v>94.1</v>
      </c>
      <c r="G188" s="201">
        <v>94.5</v>
      </c>
      <c r="H188" s="201">
        <v>95.4</v>
      </c>
    </row>
    <row r="189" spans="1:8" x14ac:dyDescent="0.25">
      <c r="A189" s="198" t="s">
        <v>1218</v>
      </c>
      <c r="B189" s="199">
        <v>1800</v>
      </c>
      <c r="C189" s="199">
        <v>100</v>
      </c>
      <c r="D189" s="199">
        <v>460</v>
      </c>
      <c r="E189" s="201">
        <v>93.6</v>
      </c>
      <c r="F189" s="201">
        <v>94.5</v>
      </c>
      <c r="G189" s="201">
        <v>95</v>
      </c>
      <c r="H189" s="201">
        <v>95.4</v>
      </c>
    </row>
    <row r="190" spans="1:8" x14ac:dyDescent="0.25">
      <c r="A190" s="198" t="s">
        <v>1218</v>
      </c>
      <c r="B190" s="199">
        <v>1800</v>
      </c>
      <c r="C190" s="199">
        <v>125</v>
      </c>
      <c r="D190" s="199">
        <v>460</v>
      </c>
      <c r="E190" s="201">
        <v>93.6</v>
      </c>
      <c r="F190" s="201">
        <v>94.5</v>
      </c>
      <c r="G190" s="201">
        <v>95</v>
      </c>
      <c r="H190" s="201">
        <v>95.4</v>
      </c>
    </row>
    <row r="191" spans="1:8" x14ac:dyDescent="0.25">
      <c r="A191" s="198" t="s">
        <v>1218</v>
      </c>
      <c r="B191" s="199">
        <v>1800</v>
      </c>
      <c r="C191" s="199">
        <v>150</v>
      </c>
      <c r="D191" s="199">
        <v>460</v>
      </c>
      <c r="E191" s="201">
        <v>94.1</v>
      </c>
      <c r="F191" s="201">
        <v>95</v>
      </c>
      <c r="G191" s="201">
        <v>95.4</v>
      </c>
      <c r="H191" s="201">
        <v>95.8</v>
      </c>
    </row>
    <row r="192" spans="1:8" x14ac:dyDescent="0.25">
      <c r="A192" s="198" t="s">
        <v>1218</v>
      </c>
      <c r="B192" s="199">
        <v>1800</v>
      </c>
      <c r="C192" s="199">
        <v>200</v>
      </c>
      <c r="D192" s="199">
        <v>460</v>
      </c>
      <c r="E192" s="201">
        <v>94.5</v>
      </c>
      <c r="F192" s="201">
        <v>95</v>
      </c>
      <c r="G192" s="201">
        <v>95.4</v>
      </c>
      <c r="H192" s="201">
        <v>96.2</v>
      </c>
    </row>
    <row r="193" spans="1:8" x14ac:dyDescent="0.25">
      <c r="A193" s="198" t="s">
        <v>1218</v>
      </c>
      <c r="B193" s="199">
        <v>1800</v>
      </c>
      <c r="C193" s="199">
        <v>250</v>
      </c>
      <c r="D193" s="199">
        <v>460</v>
      </c>
      <c r="E193" s="200"/>
      <c r="F193" s="201">
        <v>95</v>
      </c>
      <c r="G193" s="201">
        <v>95</v>
      </c>
      <c r="H193" s="201">
        <v>96.2</v>
      </c>
    </row>
    <row r="194" spans="1:8" x14ac:dyDescent="0.25">
      <c r="A194" s="198" t="s">
        <v>1218</v>
      </c>
      <c r="B194" s="199">
        <v>1800</v>
      </c>
      <c r="C194" s="199">
        <v>300</v>
      </c>
      <c r="D194" s="199">
        <v>460</v>
      </c>
      <c r="E194" s="200"/>
      <c r="F194" s="201">
        <v>95.4</v>
      </c>
      <c r="G194" s="201">
        <v>95.4</v>
      </c>
      <c r="H194" s="201">
        <v>96.2</v>
      </c>
    </row>
    <row r="195" spans="1:8" x14ac:dyDescent="0.25">
      <c r="A195" s="198" t="s">
        <v>1218</v>
      </c>
      <c r="B195" s="199">
        <v>1800</v>
      </c>
      <c r="C195" s="199">
        <v>350</v>
      </c>
      <c r="D195" s="199">
        <v>460</v>
      </c>
      <c r="E195" s="200"/>
      <c r="F195" s="201">
        <v>95.4</v>
      </c>
      <c r="G195" s="201">
        <v>95.4</v>
      </c>
      <c r="H195" s="201">
        <v>96.2</v>
      </c>
    </row>
    <row r="196" spans="1:8" x14ac:dyDescent="0.25">
      <c r="A196" s="198" t="s">
        <v>1218</v>
      </c>
      <c r="B196" s="199">
        <v>1800</v>
      </c>
      <c r="C196" s="199">
        <v>400</v>
      </c>
      <c r="D196" s="199">
        <v>460</v>
      </c>
      <c r="E196" s="200"/>
      <c r="F196" s="201">
        <v>95.4</v>
      </c>
      <c r="G196" s="201">
        <v>95.4</v>
      </c>
      <c r="H196" s="201">
        <v>96.2</v>
      </c>
    </row>
    <row r="197" spans="1:8" x14ac:dyDescent="0.25">
      <c r="A197" s="198" t="s">
        <v>1218</v>
      </c>
      <c r="B197" s="199">
        <v>1800</v>
      </c>
      <c r="C197" s="199">
        <v>450</v>
      </c>
      <c r="D197" s="199">
        <v>460</v>
      </c>
      <c r="E197" s="200"/>
      <c r="F197" s="201">
        <v>95.4</v>
      </c>
      <c r="G197" s="201">
        <v>95.4</v>
      </c>
      <c r="H197" s="201">
        <v>96.2</v>
      </c>
    </row>
    <row r="198" spans="1:8" x14ac:dyDescent="0.25">
      <c r="A198" s="198" t="s">
        <v>1218</v>
      </c>
      <c r="B198" s="199">
        <v>1800</v>
      </c>
      <c r="C198" s="199">
        <v>500</v>
      </c>
      <c r="D198" s="199">
        <v>460</v>
      </c>
      <c r="E198" s="200"/>
      <c r="F198" s="201">
        <v>95.8</v>
      </c>
      <c r="G198" s="201">
        <v>95.4</v>
      </c>
      <c r="H198" s="201">
        <v>96.2</v>
      </c>
    </row>
    <row r="199" spans="1:8" x14ac:dyDescent="0.25">
      <c r="A199" s="198" t="s">
        <v>1218</v>
      </c>
      <c r="B199" s="199">
        <v>1200</v>
      </c>
      <c r="C199" s="199">
        <v>1</v>
      </c>
      <c r="D199" s="199">
        <v>460</v>
      </c>
      <c r="E199" s="201">
        <v>75.5</v>
      </c>
      <c r="F199" s="201">
        <v>80</v>
      </c>
      <c r="G199" s="201">
        <v>81.5</v>
      </c>
      <c r="H199" s="201">
        <v>82.5</v>
      </c>
    </row>
    <row r="200" spans="1:8" x14ac:dyDescent="0.25">
      <c r="A200" s="198" t="s">
        <v>1218</v>
      </c>
      <c r="B200" s="199">
        <v>1200</v>
      </c>
      <c r="C200" s="201">
        <v>1.5</v>
      </c>
      <c r="D200" s="199">
        <v>460</v>
      </c>
      <c r="E200" s="201">
        <v>82.5</v>
      </c>
      <c r="F200" s="201">
        <v>85.5</v>
      </c>
      <c r="G200" s="201">
        <v>86.5</v>
      </c>
      <c r="H200" s="201">
        <v>87.5</v>
      </c>
    </row>
    <row r="201" spans="1:8" x14ac:dyDescent="0.25">
      <c r="A201" s="198" t="s">
        <v>1218</v>
      </c>
      <c r="B201" s="199">
        <v>1200</v>
      </c>
      <c r="C201" s="199">
        <v>2</v>
      </c>
      <c r="D201" s="199">
        <v>460</v>
      </c>
      <c r="E201" s="201">
        <v>82.5</v>
      </c>
      <c r="F201" s="201">
        <v>86.5</v>
      </c>
      <c r="G201" s="201">
        <v>87.5</v>
      </c>
      <c r="H201" s="201">
        <v>88.5</v>
      </c>
    </row>
    <row r="202" spans="1:8" x14ac:dyDescent="0.25">
      <c r="A202" s="198" t="s">
        <v>1218</v>
      </c>
      <c r="B202" s="199">
        <v>1200</v>
      </c>
      <c r="C202" s="199">
        <v>3</v>
      </c>
      <c r="D202" s="199">
        <v>460</v>
      </c>
      <c r="E202" s="201">
        <v>84</v>
      </c>
      <c r="F202" s="201">
        <v>87.5</v>
      </c>
      <c r="G202" s="201">
        <v>88.5</v>
      </c>
      <c r="H202" s="201">
        <v>89.5</v>
      </c>
    </row>
    <row r="203" spans="1:8" x14ac:dyDescent="0.25">
      <c r="A203" s="198" t="s">
        <v>1218</v>
      </c>
      <c r="B203" s="199">
        <v>1200</v>
      </c>
      <c r="C203" s="199">
        <v>5</v>
      </c>
      <c r="D203" s="199">
        <v>460</v>
      </c>
      <c r="E203" s="201">
        <v>85.5</v>
      </c>
      <c r="F203" s="201">
        <v>87.5</v>
      </c>
      <c r="G203" s="201">
        <v>88.5</v>
      </c>
      <c r="H203" s="201">
        <v>89.5</v>
      </c>
    </row>
    <row r="204" spans="1:8" x14ac:dyDescent="0.25">
      <c r="A204" s="198" t="s">
        <v>1218</v>
      </c>
      <c r="B204" s="199">
        <v>1200</v>
      </c>
      <c r="C204" s="201">
        <v>7.5</v>
      </c>
      <c r="D204" s="199">
        <v>460</v>
      </c>
      <c r="E204" s="201">
        <v>87.5</v>
      </c>
      <c r="F204" s="201">
        <v>89.5</v>
      </c>
      <c r="G204" s="201">
        <v>90.2</v>
      </c>
      <c r="H204" s="201">
        <v>91</v>
      </c>
    </row>
    <row r="205" spans="1:8" x14ac:dyDescent="0.25">
      <c r="A205" s="198" t="s">
        <v>1218</v>
      </c>
      <c r="B205" s="199">
        <v>1200</v>
      </c>
      <c r="C205" s="199">
        <v>10</v>
      </c>
      <c r="D205" s="199">
        <v>460</v>
      </c>
      <c r="E205" s="201">
        <v>87.5</v>
      </c>
      <c r="F205" s="201">
        <v>89.5</v>
      </c>
      <c r="G205" s="201">
        <v>90.2</v>
      </c>
      <c r="H205" s="201">
        <v>91</v>
      </c>
    </row>
    <row r="206" spans="1:8" x14ac:dyDescent="0.25">
      <c r="A206" s="198" t="s">
        <v>1218</v>
      </c>
      <c r="B206" s="199">
        <v>1200</v>
      </c>
      <c r="C206" s="199">
        <v>15</v>
      </c>
      <c r="D206" s="199">
        <v>460</v>
      </c>
      <c r="E206" s="201">
        <v>89.5</v>
      </c>
      <c r="F206" s="201">
        <v>90.2</v>
      </c>
      <c r="G206" s="201">
        <v>91</v>
      </c>
      <c r="H206" s="201">
        <v>91.7</v>
      </c>
    </row>
    <row r="207" spans="1:8" x14ac:dyDescent="0.25">
      <c r="A207" s="198" t="s">
        <v>1218</v>
      </c>
      <c r="B207" s="199">
        <v>1200</v>
      </c>
      <c r="C207" s="199">
        <v>20</v>
      </c>
      <c r="D207" s="199">
        <v>460</v>
      </c>
      <c r="E207" s="201">
        <v>89.5</v>
      </c>
      <c r="F207" s="201">
        <v>90.2</v>
      </c>
      <c r="G207" s="201">
        <v>91</v>
      </c>
      <c r="H207" s="201">
        <v>91.7</v>
      </c>
    </row>
    <row r="208" spans="1:8" x14ac:dyDescent="0.25">
      <c r="A208" s="198" t="s">
        <v>1218</v>
      </c>
      <c r="B208" s="199">
        <v>1200</v>
      </c>
      <c r="C208" s="199">
        <v>25</v>
      </c>
      <c r="D208" s="199">
        <v>460</v>
      </c>
      <c r="E208" s="201">
        <v>90.2</v>
      </c>
      <c r="F208" s="201">
        <v>91.7</v>
      </c>
      <c r="G208" s="201">
        <v>92.4</v>
      </c>
      <c r="H208" s="201">
        <v>93</v>
      </c>
    </row>
    <row r="209" spans="1:8" x14ac:dyDescent="0.25">
      <c r="A209" s="198" t="s">
        <v>1218</v>
      </c>
      <c r="B209" s="199">
        <v>1200</v>
      </c>
      <c r="C209" s="199">
        <v>30</v>
      </c>
      <c r="D209" s="199">
        <v>460</v>
      </c>
      <c r="E209" s="201">
        <v>91</v>
      </c>
      <c r="F209" s="201">
        <v>91.7</v>
      </c>
      <c r="G209" s="201">
        <v>92.4</v>
      </c>
      <c r="H209" s="201">
        <v>93</v>
      </c>
    </row>
    <row r="210" spans="1:8" x14ac:dyDescent="0.25">
      <c r="A210" s="198" t="s">
        <v>1218</v>
      </c>
      <c r="B210" s="199">
        <v>1200</v>
      </c>
      <c r="C210" s="199">
        <v>40</v>
      </c>
      <c r="D210" s="199">
        <v>460</v>
      </c>
      <c r="E210" s="201">
        <v>91.7</v>
      </c>
      <c r="F210" s="201">
        <v>93</v>
      </c>
      <c r="G210" s="201">
        <v>93.6</v>
      </c>
      <c r="H210" s="201">
        <v>94.1</v>
      </c>
    </row>
    <row r="211" spans="1:8" x14ac:dyDescent="0.25">
      <c r="A211" s="198" t="s">
        <v>1218</v>
      </c>
      <c r="B211" s="199">
        <v>1200</v>
      </c>
      <c r="C211" s="199">
        <v>50</v>
      </c>
      <c r="D211" s="199">
        <v>460</v>
      </c>
      <c r="E211" s="201">
        <v>91.7</v>
      </c>
      <c r="F211" s="201">
        <v>93</v>
      </c>
      <c r="G211" s="201">
        <v>93.6</v>
      </c>
      <c r="H211" s="201">
        <v>94.1</v>
      </c>
    </row>
    <row r="212" spans="1:8" x14ac:dyDescent="0.25">
      <c r="A212" s="198" t="s">
        <v>1218</v>
      </c>
      <c r="B212" s="199">
        <v>1200</v>
      </c>
      <c r="C212" s="199">
        <v>60</v>
      </c>
      <c r="D212" s="199">
        <v>460</v>
      </c>
      <c r="E212" s="201">
        <v>91.7</v>
      </c>
      <c r="F212" s="201">
        <v>93.6</v>
      </c>
      <c r="G212" s="201">
        <v>94.1</v>
      </c>
      <c r="H212" s="201">
        <v>94.5</v>
      </c>
    </row>
    <row r="213" spans="1:8" x14ac:dyDescent="0.25">
      <c r="A213" s="198" t="s">
        <v>1218</v>
      </c>
      <c r="B213" s="199">
        <v>1200</v>
      </c>
      <c r="C213" s="199">
        <v>75</v>
      </c>
      <c r="D213" s="199">
        <v>460</v>
      </c>
      <c r="E213" s="201">
        <v>93</v>
      </c>
      <c r="F213" s="201">
        <v>93.6</v>
      </c>
      <c r="G213" s="201">
        <v>94.1</v>
      </c>
      <c r="H213" s="201">
        <v>94.5</v>
      </c>
    </row>
    <row r="214" spans="1:8" x14ac:dyDescent="0.25">
      <c r="A214" s="198" t="s">
        <v>1218</v>
      </c>
      <c r="B214" s="199">
        <v>1200</v>
      </c>
      <c r="C214" s="199">
        <v>100</v>
      </c>
      <c r="D214" s="199">
        <v>460</v>
      </c>
      <c r="E214" s="201">
        <v>93</v>
      </c>
      <c r="F214" s="201">
        <v>94.1</v>
      </c>
      <c r="G214" s="201">
        <v>94.5</v>
      </c>
      <c r="H214" s="201">
        <v>95</v>
      </c>
    </row>
    <row r="216" spans="1:8" x14ac:dyDescent="0.25">
      <c r="A216" s="195" t="s">
        <v>1288</v>
      </c>
    </row>
    <row r="218" spans="1:8" x14ac:dyDescent="0.25">
      <c r="A218" s="194" t="s">
        <v>1268</v>
      </c>
    </row>
    <row r="219" spans="1:8" x14ac:dyDescent="0.25">
      <c r="A219" s="195" t="s">
        <v>1275</v>
      </c>
    </row>
    <row r="221" spans="1:8" s="197" customFormat="1" x14ac:dyDescent="0.25">
      <c r="A221" s="196" t="s">
        <v>1276</v>
      </c>
      <c r="B221" s="196" t="s">
        <v>1277</v>
      </c>
      <c r="C221" s="196" t="s">
        <v>1278</v>
      </c>
      <c r="D221" s="196" t="s">
        <v>1279</v>
      </c>
      <c r="E221" s="196" t="s">
        <v>1280</v>
      </c>
      <c r="F221" s="196" t="s">
        <v>1281</v>
      </c>
      <c r="G221" s="196" t="s">
        <v>1282</v>
      </c>
      <c r="H221" s="196" t="s">
        <v>1283</v>
      </c>
    </row>
    <row r="222" spans="1:8" x14ac:dyDescent="0.25">
      <c r="A222" s="198" t="s">
        <v>1218</v>
      </c>
      <c r="B222" s="199">
        <v>1200</v>
      </c>
      <c r="C222" s="199">
        <v>125</v>
      </c>
      <c r="D222" s="199">
        <v>460</v>
      </c>
      <c r="E222" s="201">
        <v>93</v>
      </c>
      <c r="F222" s="201">
        <v>94.1</v>
      </c>
      <c r="G222" s="201">
        <v>94.5</v>
      </c>
      <c r="H222" s="201">
        <v>95</v>
      </c>
    </row>
    <row r="223" spans="1:8" x14ac:dyDescent="0.25">
      <c r="A223" s="198" t="s">
        <v>1218</v>
      </c>
      <c r="B223" s="199">
        <v>1200</v>
      </c>
      <c r="C223" s="199">
        <v>150</v>
      </c>
      <c r="D223" s="199">
        <v>460</v>
      </c>
      <c r="E223" s="201">
        <v>94.1</v>
      </c>
      <c r="F223" s="201">
        <v>95</v>
      </c>
      <c r="G223" s="201">
        <v>95.4</v>
      </c>
      <c r="H223" s="201">
        <v>95.8</v>
      </c>
    </row>
    <row r="224" spans="1:8" x14ac:dyDescent="0.25">
      <c r="A224" s="198" t="s">
        <v>1218</v>
      </c>
      <c r="B224" s="199">
        <v>1200</v>
      </c>
      <c r="C224" s="199">
        <v>200</v>
      </c>
      <c r="D224" s="199">
        <v>460</v>
      </c>
      <c r="E224" s="201">
        <v>94.1</v>
      </c>
      <c r="F224" s="201">
        <v>95</v>
      </c>
      <c r="G224" s="201">
        <v>95.4</v>
      </c>
      <c r="H224" s="201">
        <v>95.8</v>
      </c>
    </row>
    <row r="225" spans="1:8" x14ac:dyDescent="0.25">
      <c r="A225" s="198" t="s">
        <v>1218</v>
      </c>
      <c r="B225" s="199">
        <v>1200</v>
      </c>
      <c r="C225" s="199">
        <v>250</v>
      </c>
      <c r="D225" s="199">
        <v>460</v>
      </c>
      <c r="E225" s="200"/>
      <c r="F225" s="201">
        <v>95</v>
      </c>
      <c r="G225" s="201">
        <v>95</v>
      </c>
      <c r="H225" s="201">
        <v>95.8</v>
      </c>
    </row>
    <row r="226" spans="1:8" x14ac:dyDescent="0.25">
      <c r="A226" s="198" t="s">
        <v>1218</v>
      </c>
      <c r="B226" s="199">
        <v>1200</v>
      </c>
      <c r="C226" s="199">
        <v>300</v>
      </c>
      <c r="D226" s="199">
        <v>460</v>
      </c>
      <c r="E226" s="200"/>
      <c r="F226" s="201">
        <v>95</v>
      </c>
      <c r="G226" s="201">
        <v>95</v>
      </c>
      <c r="H226" s="201">
        <v>95.8</v>
      </c>
    </row>
    <row r="227" spans="1:8" x14ac:dyDescent="0.25">
      <c r="A227" s="198" t="s">
        <v>1218</v>
      </c>
      <c r="B227" s="199">
        <v>1200</v>
      </c>
      <c r="C227" s="199">
        <v>350</v>
      </c>
      <c r="D227" s="199">
        <v>460</v>
      </c>
      <c r="E227" s="200"/>
      <c r="F227" s="201">
        <v>95</v>
      </c>
      <c r="G227" s="201">
        <v>95</v>
      </c>
      <c r="H227" s="201">
        <v>95.8</v>
      </c>
    </row>
    <row r="228" spans="1:8" x14ac:dyDescent="0.25">
      <c r="A228" s="198" t="s">
        <v>1218</v>
      </c>
      <c r="B228" s="199">
        <v>1200</v>
      </c>
      <c r="C228" s="199">
        <v>400</v>
      </c>
      <c r="D228" s="199">
        <v>460</v>
      </c>
      <c r="E228" s="200"/>
      <c r="F228" s="200"/>
      <c r="G228" s="200"/>
      <c r="H228" s="201">
        <v>95.8</v>
      </c>
    </row>
    <row r="229" spans="1:8" x14ac:dyDescent="0.25">
      <c r="A229" s="198" t="s">
        <v>1218</v>
      </c>
      <c r="B229" s="199">
        <v>1200</v>
      </c>
      <c r="C229" s="199">
        <v>450</v>
      </c>
      <c r="D229" s="199">
        <v>460</v>
      </c>
      <c r="E229" s="200"/>
      <c r="F229" s="200"/>
      <c r="G229" s="200"/>
      <c r="H229" s="201">
        <v>95.8</v>
      </c>
    </row>
    <row r="230" spans="1:8" x14ac:dyDescent="0.25">
      <c r="A230" s="198" t="s">
        <v>1218</v>
      </c>
      <c r="B230" s="199">
        <v>1200</v>
      </c>
      <c r="C230" s="199">
        <v>500</v>
      </c>
      <c r="D230" s="199">
        <v>460</v>
      </c>
      <c r="E230" s="200"/>
      <c r="F230" s="200"/>
      <c r="G230" s="200"/>
      <c r="H230" s="201">
        <v>95.8</v>
      </c>
    </row>
    <row r="231" spans="1:8" x14ac:dyDescent="0.25">
      <c r="A231" s="198" t="s">
        <v>1218</v>
      </c>
      <c r="B231" s="199">
        <v>900</v>
      </c>
      <c r="C231" s="199">
        <v>1</v>
      </c>
      <c r="D231" s="199">
        <v>460</v>
      </c>
      <c r="E231" s="201">
        <v>72</v>
      </c>
      <c r="F231" s="201">
        <v>74</v>
      </c>
      <c r="G231" s="201">
        <v>75.5</v>
      </c>
      <c r="H231" s="200"/>
    </row>
    <row r="232" spans="1:8" x14ac:dyDescent="0.25">
      <c r="A232" s="198" t="s">
        <v>1218</v>
      </c>
      <c r="B232" s="199">
        <v>900</v>
      </c>
      <c r="C232" s="201">
        <v>1.5</v>
      </c>
      <c r="D232" s="199">
        <v>460</v>
      </c>
      <c r="E232" s="201">
        <v>75.5</v>
      </c>
      <c r="F232" s="201">
        <v>77</v>
      </c>
      <c r="G232" s="201">
        <v>78.5</v>
      </c>
      <c r="H232" s="200"/>
    </row>
    <row r="233" spans="1:8" x14ac:dyDescent="0.25">
      <c r="A233" s="198" t="s">
        <v>1218</v>
      </c>
      <c r="B233" s="199">
        <v>900</v>
      </c>
      <c r="C233" s="199">
        <v>2</v>
      </c>
      <c r="D233" s="199">
        <v>460</v>
      </c>
      <c r="E233" s="201">
        <v>82.5</v>
      </c>
      <c r="F233" s="201">
        <v>82.5</v>
      </c>
      <c r="G233" s="201">
        <v>84</v>
      </c>
      <c r="H233" s="200"/>
    </row>
    <row r="234" spans="1:8" x14ac:dyDescent="0.25">
      <c r="A234" s="198" t="s">
        <v>1218</v>
      </c>
      <c r="B234" s="199">
        <v>900</v>
      </c>
      <c r="C234" s="199">
        <v>3</v>
      </c>
      <c r="D234" s="199">
        <v>460</v>
      </c>
      <c r="E234" s="201">
        <v>81.5</v>
      </c>
      <c r="F234" s="201">
        <v>84</v>
      </c>
      <c r="G234" s="201">
        <v>85.5</v>
      </c>
      <c r="H234" s="200"/>
    </row>
    <row r="235" spans="1:8" x14ac:dyDescent="0.25">
      <c r="A235" s="198" t="s">
        <v>1218</v>
      </c>
      <c r="B235" s="199">
        <v>900</v>
      </c>
      <c r="C235" s="199">
        <v>5</v>
      </c>
      <c r="D235" s="199">
        <v>460</v>
      </c>
      <c r="E235" s="201">
        <v>84</v>
      </c>
      <c r="F235" s="201">
        <v>85.5</v>
      </c>
      <c r="G235" s="201">
        <v>86.5</v>
      </c>
      <c r="H235" s="200"/>
    </row>
    <row r="236" spans="1:8" x14ac:dyDescent="0.25">
      <c r="A236" s="198" t="s">
        <v>1218</v>
      </c>
      <c r="B236" s="199">
        <v>900</v>
      </c>
      <c r="C236" s="201">
        <v>7.5</v>
      </c>
      <c r="D236" s="199">
        <v>460</v>
      </c>
      <c r="E236" s="201">
        <v>85.5</v>
      </c>
      <c r="F236" s="201">
        <v>85.5</v>
      </c>
      <c r="G236" s="201">
        <v>86.5</v>
      </c>
      <c r="H236" s="200"/>
    </row>
    <row r="237" spans="1:8" x14ac:dyDescent="0.25">
      <c r="A237" s="198" t="s">
        <v>1218</v>
      </c>
      <c r="B237" s="199">
        <v>900</v>
      </c>
      <c r="C237" s="199">
        <v>10</v>
      </c>
      <c r="D237" s="199">
        <v>460</v>
      </c>
      <c r="E237" s="201">
        <v>87.5</v>
      </c>
      <c r="F237" s="201">
        <v>88.5</v>
      </c>
      <c r="G237" s="201">
        <v>89.5</v>
      </c>
      <c r="H237" s="200"/>
    </row>
    <row r="238" spans="1:8" x14ac:dyDescent="0.25">
      <c r="A238" s="198" t="s">
        <v>1218</v>
      </c>
      <c r="B238" s="199">
        <v>900</v>
      </c>
      <c r="C238" s="199">
        <v>15</v>
      </c>
      <c r="D238" s="199">
        <v>460</v>
      </c>
      <c r="E238" s="201">
        <v>88.5</v>
      </c>
      <c r="F238" s="201">
        <v>88.5</v>
      </c>
      <c r="G238" s="201">
        <v>89.5</v>
      </c>
      <c r="H238" s="200"/>
    </row>
    <row r="239" spans="1:8" x14ac:dyDescent="0.25">
      <c r="A239" s="198" t="s">
        <v>1218</v>
      </c>
      <c r="B239" s="199">
        <v>900</v>
      </c>
      <c r="C239" s="199">
        <v>20</v>
      </c>
      <c r="D239" s="199">
        <v>460</v>
      </c>
      <c r="E239" s="201">
        <v>89.5</v>
      </c>
      <c r="F239" s="201">
        <v>89.5</v>
      </c>
      <c r="G239" s="201">
        <v>90.2</v>
      </c>
      <c r="H239" s="200"/>
    </row>
    <row r="240" spans="1:8" x14ac:dyDescent="0.25">
      <c r="A240" s="198" t="s">
        <v>1218</v>
      </c>
      <c r="B240" s="199">
        <v>900</v>
      </c>
      <c r="C240" s="199">
        <v>25</v>
      </c>
      <c r="D240" s="199">
        <v>460</v>
      </c>
      <c r="E240" s="201">
        <v>89.5</v>
      </c>
      <c r="F240" s="201">
        <v>89.5</v>
      </c>
      <c r="G240" s="201">
        <v>90.2</v>
      </c>
      <c r="H240" s="200"/>
    </row>
    <row r="241" spans="1:8" x14ac:dyDescent="0.25">
      <c r="A241" s="198" t="s">
        <v>1218</v>
      </c>
      <c r="B241" s="199">
        <v>900</v>
      </c>
      <c r="C241" s="199">
        <v>30</v>
      </c>
      <c r="D241" s="199">
        <v>460</v>
      </c>
      <c r="E241" s="201">
        <v>90.2</v>
      </c>
      <c r="F241" s="201">
        <v>91</v>
      </c>
      <c r="G241" s="201">
        <v>91.7</v>
      </c>
      <c r="H241" s="200"/>
    </row>
    <row r="242" spans="1:8" x14ac:dyDescent="0.25">
      <c r="A242" s="198" t="s">
        <v>1218</v>
      </c>
      <c r="B242" s="199">
        <v>900</v>
      </c>
      <c r="C242" s="199">
        <v>40</v>
      </c>
      <c r="D242" s="199">
        <v>460</v>
      </c>
      <c r="E242" s="201">
        <v>90.2</v>
      </c>
      <c r="F242" s="201">
        <v>91</v>
      </c>
      <c r="G242" s="201">
        <v>91.7</v>
      </c>
      <c r="H242" s="200"/>
    </row>
    <row r="243" spans="1:8" x14ac:dyDescent="0.25">
      <c r="A243" s="198" t="s">
        <v>1218</v>
      </c>
      <c r="B243" s="199">
        <v>900</v>
      </c>
      <c r="C243" s="199">
        <v>50</v>
      </c>
      <c r="D243" s="199">
        <v>460</v>
      </c>
      <c r="E243" s="201">
        <v>91</v>
      </c>
      <c r="F243" s="201">
        <v>91.7</v>
      </c>
      <c r="G243" s="201">
        <v>92.4</v>
      </c>
      <c r="H243" s="200"/>
    </row>
    <row r="244" spans="1:8" x14ac:dyDescent="0.25">
      <c r="A244" s="198" t="s">
        <v>1218</v>
      </c>
      <c r="B244" s="199">
        <v>900</v>
      </c>
      <c r="C244" s="199">
        <v>60</v>
      </c>
      <c r="D244" s="199">
        <v>460</v>
      </c>
      <c r="E244" s="201">
        <v>91.7</v>
      </c>
      <c r="F244" s="201">
        <v>91.7</v>
      </c>
      <c r="G244" s="201">
        <v>92.4</v>
      </c>
      <c r="H244" s="200"/>
    </row>
    <row r="245" spans="1:8" x14ac:dyDescent="0.25">
      <c r="A245" s="198" t="s">
        <v>1218</v>
      </c>
      <c r="B245" s="199">
        <v>900</v>
      </c>
      <c r="C245" s="199">
        <v>75</v>
      </c>
      <c r="D245" s="199">
        <v>460</v>
      </c>
      <c r="E245" s="201">
        <v>93</v>
      </c>
      <c r="F245" s="201">
        <v>93</v>
      </c>
      <c r="G245" s="201">
        <v>93.6</v>
      </c>
      <c r="H245" s="200"/>
    </row>
    <row r="246" spans="1:8" x14ac:dyDescent="0.25">
      <c r="A246" s="198" t="s">
        <v>1218</v>
      </c>
      <c r="B246" s="199">
        <v>900</v>
      </c>
      <c r="C246" s="199">
        <v>100</v>
      </c>
      <c r="D246" s="199">
        <v>460</v>
      </c>
      <c r="E246" s="201">
        <v>93</v>
      </c>
      <c r="F246" s="201">
        <v>93</v>
      </c>
      <c r="G246" s="201">
        <v>93.6</v>
      </c>
      <c r="H246" s="200"/>
    </row>
    <row r="247" spans="1:8" x14ac:dyDescent="0.25">
      <c r="A247" s="198" t="s">
        <v>1218</v>
      </c>
      <c r="B247" s="199">
        <v>900</v>
      </c>
      <c r="C247" s="199">
        <v>125</v>
      </c>
      <c r="D247" s="199">
        <v>460</v>
      </c>
      <c r="E247" s="201">
        <v>93.6</v>
      </c>
      <c r="F247" s="201">
        <v>93.6</v>
      </c>
      <c r="G247" s="201">
        <v>94.1</v>
      </c>
      <c r="H247" s="200"/>
    </row>
    <row r="248" spans="1:8" x14ac:dyDescent="0.25">
      <c r="A248" s="198" t="s">
        <v>1218</v>
      </c>
      <c r="B248" s="199">
        <v>900</v>
      </c>
      <c r="C248" s="199">
        <v>150</v>
      </c>
      <c r="D248" s="199">
        <v>460</v>
      </c>
      <c r="E248" s="201">
        <v>93.6</v>
      </c>
      <c r="F248" s="201">
        <v>93.6</v>
      </c>
      <c r="G248" s="201">
        <v>94.1</v>
      </c>
      <c r="H248" s="200"/>
    </row>
    <row r="249" spans="1:8" x14ac:dyDescent="0.25">
      <c r="A249" s="198" t="s">
        <v>1218</v>
      </c>
      <c r="B249" s="199">
        <v>900</v>
      </c>
      <c r="C249" s="199">
        <v>200</v>
      </c>
      <c r="D249" s="199">
        <v>460</v>
      </c>
      <c r="E249" s="201">
        <v>94.1</v>
      </c>
      <c r="F249" s="201">
        <v>94.1</v>
      </c>
      <c r="G249" s="201">
        <v>94.5</v>
      </c>
      <c r="H249" s="200"/>
    </row>
    <row r="250" spans="1:8" x14ac:dyDescent="0.25">
      <c r="A250" s="198" t="s">
        <v>1218</v>
      </c>
      <c r="B250" s="199">
        <v>900</v>
      </c>
      <c r="C250" s="199">
        <v>250</v>
      </c>
      <c r="D250" s="199">
        <v>460</v>
      </c>
      <c r="E250" s="200"/>
      <c r="F250" s="201">
        <v>94.5</v>
      </c>
      <c r="G250" s="201">
        <v>94.5</v>
      </c>
      <c r="H250" s="200"/>
    </row>
    <row r="251" spans="1:8" x14ac:dyDescent="0.25">
      <c r="A251" s="198" t="s">
        <v>1218</v>
      </c>
      <c r="B251" s="199">
        <v>900</v>
      </c>
      <c r="C251" s="199">
        <v>300</v>
      </c>
      <c r="D251" s="199">
        <v>460</v>
      </c>
      <c r="E251" s="200"/>
      <c r="F251" s="200"/>
      <c r="G251" s="200"/>
      <c r="H251" s="200"/>
    </row>
    <row r="252" spans="1:8" x14ac:dyDescent="0.25">
      <c r="A252" s="198" t="s">
        <v>1218</v>
      </c>
      <c r="B252" s="199">
        <v>900</v>
      </c>
      <c r="C252" s="199">
        <v>350</v>
      </c>
      <c r="D252" s="199">
        <v>460</v>
      </c>
      <c r="E252" s="200"/>
      <c r="F252" s="200"/>
      <c r="G252" s="200"/>
      <c r="H252" s="200"/>
    </row>
    <row r="253" spans="1:8" x14ac:dyDescent="0.25">
      <c r="A253" s="198" t="s">
        <v>1218</v>
      </c>
      <c r="B253" s="199">
        <v>900</v>
      </c>
      <c r="C253" s="199">
        <v>400</v>
      </c>
      <c r="D253" s="199">
        <v>460</v>
      </c>
      <c r="E253" s="200"/>
      <c r="F253" s="200"/>
      <c r="G253" s="200"/>
      <c r="H253" s="200"/>
    </row>
    <row r="254" spans="1:8" x14ac:dyDescent="0.25">
      <c r="A254" s="198" t="s">
        <v>1218</v>
      </c>
      <c r="B254" s="199">
        <v>900</v>
      </c>
      <c r="C254" s="199">
        <v>450</v>
      </c>
      <c r="D254" s="199">
        <v>460</v>
      </c>
      <c r="E254" s="200"/>
      <c r="F254" s="200"/>
      <c r="G254" s="200"/>
      <c r="H254" s="200"/>
    </row>
    <row r="256" spans="1:8" x14ac:dyDescent="0.25">
      <c r="A256" s="195" t="s">
        <v>1289</v>
      </c>
    </row>
    <row r="258" spans="1:8" x14ac:dyDescent="0.25">
      <c r="A258" s="194" t="s">
        <v>1268</v>
      </c>
    </row>
    <row r="259" spans="1:8" x14ac:dyDescent="0.25">
      <c r="A259" s="195" t="s">
        <v>1275</v>
      </c>
    </row>
    <row r="261" spans="1:8" s="197" customFormat="1" x14ac:dyDescent="0.25">
      <c r="A261" s="196" t="s">
        <v>1276</v>
      </c>
      <c r="B261" s="196" t="s">
        <v>1277</v>
      </c>
      <c r="C261" s="196" t="s">
        <v>1278</v>
      </c>
      <c r="D261" s="196" t="s">
        <v>1279</v>
      </c>
      <c r="E261" s="196" t="s">
        <v>1280</v>
      </c>
      <c r="F261" s="196" t="s">
        <v>1281</v>
      </c>
      <c r="G261" s="196" t="s">
        <v>1282</v>
      </c>
      <c r="H261" s="196" t="s">
        <v>1283</v>
      </c>
    </row>
    <row r="262" spans="1:8" x14ac:dyDescent="0.25">
      <c r="A262" s="198" t="s">
        <v>1218</v>
      </c>
      <c r="B262" s="199">
        <v>900</v>
      </c>
      <c r="C262" s="199">
        <v>500</v>
      </c>
      <c r="D262" s="199">
        <v>460</v>
      </c>
      <c r="E262" s="200"/>
      <c r="F262" s="200"/>
      <c r="G262" s="200"/>
      <c r="H262" s="200"/>
    </row>
    <row r="263" spans="1:8" x14ac:dyDescent="0.25">
      <c r="A263" s="198" t="s">
        <v>1217</v>
      </c>
      <c r="B263" s="199">
        <v>3600</v>
      </c>
      <c r="C263" s="199">
        <v>250</v>
      </c>
      <c r="D263" s="199">
        <v>4000</v>
      </c>
      <c r="E263" s="200"/>
      <c r="F263" s="200"/>
      <c r="G263" s="200"/>
      <c r="H263" s="201">
        <v>94.5</v>
      </c>
    </row>
    <row r="264" spans="1:8" x14ac:dyDescent="0.25">
      <c r="A264" s="198" t="s">
        <v>1217</v>
      </c>
      <c r="B264" s="199">
        <v>3600</v>
      </c>
      <c r="C264" s="199">
        <v>300</v>
      </c>
      <c r="D264" s="199">
        <v>4000</v>
      </c>
      <c r="E264" s="200"/>
      <c r="F264" s="200"/>
      <c r="G264" s="200"/>
      <c r="H264" s="201">
        <v>94.5</v>
      </c>
    </row>
    <row r="265" spans="1:8" x14ac:dyDescent="0.25">
      <c r="A265" s="198" t="s">
        <v>1217</v>
      </c>
      <c r="B265" s="199">
        <v>3600</v>
      </c>
      <c r="C265" s="199">
        <v>350</v>
      </c>
      <c r="D265" s="199">
        <v>4000</v>
      </c>
      <c r="E265" s="200"/>
      <c r="F265" s="200"/>
      <c r="G265" s="200"/>
      <c r="H265" s="201">
        <v>94.5</v>
      </c>
    </row>
    <row r="266" spans="1:8" x14ac:dyDescent="0.25">
      <c r="A266" s="198" t="s">
        <v>1217</v>
      </c>
      <c r="B266" s="199">
        <v>3600</v>
      </c>
      <c r="C266" s="199">
        <v>400</v>
      </c>
      <c r="D266" s="199">
        <v>4000</v>
      </c>
      <c r="E266" s="200"/>
      <c r="F266" s="200"/>
      <c r="G266" s="200"/>
      <c r="H266" s="201">
        <v>94.5</v>
      </c>
    </row>
    <row r="267" spans="1:8" x14ac:dyDescent="0.25">
      <c r="A267" s="198" t="s">
        <v>1217</v>
      </c>
      <c r="B267" s="199">
        <v>3600</v>
      </c>
      <c r="C267" s="199">
        <v>450</v>
      </c>
      <c r="D267" s="199">
        <v>4000</v>
      </c>
      <c r="E267" s="200"/>
      <c r="F267" s="200"/>
      <c r="G267" s="200"/>
      <c r="H267" s="201">
        <v>94.5</v>
      </c>
    </row>
    <row r="268" spans="1:8" x14ac:dyDescent="0.25">
      <c r="A268" s="198" t="s">
        <v>1217</v>
      </c>
      <c r="B268" s="199">
        <v>3600</v>
      </c>
      <c r="C268" s="199">
        <v>500</v>
      </c>
      <c r="D268" s="199">
        <v>4000</v>
      </c>
      <c r="E268" s="200"/>
      <c r="F268" s="200"/>
      <c r="G268" s="200"/>
      <c r="H268" s="201">
        <v>94.5</v>
      </c>
    </row>
    <row r="269" spans="1:8" x14ac:dyDescent="0.25">
      <c r="A269" s="198" t="s">
        <v>1217</v>
      </c>
      <c r="B269" s="199">
        <v>1800</v>
      </c>
      <c r="C269" s="199">
        <v>250</v>
      </c>
      <c r="D269" s="199">
        <v>4000</v>
      </c>
      <c r="E269" s="200"/>
      <c r="F269" s="200"/>
      <c r="G269" s="200"/>
      <c r="H269" s="201">
        <v>95</v>
      </c>
    </row>
    <row r="270" spans="1:8" x14ac:dyDescent="0.25">
      <c r="A270" s="198" t="s">
        <v>1217</v>
      </c>
      <c r="B270" s="199">
        <v>1800</v>
      </c>
      <c r="C270" s="199">
        <v>300</v>
      </c>
      <c r="D270" s="199">
        <v>4000</v>
      </c>
      <c r="E270" s="200"/>
      <c r="F270" s="200"/>
      <c r="G270" s="200"/>
      <c r="H270" s="201">
        <v>95</v>
      </c>
    </row>
    <row r="271" spans="1:8" x14ac:dyDescent="0.25">
      <c r="A271" s="198" t="s">
        <v>1217</v>
      </c>
      <c r="B271" s="199">
        <v>1800</v>
      </c>
      <c r="C271" s="199">
        <v>350</v>
      </c>
      <c r="D271" s="199">
        <v>4000</v>
      </c>
      <c r="E271" s="200"/>
      <c r="F271" s="200"/>
      <c r="G271" s="200"/>
      <c r="H271" s="201">
        <v>95</v>
      </c>
    </row>
    <row r="272" spans="1:8" x14ac:dyDescent="0.25">
      <c r="A272" s="198" t="s">
        <v>1217</v>
      </c>
      <c r="B272" s="199">
        <v>1800</v>
      </c>
      <c r="C272" s="199">
        <v>400</v>
      </c>
      <c r="D272" s="199">
        <v>4000</v>
      </c>
      <c r="E272" s="200"/>
      <c r="F272" s="200"/>
      <c r="G272" s="200"/>
      <c r="H272" s="201">
        <v>95</v>
      </c>
    </row>
    <row r="273" spans="1:8" x14ac:dyDescent="0.25">
      <c r="A273" s="198" t="s">
        <v>1217</v>
      </c>
      <c r="B273" s="199">
        <v>1800</v>
      </c>
      <c r="C273" s="199">
        <v>450</v>
      </c>
      <c r="D273" s="199">
        <v>4000</v>
      </c>
      <c r="E273" s="200"/>
      <c r="F273" s="200"/>
      <c r="G273" s="200"/>
      <c r="H273" s="201">
        <v>95</v>
      </c>
    </row>
    <row r="274" spans="1:8" x14ac:dyDescent="0.25">
      <c r="A274" s="198" t="s">
        <v>1217</v>
      </c>
      <c r="B274" s="199">
        <v>1800</v>
      </c>
      <c r="C274" s="199">
        <v>500</v>
      </c>
      <c r="D274" s="199">
        <v>4000</v>
      </c>
      <c r="E274" s="200"/>
      <c r="F274" s="200"/>
      <c r="G274" s="200"/>
      <c r="H274" s="201">
        <v>95</v>
      </c>
    </row>
    <row r="275" spans="1:8" x14ac:dyDescent="0.25">
      <c r="A275" s="198" t="s">
        <v>1217</v>
      </c>
      <c r="B275" s="199">
        <v>1200</v>
      </c>
      <c r="C275" s="199">
        <v>250</v>
      </c>
      <c r="D275" s="199">
        <v>4000</v>
      </c>
      <c r="E275" s="200"/>
      <c r="F275" s="200"/>
      <c r="G275" s="200"/>
      <c r="H275" s="201">
        <v>95</v>
      </c>
    </row>
    <row r="276" spans="1:8" x14ac:dyDescent="0.25">
      <c r="A276" s="198" t="s">
        <v>1217</v>
      </c>
      <c r="B276" s="199">
        <v>1200</v>
      </c>
      <c r="C276" s="199">
        <v>300</v>
      </c>
      <c r="D276" s="199">
        <v>4000</v>
      </c>
      <c r="E276" s="200"/>
      <c r="F276" s="200"/>
      <c r="G276" s="200"/>
      <c r="H276" s="201">
        <v>95</v>
      </c>
    </row>
    <row r="277" spans="1:8" x14ac:dyDescent="0.25">
      <c r="A277" s="198" t="s">
        <v>1217</v>
      </c>
      <c r="B277" s="199">
        <v>1200</v>
      </c>
      <c r="C277" s="199">
        <v>350</v>
      </c>
      <c r="D277" s="199">
        <v>4000</v>
      </c>
      <c r="E277" s="200"/>
      <c r="F277" s="200"/>
      <c r="G277" s="200"/>
      <c r="H277" s="201">
        <v>95</v>
      </c>
    </row>
    <row r="278" spans="1:8" x14ac:dyDescent="0.25">
      <c r="A278" s="198" t="s">
        <v>1217</v>
      </c>
      <c r="B278" s="199">
        <v>1200</v>
      </c>
      <c r="C278" s="199">
        <v>400</v>
      </c>
      <c r="D278" s="199">
        <v>4000</v>
      </c>
      <c r="E278" s="200"/>
      <c r="F278" s="200"/>
      <c r="G278" s="200"/>
      <c r="H278" s="201">
        <v>95</v>
      </c>
    </row>
    <row r="279" spans="1:8" x14ac:dyDescent="0.25">
      <c r="A279" s="198" t="s">
        <v>1217</v>
      </c>
      <c r="B279" s="199">
        <v>1200</v>
      </c>
      <c r="C279" s="199">
        <v>450</v>
      </c>
      <c r="D279" s="199">
        <v>4000</v>
      </c>
      <c r="E279" s="200"/>
      <c r="F279" s="200"/>
      <c r="G279" s="200"/>
      <c r="H279" s="201">
        <v>95</v>
      </c>
    </row>
    <row r="280" spans="1:8" x14ac:dyDescent="0.25">
      <c r="A280" s="198" t="s">
        <v>1217</v>
      </c>
      <c r="B280" s="199">
        <v>1200</v>
      </c>
      <c r="C280" s="199">
        <v>500</v>
      </c>
      <c r="D280" s="199">
        <v>4000</v>
      </c>
      <c r="E280" s="200"/>
      <c r="F280" s="200"/>
      <c r="G280" s="200"/>
      <c r="H280" s="201">
        <v>95</v>
      </c>
    </row>
    <row r="281" spans="1:8" x14ac:dyDescent="0.25">
      <c r="A281" s="198" t="s">
        <v>1217</v>
      </c>
      <c r="B281" s="199">
        <v>3600</v>
      </c>
      <c r="C281" s="199">
        <v>300</v>
      </c>
      <c r="D281" s="199">
        <v>4000</v>
      </c>
      <c r="E281" s="200"/>
      <c r="F281" s="200"/>
      <c r="G281" s="200"/>
      <c r="H281" s="201">
        <v>94.5</v>
      </c>
    </row>
    <row r="282" spans="1:8" x14ac:dyDescent="0.25">
      <c r="A282" s="198" t="s">
        <v>1217</v>
      </c>
      <c r="B282" s="199">
        <v>3600</v>
      </c>
      <c r="C282" s="199">
        <v>350</v>
      </c>
      <c r="D282" s="199">
        <v>4000</v>
      </c>
      <c r="E282" s="200"/>
      <c r="F282" s="200"/>
      <c r="G282" s="200"/>
      <c r="H282" s="201">
        <v>94.5</v>
      </c>
    </row>
    <row r="283" spans="1:8" x14ac:dyDescent="0.25">
      <c r="A283" s="198" t="s">
        <v>1217</v>
      </c>
      <c r="B283" s="199">
        <v>3600</v>
      </c>
      <c r="C283" s="199">
        <v>400</v>
      </c>
      <c r="D283" s="199">
        <v>4000</v>
      </c>
      <c r="E283" s="200"/>
      <c r="F283" s="200"/>
      <c r="G283" s="200"/>
      <c r="H283" s="201">
        <v>94.5</v>
      </c>
    </row>
    <row r="284" spans="1:8" x14ac:dyDescent="0.25">
      <c r="A284" s="198" t="s">
        <v>1217</v>
      </c>
      <c r="B284" s="199">
        <v>3600</v>
      </c>
      <c r="C284" s="199">
        <v>450</v>
      </c>
      <c r="D284" s="199">
        <v>4000</v>
      </c>
      <c r="E284" s="200"/>
      <c r="F284" s="200"/>
      <c r="G284" s="200"/>
      <c r="H284" s="201">
        <v>94.5</v>
      </c>
    </row>
    <row r="285" spans="1:8" x14ac:dyDescent="0.25">
      <c r="A285" s="198" t="s">
        <v>1217</v>
      </c>
      <c r="B285" s="199">
        <v>3600</v>
      </c>
      <c r="C285" s="199">
        <v>500</v>
      </c>
      <c r="D285" s="199">
        <v>4000</v>
      </c>
      <c r="E285" s="200"/>
      <c r="F285" s="200"/>
      <c r="G285" s="200"/>
      <c r="H285" s="201">
        <v>94.5</v>
      </c>
    </row>
    <row r="286" spans="1:8" x14ac:dyDescent="0.25">
      <c r="A286" s="198" t="s">
        <v>1217</v>
      </c>
      <c r="B286" s="199">
        <v>900</v>
      </c>
      <c r="C286" s="199">
        <v>250</v>
      </c>
      <c r="D286" s="199">
        <v>4000</v>
      </c>
      <c r="E286" s="200"/>
      <c r="F286" s="200"/>
      <c r="G286" s="200"/>
      <c r="H286" s="200"/>
    </row>
    <row r="287" spans="1:8" x14ac:dyDescent="0.25">
      <c r="A287" s="198" t="s">
        <v>1217</v>
      </c>
      <c r="B287" s="199">
        <v>900</v>
      </c>
      <c r="C287" s="199">
        <v>300</v>
      </c>
      <c r="D287" s="199">
        <v>4000</v>
      </c>
      <c r="E287" s="200"/>
      <c r="F287" s="200"/>
      <c r="G287" s="200"/>
      <c r="H287" s="200"/>
    </row>
    <row r="288" spans="1:8" x14ac:dyDescent="0.25">
      <c r="A288" s="198" t="s">
        <v>1217</v>
      </c>
      <c r="B288" s="199">
        <v>900</v>
      </c>
      <c r="C288" s="199">
        <v>350</v>
      </c>
      <c r="D288" s="199">
        <v>4000</v>
      </c>
      <c r="E288" s="200"/>
      <c r="F288" s="200"/>
      <c r="G288" s="200"/>
      <c r="H288" s="200"/>
    </row>
    <row r="289" spans="1:8" x14ac:dyDescent="0.25">
      <c r="A289" s="198" t="s">
        <v>1217</v>
      </c>
      <c r="B289" s="199">
        <v>900</v>
      </c>
      <c r="C289" s="199">
        <v>400</v>
      </c>
      <c r="D289" s="199">
        <v>4000</v>
      </c>
      <c r="E289" s="200"/>
      <c r="F289" s="200"/>
      <c r="G289" s="200"/>
      <c r="H289" s="200"/>
    </row>
    <row r="290" spans="1:8" x14ac:dyDescent="0.25">
      <c r="A290" s="198" t="s">
        <v>1217</v>
      </c>
      <c r="B290" s="199">
        <v>900</v>
      </c>
      <c r="C290" s="199">
        <v>450</v>
      </c>
      <c r="D290" s="199">
        <v>4000</v>
      </c>
      <c r="E290" s="200"/>
      <c r="F290" s="200"/>
      <c r="G290" s="200"/>
      <c r="H290" s="200"/>
    </row>
    <row r="291" spans="1:8" x14ac:dyDescent="0.25">
      <c r="A291" s="198" t="s">
        <v>1217</v>
      </c>
      <c r="B291" s="199">
        <v>900</v>
      </c>
      <c r="C291" s="199">
        <v>500</v>
      </c>
      <c r="D291" s="199">
        <v>4000</v>
      </c>
      <c r="E291" s="200"/>
      <c r="F291" s="200"/>
      <c r="G291" s="200"/>
      <c r="H291" s="200"/>
    </row>
    <row r="292" spans="1:8" x14ac:dyDescent="0.25">
      <c r="A292" s="198" t="s">
        <v>1218</v>
      </c>
      <c r="B292" s="199">
        <v>3600</v>
      </c>
      <c r="C292" s="199">
        <v>250</v>
      </c>
      <c r="D292" s="199">
        <v>4000</v>
      </c>
      <c r="E292" s="200"/>
      <c r="F292" s="200"/>
      <c r="G292" s="201">
        <v>95</v>
      </c>
      <c r="H292" s="201">
        <v>95</v>
      </c>
    </row>
    <row r="293" spans="1:8" x14ac:dyDescent="0.25">
      <c r="A293" s="198" t="s">
        <v>1218</v>
      </c>
      <c r="B293" s="199">
        <v>3600</v>
      </c>
      <c r="C293" s="199">
        <v>300</v>
      </c>
      <c r="D293" s="199">
        <v>4000</v>
      </c>
      <c r="E293" s="200"/>
      <c r="F293" s="200"/>
      <c r="G293" s="201">
        <v>95</v>
      </c>
      <c r="H293" s="201">
        <v>95</v>
      </c>
    </row>
    <row r="294" spans="1:8" x14ac:dyDescent="0.25">
      <c r="A294" s="198" t="s">
        <v>1218</v>
      </c>
      <c r="B294" s="199">
        <v>3600</v>
      </c>
      <c r="C294" s="199">
        <v>350</v>
      </c>
      <c r="D294" s="199">
        <v>4000</v>
      </c>
      <c r="E294" s="200"/>
      <c r="F294" s="200"/>
      <c r="G294" s="201">
        <v>95</v>
      </c>
      <c r="H294" s="201">
        <v>95</v>
      </c>
    </row>
    <row r="296" spans="1:8" x14ac:dyDescent="0.25">
      <c r="A296" s="195" t="s">
        <v>1290</v>
      </c>
    </row>
    <row r="298" spans="1:8" x14ac:dyDescent="0.25">
      <c r="A298" s="194" t="s">
        <v>1268</v>
      </c>
    </row>
    <row r="299" spans="1:8" x14ac:dyDescent="0.25">
      <c r="A299" s="195" t="s">
        <v>1275</v>
      </c>
    </row>
    <row r="301" spans="1:8" s="197" customFormat="1" x14ac:dyDescent="0.25">
      <c r="A301" s="196" t="s">
        <v>1276</v>
      </c>
      <c r="B301" s="196" t="s">
        <v>1277</v>
      </c>
      <c r="C301" s="196" t="s">
        <v>1278</v>
      </c>
      <c r="D301" s="196" t="s">
        <v>1279</v>
      </c>
      <c r="E301" s="196" t="s">
        <v>1280</v>
      </c>
      <c r="F301" s="196" t="s">
        <v>1281</v>
      </c>
      <c r="G301" s="196" t="s">
        <v>1282</v>
      </c>
      <c r="H301" s="196" t="s">
        <v>1283</v>
      </c>
    </row>
    <row r="302" spans="1:8" x14ac:dyDescent="0.25">
      <c r="A302" s="198" t="s">
        <v>1218</v>
      </c>
      <c r="B302" s="199">
        <v>3600</v>
      </c>
      <c r="C302" s="199">
        <v>400</v>
      </c>
      <c r="D302" s="199">
        <v>4000</v>
      </c>
      <c r="E302" s="200"/>
      <c r="F302" s="200"/>
      <c r="G302" s="201">
        <v>95</v>
      </c>
      <c r="H302" s="201">
        <v>95</v>
      </c>
    </row>
    <row r="303" spans="1:8" x14ac:dyDescent="0.25">
      <c r="A303" s="198" t="s">
        <v>1218</v>
      </c>
      <c r="B303" s="199">
        <v>3600</v>
      </c>
      <c r="C303" s="199">
        <v>450</v>
      </c>
      <c r="D303" s="199">
        <v>4000</v>
      </c>
      <c r="E303" s="200"/>
      <c r="F303" s="200"/>
      <c r="G303" s="201">
        <v>95</v>
      </c>
      <c r="H303" s="201">
        <v>95</v>
      </c>
    </row>
    <row r="304" spans="1:8" x14ac:dyDescent="0.25">
      <c r="A304" s="198" t="s">
        <v>1218</v>
      </c>
      <c r="B304" s="199">
        <v>3600</v>
      </c>
      <c r="C304" s="199">
        <v>500</v>
      </c>
      <c r="D304" s="199">
        <v>4000</v>
      </c>
      <c r="E304" s="200"/>
      <c r="F304" s="200"/>
      <c r="G304" s="201">
        <v>95</v>
      </c>
      <c r="H304" s="201">
        <v>95</v>
      </c>
    </row>
    <row r="305" spans="1:8" x14ac:dyDescent="0.25">
      <c r="A305" s="198" t="s">
        <v>1218</v>
      </c>
      <c r="B305" s="199">
        <v>1800</v>
      </c>
      <c r="C305" s="199">
        <v>250</v>
      </c>
      <c r="D305" s="199">
        <v>4000</v>
      </c>
      <c r="E305" s="200"/>
      <c r="F305" s="200"/>
      <c r="G305" s="201">
        <v>95</v>
      </c>
      <c r="H305" s="201">
        <v>95</v>
      </c>
    </row>
    <row r="306" spans="1:8" x14ac:dyDescent="0.25">
      <c r="A306" s="198" t="s">
        <v>1218</v>
      </c>
      <c r="B306" s="199">
        <v>1800</v>
      </c>
      <c r="C306" s="199">
        <v>300</v>
      </c>
      <c r="D306" s="199">
        <v>4000</v>
      </c>
      <c r="E306" s="200"/>
      <c r="F306" s="200"/>
      <c r="G306" s="201">
        <v>95</v>
      </c>
      <c r="H306" s="201">
        <v>95</v>
      </c>
    </row>
    <row r="307" spans="1:8" x14ac:dyDescent="0.25">
      <c r="A307" s="198" t="s">
        <v>1218</v>
      </c>
      <c r="B307" s="199">
        <v>1800</v>
      </c>
      <c r="C307" s="199">
        <v>350</v>
      </c>
      <c r="D307" s="199">
        <v>4000</v>
      </c>
      <c r="E307" s="200"/>
      <c r="F307" s="200"/>
      <c r="G307" s="201">
        <v>95</v>
      </c>
      <c r="H307" s="201">
        <v>95</v>
      </c>
    </row>
    <row r="308" spans="1:8" x14ac:dyDescent="0.25">
      <c r="A308" s="198" t="s">
        <v>1218</v>
      </c>
      <c r="B308" s="199">
        <v>1800</v>
      </c>
      <c r="C308" s="199">
        <v>400</v>
      </c>
      <c r="D308" s="199">
        <v>4000</v>
      </c>
      <c r="E308" s="200"/>
      <c r="F308" s="200"/>
      <c r="G308" s="201">
        <v>95</v>
      </c>
      <c r="H308" s="201">
        <v>95</v>
      </c>
    </row>
    <row r="309" spans="1:8" x14ac:dyDescent="0.25">
      <c r="A309" s="198" t="s">
        <v>1218</v>
      </c>
      <c r="B309" s="199">
        <v>1800</v>
      </c>
      <c r="C309" s="199">
        <v>450</v>
      </c>
      <c r="D309" s="199">
        <v>4000</v>
      </c>
      <c r="E309" s="200"/>
      <c r="F309" s="200"/>
      <c r="G309" s="201">
        <v>95</v>
      </c>
      <c r="H309" s="201">
        <v>95</v>
      </c>
    </row>
    <row r="310" spans="1:8" x14ac:dyDescent="0.25">
      <c r="A310" s="198" t="s">
        <v>1218</v>
      </c>
      <c r="B310" s="199">
        <v>1800</v>
      </c>
      <c r="C310" s="199">
        <v>500</v>
      </c>
      <c r="D310" s="199">
        <v>4000</v>
      </c>
      <c r="E310" s="200"/>
      <c r="F310" s="200"/>
      <c r="G310" s="201">
        <v>95</v>
      </c>
      <c r="H310" s="201">
        <v>95</v>
      </c>
    </row>
    <row r="311" spans="1:8" x14ac:dyDescent="0.25">
      <c r="A311" s="198" t="s">
        <v>1218</v>
      </c>
      <c r="B311" s="199">
        <v>1200</v>
      </c>
      <c r="C311" s="199">
        <v>250</v>
      </c>
      <c r="D311" s="199">
        <v>4000</v>
      </c>
      <c r="E311" s="200"/>
      <c r="F311" s="200"/>
      <c r="G311" s="201">
        <v>95</v>
      </c>
      <c r="H311" s="201">
        <v>95</v>
      </c>
    </row>
    <row r="312" spans="1:8" x14ac:dyDescent="0.25">
      <c r="A312" s="198" t="s">
        <v>1218</v>
      </c>
      <c r="B312" s="199">
        <v>3600</v>
      </c>
      <c r="C312" s="199">
        <v>300</v>
      </c>
      <c r="D312" s="199">
        <v>4000</v>
      </c>
      <c r="E312" s="200"/>
      <c r="F312" s="200"/>
      <c r="G312" s="201">
        <v>95</v>
      </c>
      <c r="H312" s="201">
        <v>95</v>
      </c>
    </row>
    <row r="313" spans="1:8" x14ac:dyDescent="0.25">
      <c r="A313" s="198" t="s">
        <v>1218</v>
      </c>
      <c r="B313" s="199">
        <v>3600</v>
      </c>
      <c r="C313" s="199">
        <v>350</v>
      </c>
      <c r="D313" s="199">
        <v>4000</v>
      </c>
      <c r="E313" s="200"/>
      <c r="F313" s="200"/>
      <c r="G313" s="201">
        <v>95</v>
      </c>
      <c r="H313" s="201">
        <v>95</v>
      </c>
    </row>
    <row r="314" spans="1:8" x14ac:dyDescent="0.25">
      <c r="A314" s="198" t="s">
        <v>1218</v>
      </c>
      <c r="B314" s="199">
        <v>3600</v>
      </c>
      <c r="C314" s="199">
        <v>400</v>
      </c>
      <c r="D314" s="199">
        <v>4000</v>
      </c>
      <c r="E314" s="200"/>
      <c r="F314" s="200"/>
      <c r="G314" s="201">
        <v>95</v>
      </c>
      <c r="H314" s="201">
        <v>95</v>
      </c>
    </row>
    <row r="315" spans="1:8" x14ac:dyDescent="0.25">
      <c r="A315" s="198" t="s">
        <v>1218</v>
      </c>
      <c r="B315" s="199">
        <v>3600</v>
      </c>
      <c r="C315" s="199">
        <v>450</v>
      </c>
      <c r="D315" s="199">
        <v>4000</v>
      </c>
      <c r="E315" s="200"/>
      <c r="F315" s="200"/>
      <c r="G315" s="201">
        <v>95</v>
      </c>
      <c r="H315" s="201">
        <v>95</v>
      </c>
    </row>
    <row r="316" spans="1:8" x14ac:dyDescent="0.25">
      <c r="A316" s="198" t="s">
        <v>1218</v>
      </c>
      <c r="B316" s="199">
        <v>3600</v>
      </c>
      <c r="C316" s="199">
        <v>500</v>
      </c>
      <c r="D316" s="199">
        <v>4000</v>
      </c>
      <c r="E316" s="200"/>
      <c r="F316" s="200"/>
      <c r="G316" s="201">
        <v>95</v>
      </c>
      <c r="H316" s="201">
        <v>95</v>
      </c>
    </row>
    <row r="317" spans="1:8" x14ac:dyDescent="0.25">
      <c r="A317" s="198" t="s">
        <v>1218</v>
      </c>
      <c r="B317" s="199">
        <v>900</v>
      </c>
      <c r="C317" s="199">
        <v>250</v>
      </c>
      <c r="D317" s="199">
        <v>4000</v>
      </c>
      <c r="E317" s="200"/>
      <c r="F317" s="200"/>
      <c r="G317" s="201">
        <v>95</v>
      </c>
      <c r="H317" s="200"/>
    </row>
    <row r="318" spans="1:8" x14ac:dyDescent="0.25">
      <c r="A318" s="198" t="s">
        <v>1218</v>
      </c>
      <c r="B318" s="199">
        <v>900</v>
      </c>
      <c r="C318" s="199">
        <v>300</v>
      </c>
      <c r="D318" s="199">
        <v>4000</v>
      </c>
      <c r="E318" s="200"/>
      <c r="F318" s="200"/>
      <c r="G318" s="201">
        <v>95</v>
      </c>
      <c r="H318" s="200"/>
    </row>
    <row r="319" spans="1:8" x14ac:dyDescent="0.25">
      <c r="A319" s="198" t="s">
        <v>1218</v>
      </c>
      <c r="B319" s="199">
        <v>900</v>
      </c>
      <c r="C319" s="199">
        <v>350</v>
      </c>
      <c r="D319" s="199">
        <v>4000</v>
      </c>
      <c r="E319" s="200"/>
      <c r="F319" s="200"/>
      <c r="G319" s="201">
        <v>95</v>
      </c>
      <c r="H319" s="200"/>
    </row>
    <row r="320" spans="1:8" x14ac:dyDescent="0.25">
      <c r="A320" s="198" t="s">
        <v>1218</v>
      </c>
      <c r="B320" s="199">
        <v>900</v>
      </c>
      <c r="C320" s="199">
        <v>400</v>
      </c>
      <c r="D320" s="199">
        <v>4000</v>
      </c>
      <c r="E320" s="200"/>
      <c r="F320" s="200"/>
      <c r="G320" s="201">
        <v>95</v>
      </c>
      <c r="H320" s="200"/>
    </row>
    <row r="321" spans="1:8" x14ac:dyDescent="0.25">
      <c r="A321" s="198" t="s">
        <v>1218</v>
      </c>
      <c r="B321" s="199">
        <v>900</v>
      </c>
      <c r="C321" s="199">
        <v>450</v>
      </c>
      <c r="D321" s="199">
        <v>4000</v>
      </c>
      <c r="E321" s="200"/>
      <c r="F321" s="200"/>
      <c r="G321" s="201">
        <v>95</v>
      </c>
      <c r="H321" s="200"/>
    </row>
    <row r="322" spans="1:8" x14ac:dyDescent="0.25">
      <c r="A322" s="198" t="s">
        <v>1218</v>
      </c>
      <c r="B322" s="199">
        <v>900</v>
      </c>
      <c r="C322" s="199">
        <v>500</v>
      </c>
      <c r="D322" s="199">
        <v>4000</v>
      </c>
      <c r="E322" s="200"/>
      <c r="F322" s="200"/>
      <c r="G322" s="201">
        <v>95</v>
      </c>
      <c r="H322" s="200"/>
    </row>
    <row r="324" spans="1:8" ht="13.8" x14ac:dyDescent="0.25">
      <c r="A324" s="202" t="s">
        <v>830</v>
      </c>
    </row>
    <row r="325" spans="1:8" x14ac:dyDescent="0.25">
      <c r="A325" s="203" t="s">
        <v>1277</v>
      </c>
      <c r="C325" s="204" t="s">
        <v>1291</v>
      </c>
      <c r="D325" s="205"/>
      <c r="E325" s="205"/>
      <c r="F325" s="205"/>
    </row>
    <row r="326" spans="1:8" x14ac:dyDescent="0.25">
      <c r="A326" s="203" t="s">
        <v>1278</v>
      </c>
      <c r="C326" s="204" t="s">
        <v>1292</v>
      </c>
      <c r="D326" s="205"/>
      <c r="E326" s="205"/>
      <c r="F326" s="205"/>
    </row>
    <row r="327" spans="1:8" x14ac:dyDescent="0.25">
      <c r="A327" s="203" t="s">
        <v>1279</v>
      </c>
      <c r="C327" s="204" t="s">
        <v>1293</v>
      </c>
      <c r="D327" s="205"/>
      <c r="E327" s="205"/>
      <c r="F327" s="205"/>
    </row>
    <row r="328" spans="1:8" x14ac:dyDescent="0.25">
      <c r="A328" s="203" t="s">
        <v>1280</v>
      </c>
      <c r="C328" s="204" t="s">
        <v>1294</v>
      </c>
      <c r="D328" s="205"/>
      <c r="E328" s="205"/>
      <c r="F328" s="205"/>
    </row>
    <row r="329" spans="1:8" x14ac:dyDescent="0.25">
      <c r="A329" s="203"/>
      <c r="C329" s="204" t="s">
        <v>1295</v>
      </c>
      <c r="D329" s="205"/>
      <c r="E329" s="205"/>
      <c r="F329" s="205"/>
    </row>
    <row r="330" spans="1:8" x14ac:dyDescent="0.25">
      <c r="A330" s="203" t="s">
        <v>1281</v>
      </c>
      <c r="C330" s="204" t="s">
        <v>1296</v>
      </c>
      <c r="D330" s="205"/>
      <c r="E330" s="205"/>
      <c r="F330" s="205"/>
    </row>
    <row r="331" spans="1:8" x14ac:dyDescent="0.25">
      <c r="A331" s="203"/>
      <c r="C331" s="204" t="s">
        <v>1297</v>
      </c>
      <c r="D331" s="205"/>
      <c r="E331" s="205"/>
      <c r="F331" s="205"/>
    </row>
    <row r="332" spans="1:8" x14ac:dyDescent="0.25">
      <c r="A332" s="203" t="s">
        <v>1282</v>
      </c>
      <c r="C332" s="204" t="s">
        <v>1298</v>
      </c>
      <c r="D332" s="205"/>
      <c r="E332" s="205"/>
      <c r="F332" s="205"/>
    </row>
    <row r="333" spans="1:8" x14ac:dyDescent="0.25">
      <c r="A333" s="203" t="s">
        <v>1283</v>
      </c>
      <c r="C333" s="204" t="s">
        <v>1299</v>
      </c>
      <c r="D333" s="205"/>
      <c r="E333" s="205"/>
      <c r="F333" s="205"/>
    </row>
    <row r="334" spans="1:8" x14ac:dyDescent="0.25">
      <c r="A334" s="206"/>
      <c r="B334" s="204"/>
    </row>
    <row r="335" spans="1:8" x14ac:dyDescent="0.25">
      <c r="A335" s="1803" t="s">
        <v>1300</v>
      </c>
      <c r="B335" s="1803"/>
      <c r="C335" s="1803"/>
      <c r="D335" s="1803"/>
      <c r="E335" s="1803"/>
      <c r="F335" s="1803"/>
      <c r="G335" s="1803"/>
      <c r="H335" s="1803"/>
    </row>
    <row r="336" spans="1:8" x14ac:dyDescent="0.25">
      <c r="A336" s="1803"/>
      <c r="B336" s="1803"/>
      <c r="C336" s="1803"/>
      <c r="D336" s="1803"/>
      <c r="E336" s="1803"/>
      <c r="F336" s="1803"/>
      <c r="G336" s="1803"/>
      <c r="H336" s="1803"/>
    </row>
    <row r="337" spans="1:8" ht="25.5" customHeight="1" x14ac:dyDescent="0.25">
      <c r="A337" s="1803"/>
      <c r="B337" s="1803"/>
      <c r="C337" s="1803"/>
      <c r="D337" s="1803"/>
      <c r="E337" s="1803"/>
      <c r="F337" s="1803"/>
      <c r="G337" s="1803"/>
      <c r="H337" s="1803"/>
    </row>
    <row r="339" spans="1:8" x14ac:dyDescent="0.25">
      <c r="A339" s="207" t="s">
        <v>1301</v>
      </c>
    </row>
    <row r="341" spans="1:8" x14ac:dyDescent="0.25">
      <c r="A341" s="195" t="s">
        <v>1302</v>
      </c>
    </row>
  </sheetData>
  <sheetProtection algorithmName="SHA-512" hashValue="ZfFrcL8lTEQDtFYAOGnpOB1vPcbP+xSWvyom0K58DTjl9bp+RoTb2UhoG8vtOua+Np3uIDUPPBRxrUQHL9+cuw==" saltValue="d9JOqmqUBy2tfpTO+qdF9A==" spinCount="100000" sheet="1" objects="1" scenarios="1"/>
  <mergeCells count="3">
    <mergeCell ref="A335:H337"/>
    <mergeCell ref="A1:H1"/>
    <mergeCell ref="A4:H4"/>
  </mergeCells>
  <hyperlinks>
    <hyperlink ref="A2" location="TOC!A1" display="Return to TOC" xr:uid="{00000000-0004-0000-26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4">
    <pageSetUpPr autoPageBreaks="0"/>
  </sheetPr>
  <dimension ref="A1:AS51"/>
  <sheetViews>
    <sheetView showGridLines="0" zoomScaleNormal="100" workbookViewId="0">
      <selection sqref="A1:AF1"/>
    </sheetView>
  </sheetViews>
  <sheetFormatPr defaultColWidth="2.6640625" defaultRowHeight="14.4" x14ac:dyDescent="0.3"/>
  <cols>
    <col min="1" max="14" width="2.6640625" style="131"/>
    <col min="15" max="15" width="2.6640625" style="129"/>
    <col min="16" max="16384" width="2.6640625" style="131"/>
  </cols>
  <sheetData>
    <row r="1" spans="1:45" ht="18" x14ac:dyDescent="0.3">
      <c r="A1" s="857" t="s">
        <v>6458</v>
      </c>
      <c r="B1" s="858"/>
      <c r="C1" s="858"/>
      <c r="D1" s="858"/>
      <c r="E1" s="858"/>
      <c r="F1" s="858"/>
      <c r="G1" s="858"/>
      <c r="H1" s="858"/>
      <c r="I1" s="858"/>
      <c r="J1" s="858"/>
      <c r="K1" s="858"/>
      <c r="L1" s="858"/>
      <c r="M1" s="858"/>
      <c r="N1" s="858"/>
      <c r="O1" s="858"/>
      <c r="P1" s="858"/>
      <c r="Q1" s="858"/>
      <c r="R1" s="858"/>
      <c r="S1" s="858"/>
      <c r="T1" s="858"/>
      <c r="U1" s="858"/>
      <c r="V1" s="858"/>
      <c r="W1" s="858"/>
      <c r="X1" s="858"/>
      <c r="Y1" s="858"/>
      <c r="Z1" s="858"/>
      <c r="AA1" s="858"/>
      <c r="AB1" s="858"/>
      <c r="AC1" s="858"/>
      <c r="AD1" s="858"/>
      <c r="AE1" s="858"/>
      <c r="AF1" s="858"/>
      <c r="AG1" s="178"/>
      <c r="AH1" s="178"/>
      <c r="AI1" s="178"/>
      <c r="AJ1" s="178"/>
      <c r="AK1" s="178"/>
      <c r="AL1" s="178"/>
      <c r="AM1" s="178"/>
      <c r="AN1" s="178"/>
      <c r="AO1" s="178"/>
      <c r="AP1" s="178"/>
      <c r="AQ1" s="178"/>
      <c r="AR1" s="178"/>
      <c r="AS1" s="178"/>
    </row>
    <row r="2" spans="1:45" x14ac:dyDescent="0.3">
      <c r="A2" s="228" t="s">
        <v>1456</v>
      </c>
      <c r="B2" s="386"/>
      <c r="C2" s="386"/>
      <c r="D2" s="386"/>
      <c r="E2" s="386"/>
      <c r="F2" s="386"/>
      <c r="G2" s="386"/>
      <c r="H2" s="386"/>
      <c r="I2" s="386"/>
      <c r="J2" s="386"/>
      <c r="K2" s="386"/>
      <c r="L2" s="386"/>
      <c r="M2" s="386"/>
      <c r="N2" s="386"/>
      <c r="AJ2" s="543"/>
      <c r="AK2" s="543"/>
      <c r="AL2" s="543"/>
      <c r="AM2" s="543"/>
      <c r="AN2" s="543"/>
      <c r="AO2" s="543"/>
      <c r="AP2" s="543"/>
    </row>
    <row r="3" spans="1:45" x14ac:dyDescent="0.3">
      <c r="A3" s="386"/>
      <c r="B3" s="386"/>
      <c r="C3" s="386"/>
      <c r="D3" s="386"/>
      <c r="E3" s="386"/>
      <c r="F3" s="386"/>
      <c r="G3" s="386"/>
      <c r="H3" s="386"/>
      <c r="I3" s="386"/>
      <c r="J3" s="386"/>
      <c r="K3" s="386"/>
      <c r="L3" s="386"/>
      <c r="M3" s="386"/>
      <c r="N3" s="386"/>
      <c r="AJ3" s="543"/>
      <c r="AK3" s="543"/>
      <c r="AL3" s="543"/>
      <c r="AM3" s="543"/>
      <c r="AN3" s="543"/>
      <c r="AO3" s="543"/>
      <c r="AP3" s="543"/>
    </row>
    <row r="4" spans="1:45" x14ac:dyDescent="0.3">
      <c r="A4" s="125" t="s">
        <v>2871</v>
      </c>
      <c r="B4" s="125"/>
      <c r="C4" s="125"/>
      <c r="D4" s="125"/>
      <c r="E4" s="125"/>
      <c r="F4" s="125"/>
      <c r="G4" s="125"/>
      <c r="H4" s="125"/>
      <c r="I4" s="125"/>
      <c r="J4" s="125"/>
      <c r="K4" s="125"/>
      <c r="L4" s="125"/>
      <c r="M4" s="125"/>
      <c r="N4" s="125"/>
      <c r="O4" s="125"/>
      <c r="P4" s="125"/>
      <c r="Q4" s="125"/>
      <c r="R4" s="125"/>
      <c r="S4" s="391" t="s">
        <v>2869</v>
      </c>
      <c r="T4" s="125"/>
      <c r="U4" s="125"/>
      <c r="V4" s="125"/>
      <c r="W4" s="125"/>
      <c r="X4" s="125"/>
      <c r="Y4" s="125"/>
      <c r="Z4" s="125"/>
      <c r="AA4" s="125"/>
      <c r="AB4" s="125"/>
      <c r="AC4" s="125"/>
      <c r="AD4" s="125"/>
      <c r="AE4" s="125"/>
      <c r="AF4" s="125"/>
      <c r="AJ4" s="543"/>
      <c r="AK4" s="543"/>
      <c r="AL4" s="543"/>
      <c r="AM4" s="543"/>
      <c r="AN4" s="543"/>
      <c r="AO4" s="543"/>
      <c r="AP4" s="543"/>
    </row>
    <row r="5" spans="1:45" x14ac:dyDescent="0.3">
      <c r="A5" s="226"/>
      <c r="B5" s="226"/>
      <c r="C5" s="226"/>
      <c r="D5" s="226"/>
      <c r="E5" s="226"/>
      <c r="F5" s="226"/>
      <c r="G5" s="226"/>
      <c r="H5" s="226"/>
      <c r="I5" s="226"/>
      <c r="J5" s="226"/>
      <c r="K5" s="226"/>
      <c r="L5" s="226"/>
      <c r="M5" s="226"/>
      <c r="N5" s="226"/>
    </row>
    <row r="6" spans="1:45" ht="15" customHeight="1" x14ac:dyDescent="0.3">
      <c r="A6" s="860" t="s">
        <v>1315</v>
      </c>
      <c r="B6" s="861"/>
      <c r="C6" s="861"/>
      <c r="D6" s="861"/>
      <c r="E6" s="861"/>
      <c r="F6" s="861"/>
      <c r="G6" s="861"/>
      <c r="H6" s="861"/>
      <c r="I6" s="861"/>
      <c r="J6" s="861"/>
      <c r="K6" s="861"/>
      <c r="L6" s="861"/>
      <c r="M6" s="861"/>
      <c r="N6" s="862"/>
      <c r="O6" s="859" t="s">
        <v>2870</v>
      </c>
      <c r="P6" s="859"/>
      <c r="Q6" s="859"/>
      <c r="R6" s="859"/>
      <c r="S6" s="859"/>
      <c r="T6" s="859"/>
      <c r="U6" s="859"/>
      <c r="V6" s="859"/>
      <c r="W6" s="859"/>
      <c r="X6" s="859"/>
      <c r="Y6" s="859"/>
      <c r="Z6" s="859"/>
      <c r="AA6" s="859"/>
      <c r="AB6" s="859"/>
      <c r="AC6" s="859"/>
      <c r="AD6" s="859"/>
      <c r="AE6" s="859"/>
      <c r="AF6" s="859"/>
    </row>
    <row r="7" spans="1:45" ht="36" customHeight="1" x14ac:dyDescent="0.3">
      <c r="A7" s="855" t="s">
        <v>3757</v>
      </c>
      <c r="B7" s="855"/>
      <c r="C7" s="855"/>
      <c r="D7" s="855"/>
      <c r="E7" s="855"/>
      <c r="F7" s="855"/>
      <c r="G7" s="855"/>
      <c r="H7" s="855"/>
      <c r="I7" s="855"/>
      <c r="J7" s="855"/>
      <c r="K7" s="855"/>
      <c r="L7" s="855"/>
      <c r="M7" s="855"/>
      <c r="N7" s="855"/>
      <c r="O7" s="856" t="s">
        <v>6621</v>
      </c>
      <c r="P7" s="856"/>
      <c r="Q7" s="856"/>
      <c r="R7" s="856"/>
      <c r="S7" s="856"/>
      <c r="T7" s="856"/>
      <c r="U7" s="856"/>
      <c r="V7" s="856"/>
      <c r="W7" s="856"/>
      <c r="X7" s="856"/>
      <c r="Y7" s="856"/>
      <c r="Z7" s="856"/>
      <c r="AA7" s="856"/>
      <c r="AB7" s="856"/>
      <c r="AC7" s="856"/>
      <c r="AD7" s="856"/>
      <c r="AE7" s="856"/>
      <c r="AF7" s="856"/>
      <c r="AG7" s="580"/>
    </row>
    <row r="8" spans="1:45" ht="30" customHeight="1" x14ac:dyDescent="0.3">
      <c r="A8" s="855" t="s">
        <v>1336</v>
      </c>
      <c r="B8" s="855"/>
      <c r="C8" s="855"/>
      <c r="D8" s="855"/>
      <c r="E8" s="855"/>
      <c r="F8" s="855"/>
      <c r="G8" s="855"/>
      <c r="H8" s="855"/>
      <c r="I8" s="855"/>
      <c r="J8" s="855"/>
      <c r="K8" s="855"/>
      <c r="L8" s="855"/>
      <c r="M8" s="855"/>
      <c r="N8" s="855"/>
      <c r="O8" s="856" t="s">
        <v>6622</v>
      </c>
      <c r="P8" s="856"/>
      <c r="Q8" s="856"/>
      <c r="R8" s="856"/>
      <c r="S8" s="856"/>
      <c r="T8" s="856"/>
      <c r="U8" s="856"/>
      <c r="V8" s="856"/>
      <c r="W8" s="856"/>
      <c r="X8" s="856"/>
      <c r="Y8" s="856"/>
      <c r="Z8" s="856"/>
      <c r="AA8" s="856"/>
      <c r="AB8" s="856"/>
      <c r="AC8" s="856"/>
      <c r="AD8" s="856"/>
      <c r="AE8" s="856"/>
      <c r="AF8" s="856"/>
      <c r="AG8" s="580"/>
    </row>
    <row r="9" spans="1:45" ht="30" customHeight="1" x14ac:dyDescent="0.3">
      <c r="A9" s="855" t="s">
        <v>5049</v>
      </c>
      <c r="B9" s="855"/>
      <c r="C9" s="855"/>
      <c r="D9" s="855"/>
      <c r="E9" s="855"/>
      <c r="F9" s="855"/>
      <c r="G9" s="855"/>
      <c r="H9" s="855"/>
      <c r="I9" s="855"/>
      <c r="J9" s="855"/>
      <c r="K9" s="855"/>
      <c r="L9" s="855"/>
      <c r="M9" s="855"/>
      <c r="N9" s="855"/>
      <c r="O9" s="856" t="s">
        <v>6623</v>
      </c>
      <c r="P9" s="856"/>
      <c r="Q9" s="856"/>
      <c r="R9" s="856"/>
      <c r="S9" s="856"/>
      <c r="T9" s="856"/>
      <c r="U9" s="856"/>
      <c r="V9" s="856"/>
      <c r="W9" s="856"/>
      <c r="X9" s="856"/>
      <c r="Y9" s="856"/>
      <c r="Z9" s="856"/>
      <c r="AA9" s="856"/>
      <c r="AB9" s="856"/>
      <c r="AC9" s="856"/>
      <c r="AD9" s="856"/>
      <c r="AE9" s="856"/>
      <c r="AF9" s="856"/>
      <c r="AG9" s="580"/>
    </row>
    <row r="10" spans="1:45" ht="30" customHeight="1" x14ac:dyDescent="0.3">
      <c r="A10" s="855" t="s">
        <v>1058</v>
      </c>
      <c r="B10" s="855"/>
      <c r="C10" s="855"/>
      <c r="D10" s="855"/>
      <c r="E10" s="855"/>
      <c r="F10" s="855"/>
      <c r="G10" s="855"/>
      <c r="H10" s="855"/>
      <c r="I10" s="855"/>
      <c r="J10" s="855"/>
      <c r="K10" s="855"/>
      <c r="L10" s="855"/>
      <c r="M10" s="855"/>
      <c r="N10" s="855"/>
      <c r="O10" s="856" t="s">
        <v>6624</v>
      </c>
      <c r="P10" s="856"/>
      <c r="Q10" s="856"/>
      <c r="R10" s="856"/>
      <c r="S10" s="856"/>
      <c r="T10" s="856"/>
      <c r="U10" s="856"/>
      <c r="V10" s="856"/>
      <c r="W10" s="856"/>
      <c r="X10" s="856"/>
      <c r="Y10" s="856"/>
      <c r="Z10" s="856"/>
      <c r="AA10" s="856"/>
      <c r="AB10" s="856"/>
      <c r="AC10" s="856"/>
      <c r="AD10" s="856"/>
      <c r="AE10" s="856"/>
      <c r="AF10" s="856"/>
      <c r="AG10" s="580"/>
    </row>
    <row r="11" spans="1:45" ht="30" customHeight="1" x14ac:dyDescent="0.3">
      <c r="A11" s="855" t="s">
        <v>1059</v>
      </c>
      <c r="B11" s="855"/>
      <c r="C11" s="855"/>
      <c r="D11" s="855"/>
      <c r="E11" s="855"/>
      <c r="F11" s="855"/>
      <c r="G11" s="855"/>
      <c r="H11" s="855"/>
      <c r="I11" s="855"/>
      <c r="J11" s="855"/>
      <c r="K11" s="855"/>
      <c r="L11" s="855"/>
      <c r="M11" s="855"/>
      <c r="N11" s="855"/>
      <c r="O11" s="856" t="s">
        <v>6625</v>
      </c>
      <c r="P11" s="856"/>
      <c r="Q11" s="856"/>
      <c r="R11" s="856"/>
      <c r="S11" s="856"/>
      <c r="T11" s="856"/>
      <c r="U11" s="856"/>
      <c r="V11" s="856"/>
      <c r="W11" s="856"/>
      <c r="X11" s="856"/>
      <c r="Y11" s="856"/>
      <c r="Z11" s="856"/>
      <c r="AA11" s="856"/>
      <c r="AB11" s="856"/>
      <c r="AC11" s="856"/>
      <c r="AD11" s="856"/>
      <c r="AE11" s="856"/>
      <c r="AF11" s="856"/>
      <c r="AG11" s="580"/>
    </row>
    <row r="12" spans="1:45" ht="30" customHeight="1" x14ac:dyDescent="0.3">
      <c r="A12" s="855" t="s">
        <v>3759</v>
      </c>
      <c r="B12" s="855"/>
      <c r="C12" s="855"/>
      <c r="D12" s="855"/>
      <c r="E12" s="855"/>
      <c r="F12" s="855"/>
      <c r="G12" s="855"/>
      <c r="H12" s="855"/>
      <c r="I12" s="855"/>
      <c r="J12" s="855"/>
      <c r="K12" s="855"/>
      <c r="L12" s="855"/>
      <c r="M12" s="855"/>
      <c r="N12" s="855"/>
      <c r="O12" s="856" t="s">
        <v>6626</v>
      </c>
      <c r="P12" s="856"/>
      <c r="Q12" s="856"/>
      <c r="R12" s="856"/>
      <c r="S12" s="856"/>
      <c r="T12" s="856"/>
      <c r="U12" s="856"/>
      <c r="V12" s="856"/>
      <c r="W12" s="856"/>
      <c r="X12" s="856"/>
      <c r="Y12" s="856"/>
      <c r="Z12" s="856"/>
      <c r="AA12" s="856"/>
      <c r="AB12" s="856"/>
      <c r="AC12" s="856"/>
      <c r="AD12" s="856"/>
      <c r="AE12" s="856"/>
      <c r="AF12" s="856"/>
      <c r="AG12" s="580"/>
    </row>
    <row r="13" spans="1:45" ht="30" customHeight="1" x14ac:dyDescent="0.3">
      <c r="A13" s="853" t="s">
        <v>1061</v>
      </c>
      <c r="B13" s="853"/>
      <c r="C13" s="853"/>
      <c r="D13" s="853"/>
      <c r="E13" s="853"/>
      <c r="F13" s="853"/>
      <c r="G13" s="853"/>
      <c r="H13" s="853"/>
      <c r="I13" s="853"/>
      <c r="J13" s="853"/>
      <c r="K13" s="853"/>
      <c r="L13" s="853"/>
      <c r="M13" s="853"/>
      <c r="N13" s="853"/>
      <c r="O13" s="854" t="s">
        <v>6627</v>
      </c>
      <c r="P13" s="854"/>
      <c r="Q13" s="854"/>
      <c r="R13" s="854"/>
      <c r="S13" s="854"/>
      <c r="T13" s="854"/>
      <c r="U13" s="854"/>
      <c r="V13" s="854"/>
      <c r="W13" s="854"/>
      <c r="X13" s="854"/>
      <c r="Y13" s="854"/>
      <c r="Z13" s="854"/>
      <c r="AA13" s="854"/>
      <c r="AB13" s="854"/>
      <c r="AC13" s="854"/>
      <c r="AD13" s="854"/>
      <c r="AE13" s="854"/>
      <c r="AF13" s="854"/>
      <c r="AG13" s="580"/>
    </row>
    <row r="14" spans="1:45" ht="60" customHeight="1" x14ac:dyDescent="0.3">
      <c r="A14" s="853" t="s">
        <v>1062</v>
      </c>
      <c r="B14" s="853"/>
      <c r="C14" s="853"/>
      <c r="D14" s="853"/>
      <c r="E14" s="853"/>
      <c r="F14" s="853"/>
      <c r="G14" s="853"/>
      <c r="H14" s="853"/>
      <c r="I14" s="853"/>
      <c r="J14" s="853"/>
      <c r="K14" s="853"/>
      <c r="L14" s="853"/>
      <c r="M14" s="853"/>
      <c r="N14" s="853"/>
      <c r="O14" s="854" t="s">
        <v>6647</v>
      </c>
      <c r="P14" s="854"/>
      <c r="Q14" s="854"/>
      <c r="R14" s="854"/>
      <c r="S14" s="854"/>
      <c r="T14" s="854"/>
      <c r="U14" s="854"/>
      <c r="V14" s="854"/>
      <c r="W14" s="854"/>
      <c r="X14" s="854"/>
      <c r="Y14" s="854"/>
      <c r="Z14" s="854"/>
      <c r="AA14" s="854"/>
      <c r="AB14" s="854"/>
      <c r="AC14" s="854"/>
      <c r="AD14" s="854"/>
      <c r="AE14" s="854"/>
      <c r="AF14" s="854"/>
      <c r="AG14" s="580"/>
    </row>
    <row r="15" spans="1:45" ht="36.75" customHeight="1" x14ac:dyDescent="0.3">
      <c r="A15" s="855" t="s">
        <v>2869</v>
      </c>
      <c r="B15" s="855"/>
      <c r="C15" s="855"/>
      <c r="D15" s="855"/>
      <c r="E15" s="855"/>
      <c r="F15" s="855"/>
      <c r="G15" s="855"/>
      <c r="H15" s="855"/>
      <c r="I15" s="855"/>
      <c r="J15" s="855"/>
      <c r="K15" s="855"/>
      <c r="L15" s="855"/>
      <c r="M15" s="855"/>
      <c r="N15" s="855"/>
      <c r="O15" s="856" t="s">
        <v>6648</v>
      </c>
      <c r="P15" s="856"/>
      <c r="Q15" s="856"/>
      <c r="R15" s="856"/>
      <c r="S15" s="856"/>
      <c r="T15" s="856"/>
      <c r="U15" s="856"/>
      <c r="V15" s="856"/>
      <c r="W15" s="856"/>
      <c r="X15" s="856"/>
      <c r="Y15" s="856"/>
      <c r="Z15" s="856"/>
      <c r="AA15" s="856"/>
      <c r="AB15" s="856"/>
      <c r="AC15" s="856"/>
      <c r="AD15" s="856"/>
      <c r="AE15" s="856"/>
      <c r="AF15" s="856"/>
      <c r="AG15" s="580"/>
    </row>
    <row r="16" spans="1:45" ht="30" customHeight="1" x14ac:dyDescent="0.3">
      <c r="A16" s="856" t="s">
        <v>5899</v>
      </c>
      <c r="B16" s="855"/>
      <c r="C16" s="855"/>
      <c r="D16" s="855"/>
      <c r="E16" s="855"/>
      <c r="F16" s="855"/>
      <c r="G16" s="855"/>
      <c r="H16" s="855"/>
      <c r="I16" s="855"/>
      <c r="J16" s="855"/>
      <c r="K16" s="855"/>
      <c r="L16" s="855"/>
      <c r="M16" s="855"/>
      <c r="N16" s="855"/>
      <c r="O16" s="854" t="s">
        <v>6628</v>
      </c>
      <c r="P16" s="854"/>
      <c r="Q16" s="854"/>
      <c r="R16" s="854"/>
      <c r="S16" s="854"/>
      <c r="T16" s="854"/>
      <c r="U16" s="854"/>
      <c r="V16" s="854"/>
      <c r="W16" s="854"/>
      <c r="X16" s="854"/>
      <c r="Y16" s="854"/>
      <c r="Z16" s="854"/>
      <c r="AA16" s="854"/>
      <c r="AB16" s="854"/>
      <c r="AC16" s="854"/>
      <c r="AD16" s="854"/>
      <c r="AE16" s="854"/>
      <c r="AF16" s="854"/>
      <c r="AG16" s="580"/>
    </row>
    <row r="17" spans="1:33" ht="30" customHeight="1" x14ac:dyDescent="0.3">
      <c r="A17" s="856" t="s">
        <v>5900</v>
      </c>
      <c r="B17" s="855"/>
      <c r="C17" s="855"/>
      <c r="D17" s="855"/>
      <c r="E17" s="855"/>
      <c r="F17" s="855"/>
      <c r="G17" s="855"/>
      <c r="H17" s="855"/>
      <c r="I17" s="855"/>
      <c r="J17" s="855"/>
      <c r="K17" s="855"/>
      <c r="L17" s="855"/>
      <c r="M17" s="855"/>
      <c r="N17" s="855"/>
      <c r="O17" s="854" t="s">
        <v>6628</v>
      </c>
      <c r="P17" s="854"/>
      <c r="Q17" s="854"/>
      <c r="R17" s="854"/>
      <c r="S17" s="854"/>
      <c r="T17" s="854"/>
      <c r="U17" s="854"/>
      <c r="V17" s="854"/>
      <c r="W17" s="854"/>
      <c r="X17" s="854"/>
      <c r="Y17" s="854"/>
      <c r="Z17" s="854"/>
      <c r="AA17" s="854"/>
      <c r="AB17" s="854"/>
      <c r="AC17" s="854"/>
      <c r="AD17" s="854"/>
      <c r="AE17" s="854"/>
      <c r="AF17" s="854"/>
      <c r="AG17" s="580"/>
    </row>
    <row r="18" spans="1:33" ht="30" customHeight="1" x14ac:dyDescent="0.3">
      <c r="A18" s="856" t="s">
        <v>4278</v>
      </c>
      <c r="B18" s="855"/>
      <c r="C18" s="855"/>
      <c r="D18" s="855"/>
      <c r="E18" s="855"/>
      <c r="F18" s="855"/>
      <c r="G18" s="855"/>
      <c r="H18" s="855"/>
      <c r="I18" s="855"/>
      <c r="J18" s="855"/>
      <c r="K18" s="855"/>
      <c r="L18" s="855"/>
      <c r="M18" s="855"/>
      <c r="N18" s="855"/>
      <c r="O18" s="854" t="s">
        <v>6629</v>
      </c>
      <c r="P18" s="854"/>
      <c r="Q18" s="854"/>
      <c r="R18" s="854"/>
      <c r="S18" s="854"/>
      <c r="T18" s="854"/>
      <c r="U18" s="854"/>
      <c r="V18" s="854"/>
      <c r="W18" s="854"/>
      <c r="X18" s="854"/>
      <c r="Y18" s="854"/>
      <c r="Z18" s="854"/>
      <c r="AA18" s="854"/>
      <c r="AB18" s="854"/>
      <c r="AC18" s="854"/>
      <c r="AD18" s="854"/>
      <c r="AE18" s="854"/>
      <c r="AF18" s="854"/>
      <c r="AG18" s="580"/>
    </row>
    <row r="19" spans="1:33" ht="30" customHeight="1" x14ac:dyDescent="0.3">
      <c r="A19" s="856" t="s">
        <v>5901</v>
      </c>
      <c r="B19" s="855"/>
      <c r="C19" s="855"/>
      <c r="D19" s="855"/>
      <c r="E19" s="855"/>
      <c r="F19" s="855"/>
      <c r="G19" s="855"/>
      <c r="H19" s="855"/>
      <c r="I19" s="855"/>
      <c r="J19" s="855"/>
      <c r="K19" s="855"/>
      <c r="L19" s="855"/>
      <c r="M19" s="855"/>
      <c r="N19" s="855"/>
      <c r="O19" s="854" t="s">
        <v>6628</v>
      </c>
      <c r="P19" s="854"/>
      <c r="Q19" s="854"/>
      <c r="R19" s="854"/>
      <c r="S19" s="854"/>
      <c r="T19" s="854"/>
      <c r="U19" s="854"/>
      <c r="V19" s="854"/>
      <c r="W19" s="854"/>
      <c r="X19" s="854"/>
      <c r="Y19" s="854"/>
      <c r="Z19" s="854"/>
      <c r="AA19" s="854"/>
      <c r="AB19" s="854"/>
      <c r="AC19" s="854"/>
      <c r="AD19" s="854"/>
      <c r="AE19" s="854"/>
      <c r="AF19" s="854"/>
      <c r="AG19" s="580"/>
    </row>
    <row r="20" spans="1:33" ht="30" customHeight="1" x14ac:dyDescent="0.3">
      <c r="A20" s="856" t="s">
        <v>4276</v>
      </c>
      <c r="B20" s="855"/>
      <c r="C20" s="855"/>
      <c r="D20" s="855"/>
      <c r="E20" s="855"/>
      <c r="F20" s="855"/>
      <c r="G20" s="855"/>
      <c r="H20" s="855"/>
      <c r="I20" s="855"/>
      <c r="J20" s="855"/>
      <c r="K20" s="855"/>
      <c r="L20" s="855"/>
      <c r="M20" s="855"/>
      <c r="N20" s="855"/>
      <c r="O20" s="854" t="s">
        <v>6630</v>
      </c>
      <c r="P20" s="854"/>
      <c r="Q20" s="854"/>
      <c r="R20" s="854"/>
      <c r="S20" s="854"/>
      <c r="T20" s="854"/>
      <c r="U20" s="854"/>
      <c r="V20" s="854"/>
      <c r="W20" s="854"/>
      <c r="X20" s="854"/>
      <c r="Y20" s="854"/>
      <c r="Z20" s="854"/>
      <c r="AA20" s="854"/>
      <c r="AB20" s="854"/>
      <c r="AC20" s="854"/>
      <c r="AD20" s="854"/>
      <c r="AE20" s="854"/>
      <c r="AF20" s="854"/>
      <c r="AG20" s="580"/>
    </row>
    <row r="21" spans="1:33" ht="30" customHeight="1" x14ac:dyDescent="0.3">
      <c r="A21" s="856" t="s">
        <v>4272</v>
      </c>
      <c r="B21" s="855"/>
      <c r="C21" s="855"/>
      <c r="D21" s="855"/>
      <c r="E21" s="855"/>
      <c r="F21" s="855"/>
      <c r="G21" s="855"/>
      <c r="H21" s="855"/>
      <c r="I21" s="855"/>
      <c r="J21" s="855"/>
      <c r="K21" s="855"/>
      <c r="L21" s="855"/>
      <c r="M21" s="855"/>
      <c r="N21" s="855"/>
      <c r="O21" s="854" t="s">
        <v>6630</v>
      </c>
      <c r="P21" s="854"/>
      <c r="Q21" s="854"/>
      <c r="R21" s="854"/>
      <c r="S21" s="854"/>
      <c r="T21" s="854"/>
      <c r="U21" s="854"/>
      <c r="V21" s="854"/>
      <c r="W21" s="854"/>
      <c r="X21" s="854"/>
      <c r="Y21" s="854"/>
      <c r="Z21" s="854"/>
      <c r="AA21" s="854"/>
      <c r="AB21" s="854"/>
      <c r="AC21" s="854"/>
      <c r="AD21" s="854"/>
      <c r="AE21" s="854"/>
      <c r="AF21" s="854"/>
      <c r="AG21" s="580"/>
    </row>
    <row r="22" spans="1:33" ht="30" customHeight="1" x14ac:dyDescent="0.3">
      <c r="A22" s="854" t="s">
        <v>3762</v>
      </c>
      <c r="B22" s="854"/>
      <c r="C22" s="854"/>
      <c r="D22" s="854"/>
      <c r="E22" s="854"/>
      <c r="F22" s="854"/>
      <c r="G22" s="854"/>
      <c r="H22" s="854"/>
      <c r="I22" s="854"/>
      <c r="J22" s="854"/>
      <c r="K22" s="854"/>
      <c r="L22" s="854"/>
      <c r="M22" s="854"/>
      <c r="N22" s="854"/>
      <c r="O22" s="854" t="s">
        <v>6631</v>
      </c>
      <c r="P22" s="854"/>
      <c r="Q22" s="854"/>
      <c r="R22" s="854"/>
      <c r="S22" s="854"/>
      <c r="T22" s="854"/>
      <c r="U22" s="854"/>
      <c r="V22" s="854"/>
      <c r="W22" s="854"/>
      <c r="X22" s="854"/>
      <c r="Y22" s="854"/>
      <c r="Z22" s="854"/>
      <c r="AA22" s="854"/>
      <c r="AB22" s="854"/>
      <c r="AC22" s="854"/>
      <c r="AD22" s="854"/>
      <c r="AE22" s="854"/>
      <c r="AF22" s="854"/>
      <c r="AG22" s="580"/>
    </row>
    <row r="23" spans="1:33" ht="30" customHeight="1" x14ac:dyDescent="0.3">
      <c r="A23" s="854" t="s">
        <v>1149</v>
      </c>
      <c r="B23" s="854"/>
      <c r="C23" s="854"/>
      <c r="D23" s="854"/>
      <c r="E23" s="854"/>
      <c r="F23" s="854"/>
      <c r="G23" s="854"/>
      <c r="H23" s="854"/>
      <c r="I23" s="854"/>
      <c r="J23" s="854"/>
      <c r="K23" s="854"/>
      <c r="L23" s="854"/>
      <c r="M23" s="854"/>
      <c r="N23" s="854"/>
      <c r="O23" s="854" t="s">
        <v>6636</v>
      </c>
      <c r="P23" s="854"/>
      <c r="Q23" s="854"/>
      <c r="R23" s="854"/>
      <c r="S23" s="854"/>
      <c r="T23" s="854"/>
      <c r="U23" s="854"/>
      <c r="V23" s="854"/>
      <c r="W23" s="854"/>
      <c r="X23" s="854"/>
      <c r="Y23" s="854"/>
      <c r="Z23" s="854"/>
      <c r="AA23" s="854"/>
      <c r="AB23" s="854"/>
      <c r="AC23" s="854"/>
      <c r="AD23" s="854"/>
      <c r="AE23" s="854"/>
      <c r="AF23" s="854"/>
      <c r="AG23" s="580"/>
    </row>
    <row r="24" spans="1:33" ht="30" customHeight="1" x14ac:dyDescent="0.3">
      <c r="A24" s="854" t="s">
        <v>5904</v>
      </c>
      <c r="B24" s="854"/>
      <c r="C24" s="854"/>
      <c r="D24" s="854"/>
      <c r="E24" s="854"/>
      <c r="F24" s="854"/>
      <c r="G24" s="854"/>
      <c r="H24" s="854"/>
      <c r="I24" s="854"/>
      <c r="J24" s="854"/>
      <c r="K24" s="854"/>
      <c r="L24" s="854"/>
      <c r="M24" s="854"/>
      <c r="N24" s="854"/>
      <c r="O24" s="854" t="s">
        <v>6632</v>
      </c>
      <c r="P24" s="854"/>
      <c r="Q24" s="854"/>
      <c r="R24" s="854"/>
      <c r="S24" s="854"/>
      <c r="T24" s="854"/>
      <c r="U24" s="854"/>
      <c r="V24" s="854"/>
      <c r="W24" s="854"/>
      <c r="X24" s="854"/>
      <c r="Y24" s="854"/>
      <c r="Z24" s="854"/>
      <c r="AA24" s="854"/>
      <c r="AB24" s="854"/>
      <c r="AC24" s="854"/>
      <c r="AD24" s="854"/>
      <c r="AE24" s="854"/>
      <c r="AF24" s="854"/>
      <c r="AG24" s="580"/>
    </row>
    <row r="25" spans="1:33" ht="30" customHeight="1" x14ac:dyDescent="0.3">
      <c r="A25" s="854" t="s">
        <v>1095</v>
      </c>
      <c r="B25" s="854"/>
      <c r="C25" s="854"/>
      <c r="D25" s="854"/>
      <c r="E25" s="854"/>
      <c r="F25" s="854"/>
      <c r="G25" s="854"/>
      <c r="H25" s="854"/>
      <c r="I25" s="854"/>
      <c r="J25" s="854"/>
      <c r="K25" s="854"/>
      <c r="L25" s="854"/>
      <c r="M25" s="854"/>
      <c r="N25" s="854"/>
      <c r="O25" s="854" t="s">
        <v>6633</v>
      </c>
      <c r="P25" s="854"/>
      <c r="Q25" s="854"/>
      <c r="R25" s="854"/>
      <c r="S25" s="854"/>
      <c r="T25" s="854"/>
      <c r="U25" s="854"/>
      <c r="V25" s="854"/>
      <c r="W25" s="854"/>
      <c r="X25" s="854"/>
      <c r="Y25" s="854"/>
      <c r="Z25" s="854"/>
      <c r="AA25" s="854"/>
      <c r="AB25" s="854"/>
      <c r="AC25" s="854"/>
      <c r="AD25" s="854"/>
      <c r="AE25" s="854"/>
      <c r="AF25" s="854"/>
      <c r="AG25" s="580"/>
    </row>
    <row r="26" spans="1:33" ht="30" customHeight="1" x14ac:dyDescent="0.3">
      <c r="A26" s="854" t="s">
        <v>6638</v>
      </c>
      <c r="B26" s="854"/>
      <c r="C26" s="854"/>
      <c r="D26" s="854"/>
      <c r="E26" s="854"/>
      <c r="F26" s="854"/>
      <c r="G26" s="854"/>
      <c r="H26" s="854"/>
      <c r="I26" s="854"/>
      <c r="J26" s="854"/>
      <c r="K26" s="854"/>
      <c r="L26" s="854"/>
      <c r="M26" s="854"/>
      <c r="N26" s="854"/>
      <c r="O26" s="854" t="s">
        <v>6637</v>
      </c>
      <c r="P26" s="854"/>
      <c r="Q26" s="854"/>
      <c r="R26" s="854"/>
      <c r="S26" s="854"/>
      <c r="T26" s="854"/>
      <c r="U26" s="854"/>
      <c r="V26" s="854"/>
      <c r="W26" s="854"/>
      <c r="X26" s="854"/>
      <c r="Y26" s="854"/>
      <c r="Z26" s="854"/>
      <c r="AA26" s="854"/>
      <c r="AB26" s="854"/>
      <c r="AC26" s="854"/>
      <c r="AD26" s="854"/>
      <c r="AE26" s="854"/>
      <c r="AF26" s="854"/>
      <c r="AG26" s="580"/>
    </row>
    <row r="27" spans="1:33" ht="30" customHeight="1" x14ac:dyDescent="0.3">
      <c r="A27" s="854" t="s">
        <v>6639</v>
      </c>
      <c r="B27" s="854"/>
      <c r="C27" s="854"/>
      <c r="D27" s="854"/>
      <c r="E27" s="854"/>
      <c r="F27" s="854"/>
      <c r="G27" s="854"/>
      <c r="H27" s="854"/>
      <c r="I27" s="854"/>
      <c r="J27" s="854"/>
      <c r="K27" s="854"/>
      <c r="L27" s="854"/>
      <c r="M27" s="854"/>
      <c r="N27" s="854"/>
      <c r="O27" s="854" t="s">
        <v>6637</v>
      </c>
      <c r="P27" s="854"/>
      <c r="Q27" s="854"/>
      <c r="R27" s="854"/>
      <c r="S27" s="854"/>
      <c r="T27" s="854"/>
      <c r="U27" s="854"/>
      <c r="V27" s="854"/>
      <c r="W27" s="854"/>
      <c r="X27" s="854"/>
      <c r="Y27" s="854"/>
      <c r="Z27" s="854"/>
      <c r="AA27" s="854"/>
      <c r="AB27" s="854"/>
      <c r="AC27" s="854"/>
      <c r="AD27" s="854"/>
      <c r="AE27" s="854"/>
      <c r="AF27" s="854"/>
      <c r="AG27" s="580"/>
    </row>
    <row r="28" spans="1:33" ht="45" customHeight="1" x14ac:dyDescent="0.3">
      <c r="A28" s="854" t="s">
        <v>3696</v>
      </c>
      <c r="B28" s="854"/>
      <c r="C28" s="854"/>
      <c r="D28" s="854"/>
      <c r="E28" s="854"/>
      <c r="F28" s="854"/>
      <c r="G28" s="854"/>
      <c r="H28" s="854"/>
      <c r="I28" s="854"/>
      <c r="J28" s="854"/>
      <c r="K28" s="854"/>
      <c r="L28" s="854"/>
      <c r="M28" s="854"/>
      <c r="N28" s="854"/>
      <c r="O28" s="854" t="s">
        <v>6634</v>
      </c>
      <c r="P28" s="854"/>
      <c r="Q28" s="854"/>
      <c r="R28" s="854"/>
      <c r="S28" s="854"/>
      <c r="T28" s="854"/>
      <c r="U28" s="854"/>
      <c r="V28" s="854"/>
      <c r="W28" s="854"/>
      <c r="X28" s="854"/>
      <c r="Y28" s="854"/>
      <c r="Z28" s="854"/>
      <c r="AA28" s="854"/>
      <c r="AB28" s="854"/>
      <c r="AC28" s="854"/>
      <c r="AD28" s="854"/>
      <c r="AE28" s="854"/>
      <c r="AF28" s="854"/>
      <c r="AG28" s="580"/>
    </row>
    <row r="29" spans="1:33" ht="45" customHeight="1" x14ac:dyDescent="0.3">
      <c r="A29" s="854" t="s">
        <v>4185</v>
      </c>
      <c r="B29" s="854"/>
      <c r="C29" s="854"/>
      <c r="D29" s="854"/>
      <c r="E29" s="854"/>
      <c r="F29" s="854"/>
      <c r="G29" s="854"/>
      <c r="H29" s="854"/>
      <c r="I29" s="854"/>
      <c r="J29" s="854"/>
      <c r="K29" s="854"/>
      <c r="L29" s="854"/>
      <c r="M29" s="854"/>
      <c r="N29" s="854"/>
      <c r="O29" s="854" t="s">
        <v>6635</v>
      </c>
      <c r="P29" s="854"/>
      <c r="Q29" s="854"/>
      <c r="R29" s="854"/>
      <c r="S29" s="854"/>
      <c r="T29" s="854"/>
      <c r="U29" s="854"/>
      <c r="V29" s="854"/>
      <c r="W29" s="854"/>
      <c r="X29" s="854"/>
      <c r="Y29" s="854"/>
      <c r="Z29" s="854"/>
      <c r="AA29" s="854"/>
      <c r="AB29" s="854"/>
      <c r="AC29" s="854"/>
      <c r="AD29" s="854"/>
      <c r="AE29" s="854"/>
      <c r="AF29" s="854"/>
      <c r="AG29" s="580"/>
    </row>
    <row r="30" spans="1:33" ht="45" customHeight="1" x14ac:dyDescent="0.3">
      <c r="A30" s="854" t="s">
        <v>5873</v>
      </c>
      <c r="B30" s="854"/>
      <c r="C30" s="854"/>
      <c r="D30" s="854"/>
      <c r="E30" s="854"/>
      <c r="F30" s="854"/>
      <c r="G30" s="854"/>
      <c r="H30" s="854"/>
      <c r="I30" s="854"/>
      <c r="J30" s="854"/>
      <c r="K30" s="854"/>
      <c r="L30" s="854"/>
      <c r="M30" s="854"/>
      <c r="N30" s="854"/>
      <c r="O30" s="854" t="s">
        <v>6635</v>
      </c>
      <c r="P30" s="854"/>
      <c r="Q30" s="854"/>
      <c r="R30" s="854"/>
      <c r="S30" s="854"/>
      <c r="T30" s="854"/>
      <c r="U30" s="854"/>
      <c r="V30" s="854"/>
      <c r="W30" s="854"/>
      <c r="X30" s="854"/>
      <c r="Y30" s="854"/>
      <c r="Z30" s="854"/>
      <c r="AA30" s="854"/>
      <c r="AB30" s="854"/>
      <c r="AC30" s="854"/>
      <c r="AD30" s="854"/>
      <c r="AE30" s="854"/>
      <c r="AF30" s="854"/>
      <c r="AG30" s="580"/>
    </row>
    <row r="31" spans="1:33" ht="30" customHeight="1" x14ac:dyDescent="0.3">
      <c r="A31" s="854" t="s">
        <v>6640</v>
      </c>
      <c r="B31" s="854"/>
      <c r="C31" s="854"/>
      <c r="D31" s="854"/>
      <c r="E31" s="854"/>
      <c r="F31" s="854"/>
      <c r="G31" s="854"/>
      <c r="H31" s="854"/>
      <c r="I31" s="854"/>
      <c r="J31" s="854"/>
      <c r="K31" s="854"/>
      <c r="L31" s="854"/>
      <c r="M31" s="854"/>
      <c r="N31" s="854"/>
      <c r="O31" s="854" t="s">
        <v>6637</v>
      </c>
      <c r="P31" s="854"/>
      <c r="Q31" s="854"/>
      <c r="R31" s="854"/>
      <c r="S31" s="854"/>
      <c r="T31" s="854"/>
      <c r="U31" s="854"/>
      <c r="V31" s="854"/>
      <c r="W31" s="854"/>
      <c r="X31" s="854"/>
      <c r="Y31" s="854"/>
      <c r="Z31" s="854"/>
      <c r="AA31" s="854"/>
      <c r="AB31" s="854"/>
      <c r="AC31" s="854"/>
      <c r="AD31" s="854"/>
      <c r="AE31" s="854"/>
      <c r="AF31" s="854"/>
    </row>
    <row r="32" spans="1:33" ht="30" customHeight="1" x14ac:dyDescent="0.3">
      <c r="O32" s="131"/>
    </row>
    <row r="33" spans="15:15" ht="30" customHeight="1" x14ac:dyDescent="0.3">
      <c r="O33" s="131"/>
    </row>
    <row r="34" spans="15:15" ht="30" customHeight="1" x14ac:dyDescent="0.3">
      <c r="O34" s="131"/>
    </row>
    <row r="35" spans="15:15" ht="30" customHeight="1" x14ac:dyDescent="0.3">
      <c r="O35" s="131"/>
    </row>
    <row r="36" spans="15:15" ht="30" customHeight="1" x14ac:dyDescent="0.3">
      <c r="O36" s="131"/>
    </row>
    <row r="37" spans="15:15" ht="15" customHeight="1" x14ac:dyDescent="0.3">
      <c r="O37" s="131"/>
    </row>
    <row r="38" spans="15:15" ht="15" customHeight="1" x14ac:dyDescent="0.3">
      <c r="O38" s="131"/>
    </row>
    <row r="39" spans="15:15" ht="15" customHeight="1" x14ac:dyDescent="0.3">
      <c r="O39" s="131"/>
    </row>
    <row r="40" spans="15:15" ht="15" customHeight="1" x14ac:dyDescent="0.3">
      <c r="O40" s="131"/>
    </row>
    <row r="41" spans="15:15" ht="15" customHeight="1" x14ac:dyDescent="0.3">
      <c r="O41" s="131"/>
    </row>
    <row r="42" spans="15:15" ht="15" customHeight="1" x14ac:dyDescent="0.3">
      <c r="O42" s="131"/>
    </row>
    <row r="43" spans="15:15" ht="15" customHeight="1" x14ac:dyDescent="0.3">
      <c r="O43" s="131"/>
    </row>
    <row r="44" spans="15:15" ht="15" customHeight="1" x14ac:dyDescent="0.3">
      <c r="O44" s="131"/>
    </row>
    <row r="45" spans="15:15" ht="15" customHeight="1" x14ac:dyDescent="0.3">
      <c r="O45" s="131"/>
    </row>
    <row r="46" spans="15:15" ht="15" customHeight="1" x14ac:dyDescent="0.3">
      <c r="O46" s="131"/>
    </row>
    <row r="47" spans="15:15" ht="15" customHeight="1" x14ac:dyDescent="0.3">
      <c r="O47" s="131"/>
    </row>
    <row r="48" spans="15:15" ht="15" customHeight="1" x14ac:dyDescent="0.3">
      <c r="O48" s="131"/>
    </row>
    <row r="49" spans="15:15" ht="15" customHeight="1" x14ac:dyDescent="0.3">
      <c r="O49" s="131"/>
    </row>
    <row r="50" spans="15:15" ht="15" customHeight="1" x14ac:dyDescent="0.3">
      <c r="O50" s="131"/>
    </row>
    <row r="51" spans="15:15" ht="15" customHeight="1" x14ac:dyDescent="0.3">
      <c r="O51" s="131"/>
    </row>
  </sheetData>
  <sheetProtection algorithmName="SHA-512" hashValue="R/Sm1pnr9//c1te4r0KLk4uIEBlv7dCC6i6BWgk6ScJEwJanQ6U22kUNd1mvdbBgCoVmHMVnBFJk3qEqMyaWJg==" saltValue="W8ZPHzDfwtawytX0ubMaKQ==" spinCount="100000" sheet="1" objects="1" scenarios="1"/>
  <mergeCells count="53">
    <mergeCell ref="A29:N29"/>
    <mergeCell ref="O29:AF29"/>
    <mergeCell ref="A19:N19"/>
    <mergeCell ref="O19:AF19"/>
    <mergeCell ref="A21:N21"/>
    <mergeCell ref="O21:AF21"/>
    <mergeCell ref="A31:N31"/>
    <mergeCell ref="O31:AF31"/>
    <mergeCell ref="A23:N23"/>
    <mergeCell ref="O23:AF23"/>
    <mergeCell ref="A26:N26"/>
    <mergeCell ref="O26:AF26"/>
    <mergeCell ref="A27:N27"/>
    <mergeCell ref="O27:AF27"/>
    <mergeCell ref="A25:N25"/>
    <mergeCell ref="O25:AF25"/>
    <mergeCell ref="A24:N24"/>
    <mergeCell ref="O24:AF24"/>
    <mergeCell ref="A30:N30"/>
    <mergeCell ref="O30:AF30"/>
    <mergeCell ref="A28:N28"/>
    <mergeCell ref="O28:AF28"/>
    <mergeCell ref="A11:N11"/>
    <mergeCell ref="O11:AF11"/>
    <mergeCell ref="O12:AF12"/>
    <mergeCell ref="A13:N13"/>
    <mergeCell ref="O13:AF13"/>
    <mergeCell ref="A12:N12"/>
    <mergeCell ref="A1:AF1"/>
    <mergeCell ref="O6:AF6"/>
    <mergeCell ref="A8:N8"/>
    <mergeCell ref="O8:AF8"/>
    <mergeCell ref="A6:N6"/>
    <mergeCell ref="A9:N9"/>
    <mergeCell ref="O9:AF9"/>
    <mergeCell ref="A10:N10"/>
    <mergeCell ref="O10:AF10"/>
    <mergeCell ref="A7:N7"/>
    <mergeCell ref="O7:AF7"/>
    <mergeCell ref="A14:N14"/>
    <mergeCell ref="O14:AF14"/>
    <mergeCell ref="A15:N15"/>
    <mergeCell ref="O15:AF15"/>
    <mergeCell ref="A22:N22"/>
    <mergeCell ref="O22:AF22"/>
    <mergeCell ref="A16:N16"/>
    <mergeCell ref="O16:AF16"/>
    <mergeCell ref="A17:N17"/>
    <mergeCell ref="O17:AF17"/>
    <mergeCell ref="A20:N20"/>
    <mergeCell ref="O20:AF20"/>
    <mergeCell ref="A18:N18"/>
    <mergeCell ref="O18:AF18"/>
  </mergeCells>
  <hyperlinks>
    <hyperlink ref="A2" location="TOC!A1" display="Return to TOC" xr:uid="{00000000-0004-0000-0300-000000000000}"/>
    <hyperlink ref="S4" location="'Issues Log'!A1" display="Issues Log" xr:uid="{00000000-0004-0000-03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9">
    <tabColor theme="9" tint="0.79998168889431442"/>
    <pageSetUpPr autoPageBreaks="0"/>
  </sheetPr>
  <dimension ref="A1:AU484"/>
  <sheetViews>
    <sheetView zoomScaleNormal="100" workbookViewId="0">
      <selection activeCell="A2" sqref="A2"/>
    </sheetView>
  </sheetViews>
  <sheetFormatPr defaultColWidth="2.6640625" defaultRowHeight="14.4" x14ac:dyDescent="0.3"/>
  <cols>
    <col min="1" max="16384" width="2.6640625" style="1"/>
  </cols>
  <sheetData>
    <row r="1" spans="1:32" ht="15" customHeight="1" x14ac:dyDescent="0.3">
      <c r="A1" s="1806" t="s">
        <v>882</v>
      </c>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row>
    <row r="2" spans="1:32"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36.5" customHeight="1" x14ac:dyDescent="0.3">
      <c r="A5" s="121"/>
      <c r="B5" s="889" t="s">
        <v>5638</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1:32" ht="15" customHeight="1" x14ac:dyDescent="0.3">
      <c r="A6" s="371"/>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ht="15" customHeigh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ht="15" customHeight="1"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121"/>
      <c r="AC8" s="121"/>
      <c r="AD8" s="121"/>
      <c r="AE8" s="121"/>
      <c r="AF8" s="121"/>
    </row>
    <row r="9" spans="1:32" ht="15" customHeight="1" x14ac:dyDescent="0.3">
      <c r="A9" s="121"/>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s="4" customFormat="1" ht="123.75" customHeight="1" x14ac:dyDescent="0.3">
      <c r="A10" s="122"/>
      <c r="B10" s="889" t="s">
        <v>3711</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ht="15" customHeight="1" x14ac:dyDescent="0.3">
      <c r="A11" s="122"/>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35.25" customHeight="1" x14ac:dyDescent="0.3">
      <c r="A12" s="122"/>
      <c r="B12" s="889" t="s">
        <v>3699</v>
      </c>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row>
    <row r="13" spans="1:32" x14ac:dyDescent="0.3">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row>
    <row r="14" spans="1:32" ht="15" customHeight="1" x14ac:dyDescent="0.3">
      <c r="A14" s="121"/>
      <c r="B14" s="267" t="s">
        <v>4</v>
      </c>
      <c r="C14" s="267"/>
      <c r="D14" s="267"/>
      <c r="E14" s="267"/>
      <c r="F14" s="267"/>
      <c r="G14" s="267"/>
      <c r="H14" s="267"/>
      <c r="I14" s="267"/>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ht="32.25" customHeight="1" x14ac:dyDescent="0.3">
      <c r="A15" s="122"/>
      <c r="B15" s="884" t="s">
        <v>3700</v>
      </c>
      <c r="C15" s="884"/>
      <c r="D15" s="884"/>
      <c r="E15" s="884"/>
      <c r="F15" s="884"/>
      <c r="G15" s="884"/>
      <c r="H15" s="884"/>
      <c r="I15" s="884"/>
      <c r="J15" s="884"/>
      <c r="K15" s="884"/>
      <c r="L15" s="884"/>
      <c r="M15" s="884"/>
      <c r="N15" s="884"/>
      <c r="O15" s="884"/>
      <c r="P15" s="884"/>
      <c r="Q15" s="884"/>
      <c r="R15" s="884"/>
      <c r="S15" s="884"/>
      <c r="T15" s="884"/>
      <c r="U15" s="884"/>
      <c r="V15" s="884"/>
      <c r="W15" s="884"/>
      <c r="X15" s="884"/>
      <c r="Y15" s="884"/>
      <c r="Z15" s="884"/>
      <c r="AA15" s="884"/>
      <c r="AB15" s="884"/>
      <c r="AC15" s="884"/>
      <c r="AD15" s="884"/>
      <c r="AE15" s="884"/>
      <c r="AF15" s="884"/>
    </row>
    <row r="16" spans="1:32" ht="15" customHeight="1" x14ac:dyDescent="0.3">
      <c r="A16" s="122"/>
      <c r="B16" s="508"/>
      <c r="C16" s="508"/>
      <c r="D16" s="508"/>
      <c r="E16" s="508"/>
      <c r="F16" s="508"/>
      <c r="G16" s="508"/>
      <c r="H16" s="508"/>
      <c r="I16" s="508"/>
      <c r="J16" s="508"/>
      <c r="K16" s="508"/>
      <c r="L16" s="508"/>
      <c r="M16" s="508"/>
      <c r="N16" s="508"/>
      <c r="O16" s="508"/>
      <c r="P16" s="508"/>
      <c r="Q16" s="508"/>
      <c r="R16" s="508"/>
      <c r="S16" s="508"/>
      <c r="T16" s="508"/>
      <c r="U16" s="508"/>
      <c r="V16" s="508"/>
      <c r="W16" s="508"/>
      <c r="X16" s="508"/>
      <c r="Y16" s="508"/>
      <c r="Z16" s="508"/>
      <c r="AA16" s="508"/>
      <c r="AB16" s="508"/>
      <c r="AC16" s="508"/>
      <c r="AD16" s="508"/>
      <c r="AE16" s="508"/>
      <c r="AF16" s="508"/>
    </row>
    <row r="17" spans="1:32" ht="15" customHeight="1" x14ac:dyDescent="0.3">
      <c r="A17" s="121"/>
      <c r="B17" s="884" t="s">
        <v>3701</v>
      </c>
      <c r="C17" s="884"/>
      <c r="D17" s="884"/>
      <c r="E17" s="884"/>
      <c r="F17" s="884"/>
      <c r="G17" s="884"/>
      <c r="H17" s="884"/>
      <c r="I17" s="884"/>
      <c r="J17" s="884"/>
      <c r="K17" s="884"/>
      <c r="L17" s="884"/>
      <c r="M17" s="884"/>
      <c r="N17" s="884"/>
      <c r="O17" s="884"/>
      <c r="P17" s="884"/>
      <c r="Q17" s="884"/>
      <c r="R17" s="884"/>
      <c r="S17" s="884"/>
      <c r="T17" s="884"/>
      <c r="U17" s="884"/>
      <c r="V17" s="884"/>
      <c r="W17" s="884"/>
      <c r="X17" s="884"/>
      <c r="Y17" s="884"/>
      <c r="Z17" s="884"/>
      <c r="AA17" s="884"/>
      <c r="AB17" s="884"/>
      <c r="AC17" s="884"/>
      <c r="AD17" s="884"/>
      <c r="AE17" s="884"/>
      <c r="AF17" s="884"/>
    </row>
    <row r="18" spans="1:32" ht="15" customHeight="1" x14ac:dyDescent="0.3">
      <c r="A18" s="121"/>
      <c r="B18" s="370" t="s">
        <v>803</v>
      </c>
      <c r="C18" s="884" t="s">
        <v>3702</v>
      </c>
      <c r="D18" s="884"/>
      <c r="E18" s="884"/>
      <c r="F18" s="884"/>
      <c r="G18" s="884"/>
      <c r="H18" s="884"/>
      <c r="I18" s="884"/>
      <c r="J18" s="884"/>
      <c r="K18" s="884"/>
      <c r="L18" s="884"/>
      <c r="M18" s="884"/>
      <c r="N18" s="884"/>
      <c r="O18" s="884"/>
      <c r="P18" s="884"/>
      <c r="Q18" s="884"/>
      <c r="R18" s="884"/>
      <c r="S18" s="884"/>
      <c r="T18" s="884"/>
      <c r="U18" s="884"/>
      <c r="V18" s="884"/>
      <c r="W18" s="884"/>
      <c r="X18" s="884"/>
      <c r="Y18" s="884"/>
      <c r="Z18" s="884"/>
      <c r="AA18" s="884"/>
      <c r="AB18" s="884"/>
      <c r="AC18" s="884"/>
      <c r="AD18" s="884"/>
      <c r="AE18" s="884"/>
      <c r="AF18" s="884"/>
    </row>
    <row r="19" spans="1:32" x14ac:dyDescent="0.3">
      <c r="A19" s="121"/>
      <c r="B19" s="370" t="s">
        <v>803</v>
      </c>
      <c r="C19" s="884" t="s">
        <v>3703</v>
      </c>
      <c r="D19" s="884"/>
      <c r="E19" s="884"/>
      <c r="F19" s="884"/>
      <c r="G19" s="884"/>
      <c r="H19" s="884"/>
      <c r="I19" s="884"/>
      <c r="J19" s="884"/>
      <c r="K19" s="884"/>
      <c r="L19" s="884"/>
      <c r="M19" s="884"/>
      <c r="N19" s="884"/>
      <c r="O19" s="884"/>
      <c r="P19" s="884"/>
      <c r="Q19" s="884"/>
      <c r="R19" s="884"/>
      <c r="S19" s="884"/>
      <c r="T19" s="884"/>
      <c r="U19" s="884"/>
      <c r="V19" s="884"/>
      <c r="W19" s="884"/>
      <c r="X19" s="884"/>
      <c r="Y19" s="884"/>
      <c r="Z19" s="884"/>
      <c r="AA19" s="884"/>
      <c r="AB19" s="884"/>
      <c r="AC19" s="884"/>
      <c r="AD19" s="884"/>
      <c r="AE19" s="884"/>
      <c r="AF19" s="884"/>
    </row>
    <row r="20" spans="1:32" ht="15" customHeight="1" x14ac:dyDescent="0.3">
      <c r="A20" s="121"/>
      <c r="B20" s="370" t="s">
        <v>803</v>
      </c>
      <c r="C20" s="884" t="s">
        <v>3704</v>
      </c>
      <c r="D20" s="884"/>
      <c r="E20" s="884"/>
      <c r="F20" s="884"/>
      <c r="G20" s="884"/>
      <c r="H20" s="884"/>
      <c r="I20" s="884"/>
      <c r="J20" s="884"/>
      <c r="K20" s="884"/>
      <c r="L20" s="884"/>
      <c r="M20" s="884"/>
      <c r="N20" s="884"/>
      <c r="O20" s="884"/>
      <c r="P20" s="884"/>
      <c r="Q20" s="884"/>
      <c r="R20" s="884"/>
      <c r="S20" s="884"/>
      <c r="T20" s="884"/>
      <c r="U20" s="884"/>
      <c r="V20" s="884"/>
      <c r="W20" s="884"/>
      <c r="X20" s="884"/>
      <c r="Y20" s="884"/>
      <c r="Z20" s="884"/>
      <c r="AA20" s="884"/>
      <c r="AB20" s="884"/>
      <c r="AC20" s="884"/>
      <c r="AD20" s="884"/>
      <c r="AE20" s="884"/>
      <c r="AF20" s="884"/>
    </row>
    <row r="21" spans="1:32" ht="15" customHeight="1" x14ac:dyDescent="0.3">
      <c r="A21" s="121"/>
      <c r="B21" s="370" t="s">
        <v>803</v>
      </c>
      <c r="C21" s="884" t="s">
        <v>3705</v>
      </c>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row>
    <row r="22" spans="1:32" x14ac:dyDescent="0.3">
      <c r="A22" s="121"/>
      <c r="B22" s="370" t="s">
        <v>803</v>
      </c>
      <c r="C22" s="884" t="s">
        <v>3706</v>
      </c>
      <c r="D22" s="884"/>
      <c r="E22" s="884"/>
      <c r="F22" s="884"/>
      <c r="G22" s="884"/>
      <c r="H22" s="884"/>
      <c r="I22" s="884"/>
      <c r="J22" s="884"/>
      <c r="K22" s="884"/>
      <c r="L22" s="884"/>
      <c r="M22" s="884"/>
      <c r="N22" s="884"/>
      <c r="O22" s="884"/>
      <c r="P22" s="884"/>
      <c r="Q22" s="884"/>
      <c r="R22" s="884"/>
      <c r="S22" s="884"/>
      <c r="T22" s="884"/>
      <c r="U22" s="884"/>
      <c r="V22" s="884"/>
      <c r="W22" s="884"/>
      <c r="X22" s="884"/>
      <c r="Y22" s="884"/>
      <c r="Z22" s="884"/>
      <c r="AA22" s="884"/>
      <c r="AB22" s="884"/>
      <c r="AC22" s="884"/>
      <c r="AD22" s="884"/>
      <c r="AE22" s="884"/>
      <c r="AF22" s="884"/>
    </row>
    <row r="23" spans="1:32" ht="15" customHeight="1" x14ac:dyDescent="0.3">
      <c r="A23" s="121"/>
      <c r="B23" s="508"/>
      <c r="C23" s="508"/>
      <c r="D23" s="508"/>
      <c r="E23" s="508"/>
      <c r="F23" s="508"/>
      <c r="G23" s="508"/>
      <c r="H23" s="508"/>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8"/>
    </row>
    <row r="24" spans="1:32" ht="15" customHeight="1" x14ac:dyDescent="0.3">
      <c r="A24" s="121"/>
      <c r="B24" s="267" t="s">
        <v>5</v>
      </c>
      <c r="C24" s="267"/>
      <c r="D24" s="267"/>
      <c r="E24" s="267"/>
      <c r="F24" s="267"/>
      <c r="G24" s="267"/>
      <c r="H24" s="267"/>
      <c r="I24" s="267"/>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2" ht="15" customHeight="1" x14ac:dyDescent="0.3">
      <c r="A25" s="121"/>
      <c r="B25" s="1807" t="s">
        <v>2718</v>
      </c>
      <c r="C25" s="1807"/>
      <c r="D25" s="1807"/>
      <c r="E25" s="1807"/>
      <c r="F25" s="1807"/>
      <c r="G25" s="1807"/>
      <c r="H25" s="1807"/>
      <c r="I25" s="1807"/>
      <c r="J25" s="1807"/>
      <c r="K25" s="1807"/>
      <c r="L25" s="1807"/>
      <c r="M25" s="1807"/>
      <c r="N25" s="1807"/>
      <c r="O25" s="1807"/>
      <c r="P25" s="1807"/>
      <c r="Q25" s="1807"/>
      <c r="R25" s="1807"/>
      <c r="S25" s="1807"/>
      <c r="T25" s="1807"/>
      <c r="U25" s="1807"/>
      <c r="V25" s="1807"/>
      <c r="W25" s="1807"/>
      <c r="X25" s="1807"/>
      <c r="Y25" s="1807"/>
      <c r="Z25" s="1807"/>
      <c r="AA25" s="1807"/>
      <c r="AB25" s="1807"/>
      <c r="AC25" s="1807"/>
      <c r="AD25" s="1807"/>
      <c r="AE25" s="1807"/>
      <c r="AF25" s="1807"/>
    </row>
    <row r="26" spans="1:32" ht="15"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ht="15" customHeight="1" x14ac:dyDescent="0.3">
      <c r="A27" s="121"/>
      <c r="B27" s="267" t="s">
        <v>6</v>
      </c>
      <c r="C27" s="267"/>
      <c r="D27" s="267"/>
      <c r="E27" s="267"/>
      <c r="F27" s="267"/>
      <c r="G27" s="267"/>
      <c r="H27" s="267"/>
      <c r="I27" s="267"/>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ht="51.75" customHeight="1" x14ac:dyDescent="0.3">
      <c r="A28" s="122"/>
      <c r="B28" s="889" t="s">
        <v>5639</v>
      </c>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row>
    <row r="29" spans="1:32" ht="15" customHeight="1" x14ac:dyDescent="0.3">
      <c r="A29" s="122"/>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row>
    <row r="30" spans="1:32" ht="51.75" customHeight="1" x14ac:dyDescent="0.3">
      <c r="A30" s="122"/>
      <c r="B30" s="889" t="s">
        <v>3707</v>
      </c>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89"/>
    </row>
    <row r="31" spans="1:32" ht="15" customHeight="1" x14ac:dyDescent="0.3">
      <c r="A31" s="122"/>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row>
    <row r="32" spans="1:32" ht="94.5" customHeight="1" x14ac:dyDescent="0.3">
      <c r="A32" s="122"/>
      <c r="B32" s="889" t="s">
        <v>3708</v>
      </c>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row>
    <row r="33" spans="1:38" ht="15" customHeight="1" x14ac:dyDescent="0.3">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8" ht="15" customHeight="1" x14ac:dyDescent="0.3">
      <c r="A34" s="121"/>
      <c r="B34" s="267" t="s">
        <v>13</v>
      </c>
      <c r="C34" s="267"/>
      <c r="D34" s="267"/>
      <c r="E34" s="267"/>
      <c r="F34" s="267"/>
      <c r="G34" s="267"/>
      <c r="H34" s="267"/>
      <c r="I34" s="267"/>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8" ht="61.5" customHeight="1" x14ac:dyDescent="0.3">
      <c r="A35" s="121"/>
      <c r="B35" s="1373" t="s">
        <v>5230</v>
      </c>
      <c r="C35" s="1373"/>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1373"/>
    </row>
    <row r="36" spans="1:38" customFormat="1" x14ac:dyDescent="0.3">
      <c r="A36" s="122"/>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L36" s="709"/>
    </row>
    <row r="37" spans="1:38" customFormat="1" ht="49.5" customHeight="1" x14ac:dyDescent="0.3">
      <c r="A37" s="122"/>
      <c r="B37" s="884" t="s">
        <v>5640</v>
      </c>
      <c r="C37" s="884"/>
      <c r="D37" s="884"/>
      <c r="E37" s="884"/>
      <c r="F37" s="884"/>
      <c r="G37" s="884"/>
      <c r="H37" s="884"/>
      <c r="I37" s="884"/>
      <c r="J37" s="884"/>
      <c r="K37" s="884"/>
      <c r="L37" s="884"/>
      <c r="M37" s="884"/>
      <c r="N37" s="884"/>
      <c r="O37" s="884"/>
      <c r="P37" s="884"/>
      <c r="Q37" s="884"/>
      <c r="R37" s="884"/>
      <c r="S37" s="884"/>
      <c r="T37" s="884"/>
      <c r="U37" s="884"/>
      <c r="V37" s="884"/>
      <c r="W37" s="884"/>
      <c r="X37" s="884"/>
      <c r="Y37" s="884"/>
      <c r="Z37" s="884"/>
      <c r="AA37" s="884"/>
      <c r="AB37" s="884"/>
      <c r="AC37" s="884"/>
      <c r="AD37" s="884"/>
      <c r="AE37" s="884"/>
      <c r="AF37" s="884"/>
      <c r="AL37" s="709"/>
    </row>
    <row r="38" spans="1:38" customFormat="1" x14ac:dyDescent="0.3">
      <c r="A38" s="121"/>
      <c r="B38" s="712"/>
      <c r="C38" s="712"/>
      <c r="D38" s="712"/>
      <c r="E38" s="712"/>
      <c r="F38" s="712"/>
      <c r="G38" s="712"/>
      <c r="H38" s="712"/>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c r="AL38" s="709"/>
    </row>
    <row r="39" spans="1:38" customFormat="1" ht="48.75" customHeight="1" x14ac:dyDescent="0.3">
      <c r="A39" s="121"/>
      <c r="B39" s="884" t="s">
        <v>5641</v>
      </c>
      <c r="C39" s="884"/>
      <c r="D39" s="884"/>
      <c r="E39" s="884"/>
      <c r="F39" s="884"/>
      <c r="G39" s="884"/>
      <c r="H39" s="884"/>
      <c r="I39" s="884"/>
      <c r="J39" s="884"/>
      <c r="K39" s="884"/>
      <c r="L39" s="884"/>
      <c r="M39" s="884"/>
      <c r="N39" s="884"/>
      <c r="O39" s="884"/>
      <c r="P39" s="884"/>
      <c r="Q39" s="884"/>
      <c r="R39" s="884"/>
      <c r="S39" s="884"/>
      <c r="T39" s="884"/>
      <c r="U39" s="884"/>
      <c r="V39" s="884"/>
      <c r="W39" s="884"/>
      <c r="X39" s="884"/>
      <c r="Y39" s="884"/>
      <c r="Z39" s="884"/>
      <c r="AA39" s="884"/>
      <c r="AB39" s="884"/>
      <c r="AC39" s="884"/>
      <c r="AD39" s="884"/>
      <c r="AE39" s="884"/>
      <c r="AF39" s="884"/>
      <c r="AL39" s="709"/>
    </row>
    <row r="40" spans="1:38" customFormat="1" x14ac:dyDescent="0.3">
      <c r="A40" s="122"/>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508"/>
      <c r="Z40" s="508"/>
      <c r="AA40" s="508"/>
      <c r="AB40" s="508"/>
      <c r="AC40" s="508"/>
      <c r="AD40" s="508"/>
      <c r="AE40" s="508"/>
      <c r="AF40" s="508"/>
      <c r="AL40" s="709"/>
    </row>
    <row r="41" spans="1:38" customFormat="1" ht="139.5" customHeight="1" x14ac:dyDescent="0.3">
      <c r="A41" s="121"/>
      <c r="B41" s="1680" t="s">
        <v>5642</v>
      </c>
      <c r="C41" s="1680"/>
      <c r="D41" s="1680"/>
      <c r="E41" s="1680"/>
      <c r="F41" s="1680"/>
      <c r="G41" s="1680"/>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0"/>
      <c r="AF41" s="1680"/>
      <c r="AL41" s="709"/>
    </row>
    <row r="42" spans="1:38" ht="15" customHeight="1"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row>
    <row r="43" spans="1:38" ht="15" customHeight="1" x14ac:dyDescent="0.3">
      <c r="A43" s="1804" t="s">
        <v>7</v>
      </c>
      <c r="B43" s="1805"/>
      <c r="C43" s="1805"/>
      <c r="D43" s="1805"/>
      <c r="E43" s="1805"/>
      <c r="F43" s="1805"/>
      <c r="G43" s="1805"/>
      <c r="H43" s="1805"/>
      <c r="I43" s="1805"/>
      <c r="J43" s="1805"/>
      <c r="K43" s="1805"/>
      <c r="L43" s="1805"/>
      <c r="M43" s="1805"/>
      <c r="N43" s="1805"/>
      <c r="O43" s="1805"/>
      <c r="P43" s="1805"/>
      <c r="Q43" s="1805"/>
      <c r="R43" s="1805"/>
      <c r="S43" s="1805"/>
      <c r="T43" s="1805"/>
      <c r="U43" s="1805"/>
      <c r="V43" s="1805"/>
      <c r="W43" s="1805"/>
      <c r="X43" s="1805"/>
      <c r="Y43" s="1805"/>
      <c r="Z43" s="1805"/>
      <c r="AA43" s="1805"/>
      <c r="AB43" s="1805"/>
      <c r="AC43" s="1805"/>
      <c r="AD43" s="1805"/>
      <c r="AE43" s="1805"/>
      <c r="AF43" s="1805"/>
    </row>
    <row r="44" spans="1:38" ht="15" customHeight="1" x14ac:dyDescent="0.3">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8" ht="15" customHeight="1" x14ac:dyDescent="0.3">
      <c r="A45" s="121"/>
      <c r="B45" s="372" t="s">
        <v>2137</v>
      </c>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row>
    <row r="46" spans="1:38" ht="15" customHeight="1" x14ac:dyDescent="0.3">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row>
    <row r="47" spans="1:38" x14ac:dyDescent="0.3">
      <c r="A47" s="1694"/>
      <c r="B47" s="1694"/>
      <c r="C47" s="1694"/>
      <c r="D47" s="1694"/>
      <c r="E47" s="1694"/>
      <c r="F47" s="1694"/>
      <c r="G47" s="1694"/>
      <c r="H47" s="1694"/>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t="s">
        <v>1463</v>
      </c>
    </row>
    <row r="48" spans="1:38" x14ac:dyDescent="0.3">
      <c r="A48" s="60"/>
      <c r="B48" s="60"/>
      <c r="C48" s="60"/>
      <c r="D48" s="60"/>
      <c r="E48" s="60"/>
      <c r="F48" s="60"/>
      <c r="G48" s="60"/>
      <c r="H48" s="60"/>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row>
    <row r="49" spans="1:47" x14ac:dyDescent="0.3">
      <c r="A49" s="60"/>
      <c r="B49" s="372" t="s">
        <v>2027</v>
      </c>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row>
    <row r="50" spans="1:47" x14ac:dyDescent="0.3">
      <c r="A50" s="60"/>
      <c r="B50" s="60"/>
      <c r="C50" s="60"/>
      <c r="D50" s="60"/>
      <c r="E50" s="60"/>
      <c r="F50" s="60"/>
      <c r="G50" s="60"/>
      <c r="H50" s="60"/>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row>
    <row r="51" spans="1:47" x14ac:dyDescent="0.3">
      <c r="A51" s="1694"/>
      <c r="B51" s="1694"/>
      <c r="C51" s="1694"/>
      <c r="D51" s="1694"/>
      <c r="E51" s="1694"/>
      <c r="F51" s="1694"/>
      <c r="G51" s="1694"/>
      <c r="H51" s="1694"/>
      <c r="I51" s="63"/>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t="s">
        <v>1464</v>
      </c>
    </row>
    <row r="52" spans="1:47" x14ac:dyDescent="0.3">
      <c r="A52" s="60"/>
      <c r="B52" s="60"/>
      <c r="C52" s="60"/>
      <c r="D52" s="60"/>
      <c r="E52" s="59" t="s">
        <v>2719</v>
      </c>
      <c r="F52" s="121"/>
      <c r="G52" s="60"/>
      <c r="H52" s="60"/>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M52" s="355"/>
      <c r="AN52" s="355"/>
      <c r="AO52" s="355"/>
      <c r="AP52" s="355"/>
      <c r="AQ52" s="355"/>
      <c r="AR52" s="355"/>
      <c r="AS52" s="355"/>
      <c r="AT52" s="355"/>
      <c r="AU52" s="355"/>
    </row>
    <row r="53" spans="1:47" x14ac:dyDescent="0.3">
      <c r="A53" s="60"/>
      <c r="B53" s="60"/>
      <c r="C53" s="60"/>
      <c r="D53" s="60"/>
      <c r="E53" s="60"/>
      <c r="F53" s="59"/>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M53" s="355"/>
      <c r="AN53" s="355"/>
      <c r="AO53" s="355"/>
      <c r="AP53" s="355"/>
      <c r="AQ53" s="355"/>
      <c r="AR53" s="355"/>
      <c r="AS53" s="355"/>
      <c r="AT53" s="355"/>
      <c r="AU53" s="355"/>
    </row>
    <row r="54" spans="1:47" x14ac:dyDescent="0.3">
      <c r="A54" s="60"/>
      <c r="B54" s="372" t="s">
        <v>1811</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row>
    <row r="55" spans="1:47" ht="15" customHeight="1" x14ac:dyDescent="0.3">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row>
    <row r="56" spans="1:47" ht="15" customHeight="1" x14ac:dyDescent="0.3">
      <c r="A56" s="1694"/>
      <c r="B56" s="1694"/>
      <c r="C56" s="1694"/>
      <c r="D56" s="1694"/>
      <c r="E56" s="1694"/>
      <c r="F56" s="1694"/>
      <c r="G56" s="1694"/>
      <c r="H56" s="1694"/>
      <c r="I56" s="272"/>
      <c r="J56" s="63"/>
      <c r="K56" s="63"/>
      <c r="L56" s="63"/>
      <c r="M56" s="63"/>
      <c r="N56" s="63"/>
      <c r="O56" s="63"/>
      <c r="P56" s="63"/>
      <c r="Q56" s="63"/>
      <c r="R56" s="63"/>
      <c r="S56" s="63"/>
      <c r="T56" s="63"/>
      <c r="U56" s="63"/>
      <c r="V56" s="63"/>
      <c r="W56" s="63"/>
      <c r="X56" s="63"/>
      <c r="Y56" s="63"/>
      <c r="Z56" s="63"/>
      <c r="AA56" s="63"/>
      <c r="AB56" s="63"/>
      <c r="AC56" s="63"/>
      <c r="AD56" s="63"/>
      <c r="AE56" s="63"/>
      <c r="AF56" s="272" t="s">
        <v>1465</v>
      </c>
    </row>
    <row r="57" spans="1:47" s="4" customFormat="1" ht="15" customHeight="1" x14ac:dyDescent="0.3">
      <c r="A57" s="582"/>
      <c r="B57" s="581"/>
      <c r="C57" s="581"/>
      <c r="D57" s="581"/>
      <c r="E57" s="581"/>
      <c r="F57" s="581"/>
      <c r="G57" s="581"/>
      <c r="H57" s="581"/>
      <c r="I57" s="121"/>
      <c r="J57" s="121"/>
      <c r="K57" s="121"/>
      <c r="L57" s="64"/>
      <c r="M57" s="121"/>
      <c r="N57" s="121"/>
      <c r="O57" s="121"/>
      <c r="P57" s="121"/>
      <c r="Q57" s="121"/>
      <c r="R57" s="121"/>
      <c r="S57" s="121"/>
      <c r="T57" s="121"/>
      <c r="U57" s="121"/>
      <c r="V57" s="121"/>
      <c r="W57" s="121"/>
      <c r="X57" s="121"/>
      <c r="Y57" s="121"/>
      <c r="Z57" s="121"/>
      <c r="AA57" s="121"/>
      <c r="AB57" s="121"/>
      <c r="AC57" s="121"/>
      <c r="AD57" s="121"/>
      <c r="AE57" s="121"/>
      <c r="AF57" s="121"/>
    </row>
    <row r="58" spans="1:47" ht="15" customHeight="1" x14ac:dyDescent="0.3">
      <c r="A58" s="1290" t="s">
        <v>8</v>
      </c>
      <c r="B58" s="1290"/>
      <c r="C58" s="1290"/>
      <c r="D58" s="1290"/>
      <c r="E58" s="1290"/>
      <c r="F58" s="1290"/>
      <c r="G58" s="1290"/>
      <c r="H58" s="1290"/>
      <c r="I58" s="1290"/>
      <c r="J58" s="1290"/>
      <c r="K58" s="1290"/>
      <c r="L58" s="1290"/>
      <c r="M58" s="1290"/>
      <c r="N58" s="1290"/>
      <c r="O58" s="1290"/>
      <c r="P58" s="1290"/>
      <c r="Q58" s="1290"/>
      <c r="R58" s="1290"/>
      <c r="S58" s="1290"/>
      <c r="T58" s="1290"/>
      <c r="U58" s="1290"/>
      <c r="V58" s="1290"/>
      <c r="W58" s="1290"/>
      <c r="X58" s="1290"/>
      <c r="Y58" s="1290"/>
      <c r="Z58" s="1290"/>
      <c r="AA58" s="1290"/>
      <c r="AB58" s="1290"/>
      <c r="AC58" s="1290"/>
      <c r="AD58" s="1290"/>
      <c r="AE58" s="1290"/>
      <c r="AF58" s="1290"/>
    </row>
    <row r="59" spans="1:47" ht="15" customHeight="1" x14ac:dyDescent="0.3">
      <c r="A59" s="1366" t="s">
        <v>9</v>
      </c>
      <c r="B59" s="1367"/>
      <c r="C59" s="1367"/>
      <c r="D59" s="1368"/>
      <c r="E59" s="1366" t="s">
        <v>3</v>
      </c>
      <c r="F59" s="1367"/>
      <c r="G59" s="1367"/>
      <c r="H59" s="1367"/>
      <c r="I59" s="1367"/>
      <c r="J59" s="1367"/>
      <c r="K59" s="1367"/>
      <c r="L59" s="1367"/>
      <c r="M59" s="1367"/>
      <c r="N59" s="1367"/>
      <c r="O59" s="1367"/>
      <c r="P59" s="1368"/>
      <c r="Q59" s="1366" t="s">
        <v>10</v>
      </c>
      <c r="R59" s="1367"/>
      <c r="S59" s="1367"/>
      <c r="T59" s="1368"/>
      <c r="U59" s="1366" t="s">
        <v>11</v>
      </c>
      <c r="V59" s="1367"/>
      <c r="W59" s="1368"/>
      <c r="X59" s="1366" t="s">
        <v>1466</v>
      </c>
      <c r="Y59" s="1367"/>
      <c r="Z59" s="1367"/>
      <c r="AA59" s="1367"/>
      <c r="AB59" s="1367"/>
      <c r="AC59" s="1367"/>
      <c r="AD59" s="1367"/>
      <c r="AE59" s="1367"/>
      <c r="AF59" s="1368"/>
    </row>
    <row r="60" spans="1:47" ht="44.25" customHeight="1" x14ac:dyDescent="0.3">
      <c r="A60" s="1349" t="s">
        <v>2720</v>
      </c>
      <c r="B60" s="1350"/>
      <c r="C60" s="1350"/>
      <c r="D60" s="1351"/>
      <c r="E60" s="1163" t="s">
        <v>4643</v>
      </c>
      <c r="F60" s="1164"/>
      <c r="G60" s="1164"/>
      <c r="H60" s="1164"/>
      <c r="I60" s="1164"/>
      <c r="J60" s="1164"/>
      <c r="K60" s="1164"/>
      <c r="L60" s="1164"/>
      <c r="M60" s="1164"/>
      <c r="N60" s="1164"/>
      <c r="O60" s="1164"/>
      <c r="P60" s="1165"/>
      <c r="Q60" s="1166" t="s">
        <v>2721</v>
      </c>
      <c r="R60" s="1167"/>
      <c r="S60" s="1167"/>
      <c r="T60" s="1168"/>
      <c r="U60" s="1352" t="s">
        <v>2722</v>
      </c>
      <c r="V60" s="1353"/>
      <c r="W60" s="1354"/>
      <c r="X60" s="1207" t="s">
        <v>2723</v>
      </c>
      <c r="Y60" s="1208"/>
      <c r="Z60" s="1208"/>
      <c r="AA60" s="1208"/>
      <c r="AB60" s="1208"/>
      <c r="AC60" s="1208"/>
      <c r="AD60" s="1208"/>
      <c r="AE60" s="1208"/>
      <c r="AF60" s="1209"/>
    </row>
    <row r="61" spans="1:47" ht="81.599999999999994" customHeight="1" x14ac:dyDescent="0.3">
      <c r="A61" s="1349" t="s">
        <v>2741</v>
      </c>
      <c r="B61" s="1350"/>
      <c r="C61" s="1350"/>
      <c r="D61" s="1351"/>
      <c r="E61" s="1163" t="s">
        <v>2724</v>
      </c>
      <c r="F61" s="1164"/>
      <c r="G61" s="1164"/>
      <c r="H61" s="1164"/>
      <c r="I61" s="1164"/>
      <c r="J61" s="1164"/>
      <c r="K61" s="1164"/>
      <c r="L61" s="1164"/>
      <c r="M61" s="1164"/>
      <c r="N61" s="1164"/>
      <c r="O61" s="1164"/>
      <c r="P61" s="1165"/>
      <c r="Q61" s="1166" t="s">
        <v>516</v>
      </c>
      <c r="R61" s="1167"/>
      <c r="S61" s="1167"/>
      <c r="T61" s="1168"/>
      <c r="U61" s="1352" t="s">
        <v>2725</v>
      </c>
      <c r="V61" s="1353"/>
      <c r="W61" s="1354"/>
      <c r="X61" s="1207" t="s">
        <v>4534</v>
      </c>
      <c r="Y61" s="1208"/>
      <c r="Z61" s="1208"/>
      <c r="AA61" s="1208"/>
      <c r="AB61" s="1208"/>
      <c r="AC61" s="1208"/>
      <c r="AD61" s="1208"/>
      <c r="AE61" s="1208"/>
      <c r="AF61" s="1209"/>
    </row>
    <row r="62" spans="1:47" ht="106.5" customHeight="1" x14ac:dyDescent="0.3">
      <c r="A62" s="1349" t="s">
        <v>2742</v>
      </c>
      <c r="B62" s="1350"/>
      <c r="C62" s="1350"/>
      <c r="D62" s="1351"/>
      <c r="E62" s="1163" t="s">
        <v>2726</v>
      </c>
      <c r="F62" s="1164"/>
      <c r="G62" s="1164"/>
      <c r="H62" s="1164"/>
      <c r="I62" s="1164"/>
      <c r="J62" s="1164"/>
      <c r="K62" s="1164"/>
      <c r="L62" s="1164"/>
      <c r="M62" s="1164"/>
      <c r="N62" s="1164"/>
      <c r="O62" s="1164"/>
      <c r="P62" s="1165"/>
      <c r="Q62" s="1166" t="s">
        <v>156</v>
      </c>
      <c r="R62" s="1167"/>
      <c r="S62" s="1167"/>
      <c r="T62" s="1168"/>
      <c r="U62" s="1352" t="s">
        <v>2725</v>
      </c>
      <c r="V62" s="1353"/>
      <c r="W62" s="1354"/>
      <c r="X62" s="1207" t="s">
        <v>5231</v>
      </c>
      <c r="Y62" s="1208"/>
      <c r="Z62" s="1208"/>
      <c r="AA62" s="1208"/>
      <c r="AB62" s="1208"/>
      <c r="AC62" s="1208"/>
      <c r="AD62" s="1208"/>
      <c r="AE62" s="1208"/>
      <c r="AF62" s="1209"/>
    </row>
    <row r="63" spans="1:47" ht="75.900000000000006" customHeight="1" x14ac:dyDescent="0.3">
      <c r="A63" s="1163" t="s">
        <v>2743</v>
      </c>
      <c r="B63" s="1164"/>
      <c r="C63" s="1164"/>
      <c r="D63" s="1165"/>
      <c r="E63" s="1163" t="s">
        <v>2727</v>
      </c>
      <c r="F63" s="1164"/>
      <c r="G63" s="1164"/>
      <c r="H63" s="1164"/>
      <c r="I63" s="1164"/>
      <c r="J63" s="1164"/>
      <c r="K63" s="1164"/>
      <c r="L63" s="1164"/>
      <c r="M63" s="1164"/>
      <c r="N63" s="1164"/>
      <c r="O63" s="1164"/>
      <c r="P63" s="1165"/>
      <c r="Q63" s="1166" t="s">
        <v>516</v>
      </c>
      <c r="R63" s="1167"/>
      <c r="S63" s="1167"/>
      <c r="T63" s="1168"/>
      <c r="U63" s="1352" t="s">
        <v>2725</v>
      </c>
      <c r="V63" s="1353"/>
      <c r="W63" s="1354"/>
      <c r="X63" s="1207" t="s">
        <v>4534</v>
      </c>
      <c r="Y63" s="1208"/>
      <c r="Z63" s="1208"/>
      <c r="AA63" s="1208"/>
      <c r="AB63" s="1208"/>
      <c r="AC63" s="1208"/>
      <c r="AD63" s="1208"/>
      <c r="AE63" s="1208"/>
      <c r="AF63" s="1209"/>
    </row>
    <row r="64" spans="1:47" ht="69" customHeight="1" x14ac:dyDescent="0.3">
      <c r="A64" s="1163" t="s">
        <v>2744</v>
      </c>
      <c r="B64" s="1164"/>
      <c r="C64" s="1164"/>
      <c r="D64" s="1165"/>
      <c r="E64" s="1163" t="s">
        <v>2728</v>
      </c>
      <c r="F64" s="1164"/>
      <c r="G64" s="1164"/>
      <c r="H64" s="1164"/>
      <c r="I64" s="1164"/>
      <c r="J64" s="1164"/>
      <c r="K64" s="1164"/>
      <c r="L64" s="1164"/>
      <c r="M64" s="1164"/>
      <c r="N64" s="1164"/>
      <c r="O64" s="1164"/>
      <c r="P64" s="1165"/>
      <c r="Q64" s="1166" t="s">
        <v>156</v>
      </c>
      <c r="R64" s="1167"/>
      <c r="S64" s="1167"/>
      <c r="T64" s="1168"/>
      <c r="U64" s="1352" t="s">
        <v>2725</v>
      </c>
      <c r="V64" s="1353"/>
      <c r="W64" s="1354"/>
      <c r="X64" s="1207" t="s">
        <v>4535</v>
      </c>
      <c r="Y64" s="1208"/>
      <c r="Z64" s="1208"/>
      <c r="AA64" s="1208"/>
      <c r="AB64" s="1208"/>
      <c r="AC64" s="1208"/>
      <c r="AD64" s="1208"/>
      <c r="AE64" s="1208"/>
      <c r="AF64" s="1209"/>
    </row>
    <row r="65" spans="1:32" ht="61.5" customHeight="1" x14ac:dyDescent="0.3">
      <c r="A65" s="1349" t="s">
        <v>235</v>
      </c>
      <c r="B65" s="1350"/>
      <c r="C65" s="1350"/>
      <c r="D65" s="1351"/>
      <c r="E65" s="1163" t="s">
        <v>918</v>
      </c>
      <c r="F65" s="1164"/>
      <c r="G65" s="1164"/>
      <c r="H65" s="1164"/>
      <c r="I65" s="1164"/>
      <c r="J65" s="1164"/>
      <c r="K65" s="1164"/>
      <c r="L65" s="1164"/>
      <c r="M65" s="1164"/>
      <c r="N65" s="1164"/>
      <c r="O65" s="1164"/>
      <c r="P65" s="1165"/>
      <c r="Q65" s="1166" t="s">
        <v>864</v>
      </c>
      <c r="R65" s="1167"/>
      <c r="S65" s="1167"/>
      <c r="T65" s="1168"/>
      <c r="U65" s="1352" t="s">
        <v>37</v>
      </c>
      <c r="V65" s="1353"/>
      <c r="W65" s="1354"/>
      <c r="X65" s="1207" t="s">
        <v>2806</v>
      </c>
      <c r="Y65" s="1208"/>
      <c r="Z65" s="1208"/>
      <c r="AA65" s="1208"/>
      <c r="AB65" s="1208"/>
      <c r="AC65" s="1208"/>
      <c r="AD65" s="1208"/>
      <c r="AE65" s="1208"/>
      <c r="AF65" s="1209"/>
    </row>
    <row r="66" spans="1:32" s="8" customFormat="1" ht="77.25" customHeight="1" x14ac:dyDescent="0.3">
      <c r="A66" s="1349" t="s">
        <v>21</v>
      </c>
      <c r="B66" s="1350"/>
      <c r="C66" s="1350"/>
      <c r="D66" s="1351"/>
      <c r="E66" s="1163" t="s">
        <v>96</v>
      </c>
      <c r="F66" s="1164"/>
      <c r="G66" s="1164"/>
      <c r="H66" s="1164"/>
      <c r="I66" s="1164"/>
      <c r="J66" s="1164"/>
      <c r="K66" s="1164"/>
      <c r="L66" s="1164"/>
      <c r="M66" s="1164"/>
      <c r="N66" s="1164"/>
      <c r="O66" s="1164"/>
      <c r="P66" s="1165"/>
      <c r="Q66" s="1166" t="s">
        <v>864</v>
      </c>
      <c r="R66" s="1167"/>
      <c r="S66" s="1167"/>
      <c r="T66" s="1168"/>
      <c r="U66" s="1365" t="s">
        <v>20</v>
      </c>
      <c r="V66" s="1353"/>
      <c r="W66" s="1354"/>
      <c r="X66" s="1207" t="s">
        <v>2805</v>
      </c>
      <c r="Y66" s="1208"/>
      <c r="Z66" s="1208"/>
      <c r="AA66" s="1208"/>
      <c r="AB66" s="1208"/>
      <c r="AC66" s="1208"/>
      <c r="AD66" s="1208"/>
      <c r="AE66" s="1208"/>
      <c r="AF66" s="1209"/>
    </row>
    <row r="67" spans="1:32" s="8" customFormat="1" ht="44.25" customHeight="1" x14ac:dyDescent="0.3">
      <c r="A67" s="1349" t="s">
        <v>2562</v>
      </c>
      <c r="B67" s="1350"/>
      <c r="C67" s="1350"/>
      <c r="D67" s="1351"/>
      <c r="E67" s="1163" t="s">
        <v>2050</v>
      </c>
      <c r="F67" s="1164"/>
      <c r="G67" s="1164"/>
      <c r="H67" s="1164"/>
      <c r="I67" s="1164"/>
      <c r="J67" s="1164"/>
      <c r="K67" s="1164"/>
      <c r="L67" s="1164"/>
      <c r="M67" s="1164"/>
      <c r="N67" s="1164"/>
      <c r="O67" s="1164"/>
      <c r="P67" s="1165"/>
      <c r="Q67" s="1166">
        <f>'Master EUL'!X81</f>
        <v>20</v>
      </c>
      <c r="R67" s="1167"/>
      <c r="S67" s="1167"/>
      <c r="T67" s="1168"/>
      <c r="U67" s="1352" t="s">
        <v>28</v>
      </c>
      <c r="V67" s="1353"/>
      <c r="W67" s="1354"/>
      <c r="X67" s="1207" t="s">
        <v>1518</v>
      </c>
      <c r="Y67" s="1208"/>
      <c r="Z67" s="1208"/>
      <c r="AA67" s="1208"/>
      <c r="AB67" s="1208"/>
      <c r="AC67" s="1208"/>
      <c r="AD67" s="1208"/>
      <c r="AE67" s="1208"/>
      <c r="AF67" s="1209"/>
    </row>
    <row r="68" spans="1:32" s="8" customFormat="1" x14ac:dyDescent="0.3">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row>
    <row r="69" spans="1:32" s="8" customFormat="1" ht="15" customHeight="1" x14ac:dyDescent="0.3">
      <c r="A69" s="57" t="s">
        <v>2745</v>
      </c>
      <c r="B69" s="57"/>
      <c r="C69" s="57"/>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row>
    <row r="70" spans="1:32" s="8" customFormat="1" x14ac:dyDescent="0.3">
      <c r="A70" s="1493" t="s">
        <v>2729</v>
      </c>
      <c r="B70" s="1493"/>
      <c r="C70" s="1493"/>
      <c r="D70" s="1493"/>
      <c r="E70" s="1493"/>
      <c r="F70" s="1493"/>
      <c r="G70" s="1493"/>
      <c r="H70" s="1493" t="s">
        <v>2730</v>
      </c>
      <c r="I70" s="1493"/>
      <c r="J70" s="1493"/>
      <c r="K70" s="1493"/>
      <c r="L70" s="1493"/>
      <c r="M70" s="1493"/>
      <c r="N70" s="1493"/>
      <c r="O70" s="1493"/>
      <c r="P70" s="1493"/>
      <c r="Q70" s="1493"/>
      <c r="R70" s="1493"/>
      <c r="S70" s="1493"/>
      <c r="T70" s="1493"/>
      <c r="U70" s="1493" t="s">
        <v>2731</v>
      </c>
      <c r="V70" s="1493"/>
      <c r="W70" s="1493"/>
      <c r="X70" s="1493"/>
      <c r="Y70" s="1493"/>
      <c r="Z70" s="1493"/>
      <c r="AA70" s="1493"/>
      <c r="AB70" s="1493"/>
      <c r="AC70" s="1493" t="s">
        <v>2732</v>
      </c>
      <c r="AD70" s="1493"/>
      <c r="AE70" s="1493"/>
      <c r="AF70" s="1493"/>
    </row>
    <row r="71" spans="1:32" s="8" customFormat="1" x14ac:dyDescent="0.3">
      <c r="A71" s="1493"/>
      <c r="B71" s="1493"/>
      <c r="C71" s="1493"/>
      <c r="D71" s="1493"/>
      <c r="E71" s="1493"/>
      <c r="F71" s="1493"/>
      <c r="G71" s="1493"/>
      <c r="H71" s="1493"/>
      <c r="I71" s="1493"/>
      <c r="J71" s="1493"/>
      <c r="K71" s="1493"/>
      <c r="L71" s="1493"/>
      <c r="M71" s="1493"/>
      <c r="N71" s="1493"/>
      <c r="O71" s="1493"/>
      <c r="P71" s="1493"/>
      <c r="Q71" s="1493"/>
      <c r="R71" s="1493"/>
      <c r="S71" s="1493"/>
      <c r="T71" s="1493"/>
      <c r="U71" s="1493" t="s">
        <v>798</v>
      </c>
      <c r="V71" s="1493"/>
      <c r="W71" s="1493" t="s">
        <v>798</v>
      </c>
      <c r="X71" s="1493"/>
      <c r="Y71" s="1493" t="s">
        <v>2733</v>
      </c>
      <c r="Z71" s="1493"/>
      <c r="AA71" s="1493" t="s">
        <v>2733</v>
      </c>
      <c r="AB71" s="1493"/>
      <c r="AC71" s="1493" t="s">
        <v>285</v>
      </c>
      <c r="AD71" s="1493"/>
      <c r="AE71" s="1493"/>
      <c r="AF71" s="1493"/>
    </row>
    <row r="72" spans="1:32" s="8" customFormat="1" ht="15" customHeight="1" x14ac:dyDescent="0.3">
      <c r="A72" s="1547" t="s">
        <v>2734</v>
      </c>
      <c r="B72" s="1547"/>
      <c r="C72" s="1547"/>
      <c r="D72" s="1547"/>
      <c r="E72" s="1547"/>
      <c r="F72" s="1547"/>
      <c r="G72" s="1547"/>
      <c r="H72" s="1547" t="s">
        <v>2735</v>
      </c>
      <c r="I72" s="1547"/>
      <c r="J72" s="1547"/>
      <c r="K72" s="1547"/>
      <c r="L72" s="1547"/>
      <c r="M72" s="1547"/>
      <c r="N72" s="1547"/>
      <c r="O72" s="1547"/>
      <c r="P72" s="1547"/>
      <c r="Q72" s="1547"/>
      <c r="R72" s="1547"/>
      <c r="S72" s="1547"/>
      <c r="T72" s="1547"/>
      <c r="U72" s="1808">
        <v>14</v>
      </c>
      <c r="V72" s="1808"/>
      <c r="W72" s="1808">
        <v>13</v>
      </c>
      <c r="X72" s="1808"/>
      <c r="Y72" s="1809" t="s">
        <v>2736</v>
      </c>
      <c r="Z72" s="1808"/>
      <c r="AA72" s="1808"/>
      <c r="AB72" s="1808"/>
      <c r="AC72" s="1810" t="s">
        <v>4536</v>
      </c>
      <c r="AD72" s="1811"/>
      <c r="AE72" s="1811"/>
      <c r="AF72" s="1811"/>
    </row>
    <row r="73" spans="1:32" s="8" customFormat="1" ht="15" customHeight="1" x14ac:dyDescent="0.3">
      <c r="A73" s="1547" t="s">
        <v>2737</v>
      </c>
      <c r="B73" s="1547"/>
      <c r="C73" s="1547"/>
      <c r="D73" s="1547"/>
      <c r="E73" s="1547"/>
      <c r="F73" s="1547"/>
      <c r="G73" s="1547"/>
      <c r="H73" s="1547" t="s">
        <v>2735</v>
      </c>
      <c r="I73" s="1547"/>
      <c r="J73" s="1547"/>
      <c r="K73" s="1547"/>
      <c r="L73" s="1547"/>
      <c r="M73" s="1547"/>
      <c r="N73" s="1547"/>
      <c r="O73" s="1547"/>
      <c r="P73" s="1547"/>
      <c r="Q73" s="1547"/>
      <c r="R73" s="1547"/>
      <c r="S73" s="1547"/>
      <c r="T73" s="1547"/>
      <c r="U73" s="1808">
        <v>14</v>
      </c>
      <c r="V73" s="1808"/>
      <c r="W73" s="1808">
        <v>14</v>
      </c>
      <c r="X73" s="1808"/>
      <c r="Y73" s="1809" t="s">
        <v>2736</v>
      </c>
      <c r="Z73" s="1808"/>
      <c r="AA73" s="1808"/>
      <c r="AB73" s="1808"/>
      <c r="AC73" s="1810" t="s">
        <v>4536</v>
      </c>
      <c r="AD73" s="1811"/>
      <c r="AE73" s="1811"/>
      <c r="AF73" s="1811"/>
    </row>
    <row r="74" spans="1:32" s="8" customFormat="1" ht="15" customHeight="1" x14ac:dyDescent="0.3">
      <c r="A74" s="1547" t="s">
        <v>2738</v>
      </c>
      <c r="B74" s="1547"/>
      <c r="C74" s="1547"/>
      <c r="D74" s="1547"/>
      <c r="E74" s="1547"/>
      <c r="F74" s="1547"/>
      <c r="G74" s="1547"/>
      <c r="H74" s="1547" t="s">
        <v>2746</v>
      </c>
      <c r="I74" s="1547"/>
      <c r="J74" s="1547"/>
      <c r="K74" s="1547"/>
      <c r="L74" s="1547"/>
      <c r="M74" s="1547"/>
      <c r="N74" s="1547"/>
      <c r="O74" s="1547"/>
      <c r="P74" s="1547"/>
      <c r="Q74" s="1547"/>
      <c r="R74" s="1547"/>
      <c r="S74" s="1547"/>
      <c r="T74" s="1547"/>
      <c r="U74" s="1809" t="s">
        <v>2736</v>
      </c>
      <c r="V74" s="1808"/>
      <c r="W74" s="1808"/>
      <c r="X74" s="1808"/>
      <c r="Y74" s="1808">
        <v>12.9</v>
      </c>
      <c r="Z74" s="1808"/>
      <c r="AA74" s="1808">
        <v>12.9</v>
      </c>
      <c r="AB74" s="1808"/>
      <c r="AC74" s="1808">
        <v>11.2</v>
      </c>
      <c r="AD74" s="1808"/>
      <c r="AE74" s="1808"/>
      <c r="AF74" s="1808"/>
    </row>
    <row r="75" spans="1:32" s="8" customFormat="1" x14ac:dyDescent="0.3">
      <c r="A75" s="1547" t="s">
        <v>2738</v>
      </c>
      <c r="B75" s="1547"/>
      <c r="C75" s="1547"/>
      <c r="D75" s="1547"/>
      <c r="E75" s="1547"/>
      <c r="F75" s="1547"/>
      <c r="G75" s="1547"/>
      <c r="H75" s="1547" t="s">
        <v>2747</v>
      </c>
      <c r="I75" s="1547"/>
      <c r="J75" s="1547"/>
      <c r="K75" s="1547"/>
      <c r="L75" s="1547"/>
      <c r="M75" s="1547"/>
      <c r="N75" s="1547"/>
      <c r="O75" s="1547"/>
      <c r="P75" s="1547"/>
      <c r="Q75" s="1547"/>
      <c r="R75" s="1547"/>
      <c r="S75" s="1547"/>
      <c r="T75" s="1547"/>
      <c r="U75" s="1809" t="s">
        <v>2736</v>
      </c>
      <c r="V75" s="1808"/>
      <c r="W75" s="1808"/>
      <c r="X75" s="1808"/>
      <c r="Y75" s="1808">
        <v>12.4</v>
      </c>
      <c r="Z75" s="1808"/>
      <c r="AA75" s="1808">
        <v>12.4</v>
      </c>
      <c r="AB75" s="1808"/>
      <c r="AC75" s="1808">
        <v>11</v>
      </c>
      <c r="AD75" s="1808"/>
      <c r="AE75" s="1808"/>
      <c r="AF75" s="1808"/>
    </row>
    <row r="76" spans="1:32" s="8" customFormat="1" ht="15" customHeight="1" x14ac:dyDescent="0.3">
      <c r="A76" s="1547" t="s">
        <v>2738</v>
      </c>
      <c r="B76" s="1547"/>
      <c r="C76" s="1547"/>
      <c r="D76" s="1547"/>
      <c r="E76" s="1547"/>
      <c r="F76" s="1547"/>
      <c r="G76" s="1547"/>
      <c r="H76" s="1547" t="s">
        <v>2748</v>
      </c>
      <c r="I76" s="1547"/>
      <c r="J76" s="1547"/>
      <c r="K76" s="1547"/>
      <c r="L76" s="1547"/>
      <c r="M76" s="1547"/>
      <c r="N76" s="1547"/>
      <c r="O76" s="1547"/>
      <c r="P76" s="1547"/>
      <c r="Q76" s="1547"/>
      <c r="R76" s="1547"/>
      <c r="S76" s="1547"/>
      <c r="T76" s="1547"/>
      <c r="U76" s="1809" t="s">
        <v>2736</v>
      </c>
      <c r="V76" s="1808"/>
      <c r="W76" s="1808"/>
      <c r="X76" s="1808"/>
      <c r="Y76" s="1808">
        <v>11.6</v>
      </c>
      <c r="Z76" s="1808"/>
      <c r="AA76" s="1808">
        <v>11.6</v>
      </c>
      <c r="AB76" s="1808"/>
      <c r="AC76" s="1808">
        <v>10</v>
      </c>
      <c r="AD76" s="1808"/>
      <c r="AE76" s="1808"/>
      <c r="AF76" s="1808"/>
    </row>
    <row r="77" spans="1:32" s="8" customFormat="1" x14ac:dyDescent="0.3">
      <c r="A77" s="1547" t="s">
        <v>2739</v>
      </c>
      <c r="B77" s="1547"/>
      <c r="C77" s="1547"/>
      <c r="D77" s="1547"/>
      <c r="E77" s="1547"/>
      <c r="F77" s="1547"/>
      <c r="G77" s="1547"/>
      <c r="H77" s="1547" t="s">
        <v>2735</v>
      </c>
      <c r="I77" s="1547"/>
      <c r="J77" s="1547"/>
      <c r="K77" s="1547"/>
      <c r="L77" s="1547"/>
      <c r="M77" s="1547"/>
      <c r="N77" s="1547"/>
      <c r="O77" s="1547"/>
      <c r="P77" s="1547"/>
      <c r="Q77" s="1547"/>
      <c r="R77" s="1547"/>
      <c r="S77" s="1547"/>
      <c r="T77" s="1547"/>
      <c r="U77" s="1808">
        <v>14</v>
      </c>
      <c r="V77" s="1808"/>
      <c r="W77" s="1808">
        <v>14</v>
      </c>
      <c r="X77" s="1808"/>
      <c r="Y77" s="1809" t="s">
        <v>2736</v>
      </c>
      <c r="Z77" s="1808"/>
      <c r="AA77" s="1808"/>
      <c r="AB77" s="1808"/>
      <c r="AC77" s="1810" t="s">
        <v>4536</v>
      </c>
      <c r="AD77" s="1811"/>
      <c r="AE77" s="1811"/>
      <c r="AF77" s="1811"/>
    </row>
    <row r="78" spans="1:32" s="8" customFormat="1" ht="15" customHeight="1" x14ac:dyDescent="0.3">
      <c r="A78" s="1547" t="s">
        <v>2739</v>
      </c>
      <c r="B78" s="1547"/>
      <c r="C78" s="1547"/>
      <c r="D78" s="1547"/>
      <c r="E78" s="1547"/>
      <c r="F78" s="1547"/>
      <c r="G78" s="1547"/>
      <c r="H78" s="1547" t="s">
        <v>2746</v>
      </c>
      <c r="I78" s="1547"/>
      <c r="J78" s="1547"/>
      <c r="K78" s="1547"/>
      <c r="L78" s="1547"/>
      <c r="M78" s="1547"/>
      <c r="N78" s="1547"/>
      <c r="O78" s="1547"/>
      <c r="P78" s="1547"/>
      <c r="Q78" s="1547"/>
      <c r="R78" s="1547"/>
      <c r="S78" s="1547"/>
      <c r="T78" s="1547"/>
      <c r="U78" s="1809" t="s">
        <v>2736</v>
      </c>
      <c r="V78" s="1808"/>
      <c r="W78" s="1808"/>
      <c r="X78" s="1808"/>
      <c r="Y78" s="1808">
        <v>12.2</v>
      </c>
      <c r="Z78" s="1808"/>
      <c r="AA78" s="1808">
        <v>12.2</v>
      </c>
      <c r="AB78" s="1808"/>
      <c r="AC78" s="1808">
        <v>11</v>
      </c>
      <c r="AD78" s="1808"/>
      <c r="AE78" s="1808"/>
      <c r="AF78" s="1808"/>
    </row>
    <row r="79" spans="1:32" s="8" customFormat="1" ht="15" customHeight="1" x14ac:dyDescent="0.3">
      <c r="A79" s="1547" t="s">
        <v>2739</v>
      </c>
      <c r="B79" s="1547"/>
      <c r="C79" s="1547"/>
      <c r="D79" s="1547"/>
      <c r="E79" s="1547"/>
      <c r="F79" s="1547"/>
      <c r="G79" s="1547"/>
      <c r="H79" s="1547" t="s">
        <v>2747</v>
      </c>
      <c r="I79" s="1547"/>
      <c r="J79" s="1547"/>
      <c r="K79" s="1547"/>
      <c r="L79" s="1547"/>
      <c r="M79" s="1547"/>
      <c r="N79" s="1547"/>
      <c r="O79" s="1547"/>
      <c r="P79" s="1547"/>
      <c r="Q79" s="1547"/>
      <c r="R79" s="1547"/>
      <c r="S79" s="1547"/>
      <c r="T79" s="1547"/>
      <c r="U79" s="1809" t="s">
        <v>2736</v>
      </c>
      <c r="V79" s="1808"/>
      <c r="W79" s="1808"/>
      <c r="X79" s="1808"/>
      <c r="Y79" s="1808">
        <v>11.6</v>
      </c>
      <c r="Z79" s="1808"/>
      <c r="AA79" s="1808">
        <v>11.6</v>
      </c>
      <c r="AB79" s="1808"/>
      <c r="AC79" s="1808">
        <v>10.6</v>
      </c>
      <c r="AD79" s="1808"/>
      <c r="AE79" s="1808"/>
      <c r="AF79" s="1808"/>
    </row>
    <row r="80" spans="1:32" s="8" customFormat="1" ht="15" customHeight="1" x14ac:dyDescent="0.3">
      <c r="A80" s="1547" t="s">
        <v>2739</v>
      </c>
      <c r="B80" s="1547"/>
      <c r="C80" s="1547"/>
      <c r="D80" s="1547"/>
      <c r="E80" s="1547"/>
      <c r="F80" s="1547"/>
      <c r="G80" s="1547"/>
      <c r="H80" s="1547" t="s">
        <v>2749</v>
      </c>
      <c r="I80" s="1547"/>
      <c r="J80" s="1547"/>
      <c r="K80" s="1547"/>
      <c r="L80" s="1547"/>
      <c r="M80" s="1547"/>
      <c r="N80" s="1547"/>
      <c r="O80" s="1547"/>
      <c r="P80" s="1547"/>
      <c r="Q80" s="1547"/>
      <c r="R80" s="1547"/>
      <c r="S80" s="1547"/>
      <c r="T80" s="1547"/>
      <c r="U80" s="1809" t="s">
        <v>2736</v>
      </c>
      <c r="V80" s="1808"/>
      <c r="W80" s="1808"/>
      <c r="X80" s="1808"/>
      <c r="Y80" s="1808">
        <v>10.6</v>
      </c>
      <c r="Z80" s="1808"/>
      <c r="AA80" s="1808">
        <v>10.6</v>
      </c>
      <c r="AB80" s="1808"/>
      <c r="AC80" s="1808">
        <v>9.5</v>
      </c>
      <c r="AD80" s="1808"/>
      <c r="AE80" s="1808"/>
      <c r="AF80" s="1808"/>
    </row>
    <row r="81" spans="1:32" s="8" customFormat="1" ht="15" customHeight="1" x14ac:dyDescent="0.3">
      <c r="A81" s="1547" t="s">
        <v>3709</v>
      </c>
      <c r="B81" s="1547"/>
      <c r="C81" s="1547"/>
      <c r="D81" s="1547"/>
      <c r="E81" s="1547"/>
      <c r="F81" s="1547"/>
      <c r="G81" s="1547"/>
      <c r="H81" s="1547" t="s">
        <v>3710</v>
      </c>
      <c r="I81" s="1547"/>
      <c r="J81" s="1547"/>
      <c r="K81" s="1547"/>
      <c r="L81" s="1547"/>
      <c r="M81" s="1547"/>
      <c r="N81" s="1547"/>
      <c r="O81" s="1547"/>
      <c r="P81" s="1547"/>
      <c r="Q81" s="1547"/>
      <c r="R81" s="1547"/>
      <c r="S81" s="1547"/>
      <c r="T81" s="1547"/>
      <c r="U81" s="1810" t="s">
        <v>3712</v>
      </c>
      <c r="V81" s="1811"/>
      <c r="W81" s="1811"/>
      <c r="X81" s="1811"/>
      <c r="Y81" s="1809" t="s">
        <v>2736</v>
      </c>
      <c r="Z81" s="1808"/>
      <c r="AA81" s="1808"/>
      <c r="AB81" s="1808"/>
      <c r="AC81" s="1808">
        <v>12.2</v>
      </c>
      <c r="AD81" s="1808"/>
      <c r="AE81" s="1808"/>
      <c r="AF81" s="1808"/>
    </row>
    <row r="82" spans="1:32" s="8" customFormat="1" ht="15" customHeight="1" x14ac:dyDescent="0.3">
      <c r="A82" s="1547" t="s">
        <v>3709</v>
      </c>
      <c r="B82" s="1547"/>
      <c r="C82" s="1547"/>
      <c r="D82" s="1547"/>
      <c r="E82" s="1547"/>
      <c r="F82" s="1547"/>
      <c r="G82" s="1547"/>
      <c r="H82" s="1547" t="s">
        <v>3713</v>
      </c>
      <c r="I82" s="1547"/>
      <c r="J82" s="1547"/>
      <c r="K82" s="1547"/>
      <c r="L82" s="1547"/>
      <c r="M82" s="1547"/>
      <c r="N82" s="1547"/>
      <c r="O82" s="1547"/>
      <c r="P82" s="1547"/>
      <c r="Q82" s="1547"/>
      <c r="R82" s="1547"/>
      <c r="S82" s="1547"/>
      <c r="T82" s="1547"/>
      <c r="U82" s="1810">
        <v>13</v>
      </c>
      <c r="V82" s="1811"/>
      <c r="W82" s="1811"/>
      <c r="X82" s="1811"/>
      <c r="Y82" s="1809" t="s">
        <v>2736</v>
      </c>
      <c r="Z82" s="1808"/>
      <c r="AA82" s="1808"/>
      <c r="AB82" s="1808"/>
      <c r="AC82" s="1808">
        <v>13</v>
      </c>
      <c r="AD82" s="1808"/>
      <c r="AE82" s="1808"/>
      <c r="AF82" s="1808"/>
    </row>
    <row r="83" spans="1:32" s="8" customFormat="1" ht="15" customHeight="1" x14ac:dyDescent="0.3">
      <c r="A83" s="1547" t="s">
        <v>3709</v>
      </c>
      <c r="B83" s="1547"/>
      <c r="C83" s="1547"/>
      <c r="D83" s="1547"/>
      <c r="E83" s="1547"/>
      <c r="F83" s="1547"/>
      <c r="G83" s="1547"/>
      <c r="H83" s="1547" t="s">
        <v>2746</v>
      </c>
      <c r="I83" s="1547"/>
      <c r="J83" s="1547"/>
      <c r="K83" s="1547"/>
      <c r="L83" s="1547"/>
      <c r="M83" s="1547"/>
      <c r="N83" s="1547"/>
      <c r="O83" s="1547"/>
      <c r="P83" s="1547"/>
      <c r="Q83" s="1547"/>
      <c r="R83" s="1547"/>
      <c r="S83" s="1547"/>
      <c r="T83" s="1547"/>
      <c r="U83" s="1809" t="s">
        <v>2736</v>
      </c>
      <c r="V83" s="1808"/>
      <c r="W83" s="1808"/>
      <c r="X83" s="1808"/>
      <c r="Y83" s="1810">
        <v>13</v>
      </c>
      <c r="Z83" s="1811"/>
      <c r="AA83" s="1811"/>
      <c r="AB83" s="1811"/>
      <c r="AC83" s="1808">
        <v>13</v>
      </c>
      <c r="AD83" s="1808"/>
      <c r="AE83" s="1808"/>
      <c r="AF83" s="1808"/>
    </row>
    <row r="84" spans="1:32" s="8" customFormat="1" ht="27" customHeight="1" x14ac:dyDescent="0.3">
      <c r="A84" s="1812" t="s">
        <v>3714</v>
      </c>
      <c r="B84" s="1812"/>
      <c r="C84" s="1812"/>
      <c r="D84" s="1812"/>
      <c r="E84" s="1812"/>
      <c r="F84" s="1812"/>
      <c r="G84" s="1812"/>
      <c r="H84" s="1812"/>
      <c r="I84" s="1812"/>
      <c r="J84" s="1812"/>
      <c r="K84" s="1812"/>
      <c r="L84" s="1812"/>
      <c r="M84" s="1812"/>
      <c r="N84" s="1812"/>
      <c r="O84" s="1812"/>
      <c r="P84" s="1812"/>
      <c r="Q84" s="1812"/>
      <c r="R84" s="1812"/>
      <c r="S84" s="1812"/>
      <c r="T84" s="1812"/>
      <c r="U84" s="1812"/>
      <c r="V84" s="1812"/>
      <c r="W84" s="1812"/>
      <c r="X84" s="1812"/>
      <c r="Y84" s="1812"/>
      <c r="Z84" s="1812"/>
      <c r="AA84" s="1812"/>
      <c r="AB84" s="1812"/>
      <c r="AC84" s="1812"/>
      <c r="AD84" s="1812"/>
      <c r="AE84" s="1812"/>
      <c r="AF84" s="1812"/>
    </row>
    <row r="85" spans="1:32" s="8" customFormat="1" ht="15" customHeight="1" x14ac:dyDescent="0.3">
      <c r="A85" s="583" t="s">
        <v>209</v>
      </c>
      <c r="B85" s="583"/>
      <c r="C85" s="583"/>
      <c r="D85" s="583"/>
      <c r="E85" s="583"/>
      <c r="F85" s="583"/>
      <c r="G85" s="583"/>
      <c r="H85" s="583"/>
      <c r="I85" s="583"/>
      <c r="J85" s="583"/>
      <c r="K85" s="583"/>
      <c r="L85" s="583"/>
      <c r="M85" s="583"/>
      <c r="N85" s="583"/>
      <c r="O85" s="583"/>
      <c r="P85" s="583"/>
      <c r="Q85" s="583"/>
      <c r="R85" s="583"/>
      <c r="S85" s="583"/>
      <c r="T85" s="583"/>
      <c r="U85" s="583"/>
      <c r="V85" s="583"/>
      <c r="W85" s="583"/>
      <c r="X85" s="583"/>
      <c r="Y85" s="583"/>
      <c r="Z85" s="583"/>
      <c r="AA85" s="583"/>
      <c r="AB85" s="583"/>
      <c r="AC85" s="583"/>
      <c r="AD85" s="583"/>
      <c r="AE85" s="583"/>
      <c r="AF85" s="583"/>
    </row>
    <row r="86" spans="1:32" s="8" customFormat="1" ht="26.25" customHeight="1" x14ac:dyDescent="0.3">
      <c r="A86" s="1813" t="s">
        <v>2809</v>
      </c>
      <c r="B86" s="1813"/>
      <c r="C86" s="1813"/>
      <c r="D86" s="1813"/>
      <c r="E86" s="1813"/>
      <c r="F86" s="1813"/>
      <c r="G86" s="1813"/>
      <c r="H86" s="1813"/>
      <c r="I86" s="1813"/>
      <c r="J86" s="1813"/>
      <c r="K86" s="1813"/>
      <c r="L86" s="1813"/>
      <c r="M86" s="1813"/>
      <c r="N86" s="1813"/>
      <c r="O86" s="1813"/>
      <c r="P86" s="1813"/>
      <c r="Q86" s="1813"/>
      <c r="R86" s="1813"/>
      <c r="S86" s="1813"/>
      <c r="T86" s="1813"/>
      <c r="U86" s="1813"/>
      <c r="V86" s="1813"/>
      <c r="W86" s="1813"/>
      <c r="X86" s="1813"/>
      <c r="Y86" s="1813"/>
      <c r="Z86" s="1813"/>
      <c r="AA86" s="1813"/>
      <c r="AB86" s="1813"/>
      <c r="AC86" s="1813"/>
      <c r="AD86" s="1813"/>
      <c r="AE86" s="1813"/>
      <c r="AF86" s="1813"/>
    </row>
    <row r="87" spans="1:32" s="8" customFormat="1" ht="69.599999999999994" customHeight="1" x14ac:dyDescent="0.3">
      <c r="A87" s="1813" t="s">
        <v>4537</v>
      </c>
      <c r="B87" s="1813"/>
      <c r="C87" s="1813"/>
      <c r="D87" s="1813"/>
      <c r="E87" s="1813"/>
      <c r="F87" s="1813"/>
      <c r="G87" s="1813"/>
      <c r="H87" s="1813"/>
      <c r="I87" s="1813"/>
      <c r="J87" s="1813"/>
      <c r="K87" s="1813"/>
      <c r="L87" s="1813"/>
      <c r="M87" s="1813"/>
      <c r="N87" s="1813"/>
      <c r="O87" s="1813"/>
      <c r="P87" s="1813"/>
      <c r="Q87" s="1813"/>
      <c r="R87" s="1813"/>
      <c r="S87" s="1813"/>
      <c r="T87" s="1813"/>
      <c r="U87" s="1813"/>
      <c r="V87" s="1813"/>
      <c r="W87" s="1813"/>
      <c r="X87" s="1813"/>
      <c r="Y87" s="1813"/>
      <c r="Z87" s="1813"/>
      <c r="AA87" s="1813"/>
      <c r="AB87" s="1813"/>
      <c r="AC87" s="1813"/>
      <c r="AD87" s="1813"/>
      <c r="AE87" s="1813"/>
      <c r="AF87" s="1813"/>
    </row>
    <row r="88" spans="1:32" s="8" customFormat="1" ht="27.75" customHeight="1" x14ac:dyDescent="0.3">
      <c r="A88" s="1813" t="s">
        <v>5643</v>
      </c>
      <c r="B88" s="1813"/>
      <c r="C88" s="1813"/>
      <c r="D88" s="1813"/>
      <c r="E88" s="1813"/>
      <c r="F88" s="1813"/>
      <c r="G88" s="1813"/>
      <c r="H88" s="1813"/>
      <c r="I88" s="1813"/>
      <c r="J88" s="1813"/>
      <c r="K88" s="1813"/>
      <c r="L88" s="1813"/>
      <c r="M88" s="1813"/>
      <c r="N88" s="1813"/>
      <c r="O88" s="1813"/>
      <c r="P88" s="1813"/>
      <c r="Q88" s="1813"/>
      <c r="R88" s="1813"/>
      <c r="S88" s="1813"/>
      <c r="T88" s="1813"/>
      <c r="U88" s="1813"/>
      <c r="V88" s="1813"/>
      <c r="W88" s="1813"/>
      <c r="X88" s="1813"/>
      <c r="Y88" s="1813"/>
      <c r="Z88" s="1813"/>
      <c r="AA88" s="1813"/>
      <c r="AB88" s="1813"/>
      <c r="AC88" s="1813"/>
      <c r="AD88" s="1813"/>
      <c r="AE88" s="1813"/>
      <c r="AF88" s="1813"/>
    </row>
    <row r="89" spans="1:32" s="8" customFormat="1" ht="15" customHeight="1" x14ac:dyDescent="0.3">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s="8" customFormat="1" ht="15" customHeight="1" x14ac:dyDescent="0.3">
      <c r="A90" s="1290" t="s">
        <v>14</v>
      </c>
      <c r="B90" s="1290"/>
      <c r="C90" s="1290"/>
      <c r="D90" s="1290"/>
      <c r="E90" s="1290"/>
      <c r="F90" s="1290"/>
      <c r="G90" s="1290"/>
      <c r="H90" s="1290"/>
      <c r="I90" s="1290"/>
      <c r="J90" s="1290"/>
      <c r="K90" s="1290"/>
      <c r="L90" s="1290"/>
      <c r="M90" s="1290"/>
      <c r="N90" s="1290"/>
      <c r="O90" s="1290"/>
      <c r="P90" s="1290"/>
      <c r="Q90" s="1290"/>
      <c r="R90" s="1290"/>
      <c r="S90" s="1290"/>
      <c r="T90" s="1290"/>
      <c r="U90" s="1290"/>
      <c r="V90" s="1290"/>
      <c r="W90" s="1290"/>
      <c r="X90" s="1290"/>
      <c r="Y90" s="1290"/>
      <c r="Z90" s="1290"/>
      <c r="AA90" s="1290"/>
      <c r="AB90" s="1290"/>
      <c r="AC90" s="1290"/>
      <c r="AD90" s="1290"/>
      <c r="AE90" s="1290"/>
      <c r="AF90" s="1290"/>
    </row>
    <row r="91" spans="1:32" s="8" customFormat="1" ht="15" customHeight="1" x14ac:dyDescent="0.3">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121"/>
      <c r="AC91" s="121"/>
      <c r="AD91" s="121"/>
      <c r="AE91" s="121"/>
      <c r="AF91" s="121"/>
    </row>
    <row r="92" spans="1:32" ht="32.25" customHeight="1" x14ac:dyDescent="0.3">
      <c r="A92" s="121"/>
      <c r="B92" s="1258" t="s">
        <v>2750</v>
      </c>
      <c r="C92" s="1258"/>
      <c r="D92" s="1258"/>
      <c r="E92" s="1258"/>
      <c r="F92" s="1258"/>
      <c r="G92" s="1258"/>
      <c r="H92" s="1258"/>
      <c r="I92" s="1258"/>
      <c r="J92" s="1258"/>
      <c r="K92" s="1258"/>
      <c r="L92" s="1258"/>
      <c r="M92" s="1258"/>
      <c r="N92" s="1258"/>
      <c r="O92" s="1258"/>
      <c r="P92" s="1258"/>
      <c r="Q92" s="1258"/>
      <c r="R92" s="1258"/>
      <c r="S92" s="1258"/>
      <c r="T92" s="1814" t="s">
        <v>2751</v>
      </c>
      <c r="U92" s="1814"/>
      <c r="V92" s="1814"/>
      <c r="W92" s="1814"/>
      <c r="X92" s="1814"/>
      <c r="Y92" s="1814"/>
      <c r="Z92" s="1814"/>
      <c r="AA92" s="1814"/>
      <c r="AB92" s="121"/>
      <c r="AC92" s="121"/>
      <c r="AD92" s="121"/>
      <c r="AE92" s="121"/>
      <c r="AF92" s="121"/>
    </row>
    <row r="93" spans="1:32" x14ac:dyDescent="0.3">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row>
    <row r="94" spans="1:32" ht="81" customHeight="1" x14ac:dyDescent="0.3">
      <c r="A94" s="59"/>
      <c r="B94" s="889" t="s">
        <v>3406</v>
      </c>
      <c r="C94" s="889"/>
      <c r="D94" s="889"/>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c r="AE94" s="889"/>
      <c r="AF94" s="889"/>
    </row>
    <row r="95" spans="1:32" ht="15" customHeight="1" x14ac:dyDescent="0.3">
      <c r="A95" s="59"/>
      <c r="B95" s="122"/>
      <c r="C95" s="122"/>
      <c r="D95" s="122"/>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row>
    <row r="96" spans="1:32" ht="15" customHeight="1" x14ac:dyDescent="0.3">
      <c r="A96" s="57" t="s">
        <v>5632</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row>
    <row r="97" spans="1:32" ht="15" customHeight="1" x14ac:dyDescent="0.3">
      <c r="A97" s="1493" t="s">
        <v>46</v>
      </c>
      <c r="B97" s="1493"/>
      <c r="C97" s="1493"/>
      <c r="D97" s="1493"/>
      <c r="E97" s="1493"/>
      <c r="F97" s="1493"/>
      <c r="G97" s="1493"/>
      <c r="H97" s="1493"/>
      <c r="I97" s="1493"/>
      <c r="J97" s="1493"/>
      <c r="K97" s="1493" t="s">
        <v>235</v>
      </c>
      <c r="L97" s="1493"/>
      <c r="M97" s="1493"/>
      <c r="N97" s="1493"/>
      <c r="O97" s="1493"/>
      <c r="P97" s="1493"/>
      <c r="Q97" s="1493"/>
      <c r="R97" s="1493"/>
      <c r="S97" s="1493"/>
      <c r="T97" s="1493" t="s">
        <v>21</v>
      </c>
      <c r="U97" s="1493"/>
      <c r="V97" s="1493"/>
      <c r="W97" s="1493"/>
      <c r="X97" s="1493"/>
      <c r="Y97" s="1493"/>
      <c r="Z97" s="1493"/>
      <c r="AA97" s="1493"/>
      <c r="AB97" s="1493"/>
      <c r="AC97" s="59"/>
      <c r="AD97" s="59"/>
      <c r="AE97" s="59"/>
      <c r="AF97" s="59"/>
    </row>
    <row r="98" spans="1:32" x14ac:dyDescent="0.3">
      <c r="A98" s="1547" t="s">
        <v>1796</v>
      </c>
      <c r="B98" s="1547"/>
      <c r="C98" s="1547"/>
      <c r="D98" s="1547"/>
      <c r="E98" s="1547"/>
      <c r="F98" s="1547"/>
      <c r="G98" s="1547"/>
      <c r="H98" s="1547"/>
      <c r="I98" s="1547"/>
      <c r="J98" s="1547"/>
      <c r="K98" s="1675">
        <f>'EFLH &amp; CF'!I53</f>
        <v>2594</v>
      </c>
      <c r="L98" s="1675"/>
      <c r="M98" s="1675"/>
      <c r="N98" s="1675"/>
      <c r="O98" s="1675"/>
      <c r="P98" s="1675"/>
      <c r="Q98" s="1675"/>
      <c r="R98" s="1675"/>
      <c r="S98" s="1675"/>
      <c r="T98" s="1487">
        <f>'EFLH &amp; CF'!M53</f>
        <v>0.38</v>
      </c>
      <c r="U98" s="1487"/>
      <c r="V98" s="1487"/>
      <c r="W98" s="1487"/>
      <c r="X98" s="1487"/>
      <c r="Y98" s="1487"/>
      <c r="Z98" s="1487"/>
      <c r="AA98" s="1487"/>
      <c r="AB98" s="1487"/>
      <c r="AC98" s="59"/>
      <c r="AD98" s="59"/>
      <c r="AE98" s="59"/>
      <c r="AF98" s="59"/>
    </row>
    <row r="99" spans="1:32" ht="15" customHeight="1" x14ac:dyDescent="0.3">
      <c r="A99" s="1547" t="s">
        <v>211</v>
      </c>
      <c r="B99" s="1547"/>
      <c r="C99" s="1547"/>
      <c r="D99" s="1547"/>
      <c r="E99" s="1547"/>
      <c r="F99" s="1547"/>
      <c r="G99" s="1547"/>
      <c r="H99" s="1547"/>
      <c r="I99" s="1547"/>
      <c r="J99" s="1547"/>
      <c r="K99" s="1675" t="str">
        <f>'EFLH &amp; CF'!I54</f>
        <v>Varies</v>
      </c>
      <c r="L99" s="1675"/>
      <c r="M99" s="1675"/>
      <c r="N99" s="1675"/>
      <c r="O99" s="1675"/>
      <c r="P99" s="1675"/>
      <c r="Q99" s="1675"/>
      <c r="R99" s="1675"/>
      <c r="S99" s="1675"/>
      <c r="T99" s="1487" t="str">
        <f>'EFLH &amp; CF'!M54</f>
        <v>Varies</v>
      </c>
      <c r="U99" s="1487"/>
      <c r="V99" s="1487"/>
      <c r="W99" s="1487"/>
      <c r="X99" s="1487"/>
      <c r="Y99" s="1487"/>
      <c r="Z99" s="1487"/>
      <c r="AA99" s="1487"/>
      <c r="AB99" s="1487"/>
      <c r="AC99" s="59"/>
      <c r="AD99" s="59"/>
      <c r="AE99" s="59"/>
      <c r="AF99" s="59"/>
    </row>
    <row r="100" spans="1:32" x14ac:dyDescent="0.3">
      <c r="A100" s="1547" t="s">
        <v>212</v>
      </c>
      <c r="B100" s="1547"/>
      <c r="C100" s="1547"/>
      <c r="D100" s="1547"/>
      <c r="E100" s="1547"/>
      <c r="F100" s="1547"/>
      <c r="G100" s="1547"/>
      <c r="H100" s="1547"/>
      <c r="I100" s="1547"/>
      <c r="J100" s="1547"/>
      <c r="K100" s="1675">
        <f>'EFLH &amp; CF'!I55</f>
        <v>2549</v>
      </c>
      <c r="L100" s="1675"/>
      <c r="M100" s="1675"/>
      <c r="N100" s="1675"/>
      <c r="O100" s="1675"/>
      <c r="P100" s="1675"/>
      <c r="Q100" s="1675"/>
      <c r="R100" s="1675"/>
      <c r="S100" s="1675"/>
      <c r="T100" s="1487">
        <f>'EFLH &amp; CF'!M55</f>
        <v>0.43</v>
      </c>
      <c r="U100" s="1487"/>
      <c r="V100" s="1487"/>
      <c r="W100" s="1487"/>
      <c r="X100" s="1487"/>
      <c r="Y100" s="1487"/>
      <c r="Z100" s="1487"/>
      <c r="AA100" s="1487"/>
      <c r="AB100" s="1487"/>
      <c r="AC100" s="59"/>
      <c r="AD100" s="59"/>
      <c r="AE100" s="59"/>
      <c r="AF100" s="59"/>
    </row>
    <row r="101" spans="1:32" x14ac:dyDescent="0.3">
      <c r="A101" s="1547" t="s">
        <v>213</v>
      </c>
      <c r="B101" s="1547"/>
      <c r="C101" s="1547"/>
      <c r="D101" s="1547"/>
      <c r="E101" s="1547"/>
      <c r="F101" s="1547"/>
      <c r="G101" s="1547"/>
      <c r="H101" s="1547"/>
      <c r="I101" s="1547"/>
      <c r="J101" s="1547"/>
      <c r="K101" s="1675">
        <f>'EFLH &amp; CF'!I56</f>
        <v>1531</v>
      </c>
      <c r="L101" s="1675"/>
      <c r="M101" s="1675"/>
      <c r="N101" s="1675"/>
      <c r="O101" s="1675"/>
      <c r="P101" s="1675"/>
      <c r="Q101" s="1675"/>
      <c r="R101" s="1675"/>
      <c r="S101" s="1675"/>
      <c r="T101" s="1487">
        <f>'EFLH &amp; CF'!M56</f>
        <v>0.27</v>
      </c>
      <c r="U101" s="1487"/>
      <c r="V101" s="1487"/>
      <c r="W101" s="1487"/>
      <c r="X101" s="1487"/>
      <c r="Y101" s="1487"/>
      <c r="Z101" s="1487"/>
      <c r="AA101" s="1487"/>
      <c r="AB101" s="1487"/>
      <c r="AC101" s="59"/>
      <c r="AD101" s="59"/>
      <c r="AE101" s="59"/>
      <c r="AF101" s="59"/>
    </row>
    <row r="102" spans="1:32" ht="15" customHeight="1" x14ac:dyDescent="0.3">
      <c r="A102" s="1547" t="s">
        <v>214</v>
      </c>
      <c r="B102" s="1547"/>
      <c r="C102" s="1547"/>
      <c r="D102" s="1547"/>
      <c r="E102" s="1547"/>
      <c r="F102" s="1547"/>
      <c r="G102" s="1547"/>
      <c r="H102" s="1547"/>
      <c r="I102" s="1547"/>
      <c r="J102" s="1547"/>
      <c r="K102" s="1675">
        <f>'EFLH &amp; CF'!I57</f>
        <v>4891</v>
      </c>
      <c r="L102" s="1675"/>
      <c r="M102" s="1675"/>
      <c r="N102" s="1675"/>
      <c r="O102" s="1675"/>
      <c r="P102" s="1675"/>
      <c r="Q102" s="1675"/>
      <c r="R102" s="1675"/>
      <c r="S102" s="1675"/>
      <c r="T102" s="1487">
        <f>'EFLH &amp; CF'!M57</f>
        <v>0.55000000000000004</v>
      </c>
      <c r="U102" s="1487"/>
      <c r="V102" s="1487"/>
      <c r="W102" s="1487"/>
      <c r="X102" s="1487"/>
      <c r="Y102" s="1487"/>
      <c r="Z102" s="1487"/>
      <c r="AA102" s="1487"/>
      <c r="AB102" s="1487"/>
      <c r="AC102" s="59"/>
      <c r="AD102" s="59"/>
      <c r="AE102" s="59"/>
      <c r="AF102" s="59"/>
    </row>
    <row r="103" spans="1:32" ht="15" customHeight="1" x14ac:dyDescent="0.3">
      <c r="A103" s="1547" t="s">
        <v>215</v>
      </c>
      <c r="B103" s="1547"/>
      <c r="C103" s="1547"/>
      <c r="D103" s="1547"/>
      <c r="E103" s="1547"/>
      <c r="F103" s="1547"/>
      <c r="G103" s="1547"/>
      <c r="H103" s="1547"/>
      <c r="I103" s="1547"/>
      <c r="J103" s="1547"/>
      <c r="K103" s="1675">
        <f>'EFLH &amp; CF'!I58</f>
        <v>4910</v>
      </c>
      <c r="L103" s="1675"/>
      <c r="M103" s="1675"/>
      <c r="N103" s="1675"/>
      <c r="O103" s="1675"/>
      <c r="P103" s="1675"/>
      <c r="Q103" s="1675"/>
      <c r="R103" s="1675"/>
      <c r="S103" s="1675"/>
      <c r="T103" s="1487">
        <f>'EFLH &amp; CF'!M58</f>
        <v>0.6</v>
      </c>
      <c r="U103" s="1487"/>
      <c r="V103" s="1487"/>
      <c r="W103" s="1487"/>
      <c r="X103" s="1487"/>
      <c r="Y103" s="1487"/>
      <c r="Z103" s="1487"/>
      <c r="AA103" s="1487"/>
      <c r="AB103" s="1487"/>
      <c r="AC103" s="59"/>
      <c r="AD103" s="59"/>
      <c r="AE103" s="59"/>
      <c r="AF103" s="59"/>
    </row>
    <row r="104" spans="1:32" ht="15" customHeight="1" x14ac:dyDescent="0.3">
      <c r="A104" s="1547" t="s">
        <v>216</v>
      </c>
      <c r="B104" s="1547"/>
      <c r="C104" s="1547"/>
      <c r="D104" s="1547"/>
      <c r="E104" s="1547"/>
      <c r="F104" s="1547"/>
      <c r="G104" s="1547"/>
      <c r="H104" s="1547"/>
      <c r="I104" s="1547"/>
      <c r="J104" s="1547"/>
      <c r="K104" s="1675" t="str">
        <f>'EFLH &amp; CF'!I59</f>
        <v>Varies</v>
      </c>
      <c r="L104" s="1675"/>
      <c r="M104" s="1675"/>
      <c r="N104" s="1675"/>
      <c r="O104" s="1675"/>
      <c r="P104" s="1675"/>
      <c r="Q104" s="1675"/>
      <c r="R104" s="1675"/>
      <c r="S104" s="1675"/>
      <c r="T104" s="1487" t="str">
        <f>'EFLH &amp; CF'!M59</f>
        <v>Varies</v>
      </c>
      <c r="U104" s="1487"/>
      <c r="V104" s="1487"/>
      <c r="W104" s="1487"/>
      <c r="X104" s="1487"/>
      <c r="Y104" s="1487"/>
      <c r="Z104" s="1487"/>
      <c r="AA104" s="1487"/>
      <c r="AB104" s="1487"/>
      <c r="AC104" s="59"/>
      <c r="AD104" s="59"/>
      <c r="AE104" s="59"/>
      <c r="AF104" s="59"/>
    </row>
    <row r="105" spans="1:32" ht="15" customHeight="1" x14ac:dyDescent="0.3">
      <c r="A105" s="1547" t="s">
        <v>47</v>
      </c>
      <c r="B105" s="1547"/>
      <c r="C105" s="1547"/>
      <c r="D105" s="1547"/>
      <c r="E105" s="1547"/>
      <c r="F105" s="1547"/>
      <c r="G105" s="1547"/>
      <c r="H105" s="1547"/>
      <c r="I105" s="1547"/>
      <c r="J105" s="1547"/>
      <c r="K105" s="1675">
        <f>'EFLH &amp; CF'!I60</f>
        <v>2754</v>
      </c>
      <c r="L105" s="1675"/>
      <c r="M105" s="1675"/>
      <c r="N105" s="1675"/>
      <c r="O105" s="1675"/>
      <c r="P105" s="1675"/>
      <c r="Q105" s="1675"/>
      <c r="R105" s="1675"/>
      <c r="S105" s="1675"/>
      <c r="T105" s="1487">
        <f>'EFLH &amp; CF'!M60</f>
        <v>0.48</v>
      </c>
      <c r="U105" s="1487"/>
      <c r="V105" s="1487"/>
      <c r="W105" s="1487"/>
      <c r="X105" s="1487"/>
      <c r="Y105" s="1487"/>
      <c r="Z105" s="1487"/>
      <c r="AA105" s="1487"/>
      <c r="AB105" s="1487"/>
      <c r="AC105" s="59"/>
      <c r="AD105" s="59"/>
      <c r="AE105" s="59"/>
      <c r="AF105" s="59"/>
    </row>
    <row r="106" spans="1:32" ht="15" customHeight="1" x14ac:dyDescent="0.3">
      <c r="A106" s="1547" t="s">
        <v>217</v>
      </c>
      <c r="B106" s="1547"/>
      <c r="C106" s="1547"/>
      <c r="D106" s="1547"/>
      <c r="E106" s="1547"/>
      <c r="F106" s="1547"/>
      <c r="G106" s="1547"/>
      <c r="H106" s="1547"/>
      <c r="I106" s="1547"/>
      <c r="J106" s="1547"/>
      <c r="K106" s="1675">
        <f>'EFLH &amp; CF'!I61</f>
        <v>2451</v>
      </c>
      <c r="L106" s="1675"/>
      <c r="M106" s="1675"/>
      <c r="N106" s="1675"/>
      <c r="O106" s="1675"/>
      <c r="P106" s="1675"/>
      <c r="Q106" s="1675"/>
      <c r="R106" s="1675"/>
      <c r="S106" s="1675"/>
      <c r="T106" s="1487">
        <f>'EFLH &amp; CF'!M61</f>
        <v>0.4</v>
      </c>
      <c r="U106" s="1487"/>
      <c r="V106" s="1487"/>
      <c r="W106" s="1487"/>
      <c r="X106" s="1487"/>
      <c r="Y106" s="1487"/>
      <c r="Z106" s="1487"/>
      <c r="AA106" s="1487"/>
      <c r="AB106" s="1487"/>
      <c r="AC106" s="59"/>
      <c r="AD106" s="59"/>
      <c r="AE106" s="59"/>
      <c r="AF106" s="59"/>
    </row>
    <row r="107" spans="1:32" ht="15" customHeight="1" x14ac:dyDescent="0.3">
      <c r="A107" s="1547" t="s">
        <v>218</v>
      </c>
      <c r="B107" s="1547"/>
      <c r="C107" s="1547"/>
      <c r="D107" s="1547"/>
      <c r="E107" s="1547"/>
      <c r="F107" s="1547"/>
      <c r="G107" s="1547"/>
      <c r="H107" s="1547"/>
      <c r="I107" s="1547"/>
      <c r="J107" s="1547"/>
      <c r="K107" s="1675">
        <f>'EFLH &amp; CF'!I62</f>
        <v>1913</v>
      </c>
      <c r="L107" s="1675"/>
      <c r="M107" s="1675"/>
      <c r="N107" s="1675"/>
      <c r="O107" s="1675"/>
      <c r="P107" s="1675"/>
      <c r="Q107" s="1675"/>
      <c r="R107" s="1675"/>
      <c r="S107" s="1675"/>
      <c r="T107" s="1487">
        <f>'EFLH &amp; CF'!M62</f>
        <v>0.28999999999999998</v>
      </c>
      <c r="U107" s="1487"/>
      <c r="V107" s="1487"/>
      <c r="W107" s="1487"/>
      <c r="X107" s="1487"/>
      <c r="Y107" s="1487"/>
      <c r="Z107" s="1487"/>
      <c r="AA107" s="1487"/>
      <c r="AB107" s="1487"/>
      <c r="AC107" s="59"/>
      <c r="AD107" s="59"/>
      <c r="AE107" s="59"/>
      <c r="AF107" s="59"/>
    </row>
    <row r="108" spans="1:32" ht="15" customHeight="1" x14ac:dyDescent="0.3">
      <c r="A108" s="1547" t="s">
        <v>219</v>
      </c>
      <c r="B108" s="1547"/>
      <c r="C108" s="1547"/>
      <c r="D108" s="1547"/>
      <c r="E108" s="1547"/>
      <c r="F108" s="1547"/>
      <c r="G108" s="1547"/>
      <c r="H108" s="1547"/>
      <c r="I108" s="1547"/>
      <c r="J108" s="1547"/>
      <c r="K108" s="1675">
        <f>'EFLH &amp; CF'!I63</f>
        <v>1033</v>
      </c>
      <c r="L108" s="1675"/>
      <c r="M108" s="1675"/>
      <c r="N108" s="1675"/>
      <c r="O108" s="1675"/>
      <c r="P108" s="1675"/>
      <c r="Q108" s="1675"/>
      <c r="R108" s="1675"/>
      <c r="S108" s="1675"/>
      <c r="T108" s="1487">
        <f>'EFLH &amp; CF'!M63</f>
        <v>0.01</v>
      </c>
      <c r="U108" s="1487"/>
      <c r="V108" s="1487"/>
      <c r="W108" s="1487"/>
      <c r="X108" s="1487"/>
      <c r="Y108" s="1487"/>
      <c r="Z108" s="1487"/>
      <c r="AA108" s="1487"/>
      <c r="AB108" s="1487"/>
      <c r="AC108" s="59"/>
      <c r="AD108" s="59"/>
      <c r="AE108" s="59"/>
      <c r="AF108" s="59"/>
    </row>
    <row r="109" spans="1:32" ht="15" customHeight="1" x14ac:dyDescent="0.3">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row>
    <row r="110" spans="1:32" ht="57" customHeight="1" x14ac:dyDescent="0.3">
      <c r="A110" s="1815" t="s">
        <v>2740</v>
      </c>
      <c r="B110" s="1815"/>
      <c r="C110" s="1815"/>
      <c r="D110" s="1815"/>
      <c r="E110" s="1815"/>
      <c r="F110" s="1815"/>
      <c r="G110" s="1815"/>
      <c r="H110" s="1815"/>
      <c r="I110" s="1815"/>
      <c r="J110" s="1815"/>
      <c r="K110" s="1815"/>
      <c r="L110" s="1815"/>
      <c r="M110" s="1815"/>
      <c r="N110" s="1815"/>
      <c r="O110" s="1815"/>
      <c r="P110" s="1815"/>
      <c r="Q110" s="1815"/>
      <c r="R110" s="1815"/>
      <c r="S110" s="1815"/>
      <c r="T110" s="1815"/>
      <c r="U110" s="1815"/>
      <c r="V110" s="1815"/>
      <c r="W110" s="1815"/>
      <c r="X110" s="1815"/>
      <c r="Y110" s="1815"/>
      <c r="Z110" s="1815"/>
      <c r="AA110" s="1815"/>
      <c r="AB110" s="1815"/>
      <c r="AC110" s="1815"/>
      <c r="AD110" s="1815"/>
      <c r="AE110" s="1815"/>
      <c r="AF110" s="1815"/>
    </row>
    <row r="111" spans="1:32" ht="15" customHeight="1" x14ac:dyDescent="0.3">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row>
    <row r="112" spans="1:32" ht="15" customHeight="1" x14ac:dyDescent="0.3">
      <c r="A112" s="1290" t="s">
        <v>1514</v>
      </c>
      <c r="B112" s="1290"/>
      <c r="C112" s="1290"/>
      <c r="D112" s="1290"/>
      <c r="E112" s="1290"/>
      <c r="F112" s="1290"/>
      <c r="G112" s="1290"/>
      <c r="H112" s="1290"/>
      <c r="I112" s="1290"/>
      <c r="J112" s="1290"/>
      <c r="K112" s="1290"/>
      <c r="L112" s="1290"/>
      <c r="M112" s="1290"/>
      <c r="N112" s="1290"/>
      <c r="O112" s="1290"/>
      <c r="P112" s="1290"/>
      <c r="Q112" s="1290"/>
      <c r="R112" s="1290"/>
      <c r="S112" s="1290"/>
      <c r="T112" s="1290"/>
      <c r="U112" s="1290"/>
      <c r="V112" s="1290"/>
      <c r="W112" s="1290"/>
      <c r="X112" s="1290"/>
      <c r="Y112" s="1290"/>
      <c r="Z112" s="1290"/>
      <c r="AA112" s="1290"/>
      <c r="AB112" s="1290"/>
      <c r="AC112" s="1290"/>
      <c r="AD112" s="1290"/>
      <c r="AE112" s="1290"/>
      <c r="AF112" s="1290"/>
    </row>
    <row r="113" spans="1:38" ht="15" customHeight="1" x14ac:dyDescent="0.3">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row>
    <row r="114" spans="1:38" s="94" customFormat="1" x14ac:dyDescent="0.3">
      <c r="A114" s="370" t="s">
        <v>803</v>
      </c>
      <c r="B114" s="884" t="s">
        <v>5644</v>
      </c>
      <c r="C114" s="884"/>
      <c r="D114" s="884"/>
      <c r="E114" s="884"/>
      <c r="F114" s="884"/>
      <c r="G114" s="884"/>
      <c r="H114" s="884"/>
      <c r="I114" s="884"/>
      <c r="J114" s="884"/>
      <c r="K114" s="884"/>
      <c r="L114" s="884"/>
      <c r="M114" s="884"/>
      <c r="N114" s="884"/>
      <c r="O114" s="884"/>
      <c r="P114" s="884"/>
      <c r="Q114" s="884"/>
      <c r="R114" s="884"/>
      <c r="S114" s="884"/>
      <c r="T114" s="884"/>
      <c r="U114" s="884"/>
      <c r="V114" s="884"/>
      <c r="W114" s="884"/>
      <c r="X114" s="884"/>
      <c r="Y114" s="884"/>
      <c r="Z114" s="884"/>
      <c r="AA114" s="884"/>
      <c r="AB114" s="884"/>
      <c r="AC114" s="884"/>
      <c r="AD114" s="884"/>
      <c r="AE114" s="884"/>
      <c r="AF114" s="884"/>
      <c r="AL114" s="494"/>
    </row>
    <row r="115" spans="1:38" ht="50.4" customHeight="1" x14ac:dyDescent="0.3">
      <c r="A115" s="368" t="s">
        <v>803</v>
      </c>
      <c r="B115" s="884" t="s">
        <v>4538</v>
      </c>
      <c r="C115" s="884"/>
      <c r="D115" s="884"/>
      <c r="E115" s="884"/>
      <c r="F115" s="884"/>
      <c r="G115" s="884"/>
      <c r="H115" s="884"/>
      <c r="I115" s="884"/>
      <c r="J115" s="884"/>
      <c r="K115" s="884"/>
      <c r="L115" s="884"/>
      <c r="M115" s="884"/>
      <c r="N115" s="884"/>
      <c r="O115" s="884"/>
      <c r="P115" s="884"/>
      <c r="Q115" s="884"/>
      <c r="R115" s="884"/>
      <c r="S115" s="884"/>
      <c r="T115" s="884"/>
      <c r="U115" s="884"/>
      <c r="V115" s="884"/>
      <c r="W115" s="884"/>
      <c r="X115" s="884"/>
      <c r="Y115" s="884"/>
      <c r="Z115" s="884"/>
      <c r="AA115" s="884"/>
      <c r="AB115" s="884"/>
      <c r="AC115" s="884"/>
      <c r="AD115" s="884"/>
      <c r="AE115" s="884"/>
      <c r="AF115" s="884"/>
    </row>
    <row r="116" spans="1:38" ht="50.4" customHeight="1" x14ac:dyDescent="0.3">
      <c r="A116" s="370" t="s">
        <v>803</v>
      </c>
      <c r="B116" s="884" t="s">
        <v>4539</v>
      </c>
      <c r="C116" s="884"/>
      <c r="D116" s="884"/>
      <c r="E116" s="884"/>
      <c r="F116" s="884"/>
      <c r="G116" s="884"/>
      <c r="H116" s="884"/>
      <c r="I116" s="884"/>
      <c r="J116" s="884"/>
      <c r="K116" s="884"/>
      <c r="L116" s="884"/>
      <c r="M116" s="884"/>
      <c r="N116" s="884"/>
      <c r="O116" s="884"/>
      <c r="P116" s="884"/>
      <c r="Q116" s="884"/>
      <c r="R116" s="884"/>
      <c r="S116" s="884"/>
      <c r="T116" s="884"/>
      <c r="U116" s="884"/>
      <c r="V116" s="884"/>
      <c r="W116" s="884"/>
      <c r="X116" s="884"/>
      <c r="Y116" s="884"/>
      <c r="Z116" s="884"/>
      <c r="AA116" s="884"/>
      <c r="AB116" s="884"/>
      <c r="AC116" s="884"/>
      <c r="AD116" s="884"/>
      <c r="AE116" s="884"/>
      <c r="AF116" s="884"/>
    </row>
    <row r="117" spans="1:38" ht="170.25" customHeight="1" x14ac:dyDescent="0.3">
      <c r="A117" s="368" t="s">
        <v>803</v>
      </c>
      <c r="B117" s="884" t="s">
        <v>2810</v>
      </c>
      <c r="C117" s="884"/>
      <c r="D117" s="884"/>
      <c r="E117" s="884"/>
      <c r="F117" s="884"/>
      <c r="G117" s="884"/>
      <c r="H117" s="884"/>
      <c r="I117" s="884"/>
      <c r="J117" s="884"/>
      <c r="K117" s="884"/>
      <c r="L117" s="884"/>
      <c r="M117" s="884"/>
      <c r="N117" s="884"/>
      <c r="O117" s="884"/>
      <c r="P117" s="884"/>
      <c r="Q117" s="884"/>
      <c r="R117" s="884"/>
      <c r="S117" s="884"/>
      <c r="T117" s="884"/>
      <c r="U117" s="884"/>
      <c r="V117" s="884"/>
      <c r="W117" s="884"/>
      <c r="X117" s="884"/>
      <c r="Y117" s="884"/>
      <c r="Z117" s="884"/>
      <c r="AA117" s="884"/>
      <c r="AB117" s="884"/>
      <c r="AC117" s="884"/>
      <c r="AD117" s="884"/>
      <c r="AE117" s="884"/>
      <c r="AF117" s="884"/>
    </row>
    <row r="118" spans="1:38" ht="67.5" customHeight="1" x14ac:dyDescent="0.3">
      <c r="A118" s="368" t="s">
        <v>803</v>
      </c>
      <c r="B118" s="884" t="s">
        <v>2812</v>
      </c>
      <c r="C118" s="884"/>
      <c r="D118" s="884"/>
      <c r="E118" s="884"/>
      <c r="F118" s="884"/>
      <c r="G118" s="884"/>
      <c r="H118" s="884"/>
      <c r="I118" s="884"/>
      <c r="J118" s="884"/>
      <c r="K118" s="884"/>
      <c r="L118" s="884"/>
      <c r="M118" s="884"/>
      <c r="N118" s="884"/>
      <c r="O118" s="884"/>
      <c r="P118" s="884"/>
      <c r="Q118" s="884"/>
      <c r="R118" s="884"/>
      <c r="S118" s="884"/>
      <c r="T118" s="884"/>
      <c r="U118" s="884"/>
      <c r="V118" s="884"/>
      <c r="W118" s="884"/>
      <c r="X118" s="884"/>
      <c r="Y118" s="884"/>
      <c r="Z118" s="884"/>
      <c r="AA118" s="884"/>
      <c r="AB118" s="884"/>
      <c r="AC118" s="884"/>
      <c r="AD118" s="884"/>
      <c r="AE118" s="884"/>
      <c r="AF118" s="884"/>
    </row>
    <row r="119" spans="1:38" ht="66" customHeight="1" x14ac:dyDescent="0.3">
      <c r="A119" s="368" t="s">
        <v>803</v>
      </c>
      <c r="B119" s="884" t="s">
        <v>2501</v>
      </c>
      <c r="C119" s="884"/>
      <c r="D119" s="884"/>
      <c r="E119" s="884"/>
      <c r="F119" s="884"/>
      <c r="G119" s="884"/>
      <c r="H119" s="884"/>
      <c r="I119" s="884"/>
      <c r="J119" s="884"/>
      <c r="K119" s="884"/>
      <c r="L119" s="884"/>
      <c r="M119" s="884"/>
      <c r="N119" s="884"/>
      <c r="O119" s="884"/>
      <c r="P119" s="884"/>
      <c r="Q119" s="884"/>
      <c r="R119" s="884"/>
      <c r="S119" s="884"/>
      <c r="T119" s="884"/>
      <c r="U119" s="884"/>
      <c r="V119" s="884"/>
      <c r="W119" s="884"/>
      <c r="X119" s="884"/>
      <c r="Y119" s="884"/>
      <c r="Z119" s="884"/>
      <c r="AA119" s="884"/>
      <c r="AB119" s="884"/>
      <c r="AC119" s="884"/>
      <c r="AD119" s="884"/>
      <c r="AE119" s="884"/>
      <c r="AF119" s="884"/>
    </row>
    <row r="120" spans="1:38" ht="67.5" customHeight="1" x14ac:dyDescent="0.3">
      <c r="A120" s="370" t="s">
        <v>803</v>
      </c>
      <c r="B120" s="884" t="s">
        <v>2717</v>
      </c>
      <c r="C120" s="884"/>
      <c r="D120" s="884"/>
      <c r="E120" s="884"/>
      <c r="F120" s="884"/>
      <c r="G120" s="884"/>
      <c r="H120" s="884"/>
      <c r="I120" s="884"/>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row>
    <row r="121" spans="1:38" ht="15" customHeight="1" x14ac:dyDescent="0.3">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row>
    <row r="122" spans="1:38" ht="15" customHeight="1" x14ac:dyDescent="0.3">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row>
    <row r="123" spans="1:38" ht="15" customHeight="1" x14ac:dyDescent="0.3">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row>
    <row r="124" spans="1:38" ht="15" customHeight="1" x14ac:dyDescent="0.3">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row>
    <row r="125" spans="1:38" ht="15" customHeight="1" x14ac:dyDescent="0.3">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row>
    <row r="126" spans="1:38" ht="15" customHeight="1" x14ac:dyDescent="0.3">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row>
    <row r="127" spans="1:38" ht="15" customHeight="1" x14ac:dyDescent="0.3">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row>
    <row r="128" spans="1:38" ht="15" customHeight="1" x14ac:dyDescent="0.3">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row>
    <row r="129" spans="1:32" ht="15" customHeight="1" x14ac:dyDescent="0.3">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c r="AB129" s="121"/>
      <c r="AC129" s="121"/>
      <c r="AD129" s="121"/>
      <c r="AE129" s="121"/>
      <c r="AF129" s="121"/>
    </row>
    <row r="130" spans="1:32" ht="15" customHeight="1" x14ac:dyDescent="0.3">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row>
    <row r="131" spans="1:32" ht="15" customHeight="1" x14ac:dyDescent="0.3">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c r="AB131" s="121"/>
      <c r="AC131" s="121"/>
      <c r="AD131" s="121"/>
      <c r="AE131" s="121"/>
      <c r="AF131" s="121"/>
    </row>
    <row r="132" spans="1:32" ht="15" customHeight="1" x14ac:dyDescent="0.3">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row>
    <row r="133" spans="1:32" ht="15" customHeight="1" x14ac:dyDescent="0.3">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row>
    <row r="134" spans="1:32" ht="15" customHeight="1" x14ac:dyDescent="0.3">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row>
    <row r="135" spans="1:32" ht="15" customHeight="1" x14ac:dyDescent="0.3">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row>
    <row r="136" spans="1:32" ht="15" customHeight="1" x14ac:dyDescent="0.3">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row>
    <row r="137" spans="1:32" ht="15" customHeight="1" x14ac:dyDescent="0.3">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row>
    <row r="138" spans="1:32" ht="15" customHeight="1" x14ac:dyDescent="0.3">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row>
    <row r="139" spans="1:32" ht="15" customHeight="1" x14ac:dyDescent="0.3">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c r="AB139" s="121"/>
      <c r="AC139" s="121"/>
      <c r="AD139" s="121"/>
      <c r="AE139" s="121"/>
      <c r="AF139" s="121"/>
    </row>
    <row r="140" spans="1:32" ht="15" customHeight="1" x14ac:dyDescent="0.3">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row>
    <row r="141" spans="1:32" ht="15" customHeight="1" x14ac:dyDescent="0.3">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row>
    <row r="142" spans="1:32" ht="15" customHeight="1" x14ac:dyDescent="0.3">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row>
    <row r="143" spans="1:32" ht="15" customHeight="1" x14ac:dyDescent="0.3">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row>
    <row r="144" spans="1:32" ht="15" customHeight="1" x14ac:dyDescent="0.3">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row>
    <row r="145" spans="1:32" ht="15" customHeight="1" x14ac:dyDescent="0.3">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row>
    <row r="146" spans="1:32" ht="15" customHeight="1" x14ac:dyDescent="0.3">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row>
    <row r="147" spans="1:32" ht="15" customHeight="1" x14ac:dyDescent="0.3">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c r="AB147" s="121"/>
      <c r="AC147" s="121"/>
      <c r="AD147" s="121"/>
      <c r="AE147" s="121"/>
      <c r="AF147" s="121"/>
    </row>
    <row r="148" spans="1:32" ht="15" customHeight="1" x14ac:dyDescent="0.3">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row>
    <row r="149" spans="1:32" ht="15" customHeight="1" x14ac:dyDescent="0.3">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row>
    <row r="150" spans="1:32" ht="15" customHeight="1" x14ac:dyDescent="0.3">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row>
    <row r="151" spans="1:32" ht="15" customHeight="1" x14ac:dyDescent="0.3">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row>
    <row r="152" spans="1:32" ht="15" customHeight="1" x14ac:dyDescent="0.3">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c r="AB152" s="121"/>
      <c r="AC152" s="121"/>
      <c r="AD152" s="121"/>
      <c r="AE152" s="121"/>
      <c r="AF152" s="121"/>
    </row>
    <row r="153" spans="1:32" ht="15" customHeight="1" x14ac:dyDescent="0.3">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c r="AB153" s="121"/>
      <c r="AC153" s="121"/>
      <c r="AD153" s="121"/>
      <c r="AE153" s="121"/>
      <c r="AF153" s="121"/>
    </row>
    <row r="154" spans="1:32" ht="15" customHeight="1" x14ac:dyDescent="0.3">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c r="AB154" s="121"/>
      <c r="AC154" s="121"/>
      <c r="AD154" s="121"/>
      <c r="AE154" s="121"/>
      <c r="AF154" s="121"/>
    </row>
    <row r="155" spans="1:32" ht="15" customHeight="1" x14ac:dyDescent="0.3">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row>
    <row r="156" spans="1:32" ht="15" customHeight="1" x14ac:dyDescent="0.3">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row>
    <row r="157" spans="1:32" ht="15" customHeight="1" x14ac:dyDescent="0.3">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row>
    <row r="158" spans="1:32" ht="15" customHeight="1" x14ac:dyDescent="0.3">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row>
    <row r="159" spans="1:32" ht="15" customHeight="1" x14ac:dyDescent="0.3">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row>
    <row r="160" spans="1:32" ht="15" customHeight="1" x14ac:dyDescent="0.3">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row>
    <row r="161" spans="1:32" ht="15" customHeight="1" x14ac:dyDescent="0.3">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row>
    <row r="162" spans="1:32" ht="15" customHeight="1" x14ac:dyDescent="0.3">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row>
    <row r="163" spans="1:32" ht="15" customHeight="1" x14ac:dyDescent="0.3">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row>
    <row r="164" spans="1:32" ht="15" customHeight="1" x14ac:dyDescent="0.3">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row>
    <row r="165" spans="1:32" ht="15" customHeight="1" x14ac:dyDescent="0.3">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121"/>
      <c r="AF165" s="121"/>
    </row>
    <row r="166" spans="1:32" ht="15" customHeight="1" x14ac:dyDescent="0.3">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row>
    <row r="167" spans="1:32" ht="15" customHeight="1" x14ac:dyDescent="0.3">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row>
    <row r="168" spans="1:32" ht="15" customHeight="1" x14ac:dyDescent="0.3">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row>
    <row r="169" spans="1:32" ht="15" customHeight="1" x14ac:dyDescent="0.3">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row>
    <row r="170" spans="1:32" ht="15" customHeight="1" x14ac:dyDescent="0.3">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row>
    <row r="171" spans="1:32" ht="15" customHeight="1" x14ac:dyDescent="0.3">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row>
    <row r="172" spans="1:32" ht="15" customHeight="1" x14ac:dyDescent="0.3">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row>
    <row r="173" spans="1:32" ht="15" customHeight="1" x14ac:dyDescent="0.3">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row>
    <row r="174" spans="1:32" ht="15" customHeight="1" x14ac:dyDescent="0.3">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row>
    <row r="175" spans="1:32" ht="15" customHeight="1" x14ac:dyDescent="0.3">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1"/>
    </row>
    <row r="176" spans="1:32" ht="15" customHeight="1" x14ac:dyDescent="0.3">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row>
    <row r="177" spans="1:32" ht="15" customHeight="1" x14ac:dyDescent="0.3">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row>
    <row r="178" spans="1:32" ht="15" customHeight="1" x14ac:dyDescent="0.3">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row>
    <row r="179" spans="1:32" ht="15" customHeight="1" x14ac:dyDescent="0.3">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row>
    <row r="180" spans="1:32" ht="15" customHeight="1" x14ac:dyDescent="0.3">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row>
    <row r="181" spans="1:32" ht="15" customHeight="1" x14ac:dyDescent="0.3">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row>
    <row r="182" spans="1:32" ht="15" customHeight="1" x14ac:dyDescent="0.3">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row>
    <row r="183" spans="1:32" ht="15" customHeight="1" x14ac:dyDescent="0.3">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row>
    <row r="184" spans="1:32" ht="15" customHeight="1" x14ac:dyDescent="0.3">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row>
    <row r="185" spans="1:32" ht="15" customHeight="1" x14ac:dyDescent="0.3">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row>
    <row r="186" spans="1:32" ht="15" customHeight="1" x14ac:dyDescent="0.3">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row>
    <row r="187" spans="1:32" ht="15" customHeight="1" x14ac:dyDescent="0.3">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row>
    <row r="188" spans="1:32" ht="15" customHeight="1" x14ac:dyDescent="0.3">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row>
    <row r="189" spans="1:32" ht="15" customHeight="1" x14ac:dyDescent="0.3">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row>
    <row r="190" spans="1:32" ht="15" customHeight="1" x14ac:dyDescent="0.3">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row>
    <row r="191" spans="1:32" ht="15" customHeight="1" x14ac:dyDescent="0.3">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row>
    <row r="192" spans="1:32" ht="15" customHeight="1" x14ac:dyDescent="0.3">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row>
    <row r="193" spans="1:32" ht="15" customHeight="1" x14ac:dyDescent="0.3">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row>
    <row r="194" spans="1:32" ht="15" customHeight="1" x14ac:dyDescent="0.3">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row>
    <row r="195" spans="1:32" ht="15" customHeight="1" x14ac:dyDescent="0.3">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row>
    <row r="196" spans="1:32" ht="15" customHeight="1" x14ac:dyDescent="0.3">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row>
    <row r="197" spans="1:32" ht="15" customHeight="1" x14ac:dyDescent="0.3">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row>
    <row r="198" spans="1:32" ht="15" customHeight="1" x14ac:dyDescent="0.3">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row>
    <row r="199" spans="1:32" ht="15" customHeight="1" x14ac:dyDescent="0.3">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row>
    <row r="200" spans="1:32" ht="15" customHeight="1" x14ac:dyDescent="0.3">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row>
    <row r="201" spans="1:32" ht="15" customHeight="1" x14ac:dyDescent="0.3">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row>
    <row r="202" spans="1:32" ht="15" customHeight="1" x14ac:dyDescent="0.3">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row>
    <row r="203" spans="1:32" ht="15" customHeight="1" x14ac:dyDescent="0.3">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row>
    <row r="204" spans="1:32" ht="15" customHeight="1" x14ac:dyDescent="0.3">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row>
    <row r="205" spans="1:32" ht="15" customHeight="1" x14ac:dyDescent="0.3">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row>
    <row r="206" spans="1:32" ht="15" customHeight="1" x14ac:dyDescent="0.3">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row>
    <row r="207" spans="1:32" ht="15" customHeight="1" x14ac:dyDescent="0.3">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row>
    <row r="208" spans="1:32" ht="15" customHeight="1" x14ac:dyDescent="0.3">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row>
    <row r="209" spans="1:32" ht="15" customHeight="1" x14ac:dyDescent="0.3">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row>
    <row r="210" spans="1:32" ht="15" customHeight="1" x14ac:dyDescent="0.3">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row>
    <row r="211" spans="1:32" ht="15" customHeight="1" x14ac:dyDescent="0.3">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row>
    <row r="212" spans="1:32" ht="15" customHeight="1" x14ac:dyDescent="0.3">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row>
    <row r="213" spans="1:32" ht="15" customHeight="1" x14ac:dyDescent="0.3">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row>
    <row r="214" spans="1:32" ht="15" customHeight="1" x14ac:dyDescent="0.3">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row>
    <row r="215" spans="1:32" ht="15" customHeight="1" x14ac:dyDescent="0.3">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row>
    <row r="216" spans="1:32" ht="15" customHeight="1" x14ac:dyDescent="0.3">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row>
    <row r="217" spans="1:32" ht="15" customHeight="1" x14ac:dyDescent="0.3">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row>
    <row r="218" spans="1:32" ht="15" customHeight="1" x14ac:dyDescent="0.3">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row>
    <row r="219" spans="1:32" ht="15" customHeight="1" x14ac:dyDescent="0.3">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1"/>
      <c r="AC219" s="121"/>
      <c r="AD219" s="121"/>
      <c r="AE219" s="121"/>
      <c r="AF219" s="121"/>
    </row>
    <row r="220" spans="1:32" ht="15" customHeight="1" x14ac:dyDescent="0.3">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row>
    <row r="221" spans="1:32" ht="15" customHeight="1" x14ac:dyDescent="0.3">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row>
    <row r="222" spans="1:32" ht="15" customHeight="1" x14ac:dyDescent="0.3">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row>
    <row r="223" spans="1:32" ht="15" customHeight="1" x14ac:dyDescent="0.3">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row>
    <row r="224" spans="1:32" ht="15" customHeight="1" x14ac:dyDescent="0.3">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row>
    <row r="225" spans="1:32" ht="15" customHeight="1" x14ac:dyDescent="0.3">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c r="AB225" s="121"/>
      <c r="AC225" s="121"/>
      <c r="AD225" s="121"/>
      <c r="AE225" s="121"/>
      <c r="AF225" s="121"/>
    </row>
    <row r="226" spans="1:32" ht="15" customHeight="1" x14ac:dyDescent="0.3">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row>
    <row r="227" spans="1:32" ht="15" customHeight="1" x14ac:dyDescent="0.3">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row>
    <row r="228" spans="1:32" ht="15" customHeight="1" x14ac:dyDescent="0.3">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row>
    <row r="229" spans="1:32" ht="15" customHeight="1" x14ac:dyDescent="0.3">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c r="AB229" s="121"/>
      <c r="AC229" s="121"/>
      <c r="AD229" s="121"/>
      <c r="AE229" s="121"/>
      <c r="AF229" s="121"/>
    </row>
    <row r="230" spans="1:32" ht="15" customHeight="1" x14ac:dyDescent="0.3">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row>
    <row r="231" spans="1:32" ht="15" customHeight="1" x14ac:dyDescent="0.3">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row>
    <row r="232" spans="1:32" ht="15" customHeight="1" x14ac:dyDescent="0.3">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row>
    <row r="233" spans="1:32" ht="15" customHeight="1" x14ac:dyDescent="0.3">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row>
    <row r="234" spans="1:32" ht="15" customHeight="1" x14ac:dyDescent="0.3">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row>
    <row r="235" spans="1:32" ht="15" customHeight="1" x14ac:dyDescent="0.3">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row>
    <row r="236" spans="1:32" ht="15" customHeight="1" x14ac:dyDescent="0.3">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row>
    <row r="237" spans="1:32" ht="15" customHeight="1" x14ac:dyDescent="0.3">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1"/>
    </row>
    <row r="238" spans="1:32" ht="15" customHeight="1" x14ac:dyDescent="0.3">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row>
    <row r="239" spans="1:32" ht="15" customHeight="1" x14ac:dyDescent="0.3">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row>
    <row r="240" spans="1:32" ht="15" customHeight="1" x14ac:dyDescent="0.3">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row>
    <row r="241" spans="1:32" ht="15" customHeight="1" x14ac:dyDescent="0.3">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row>
    <row r="242" spans="1:32" ht="15" customHeight="1" x14ac:dyDescent="0.3">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row>
    <row r="243" spans="1:32" ht="15" customHeight="1" x14ac:dyDescent="0.3">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row>
    <row r="244" spans="1:32" ht="15" customHeight="1" x14ac:dyDescent="0.3">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row>
    <row r="245" spans="1:32" ht="15" customHeight="1" x14ac:dyDescent="0.3">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row>
    <row r="246" spans="1:32" ht="15" customHeight="1" x14ac:dyDescent="0.3">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row>
    <row r="247" spans="1:32" ht="15" customHeight="1" x14ac:dyDescent="0.3">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row>
    <row r="248" spans="1:32" ht="15" customHeight="1" x14ac:dyDescent="0.3">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c r="AB248" s="121"/>
      <c r="AC248" s="121"/>
      <c r="AD248" s="121"/>
      <c r="AE248" s="121"/>
      <c r="AF248" s="121"/>
    </row>
    <row r="249" spans="1:32" ht="15" customHeight="1" x14ac:dyDescent="0.3"/>
    <row r="250" spans="1:32" ht="15" customHeight="1" x14ac:dyDescent="0.3"/>
    <row r="251" spans="1:32" ht="15" customHeight="1" x14ac:dyDescent="0.3"/>
    <row r="252" spans="1:32" ht="15" customHeight="1" x14ac:dyDescent="0.3"/>
    <row r="253" spans="1:32" ht="15" customHeight="1" x14ac:dyDescent="0.3"/>
    <row r="254" spans="1:32" ht="15" customHeight="1" x14ac:dyDescent="0.3"/>
    <row r="255" spans="1:32" ht="15" customHeight="1" x14ac:dyDescent="0.3"/>
    <row r="256" spans="1:32"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sheetData>
  <sheetProtection algorithmName="SHA-512" hashValue="seIKcuZNv7sUvxSXleNEi7AyjGlGNkhAciU5PZlSI6iaK8Sdqou+S8gj1G21Aad/Q3Qd4N5+JWCHEozRXl9kyQ==" saltValue="T33T9GxhZjrw0B0m0kzbiw==" spinCount="100000" sheet="1" objects="1" scenarios="1"/>
  <mergeCells count="191">
    <mergeCell ref="B41:AF41"/>
    <mergeCell ref="B114:AF114"/>
    <mergeCell ref="B120:AF120"/>
    <mergeCell ref="A107:J107"/>
    <mergeCell ref="K107:S107"/>
    <mergeCell ref="T107:AB107"/>
    <mergeCell ref="A108:J108"/>
    <mergeCell ref="K108:S108"/>
    <mergeCell ref="T108:AB108"/>
    <mergeCell ref="A110:AF110"/>
    <mergeCell ref="A112:AF112"/>
    <mergeCell ref="B115:AF115"/>
    <mergeCell ref="A105:J105"/>
    <mergeCell ref="K105:S105"/>
    <mergeCell ref="T105:AB105"/>
    <mergeCell ref="A106:J106"/>
    <mergeCell ref="K106:S106"/>
    <mergeCell ref="T106:AB106"/>
    <mergeCell ref="B117:AF117"/>
    <mergeCell ref="B118:AF118"/>
    <mergeCell ref="B119:AF119"/>
    <mergeCell ref="B116:AF116"/>
    <mergeCell ref="A102:J102"/>
    <mergeCell ref="K102:S102"/>
    <mergeCell ref="T102:AB102"/>
    <mergeCell ref="A103:J103"/>
    <mergeCell ref="K103:S103"/>
    <mergeCell ref="T103:AB103"/>
    <mergeCell ref="A104:J104"/>
    <mergeCell ref="K104:S104"/>
    <mergeCell ref="T104:AB104"/>
    <mergeCell ref="A99:J99"/>
    <mergeCell ref="K99:S99"/>
    <mergeCell ref="T99:AB99"/>
    <mergeCell ref="A100:J100"/>
    <mergeCell ref="K100:S100"/>
    <mergeCell ref="T100:AB100"/>
    <mergeCell ref="A101:J101"/>
    <mergeCell ref="K101:S101"/>
    <mergeCell ref="T101:AB101"/>
    <mergeCell ref="A90:AF90"/>
    <mergeCell ref="B92:S92"/>
    <mergeCell ref="T92:AA92"/>
    <mergeCell ref="B94:AF94"/>
    <mergeCell ref="A97:J97"/>
    <mergeCell ref="K97:S97"/>
    <mergeCell ref="T97:AB97"/>
    <mergeCell ref="A98:J98"/>
    <mergeCell ref="K98:S98"/>
    <mergeCell ref="T98:AB98"/>
    <mergeCell ref="A83:G83"/>
    <mergeCell ref="H83:T83"/>
    <mergeCell ref="U83:X83"/>
    <mergeCell ref="Y83:AB83"/>
    <mergeCell ref="AC83:AF83"/>
    <mergeCell ref="A84:AF84"/>
    <mergeCell ref="A86:AF86"/>
    <mergeCell ref="A87:AF87"/>
    <mergeCell ref="A88:AF88"/>
    <mergeCell ref="A80:G80"/>
    <mergeCell ref="H80:T80"/>
    <mergeCell ref="U80:X80"/>
    <mergeCell ref="Y80:AB80"/>
    <mergeCell ref="AC80:AF80"/>
    <mergeCell ref="AC81:AF81"/>
    <mergeCell ref="A82:G82"/>
    <mergeCell ref="H82:T82"/>
    <mergeCell ref="U82:X82"/>
    <mergeCell ref="Y82:AB82"/>
    <mergeCell ref="AC82:AF82"/>
    <mergeCell ref="A81:G81"/>
    <mergeCell ref="H81:T81"/>
    <mergeCell ref="U81:X81"/>
    <mergeCell ref="Y81:AB81"/>
    <mergeCell ref="A78:G78"/>
    <mergeCell ref="H78:T78"/>
    <mergeCell ref="U78:X78"/>
    <mergeCell ref="Y78:AB78"/>
    <mergeCell ref="AC78:AF78"/>
    <mergeCell ref="A79:G79"/>
    <mergeCell ref="H79:T79"/>
    <mergeCell ref="U79:X79"/>
    <mergeCell ref="Y79:AB79"/>
    <mergeCell ref="AC79:AF79"/>
    <mergeCell ref="A76:G76"/>
    <mergeCell ref="H76:T76"/>
    <mergeCell ref="U76:X76"/>
    <mergeCell ref="Y76:AB76"/>
    <mergeCell ref="AC76:AF76"/>
    <mergeCell ref="A77:G77"/>
    <mergeCell ref="H77:T77"/>
    <mergeCell ref="U77:X77"/>
    <mergeCell ref="Y77:AB77"/>
    <mergeCell ref="AC77:AF77"/>
    <mergeCell ref="A74:G74"/>
    <mergeCell ref="H74:T74"/>
    <mergeCell ref="U74:X74"/>
    <mergeCell ref="Y74:AB74"/>
    <mergeCell ref="AC74:AF74"/>
    <mergeCell ref="A75:G75"/>
    <mergeCell ref="H75:T75"/>
    <mergeCell ref="U75:X75"/>
    <mergeCell ref="Y75:AB75"/>
    <mergeCell ref="AC75:AF75"/>
    <mergeCell ref="A72:G72"/>
    <mergeCell ref="H72:T72"/>
    <mergeCell ref="U72:X72"/>
    <mergeCell ref="Y72:AB72"/>
    <mergeCell ref="AC72:AF72"/>
    <mergeCell ref="A73:G73"/>
    <mergeCell ref="H73:T73"/>
    <mergeCell ref="U73:X73"/>
    <mergeCell ref="Y73:AB73"/>
    <mergeCell ref="AC73:AF73"/>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U66:W66"/>
    <mergeCell ref="X66:AF66"/>
    <mergeCell ref="A67:D67"/>
    <mergeCell ref="E67:P67"/>
    <mergeCell ref="Q67:T67"/>
    <mergeCell ref="U67:W67"/>
    <mergeCell ref="X67:AF67"/>
    <mergeCell ref="A70:G71"/>
    <mergeCell ref="H70:T71"/>
    <mergeCell ref="U70:AB70"/>
    <mergeCell ref="AC70:AF70"/>
    <mergeCell ref="U71:X71"/>
    <mergeCell ref="Y71:AB71"/>
    <mergeCell ref="AC71:AF71"/>
    <mergeCell ref="Q61:T61"/>
    <mergeCell ref="U61:W61"/>
    <mergeCell ref="X61:AF61"/>
    <mergeCell ref="A62:D62"/>
    <mergeCell ref="E62:P62"/>
    <mergeCell ref="Q62:T62"/>
    <mergeCell ref="U62:W62"/>
    <mergeCell ref="X62:AF62"/>
    <mergeCell ref="A51:H51"/>
    <mergeCell ref="A61:D61"/>
    <mergeCell ref="E61:P61"/>
    <mergeCell ref="A59:D59"/>
    <mergeCell ref="E59:P59"/>
    <mergeCell ref="Q59:T59"/>
    <mergeCell ref="U59:W59"/>
    <mergeCell ref="X59:AF59"/>
    <mergeCell ref="A60:D60"/>
    <mergeCell ref="E60:P60"/>
    <mergeCell ref="Q60:T60"/>
    <mergeCell ref="U60:W60"/>
    <mergeCell ref="X60:AF60"/>
    <mergeCell ref="B28:AF28"/>
    <mergeCell ref="B30:AF30"/>
    <mergeCell ref="B32:AF32"/>
    <mergeCell ref="B35:AF35"/>
    <mergeCell ref="A43:AF43"/>
    <mergeCell ref="A47:H47"/>
    <mergeCell ref="A56:H56"/>
    <mergeCell ref="A58:AF58"/>
    <mergeCell ref="A1:AF1"/>
    <mergeCell ref="A7:AF7"/>
    <mergeCell ref="B10:AF10"/>
    <mergeCell ref="A3:AF3"/>
    <mergeCell ref="B5:AF5"/>
    <mergeCell ref="B12:AF12"/>
    <mergeCell ref="B15:AF15"/>
    <mergeCell ref="B17:AF17"/>
    <mergeCell ref="C18:AF18"/>
    <mergeCell ref="C19:AF19"/>
    <mergeCell ref="C20:AF20"/>
    <mergeCell ref="C21:AF21"/>
    <mergeCell ref="C22:AF22"/>
    <mergeCell ref="B25:AF25"/>
    <mergeCell ref="B37:AF37"/>
    <mergeCell ref="B39:AF39"/>
  </mergeCells>
  <hyperlinks>
    <hyperlink ref="A2" location="TOC!A1" display="Return to TOC" xr:uid="{00000000-0004-0000-2700-000000000000}"/>
    <hyperlink ref="T92:AA92" location="C_HVAC_VRF_WKST!A1" display=" (C_HVAC_VRF_WKST)" xr:uid="{00000000-0004-0000-27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7:AF56" numberStoredAsText="1"/>
  </ignoredErrors>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79998168889431442"/>
    <pageSetUpPr autoPageBreaks="0" fitToPage="1"/>
  </sheetPr>
  <dimension ref="A1:AN115"/>
  <sheetViews>
    <sheetView showGridLines="0" zoomScaleNormal="100" workbookViewId="0">
      <selection activeCell="A2" sqref="A2"/>
    </sheetView>
  </sheetViews>
  <sheetFormatPr defaultRowHeight="14.4" x14ac:dyDescent="0.3"/>
  <cols>
    <col min="1" max="1" width="2.6640625" customWidth="1"/>
    <col min="2" max="2" width="39.109375" customWidth="1"/>
    <col min="3" max="3" width="27.6640625" customWidth="1"/>
    <col min="4" max="4" width="9.33203125" customWidth="1"/>
    <col min="5" max="5" width="15.6640625" customWidth="1"/>
    <col min="6" max="6" width="30.33203125" customWidth="1"/>
    <col min="7" max="8" width="15.6640625" customWidth="1"/>
    <col min="9" max="9" width="5.109375" customWidth="1"/>
    <col min="10" max="12" width="15.6640625" customWidth="1"/>
    <col min="14" max="14" width="9.109375" style="438" hidden="1" customWidth="1"/>
    <col min="15" max="15" width="9.109375" hidden="1" customWidth="1"/>
    <col min="16" max="16" width="8.6640625" style="94" hidden="1" customWidth="1"/>
    <col min="17" max="18" width="9.109375" style="94" hidden="1" customWidth="1"/>
    <col min="19" max="19" width="8.6640625" style="94" hidden="1" customWidth="1"/>
    <col min="20" max="29" width="9.109375" hidden="1" customWidth="1"/>
    <col min="30" max="30" width="0" hidden="1" customWidth="1"/>
  </cols>
  <sheetData>
    <row r="1" spans="1:30" ht="18" x14ac:dyDescent="0.3">
      <c r="A1" s="579" t="s">
        <v>2752</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row>
    <row r="2" spans="1:30" ht="18" x14ac:dyDescent="0.3">
      <c r="A2" s="512" t="s">
        <v>1456</v>
      </c>
      <c r="B2" s="145"/>
      <c r="C2" s="145"/>
      <c r="D2" s="145"/>
      <c r="E2" s="145"/>
      <c r="O2" s="374"/>
      <c r="Q2" s="121" t="s">
        <v>2753</v>
      </c>
      <c r="T2" s="94"/>
      <c r="U2" s="187"/>
      <c r="V2" s="94"/>
      <c r="W2" s="94"/>
      <c r="X2" s="94"/>
      <c r="Y2" s="94"/>
      <c r="Z2" s="94"/>
      <c r="AA2" s="94"/>
      <c r="AB2" s="94"/>
      <c r="AC2" s="94"/>
      <c r="AD2" s="94"/>
    </row>
    <row r="3" spans="1:30" x14ac:dyDescent="0.3">
      <c r="G3" s="374"/>
      <c r="Q3" s="121"/>
      <c r="T3" s="94"/>
      <c r="U3" s="94"/>
      <c r="V3" s="94"/>
      <c r="W3" s="94"/>
      <c r="X3" s="94"/>
      <c r="Y3" s="94"/>
      <c r="Z3" s="94"/>
      <c r="AA3" s="94"/>
      <c r="AB3" s="94"/>
      <c r="AC3" s="94"/>
      <c r="AD3" s="94"/>
    </row>
    <row r="4" spans="1:30" x14ac:dyDescent="0.3">
      <c r="B4" s="605" t="s">
        <v>4540</v>
      </c>
      <c r="F4" s="1702" t="s">
        <v>1025</v>
      </c>
      <c r="G4" s="1702"/>
      <c r="J4" s="1702" t="s">
        <v>1160</v>
      </c>
      <c r="K4" s="1702"/>
      <c r="Q4" s="59" t="s">
        <v>2734</v>
      </c>
      <c r="T4" s="94"/>
      <c r="U4" s="94"/>
      <c r="V4" s="94"/>
      <c r="W4" s="94"/>
      <c r="X4" s="94"/>
      <c r="Y4" s="94"/>
      <c r="Z4" s="94"/>
      <c r="AA4" s="94"/>
      <c r="AB4" s="94"/>
      <c r="AC4" s="94"/>
      <c r="AD4" s="94"/>
    </row>
    <row r="5" spans="1:30" x14ac:dyDescent="0.3">
      <c r="B5" s="94"/>
      <c r="G5" s="148" t="s">
        <v>2732</v>
      </c>
      <c r="H5" s="148" t="s">
        <v>2754</v>
      </c>
      <c r="Q5" s="59" t="s">
        <v>2737</v>
      </c>
      <c r="T5" s="94"/>
      <c r="U5" s="94"/>
      <c r="V5" s="94"/>
      <c r="W5" s="94"/>
      <c r="X5" s="94"/>
      <c r="Y5" s="94"/>
      <c r="Z5" s="94"/>
      <c r="AA5" s="121"/>
      <c r="AB5" s="121"/>
      <c r="AC5" s="121"/>
      <c r="AD5" s="121"/>
    </row>
    <row r="6" spans="1:30" x14ac:dyDescent="0.3">
      <c r="B6" s="514" t="s">
        <v>3715</v>
      </c>
      <c r="C6" s="836" t="s">
        <v>2734</v>
      </c>
      <c r="D6" s="374"/>
      <c r="F6" t="s">
        <v>2092</v>
      </c>
      <c r="G6" s="509" t="s">
        <v>3486</v>
      </c>
      <c r="H6" s="509" t="str">
        <f>IF($C$10&gt;=INDEX($D$44:$E$58,MATCH($C$6&amp;" - "&amp;$G$9,$G$23:$G$37,0),MATCH($D$10,$D$22:$E$22,0)),"Pass", "Fail")</f>
        <v>Pass</v>
      </c>
      <c r="J6" s="179" t="s">
        <v>1024</v>
      </c>
      <c r="K6" s="1695">
        <f>INDEX($C$87:$D$97,MATCH($C$8,$B$87:$B$97,0),2)</f>
        <v>0.27</v>
      </c>
      <c r="L6" s="1695"/>
      <c r="Q6" s="59" t="s">
        <v>2739</v>
      </c>
      <c r="T6" s="94"/>
      <c r="U6" s="94"/>
      <c r="V6" s="388"/>
      <c r="W6" s="94"/>
      <c r="X6" s="94"/>
      <c r="Y6" s="94"/>
      <c r="Z6" s="94"/>
      <c r="AA6" s="94"/>
      <c r="AB6" s="94"/>
      <c r="AC6" s="94"/>
      <c r="AD6" s="94"/>
    </row>
    <row r="7" spans="1:30" x14ac:dyDescent="0.3">
      <c r="B7" s="514" t="s">
        <v>4652</v>
      </c>
      <c r="C7" s="835">
        <v>70000</v>
      </c>
      <c r="F7" t="s">
        <v>2093</v>
      </c>
      <c r="G7" s="509" t="s">
        <v>3486</v>
      </c>
      <c r="H7" s="509" t="str">
        <f>IF($C$10&gt;=INDEX($D$65:$E$79,MATCH($C$6&amp;" - "&amp;$G$9,$G$23:$G$37,0),MATCH($D$10,$D$22:$E$22,0)),"Pass", "Fail")</f>
        <v>Pass</v>
      </c>
      <c r="J7" s="179" t="s">
        <v>1023</v>
      </c>
      <c r="K7" s="1703">
        <f>INDEX($C$87:$D$97,MATCH($C$8,$B$87:$B$97,0),1)</f>
        <v>1531</v>
      </c>
      <c r="L7" s="1703"/>
      <c r="Q7" s="94" t="s">
        <v>3709</v>
      </c>
      <c r="T7" s="94"/>
      <c r="U7" s="94"/>
      <c r="V7" s="94"/>
      <c r="W7" s="94"/>
      <c r="X7" s="94"/>
      <c r="Y7" s="94"/>
      <c r="Z7" s="94"/>
      <c r="AA7" s="94"/>
      <c r="AB7" s="94"/>
      <c r="AC7" s="94"/>
      <c r="AD7" s="94"/>
    </row>
    <row r="8" spans="1:30" x14ac:dyDescent="0.3">
      <c r="B8" s="514" t="s">
        <v>3495</v>
      </c>
      <c r="C8" s="836" t="s">
        <v>213</v>
      </c>
      <c r="G8" s="94"/>
      <c r="H8" s="94"/>
      <c r="J8" s="163" t="s">
        <v>1159</v>
      </c>
      <c r="K8" s="1704">
        <f>ROUND(IF(OR($K$11=$F$6,$K$11=$F$7),$C$7/1000*(1/$G10-1/$C9)*$K6,0),3)</f>
        <v>-3.1E-2</v>
      </c>
      <c r="L8" s="1704"/>
      <c r="T8" s="94"/>
      <c r="U8" s="94"/>
      <c r="V8" s="94"/>
      <c r="W8" s="94"/>
      <c r="X8" s="94"/>
      <c r="Y8" s="94"/>
      <c r="Z8" s="94"/>
      <c r="AA8" s="94"/>
      <c r="AB8" s="94"/>
      <c r="AC8" s="94"/>
      <c r="AD8" s="94"/>
    </row>
    <row r="9" spans="1:30" x14ac:dyDescent="0.3">
      <c r="B9" s="479" t="s">
        <v>2756</v>
      </c>
      <c r="C9" s="837">
        <v>11</v>
      </c>
      <c r="D9" s="148" t="s">
        <v>285</v>
      </c>
      <c r="F9" s="268" t="s">
        <v>2757</v>
      </c>
      <c r="G9" s="1547" t="str">
        <f>IF(C6=Q7,INDEX($R$19:$R$21,MATCH($C$7,$Q$19:$Q$21,1),1),INDEX($R$14:$R$17,MATCH($C$7,$Q$14:$Q$17,1),1))</f>
        <v>≥ 65,000 and &lt; 135,000 Btu/h</v>
      </c>
      <c r="H9" s="1547"/>
      <c r="J9" s="163" t="s">
        <v>1022</v>
      </c>
      <c r="K9" s="1429">
        <f>ROUND(IF(OR($K$11=$F$6,$K$11=$F$7),$C$7/1000*(1/$G11-1/$C10)*$K7,0),2)</f>
        <v>1609.63</v>
      </c>
      <c r="L9" s="1429"/>
      <c r="Q9" s="59" t="s">
        <v>2755</v>
      </c>
      <c r="T9" s="94"/>
      <c r="U9" s="94"/>
    </row>
    <row r="10" spans="1:30" x14ac:dyDescent="0.3">
      <c r="B10" s="479" t="s">
        <v>2758</v>
      </c>
      <c r="C10" s="837">
        <v>16</v>
      </c>
      <c r="D10" s="148" t="str">
        <f>IF($C$7&lt;65000, "SEER","IEER")</f>
        <v>IEER</v>
      </c>
      <c r="F10" s="268" t="s">
        <v>2759</v>
      </c>
      <c r="G10" s="509">
        <f>INDEX($F$23:$F$37,MATCH($C$6&amp;" - "&amp;$G$9,$G$23:$G$37,0),1)</f>
        <v>11.2</v>
      </c>
      <c r="H10" s="509" t="s">
        <v>285</v>
      </c>
      <c r="J10" s="179" t="s">
        <v>2089</v>
      </c>
      <c r="K10" s="1429">
        <f>ROUND(K9*C_HVAC_VRF!$Q$67,2)</f>
        <v>32192.6</v>
      </c>
      <c r="L10" s="1429"/>
      <c r="M10" s="374"/>
      <c r="Q10" s="59" t="s">
        <v>798</v>
      </c>
      <c r="T10" s="94"/>
      <c r="U10" s="94"/>
    </row>
    <row r="11" spans="1:30" x14ac:dyDescent="0.3">
      <c r="B11" s="1816" t="s">
        <v>4541</v>
      </c>
      <c r="C11" s="238" t="str">
        <f>IF(AND(C6=Q7,C7&gt;134000),"Check Water-Source HP capacity","")</f>
        <v/>
      </c>
      <c r="F11" s="268" t="s">
        <v>2760</v>
      </c>
      <c r="G11" s="509">
        <f>INDEX($D$23:$E$37,MATCH($C$6&amp;" - "&amp;$G$9,$G$23:$G$37,0),MATCH($D$10,$D$22:$E$22,0))</f>
        <v>12.9</v>
      </c>
      <c r="H11" s="509" t="str">
        <f>IF($C$7&lt;65000, "SEER","IEER")</f>
        <v>IEER</v>
      </c>
      <c r="J11" s="163" t="s">
        <v>2091</v>
      </c>
      <c r="K11" s="1696" t="str">
        <f>IF(AND(OR(G7="Pass",G7="NA"),H7="Pass"),F7,IF(AND(OR(G6="Pass",G6="NA"),H6="Pass"),F6,"Does Not Qualify"))</f>
        <v>Tier 2 (ASHRAE + 20%)</v>
      </c>
      <c r="L11" s="1696"/>
      <c r="Q11" s="59" t="s">
        <v>2733</v>
      </c>
      <c r="T11" s="94"/>
      <c r="U11" s="94"/>
    </row>
    <row r="12" spans="1:30" x14ac:dyDescent="0.3">
      <c r="B12" s="1816"/>
      <c r="C12" s="238" t="str">
        <f>IF(C7&gt;239000,"Use custom approach for capacities ≥ 240,000 Btu/h","")</f>
        <v/>
      </c>
      <c r="T12" s="94"/>
      <c r="U12" s="94"/>
    </row>
    <row r="13" spans="1:30" x14ac:dyDescent="0.3">
      <c r="C13" s="238" t="str">
        <f>IF(OR(C8="Cold Storage",C8="Industrial"), "Cold Storage or Industrial building type was selected. These should be evaluated on a custom basis, or else a more appropriate building type should be selected.","")</f>
        <v/>
      </c>
      <c r="T13" s="94"/>
      <c r="U13" s="94"/>
    </row>
    <row r="14" spans="1:30" s="94" customFormat="1" x14ac:dyDescent="0.3">
      <c r="Q14" s="94">
        <v>8000</v>
      </c>
      <c r="R14" s="375" t="s">
        <v>2735</v>
      </c>
    </row>
    <row r="15" spans="1:30" s="94" customFormat="1" x14ac:dyDescent="0.3">
      <c r="Q15" s="94">
        <v>65000</v>
      </c>
      <c r="R15" s="375" t="s">
        <v>2746</v>
      </c>
    </row>
    <row r="16" spans="1:30" s="94" customFormat="1" x14ac:dyDescent="0.3">
      <c r="Q16" s="94">
        <v>135000</v>
      </c>
      <c r="R16" s="375" t="s">
        <v>2747</v>
      </c>
    </row>
    <row r="17" spans="2:40" s="94" customFormat="1" x14ac:dyDescent="0.3">
      <c r="B17" s="515"/>
      <c r="Q17" s="94">
        <v>240000</v>
      </c>
      <c r="R17" s="375" t="s">
        <v>2749</v>
      </c>
    </row>
    <row r="18" spans="2:40" s="94" customFormat="1" x14ac:dyDescent="0.3"/>
    <row r="19" spans="2:40" s="94" customFormat="1" x14ac:dyDescent="0.3">
      <c r="Q19" s="94">
        <v>1000</v>
      </c>
      <c r="R19" s="375" t="s">
        <v>3710</v>
      </c>
    </row>
    <row r="20" spans="2:40" s="94" customFormat="1" ht="18" x14ac:dyDescent="0.3">
      <c r="B20" s="144" t="s">
        <v>3716</v>
      </c>
      <c r="Q20" s="94">
        <v>17000</v>
      </c>
      <c r="R20" s="375" t="s">
        <v>3717</v>
      </c>
    </row>
    <row r="21" spans="2:40" s="94" customFormat="1" x14ac:dyDescent="0.3">
      <c r="B21" s="1697" t="s">
        <v>2729</v>
      </c>
      <c r="C21" s="1697" t="s">
        <v>2730</v>
      </c>
      <c r="D21" s="1699" t="s">
        <v>2731</v>
      </c>
      <c r="E21" s="1700"/>
      <c r="F21" s="510" t="s">
        <v>2761</v>
      </c>
      <c r="G21" s="61"/>
      <c r="H21" s="61"/>
      <c r="I21" s="379"/>
      <c r="J21" s="587"/>
      <c r="K21" s="587"/>
      <c r="L21" s="587"/>
      <c r="M21" s="587"/>
      <c r="N21" s="587"/>
      <c r="O21" s="587"/>
      <c r="P21" s="587"/>
      <c r="Q21" s="94">
        <v>65000</v>
      </c>
      <c r="R21" s="375" t="s">
        <v>2746</v>
      </c>
      <c r="S21" s="728"/>
      <c r="T21" s="587"/>
      <c r="U21" s="587"/>
      <c r="V21" s="587"/>
      <c r="W21" s="587"/>
      <c r="X21" s="587"/>
      <c r="Y21" s="587"/>
      <c r="Z21" s="587"/>
      <c r="AA21" s="587"/>
      <c r="AB21" s="587"/>
      <c r="AC21" s="587"/>
      <c r="AD21" s="587"/>
      <c r="AE21" s="587"/>
      <c r="AF21" s="587"/>
      <c r="AG21" s="587"/>
      <c r="AH21" s="587"/>
      <c r="AI21" s="587"/>
      <c r="AJ21" s="587"/>
      <c r="AK21" s="587"/>
      <c r="AL21" s="587"/>
      <c r="AM21" s="587"/>
      <c r="AN21" s="587"/>
    </row>
    <row r="22" spans="2:40" s="94" customFormat="1" ht="14.4" customHeight="1" x14ac:dyDescent="0.3">
      <c r="B22" s="1698"/>
      <c r="C22" s="1698"/>
      <c r="D22" s="377" t="s">
        <v>798</v>
      </c>
      <c r="E22" s="377" t="s">
        <v>2733</v>
      </c>
      <c r="F22" s="377" t="s">
        <v>285</v>
      </c>
      <c r="G22" s="510" t="s">
        <v>2762</v>
      </c>
      <c r="I22" s="379"/>
      <c r="J22" s="587"/>
      <c r="K22" s="587"/>
      <c r="L22" s="587"/>
      <c r="M22" s="587"/>
      <c r="N22" s="587"/>
      <c r="O22" s="587"/>
      <c r="P22" s="587"/>
      <c r="Q22" s="587"/>
      <c r="R22" s="587"/>
      <c r="S22" s="587"/>
      <c r="T22" s="587"/>
      <c r="U22" s="587"/>
      <c r="V22" s="587"/>
      <c r="W22" s="587"/>
      <c r="X22" s="587"/>
      <c r="Y22" s="587"/>
      <c r="Z22" s="587"/>
      <c r="AA22" s="587"/>
      <c r="AB22" s="587"/>
      <c r="AC22" s="587"/>
      <c r="AD22" s="587"/>
      <c r="AE22" s="587"/>
      <c r="AF22" s="587"/>
      <c r="AG22" s="587"/>
      <c r="AH22" s="587"/>
      <c r="AI22" s="587"/>
      <c r="AJ22" s="587"/>
      <c r="AK22" s="587"/>
      <c r="AL22" s="587"/>
      <c r="AM22" s="587"/>
      <c r="AN22" s="587"/>
    </row>
    <row r="23" spans="2:40" s="94" customFormat="1" x14ac:dyDescent="0.3">
      <c r="B23" s="510" t="s">
        <v>2734</v>
      </c>
      <c r="C23" s="510" t="s">
        <v>2735</v>
      </c>
      <c r="D23" s="378">
        <v>14</v>
      </c>
      <c r="E23" s="516" t="s">
        <v>2736</v>
      </c>
      <c r="F23" s="517">
        <v>11</v>
      </c>
      <c r="G23" s="94" t="str">
        <f t="shared" ref="G23:G37" si="0">B23&amp;" - "&amp;C23</f>
        <v>Split System AC - &lt; 65,000 Btu/h</v>
      </c>
      <c r="I23" s="59"/>
      <c r="J23" s="61"/>
      <c r="K23" s="61"/>
      <c r="L23" s="61"/>
      <c r="M23" s="61"/>
      <c r="N23" s="61"/>
      <c r="O23" s="61"/>
      <c r="P23" s="61"/>
      <c r="Q23" s="61"/>
      <c r="R23" s="61"/>
      <c r="S23" s="61"/>
      <c r="T23" s="61"/>
      <c r="U23" s="61"/>
      <c r="V23" s="61"/>
      <c r="W23" s="61"/>
      <c r="X23" s="61"/>
      <c r="Y23" s="61"/>
      <c r="Z23" s="61"/>
      <c r="AA23" s="61"/>
      <c r="AB23" s="61"/>
      <c r="AC23" s="480"/>
      <c r="AD23" s="480"/>
      <c r="AE23" s="480"/>
      <c r="AF23" s="480"/>
      <c r="AG23" s="588"/>
      <c r="AH23" s="480"/>
      <c r="AI23" s="480"/>
      <c r="AJ23" s="480"/>
      <c r="AK23" s="589"/>
      <c r="AL23" s="590"/>
      <c r="AM23" s="590"/>
      <c r="AN23" s="590"/>
    </row>
    <row r="24" spans="2:40" s="94" customFormat="1" ht="14.4" customHeight="1" x14ac:dyDescent="0.3">
      <c r="B24" s="510" t="s">
        <v>2737</v>
      </c>
      <c r="C24" s="510" t="s">
        <v>2735</v>
      </c>
      <c r="D24" s="378">
        <v>14</v>
      </c>
      <c r="E24" s="516" t="s">
        <v>2736</v>
      </c>
      <c r="F24" s="517">
        <v>11</v>
      </c>
      <c r="G24" s="94" t="str">
        <f t="shared" si="0"/>
        <v>Single Package AC - &lt; 65,000 Btu/h</v>
      </c>
      <c r="I24" s="59"/>
      <c r="J24" s="61"/>
      <c r="K24" s="61"/>
      <c r="L24" s="61"/>
      <c r="M24" s="61"/>
      <c r="N24" s="61"/>
      <c r="O24" s="61"/>
      <c r="P24" s="61"/>
      <c r="Q24" s="61"/>
      <c r="R24" s="61"/>
      <c r="S24" s="61"/>
      <c r="T24" s="61"/>
      <c r="U24" s="61"/>
      <c r="V24" s="61"/>
      <c r="W24" s="61"/>
      <c r="X24" s="61"/>
      <c r="Y24" s="61"/>
      <c r="Z24" s="61"/>
      <c r="AA24" s="61"/>
      <c r="AB24" s="61"/>
      <c r="AC24" s="480"/>
      <c r="AD24" s="480"/>
      <c r="AE24" s="480"/>
      <c r="AF24" s="480"/>
      <c r="AG24" s="588"/>
      <c r="AH24" s="480"/>
      <c r="AI24" s="480"/>
      <c r="AJ24" s="480"/>
      <c r="AK24" s="590"/>
      <c r="AL24" s="590"/>
      <c r="AM24" s="590"/>
      <c r="AN24" s="590"/>
    </row>
    <row r="25" spans="2:40" s="94" customFormat="1" ht="14.4" customHeight="1" x14ac:dyDescent="0.3">
      <c r="B25" s="510" t="s">
        <v>2734</v>
      </c>
      <c r="C25" s="510" t="s">
        <v>2746</v>
      </c>
      <c r="D25" s="516" t="s">
        <v>2736</v>
      </c>
      <c r="E25" s="378">
        <v>12.9</v>
      </c>
      <c r="F25" s="378">
        <v>11.2</v>
      </c>
      <c r="G25" s="94" t="str">
        <f t="shared" si="0"/>
        <v>Split System AC - ≥ 65,000 and &lt; 135,000 Btu/h</v>
      </c>
      <c r="I25" s="59"/>
      <c r="J25" s="61"/>
      <c r="K25" s="61"/>
      <c r="L25" s="61"/>
      <c r="M25" s="61"/>
      <c r="N25" s="61"/>
      <c r="O25" s="61"/>
      <c r="P25" s="61"/>
      <c r="Q25" s="61"/>
      <c r="R25" s="61"/>
      <c r="S25" s="61"/>
      <c r="T25" s="61"/>
      <c r="U25" s="61"/>
      <c r="V25" s="61"/>
      <c r="W25" s="61"/>
      <c r="X25" s="61"/>
      <c r="Y25" s="61"/>
      <c r="Z25" s="61"/>
      <c r="AA25" s="61"/>
      <c r="AB25" s="61"/>
      <c r="AC25" s="588"/>
      <c r="AD25" s="480"/>
      <c r="AE25" s="480"/>
      <c r="AF25" s="480"/>
      <c r="AG25" s="480"/>
      <c r="AH25" s="480"/>
      <c r="AI25" s="480"/>
      <c r="AJ25" s="480"/>
      <c r="AK25" s="480"/>
      <c r="AL25" s="480"/>
      <c r="AM25" s="480"/>
      <c r="AN25" s="480"/>
    </row>
    <row r="26" spans="2:40" s="94" customFormat="1" ht="14.4" customHeight="1" x14ac:dyDescent="0.3">
      <c r="B26" s="510" t="s">
        <v>2734</v>
      </c>
      <c r="C26" s="510" t="s">
        <v>2747</v>
      </c>
      <c r="D26" s="516" t="s">
        <v>2736</v>
      </c>
      <c r="E26" s="378">
        <v>12.4</v>
      </c>
      <c r="F26" s="378">
        <v>11</v>
      </c>
      <c r="G26" s="94" t="str">
        <f t="shared" si="0"/>
        <v>Split System AC - ≥ 135,000 and &lt; 240,000 Btu/h</v>
      </c>
      <c r="I26" s="59"/>
      <c r="J26" s="61"/>
      <c r="K26" s="61"/>
      <c r="L26" s="61"/>
      <c r="M26" s="61"/>
      <c r="N26" s="61"/>
      <c r="O26" s="61"/>
      <c r="P26" s="61"/>
      <c r="Q26" s="61"/>
      <c r="R26" s="61"/>
      <c r="S26" s="61"/>
      <c r="T26" s="61"/>
      <c r="U26" s="61"/>
      <c r="V26" s="61"/>
      <c r="W26" s="61"/>
      <c r="X26" s="61"/>
      <c r="Y26" s="61"/>
      <c r="Z26" s="61"/>
      <c r="AA26" s="61"/>
      <c r="AB26" s="61"/>
      <c r="AC26" s="588"/>
      <c r="AD26" s="480"/>
      <c r="AE26" s="480"/>
      <c r="AF26" s="480"/>
      <c r="AG26" s="480"/>
      <c r="AH26" s="480"/>
      <c r="AI26" s="480"/>
      <c r="AJ26" s="480"/>
      <c r="AK26" s="480"/>
      <c r="AL26" s="480"/>
      <c r="AM26" s="480"/>
      <c r="AN26" s="480"/>
    </row>
    <row r="27" spans="2:40" s="94" customFormat="1" ht="14.4" customHeight="1" x14ac:dyDescent="0.3">
      <c r="B27" s="510" t="s">
        <v>2734</v>
      </c>
      <c r="C27" s="510" t="s">
        <v>2749</v>
      </c>
      <c r="D27" s="516" t="s">
        <v>2736</v>
      </c>
      <c r="E27" s="378">
        <v>11.6</v>
      </c>
      <c r="F27" s="378">
        <v>10</v>
      </c>
      <c r="G27" s="94" t="str">
        <f t="shared" si="0"/>
        <v>Split System AC - ≥ 240,000 Btu/h</v>
      </c>
      <c r="I27" s="59"/>
      <c r="J27" s="61"/>
      <c r="K27" s="61"/>
      <c r="L27" s="61"/>
      <c r="M27" s="61"/>
      <c r="N27" s="61"/>
      <c r="O27" s="61"/>
      <c r="P27" s="61"/>
      <c r="Q27" s="61"/>
      <c r="R27" s="61"/>
      <c r="S27" s="61"/>
      <c r="T27" s="61"/>
      <c r="U27" s="61"/>
      <c r="V27" s="61"/>
      <c r="W27" s="61"/>
      <c r="X27" s="61"/>
      <c r="Y27" s="61"/>
      <c r="Z27" s="61"/>
      <c r="AA27" s="61"/>
      <c r="AB27" s="61"/>
      <c r="AC27" s="588"/>
      <c r="AD27" s="480"/>
      <c r="AE27" s="480"/>
      <c r="AF27" s="480"/>
      <c r="AG27" s="480"/>
      <c r="AH27" s="480"/>
      <c r="AI27" s="480"/>
      <c r="AJ27" s="480"/>
      <c r="AK27" s="480"/>
      <c r="AL27" s="480"/>
      <c r="AM27" s="480"/>
      <c r="AN27" s="480"/>
    </row>
    <row r="28" spans="2:40" s="94" customFormat="1" ht="14.4" customHeight="1" x14ac:dyDescent="0.3">
      <c r="B28" s="510" t="s">
        <v>2737</v>
      </c>
      <c r="C28" s="510" t="s">
        <v>2746</v>
      </c>
      <c r="D28" s="516" t="s">
        <v>2736</v>
      </c>
      <c r="E28" s="378">
        <v>12.9</v>
      </c>
      <c r="F28" s="378">
        <v>11.2</v>
      </c>
      <c r="G28" s="94" t="str">
        <f t="shared" si="0"/>
        <v>Single Package AC - ≥ 65,000 and &lt; 135,000 Btu/h</v>
      </c>
      <c r="I28" s="59"/>
      <c r="J28" s="61"/>
      <c r="K28" s="61"/>
      <c r="L28" s="61"/>
      <c r="M28" s="61"/>
      <c r="N28" s="61"/>
      <c r="O28" s="61"/>
      <c r="P28" s="61"/>
      <c r="Q28" s="61"/>
      <c r="R28" s="61"/>
      <c r="S28" s="61"/>
      <c r="T28" s="61"/>
      <c r="U28" s="61"/>
      <c r="V28" s="61"/>
      <c r="W28" s="61"/>
      <c r="X28" s="61"/>
      <c r="Y28" s="61"/>
      <c r="Z28" s="61"/>
      <c r="AA28" s="61"/>
      <c r="AB28" s="61"/>
      <c r="AC28" s="480"/>
      <c r="AD28" s="480"/>
      <c r="AE28" s="480"/>
      <c r="AF28" s="480"/>
      <c r="AG28" s="588"/>
      <c r="AH28" s="480"/>
      <c r="AI28" s="480"/>
      <c r="AJ28" s="480"/>
      <c r="AK28" s="590"/>
      <c r="AL28" s="590"/>
      <c r="AM28" s="590"/>
      <c r="AN28" s="590"/>
    </row>
    <row r="29" spans="2:40" s="94" customFormat="1" ht="14.4" customHeight="1" x14ac:dyDescent="0.3">
      <c r="B29" s="510" t="s">
        <v>2737</v>
      </c>
      <c r="C29" s="510" t="s">
        <v>2747</v>
      </c>
      <c r="D29" s="516" t="s">
        <v>2736</v>
      </c>
      <c r="E29" s="378">
        <v>12.4</v>
      </c>
      <c r="F29" s="378">
        <v>11</v>
      </c>
      <c r="G29" s="94" t="str">
        <f t="shared" si="0"/>
        <v>Single Package AC - ≥ 135,000 and &lt; 240,000 Btu/h</v>
      </c>
      <c r="I29" s="59"/>
      <c r="J29" s="61"/>
      <c r="K29" s="61"/>
      <c r="L29" s="61"/>
      <c r="M29" s="61"/>
      <c r="N29" s="61"/>
      <c r="O29" s="61"/>
      <c r="P29" s="61"/>
      <c r="Q29" s="61"/>
      <c r="R29" s="61"/>
      <c r="S29" s="61"/>
      <c r="T29" s="61"/>
      <c r="U29" s="61"/>
      <c r="V29" s="61"/>
      <c r="W29" s="61"/>
      <c r="X29" s="61"/>
      <c r="Y29" s="61"/>
      <c r="Z29" s="61"/>
      <c r="AA29" s="61"/>
      <c r="AB29" s="61"/>
      <c r="AC29" s="588"/>
      <c r="AD29" s="480"/>
      <c r="AE29" s="480"/>
      <c r="AF29" s="480"/>
      <c r="AG29" s="480"/>
      <c r="AH29" s="480"/>
      <c r="AI29" s="480"/>
      <c r="AJ29" s="480"/>
      <c r="AK29" s="480"/>
      <c r="AL29" s="480"/>
      <c r="AM29" s="480"/>
      <c r="AN29" s="480"/>
    </row>
    <row r="30" spans="2:40" s="94" customFormat="1" ht="14.4" customHeight="1" x14ac:dyDescent="0.3">
      <c r="B30" s="510" t="s">
        <v>2737</v>
      </c>
      <c r="C30" s="510" t="s">
        <v>2749</v>
      </c>
      <c r="D30" s="516" t="s">
        <v>2736</v>
      </c>
      <c r="E30" s="378">
        <v>11.6</v>
      </c>
      <c r="F30" s="378">
        <v>10</v>
      </c>
      <c r="G30" s="94" t="str">
        <f t="shared" si="0"/>
        <v>Single Package AC - ≥ 240,000 Btu/h</v>
      </c>
      <c r="I30" s="59"/>
      <c r="J30" s="61"/>
      <c r="K30" s="61"/>
      <c r="L30" s="61"/>
      <c r="M30" s="61"/>
      <c r="N30" s="61"/>
      <c r="O30" s="61"/>
      <c r="P30" s="61"/>
      <c r="Q30" s="61"/>
      <c r="R30" s="61"/>
      <c r="S30" s="61"/>
      <c r="T30" s="61"/>
      <c r="U30" s="61"/>
      <c r="V30" s="61"/>
      <c r="W30" s="61"/>
      <c r="X30" s="61"/>
      <c r="Y30" s="61"/>
      <c r="Z30" s="61"/>
      <c r="AA30" s="61"/>
      <c r="AB30" s="61"/>
      <c r="AC30" s="588"/>
      <c r="AD30" s="480"/>
      <c r="AE30" s="480"/>
      <c r="AF30" s="480"/>
      <c r="AG30" s="480"/>
      <c r="AH30" s="480"/>
      <c r="AI30" s="480"/>
      <c r="AJ30" s="480"/>
      <c r="AK30" s="480"/>
      <c r="AL30" s="480"/>
      <c r="AM30" s="480"/>
      <c r="AN30" s="480"/>
    </row>
    <row r="31" spans="2:40" s="94" customFormat="1" ht="14.4" customHeight="1" x14ac:dyDescent="0.3">
      <c r="B31" s="510" t="s">
        <v>2739</v>
      </c>
      <c r="C31" s="510" t="s">
        <v>2735</v>
      </c>
      <c r="D31" s="378">
        <v>14</v>
      </c>
      <c r="E31" s="516" t="s">
        <v>2736</v>
      </c>
      <c r="F31" s="517">
        <v>11</v>
      </c>
      <c r="G31" s="94" t="str">
        <f t="shared" si="0"/>
        <v>Air-Source HP - &lt; 65,000 Btu/h</v>
      </c>
      <c r="I31" s="59"/>
      <c r="J31" s="61"/>
      <c r="K31" s="61"/>
      <c r="L31" s="61"/>
      <c r="M31" s="61"/>
      <c r="N31" s="61"/>
      <c r="O31" s="61"/>
      <c r="P31" s="61"/>
      <c r="Q31" s="61"/>
      <c r="R31" s="61"/>
      <c r="S31" s="61"/>
      <c r="T31" s="61"/>
      <c r="U31" s="61"/>
      <c r="V31" s="61"/>
      <c r="W31" s="61"/>
      <c r="X31" s="61"/>
      <c r="Y31" s="61"/>
      <c r="Z31" s="61"/>
      <c r="AA31" s="61"/>
      <c r="AB31" s="61"/>
      <c r="AC31" s="588"/>
      <c r="AD31" s="480"/>
      <c r="AE31" s="480"/>
      <c r="AF31" s="480"/>
      <c r="AG31" s="480"/>
      <c r="AH31" s="480"/>
      <c r="AI31" s="480"/>
      <c r="AJ31" s="480"/>
      <c r="AK31" s="480"/>
      <c r="AL31" s="480"/>
      <c r="AM31" s="480"/>
      <c r="AN31" s="480"/>
    </row>
    <row r="32" spans="2:40" s="94" customFormat="1" ht="14.4" customHeight="1" x14ac:dyDescent="0.3">
      <c r="B32" s="510" t="s">
        <v>2739</v>
      </c>
      <c r="C32" s="510" t="s">
        <v>2746</v>
      </c>
      <c r="D32" s="516" t="s">
        <v>2736</v>
      </c>
      <c r="E32" s="378">
        <v>12.2</v>
      </c>
      <c r="F32" s="378">
        <v>11</v>
      </c>
      <c r="G32" s="94" t="str">
        <f t="shared" si="0"/>
        <v>Air-Source HP - ≥ 65,000 and &lt; 135,000 Btu/h</v>
      </c>
      <c r="I32" s="59"/>
      <c r="J32" s="61"/>
      <c r="K32" s="61"/>
      <c r="L32" s="61"/>
      <c r="M32" s="61"/>
      <c r="N32" s="61"/>
      <c r="O32" s="61"/>
      <c r="P32" s="61"/>
      <c r="Q32" s="61"/>
      <c r="R32" s="61"/>
      <c r="S32" s="61"/>
      <c r="T32" s="61"/>
      <c r="U32" s="61"/>
      <c r="V32" s="61"/>
      <c r="W32" s="61"/>
      <c r="X32" s="61"/>
      <c r="Y32" s="61"/>
      <c r="Z32" s="61"/>
      <c r="AA32" s="61"/>
      <c r="AB32" s="61"/>
      <c r="AC32" s="589"/>
      <c r="AD32" s="590"/>
      <c r="AE32" s="590"/>
      <c r="AF32" s="590"/>
      <c r="AG32" s="588"/>
      <c r="AH32" s="480"/>
      <c r="AI32" s="480"/>
      <c r="AJ32" s="480"/>
      <c r="AK32" s="480"/>
      <c r="AL32" s="480"/>
      <c r="AM32" s="480"/>
      <c r="AN32" s="480"/>
    </row>
    <row r="33" spans="2:40" s="94" customFormat="1" ht="14.4" customHeight="1" x14ac:dyDescent="0.3">
      <c r="B33" s="510" t="s">
        <v>2739</v>
      </c>
      <c r="C33" s="510" t="s">
        <v>2747</v>
      </c>
      <c r="D33" s="516" t="s">
        <v>2736</v>
      </c>
      <c r="E33" s="378">
        <v>11.6</v>
      </c>
      <c r="F33" s="378">
        <v>10.6</v>
      </c>
      <c r="G33" s="94" t="str">
        <f t="shared" si="0"/>
        <v>Air-Source HP - ≥ 135,000 and &lt; 240,000 Btu/h</v>
      </c>
      <c r="I33" s="59"/>
      <c r="J33" s="61"/>
      <c r="K33" s="61"/>
      <c r="L33" s="61"/>
      <c r="M33" s="61"/>
      <c r="N33" s="61"/>
      <c r="O33" s="61"/>
      <c r="P33" s="61"/>
      <c r="Q33" s="61"/>
      <c r="R33" s="61"/>
      <c r="S33" s="61"/>
      <c r="T33" s="61"/>
      <c r="U33" s="61"/>
      <c r="V33" s="61"/>
      <c r="W33" s="61"/>
      <c r="X33" s="61"/>
      <c r="Y33" s="61"/>
      <c r="Z33" s="61"/>
      <c r="AA33" s="61"/>
      <c r="AB33" s="61"/>
      <c r="AC33" s="589"/>
      <c r="AD33" s="590"/>
      <c r="AE33" s="590"/>
      <c r="AF33" s="590"/>
      <c r="AG33" s="588"/>
      <c r="AH33" s="480"/>
      <c r="AI33" s="480"/>
      <c r="AJ33" s="480"/>
      <c r="AK33" s="480"/>
      <c r="AL33" s="480"/>
      <c r="AM33" s="480"/>
      <c r="AN33" s="480"/>
    </row>
    <row r="34" spans="2:40" s="94" customFormat="1" ht="14.4" customHeight="1" x14ac:dyDescent="0.3">
      <c r="B34" s="510" t="s">
        <v>2739</v>
      </c>
      <c r="C34" s="510" t="s">
        <v>2749</v>
      </c>
      <c r="D34" s="516" t="s">
        <v>2736</v>
      </c>
      <c r="E34" s="378">
        <v>10.6</v>
      </c>
      <c r="F34" s="378">
        <v>9.5</v>
      </c>
      <c r="G34" s="94" t="str">
        <f t="shared" si="0"/>
        <v>Air-Source HP - ≥ 240,000 Btu/h</v>
      </c>
      <c r="I34" s="1817"/>
      <c r="J34" s="1817"/>
      <c r="K34" s="1817"/>
      <c r="L34" s="1817"/>
      <c r="M34" s="1817"/>
      <c r="N34" s="1817"/>
      <c r="O34" s="1817"/>
      <c r="P34" s="1817"/>
      <c r="Q34" s="1817"/>
      <c r="R34" s="1817"/>
      <c r="S34" s="1817"/>
      <c r="T34" s="1817"/>
      <c r="U34" s="1817"/>
      <c r="V34" s="1817"/>
      <c r="W34" s="1817"/>
      <c r="X34" s="1817"/>
      <c r="Y34" s="1817"/>
      <c r="Z34" s="1817"/>
      <c r="AA34" s="1817"/>
      <c r="AB34" s="1817"/>
      <c r="AC34" s="1818"/>
      <c r="AD34" s="1819"/>
      <c r="AE34" s="1819"/>
      <c r="AF34" s="1819"/>
      <c r="AG34" s="1820"/>
      <c r="AH34" s="1821"/>
      <c r="AI34" s="1821"/>
      <c r="AJ34" s="1821"/>
      <c r="AK34" s="1819"/>
      <c r="AL34" s="1819"/>
      <c r="AM34" s="1819"/>
      <c r="AN34" s="1819"/>
    </row>
    <row r="35" spans="2:40" s="94" customFormat="1" x14ac:dyDescent="0.3">
      <c r="B35" s="510" t="s">
        <v>3709</v>
      </c>
      <c r="C35" s="61" t="s">
        <v>3710</v>
      </c>
      <c r="D35" s="517">
        <v>12.2</v>
      </c>
      <c r="E35" s="516" t="s">
        <v>2736</v>
      </c>
      <c r="F35" s="378">
        <v>12.2</v>
      </c>
      <c r="G35" s="94" t="str">
        <f t="shared" si="0"/>
        <v>Water-Source HP - &lt; 17,000 Btu/h</v>
      </c>
    </row>
    <row r="36" spans="2:40" s="94" customFormat="1" x14ac:dyDescent="0.3">
      <c r="B36" s="510" t="s">
        <v>3709</v>
      </c>
      <c r="C36" s="61" t="s">
        <v>3717</v>
      </c>
      <c r="D36" s="517">
        <v>13</v>
      </c>
      <c r="E36" s="516" t="s">
        <v>2736</v>
      </c>
      <c r="F36" s="378">
        <v>13</v>
      </c>
      <c r="G36" s="94" t="str">
        <f t="shared" si="0"/>
        <v>Water-Source HP - ≥ 17,000 and &lt; 65,000 Btu/h</v>
      </c>
    </row>
    <row r="37" spans="2:40" s="94" customFormat="1" x14ac:dyDescent="0.3">
      <c r="B37" s="510" t="s">
        <v>3709</v>
      </c>
      <c r="C37" s="61" t="s">
        <v>3718</v>
      </c>
      <c r="D37" s="516" t="s">
        <v>2736</v>
      </c>
      <c r="E37" s="517">
        <v>13</v>
      </c>
      <c r="F37" s="378">
        <v>13</v>
      </c>
      <c r="G37" s="94" t="str">
        <f t="shared" si="0"/>
        <v>Water-Source HP - ≥ 65,000 and &lt; 135,000 Btu/h</v>
      </c>
    </row>
    <row r="38" spans="2:40" s="94" customFormat="1" x14ac:dyDescent="0.3">
      <c r="D38" s="518"/>
      <c r="E38" s="518"/>
      <c r="F38" s="518"/>
    </row>
    <row r="39" spans="2:40" s="94" customFormat="1" x14ac:dyDescent="0.3">
      <c r="D39" s="518"/>
      <c r="E39" s="518"/>
      <c r="F39" s="518"/>
    </row>
    <row r="40" spans="2:40" s="94" customFormat="1" ht="18" x14ac:dyDescent="0.3">
      <c r="B40" s="144" t="s">
        <v>3720</v>
      </c>
      <c r="D40" s="518"/>
      <c r="E40" s="518"/>
      <c r="F40" s="518"/>
    </row>
    <row r="41" spans="2:40" s="94" customFormat="1" x14ac:dyDescent="0.3">
      <c r="D41" s="518"/>
      <c r="E41" s="518"/>
      <c r="F41" s="518"/>
    </row>
    <row r="42" spans="2:40" s="94" customFormat="1" x14ac:dyDescent="0.3">
      <c r="B42" s="1697" t="s">
        <v>2729</v>
      </c>
      <c r="C42" s="1697" t="s">
        <v>2730</v>
      </c>
      <c r="D42" s="1705" t="s">
        <v>2731</v>
      </c>
      <c r="E42" s="1706"/>
      <c r="F42" s="378" t="s">
        <v>2761</v>
      </c>
    </row>
    <row r="43" spans="2:40" s="94" customFormat="1" x14ac:dyDescent="0.3">
      <c r="B43" s="1698"/>
      <c r="C43" s="1698"/>
      <c r="D43" s="519" t="s">
        <v>798</v>
      </c>
      <c r="E43" s="519" t="s">
        <v>2733</v>
      </c>
      <c r="F43" s="519" t="s">
        <v>285</v>
      </c>
      <c r="G43" s="376"/>
    </row>
    <row r="44" spans="2:40" s="94" customFormat="1" x14ac:dyDescent="0.3">
      <c r="B44" s="510" t="s">
        <v>2734</v>
      </c>
      <c r="C44" s="510" t="s">
        <v>2735</v>
      </c>
      <c r="D44" s="378">
        <f>ROUND(D23*1.1,1)</f>
        <v>15.4</v>
      </c>
      <c r="E44" s="516" t="s">
        <v>2736</v>
      </c>
      <c r="F44" s="517" t="s">
        <v>3486</v>
      </c>
    </row>
    <row r="45" spans="2:40" s="94" customFormat="1" x14ac:dyDescent="0.3">
      <c r="B45" s="510" t="s">
        <v>2737</v>
      </c>
      <c r="C45" s="510" t="s">
        <v>2735</v>
      </c>
      <c r="D45" s="378">
        <f>ROUND(D24*1.1,1)</f>
        <v>15.4</v>
      </c>
      <c r="E45" s="516" t="s">
        <v>2736</v>
      </c>
      <c r="F45" s="517" t="s">
        <v>3486</v>
      </c>
    </row>
    <row r="46" spans="2:40" s="94" customFormat="1" x14ac:dyDescent="0.3">
      <c r="B46" s="510" t="s">
        <v>2734</v>
      </c>
      <c r="C46" s="510" t="s">
        <v>2746</v>
      </c>
      <c r="D46" s="516" t="s">
        <v>2736</v>
      </c>
      <c r="E46" s="378">
        <f t="shared" ref="E46:F51" si="1">ROUND(E25*1.1,1)</f>
        <v>14.2</v>
      </c>
      <c r="F46" s="378">
        <f t="shared" si="1"/>
        <v>12.3</v>
      </c>
    </row>
    <row r="47" spans="2:40" s="94" customFormat="1" x14ac:dyDescent="0.3">
      <c r="B47" s="510" t="s">
        <v>2734</v>
      </c>
      <c r="C47" s="510" t="s">
        <v>2747</v>
      </c>
      <c r="D47" s="516" t="s">
        <v>2736</v>
      </c>
      <c r="E47" s="378">
        <f t="shared" si="1"/>
        <v>13.6</v>
      </c>
      <c r="F47" s="378">
        <f t="shared" si="1"/>
        <v>12.1</v>
      </c>
    </row>
    <row r="48" spans="2:40" s="94" customFormat="1" x14ac:dyDescent="0.3">
      <c r="B48" s="510" t="s">
        <v>2734</v>
      </c>
      <c r="C48" s="510" t="s">
        <v>2748</v>
      </c>
      <c r="D48" s="516" t="s">
        <v>2736</v>
      </c>
      <c r="E48" s="378">
        <f t="shared" si="1"/>
        <v>12.8</v>
      </c>
      <c r="F48" s="378">
        <f t="shared" si="1"/>
        <v>11</v>
      </c>
    </row>
    <row r="49" spans="2:7" s="94" customFormat="1" x14ac:dyDescent="0.3">
      <c r="B49" s="510" t="s">
        <v>2737</v>
      </c>
      <c r="C49" s="510" t="s">
        <v>2746</v>
      </c>
      <c r="D49" s="516" t="s">
        <v>2736</v>
      </c>
      <c r="E49" s="378">
        <f t="shared" si="1"/>
        <v>14.2</v>
      </c>
      <c r="F49" s="378">
        <f t="shared" si="1"/>
        <v>12.3</v>
      </c>
    </row>
    <row r="50" spans="2:7" s="94" customFormat="1" x14ac:dyDescent="0.3">
      <c r="B50" s="510" t="s">
        <v>2737</v>
      </c>
      <c r="C50" s="510" t="s">
        <v>2747</v>
      </c>
      <c r="D50" s="516" t="s">
        <v>2736</v>
      </c>
      <c r="E50" s="378">
        <f t="shared" si="1"/>
        <v>13.6</v>
      </c>
      <c r="F50" s="378">
        <f t="shared" si="1"/>
        <v>12.1</v>
      </c>
    </row>
    <row r="51" spans="2:7" s="94" customFormat="1" x14ac:dyDescent="0.3">
      <c r="B51" s="510" t="s">
        <v>2737</v>
      </c>
      <c r="C51" s="510" t="s">
        <v>2748</v>
      </c>
      <c r="D51" s="516" t="s">
        <v>2736</v>
      </c>
      <c r="E51" s="378">
        <f t="shared" si="1"/>
        <v>12.8</v>
      </c>
      <c r="F51" s="378">
        <f t="shared" si="1"/>
        <v>11</v>
      </c>
    </row>
    <row r="52" spans="2:7" s="94" customFormat="1" x14ac:dyDescent="0.3">
      <c r="B52" s="510" t="s">
        <v>2739</v>
      </c>
      <c r="C52" s="510" t="s">
        <v>2735</v>
      </c>
      <c r="D52" s="378">
        <f>ROUND(D31*1.1,1)</f>
        <v>15.4</v>
      </c>
      <c r="E52" s="516" t="s">
        <v>2736</v>
      </c>
      <c r="F52" s="517" t="s">
        <v>3486</v>
      </c>
    </row>
    <row r="53" spans="2:7" s="94" customFormat="1" x14ac:dyDescent="0.3">
      <c r="B53" s="510" t="s">
        <v>2739</v>
      </c>
      <c r="C53" s="510" t="s">
        <v>2746</v>
      </c>
      <c r="D53" s="516" t="s">
        <v>2736</v>
      </c>
      <c r="E53" s="378">
        <f t="shared" ref="E53:F58" si="2">ROUND(E32*1.1,1)</f>
        <v>13.4</v>
      </c>
      <c r="F53" s="378">
        <f t="shared" si="2"/>
        <v>12.1</v>
      </c>
    </row>
    <row r="54" spans="2:7" s="94" customFormat="1" x14ac:dyDescent="0.3">
      <c r="B54" s="510" t="s">
        <v>2739</v>
      </c>
      <c r="C54" s="510" t="s">
        <v>2747</v>
      </c>
      <c r="D54" s="516" t="s">
        <v>2736</v>
      </c>
      <c r="E54" s="378">
        <f t="shared" si="2"/>
        <v>12.8</v>
      </c>
      <c r="F54" s="378">
        <f t="shared" si="2"/>
        <v>11.7</v>
      </c>
    </row>
    <row r="55" spans="2:7" s="94" customFormat="1" x14ac:dyDescent="0.3">
      <c r="B55" s="510" t="s">
        <v>2739</v>
      </c>
      <c r="C55" s="510" t="s">
        <v>2749</v>
      </c>
      <c r="D55" s="516" t="s">
        <v>2736</v>
      </c>
      <c r="E55" s="378">
        <f t="shared" si="2"/>
        <v>11.7</v>
      </c>
      <c r="F55" s="378">
        <f t="shared" si="2"/>
        <v>10.5</v>
      </c>
    </row>
    <row r="56" spans="2:7" s="94" customFormat="1" x14ac:dyDescent="0.3">
      <c r="B56" s="510" t="s">
        <v>3709</v>
      </c>
      <c r="C56" s="61" t="s">
        <v>3710</v>
      </c>
      <c r="D56" s="517">
        <f t="shared" ref="D56" si="3">ROUND(D35*1.1,1)</f>
        <v>13.4</v>
      </c>
      <c r="E56" s="516" t="s">
        <v>2736</v>
      </c>
      <c r="F56" s="378">
        <f t="shared" si="2"/>
        <v>13.4</v>
      </c>
    </row>
    <row r="57" spans="2:7" s="94" customFormat="1" x14ac:dyDescent="0.3">
      <c r="B57" s="510" t="s">
        <v>3709</v>
      </c>
      <c r="C57" s="61" t="s">
        <v>3717</v>
      </c>
      <c r="D57" s="517">
        <f t="shared" ref="D57" si="4">ROUND(D36*1.1,1)</f>
        <v>14.3</v>
      </c>
      <c r="E57" s="516" t="s">
        <v>2736</v>
      </c>
      <c r="F57" s="378">
        <f t="shared" si="2"/>
        <v>14.3</v>
      </c>
    </row>
    <row r="58" spans="2:7" s="94" customFormat="1" x14ac:dyDescent="0.3">
      <c r="B58" s="510" t="s">
        <v>3709</v>
      </c>
      <c r="C58" s="61" t="s">
        <v>3718</v>
      </c>
      <c r="D58" s="520" t="s">
        <v>2736</v>
      </c>
      <c r="E58" s="517">
        <f t="shared" si="2"/>
        <v>14.3</v>
      </c>
      <c r="F58" s="378">
        <f t="shared" si="2"/>
        <v>14.3</v>
      </c>
    </row>
    <row r="59" spans="2:7" s="94" customFormat="1" x14ac:dyDescent="0.3"/>
    <row r="60" spans="2:7" s="94" customFormat="1" x14ac:dyDescent="0.3"/>
    <row r="61" spans="2:7" s="94" customFormat="1" ht="18" x14ac:dyDescent="0.3">
      <c r="B61" s="144" t="s">
        <v>3721</v>
      </c>
    </row>
    <row r="62" spans="2:7" s="94" customFormat="1" x14ac:dyDescent="0.3"/>
    <row r="63" spans="2:7" s="94" customFormat="1" x14ac:dyDescent="0.3">
      <c r="B63" s="1697" t="s">
        <v>2729</v>
      </c>
      <c r="C63" s="1697" t="s">
        <v>2730</v>
      </c>
      <c r="D63" s="1699" t="s">
        <v>2731</v>
      </c>
      <c r="E63" s="1700"/>
      <c r="F63" s="510" t="s">
        <v>2761</v>
      </c>
    </row>
    <row r="64" spans="2:7" s="94" customFormat="1" x14ac:dyDescent="0.3">
      <c r="B64" s="1698"/>
      <c r="C64" s="1698"/>
      <c r="D64" s="377" t="s">
        <v>798</v>
      </c>
      <c r="E64" s="377" t="s">
        <v>2733</v>
      </c>
      <c r="F64" s="377" t="s">
        <v>285</v>
      </c>
      <c r="G64" s="376"/>
    </row>
    <row r="65" spans="2:6" s="94" customFormat="1" x14ac:dyDescent="0.3">
      <c r="B65" s="510" t="s">
        <v>2734</v>
      </c>
      <c r="C65" s="510" t="s">
        <v>2735</v>
      </c>
      <c r="D65" s="378">
        <f>ROUND(D23*1.2,1)</f>
        <v>16.8</v>
      </c>
      <c r="E65" s="516" t="s">
        <v>2736</v>
      </c>
      <c r="F65" s="517" t="s">
        <v>3486</v>
      </c>
    </row>
    <row r="66" spans="2:6" s="94" customFormat="1" x14ac:dyDescent="0.3">
      <c r="B66" s="510" t="s">
        <v>2737</v>
      </c>
      <c r="C66" s="510" t="s">
        <v>2735</v>
      </c>
      <c r="D66" s="378">
        <f>ROUND(D24*1.2,1)</f>
        <v>16.8</v>
      </c>
      <c r="E66" s="516" t="s">
        <v>2736</v>
      </c>
      <c r="F66" s="517" t="s">
        <v>3486</v>
      </c>
    </row>
    <row r="67" spans="2:6" s="94" customFormat="1" x14ac:dyDescent="0.3">
      <c r="B67" s="510" t="s">
        <v>2734</v>
      </c>
      <c r="C67" s="510" t="s">
        <v>2746</v>
      </c>
      <c r="D67" s="516" t="s">
        <v>2736</v>
      </c>
      <c r="E67" s="378">
        <f t="shared" ref="E67:F72" si="5">ROUND(E25*1.2,1)</f>
        <v>15.5</v>
      </c>
      <c r="F67" s="378">
        <f t="shared" si="5"/>
        <v>13.4</v>
      </c>
    </row>
    <row r="68" spans="2:6" s="94" customFormat="1" x14ac:dyDescent="0.3">
      <c r="B68" s="510" t="s">
        <v>2734</v>
      </c>
      <c r="C68" s="510" t="s">
        <v>2747</v>
      </c>
      <c r="D68" s="516" t="s">
        <v>2736</v>
      </c>
      <c r="E68" s="378">
        <f t="shared" si="5"/>
        <v>14.9</v>
      </c>
      <c r="F68" s="378">
        <f t="shared" si="5"/>
        <v>13.2</v>
      </c>
    </row>
    <row r="69" spans="2:6" s="94" customFormat="1" x14ac:dyDescent="0.3">
      <c r="B69" s="510" t="s">
        <v>2734</v>
      </c>
      <c r="C69" s="510" t="s">
        <v>2748</v>
      </c>
      <c r="D69" s="516" t="s">
        <v>2736</v>
      </c>
      <c r="E69" s="378">
        <f t="shared" si="5"/>
        <v>13.9</v>
      </c>
      <c r="F69" s="378">
        <f t="shared" si="5"/>
        <v>12</v>
      </c>
    </row>
    <row r="70" spans="2:6" s="94" customFormat="1" x14ac:dyDescent="0.3">
      <c r="B70" s="510" t="s">
        <v>2737</v>
      </c>
      <c r="C70" s="510" t="s">
        <v>2746</v>
      </c>
      <c r="D70" s="516" t="s">
        <v>2736</v>
      </c>
      <c r="E70" s="378">
        <f t="shared" si="5"/>
        <v>15.5</v>
      </c>
      <c r="F70" s="378">
        <f t="shared" si="5"/>
        <v>13.4</v>
      </c>
    </row>
    <row r="71" spans="2:6" s="94" customFormat="1" x14ac:dyDescent="0.3">
      <c r="B71" s="510" t="s">
        <v>2737</v>
      </c>
      <c r="C71" s="510" t="s">
        <v>2747</v>
      </c>
      <c r="D71" s="516" t="s">
        <v>2736</v>
      </c>
      <c r="E71" s="378">
        <f t="shared" si="5"/>
        <v>14.9</v>
      </c>
      <c r="F71" s="378">
        <f t="shared" si="5"/>
        <v>13.2</v>
      </c>
    </row>
    <row r="72" spans="2:6" s="94" customFormat="1" x14ac:dyDescent="0.3">
      <c r="B72" s="510" t="s">
        <v>2737</v>
      </c>
      <c r="C72" s="510" t="s">
        <v>2748</v>
      </c>
      <c r="D72" s="516" t="s">
        <v>2736</v>
      </c>
      <c r="E72" s="378">
        <f t="shared" si="5"/>
        <v>13.9</v>
      </c>
      <c r="F72" s="378">
        <f t="shared" si="5"/>
        <v>12</v>
      </c>
    </row>
    <row r="73" spans="2:6" s="94" customFormat="1" x14ac:dyDescent="0.3">
      <c r="B73" s="510" t="s">
        <v>2739</v>
      </c>
      <c r="C73" s="510" t="s">
        <v>2735</v>
      </c>
      <c r="D73" s="378">
        <f>ROUND(D31*1.2,1)</f>
        <v>16.8</v>
      </c>
      <c r="E73" s="516" t="s">
        <v>2736</v>
      </c>
      <c r="F73" s="517" t="s">
        <v>3486</v>
      </c>
    </row>
    <row r="74" spans="2:6" s="94" customFormat="1" x14ac:dyDescent="0.3">
      <c r="B74" s="510" t="s">
        <v>2739</v>
      </c>
      <c r="C74" s="510" t="s">
        <v>2746</v>
      </c>
      <c r="D74" s="516" t="s">
        <v>2736</v>
      </c>
      <c r="E74" s="378">
        <f t="shared" ref="E74:F79" si="6">ROUND(E32*1.2,1)</f>
        <v>14.6</v>
      </c>
      <c r="F74" s="378">
        <f t="shared" si="6"/>
        <v>13.2</v>
      </c>
    </row>
    <row r="75" spans="2:6" s="94" customFormat="1" x14ac:dyDescent="0.3">
      <c r="B75" s="510" t="s">
        <v>2739</v>
      </c>
      <c r="C75" s="510" t="s">
        <v>2747</v>
      </c>
      <c r="D75" s="516" t="s">
        <v>2736</v>
      </c>
      <c r="E75" s="378">
        <f t="shared" si="6"/>
        <v>13.9</v>
      </c>
      <c r="F75" s="378">
        <f t="shared" si="6"/>
        <v>12.7</v>
      </c>
    </row>
    <row r="76" spans="2:6" s="94" customFormat="1" x14ac:dyDescent="0.3">
      <c r="B76" s="510" t="s">
        <v>2739</v>
      </c>
      <c r="C76" s="510" t="s">
        <v>2749</v>
      </c>
      <c r="D76" s="516" t="s">
        <v>2736</v>
      </c>
      <c r="E76" s="378">
        <f t="shared" si="6"/>
        <v>12.7</v>
      </c>
      <c r="F76" s="378">
        <f t="shared" si="6"/>
        <v>11.4</v>
      </c>
    </row>
    <row r="77" spans="2:6" s="94" customFormat="1" x14ac:dyDescent="0.3">
      <c r="B77" s="510" t="s">
        <v>3709</v>
      </c>
      <c r="C77" s="61" t="s">
        <v>3710</v>
      </c>
      <c r="D77" s="517">
        <f t="shared" ref="D77" si="7">ROUND(D35*1.2,1)</f>
        <v>14.6</v>
      </c>
      <c r="E77" s="516" t="s">
        <v>2736</v>
      </c>
      <c r="F77" s="378">
        <f t="shared" si="6"/>
        <v>14.6</v>
      </c>
    </row>
    <row r="78" spans="2:6" s="94" customFormat="1" x14ac:dyDescent="0.3">
      <c r="B78" s="510" t="s">
        <v>3709</v>
      </c>
      <c r="C78" s="61" t="s">
        <v>3717</v>
      </c>
      <c r="D78" s="517">
        <f t="shared" ref="D78" si="8">ROUND(D36*1.2,1)</f>
        <v>15.6</v>
      </c>
      <c r="E78" s="516" t="s">
        <v>2736</v>
      </c>
      <c r="F78" s="378">
        <f t="shared" si="6"/>
        <v>15.6</v>
      </c>
    </row>
    <row r="79" spans="2:6" s="94" customFormat="1" x14ac:dyDescent="0.3">
      <c r="B79" s="510" t="s">
        <v>3709</v>
      </c>
      <c r="C79" s="61" t="s">
        <v>3718</v>
      </c>
      <c r="D79" s="516" t="s">
        <v>2736</v>
      </c>
      <c r="E79" s="517">
        <f t="shared" si="6"/>
        <v>15.6</v>
      </c>
      <c r="F79" s="378">
        <f t="shared" si="6"/>
        <v>15.6</v>
      </c>
    </row>
    <row r="80" spans="2:6" s="94" customFormat="1" x14ac:dyDescent="0.3"/>
    <row r="81" spans="2:29" s="94" customFormat="1" x14ac:dyDescent="0.3"/>
    <row r="82" spans="2:29" s="94" customFormat="1" x14ac:dyDescent="0.3"/>
    <row r="83" spans="2:29" s="94" customFormat="1" x14ac:dyDescent="0.3">
      <c r="J83" s="121"/>
      <c r="K83" s="121"/>
      <c r="L83" s="121"/>
    </row>
    <row r="84" spans="2:29" s="94" customFormat="1" ht="18" x14ac:dyDescent="0.3">
      <c r="B84" s="144" t="s">
        <v>3722</v>
      </c>
      <c r="C84" s="121"/>
      <c r="D84" s="121"/>
      <c r="E84" s="121"/>
      <c r="F84" s="121"/>
      <c r="G84" s="121"/>
      <c r="H84" s="121"/>
      <c r="I84" s="121"/>
      <c r="J84" s="121"/>
      <c r="K84" s="121"/>
      <c r="L84" s="121"/>
      <c r="M84" s="121"/>
      <c r="N84" s="513"/>
      <c r="O84" s="121"/>
      <c r="P84" s="121"/>
      <c r="T84" s="121"/>
      <c r="U84" s="121"/>
      <c r="V84" s="121"/>
      <c r="W84" s="121"/>
      <c r="X84" s="121"/>
      <c r="Y84" s="121"/>
      <c r="Z84" s="121"/>
      <c r="AA84" s="121"/>
      <c r="AB84" s="121"/>
      <c r="AC84" s="121"/>
    </row>
    <row r="85" spans="2:29" s="94" customFormat="1" x14ac:dyDescent="0.3">
      <c r="B85" s="57"/>
      <c r="C85" s="121"/>
      <c r="D85" s="121"/>
      <c r="E85" s="121"/>
      <c r="F85" s="121"/>
      <c r="G85" s="121"/>
      <c r="H85" s="121"/>
      <c r="I85" s="121"/>
      <c r="J85" s="379"/>
      <c r="M85" s="121"/>
      <c r="N85" s="513"/>
      <c r="O85" s="121"/>
      <c r="P85" s="121"/>
      <c r="S85" s="121"/>
      <c r="T85" s="121"/>
      <c r="U85" s="121"/>
      <c r="V85" s="121"/>
      <c r="W85" s="121"/>
      <c r="X85" s="121"/>
      <c r="Y85" s="121"/>
      <c r="Z85" s="121"/>
      <c r="AA85" s="121"/>
      <c r="AB85" s="121"/>
      <c r="AC85" s="121"/>
    </row>
    <row r="86" spans="2:29" s="94" customFormat="1" x14ac:dyDescent="0.3">
      <c r="B86" s="380" t="s">
        <v>46</v>
      </c>
      <c r="C86" s="380" t="s">
        <v>235</v>
      </c>
      <c r="D86" s="380" t="s">
        <v>21</v>
      </c>
      <c r="E86" s="521"/>
      <c r="F86" s="379"/>
      <c r="G86" s="379"/>
      <c r="H86" s="379"/>
      <c r="I86" s="379"/>
      <c r="J86" s="58"/>
      <c r="N86" s="438"/>
      <c r="Q86" s="121"/>
      <c r="R86" s="121"/>
      <c r="S86" s="121"/>
    </row>
    <row r="87" spans="2:29" s="94" customFormat="1" x14ac:dyDescent="0.3">
      <c r="B87" s="510" t="s">
        <v>1796</v>
      </c>
      <c r="C87" s="524">
        <f>'EFLH &amp; CF'!I53</f>
        <v>2594</v>
      </c>
      <c r="D87" s="525">
        <f>'EFLH &amp; CF'!M53</f>
        <v>0.38</v>
      </c>
      <c r="E87" s="58"/>
      <c r="F87" s="58"/>
      <c r="G87" s="58"/>
      <c r="H87" s="58"/>
      <c r="I87" s="58"/>
      <c r="J87" s="58"/>
      <c r="N87" s="438"/>
      <c r="Q87" s="121"/>
      <c r="R87" s="121"/>
    </row>
    <row r="88" spans="2:29" s="94" customFormat="1" x14ac:dyDescent="0.3">
      <c r="B88" s="510" t="s">
        <v>211</v>
      </c>
      <c r="C88" s="524" t="str">
        <f>'EFLH &amp; CF'!I54</f>
        <v>Varies</v>
      </c>
      <c r="D88" s="525" t="str">
        <f>'EFLH &amp; CF'!M54</f>
        <v>Varies</v>
      </c>
      <c r="E88" s="58"/>
      <c r="F88" s="58"/>
      <c r="G88" s="58"/>
      <c r="H88" s="58"/>
      <c r="I88" s="58"/>
      <c r="J88" s="58"/>
      <c r="N88" s="438"/>
    </row>
    <row r="89" spans="2:29" s="94" customFormat="1" x14ac:dyDescent="0.3">
      <c r="B89" s="510" t="s">
        <v>212</v>
      </c>
      <c r="C89" s="524">
        <f>'EFLH &amp; CF'!I55</f>
        <v>2549</v>
      </c>
      <c r="D89" s="525">
        <f>'EFLH &amp; CF'!M55</f>
        <v>0.43</v>
      </c>
      <c r="E89" s="58"/>
      <c r="F89" s="58"/>
      <c r="G89" s="58"/>
      <c r="H89" s="58"/>
      <c r="I89" s="58"/>
      <c r="J89" s="58"/>
      <c r="N89" s="438"/>
    </row>
    <row r="90" spans="2:29" s="94" customFormat="1" x14ac:dyDescent="0.3">
      <c r="B90" s="510" t="s">
        <v>213</v>
      </c>
      <c r="C90" s="524">
        <f>'EFLH &amp; CF'!I56</f>
        <v>1531</v>
      </c>
      <c r="D90" s="525">
        <f>'EFLH &amp; CF'!M56</f>
        <v>0.27</v>
      </c>
      <c r="E90" s="58"/>
      <c r="F90" s="58"/>
      <c r="G90" s="58"/>
      <c r="H90" s="58"/>
      <c r="I90" s="58"/>
      <c r="J90" s="58"/>
      <c r="N90" s="438"/>
    </row>
    <row r="91" spans="2:29" s="94" customFormat="1" x14ac:dyDescent="0.3">
      <c r="B91" s="510" t="s">
        <v>214</v>
      </c>
      <c r="C91" s="524">
        <f>'EFLH &amp; CF'!I57</f>
        <v>4891</v>
      </c>
      <c r="D91" s="525">
        <f>'EFLH &amp; CF'!M57</f>
        <v>0.55000000000000004</v>
      </c>
      <c r="E91" s="58"/>
      <c r="F91" s="58"/>
      <c r="G91" s="58"/>
      <c r="H91" s="58"/>
      <c r="I91" s="58"/>
      <c r="J91" s="58"/>
      <c r="N91" s="438"/>
    </row>
    <row r="92" spans="2:29" s="94" customFormat="1" x14ac:dyDescent="0.3">
      <c r="B92" s="510" t="s">
        <v>215</v>
      </c>
      <c r="C92" s="524">
        <f>'EFLH &amp; CF'!I58</f>
        <v>4910</v>
      </c>
      <c r="D92" s="525">
        <f>'EFLH &amp; CF'!M58</f>
        <v>0.6</v>
      </c>
      <c r="E92" s="58"/>
      <c r="F92" s="58"/>
      <c r="G92" s="58"/>
      <c r="H92" s="58"/>
      <c r="I92" s="58"/>
      <c r="J92" s="58"/>
      <c r="N92" s="438"/>
    </row>
    <row r="93" spans="2:29" s="94" customFormat="1" x14ac:dyDescent="0.3">
      <c r="B93" s="510" t="s">
        <v>216</v>
      </c>
      <c r="C93" s="524" t="str">
        <f>'EFLH &amp; CF'!I59</f>
        <v>Varies</v>
      </c>
      <c r="D93" s="525" t="str">
        <f>'EFLH &amp; CF'!M59</f>
        <v>Varies</v>
      </c>
      <c r="E93" s="58"/>
      <c r="F93" s="58"/>
      <c r="G93" s="58"/>
      <c r="H93" s="58"/>
      <c r="I93" s="58"/>
      <c r="J93" s="58"/>
      <c r="N93" s="438"/>
    </row>
    <row r="94" spans="2:29" s="94" customFormat="1" x14ac:dyDescent="0.3">
      <c r="B94" s="510" t="s">
        <v>47</v>
      </c>
      <c r="C94" s="524">
        <f>'EFLH &amp; CF'!I60</f>
        <v>2754</v>
      </c>
      <c r="D94" s="525">
        <f>'EFLH &amp; CF'!M60</f>
        <v>0.48</v>
      </c>
      <c r="E94" s="58"/>
      <c r="F94" s="58"/>
      <c r="G94" s="58"/>
      <c r="H94" s="58"/>
      <c r="I94" s="58"/>
      <c r="J94" s="58"/>
      <c r="N94" s="438"/>
    </row>
    <row r="95" spans="2:29" s="94" customFormat="1" x14ac:dyDescent="0.3">
      <c r="B95" s="510" t="s">
        <v>217</v>
      </c>
      <c r="C95" s="524">
        <f>'EFLH &amp; CF'!I61</f>
        <v>2451</v>
      </c>
      <c r="D95" s="525">
        <f>'EFLH &amp; CF'!M61</f>
        <v>0.4</v>
      </c>
      <c r="E95" s="58"/>
      <c r="F95" s="58"/>
      <c r="G95" s="58"/>
      <c r="H95" s="58"/>
      <c r="I95" s="58"/>
      <c r="J95" s="58"/>
      <c r="N95" s="438"/>
    </row>
    <row r="96" spans="2:29" s="94" customFormat="1" x14ac:dyDescent="0.3">
      <c r="B96" s="510" t="s">
        <v>218</v>
      </c>
      <c r="C96" s="524">
        <f>'EFLH &amp; CF'!I62</f>
        <v>1913</v>
      </c>
      <c r="D96" s="525">
        <f>'EFLH &amp; CF'!M62</f>
        <v>0.28999999999999998</v>
      </c>
      <c r="E96" s="58"/>
      <c r="F96" s="58"/>
      <c r="G96" s="58"/>
      <c r="H96" s="58"/>
      <c r="I96" s="58"/>
      <c r="J96" s="58"/>
      <c r="N96" s="438"/>
    </row>
    <row r="97" spans="1:30" s="94" customFormat="1" x14ac:dyDescent="0.3">
      <c r="B97" s="510" t="s">
        <v>219</v>
      </c>
      <c r="C97" s="524">
        <f>'EFLH &amp; CF'!I63</f>
        <v>1033</v>
      </c>
      <c r="D97" s="525">
        <f>'EFLH &amp; CF'!M63</f>
        <v>0.01</v>
      </c>
      <c r="E97" s="58"/>
      <c r="F97" s="58"/>
      <c r="G97" s="58"/>
      <c r="H97" s="58"/>
      <c r="I97" s="58"/>
      <c r="N97" s="438"/>
    </row>
    <row r="98" spans="1:30" s="94" customFormat="1" x14ac:dyDescent="0.3">
      <c r="N98" s="438"/>
    </row>
    <row r="99" spans="1:30" s="94" customFormat="1" x14ac:dyDescent="0.3">
      <c r="N99" s="438"/>
    </row>
    <row r="100" spans="1:30" s="94" customFormat="1" x14ac:dyDescent="0.3">
      <c r="N100" s="438"/>
    </row>
    <row r="101" spans="1:30" s="94" customFormat="1" x14ac:dyDescent="0.3">
      <c r="N101" s="438"/>
    </row>
    <row r="102" spans="1:30" s="94" customFormat="1" x14ac:dyDescent="0.3">
      <c r="C102" s="330"/>
      <c r="D102" s="330"/>
      <c r="E102" s="330"/>
      <c r="F102" s="330"/>
      <c r="G102" s="330"/>
      <c r="H102" s="330"/>
      <c r="I102" s="330"/>
      <c r="J102" s="330"/>
      <c r="K102" s="330"/>
      <c r="L102" s="330"/>
      <c r="M102" s="330"/>
      <c r="N102" s="522"/>
      <c r="O102" s="330"/>
      <c r="P102" s="330"/>
      <c r="T102" s="330"/>
      <c r="U102" s="330"/>
      <c r="V102" s="330"/>
      <c r="W102" s="330"/>
      <c r="X102" s="330"/>
      <c r="Y102" s="330"/>
      <c r="Z102" s="330"/>
      <c r="AA102" s="330"/>
      <c r="AB102" s="330"/>
      <c r="AC102" s="330"/>
      <c r="AD102" s="330"/>
    </row>
    <row r="103" spans="1:30" s="94" customFormat="1" x14ac:dyDescent="0.3">
      <c r="C103" s="122"/>
      <c r="D103" s="122"/>
      <c r="E103" s="122"/>
      <c r="F103" s="122"/>
      <c r="G103" s="122"/>
      <c r="H103" s="122"/>
      <c r="I103" s="122"/>
      <c r="J103" s="122"/>
      <c r="K103" s="122"/>
      <c r="L103" s="122"/>
      <c r="M103" s="331"/>
      <c r="N103" s="523"/>
      <c r="O103" s="331"/>
      <c r="P103" s="331"/>
      <c r="Q103" s="330"/>
      <c r="R103" s="330"/>
      <c r="S103" s="330"/>
      <c r="T103" s="331"/>
      <c r="U103" s="331"/>
      <c r="V103" s="381"/>
      <c r="W103" s="381"/>
      <c r="X103" s="381"/>
      <c r="Y103" s="381"/>
      <c r="Z103" s="381"/>
      <c r="AA103" s="381"/>
      <c r="AB103" s="381"/>
      <c r="AC103" s="381"/>
      <c r="AD103" s="381"/>
    </row>
    <row r="104" spans="1:30" s="94" customFormat="1" x14ac:dyDescent="0.3">
      <c r="C104" s="122"/>
      <c r="D104" s="122"/>
      <c r="E104" s="122"/>
      <c r="F104" s="122"/>
      <c r="G104" s="122"/>
      <c r="H104" s="122"/>
      <c r="I104" s="122"/>
      <c r="J104" s="122"/>
      <c r="K104" s="122"/>
      <c r="L104" s="122"/>
      <c r="M104" s="331"/>
      <c r="N104" s="523"/>
      <c r="O104" s="331"/>
      <c r="P104" s="331"/>
      <c r="Q104" s="331"/>
      <c r="R104" s="331"/>
      <c r="S104" s="331"/>
      <c r="T104" s="331"/>
      <c r="U104" s="331"/>
      <c r="V104" s="331"/>
      <c r="W104" s="331"/>
      <c r="X104" s="331"/>
      <c r="Y104" s="331"/>
      <c r="Z104" s="331"/>
      <c r="AA104" s="331"/>
      <c r="AB104" s="331"/>
      <c r="AC104" s="331"/>
      <c r="AD104" s="331"/>
    </row>
    <row r="105" spans="1:30" s="94" customFormat="1" x14ac:dyDescent="0.3">
      <c r="C105" s="122"/>
      <c r="D105" s="122"/>
      <c r="E105" s="122"/>
      <c r="F105" s="122"/>
      <c r="G105" s="122"/>
      <c r="H105" s="122"/>
      <c r="I105" s="122"/>
      <c r="J105" s="122"/>
      <c r="K105" s="122"/>
      <c r="L105" s="122"/>
      <c r="M105" s="331"/>
      <c r="N105" s="523"/>
      <c r="O105" s="331"/>
      <c r="P105" s="331"/>
      <c r="Q105" s="331"/>
      <c r="R105" s="331"/>
      <c r="S105" s="331"/>
      <c r="T105" s="331"/>
      <c r="U105" s="331"/>
      <c r="V105" s="381"/>
      <c r="W105" s="381"/>
      <c r="X105" s="381"/>
      <c r="Y105" s="381"/>
      <c r="Z105" s="381"/>
      <c r="AA105" s="381"/>
      <c r="AB105" s="381"/>
      <c r="AC105" s="381"/>
      <c r="AD105" s="381"/>
    </row>
    <row r="106" spans="1:30" s="94" customFormat="1" x14ac:dyDescent="0.3">
      <c r="C106" s="122"/>
      <c r="D106" s="122"/>
      <c r="E106" s="122"/>
      <c r="F106" s="122"/>
      <c r="G106" s="122"/>
      <c r="H106" s="122"/>
      <c r="I106" s="122"/>
      <c r="J106" s="122"/>
      <c r="K106" s="122"/>
      <c r="L106" s="122"/>
      <c r="M106" s="331"/>
      <c r="N106" s="523"/>
      <c r="O106" s="331"/>
      <c r="P106" s="331"/>
      <c r="Q106" s="331"/>
      <c r="R106" s="331"/>
      <c r="S106" s="331"/>
      <c r="T106" s="331"/>
      <c r="U106" s="331"/>
      <c r="V106" s="381"/>
      <c r="W106" s="381"/>
      <c r="X106" s="381"/>
      <c r="Y106" s="381"/>
      <c r="Z106" s="381"/>
      <c r="AA106" s="381"/>
      <c r="AB106" s="381"/>
      <c r="AC106" s="381"/>
      <c r="AD106" s="381"/>
    </row>
    <row r="107" spans="1:30" x14ac:dyDescent="0.3">
      <c r="A107" s="94"/>
      <c r="B107" s="94"/>
      <c r="C107" s="122"/>
      <c r="D107" s="122"/>
      <c r="E107" s="122"/>
      <c r="F107" s="122"/>
      <c r="G107" s="122"/>
      <c r="H107" s="122"/>
      <c r="I107" s="122"/>
      <c r="J107" s="122"/>
      <c r="K107" s="122"/>
      <c r="L107" s="122"/>
      <c r="M107" s="331"/>
      <c r="N107" s="523"/>
      <c r="O107" s="331"/>
      <c r="P107" s="331"/>
      <c r="Q107" s="331"/>
      <c r="R107" s="331"/>
      <c r="S107" s="331"/>
      <c r="T107" s="331"/>
      <c r="U107" s="331"/>
      <c r="V107" s="381"/>
      <c r="W107" s="381"/>
      <c r="X107" s="381"/>
      <c r="Y107" s="381"/>
      <c r="Z107" s="381"/>
      <c r="AA107" s="381"/>
      <c r="AB107" s="381"/>
      <c r="AC107" s="381"/>
      <c r="AD107" s="381"/>
    </row>
    <row r="108" spans="1:30" x14ac:dyDescent="0.3">
      <c r="A108" s="94"/>
      <c r="B108" s="94"/>
      <c r="C108" s="122"/>
      <c r="D108" s="122"/>
      <c r="E108" s="122"/>
      <c r="F108" s="122"/>
      <c r="G108" s="122"/>
      <c r="H108" s="122"/>
      <c r="I108" s="122"/>
      <c r="J108" s="122"/>
      <c r="K108" s="122"/>
      <c r="L108" s="122"/>
      <c r="M108" s="331"/>
      <c r="N108" s="523"/>
      <c r="O108" s="331"/>
      <c r="P108" s="331"/>
      <c r="Q108" s="331"/>
      <c r="R108" s="331"/>
      <c r="S108" s="331"/>
      <c r="T108" s="331"/>
      <c r="U108" s="331"/>
      <c r="V108" s="381"/>
      <c r="W108" s="381"/>
      <c r="X108" s="381"/>
      <c r="Y108" s="381"/>
      <c r="Z108" s="381"/>
      <c r="AA108" s="381"/>
      <c r="AB108" s="381"/>
      <c r="AC108" s="381"/>
      <c r="AD108" s="381"/>
    </row>
    <row r="109" spans="1:30" x14ac:dyDescent="0.3">
      <c r="A109" s="94"/>
      <c r="B109" s="94"/>
      <c r="C109" s="122"/>
      <c r="D109" s="122"/>
      <c r="E109" s="122"/>
      <c r="F109" s="122"/>
      <c r="G109" s="122"/>
      <c r="H109" s="122"/>
      <c r="I109" s="122"/>
      <c r="J109" s="122"/>
      <c r="K109" s="122"/>
      <c r="L109" s="122"/>
      <c r="M109" s="331"/>
      <c r="N109" s="523"/>
      <c r="O109" s="331"/>
      <c r="P109" s="331"/>
      <c r="Q109" s="331"/>
      <c r="R109" s="331"/>
      <c r="S109" s="331"/>
      <c r="T109" s="331"/>
      <c r="U109" s="331"/>
      <c r="V109" s="331"/>
      <c r="W109" s="331"/>
      <c r="X109" s="331"/>
      <c r="Y109" s="331"/>
      <c r="Z109" s="331"/>
      <c r="AA109" s="331"/>
      <c r="AB109" s="331"/>
      <c r="AC109" s="331"/>
      <c r="AD109" s="331"/>
    </row>
    <row r="110" spans="1:30" x14ac:dyDescent="0.3">
      <c r="A110" s="94"/>
      <c r="B110" s="94"/>
      <c r="C110" s="122"/>
      <c r="D110" s="122"/>
      <c r="E110" s="122"/>
      <c r="F110" s="122"/>
      <c r="G110" s="122"/>
      <c r="H110" s="122"/>
      <c r="I110" s="122"/>
      <c r="J110" s="122"/>
      <c r="K110" s="122"/>
      <c r="L110" s="122"/>
      <c r="M110" s="331"/>
      <c r="N110" s="523"/>
      <c r="O110" s="331"/>
      <c r="P110" s="331"/>
      <c r="Q110" s="331"/>
      <c r="R110" s="331"/>
      <c r="S110" s="331"/>
      <c r="T110" s="331"/>
      <c r="U110" s="331"/>
      <c r="V110" s="381"/>
      <c r="W110" s="381"/>
      <c r="X110" s="381"/>
      <c r="Y110" s="381"/>
      <c r="Z110" s="381"/>
      <c r="AA110" s="381"/>
      <c r="AB110" s="381"/>
      <c r="AC110" s="381"/>
      <c r="AD110" s="381"/>
    </row>
    <row r="111" spans="1:30" x14ac:dyDescent="0.3">
      <c r="A111" s="94"/>
      <c r="B111" s="94"/>
      <c r="C111" s="122"/>
      <c r="D111" s="122"/>
      <c r="E111" s="122"/>
      <c r="F111" s="122"/>
      <c r="G111" s="122"/>
      <c r="H111" s="122"/>
      <c r="I111" s="122"/>
      <c r="J111" s="122"/>
      <c r="K111" s="122"/>
      <c r="L111" s="122"/>
      <c r="M111" s="331"/>
      <c r="N111" s="523"/>
      <c r="O111" s="331"/>
      <c r="P111" s="331"/>
      <c r="Q111" s="331"/>
      <c r="R111" s="331"/>
      <c r="S111" s="331"/>
      <c r="T111" s="331"/>
      <c r="U111" s="331"/>
      <c r="V111" s="381"/>
      <c r="W111" s="381"/>
      <c r="X111" s="381"/>
      <c r="Y111" s="381"/>
      <c r="Z111" s="381"/>
      <c r="AA111" s="381"/>
      <c r="AB111" s="381"/>
      <c r="AC111" s="381"/>
      <c r="AD111" s="381"/>
    </row>
    <row r="112" spans="1:30" x14ac:dyDescent="0.3">
      <c r="A112" s="94"/>
      <c r="B112" s="94"/>
      <c r="C112" s="122"/>
      <c r="D112" s="122"/>
      <c r="E112" s="122"/>
      <c r="F112" s="122"/>
      <c r="G112" s="122"/>
      <c r="H112" s="122"/>
      <c r="I112" s="122"/>
      <c r="J112" s="122"/>
      <c r="K112" s="122"/>
      <c r="L112" s="122"/>
      <c r="M112" s="331"/>
      <c r="N112" s="523"/>
      <c r="O112" s="331"/>
      <c r="P112" s="331"/>
      <c r="Q112" s="331"/>
      <c r="R112" s="331"/>
      <c r="S112" s="331"/>
      <c r="T112" s="331"/>
      <c r="U112" s="331"/>
      <c r="V112" s="381"/>
      <c r="W112" s="381"/>
      <c r="X112" s="381"/>
      <c r="Y112" s="381"/>
      <c r="Z112" s="381"/>
      <c r="AA112" s="381"/>
      <c r="AB112" s="381"/>
      <c r="AC112" s="381"/>
      <c r="AD112" s="381"/>
    </row>
    <row r="113" spans="1:30" x14ac:dyDescent="0.3">
      <c r="A113" s="94"/>
      <c r="B113" s="94"/>
      <c r="C113" s="122"/>
      <c r="D113" s="122"/>
      <c r="E113" s="122"/>
      <c r="F113" s="122"/>
      <c r="G113" s="122"/>
      <c r="H113" s="122"/>
      <c r="I113" s="122"/>
      <c r="J113" s="122"/>
      <c r="K113" s="122"/>
      <c r="L113" s="122"/>
      <c r="M113" s="331"/>
      <c r="N113" s="523"/>
      <c r="O113" s="331"/>
      <c r="P113" s="331"/>
      <c r="Q113" s="331"/>
      <c r="R113" s="331"/>
      <c r="S113" s="331"/>
      <c r="T113" s="331"/>
      <c r="U113" s="331"/>
      <c r="V113" s="381"/>
      <c r="W113" s="381"/>
      <c r="X113" s="381"/>
      <c r="Y113" s="381"/>
      <c r="Z113" s="381"/>
      <c r="AA113" s="381"/>
      <c r="AB113" s="381"/>
      <c r="AC113" s="381"/>
      <c r="AD113" s="381"/>
    </row>
    <row r="114" spans="1:30" x14ac:dyDescent="0.3">
      <c r="A114" s="94"/>
      <c r="B114" s="94"/>
      <c r="C114" s="94"/>
      <c r="D114" s="94"/>
      <c r="E114" s="94"/>
      <c r="F114" s="94"/>
      <c r="G114" s="94"/>
      <c r="H114" s="94"/>
      <c r="I114" s="94"/>
      <c r="J114" s="94"/>
      <c r="K114" s="94"/>
      <c r="L114" s="94"/>
      <c r="M114" s="94"/>
      <c r="O114" s="94"/>
      <c r="Q114" s="331"/>
      <c r="R114" s="331"/>
      <c r="S114" s="331"/>
      <c r="T114" s="94"/>
      <c r="U114" s="94"/>
      <c r="V114" s="94"/>
      <c r="W114" s="94"/>
      <c r="X114" s="94"/>
      <c r="Y114" s="94"/>
      <c r="Z114" s="94"/>
      <c r="AA114" s="94"/>
      <c r="AB114" s="94"/>
      <c r="AC114" s="94"/>
      <c r="AD114" s="94"/>
    </row>
    <row r="115" spans="1:30" x14ac:dyDescent="0.3">
      <c r="A115" s="94"/>
      <c r="B115" s="94"/>
      <c r="C115" s="94"/>
      <c r="D115" s="94"/>
      <c r="E115" s="94"/>
      <c r="F115" s="94"/>
      <c r="G115" s="94"/>
      <c r="H115" s="94"/>
      <c r="I115" s="94"/>
      <c r="J115" s="94"/>
      <c r="K115" s="94"/>
      <c r="L115" s="94"/>
      <c r="M115" s="94"/>
      <c r="O115" s="94"/>
      <c r="T115" s="94"/>
      <c r="U115" s="94"/>
      <c r="V115" s="94"/>
      <c r="W115" s="94"/>
      <c r="X115" s="94"/>
      <c r="Y115" s="94"/>
      <c r="Z115" s="94"/>
      <c r="AA115" s="94"/>
      <c r="AB115" s="94"/>
      <c r="AC115" s="94"/>
      <c r="AD115" s="94"/>
    </row>
  </sheetData>
  <sheetProtection algorithmName="SHA-512" hashValue="dVXH8LTxmON6XQZWfu0sGmUXa8QgH6nRH1NwdPP4dX2GDh50430Ibu5b1GHg3cHO+Cim7mkeUbPcLxhqdjMB+A==" saltValue="MVOAgu4bjMFpzdNJsBn34A==" spinCount="100000" sheet="1" objects="1" scenarios="1"/>
  <mergeCells count="24">
    <mergeCell ref="I34:O34"/>
    <mergeCell ref="P34:AB34"/>
    <mergeCell ref="AC34:AF34"/>
    <mergeCell ref="AG34:AJ34"/>
    <mergeCell ref="AK34:AN34"/>
    <mergeCell ref="B63:B64"/>
    <mergeCell ref="C63:C64"/>
    <mergeCell ref="D63:E63"/>
    <mergeCell ref="B42:B43"/>
    <mergeCell ref="C42:C43"/>
    <mergeCell ref="D42:E42"/>
    <mergeCell ref="G9:H9"/>
    <mergeCell ref="K9:L9"/>
    <mergeCell ref="K10:L10"/>
    <mergeCell ref="K11:L11"/>
    <mergeCell ref="B21:B22"/>
    <mergeCell ref="C21:C22"/>
    <mergeCell ref="D21:E21"/>
    <mergeCell ref="B11:B12"/>
    <mergeCell ref="K8:L8"/>
    <mergeCell ref="F4:G4"/>
    <mergeCell ref="J4:K4"/>
    <mergeCell ref="K6:L6"/>
    <mergeCell ref="K7:L7"/>
  </mergeCells>
  <conditionalFormatting sqref="H6:H7">
    <cfRule type="containsText" dxfId="9" priority="5" operator="containsText" text="Fail">
      <formula>NOT(ISERROR(SEARCH("Fail",H6)))</formula>
    </cfRule>
    <cfRule type="containsText" dxfId="8" priority="6" operator="containsText" text="Pass">
      <formula>NOT(ISERROR(SEARCH("Pass",H6)))</formula>
    </cfRule>
  </conditionalFormatting>
  <conditionalFormatting sqref="G6:G7">
    <cfRule type="containsText" dxfId="7" priority="1" operator="containsText" text="Fail">
      <formula>NOT(ISERROR(SEARCH("Fail",G6)))</formula>
    </cfRule>
    <cfRule type="containsText" dxfId="6" priority="2" operator="containsText" text="Pass">
      <formula>NOT(ISERROR(SEARCH("Pass",G6)))</formula>
    </cfRule>
  </conditionalFormatting>
  <dataValidations count="2">
    <dataValidation type="list" allowBlank="1" showInputMessage="1" showErrorMessage="1" sqref="C6" xr:uid="{00000000-0002-0000-2800-000000000000}">
      <formula1>$Q$4:$Q$7</formula1>
    </dataValidation>
    <dataValidation type="list" allowBlank="1" showInputMessage="1" showErrorMessage="1" sqref="C8" xr:uid="{00000000-0002-0000-2800-000001000000}">
      <formula1>$B$87:$B$97</formula1>
    </dataValidation>
  </dataValidations>
  <hyperlinks>
    <hyperlink ref="A2" location="TOC!A1" display="Return to TOC" xr:uid="{00000000-0004-0000-2800-000000000000}"/>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0">
    <tabColor theme="9" tint="0.79998168889431442"/>
    <pageSetUpPr autoPageBreaks="0"/>
  </sheetPr>
  <dimension ref="A1:AF1085"/>
  <sheetViews>
    <sheetView workbookViewId="0">
      <selection sqref="A1:AF1"/>
    </sheetView>
  </sheetViews>
  <sheetFormatPr defaultColWidth="2.6640625" defaultRowHeight="14.4" x14ac:dyDescent="0.3"/>
  <cols>
    <col min="1" max="32" width="2.6640625" style="121"/>
    <col min="33" max="16384" width="2.6640625" style="1"/>
  </cols>
  <sheetData>
    <row r="1" spans="1:32" ht="18.75" customHeight="1" x14ac:dyDescent="0.3">
      <c r="A1" s="1131" t="s">
        <v>2879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x14ac:dyDescent="0.3">
      <c r="A5" s="121"/>
      <c r="B5" s="872" t="s">
        <v>3529</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5" customHeight="1"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ht="15" customHeigh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ht="15" customHeight="1" x14ac:dyDescent="0.3">
      <c r="A8" s="57"/>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row>
    <row r="9" spans="1:32" ht="15" customHeight="1" x14ac:dyDescent="0.3">
      <c r="B9" s="267" t="s">
        <v>3</v>
      </c>
      <c r="C9" s="267"/>
      <c r="D9" s="267"/>
      <c r="E9" s="267"/>
      <c r="F9" s="267"/>
      <c r="G9" s="267"/>
      <c r="H9" s="267"/>
      <c r="I9" s="267"/>
    </row>
    <row r="10" spans="1:32" ht="81.75" customHeight="1" x14ac:dyDescent="0.3">
      <c r="B10" s="884" t="s">
        <v>2880</v>
      </c>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row>
    <row r="11" spans="1:32" ht="15" customHeight="1" x14ac:dyDescent="0.3"/>
    <row r="12" spans="1:32" ht="15" customHeight="1" x14ac:dyDescent="0.3">
      <c r="B12" s="267" t="s">
        <v>4</v>
      </c>
      <c r="C12" s="267"/>
      <c r="D12" s="267"/>
      <c r="E12" s="267"/>
      <c r="F12" s="267"/>
      <c r="G12" s="267"/>
      <c r="H12" s="267"/>
      <c r="I12" s="267"/>
    </row>
    <row r="13" spans="1:32" ht="99" customHeight="1" x14ac:dyDescent="0.3">
      <c r="B13" s="889" t="s">
        <v>231</v>
      </c>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row>
    <row r="14" spans="1:32" ht="15" customHeight="1" x14ac:dyDescent="0.3"/>
    <row r="15" spans="1:32" ht="15" customHeight="1" x14ac:dyDescent="0.3">
      <c r="B15" s="267" t="s">
        <v>5</v>
      </c>
      <c r="C15" s="267"/>
      <c r="D15" s="267"/>
      <c r="E15" s="267"/>
      <c r="F15" s="267"/>
      <c r="G15" s="267"/>
      <c r="H15" s="267"/>
      <c r="I15" s="267"/>
    </row>
    <row r="16" spans="1:32" ht="15" customHeight="1" x14ac:dyDescent="0.3">
      <c r="B16" s="1372" t="s">
        <v>3307</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ht="15" customHeight="1" x14ac:dyDescent="0.3"/>
    <row r="18" spans="1:32" ht="15" customHeight="1" x14ac:dyDescent="0.3">
      <c r="B18" s="267" t="s">
        <v>6</v>
      </c>
      <c r="C18" s="267"/>
      <c r="D18" s="267"/>
      <c r="E18" s="267"/>
      <c r="F18" s="267"/>
      <c r="G18" s="267"/>
      <c r="H18" s="267"/>
      <c r="I18" s="267"/>
    </row>
    <row r="19" spans="1:32" ht="15" customHeight="1" x14ac:dyDescent="0.3">
      <c r="B19" s="1372" t="s">
        <v>3308</v>
      </c>
      <c r="C19" s="1372"/>
      <c r="D19" s="1372"/>
      <c r="E19" s="1372"/>
      <c r="F19" s="1372"/>
      <c r="G19" s="1372"/>
      <c r="H19" s="1372"/>
      <c r="I19" s="1372"/>
      <c r="J19" s="1372"/>
      <c r="K19" s="1372"/>
      <c r="L19" s="1372"/>
      <c r="M19" s="1372"/>
      <c r="N19" s="1372"/>
      <c r="O19" s="1372"/>
      <c r="P19" s="1372"/>
      <c r="Q19" s="1372"/>
      <c r="R19" s="1372"/>
      <c r="S19" s="1372"/>
      <c r="T19" s="1372"/>
      <c r="U19" s="1372"/>
      <c r="V19" s="1372"/>
      <c r="W19" s="1372"/>
      <c r="X19" s="1372"/>
      <c r="Y19" s="1372"/>
      <c r="Z19" s="1372"/>
      <c r="AA19" s="1372"/>
      <c r="AB19" s="1372"/>
      <c r="AC19" s="1372"/>
      <c r="AD19" s="1372"/>
      <c r="AE19" s="1372"/>
      <c r="AF19" s="1372"/>
    </row>
    <row r="20" spans="1:32" ht="15" customHeight="1" x14ac:dyDescent="0.3"/>
    <row r="21" spans="1:32" ht="15" customHeight="1" x14ac:dyDescent="0.3">
      <c r="B21" s="267" t="s">
        <v>13</v>
      </c>
      <c r="C21" s="267"/>
      <c r="D21" s="267"/>
      <c r="E21" s="267"/>
      <c r="F21" s="267"/>
      <c r="G21" s="267"/>
      <c r="H21" s="267"/>
      <c r="I21" s="267"/>
    </row>
    <row r="22" spans="1:32" ht="15" customHeight="1" x14ac:dyDescent="0.3">
      <c r="B22" s="1372" t="s">
        <v>3309</v>
      </c>
      <c r="C22" s="1372"/>
      <c r="D22" s="1372"/>
      <c r="E22" s="1372"/>
      <c r="F22" s="1372"/>
      <c r="G22" s="1372"/>
      <c r="H22" s="1372"/>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row>
    <row r="23" spans="1:32" ht="15" customHeight="1" x14ac:dyDescent="0.3"/>
    <row r="24" spans="1:32" ht="15" customHeight="1" x14ac:dyDescent="0.3">
      <c r="A24" s="1290" t="s">
        <v>7</v>
      </c>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row>
    <row r="25" spans="1:32" ht="15" customHeight="1" x14ac:dyDescent="0.3">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row>
    <row r="26" spans="1:32" ht="15" customHeight="1" x14ac:dyDescent="0.3">
      <c r="A26" s="94"/>
      <c r="B26" s="372" t="s">
        <v>2881</v>
      </c>
      <c r="Y26" s="94"/>
      <c r="Z26" s="94"/>
      <c r="AA26" s="94"/>
      <c r="AB26" s="94"/>
      <c r="AC26" s="94"/>
      <c r="AD26" s="94"/>
      <c r="AE26" s="94"/>
      <c r="AF26" s="94"/>
    </row>
    <row r="27" spans="1:32" ht="15" customHeight="1" x14ac:dyDescent="0.3">
      <c r="A27" s="94"/>
      <c r="B27" s="94"/>
      <c r="Y27" s="94"/>
      <c r="Z27" s="94"/>
      <c r="AA27" s="94"/>
      <c r="AB27" s="94"/>
      <c r="AC27" s="94"/>
      <c r="AD27" s="94"/>
      <c r="AE27" s="94"/>
      <c r="AF27" s="94"/>
    </row>
    <row r="28" spans="1:32" ht="15" customHeight="1" x14ac:dyDescent="0.3">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388" t="s">
        <v>1463</v>
      </c>
    </row>
    <row r="29" spans="1:32" ht="15" customHeight="1" x14ac:dyDescent="0.3">
      <c r="A29" s="94"/>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row>
    <row r="30" spans="1:32" ht="15" customHeight="1" x14ac:dyDescent="0.3">
      <c r="A30" s="94"/>
      <c r="B30" s="372" t="s">
        <v>2882</v>
      </c>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row>
    <row r="31" spans="1:32" ht="15" customHeight="1" x14ac:dyDescent="0.3">
      <c r="A31" s="94"/>
      <c r="Y31" s="94"/>
      <c r="Z31" s="94"/>
      <c r="AA31" s="94"/>
      <c r="AB31" s="94"/>
      <c r="AC31" s="94"/>
      <c r="AD31" s="94"/>
      <c r="AE31" s="94"/>
      <c r="AF31" s="94"/>
    </row>
    <row r="32" spans="1:32" ht="15" customHeight="1" x14ac:dyDescent="0.3">
      <c r="A32" s="94"/>
      <c r="B32" s="94"/>
      <c r="Y32" s="94"/>
      <c r="Z32" s="94"/>
      <c r="AA32" s="94"/>
      <c r="AB32" s="94"/>
      <c r="AC32" s="94"/>
      <c r="AD32" s="94"/>
      <c r="AE32" s="94"/>
      <c r="AF32" s="388" t="s">
        <v>1464</v>
      </c>
    </row>
    <row r="33" spans="1:32" ht="15" customHeight="1" x14ac:dyDescent="0.3">
      <c r="A33" s="94"/>
      <c r="B33" s="94"/>
      <c r="Y33" s="94"/>
      <c r="Z33" s="94"/>
      <c r="AA33" s="94"/>
      <c r="AB33" s="94"/>
      <c r="AC33" s="94"/>
      <c r="AD33" s="94"/>
      <c r="AE33" s="94"/>
      <c r="AF33" s="94"/>
    </row>
    <row r="34" spans="1:32" ht="15" customHeight="1" x14ac:dyDescent="0.3">
      <c r="A34" s="94"/>
      <c r="B34" s="372" t="s">
        <v>2883</v>
      </c>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row>
    <row r="35" spans="1:32" ht="15" customHeight="1" x14ac:dyDescent="0.3">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row>
    <row r="36" spans="1:32" ht="15" customHeight="1" x14ac:dyDescent="0.3">
      <c r="A36" s="94"/>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388" t="s">
        <v>1465</v>
      </c>
    </row>
    <row r="37" spans="1:32" ht="15" customHeight="1" x14ac:dyDescent="0.3"/>
    <row r="38" spans="1:32" customFormat="1" ht="15" customHeight="1" x14ac:dyDescent="0.3">
      <c r="A38" s="1290" t="s">
        <v>8</v>
      </c>
      <c r="B38" s="1290"/>
      <c r="C38" s="1290"/>
      <c r="D38" s="1290"/>
      <c r="E38" s="1290"/>
      <c r="F38" s="1290"/>
      <c r="G38" s="1290"/>
      <c r="H38" s="1290"/>
      <c r="I38" s="1290"/>
      <c r="J38" s="1290"/>
      <c r="K38" s="1290"/>
      <c r="L38" s="1290"/>
      <c r="M38" s="1290"/>
      <c r="N38" s="1290"/>
      <c r="O38" s="1290"/>
      <c r="P38" s="1290"/>
      <c r="Q38" s="1290"/>
      <c r="R38" s="1290"/>
      <c r="S38" s="1290"/>
      <c r="T38" s="1290"/>
      <c r="U38" s="1290"/>
      <c r="V38" s="1290"/>
      <c r="W38" s="1290"/>
      <c r="X38" s="1290"/>
      <c r="Y38" s="1290"/>
      <c r="Z38" s="1290"/>
      <c r="AA38" s="1290"/>
      <c r="AB38" s="1290"/>
      <c r="AC38" s="1290"/>
      <c r="AD38" s="1290"/>
      <c r="AE38" s="1290"/>
      <c r="AF38" s="1290"/>
    </row>
    <row r="39" spans="1:32" ht="15" customHeight="1" x14ac:dyDescent="0.3">
      <c r="A39" s="1366" t="s">
        <v>9</v>
      </c>
      <c r="B39" s="1367"/>
      <c r="C39" s="1367"/>
      <c r="D39" s="1368"/>
      <c r="E39" s="1366" t="s">
        <v>3</v>
      </c>
      <c r="F39" s="1367"/>
      <c r="G39" s="1367"/>
      <c r="H39" s="1367"/>
      <c r="I39" s="1367"/>
      <c r="J39" s="1367"/>
      <c r="K39" s="1367"/>
      <c r="L39" s="1367"/>
      <c r="M39" s="1367"/>
      <c r="N39" s="1367"/>
      <c r="O39" s="1367"/>
      <c r="P39" s="1368"/>
      <c r="Q39" s="1366" t="s">
        <v>10</v>
      </c>
      <c r="R39" s="1367"/>
      <c r="S39" s="1367"/>
      <c r="T39" s="1368"/>
      <c r="U39" s="1366" t="s">
        <v>11</v>
      </c>
      <c r="V39" s="1367"/>
      <c r="W39" s="1368"/>
      <c r="X39" s="1366" t="s">
        <v>1466</v>
      </c>
      <c r="Y39" s="1367"/>
      <c r="Z39" s="1367"/>
      <c r="AA39" s="1367"/>
      <c r="AB39" s="1367"/>
      <c r="AC39" s="1367"/>
      <c r="AD39" s="1367"/>
      <c r="AE39" s="1367"/>
      <c r="AF39" s="1368"/>
    </row>
    <row r="40" spans="1:32" ht="39" customHeight="1" x14ac:dyDescent="0.3">
      <c r="A40" s="1822" t="s">
        <v>2888</v>
      </c>
      <c r="B40" s="1823"/>
      <c r="C40" s="1823"/>
      <c r="D40" s="1824"/>
      <c r="E40" s="1163" t="s">
        <v>2884</v>
      </c>
      <c r="F40" s="1164"/>
      <c r="G40" s="1164"/>
      <c r="H40" s="1164"/>
      <c r="I40" s="1164"/>
      <c r="J40" s="1164"/>
      <c r="K40" s="1164"/>
      <c r="L40" s="1164"/>
      <c r="M40" s="1164"/>
      <c r="N40" s="1164"/>
      <c r="O40" s="1164"/>
      <c r="P40" s="1165"/>
      <c r="Q40" s="1166" t="s">
        <v>516</v>
      </c>
      <c r="R40" s="1167"/>
      <c r="S40" s="1167"/>
      <c r="T40" s="1168"/>
      <c r="U40" s="1352" t="s">
        <v>41</v>
      </c>
      <c r="V40" s="1353"/>
      <c r="W40" s="1354"/>
      <c r="X40" s="1207" t="s">
        <v>2890</v>
      </c>
      <c r="Y40" s="1208"/>
      <c r="Z40" s="1208"/>
      <c r="AA40" s="1208"/>
      <c r="AB40" s="1208"/>
      <c r="AC40" s="1208"/>
      <c r="AD40" s="1208"/>
      <c r="AE40" s="1208"/>
      <c r="AF40" s="1209"/>
    </row>
    <row r="41" spans="1:32" ht="32.25" customHeight="1" x14ac:dyDescent="0.3">
      <c r="A41" s="1822" t="s">
        <v>2889</v>
      </c>
      <c r="B41" s="1823"/>
      <c r="C41" s="1823"/>
      <c r="D41" s="1824"/>
      <c r="E41" s="1163" t="s">
        <v>2885</v>
      </c>
      <c r="F41" s="1164"/>
      <c r="G41" s="1164"/>
      <c r="H41" s="1164"/>
      <c r="I41" s="1164"/>
      <c r="J41" s="1164"/>
      <c r="K41" s="1164"/>
      <c r="L41" s="1164"/>
      <c r="M41" s="1164"/>
      <c r="N41" s="1164"/>
      <c r="O41" s="1164"/>
      <c r="P41" s="1165"/>
      <c r="Q41" s="1166" t="s">
        <v>516</v>
      </c>
      <c r="R41" s="1167"/>
      <c r="S41" s="1167"/>
      <c r="T41" s="1168"/>
      <c r="U41" s="1352" t="s">
        <v>18</v>
      </c>
      <c r="V41" s="1353"/>
      <c r="W41" s="1354"/>
      <c r="X41" s="1207" t="s">
        <v>2890</v>
      </c>
      <c r="Y41" s="1208"/>
      <c r="Z41" s="1208"/>
      <c r="AA41" s="1208"/>
      <c r="AB41" s="1208"/>
      <c r="AC41" s="1208"/>
      <c r="AD41" s="1208"/>
      <c r="AE41" s="1208"/>
      <c r="AF41" s="1209"/>
    </row>
    <row r="42" spans="1:32" ht="50.25" customHeight="1" x14ac:dyDescent="0.3">
      <c r="A42" s="1163" t="s">
        <v>2562</v>
      </c>
      <c r="B42" s="1164"/>
      <c r="C42" s="1164"/>
      <c r="D42" s="1165"/>
      <c r="E42" s="1163" t="s">
        <v>2050</v>
      </c>
      <c r="F42" s="1164"/>
      <c r="G42" s="1164"/>
      <c r="H42" s="1164"/>
      <c r="I42" s="1164"/>
      <c r="J42" s="1164"/>
      <c r="K42" s="1164"/>
      <c r="L42" s="1164"/>
      <c r="M42" s="1164"/>
      <c r="N42" s="1164"/>
      <c r="O42" s="1164"/>
      <c r="P42" s="1165"/>
      <c r="Q42" s="1166">
        <f>'Master EUL'!X100</f>
        <v>15</v>
      </c>
      <c r="R42" s="1167"/>
      <c r="S42" s="1167"/>
      <c r="T42" s="1168"/>
      <c r="U42" s="1352" t="s">
        <v>28</v>
      </c>
      <c r="V42" s="1353"/>
      <c r="W42" s="1354"/>
      <c r="X42" s="1163" t="s">
        <v>2653</v>
      </c>
      <c r="Y42" s="1164"/>
      <c r="Z42" s="1164"/>
      <c r="AA42" s="1164"/>
      <c r="AB42" s="1164"/>
      <c r="AC42" s="1164"/>
      <c r="AD42" s="1164"/>
      <c r="AE42" s="1164"/>
      <c r="AF42" s="1165"/>
    </row>
    <row r="43" spans="1:32" ht="66.75" customHeight="1" x14ac:dyDescent="0.3">
      <c r="A43" s="1355" t="s">
        <v>2922</v>
      </c>
      <c r="B43" s="1355"/>
      <c r="C43" s="1355"/>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55"/>
      <c r="AA43" s="1355"/>
      <c r="AB43" s="1355"/>
      <c r="AC43" s="1355"/>
      <c r="AD43" s="1355"/>
      <c r="AE43" s="1355"/>
      <c r="AF43" s="1355"/>
    </row>
    <row r="44" spans="1:32" ht="15" customHeight="1" x14ac:dyDescent="0.3">
      <c r="A44" s="94"/>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row>
    <row r="45" spans="1:32" ht="15" customHeight="1" x14ac:dyDescent="0.3">
      <c r="A45" s="1290" t="s">
        <v>14</v>
      </c>
      <c r="B45" s="1290"/>
      <c r="C45" s="1290"/>
      <c r="D45" s="1290"/>
      <c r="E45" s="1290"/>
      <c r="F45" s="1290"/>
      <c r="G45" s="1290"/>
      <c r="H45" s="1290"/>
      <c r="I45" s="1290"/>
      <c r="J45" s="1290"/>
      <c r="K45" s="1290"/>
      <c r="L45" s="1290"/>
      <c r="M45" s="1290"/>
      <c r="N45" s="1290"/>
      <c r="O45" s="1290"/>
      <c r="P45" s="1290"/>
      <c r="Q45" s="1290"/>
      <c r="R45" s="1290"/>
      <c r="S45" s="1290"/>
      <c r="T45" s="1290"/>
      <c r="U45" s="1290"/>
      <c r="V45" s="1290"/>
      <c r="W45" s="1290"/>
      <c r="X45" s="1290"/>
      <c r="Y45" s="1290"/>
      <c r="Z45" s="1290"/>
      <c r="AA45" s="1290"/>
      <c r="AB45" s="1290"/>
      <c r="AC45" s="1290"/>
      <c r="AD45" s="1290"/>
      <c r="AE45" s="1290"/>
      <c r="AF45" s="1290"/>
    </row>
    <row r="46" spans="1:32" ht="15" customHeight="1" x14ac:dyDescent="0.3">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row>
    <row r="47" spans="1:32" ht="15" customHeight="1" x14ac:dyDescent="0.3">
      <c r="A47" s="187" t="s">
        <v>2886</v>
      </c>
    </row>
    <row r="48" spans="1:32" ht="15" customHeight="1" x14ac:dyDescent="0.3">
      <c r="A48" s="1825" t="s">
        <v>46</v>
      </c>
      <c r="B48" s="1826"/>
      <c r="C48" s="1826"/>
      <c r="D48" s="1826"/>
      <c r="E48" s="1826"/>
      <c r="F48" s="1827"/>
      <c r="G48" s="1493" t="s">
        <v>16</v>
      </c>
      <c r="H48" s="1493"/>
      <c r="I48" s="1493"/>
      <c r="J48" s="1493"/>
      <c r="K48" s="1493"/>
      <c r="L48" s="1493"/>
      <c r="M48" s="1493"/>
      <c r="N48" s="1493"/>
      <c r="O48" s="1106" t="s">
        <v>17</v>
      </c>
      <c r="P48" s="1107"/>
      <c r="Q48" s="1107"/>
      <c r="R48" s="1107"/>
      <c r="S48" s="1107"/>
      <c r="T48" s="1107"/>
      <c r="U48" s="1107"/>
      <c r="V48" s="1107"/>
      <c r="W48" s="1108"/>
      <c r="X48" s="1493" t="s">
        <v>1826</v>
      </c>
      <c r="Y48" s="1493"/>
      <c r="Z48" s="1493"/>
      <c r="AA48" s="1493"/>
      <c r="AB48" s="1493"/>
      <c r="AC48" s="1493"/>
      <c r="AD48" s="1493"/>
      <c r="AE48" s="1493"/>
      <c r="AF48" s="1493"/>
    </row>
    <row r="49" spans="1:32" ht="33" customHeight="1" x14ac:dyDescent="0.3">
      <c r="A49" s="1677" t="s">
        <v>3655</v>
      </c>
      <c r="B49" s="1339"/>
      <c r="C49" s="1339"/>
      <c r="D49" s="1339"/>
      <c r="E49" s="1339"/>
      <c r="F49" s="1340"/>
      <c r="G49" s="1828">
        <v>0.36799999999999999</v>
      </c>
      <c r="H49" s="1828"/>
      <c r="I49" s="1828"/>
      <c r="J49" s="1828"/>
      <c r="K49" s="1828"/>
      <c r="L49" s="1828"/>
      <c r="M49" s="1828"/>
      <c r="N49" s="1828"/>
      <c r="O49" s="1829">
        <v>1214.0999999999999</v>
      </c>
      <c r="P49" s="1830"/>
      <c r="Q49" s="1830"/>
      <c r="R49" s="1830"/>
      <c r="S49" s="1830"/>
      <c r="T49" s="1830"/>
      <c r="U49" s="1830"/>
      <c r="V49" s="1830"/>
      <c r="W49" s="1831"/>
      <c r="X49" s="1832">
        <f>ROUND(O49*$Q$42,2)</f>
        <v>18211.5</v>
      </c>
      <c r="Y49" s="1832"/>
      <c r="Z49" s="1832"/>
      <c r="AA49" s="1832"/>
      <c r="AB49" s="1832"/>
      <c r="AC49" s="1832"/>
      <c r="AD49" s="1832"/>
      <c r="AE49" s="1832"/>
      <c r="AF49" s="1832"/>
    </row>
    <row r="50" spans="1:32" ht="45" customHeight="1" x14ac:dyDescent="0.3">
      <c r="A50" s="1677" t="s">
        <v>3656</v>
      </c>
      <c r="B50" s="1339"/>
      <c r="C50" s="1339"/>
      <c r="D50" s="1339"/>
      <c r="E50" s="1339"/>
      <c r="F50" s="1340"/>
      <c r="G50" s="1828">
        <v>0.27400000000000002</v>
      </c>
      <c r="H50" s="1828"/>
      <c r="I50" s="1828"/>
      <c r="J50" s="1828"/>
      <c r="K50" s="1828"/>
      <c r="L50" s="1828"/>
      <c r="M50" s="1828"/>
      <c r="N50" s="1828"/>
      <c r="O50" s="1829">
        <v>872.29</v>
      </c>
      <c r="P50" s="1830"/>
      <c r="Q50" s="1830"/>
      <c r="R50" s="1830"/>
      <c r="S50" s="1830"/>
      <c r="T50" s="1830"/>
      <c r="U50" s="1830"/>
      <c r="V50" s="1830"/>
      <c r="W50" s="1831"/>
      <c r="X50" s="1832">
        <f>ROUND(O50*$Q$42,2)</f>
        <v>13084.35</v>
      </c>
      <c r="Y50" s="1832"/>
      <c r="Z50" s="1832"/>
      <c r="AA50" s="1832"/>
      <c r="AB50" s="1832"/>
      <c r="AC50" s="1832"/>
      <c r="AD50" s="1832"/>
      <c r="AE50" s="1832"/>
      <c r="AF50" s="1832"/>
    </row>
    <row r="51" spans="1:32" ht="15" customHeight="1" x14ac:dyDescent="0.3"/>
    <row r="52" spans="1:32" ht="15" customHeight="1" x14ac:dyDescent="0.3">
      <c r="A52" s="1290" t="s">
        <v>1514</v>
      </c>
      <c r="B52" s="1290"/>
      <c r="C52" s="1290"/>
      <c r="D52" s="1290"/>
      <c r="E52" s="1290"/>
      <c r="F52" s="1290"/>
      <c r="G52" s="1290"/>
      <c r="H52" s="1290"/>
      <c r="I52" s="1290"/>
      <c r="J52" s="1290"/>
      <c r="K52" s="1290"/>
      <c r="L52" s="1290"/>
      <c r="M52" s="1290"/>
      <c r="N52" s="1290"/>
      <c r="O52" s="1290"/>
      <c r="P52" s="1290"/>
      <c r="Q52" s="1290"/>
      <c r="R52" s="1290"/>
      <c r="S52" s="1290"/>
      <c r="T52" s="1290"/>
      <c r="U52" s="1290"/>
      <c r="V52" s="1290"/>
      <c r="W52" s="1290"/>
      <c r="X52" s="1290"/>
      <c r="Y52" s="1290"/>
      <c r="Z52" s="1290"/>
      <c r="AA52" s="1290"/>
      <c r="AB52" s="1290"/>
      <c r="AC52" s="1290"/>
      <c r="AD52" s="1290"/>
      <c r="AE52" s="1290"/>
      <c r="AF52" s="1290"/>
    </row>
    <row r="53" spans="1:32" ht="15" customHeight="1" x14ac:dyDescent="0.3"/>
    <row r="54" spans="1:32" ht="33.75" customHeight="1" x14ac:dyDescent="0.3">
      <c r="A54" s="389" t="s">
        <v>803</v>
      </c>
      <c r="B54" s="1373" t="s">
        <v>3530</v>
      </c>
      <c r="C54" s="1373"/>
      <c r="D54" s="1373"/>
      <c r="E54" s="1373"/>
      <c r="F54" s="1373"/>
      <c r="G54" s="1373"/>
      <c r="H54" s="1373"/>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row>
    <row r="55" spans="1:32" ht="32.25" customHeight="1" x14ac:dyDescent="0.3">
      <c r="A55" s="389" t="s">
        <v>803</v>
      </c>
      <c r="B55" s="884" t="s">
        <v>2925</v>
      </c>
      <c r="C55" s="884"/>
      <c r="D55" s="884"/>
      <c r="E55" s="884"/>
      <c r="F55" s="884"/>
      <c r="G55" s="884"/>
      <c r="H55" s="884"/>
      <c r="I55" s="884"/>
      <c r="J55" s="884"/>
      <c r="K55" s="884"/>
      <c r="L55" s="884"/>
      <c r="M55" s="884"/>
      <c r="N55" s="884"/>
      <c r="O55" s="884"/>
      <c r="P55" s="884"/>
      <c r="Q55" s="884"/>
      <c r="R55" s="884"/>
      <c r="S55" s="884"/>
      <c r="T55" s="884"/>
      <c r="U55" s="884"/>
      <c r="V55" s="884"/>
      <c r="W55" s="884"/>
      <c r="X55" s="884"/>
      <c r="Y55" s="884"/>
      <c r="Z55" s="884"/>
      <c r="AA55" s="884"/>
      <c r="AB55" s="884"/>
      <c r="AC55" s="884"/>
      <c r="AD55" s="884"/>
      <c r="AE55" s="884"/>
      <c r="AF55" s="884"/>
    </row>
    <row r="56" spans="1:32" ht="52.5" customHeight="1" x14ac:dyDescent="0.3">
      <c r="A56" s="389" t="s">
        <v>803</v>
      </c>
      <c r="B56" s="884" t="s">
        <v>2892</v>
      </c>
      <c r="C56" s="884"/>
      <c r="D56" s="884"/>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884"/>
      <c r="AE56" s="884"/>
      <c r="AF56" s="884"/>
    </row>
    <row r="57" spans="1:32" ht="32.25" customHeight="1" x14ac:dyDescent="0.3">
      <c r="A57" s="389" t="s">
        <v>803</v>
      </c>
      <c r="B57" s="884" t="s">
        <v>2923</v>
      </c>
      <c r="C57" s="884"/>
      <c r="D57" s="884"/>
      <c r="E57" s="884"/>
      <c r="F57" s="884"/>
      <c r="G57" s="884"/>
      <c r="H57" s="884"/>
      <c r="I57" s="884"/>
      <c r="J57" s="884"/>
      <c r="K57" s="884"/>
      <c r="L57" s="884"/>
      <c r="M57" s="884"/>
      <c r="N57" s="884"/>
      <c r="O57" s="884"/>
      <c r="P57" s="884"/>
      <c r="Q57" s="884"/>
      <c r="R57" s="884"/>
      <c r="S57" s="884"/>
      <c r="T57" s="884"/>
      <c r="U57" s="884"/>
      <c r="V57" s="884"/>
      <c r="W57" s="884"/>
      <c r="X57" s="884"/>
      <c r="Y57" s="884"/>
      <c r="Z57" s="884"/>
      <c r="AA57" s="884"/>
      <c r="AB57" s="884"/>
      <c r="AC57" s="884"/>
      <c r="AD57" s="884"/>
      <c r="AE57" s="884"/>
      <c r="AF57" s="884"/>
    </row>
    <row r="58" spans="1:32" ht="32.25" customHeight="1" x14ac:dyDescent="0.3">
      <c r="A58" s="389" t="s">
        <v>803</v>
      </c>
      <c r="B58" s="884" t="s">
        <v>2926</v>
      </c>
      <c r="C58" s="884"/>
      <c r="D58" s="884"/>
      <c r="E58" s="884"/>
      <c r="F58" s="884"/>
      <c r="G58" s="884"/>
      <c r="H58" s="884"/>
      <c r="I58" s="884"/>
      <c r="J58" s="884"/>
      <c r="K58" s="884"/>
      <c r="L58" s="884"/>
      <c r="M58" s="884"/>
      <c r="N58" s="884"/>
      <c r="O58" s="884"/>
      <c r="P58" s="884"/>
      <c r="Q58" s="884"/>
      <c r="R58" s="884"/>
      <c r="S58" s="884"/>
      <c r="T58" s="884"/>
      <c r="U58" s="884"/>
      <c r="V58" s="884"/>
      <c r="W58" s="884"/>
      <c r="X58" s="884"/>
      <c r="Y58" s="884"/>
      <c r="Z58" s="884"/>
      <c r="AA58" s="884"/>
      <c r="AB58" s="884"/>
      <c r="AC58" s="884"/>
      <c r="AD58" s="884"/>
      <c r="AE58" s="884"/>
      <c r="AF58" s="884"/>
    </row>
    <row r="59" spans="1:32" ht="67.5" customHeight="1" x14ac:dyDescent="0.3">
      <c r="A59" s="389" t="s">
        <v>803</v>
      </c>
      <c r="B59" s="884" t="s">
        <v>2887</v>
      </c>
      <c r="C59" s="884"/>
      <c r="D59" s="884"/>
      <c r="E59" s="884"/>
      <c r="F59" s="884"/>
      <c r="G59" s="884"/>
      <c r="H59" s="884"/>
      <c r="I59" s="884"/>
      <c r="J59" s="884"/>
      <c r="K59" s="884"/>
      <c r="L59" s="884"/>
      <c r="M59" s="884"/>
      <c r="N59" s="884"/>
      <c r="O59" s="884"/>
      <c r="P59" s="884"/>
      <c r="Q59" s="884"/>
      <c r="R59" s="884"/>
      <c r="S59" s="884"/>
      <c r="T59" s="884"/>
      <c r="U59" s="884"/>
      <c r="V59" s="884"/>
      <c r="W59" s="884"/>
      <c r="X59" s="884"/>
      <c r="Y59" s="884"/>
      <c r="Z59" s="884"/>
      <c r="AA59" s="884"/>
      <c r="AB59" s="884"/>
      <c r="AC59" s="884"/>
      <c r="AD59" s="884"/>
      <c r="AE59" s="884"/>
      <c r="AF59" s="884"/>
    </row>
    <row r="60" spans="1:32" ht="50.25" customHeight="1" x14ac:dyDescent="0.3">
      <c r="A60" s="389" t="s">
        <v>803</v>
      </c>
      <c r="B60" s="884" t="s">
        <v>2891</v>
      </c>
      <c r="C60" s="884"/>
      <c r="D60" s="884"/>
      <c r="E60" s="884"/>
      <c r="F60" s="884"/>
      <c r="G60" s="884"/>
      <c r="H60" s="884"/>
      <c r="I60" s="884"/>
      <c r="J60" s="884"/>
      <c r="K60" s="884"/>
      <c r="L60" s="884"/>
      <c r="M60" s="884"/>
      <c r="N60" s="884"/>
      <c r="O60" s="884"/>
      <c r="P60" s="884"/>
      <c r="Q60" s="884"/>
      <c r="R60" s="884"/>
      <c r="S60" s="884"/>
      <c r="T60" s="884"/>
      <c r="U60" s="884"/>
      <c r="V60" s="884"/>
      <c r="W60" s="884"/>
      <c r="X60" s="884"/>
      <c r="Y60" s="884"/>
      <c r="Z60" s="884"/>
      <c r="AA60" s="884"/>
      <c r="AB60" s="884"/>
      <c r="AC60" s="884"/>
      <c r="AD60" s="884"/>
      <c r="AE60" s="884"/>
      <c r="AF60" s="884"/>
    </row>
    <row r="61" spans="1:32" ht="30.75" customHeight="1" x14ac:dyDescent="0.3">
      <c r="A61" s="389" t="s">
        <v>803</v>
      </c>
      <c r="B61" s="884" t="s">
        <v>2924</v>
      </c>
      <c r="C61" s="884"/>
      <c r="D61" s="884"/>
      <c r="E61" s="884"/>
      <c r="F61" s="884"/>
      <c r="G61" s="884"/>
      <c r="H61" s="884"/>
      <c r="I61" s="884"/>
      <c r="J61" s="884"/>
      <c r="K61" s="884"/>
      <c r="L61" s="884"/>
      <c r="M61" s="884"/>
      <c r="N61" s="884"/>
      <c r="O61" s="884"/>
      <c r="P61" s="884"/>
      <c r="Q61" s="884"/>
      <c r="R61" s="884"/>
      <c r="S61" s="884"/>
      <c r="T61" s="884"/>
      <c r="U61" s="884"/>
      <c r="V61" s="884"/>
      <c r="W61" s="884"/>
      <c r="X61" s="884"/>
      <c r="Y61" s="884"/>
      <c r="Z61" s="884"/>
      <c r="AA61" s="884"/>
      <c r="AB61" s="884"/>
      <c r="AC61" s="884"/>
      <c r="AD61" s="884"/>
      <c r="AE61" s="884"/>
      <c r="AF61" s="884"/>
    </row>
    <row r="62" spans="1:32" ht="15" customHeight="1" x14ac:dyDescent="0.3"/>
    <row r="63" spans="1:32" ht="15" customHeight="1" x14ac:dyDescent="0.3"/>
    <row r="64" spans="1:32"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row r="1003" ht="15" customHeight="1" x14ac:dyDescent="0.3"/>
    <row r="1004" ht="15" customHeight="1" x14ac:dyDescent="0.3"/>
    <row r="1005" ht="15" customHeight="1" x14ac:dyDescent="0.3"/>
    <row r="1006" ht="15" customHeight="1" x14ac:dyDescent="0.3"/>
    <row r="1007" ht="15" customHeight="1" x14ac:dyDescent="0.3"/>
    <row r="1008" ht="15" customHeight="1" x14ac:dyDescent="0.3"/>
    <row r="1009" ht="15" customHeight="1" x14ac:dyDescent="0.3"/>
    <row r="1010" ht="15" customHeight="1" x14ac:dyDescent="0.3"/>
    <row r="1011" ht="15" customHeight="1" x14ac:dyDescent="0.3"/>
    <row r="1012" ht="15" customHeight="1" x14ac:dyDescent="0.3"/>
    <row r="1013" ht="15" customHeight="1" x14ac:dyDescent="0.3"/>
    <row r="1014" ht="15" customHeight="1" x14ac:dyDescent="0.3"/>
    <row r="1015" ht="15" customHeight="1" x14ac:dyDescent="0.3"/>
    <row r="1016" ht="15" customHeight="1" x14ac:dyDescent="0.3"/>
    <row r="1017" ht="15" customHeight="1" x14ac:dyDescent="0.3"/>
    <row r="1018" ht="15" customHeight="1" x14ac:dyDescent="0.3"/>
    <row r="1019" ht="15" customHeight="1" x14ac:dyDescent="0.3"/>
    <row r="1020" ht="15" customHeight="1" x14ac:dyDescent="0.3"/>
    <row r="1021" ht="15" customHeight="1" x14ac:dyDescent="0.3"/>
    <row r="1022" ht="15" customHeight="1" x14ac:dyDescent="0.3"/>
    <row r="1023" ht="15" customHeight="1" x14ac:dyDescent="0.3"/>
    <row r="1024" ht="15" customHeight="1" x14ac:dyDescent="0.3"/>
    <row r="1025" ht="15" customHeight="1" x14ac:dyDescent="0.3"/>
    <row r="1026" ht="15" customHeight="1" x14ac:dyDescent="0.3"/>
    <row r="1027" ht="15" customHeight="1" x14ac:dyDescent="0.3"/>
    <row r="1028" ht="15" customHeight="1" x14ac:dyDescent="0.3"/>
    <row r="1029" ht="15" customHeight="1" x14ac:dyDescent="0.3"/>
    <row r="1030" ht="15" customHeight="1" x14ac:dyDescent="0.3"/>
    <row r="1031" ht="15" customHeight="1" x14ac:dyDescent="0.3"/>
    <row r="1032" ht="15" customHeight="1" x14ac:dyDescent="0.3"/>
    <row r="1033" ht="15" customHeight="1" x14ac:dyDescent="0.3"/>
    <row r="1034" ht="15" customHeight="1" x14ac:dyDescent="0.3"/>
    <row r="1035" ht="15" customHeight="1" x14ac:dyDescent="0.3"/>
    <row r="1036" ht="15" customHeight="1" x14ac:dyDescent="0.3"/>
    <row r="1037" ht="15" customHeight="1" x14ac:dyDescent="0.3"/>
    <row r="1038" ht="15" customHeight="1" x14ac:dyDescent="0.3"/>
    <row r="1039" ht="15" customHeight="1" x14ac:dyDescent="0.3"/>
    <row r="1040" ht="15" customHeight="1" x14ac:dyDescent="0.3"/>
    <row r="1041" ht="15" customHeight="1" x14ac:dyDescent="0.3"/>
    <row r="1042" ht="15" customHeight="1" x14ac:dyDescent="0.3"/>
    <row r="1043" ht="15" customHeight="1" x14ac:dyDescent="0.3"/>
    <row r="1044" ht="15" customHeight="1" x14ac:dyDescent="0.3"/>
    <row r="1045" ht="15" customHeight="1" x14ac:dyDescent="0.3"/>
    <row r="1046" ht="15" customHeight="1" x14ac:dyDescent="0.3"/>
    <row r="1047" ht="15" customHeight="1" x14ac:dyDescent="0.3"/>
    <row r="1048" ht="15" customHeight="1" x14ac:dyDescent="0.3"/>
    <row r="1049" ht="15" customHeight="1" x14ac:dyDescent="0.3"/>
    <row r="1050" ht="15" customHeight="1" x14ac:dyDescent="0.3"/>
    <row r="1051" ht="15" customHeight="1" x14ac:dyDescent="0.3"/>
    <row r="1052" ht="15" customHeight="1" x14ac:dyDescent="0.3"/>
    <row r="1053" ht="15" customHeight="1" x14ac:dyDescent="0.3"/>
    <row r="1054" ht="15" customHeight="1" x14ac:dyDescent="0.3"/>
    <row r="1055" ht="15" customHeight="1" x14ac:dyDescent="0.3"/>
    <row r="1056" ht="15" customHeight="1" x14ac:dyDescent="0.3"/>
    <row r="1057" ht="15" customHeight="1" x14ac:dyDescent="0.3"/>
    <row r="1058" ht="15" customHeight="1" x14ac:dyDescent="0.3"/>
    <row r="1059" ht="15" customHeight="1" x14ac:dyDescent="0.3"/>
    <row r="1060" ht="15" customHeight="1" x14ac:dyDescent="0.3"/>
    <row r="1061" ht="15" customHeight="1" x14ac:dyDescent="0.3"/>
    <row r="1062" ht="15" customHeight="1" x14ac:dyDescent="0.3"/>
    <row r="1063" ht="15" customHeight="1" x14ac:dyDescent="0.3"/>
    <row r="1064" ht="15" customHeight="1" x14ac:dyDescent="0.3"/>
    <row r="1065" ht="15" customHeight="1" x14ac:dyDescent="0.3"/>
    <row r="1066" ht="15" customHeight="1" x14ac:dyDescent="0.3"/>
    <row r="1067" ht="15" customHeight="1" x14ac:dyDescent="0.3"/>
    <row r="1068" ht="15" customHeight="1" x14ac:dyDescent="0.3"/>
    <row r="1069" ht="15" customHeight="1" x14ac:dyDescent="0.3"/>
    <row r="1070" ht="15" customHeight="1" x14ac:dyDescent="0.3"/>
    <row r="1071" ht="15" customHeight="1" x14ac:dyDescent="0.3"/>
    <row r="1072" ht="15" customHeight="1" x14ac:dyDescent="0.3"/>
    <row r="1073" ht="15" customHeight="1" x14ac:dyDescent="0.3"/>
    <row r="1074" ht="15" customHeight="1" x14ac:dyDescent="0.3"/>
    <row r="1075" ht="15" customHeight="1" x14ac:dyDescent="0.3"/>
    <row r="1076" ht="15" customHeight="1" x14ac:dyDescent="0.3"/>
    <row r="1077" ht="15" customHeight="1" x14ac:dyDescent="0.3"/>
    <row r="1078" ht="15" customHeight="1" x14ac:dyDescent="0.3"/>
    <row r="1079" ht="15" customHeight="1" x14ac:dyDescent="0.3"/>
    <row r="1080" ht="15" customHeight="1" x14ac:dyDescent="0.3"/>
    <row r="1081" ht="15" customHeight="1" x14ac:dyDescent="0.3"/>
    <row r="1082" ht="15" customHeight="1" x14ac:dyDescent="0.3"/>
    <row r="1083" ht="15" customHeight="1" x14ac:dyDescent="0.3"/>
    <row r="1084" ht="15" customHeight="1" x14ac:dyDescent="0.3"/>
    <row r="1085" ht="15" customHeight="1" x14ac:dyDescent="0.3"/>
  </sheetData>
  <sheetProtection algorithmName="SHA-512" hashValue="nc8QapoyfrAW2lhHdP7LeKb5aH7sOlSfAFIDbcc/aScl8vG+g7IvxVd1gNtdGVn5VXKg9Sd9X8Xxe/EqXbD4FA==" saltValue="GTIiGmWU46OT9HaV5RDwWg==" spinCount="100000" sheet="1" objects="1" scenarios="1"/>
  <mergeCells count="54">
    <mergeCell ref="B57:AF57"/>
    <mergeCell ref="B61:AF61"/>
    <mergeCell ref="B55:AF55"/>
    <mergeCell ref="B58:AF58"/>
    <mergeCell ref="B56:AF56"/>
    <mergeCell ref="B60:AF60"/>
    <mergeCell ref="B59:AF59"/>
    <mergeCell ref="A52:AF52"/>
    <mergeCell ref="B54:AF54"/>
    <mergeCell ref="A49:F49"/>
    <mergeCell ref="G49:N49"/>
    <mergeCell ref="O49:W49"/>
    <mergeCell ref="X49:AF49"/>
    <mergeCell ref="A50:F50"/>
    <mergeCell ref="G50:N50"/>
    <mergeCell ref="O50:W50"/>
    <mergeCell ref="X50:AF50"/>
    <mergeCell ref="O48:W48"/>
    <mergeCell ref="X48:AF48"/>
    <mergeCell ref="X41:AF41"/>
    <mergeCell ref="A42:D42"/>
    <mergeCell ref="E42:P42"/>
    <mergeCell ref="Q42:T42"/>
    <mergeCell ref="U42:W42"/>
    <mergeCell ref="X42:AF42"/>
    <mergeCell ref="A41:D41"/>
    <mergeCell ref="E41:P41"/>
    <mergeCell ref="Q41:T41"/>
    <mergeCell ref="U41:W41"/>
    <mergeCell ref="A43:AF43"/>
    <mergeCell ref="A45:AF45"/>
    <mergeCell ref="A48:F48"/>
    <mergeCell ref="G48:N48"/>
    <mergeCell ref="A38:AF38"/>
    <mergeCell ref="A39:D39"/>
    <mergeCell ref="E39:P39"/>
    <mergeCell ref="Q39:T39"/>
    <mergeCell ref="U39:W39"/>
    <mergeCell ref="X39:AF39"/>
    <mergeCell ref="A40:D40"/>
    <mergeCell ref="E40:P40"/>
    <mergeCell ref="Q40:T40"/>
    <mergeCell ref="U40:W40"/>
    <mergeCell ref="X40:AF40"/>
    <mergeCell ref="A1:AF1"/>
    <mergeCell ref="B13:AF13"/>
    <mergeCell ref="A7:AF7"/>
    <mergeCell ref="B16:AF16"/>
    <mergeCell ref="A24:AF24"/>
    <mergeCell ref="B22:AF22"/>
    <mergeCell ref="B19:AF19"/>
    <mergeCell ref="B10:AF10"/>
    <mergeCell ref="A3:AF3"/>
    <mergeCell ref="B5:AF5"/>
  </mergeCells>
  <hyperlinks>
    <hyperlink ref="A2" location="TOC!A1" display="Return to TOC" xr:uid="{00000000-0004-0000-2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theme="4" tint="0.59999389629810485"/>
    <pageSetUpPr autoPageBreaks="0" fitToPage="1"/>
  </sheetPr>
  <dimension ref="A1:BG699"/>
  <sheetViews>
    <sheetView zoomScaleNormal="100" workbookViewId="0">
      <selection sqref="A1:AF1"/>
    </sheetView>
  </sheetViews>
  <sheetFormatPr defaultColWidth="2.6640625" defaultRowHeight="14.4" x14ac:dyDescent="0.3"/>
  <cols>
    <col min="1" max="1" width="2.6640625" style="8"/>
    <col min="2" max="3" width="2.6640625" style="8" customWidth="1"/>
    <col min="4" max="4" width="2.6640625" style="8"/>
    <col min="5" max="8" width="2.6640625" style="8" customWidth="1"/>
    <col min="9" max="9" width="2.88671875" style="8" customWidth="1"/>
    <col min="10" max="10" width="2.6640625" style="8"/>
    <col min="11" max="12" width="2.6640625" style="8" customWidth="1"/>
    <col min="13" max="14" width="2.6640625" style="8"/>
    <col min="15" max="16" width="2.6640625" style="8" customWidth="1"/>
    <col min="17" max="18" width="2.6640625" style="8"/>
    <col min="19" max="20" width="2.6640625" style="8" customWidth="1"/>
    <col min="21" max="21" width="2.6640625" style="8"/>
    <col min="22" max="24" width="2.6640625" style="8" customWidth="1"/>
    <col min="25" max="26" width="2.6640625" style="8"/>
    <col min="27" max="32" width="2.6640625" style="8" customWidth="1"/>
    <col min="33" max="34" width="2.6640625" style="8"/>
    <col min="35" max="35" width="2.6640625" style="8" customWidth="1"/>
    <col min="36" max="38" width="2.6640625" style="8"/>
    <col min="39" max="39" width="2.6640625" style="8" customWidth="1"/>
    <col min="40" max="41" width="2.6640625" style="8"/>
    <col min="42" max="47" width="2.6640625" style="8" customWidth="1"/>
    <col min="48" max="48" width="2.6640625" style="8"/>
    <col min="49" max="51" width="2.6640625" style="8" customWidth="1"/>
    <col min="52" max="53" width="2.6640625" style="8"/>
    <col min="54" max="54" width="2.6640625" style="8" customWidth="1"/>
    <col min="55" max="56" width="2.6640625" style="8"/>
    <col min="57" max="57" width="2.6640625" style="8" customWidth="1"/>
    <col min="58" max="60" width="2.6640625" style="8"/>
    <col min="61" max="66" width="2.6640625" style="8" customWidth="1"/>
    <col min="67" max="74" width="2.6640625" style="8"/>
    <col min="75" max="75" width="2.6640625" style="8" customWidth="1"/>
    <col min="76" max="16384" width="2.6640625" style="8"/>
  </cols>
  <sheetData>
    <row r="1" spans="1:32" s="1" customFormat="1" ht="18" x14ac:dyDescent="0.3">
      <c r="A1" s="1131" t="s">
        <v>1808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29.25" customHeight="1" x14ac:dyDescent="0.3">
      <c r="A5" s="121"/>
      <c r="B5" s="1258" t="s">
        <v>6614</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s="1" customFormat="1"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ht="14.4" customHeigh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ht="14.4" customHeigh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 customHeight="1" x14ac:dyDescent="0.3">
      <c r="B9" s="1144" t="s">
        <v>3</v>
      </c>
      <c r="C9" s="1144"/>
      <c r="D9" s="1144"/>
      <c r="E9" s="1144"/>
      <c r="F9" s="1144"/>
      <c r="G9" s="1144"/>
      <c r="H9" s="1144"/>
      <c r="I9" s="1144"/>
    </row>
    <row r="10" spans="1:32" s="1" customFormat="1" ht="48.75" customHeight="1" x14ac:dyDescent="0.3">
      <c r="A10" s="4"/>
      <c r="B10" s="953" t="s">
        <v>2938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s="1" customFormat="1" ht="14.4" customHeight="1" x14ac:dyDescent="0.3"/>
    <row r="12" spans="1:32" s="1" customFormat="1" ht="14.4" customHeight="1" x14ac:dyDescent="0.3">
      <c r="B12" s="1144" t="s">
        <v>4</v>
      </c>
      <c r="C12" s="1144"/>
      <c r="D12" s="1144"/>
      <c r="E12" s="1144"/>
      <c r="F12" s="1144"/>
      <c r="G12" s="1144"/>
      <c r="H12" s="1144"/>
      <c r="I12" s="1144"/>
    </row>
    <row r="13" spans="1:32" s="1" customFormat="1" ht="14.4" customHeight="1" x14ac:dyDescent="0.3">
      <c r="B13" s="953" t="s">
        <v>1580</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s="1" customFormat="1" ht="14.4" customHeight="1"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46.5" customHeight="1" x14ac:dyDescent="0.3">
      <c r="B15" s="953" t="s">
        <v>1824</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6" spans="1:32" s="1" customFormat="1" x14ac:dyDescent="0.3">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row>
    <row r="17" spans="2:32" s="1" customFormat="1" ht="78" customHeight="1" x14ac:dyDescent="0.3">
      <c r="B17" s="953" t="s">
        <v>1853</v>
      </c>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row>
    <row r="18" spans="2:32" s="1" customFormat="1" ht="14.4" customHeight="1" x14ac:dyDescent="0.3"/>
    <row r="19" spans="2:32" s="1" customFormat="1" ht="14.4" customHeight="1" x14ac:dyDescent="0.3">
      <c r="B19" s="1144" t="s">
        <v>5</v>
      </c>
      <c r="C19" s="1144"/>
      <c r="D19" s="1144"/>
      <c r="E19" s="1144"/>
      <c r="F19" s="1144"/>
      <c r="G19" s="1144"/>
      <c r="H19" s="1144"/>
      <c r="I19" s="1144"/>
    </row>
    <row r="20" spans="2:32" s="1" customFormat="1" ht="14.4" customHeight="1" x14ac:dyDescent="0.3">
      <c r="B20" s="1142" t="s">
        <v>3080</v>
      </c>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row>
    <row r="21" spans="2:32" s="1" customFormat="1" ht="14.4" customHeight="1" x14ac:dyDescent="0.3"/>
    <row r="22" spans="2:32" s="1" customFormat="1" ht="14.4" customHeight="1" x14ac:dyDescent="0.3">
      <c r="B22" s="1144" t="s">
        <v>6</v>
      </c>
      <c r="C22" s="1144"/>
      <c r="D22" s="1144"/>
      <c r="E22" s="1144"/>
      <c r="F22" s="1144"/>
      <c r="G22" s="1144"/>
      <c r="H22" s="1144"/>
      <c r="I22" s="1144"/>
    </row>
    <row r="23" spans="2:32" s="1" customFormat="1" ht="48" customHeight="1" x14ac:dyDescent="0.3">
      <c r="B23" s="889" t="s">
        <v>4595</v>
      </c>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row>
    <row r="24" spans="2:32" s="1" customFormat="1" x14ac:dyDescent="0.3">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row>
    <row r="25" spans="2:32" s="1" customFormat="1" ht="65.25" customHeight="1" x14ac:dyDescent="0.3">
      <c r="B25" s="889" t="s">
        <v>1581</v>
      </c>
      <c r="C25" s="889"/>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row>
    <row r="26" spans="2:32" s="1" customFormat="1" x14ac:dyDescent="0.3">
      <c r="B26" s="122"/>
      <c r="C26" s="122"/>
      <c r="D26" s="122"/>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row>
    <row r="27" spans="2:32" s="1" customFormat="1" ht="123.75" customHeight="1" x14ac:dyDescent="0.3">
      <c r="B27" s="1291" t="s">
        <v>5764</v>
      </c>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row>
    <row r="28" spans="2:32" s="1" customFormat="1" x14ac:dyDescent="0.3">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row>
    <row r="29" spans="2:32" s="1" customFormat="1" ht="141.75" customHeight="1" x14ac:dyDescent="0.3">
      <c r="B29" s="953" t="s">
        <v>3027</v>
      </c>
      <c r="C29" s="953"/>
      <c r="D29" s="953"/>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c r="AC29" s="953"/>
      <c r="AD29" s="953"/>
      <c r="AE29" s="953"/>
      <c r="AF29" s="953"/>
    </row>
    <row r="30" spans="2:32" s="1" customFormat="1" ht="14.4" customHeight="1" x14ac:dyDescent="0.3">
      <c r="B30" s="51"/>
      <c r="C30" s="51"/>
      <c r="D30" s="51"/>
      <c r="E30" s="51"/>
      <c r="F30" s="51"/>
      <c r="G30" s="51"/>
      <c r="H30" s="51"/>
      <c r="I30" s="51"/>
    </row>
    <row r="31" spans="2:32" s="1" customFormat="1" ht="14.4" customHeight="1" x14ac:dyDescent="0.3">
      <c r="B31" s="51" t="s">
        <v>13</v>
      </c>
      <c r="C31" s="51"/>
      <c r="D31" s="51"/>
      <c r="E31" s="51"/>
      <c r="F31" s="51"/>
      <c r="G31" s="51"/>
      <c r="H31" s="51"/>
      <c r="I31" s="51"/>
      <c r="J31" s="51"/>
    </row>
    <row r="32" spans="2:32" s="1" customFormat="1" ht="80.25" customHeight="1" x14ac:dyDescent="0.3">
      <c r="B32" s="1291" t="s">
        <v>5771</v>
      </c>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row>
    <row r="33" spans="1:32" s="1" customFormat="1" ht="14.4" customHeight="1" x14ac:dyDescent="0.3">
      <c r="A33" s="228"/>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row>
    <row r="34" spans="1:32" s="1" customFormat="1" x14ac:dyDescent="0.3">
      <c r="A34" s="1141" t="s">
        <v>7</v>
      </c>
      <c r="B34" s="1141"/>
      <c r="C34" s="1141"/>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row>
    <row r="35" spans="1:32" s="1" customFormat="1"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s="1" customFormat="1" x14ac:dyDescent="0.3">
      <c r="A36" s="3"/>
      <c r="B36" s="231" t="s">
        <v>2135</v>
      </c>
    </row>
    <row r="37" spans="1:32" s="1" customFormat="1" x14ac:dyDescent="0.3">
      <c r="A37" s="3"/>
    </row>
    <row r="38" spans="1:32" s="1" customFormat="1" x14ac:dyDescent="0.3">
      <c r="A38" s="3"/>
      <c r="AF38" s="71" t="s">
        <v>1463</v>
      </c>
    </row>
    <row r="39" spans="1:32" s="1" customFormat="1" x14ac:dyDescent="0.3">
      <c r="A39" s="3"/>
      <c r="AF39" s="71"/>
    </row>
    <row r="40" spans="1:32" s="1" customFormat="1" x14ac:dyDescent="0.3">
      <c r="A40" s="3"/>
      <c r="B40" s="231" t="s">
        <v>2136</v>
      </c>
    </row>
    <row r="41" spans="1:32" s="1" customFormat="1" x14ac:dyDescent="0.3">
      <c r="A41" s="3"/>
    </row>
    <row r="42" spans="1:32" s="1" customFormat="1" x14ac:dyDescent="0.3">
      <c r="A42" s="3"/>
      <c r="AF42" s="71" t="s">
        <v>1464</v>
      </c>
    </row>
    <row r="43" spans="1:32" s="1" customFormat="1" x14ac:dyDescent="0.3">
      <c r="A43" s="3"/>
      <c r="AF43" s="71"/>
    </row>
    <row r="44" spans="1:32" s="1" customFormat="1" x14ac:dyDescent="0.3">
      <c r="A44" s="3"/>
      <c r="B44" s="51" t="s">
        <v>2025</v>
      </c>
    </row>
    <row r="45" spans="1:32" s="1" customFormat="1" x14ac:dyDescent="0.3">
      <c r="A45" s="3"/>
    </row>
    <row r="46" spans="1:32" s="1" customFormat="1" x14ac:dyDescent="0.3">
      <c r="A46" s="3"/>
      <c r="AF46" s="71" t="s">
        <v>1465</v>
      </c>
    </row>
    <row r="47" spans="1:32" s="1" customFormat="1" x14ac:dyDescent="0.3">
      <c r="A47" s="3"/>
    </row>
    <row r="48" spans="1:32" s="1" customFormat="1" x14ac:dyDescent="0.3">
      <c r="A48" s="3"/>
      <c r="B48" s="51" t="s">
        <v>2026</v>
      </c>
    </row>
    <row r="49" spans="1:32" s="1" customFormat="1" x14ac:dyDescent="0.3">
      <c r="A49" s="3"/>
    </row>
    <row r="50" spans="1:32" s="1" customFormat="1" x14ac:dyDescent="0.3">
      <c r="A50" s="3"/>
      <c r="AF50" s="71" t="s">
        <v>1517</v>
      </c>
    </row>
    <row r="51" spans="1:32" s="1" customFormat="1" x14ac:dyDescent="0.3">
      <c r="A51" s="3"/>
      <c r="AF51" s="71"/>
    </row>
    <row r="52" spans="1:32" s="1" customFormat="1" x14ac:dyDescent="0.3">
      <c r="A52" s="3"/>
      <c r="B52" s="51" t="s">
        <v>1605</v>
      </c>
      <c r="AF52" s="71"/>
    </row>
    <row r="53" spans="1:32" s="1" customFormat="1" x14ac:dyDescent="0.3">
      <c r="A53" s="3"/>
      <c r="AF53" s="71"/>
    </row>
    <row r="54" spans="1:32" s="1" customFormat="1" x14ac:dyDescent="0.3">
      <c r="A54" s="3"/>
      <c r="AF54" s="71" t="s">
        <v>1556</v>
      </c>
    </row>
    <row r="55" spans="1:32" s="1" customFormat="1" x14ac:dyDescent="0.3">
      <c r="A55" s="3"/>
      <c r="AF55" s="71"/>
    </row>
    <row r="56" spans="1:32" s="1" customFormat="1" x14ac:dyDescent="0.3">
      <c r="A56" s="3"/>
      <c r="B56" s="51" t="s">
        <v>1606</v>
      </c>
      <c r="AF56" s="71"/>
    </row>
    <row r="57" spans="1:32" s="1" customFormat="1" x14ac:dyDescent="0.3">
      <c r="A57" s="3"/>
      <c r="AF57" s="71"/>
    </row>
    <row r="58" spans="1:32" s="1" customFormat="1" x14ac:dyDescent="0.3">
      <c r="A58" s="3"/>
      <c r="AF58" s="71" t="s">
        <v>1558</v>
      </c>
    </row>
    <row r="59" spans="1:32" s="1" customFormat="1" x14ac:dyDescent="0.3">
      <c r="A59" s="3"/>
      <c r="AF59" s="71"/>
    </row>
    <row r="60" spans="1:32" s="1" customFormat="1" x14ac:dyDescent="0.3">
      <c r="A60" s="3"/>
      <c r="B60" s="51" t="s">
        <v>1582</v>
      </c>
      <c r="AF60" s="71"/>
    </row>
    <row r="61" spans="1:32" s="1" customFormat="1" x14ac:dyDescent="0.3">
      <c r="A61" s="3"/>
      <c r="AF61" s="71"/>
    </row>
    <row r="62" spans="1:32" s="1" customFormat="1" x14ac:dyDescent="0.3">
      <c r="A62" s="3"/>
      <c r="AF62" s="71" t="s">
        <v>1607</v>
      </c>
    </row>
    <row r="63" spans="1:32" s="1" customFormat="1" x14ac:dyDescent="0.3">
      <c r="A63" s="3"/>
      <c r="AF63" s="71"/>
    </row>
    <row r="64" spans="1:32" s="1" customFormat="1" x14ac:dyDescent="0.3">
      <c r="A64" s="3"/>
      <c r="B64" s="51" t="s">
        <v>1604</v>
      </c>
      <c r="AF64" s="71"/>
    </row>
    <row r="65" spans="1:32" s="1" customFormat="1" x14ac:dyDescent="0.3">
      <c r="A65" s="3"/>
      <c r="AF65" s="71"/>
    </row>
    <row r="66" spans="1:32" s="1" customFormat="1" x14ac:dyDescent="0.3">
      <c r="A66" s="3"/>
      <c r="AF66" s="71" t="s">
        <v>1608</v>
      </c>
    </row>
    <row r="67" spans="1:32" s="1" customFormat="1" x14ac:dyDescent="0.3">
      <c r="A67" s="10"/>
      <c r="B67" s="71"/>
    </row>
    <row r="68" spans="1:32" s="1" customFormat="1" x14ac:dyDescent="0.3">
      <c r="A68" s="1141" t="s">
        <v>8</v>
      </c>
      <c r="B68" s="1141"/>
      <c r="C68" s="1141"/>
      <c r="D68" s="1141"/>
      <c r="E68" s="1141"/>
      <c r="F68" s="1141"/>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row>
    <row r="69" spans="1:32" s="1" customFormat="1" x14ac:dyDescent="0.3">
      <c r="A69" s="1069" t="s">
        <v>9</v>
      </c>
      <c r="B69" s="1069"/>
      <c r="C69" s="1069"/>
      <c r="D69" s="1069"/>
      <c r="E69" s="1069" t="s">
        <v>3</v>
      </c>
      <c r="F69" s="1069"/>
      <c r="G69" s="1069"/>
      <c r="H69" s="1069"/>
      <c r="I69" s="1069"/>
      <c r="J69" s="1069"/>
      <c r="K69" s="1069"/>
      <c r="L69" s="1069"/>
      <c r="M69" s="1069"/>
      <c r="N69" s="1069"/>
      <c r="O69" s="1069"/>
      <c r="P69" s="1069"/>
      <c r="Q69" s="1069" t="s">
        <v>10</v>
      </c>
      <c r="R69" s="1069"/>
      <c r="S69" s="1069"/>
      <c r="T69" s="1069"/>
      <c r="U69" s="1069" t="s">
        <v>11</v>
      </c>
      <c r="V69" s="1069"/>
      <c r="W69" s="1069" t="s">
        <v>1466</v>
      </c>
      <c r="X69" s="1069"/>
      <c r="Y69" s="1069"/>
      <c r="Z69" s="1069"/>
      <c r="AA69" s="1069"/>
      <c r="AB69" s="1069"/>
      <c r="AC69" s="1069"/>
      <c r="AD69" s="1069"/>
      <c r="AE69" s="1069"/>
      <c r="AF69" s="1069"/>
    </row>
    <row r="70" spans="1:32" s="1" customFormat="1" ht="28.95" customHeight="1" x14ac:dyDescent="0.3">
      <c r="A70" s="1050" t="s">
        <v>1585</v>
      </c>
      <c r="B70" s="1051" t="s">
        <v>272</v>
      </c>
      <c r="C70" s="1051" t="s">
        <v>272</v>
      </c>
      <c r="D70" s="1052" t="s">
        <v>272</v>
      </c>
      <c r="E70" s="2038" t="s">
        <v>1583</v>
      </c>
      <c r="F70" s="2038" t="s">
        <v>232</v>
      </c>
      <c r="G70" s="2038" t="s">
        <v>232</v>
      </c>
      <c r="H70" s="2038" t="s">
        <v>232</v>
      </c>
      <c r="I70" s="2038" t="s">
        <v>232</v>
      </c>
      <c r="J70" s="2038" t="s">
        <v>232</v>
      </c>
      <c r="K70" s="2038" t="s">
        <v>232</v>
      </c>
      <c r="L70" s="2038" t="s">
        <v>232</v>
      </c>
      <c r="M70" s="2038" t="s">
        <v>232</v>
      </c>
      <c r="N70" s="2038" t="s">
        <v>232</v>
      </c>
      <c r="O70" s="2038" t="s">
        <v>232</v>
      </c>
      <c r="P70" s="2038" t="s">
        <v>232</v>
      </c>
      <c r="Q70" s="2040" t="s">
        <v>516</v>
      </c>
      <c r="R70" s="2041" t="s">
        <v>229</v>
      </c>
      <c r="S70" s="2041" t="s">
        <v>229</v>
      </c>
      <c r="T70" s="2042" t="s">
        <v>229</v>
      </c>
      <c r="U70" s="1031" t="s">
        <v>18</v>
      </c>
      <c r="V70" s="1031"/>
      <c r="W70" s="2048" t="s">
        <v>1587</v>
      </c>
      <c r="X70" s="2049"/>
      <c r="Y70" s="2049"/>
      <c r="Z70" s="2049"/>
      <c r="AA70" s="2049"/>
      <c r="AB70" s="2049"/>
      <c r="AC70" s="2049"/>
      <c r="AD70" s="2049"/>
      <c r="AE70" s="2049"/>
      <c r="AF70" s="2050"/>
    </row>
    <row r="71" spans="1:32" s="1" customFormat="1" ht="41.1" customHeight="1" x14ac:dyDescent="0.3">
      <c r="A71" s="1050" t="s">
        <v>1586</v>
      </c>
      <c r="B71" s="1051" t="s">
        <v>272</v>
      </c>
      <c r="C71" s="1051" t="s">
        <v>272</v>
      </c>
      <c r="D71" s="1052" t="s">
        <v>272</v>
      </c>
      <c r="E71" s="2038" t="s">
        <v>1584</v>
      </c>
      <c r="F71" s="2038" t="s">
        <v>233</v>
      </c>
      <c r="G71" s="2038" t="s">
        <v>233</v>
      </c>
      <c r="H71" s="2038" t="s">
        <v>233</v>
      </c>
      <c r="I71" s="2038" t="s">
        <v>233</v>
      </c>
      <c r="J71" s="2038" t="s">
        <v>233</v>
      </c>
      <c r="K71" s="2038" t="s">
        <v>233</v>
      </c>
      <c r="L71" s="2038" t="s">
        <v>233</v>
      </c>
      <c r="M71" s="2038" t="s">
        <v>233</v>
      </c>
      <c r="N71" s="2038" t="s">
        <v>233</v>
      </c>
      <c r="O71" s="2038" t="s">
        <v>233</v>
      </c>
      <c r="P71" s="2038" t="s">
        <v>233</v>
      </c>
      <c r="Q71" s="2040" t="s">
        <v>516</v>
      </c>
      <c r="R71" s="2041" t="s">
        <v>229</v>
      </c>
      <c r="S71" s="2041" t="s">
        <v>229</v>
      </c>
      <c r="T71" s="2042" t="s">
        <v>229</v>
      </c>
      <c r="U71" s="1031" t="s">
        <v>18</v>
      </c>
      <c r="V71" s="1031"/>
      <c r="W71" s="2048" t="s">
        <v>1588</v>
      </c>
      <c r="X71" s="2049"/>
      <c r="Y71" s="2049"/>
      <c r="Z71" s="2049"/>
      <c r="AA71" s="2049"/>
      <c r="AB71" s="2049"/>
      <c r="AC71" s="2049"/>
      <c r="AD71" s="2049"/>
      <c r="AE71" s="2049"/>
      <c r="AF71" s="2050"/>
    </row>
    <row r="72" spans="1:32" s="1" customFormat="1" ht="31.5" customHeight="1" x14ac:dyDescent="0.3">
      <c r="A72" s="1050" t="s">
        <v>1589</v>
      </c>
      <c r="B72" s="1051" t="s">
        <v>518</v>
      </c>
      <c r="C72" s="1051" t="s">
        <v>518</v>
      </c>
      <c r="D72" s="1052" t="s">
        <v>518</v>
      </c>
      <c r="E72" s="2038" t="s">
        <v>833</v>
      </c>
      <c r="F72" s="2038" t="s">
        <v>233</v>
      </c>
      <c r="G72" s="2038" t="s">
        <v>233</v>
      </c>
      <c r="H72" s="2038" t="s">
        <v>233</v>
      </c>
      <c r="I72" s="2038" t="s">
        <v>233</v>
      </c>
      <c r="J72" s="2038" t="s">
        <v>233</v>
      </c>
      <c r="K72" s="2038" t="s">
        <v>233</v>
      </c>
      <c r="L72" s="2038" t="s">
        <v>233</v>
      </c>
      <c r="M72" s="2038" t="s">
        <v>233</v>
      </c>
      <c r="N72" s="2038" t="s">
        <v>233</v>
      </c>
      <c r="O72" s="2038" t="s">
        <v>233</v>
      </c>
      <c r="P72" s="2038" t="s">
        <v>233</v>
      </c>
      <c r="Q72" s="2040" t="s">
        <v>864</v>
      </c>
      <c r="R72" s="2041"/>
      <c r="S72" s="2041"/>
      <c r="T72" s="2042"/>
      <c r="U72" s="1031" t="s">
        <v>18</v>
      </c>
      <c r="V72" s="1031"/>
      <c r="W72" s="2048" t="s">
        <v>1590</v>
      </c>
      <c r="X72" s="2049"/>
      <c r="Y72" s="2049"/>
      <c r="Z72" s="2049"/>
      <c r="AA72" s="2049"/>
      <c r="AB72" s="2049"/>
      <c r="AC72" s="2049"/>
      <c r="AD72" s="2049"/>
      <c r="AE72" s="2049"/>
      <c r="AF72" s="2050"/>
    </row>
    <row r="73" spans="1:32" s="1" customFormat="1" ht="46.5" customHeight="1" x14ac:dyDescent="0.3">
      <c r="A73" s="1050" t="s">
        <v>1522</v>
      </c>
      <c r="B73" s="1051"/>
      <c r="C73" s="1051"/>
      <c r="D73" s="1052"/>
      <c r="E73" s="2038" t="s">
        <v>1845</v>
      </c>
      <c r="F73" s="2038"/>
      <c r="G73" s="2038"/>
      <c r="H73" s="2038"/>
      <c r="I73" s="2038"/>
      <c r="J73" s="2038"/>
      <c r="K73" s="2038"/>
      <c r="L73" s="2038"/>
      <c r="M73" s="2038"/>
      <c r="N73" s="2038"/>
      <c r="O73" s="2038"/>
      <c r="P73" s="2038"/>
      <c r="Q73" s="2051">
        <v>0.98</v>
      </c>
      <c r="R73" s="2052"/>
      <c r="S73" s="2052"/>
      <c r="T73" s="2053"/>
      <c r="U73" s="2043" t="s">
        <v>20</v>
      </c>
      <c r="V73" s="1031"/>
      <c r="W73" s="2048" t="s">
        <v>2251</v>
      </c>
      <c r="X73" s="2049"/>
      <c r="Y73" s="2049"/>
      <c r="Z73" s="2049"/>
      <c r="AA73" s="2049"/>
      <c r="AB73" s="2049"/>
      <c r="AC73" s="2049"/>
      <c r="AD73" s="2049"/>
      <c r="AE73" s="2049"/>
      <c r="AF73" s="2050"/>
    </row>
    <row r="74" spans="1:32" s="1" customFormat="1" ht="68.099999999999994" customHeight="1" x14ac:dyDescent="0.3">
      <c r="A74" s="1050" t="s">
        <v>21</v>
      </c>
      <c r="B74" s="1051"/>
      <c r="C74" s="1051"/>
      <c r="D74" s="1052"/>
      <c r="E74" s="2038" t="s">
        <v>1460</v>
      </c>
      <c r="F74" s="2038"/>
      <c r="G74" s="2038"/>
      <c r="H74" s="2038"/>
      <c r="I74" s="2038"/>
      <c r="J74" s="2038"/>
      <c r="K74" s="2038"/>
      <c r="L74" s="2038"/>
      <c r="M74" s="2038"/>
      <c r="N74" s="2038"/>
      <c r="O74" s="2038"/>
      <c r="P74" s="2038"/>
      <c r="Q74" s="2040" t="s">
        <v>1591</v>
      </c>
      <c r="R74" s="2041"/>
      <c r="S74" s="2041"/>
      <c r="T74" s="2042"/>
      <c r="U74" s="2043" t="s">
        <v>20</v>
      </c>
      <c r="V74" s="1031"/>
      <c r="W74" s="2048" t="s">
        <v>2813</v>
      </c>
      <c r="X74" s="2049"/>
      <c r="Y74" s="2049"/>
      <c r="Z74" s="2049"/>
      <c r="AA74" s="2049"/>
      <c r="AB74" s="2049"/>
      <c r="AC74" s="2049"/>
      <c r="AD74" s="2049"/>
      <c r="AE74" s="2049"/>
      <c r="AF74" s="2050"/>
    </row>
    <row r="75" spans="1:32" s="1" customFormat="1" ht="57" customHeight="1" x14ac:dyDescent="0.3">
      <c r="A75" s="1050" t="s">
        <v>1592</v>
      </c>
      <c r="B75" s="1051"/>
      <c r="C75" s="1051"/>
      <c r="D75" s="1052"/>
      <c r="E75" s="2038" t="s">
        <v>1531</v>
      </c>
      <c r="F75" s="2038"/>
      <c r="G75" s="2038"/>
      <c r="H75" s="2038"/>
      <c r="I75" s="2038"/>
      <c r="J75" s="2038"/>
      <c r="K75" s="2038"/>
      <c r="L75" s="2038"/>
      <c r="M75" s="2038"/>
      <c r="N75" s="2038"/>
      <c r="O75" s="2038"/>
      <c r="P75" s="2038"/>
      <c r="Q75" s="2040" t="s">
        <v>1593</v>
      </c>
      <c r="R75" s="2041"/>
      <c r="S75" s="2041"/>
      <c r="T75" s="2042"/>
      <c r="U75" s="2043" t="s">
        <v>20</v>
      </c>
      <c r="V75" s="1031"/>
      <c r="W75" s="2044" t="s">
        <v>4596</v>
      </c>
      <c r="X75" s="2045"/>
      <c r="Y75" s="2045"/>
      <c r="Z75" s="2045"/>
      <c r="AA75" s="2045"/>
      <c r="AB75" s="2045"/>
      <c r="AC75" s="2045"/>
      <c r="AD75" s="2045"/>
      <c r="AE75" s="2045"/>
      <c r="AF75" s="2046"/>
    </row>
    <row r="76" spans="1:32" s="1" customFormat="1" ht="57.9" customHeight="1" x14ac:dyDescent="0.3">
      <c r="A76" s="1050" t="s">
        <v>1594</v>
      </c>
      <c r="B76" s="1051"/>
      <c r="C76" s="1051"/>
      <c r="D76" s="1052"/>
      <c r="E76" s="2038" t="s">
        <v>1530</v>
      </c>
      <c r="F76" s="2038"/>
      <c r="G76" s="2038"/>
      <c r="H76" s="2038"/>
      <c r="I76" s="2038"/>
      <c r="J76" s="2038"/>
      <c r="K76" s="2038"/>
      <c r="L76" s="2038"/>
      <c r="M76" s="2038"/>
      <c r="N76" s="2038"/>
      <c r="O76" s="2038"/>
      <c r="P76" s="2038"/>
      <c r="Q76" s="2040" t="s">
        <v>1593</v>
      </c>
      <c r="R76" s="2041"/>
      <c r="S76" s="2041"/>
      <c r="T76" s="2042"/>
      <c r="U76" s="2043" t="s">
        <v>20</v>
      </c>
      <c r="V76" s="1031"/>
      <c r="W76" s="2044" t="s">
        <v>4596</v>
      </c>
      <c r="X76" s="2045"/>
      <c r="Y76" s="2045"/>
      <c r="Z76" s="2045"/>
      <c r="AA76" s="2045"/>
      <c r="AB76" s="2045"/>
      <c r="AC76" s="2045"/>
      <c r="AD76" s="2045"/>
      <c r="AE76" s="2045"/>
      <c r="AF76" s="2046"/>
    </row>
    <row r="77" spans="1:32" s="1" customFormat="1" ht="69.75" customHeight="1" x14ac:dyDescent="0.3">
      <c r="A77" s="1050" t="s">
        <v>1595</v>
      </c>
      <c r="B77" s="1051"/>
      <c r="C77" s="1051"/>
      <c r="D77" s="1052"/>
      <c r="E77" s="2038" t="s">
        <v>1596</v>
      </c>
      <c r="F77" s="2038"/>
      <c r="G77" s="2038"/>
      <c r="H77" s="2038"/>
      <c r="I77" s="2038"/>
      <c r="J77" s="2038"/>
      <c r="K77" s="2038"/>
      <c r="L77" s="2038"/>
      <c r="M77" s="2038"/>
      <c r="N77" s="2038"/>
      <c r="O77" s="2038"/>
      <c r="P77" s="2038"/>
      <c r="Q77" s="2040" t="s">
        <v>1599</v>
      </c>
      <c r="R77" s="2041"/>
      <c r="S77" s="2041"/>
      <c r="T77" s="2042"/>
      <c r="U77" s="1031" t="s">
        <v>1597</v>
      </c>
      <c r="V77" s="1031"/>
      <c r="W77" s="2044" t="s">
        <v>1620</v>
      </c>
      <c r="X77" s="2045"/>
      <c r="Y77" s="2045"/>
      <c r="Z77" s="2045"/>
      <c r="AA77" s="2045"/>
      <c r="AB77" s="2045"/>
      <c r="AC77" s="2045"/>
      <c r="AD77" s="2045"/>
      <c r="AE77" s="2045"/>
      <c r="AF77" s="2046"/>
    </row>
    <row r="78" spans="1:32" s="1" customFormat="1" ht="28.95" customHeight="1" x14ac:dyDescent="0.3">
      <c r="A78" s="1049" t="s">
        <v>34</v>
      </c>
      <c r="B78" s="1049" t="s">
        <v>34</v>
      </c>
      <c r="C78" s="1049" t="s">
        <v>34</v>
      </c>
      <c r="D78" s="1049" t="s">
        <v>34</v>
      </c>
      <c r="E78" s="2038" t="s">
        <v>644</v>
      </c>
      <c r="F78" s="2038" t="s">
        <v>234</v>
      </c>
      <c r="G78" s="2038" t="s">
        <v>234</v>
      </c>
      <c r="H78" s="2038" t="s">
        <v>234</v>
      </c>
      <c r="I78" s="2038" t="s">
        <v>234</v>
      </c>
      <c r="J78" s="2038" t="s">
        <v>234</v>
      </c>
      <c r="K78" s="2038" t="s">
        <v>234</v>
      </c>
      <c r="L78" s="2038" t="s">
        <v>234</v>
      </c>
      <c r="M78" s="2038" t="s">
        <v>234</v>
      </c>
      <c r="N78" s="2038" t="s">
        <v>234</v>
      </c>
      <c r="O78" s="2038" t="s">
        <v>234</v>
      </c>
      <c r="P78" s="2038" t="s">
        <v>234</v>
      </c>
      <c r="Q78" s="2047">
        <v>1</v>
      </c>
      <c r="R78" s="2047">
        <v>1</v>
      </c>
      <c r="S78" s="2047">
        <v>1</v>
      </c>
      <c r="T78" s="2047">
        <v>1</v>
      </c>
      <c r="U78" s="1031" t="s">
        <v>20</v>
      </c>
      <c r="V78" s="1031"/>
      <c r="W78" s="1049" t="s">
        <v>1600</v>
      </c>
      <c r="X78" s="1049"/>
      <c r="Y78" s="1049"/>
      <c r="Z78" s="1049"/>
      <c r="AA78" s="1049"/>
      <c r="AB78" s="1049"/>
      <c r="AC78" s="1049"/>
      <c r="AD78" s="1049"/>
      <c r="AE78" s="1049"/>
      <c r="AF78" s="1049"/>
    </row>
    <row r="79" spans="1:32" s="1" customFormat="1" ht="58.5" customHeight="1" x14ac:dyDescent="0.3">
      <c r="A79" s="1050" t="s">
        <v>1609</v>
      </c>
      <c r="B79" s="1051" t="s">
        <v>26</v>
      </c>
      <c r="C79" s="1051" t="s">
        <v>26</v>
      </c>
      <c r="D79" s="1052" t="s">
        <v>26</v>
      </c>
      <c r="E79" s="2038" t="s">
        <v>1614</v>
      </c>
      <c r="F79" s="2038"/>
      <c r="G79" s="2038"/>
      <c r="H79" s="2038"/>
      <c r="I79" s="2038"/>
      <c r="J79" s="2038"/>
      <c r="K79" s="2038"/>
      <c r="L79" s="2038"/>
      <c r="M79" s="2038"/>
      <c r="N79" s="2038"/>
      <c r="O79" s="2038"/>
      <c r="P79" s="2038"/>
      <c r="Q79" s="2039" t="s">
        <v>1617</v>
      </c>
      <c r="R79" s="2039"/>
      <c r="S79" s="2039"/>
      <c r="T79" s="2039"/>
      <c r="U79" s="1031" t="s">
        <v>38</v>
      </c>
      <c r="V79" s="1031"/>
      <c r="W79" s="1032" t="s">
        <v>1622</v>
      </c>
      <c r="X79" s="1032"/>
      <c r="Y79" s="1032"/>
      <c r="Z79" s="1032"/>
      <c r="AA79" s="1032"/>
      <c r="AB79" s="1032"/>
      <c r="AC79" s="1032"/>
      <c r="AD79" s="1032"/>
      <c r="AE79" s="1032"/>
      <c r="AF79" s="1032"/>
    </row>
    <row r="80" spans="1:32" s="1" customFormat="1" ht="60" customHeight="1" x14ac:dyDescent="0.3">
      <c r="A80" s="1050" t="s">
        <v>1610</v>
      </c>
      <c r="B80" s="1051" t="s">
        <v>26</v>
      </c>
      <c r="C80" s="1051" t="s">
        <v>26</v>
      </c>
      <c r="D80" s="1052" t="s">
        <v>26</v>
      </c>
      <c r="E80" s="2038" t="s">
        <v>1613</v>
      </c>
      <c r="F80" s="2038"/>
      <c r="G80" s="2038"/>
      <c r="H80" s="2038"/>
      <c r="I80" s="2038"/>
      <c r="J80" s="2038"/>
      <c r="K80" s="2038"/>
      <c r="L80" s="2038"/>
      <c r="M80" s="2038"/>
      <c r="N80" s="2038"/>
      <c r="O80" s="2038"/>
      <c r="P80" s="2038"/>
      <c r="Q80" s="2039" t="s">
        <v>1618</v>
      </c>
      <c r="R80" s="2039"/>
      <c r="S80" s="2039"/>
      <c r="T80" s="2039"/>
      <c r="U80" s="1031" t="s">
        <v>38</v>
      </c>
      <c r="V80" s="1031"/>
      <c r="W80" s="1032" t="s">
        <v>1622</v>
      </c>
      <c r="X80" s="1032"/>
      <c r="Y80" s="1032"/>
      <c r="Z80" s="1032"/>
      <c r="AA80" s="1032"/>
      <c r="AB80" s="1032"/>
      <c r="AC80" s="1032"/>
      <c r="AD80" s="1032"/>
      <c r="AE80" s="1032"/>
      <c r="AF80" s="1032"/>
    </row>
    <row r="81" spans="1:41" s="1" customFormat="1" ht="43.5" customHeight="1" x14ac:dyDescent="0.3">
      <c r="A81" s="1050" t="s">
        <v>1611</v>
      </c>
      <c r="B81" s="1051" t="s">
        <v>26</v>
      </c>
      <c r="C81" s="1051" t="s">
        <v>26</v>
      </c>
      <c r="D81" s="1052" t="s">
        <v>26</v>
      </c>
      <c r="E81" s="2038" t="s">
        <v>1615</v>
      </c>
      <c r="F81" s="2038"/>
      <c r="G81" s="2038"/>
      <c r="H81" s="2038"/>
      <c r="I81" s="2038"/>
      <c r="J81" s="2038"/>
      <c r="K81" s="2038"/>
      <c r="L81" s="2038"/>
      <c r="M81" s="2038"/>
      <c r="N81" s="2038"/>
      <c r="O81" s="2038"/>
      <c r="P81" s="2038"/>
      <c r="Q81" s="2039" t="s">
        <v>1619</v>
      </c>
      <c r="R81" s="2039"/>
      <c r="S81" s="2039"/>
      <c r="T81" s="2039"/>
      <c r="U81" s="1031" t="s">
        <v>38</v>
      </c>
      <c r="V81" s="1031"/>
      <c r="W81" s="2038" t="s">
        <v>1624</v>
      </c>
      <c r="X81" s="1032"/>
      <c r="Y81" s="1032"/>
      <c r="Z81" s="1032"/>
      <c r="AA81" s="1032"/>
      <c r="AB81" s="1032"/>
      <c r="AC81" s="1032"/>
      <c r="AD81" s="1032"/>
      <c r="AE81" s="1032"/>
      <c r="AF81" s="1032"/>
    </row>
    <row r="82" spans="1:41" s="1" customFormat="1" ht="56.25" customHeight="1" x14ac:dyDescent="0.3">
      <c r="A82" s="1050" t="s">
        <v>1612</v>
      </c>
      <c r="B82" s="1051" t="s">
        <v>26</v>
      </c>
      <c r="C82" s="1051" t="s">
        <v>26</v>
      </c>
      <c r="D82" s="1052" t="s">
        <v>26</v>
      </c>
      <c r="E82" s="2038" t="s">
        <v>1616</v>
      </c>
      <c r="F82" s="2038"/>
      <c r="G82" s="2038"/>
      <c r="H82" s="2038"/>
      <c r="I82" s="2038"/>
      <c r="J82" s="2038"/>
      <c r="K82" s="2038"/>
      <c r="L82" s="2038"/>
      <c r="M82" s="2038"/>
      <c r="N82" s="2038"/>
      <c r="O82" s="2038"/>
      <c r="P82" s="2038"/>
      <c r="Q82" s="2039" t="s">
        <v>1617</v>
      </c>
      <c r="R82" s="2039"/>
      <c r="S82" s="2039"/>
      <c r="T82" s="2039"/>
      <c r="U82" s="1031" t="s">
        <v>38</v>
      </c>
      <c r="V82" s="1031"/>
      <c r="W82" s="1032" t="s">
        <v>1621</v>
      </c>
      <c r="X82" s="1032"/>
      <c r="Y82" s="1032"/>
      <c r="Z82" s="1032"/>
      <c r="AA82" s="1032"/>
      <c r="AB82" s="1032"/>
      <c r="AC82" s="1032"/>
      <c r="AD82" s="1032"/>
      <c r="AE82" s="1032"/>
      <c r="AF82" s="1032"/>
    </row>
    <row r="83" spans="1:41" s="1" customFormat="1" ht="30" customHeight="1" x14ac:dyDescent="0.3">
      <c r="A83" s="1270" t="s">
        <v>1601</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row>
    <row r="84" spans="1:41" s="1" customFormat="1" ht="31.5" customHeight="1" x14ac:dyDescent="0.3">
      <c r="A84" s="1082" t="s">
        <v>1602</v>
      </c>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c r="AA84" s="1082"/>
      <c r="AB84" s="1082"/>
      <c r="AC84" s="1082"/>
      <c r="AD84" s="1082"/>
      <c r="AE84" s="1082"/>
      <c r="AF84" s="1082"/>
    </row>
    <row r="85" spans="1:41" s="1" customFormat="1" x14ac:dyDescent="0.3">
      <c r="A85" s="1082" t="s">
        <v>1603</v>
      </c>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c r="AA85" s="1082"/>
      <c r="AB85" s="1082"/>
      <c r="AC85" s="1082"/>
      <c r="AD85" s="1082"/>
      <c r="AE85" s="1082"/>
      <c r="AF85" s="1082"/>
    </row>
    <row r="86" spans="1:41" s="1" customFormat="1" x14ac:dyDescent="0.3">
      <c r="A86" s="1082" t="s">
        <v>1623</v>
      </c>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c r="AA86" s="1082"/>
      <c r="AB86" s="1082"/>
      <c r="AC86" s="1082"/>
      <c r="AD86" s="1082"/>
      <c r="AE86" s="1082"/>
      <c r="AF86" s="1082"/>
    </row>
    <row r="87" spans="1:41" x14ac:dyDescent="0.3">
      <c r="A87" s="3"/>
    </row>
    <row r="88" spans="1:41" ht="18.899999999999999" customHeight="1" x14ac:dyDescent="0.3">
      <c r="A88" s="57" t="s">
        <v>1708</v>
      </c>
      <c r="AH88" s="151"/>
    </row>
    <row r="89" spans="1:41" ht="14.4" customHeight="1" x14ac:dyDescent="0.3">
      <c r="A89" s="2022" t="s">
        <v>237</v>
      </c>
      <c r="B89" s="2023"/>
      <c r="C89" s="2023"/>
      <c r="D89" s="2023"/>
      <c r="E89" s="2023"/>
      <c r="F89" s="2024"/>
      <c r="G89" s="2016" t="s">
        <v>1673</v>
      </c>
      <c r="H89" s="2017"/>
      <c r="I89" s="2017"/>
      <c r="J89" s="2017"/>
      <c r="K89" s="2017"/>
      <c r="L89" s="2017"/>
      <c r="M89" s="2017"/>
      <c r="N89" s="2017"/>
      <c r="O89" s="2017"/>
      <c r="P89" s="2017"/>
      <c r="Q89" s="2017"/>
      <c r="R89" s="2017"/>
      <c r="S89" s="2017"/>
      <c r="T89" s="2017"/>
      <c r="U89" s="2017"/>
      <c r="V89" s="2018"/>
      <c r="W89" s="2016" t="s">
        <v>1674</v>
      </c>
      <c r="X89" s="2017"/>
      <c r="Y89" s="2017"/>
      <c r="Z89" s="2017"/>
      <c r="AA89" s="2017"/>
      <c r="AB89" s="2017"/>
      <c r="AC89" s="2017"/>
      <c r="AD89" s="2017"/>
      <c r="AE89" s="2017"/>
      <c r="AF89" s="2017"/>
      <c r="AG89" s="2017"/>
      <c r="AH89" s="2018"/>
      <c r="AI89" s="2028" t="s">
        <v>1676</v>
      </c>
      <c r="AJ89" s="2029"/>
      <c r="AK89" s="2022" t="s">
        <v>1677</v>
      </c>
      <c r="AL89" s="2023"/>
      <c r="AM89" s="2023"/>
      <c r="AN89" s="2023"/>
      <c r="AO89" s="2024"/>
    </row>
    <row r="90" spans="1:41" ht="48" customHeight="1" x14ac:dyDescent="0.3">
      <c r="A90" s="2025"/>
      <c r="B90" s="2026"/>
      <c r="C90" s="2026"/>
      <c r="D90" s="2026"/>
      <c r="E90" s="2026"/>
      <c r="F90" s="2027"/>
      <c r="G90" s="2016" t="s">
        <v>1675</v>
      </c>
      <c r="H90" s="2017"/>
      <c r="I90" s="2017"/>
      <c r="J90" s="2017"/>
      <c r="K90" s="2017"/>
      <c r="L90" s="2017"/>
      <c r="M90" s="2017"/>
      <c r="N90" s="2018"/>
      <c r="O90" s="2019" t="s">
        <v>4597</v>
      </c>
      <c r="P90" s="2020"/>
      <c r="Q90" s="2020"/>
      <c r="R90" s="2020"/>
      <c r="S90" s="2020"/>
      <c r="T90" s="2020"/>
      <c r="U90" s="2020"/>
      <c r="V90" s="2021"/>
      <c r="W90" s="2019" t="s">
        <v>4597</v>
      </c>
      <c r="X90" s="2020"/>
      <c r="Y90" s="2020"/>
      <c r="Z90" s="2020"/>
      <c r="AA90" s="2020"/>
      <c r="AB90" s="2020"/>
      <c r="AC90" s="2021"/>
      <c r="AD90" s="2019" t="s">
        <v>4598</v>
      </c>
      <c r="AE90" s="2020"/>
      <c r="AF90" s="2020"/>
      <c r="AG90" s="2020"/>
      <c r="AH90" s="2021"/>
      <c r="AI90" s="2030"/>
      <c r="AJ90" s="2031"/>
      <c r="AK90" s="2025"/>
      <c r="AL90" s="2026"/>
      <c r="AM90" s="2026"/>
      <c r="AN90" s="2026"/>
      <c r="AO90" s="2027"/>
    </row>
    <row r="91" spans="1:41" ht="69" customHeight="1" x14ac:dyDescent="0.3">
      <c r="A91" s="2011" t="s">
        <v>241</v>
      </c>
      <c r="B91" s="2011"/>
      <c r="C91" s="2011"/>
      <c r="D91" s="2011"/>
      <c r="E91" s="2011"/>
      <c r="F91" s="2011"/>
      <c r="G91" s="2035" t="s">
        <v>20</v>
      </c>
      <c r="H91" s="2036"/>
      <c r="I91" s="2036"/>
      <c r="J91" s="2036"/>
      <c r="K91" s="2036"/>
      <c r="L91" s="2036"/>
      <c r="M91" s="2033" t="s">
        <v>20</v>
      </c>
      <c r="N91" s="2034"/>
      <c r="O91" s="2011" t="s">
        <v>2931</v>
      </c>
      <c r="P91" s="2011"/>
      <c r="Q91" s="2011"/>
      <c r="R91" s="2011"/>
      <c r="S91" s="2011"/>
      <c r="T91" s="2011"/>
      <c r="U91" s="2034">
        <v>3.7999999999999999E-2</v>
      </c>
      <c r="V91" s="2034"/>
      <c r="W91" s="2035" t="s">
        <v>20</v>
      </c>
      <c r="X91" s="2036"/>
      <c r="Y91" s="2036"/>
      <c r="Z91" s="2036"/>
      <c r="AA91" s="2036"/>
      <c r="AB91" s="2033" t="s">
        <v>20</v>
      </c>
      <c r="AC91" s="2034"/>
      <c r="AD91" s="2035" t="s">
        <v>20</v>
      </c>
      <c r="AE91" s="2036"/>
      <c r="AF91" s="2036"/>
      <c r="AG91" s="2033" t="s">
        <v>20</v>
      </c>
      <c r="AH91" s="2034"/>
      <c r="AI91" s="2037" t="s">
        <v>1671</v>
      </c>
      <c r="AJ91" s="2037"/>
      <c r="AK91" s="2032" t="s">
        <v>1846</v>
      </c>
      <c r="AL91" s="2032"/>
      <c r="AM91" s="2032"/>
      <c r="AN91" s="2032"/>
      <c r="AO91" s="2032"/>
    </row>
    <row r="92" spans="1:41" ht="54.75" customHeight="1" x14ac:dyDescent="0.3">
      <c r="A92" s="2011" t="s">
        <v>1625</v>
      </c>
      <c r="B92" s="2011"/>
      <c r="C92" s="2011"/>
      <c r="D92" s="2011"/>
      <c r="E92" s="2011"/>
      <c r="F92" s="2011"/>
      <c r="G92" s="2032" t="s">
        <v>1650</v>
      </c>
      <c r="H92" s="2032"/>
      <c r="I92" s="2032"/>
      <c r="J92" s="2032"/>
      <c r="K92" s="2032"/>
      <c r="L92" s="2032"/>
      <c r="M92" s="2034">
        <v>5.8999999999999997E-2</v>
      </c>
      <c r="N92" s="2034"/>
      <c r="O92" s="2035" t="s">
        <v>20</v>
      </c>
      <c r="P92" s="2036"/>
      <c r="Q92" s="2036"/>
      <c r="R92" s="2036"/>
      <c r="S92" s="2036"/>
      <c r="T92" s="2036"/>
      <c r="U92" s="2033" t="s">
        <v>20</v>
      </c>
      <c r="V92" s="2034"/>
      <c r="W92" s="2032" t="s">
        <v>1665</v>
      </c>
      <c r="X92" s="2032"/>
      <c r="Y92" s="2032"/>
      <c r="Z92" s="2032"/>
      <c r="AA92" s="2032"/>
      <c r="AB92" s="2034">
        <v>5.7000000000000002E-2</v>
      </c>
      <c r="AC92" s="2034"/>
      <c r="AD92" s="2035" t="s">
        <v>20</v>
      </c>
      <c r="AE92" s="2036"/>
      <c r="AF92" s="2036"/>
      <c r="AG92" s="2033" t="s">
        <v>20</v>
      </c>
      <c r="AH92" s="2034"/>
      <c r="AI92" s="2037" t="s">
        <v>2132</v>
      </c>
      <c r="AJ92" s="2037"/>
      <c r="AK92" s="2032" t="s">
        <v>1847</v>
      </c>
      <c r="AL92" s="2032"/>
      <c r="AM92" s="2032"/>
      <c r="AN92" s="2032"/>
      <c r="AO92" s="2032"/>
    </row>
    <row r="93" spans="1:41" ht="56.25" customHeight="1" x14ac:dyDescent="0.3">
      <c r="A93" s="2011" t="s">
        <v>1626</v>
      </c>
      <c r="B93" s="2011"/>
      <c r="C93" s="2011"/>
      <c r="D93" s="2011"/>
      <c r="E93" s="2011"/>
      <c r="F93" s="2011"/>
      <c r="G93" s="2032" t="s">
        <v>1651</v>
      </c>
      <c r="H93" s="2032"/>
      <c r="I93" s="2032"/>
      <c r="J93" s="2032"/>
      <c r="K93" s="2032"/>
      <c r="L93" s="2032"/>
      <c r="M93" s="2034">
        <v>3.5999999999999997E-2</v>
      </c>
      <c r="N93" s="2034"/>
      <c r="O93" s="2035" t="s">
        <v>20</v>
      </c>
      <c r="P93" s="2036"/>
      <c r="Q93" s="2036"/>
      <c r="R93" s="2036"/>
      <c r="S93" s="2036"/>
      <c r="T93" s="2036"/>
      <c r="U93" s="2033" t="s">
        <v>20</v>
      </c>
      <c r="V93" s="2034"/>
      <c r="W93" s="2032" t="s">
        <v>1666</v>
      </c>
      <c r="X93" s="2032"/>
      <c r="Y93" s="2032"/>
      <c r="Z93" s="2032"/>
      <c r="AA93" s="2032"/>
      <c r="AB93" s="2034">
        <v>3.1E-2</v>
      </c>
      <c r="AC93" s="2034"/>
      <c r="AD93" s="2035" t="s">
        <v>20</v>
      </c>
      <c r="AE93" s="2036"/>
      <c r="AF93" s="2036"/>
      <c r="AG93" s="2033" t="s">
        <v>20</v>
      </c>
      <c r="AH93" s="2034"/>
      <c r="AI93" s="2037" t="s">
        <v>2132</v>
      </c>
      <c r="AJ93" s="2037"/>
      <c r="AK93" s="2032" t="s">
        <v>1847</v>
      </c>
      <c r="AL93" s="2032"/>
      <c r="AM93" s="2032"/>
      <c r="AN93" s="2032"/>
      <c r="AO93" s="2032"/>
    </row>
    <row r="94" spans="1:41" ht="53.25" customHeight="1" x14ac:dyDescent="0.3">
      <c r="A94" s="2011" t="s">
        <v>1627</v>
      </c>
      <c r="B94" s="2011"/>
      <c r="C94" s="2011"/>
      <c r="D94" s="2011"/>
      <c r="E94" s="2011"/>
      <c r="F94" s="2011"/>
      <c r="G94" s="2032" t="s">
        <v>1652</v>
      </c>
      <c r="H94" s="2032"/>
      <c r="I94" s="2032"/>
      <c r="J94" s="2032"/>
      <c r="K94" s="2032"/>
      <c r="L94" s="2032"/>
      <c r="M94" s="2034">
        <v>2.7E-2</v>
      </c>
      <c r="N94" s="2034"/>
      <c r="O94" s="2035" t="s">
        <v>20</v>
      </c>
      <c r="P94" s="2036"/>
      <c r="Q94" s="2036"/>
      <c r="R94" s="2036"/>
      <c r="S94" s="2036"/>
      <c r="T94" s="2036"/>
      <c r="U94" s="2033" t="s">
        <v>20</v>
      </c>
      <c r="V94" s="2034"/>
      <c r="W94" s="2032" t="s">
        <v>1667</v>
      </c>
      <c r="X94" s="2032"/>
      <c r="Y94" s="2032"/>
      <c r="Z94" s="2032"/>
      <c r="AA94" s="2032"/>
      <c r="AB94" s="2034">
        <v>2.3E-2</v>
      </c>
      <c r="AC94" s="2034"/>
      <c r="AD94" s="2035" t="s">
        <v>20</v>
      </c>
      <c r="AE94" s="2036"/>
      <c r="AF94" s="2036"/>
      <c r="AG94" s="2033" t="s">
        <v>20</v>
      </c>
      <c r="AH94" s="2034"/>
      <c r="AI94" s="2037" t="s">
        <v>2132</v>
      </c>
      <c r="AJ94" s="2037"/>
      <c r="AK94" s="2032" t="s">
        <v>1847</v>
      </c>
      <c r="AL94" s="2032"/>
      <c r="AM94" s="2032"/>
      <c r="AN94" s="2032"/>
      <c r="AO94" s="2032"/>
    </row>
    <row r="95" spans="1:41" ht="57.75" customHeight="1" x14ac:dyDescent="0.3">
      <c r="A95" s="2011" t="s">
        <v>1628</v>
      </c>
      <c r="B95" s="2011"/>
      <c r="C95" s="2011"/>
      <c r="D95" s="2011"/>
      <c r="E95" s="2011"/>
      <c r="F95" s="2011"/>
      <c r="G95" s="2032" t="s">
        <v>1653</v>
      </c>
      <c r="H95" s="2032"/>
      <c r="I95" s="2032"/>
      <c r="J95" s="2032"/>
      <c r="K95" s="2032"/>
      <c r="L95" s="2032"/>
      <c r="M95" s="2034">
        <v>1.9E-2</v>
      </c>
      <c r="N95" s="2034"/>
      <c r="O95" s="2035" t="s">
        <v>20</v>
      </c>
      <c r="P95" s="2036"/>
      <c r="Q95" s="2036"/>
      <c r="R95" s="2036"/>
      <c r="S95" s="2036"/>
      <c r="T95" s="2036"/>
      <c r="U95" s="2033" t="s">
        <v>20</v>
      </c>
      <c r="V95" s="2034"/>
      <c r="W95" s="2032" t="s">
        <v>1668</v>
      </c>
      <c r="X95" s="2032"/>
      <c r="Y95" s="2032"/>
      <c r="Z95" s="2032"/>
      <c r="AA95" s="2032"/>
      <c r="AB95" s="2034">
        <v>1.6E-2</v>
      </c>
      <c r="AC95" s="2034"/>
      <c r="AD95" s="2035" t="s">
        <v>20</v>
      </c>
      <c r="AE95" s="2036"/>
      <c r="AF95" s="2036"/>
      <c r="AG95" s="2033" t="s">
        <v>20</v>
      </c>
      <c r="AH95" s="2034"/>
      <c r="AI95" s="2037" t="s">
        <v>2132</v>
      </c>
      <c r="AJ95" s="2037"/>
      <c r="AK95" s="2032" t="s">
        <v>1847</v>
      </c>
      <c r="AL95" s="2032"/>
      <c r="AM95" s="2032"/>
      <c r="AN95" s="2032"/>
      <c r="AO95" s="2032"/>
    </row>
    <row r="96" spans="1:41" ht="53.25" customHeight="1" x14ac:dyDescent="0.3">
      <c r="A96" s="2011" t="s">
        <v>1629</v>
      </c>
      <c r="B96" s="2011"/>
      <c r="C96" s="2011"/>
      <c r="D96" s="2011"/>
      <c r="E96" s="2011"/>
      <c r="F96" s="2011"/>
      <c r="G96" s="2035" t="s">
        <v>20</v>
      </c>
      <c r="H96" s="2036"/>
      <c r="I96" s="2036"/>
      <c r="J96" s="2036"/>
      <c r="K96" s="2036"/>
      <c r="L96" s="2036"/>
      <c r="M96" s="2033" t="s">
        <v>20</v>
      </c>
      <c r="N96" s="2034"/>
      <c r="O96" s="2011" t="s">
        <v>1654</v>
      </c>
      <c r="P96" s="2011"/>
      <c r="Q96" s="2011"/>
      <c r="R96" s="2011"/>
      <c r="S96" s="2011"/>
      <c r="T96" s="2011"/>
      <c r="U96" s="2034">
        <v>3.2000000000000001E-2</v>
      </c>
      <c r="V96" s="2034"/>
      <c r="W96" s="2035" t="s">
        <v>20</v>
      </c>
      <c r="X96" s="2036"/>
      <c r="Y96" s="2036"/>
      <c r="Z96" s="2036"/>
      <c r="AA96" s="2036"/>
      <c r="AB96" s="2033" t="s">
        <v>20</v>
      </c>
      <c r="AC96" s="2034"/>
      <c r="AD96" s="2035" t="s">
        <v>20</v>
      </c>
      <c r="AE96" s="2036"/>
      <c r="AF96" s="2036"/>
      <c r="AG96" s="2033" t="s">
        <v>20</v>
      </c>
      <c r="AH96" s="2034"/>
      <c r="AI96" s="2037" t="s">
        <v>1671</v>
      </c>
      <c r="AJ96" s="2037"/>
      <c r="AK96" s="2032" t="s">
        <v>1847</v>
      </c>
      <c r="AL96" s="2032"/>
      <c r="AM96" s="2032"/>
      <c r="AN96" s="2032"/>
      <c r="AO96" s="2032"/>
    </row>
    <row r="97" spans="1:41" ht="57" customHeight="1" x14ac:dyDescent="0.3">
      <c r="A97" s="2011" t="s">
        <v>1630</v>
      </c>
      <c r="B97" s="2011"/>
      <c r="C97" s="2011"/>
      <c r="D97" s="2011"/>
      <c r="E97" s="2011"/>
      <c r="F97" s="2011"/>
      <c r="G97" s="2035" t="s">
        <v>20</v>
      </c>
      <c r="H97" s="2036"/>
      <c r="I97" s="2036"/>
      <c r="J97" s="2036"/>
      <c r="K97" s="2036"/>
      <c r="L97" s="2036"/>
      <c r="M97" s="2033" t="s">
        <v>20</v>
      </c>
      <c r="N97" s="2034"/>
      <c r="O97" s="2011" t="s">
        <v>1655</v>
      </c>
      <c r="P97" s="2011"/>
      <c r="Q97" s="2011"/>
      <c r="R97" s="2011"/>
      <c r="S97" s="2011"/>
      <c r="T97" s="2011"/>
      <c r="U97" s="2034">
        <v>5.8999999999999997E-2</v>
      </c>
      <c r="V97" s="2034"/>
      <c r="W97" s="2035" t="s">
        <v>20</v>
      </c>
      <c r="X97" s="2036"/>
      <c r="Y97" s="2036"/>
      <c r="Z97" s="2036"/>
      <c r="AA97" s="2036"/>
      <c r="AB97" s="2033" t="s">
        <v>20</v>
      </c>
      <c r="AC97" s="2034"/>
      <c r="AD97" s="2035" t="s">
        <v>20</v>
      </c>
      <c r="AE97" s="2036"/>
      <c r="AF97" s="2036"/>
      <c r="AG97" s="2033" t="s">
        <v>20</v>
      </c>
      <c r="AH97" s="2034"/>
      <c r="AI97" s="2037" t="s">
        <v>1671</v>
      </c>
      <c r="AJ97" s="2037"/>
      <c r="AK97" s="2032" t="s">
        <v>1847</v>
      </c>
      <c r="AL97" s="2032"/>
      <c r="AM97" s="2032"/>
      <c r="AN97" s="2032"/>
      <c r="AO97" s="2032"/>
    </row>
    <row r="98" spans="1:41" ht="67.5" customHeight="1" x14ac:dyDescent="0.3">
      <c r="A98" s="2011" t="s">
        <v>1631</v>
      </c>
      <c r="B98" s="2011"/>
      <c r="C98" s="2011"/>
      <c r="D98" s="2011"/>
      <c r="E98" s="2011"/>
      <c r="F98" s="2011"/>
      <c r="G98" s="2035" t="s">
        <v>20</v>
      </c>
      <c r="H98" s="2036"/>
      <c r="I98" s="2036"/>
      <c r="J98" s="2036"/>
      <c r="K98" s="2036"/>
      <c r="L98" s="2036"/>
      <c r="M98" s="2033" t="s">
        <v>20</v>
      </c>
      <c r="N98" s="2034"/>
      <c r="O98" s="2011" t="s">
        <v>2928</v>
      </c>
      <c r="P98" s="2011"/>
      <c r="Q98" s="2011"/>
      <c r="R98" s="2011"/>
      <c r="S98" s="2011"/>
      <c r="T98" s="2011"/>
      <c r="U98" s="2034">
        <f>'C_Light_Dimmable(Nonlinear LED)'!G86</f>
        <v>4.7379999999999992E-2</v>
      </c>
      <c r="V98" s="2034"/>
      <c r="W98" s="2035" t="s">
        <v>20</v>
      </c>
      <c r="X98" s="2036"/>
      <c r="Y98" s="2036"/>
      <c r="Z98" s="2036"/>
      <c r="AA98" s="2036"/>
      <c r="AB98" s="2033" t="s">
        <v>20</v>
      </c>
      <c r="AC98" s="2034"/>
      <c r="AD98" s="2032" t="s">
        <v>1669</v>
      </c>
      <c r="AE98" s="2032"/>
      <c r="AF98" s="2032"/>
      <c r="AG98" s="2034">
        <f>'C_Light_Dimmable(Nonlinear LED)'!J86</f>
        <v>2.3839999999999997E-2</v>
      </c>
      <c r="AH98" s="2034"/>
      <c r="AI98" s="2037" t="s">
        <v>1672</v>
      </c>
      <c r="AJ98" s="2037"/>
      <c r="AK98" s="2032" t="s">
        <v>1678</v>
      </c>
      <c r="AL98" s="2032"/>
      <c r="AM98" s="2032"/>
      <c r="AN98" s="2032"/>
      <c r="AO98" s="2032"/>
    </row>
    <row r="99" spans="1:41" ht="39.9" customHeight="1" x14ac:dyDescent="0.3">
      <c r="A99" s="2011" t="s">
        <v>1632</v>
      </c>
      <c r="B99" s="2011"/>
      <c r="C99" s="2011"/>
      <c r="D99" s="2011"/>
      <c r="E99" s="2011"/>
      <c r="F99" s="2011"/>
      <c r="G99" s="2035" t="s">
        <v>20</v>
      </c>
      <c r="H99" s="2036"/>
      <c r="I99" s="2036"/>
      <c r="J99" s="2036"/>
      <c r="K99" s="2036"/>
      <c r="L99" s="2036"/>
      <c r="M99" s="2033" t="s">
        <v>20</v>
      </c>
      <c r="N99" s="2034"/>
      <c r="O99" s="2011" t="s">
        <v>2929</v>
      </c>
      <c r="P99" s="2011"/>
      <c r="Q99" s="2011"/>
      <c r="R99" s="2011"/>
      <c r="S99" s="2011"/>
      <c r="T99" s="2011"/>
      <c r="U99" s="2034">
        <f>'C_Light_Dimmable(Nonlinear LED)'!G87</f>
        <v>2.5999999999999999E-2</v>
      </c>
      <c r="V99" s="2034"/>
      <c r="W99" s="2035" t="s">
        <v>20</v>
      </c>
      <c r="X99" s="2036"/>
      <c r="Y99" s="2036"/>
      <c r="Z99" s="2036"/>
      <c r="AA99" s="2036"/>
      <c r="AB99" s="2033" t="s">
        <v>20</v>
      </c>
      <c r="AC99" s="2034"/>
      <c r="AD99" s="2035" t="s">
        <v>20</v>
      </c>
      <c r="AE99" s="2036"/>
      <c r="AF99" s="2036"/>
      <c r="AG99" s="2033" t="s">
        <v>20</v>
      </c>
      <c r="AH99" s="2034"/>
      <c r="AI99" s="2037" t="s">
        <v>1671</v>
      </c>
      <c r="AJ99" s="2037"/>
      <c r="AK99" s="2032" t="s">
        <v>1855</v>
      </c>
      <c r="AL99" s="2032"/>
      <c r="AM99" s="2032"/>
      <c r="AN99" s="2032"/>
      <c r="AO99" s="2032"/>
    </row>
    <row r="100" spans="1:41" ht="39.9" customHeight="1" x14ac:dyDescent="0.3">
      <c r="A100" s="2011" t="s">
        <v>1633</v>
      </c>
      <c r="B100" s="2011"/>
      <c r="C100" s="2011"/>
      <c r="D100" s="2011"/>
      <c r="E100" s="2011"/>
      <c r="F100" s="2011"/>
      <c r="G100" s="2035" t="s">
        <v>20</v>
      </c>
      <c r="H100" s="2036"/>
      <c r="I100" s="2036"/>
      <c r="J100" s="2036"/>
      <c r="K100" s="2036"/>
      <c r="L100" s="2036"/>
      <c r="M100" s="2033" t="s">
        <v>20</v>
      </c>
      <c r="N100" s="2034"/>
      <c r="O100" s="2011" t="s">
        <v>1656</v>
      </c>
      <c r="P100" s="2011"/>
      <c r="Q100" s="2011"/>
      <c r="R100" s="2011"/>
      <c r="S100" s="2011"/>
      <c r="T100" s="2011"/>
      <c r="U100" s="2034">
        <f>'C_Light_Dimmable(Nonlinear LED)'!G88</f>
        <v>0.05</v>
      </c>
      <c r="V100" s="2034"/>
      <c r="W100" s="2035" t="s">
        <v>20</v>
      </c>
      <c r="X100" s="2036"/>
      <c r="Y100" s="2036"/>
      <c r="Z100" s="2036"/>
      <c r="AA100" s="2036"/>
      <c r="AB100" s="2033" t="s">
        <v>20</v>
      </c>
      <c r="AC100" s="2034"/>
      <c r="AD100" s="2032" t="s">
        <v>1670</v>
      </c>
      <c r="AE100" s="2032"/>
      <c r="AF100" s="2032"/>
      <c r="AG100" s="2034">
        <f>'C_Light_Dimmable(Nonlinear LED)'!J88</f>
        <v>1.0999999999999999E-2</v>
      </c>
      <c r="AH100" s="2034"/>
      <c r="AI100" s="2037" t="s">
        <v>1672</v>
      </c>
      <c r="AJ100" s="2037"/>
      <c r="AK100" s="2032" t="s">
        <v>1679</v>
      </c>
      <c r="AL100" s="2032"/>
      <c r="AM100" s="2032"/>
      <c r="AN100" s="2032"/>
      <c r="AO100" s="2032"/>
    </row>
    <row r="101" spans="1:41" ht="57" customHeight="1" x14ac:dyDescent="0.3">
      <c r="A101" s="2011" t="s">
        <v>1634</v>
      </c>
      <c r="B101" s="2011"/>
      <c r="C101" s="2011"/>
      <c r="D101" s="2011"/>
      <c r="E101" s="2011"/>
      <c r="F101" s="2011"/>
      <c r="G101" s="2035" t="s">
        <v>20</v>
      </c>
      <c r="H101" s="2036"/>
      <c r="I101" s="2036"/>
      <c r="J101" s="2036"/>
      <c r="K101" s="2036"/>
      <c r="L101" s="2036"/>
      <c r="M101" s="2033" t="s">
        <v>20</v>
      </c>
      <c r="N101" s="2034"/>
      <c r="O101" s="2011" t="s">
        <v>2930</v>
      </c>
      <c r="P101" s="2011"/>
      <c r="Q101" s="2011"/>
      <c r="R101" s="2011"/>
      <c r="S101" s="2011"/>
      <c r="T101" s="2011"/>
      <c r="U101" s="2034">
        <f>'C_Light_Dimmable(Nonlinear LED)'!G89</f>
        <v>3.9E-2</v>
      </c>
      <c r="V101" s="2034"/>
      <c r="W101" s="2035" t="s">
        <v>20</v>
      </c>
      <c r="X101" s="2036"/>
      <c r="Y101" s="2036"/>
      <c r="Z101" s="2036"/>
      <c r="AA101" s="2036"/>
      <c r="AB101" s="2033" t="s">
        <v>20</v>
      </c>
      <c r="AC101" s="2034"/>
      <c r="AD101" s="2032" t="s">
        <v>1670</v>
      </c>
      <c r="AE101" s="2032"/>
      <c r="AF101" s="2032"/>
      <c r="AG101" s="2034">
        <f>'C_Light_Dimmable(Nonlinear LED)'!J89</f>
        <v>1.2E-2</v>
      </c>
      <c r="AH101" s="2034"/>
      <c r="AI101" s="2037" t="s">
        <v>1672</v>
      </c>
      <c r="AJ101" s="2037"/>
      <c r="AK101" s="2032" t="s">
        <v>1679</v>
      </c>
      <c r="AL101" s="2032"/>
      <c r="AM101" s="2032"/>
      <c r="AN101" s="2032"/>
      <c r="AO101" s="2032"/>
    </row>
    <row r="102" spans="1:41" ht="54.75" customHeight="1" x14ac:dyDescent="0.3">
      <c r="A102" s="2011" t="s">
        <v>1635</v>
      </c>
      <c r="B102" s="2011"/>
      <c r="C102" s="2011"/>
      <c r="D102" s="2011"/>
      <c r="E102" s="2011"/>
      <c r="F102" s="2011"/>
      <c r="G102" s="2035" t="s">
        <v>20</v>
      </c>
      <c r="H102" s="2036"/>
      <c r="I102" s="2036"/>
      <c r="J102" s="2036"/>
      <c r="K102" s="2036"/>
      <c r="L102" s="2036"/>
      <c r="M102" s="2033" t="s">
        <v>20</v>
      </c>
      <c r="N102" s="2034"/>
      <c r="O102" s="2011" t="s">
        <v>2932</v>
      </c>
      <c r="P102" s="2011"/>
      <c r="Q102" s="2011"/>
      <c r="R102" s="2011"/>
      <c r="S102" s="2011"/>
      <c r="T102" s="2011"/>
      <c r="U102" s="2034">
        <f>'C_Light_Dimmable(Nonlinear LED)'!G90</f>
        <v>0.06</v>
      </c>
      <c r="V102" s="2034"/>
      <c r="W102" s="2035" t="s">
        <v>20</v>
      </c>
      <c r="X102" s="2036"/>
      <c r="Y102" s="2036"/>
      <c r="Z102" s="2036"/>
      <c r="AA102" s="2036"/>
      <c r="AB102" s="2033" t="s">
        <v>20</v>
      </c>
      <c r="AC102" s="2034"/>
      <c r="AD102" s="2032" t="s">
        <v>1670</v>
      </c>
      <c r="AE102" s="2032"/>
      <c r="AF102" s="2032"/>
      <c r="AG102" s="2034">
        <f>'C_Light_Dimmable(Nonlinear LED)'!J90</f>
        <v>0.02</v>
      </c>
      <c r="AH102" s="2034"/>
      <c r="AI102" s="2037" t="s">
        <v>1672</v>
      </c>
      <c r="AJ102" s="2037"/>
      <c r="AK102" s="2032" t="s">
        <v>1679</v>
      </c>
      <c r="AL102" s="2032"/>
      <c r="AM102" s="2032"/>
      <c r="AN102" s="2032"/>
      <c r="AO102" s="2032"/>
    </row>
    <row r="103" spans="1:41" ht="54" customHeight="1" x14ac:dyDescent="0.3">
      <c r="A103" s="2011" t="s">
        <v>1636</v>
      </c>
      <c r="B103" s="2011"/>
      <c r="C103" s="2011"/>
      <c r="D103" s="2011"/>
      <c r="E103" s="2011"/>
      <c r="F103" s="2011"/>
      <c r="G103" s="2035" t="s">
        <v>20</v>
      </c>
      <c r="H103" s="2036"/>
      <c r="I103" s="2036"/>
      <c r="J103" s="2036"/>
      <c r="K103" s="2036"/>
      <c r="L103" s="2036"/>
      <c r="M103" s="2033" t="s">
        <v>20</v>
      </c>
      <c r="N103" s="2034"/>
      <c r="O103" s="2011" t="s">
        <v>2933</v>
      </c>
      <c r="P103" s="2011"/>
      <c r="Q103" s="2011"/>
      <c r="R103" s="2011"/>
      <c r="S103" s="2011"/>
      <c r="T103" s="2011"/>
      <c r="U103" s="2034">
        <f>'C_Light_Dimmable(Nonlinear LED)'!G91</f>
        <v>0.06</v>
      </c>
      <c r="V103" s="2034"/>
      <c r="W103" s="2035" t="s">
        <v>20</v>
      </c>
      <c r="X103" s="2036"/>
      <c r="Y103" s="2036"/>
      <c r="Z103" s="2036"/>
      <c r="AA103" s="2036"/>
      <c r="AB103" s="2033" t="s">
        <v>20</v>
      </c>
      <c r="AC103" s="2034"/>
      <c r="AD103" s="2032" t="s">
        <v>1670</v>
      </c>
      <c r="AE103" s="2032"/>
      <c r="AF103" s="2032"/>
      <c r="AG103" s="2034">
        <f>'C_Light_Dimmable(Nonlinear LED)'!J91</f>
        <v>2.4E-2</v>
      </c>
      <c r="AH103" s="2034"/>
      <c r="AI103" s="2037" t="s">
        <v>1672</v>
      </c>
      <c r="AJ103" s="2037"/>
      <c r="AK103" s="2032" t="s">
        <v>1679</v>
      </c>
      <c r="AL103" s="2032"/>
      <c r="AM103" s="2032"/>
      <c r="AN103" s="2032"/>
      <c r="AO103" s="2032"/>
    </row>
    <row r="104" spans="1:41" ht="47.25" customHeight="1" x14ac:dyDescent="0.3">
      <c r="A104" s="2011" t="s">
        <v>1637</v>
      </c>
      <c r="B104" s="2011"/>
      <c r="C104" s="2011"/>
      <c r="D104" s="2011"/>
      <c r="E104" s="2011"/>
      <c r="F104" s="2011"/>
      <c r="G104" s="2035" t="s">
        <v>20</v>
      </c>
      <c r="H104" s="2036"/>
      <c r="I104" s="2036"/>
      <c r="J104" s="2036"/>
      <c r="K104" s="2036"/>
      <c r="L104" s="2036"/>
      <c r="M104" s="2033" t="s">
        <v>20</v>
      </c>
      <c r="N104" s="2034"/>
      <c r="O104" s="2011" t="s">
        <v>2934</v>
      </c>
      <c r="P104" s="2011"/>
      <c r="Q104" s="2011"/>
      <c r="R104" s="2011"/>
      <c r="S104" s="2011"/>
      <c r="T104" s="2011"/>
      <c r="U104" s="2034">
        <v>2.5000000000000001E-2</v>
      </c>
      <c r="V104" s="2034"/>
      <c r="W104" s="2035" t="s">
        <v>20</v>
      </c>
      <c r="X104" s="2036"/>
      <c r="Y104" s="2036"/>
      <c r="Z104" s="2036"/>
      <c r="AA104" s="2036"/>
      <c r="AB104" s="2033" t="s">
        <v>20</v>
      </c>
      <c r="AC104" s="2034"/>
      <c r="AD104" s="2032" t="s">
        <v>1670</v>
      </c>
      <c r="AE104" s="2032"/>
      <c r="AF104" s="2032"/>
      <c r="AG104" s="2034">
        <v>6.0000000000000001E-3</v>
      </c>
      <c r="AH104" s="2034"/>
      <c r="AI104" s="2037" t="s">
        <v>1672</v>
      </c>
      <c r="AJ104" s="2037"/>
      <c r="AK104" s="2032" t="s">
        <v>1680</v>
      </c>
      <c r="AL104" s="2032"/>
      <c r="AM104" s="2032"/>
      <c r="AN104" s="2032"/>
      <c r="AO104" s="2032"/>
    </row>
    <row r="105" spans="1:41" ht="44.25" customHeight="1" x14ac:dyDescent="0.3">
      <c r="A105" s="2011" t="s">
        <v>1638</v>
      </c>
      <c r="B105" s="2011"/>
      <c r="C105" s="2011"/>
      <c r="D105" s="2011"/>
      <c r="E105" s="2011"/>
      <c r="F105" s="2011"/>
      <c r="G105" s="2035" t="s">
        <v>20</v>
      </c>
      <c r="H105" s="2036"/>
      <c r="I105" s="2036"/>
      <c r="J105" s="2036"/>
      <c r="K105" s="2036"/>
      <c r="L105" s="2036"/>
      <c r="M105" s="2033" t="s">
        <v>20</v>
      </c>
      <c r="N105" s="2034"/>
      <c r="O105" s="2011" t="s">
        <v>2935</v>
      </c>
      <c r="P105" s="2011"/>
      <c r="Q105" s="2011"/>
      <c r="R105" s="2011"/>
      <c r="S105" s="2011"/>
      <c r="T105" s="2011"/>
      <c r="U105" s="2034">
        <v>0.04</v>
      </c>
      <c r="V105" s="2034"/>
      <c r="W105" s="2035" t="s">
        <v>20</v>
      </c>
      <c r="X105" s="2036"/>
      <c r="Y105" s="2036"/>
      <c r="Z105" s="2036"/>
      <c r="AA105" s="2036"/>
      <c r="AB105" s="2033" t="s">
        <v>20</v>
      </c>
      <c r="AC105" s="2034"/>
      <c r="AD105" s="2032" t="s">
        <v>1670</v>
      </c>
      <c r="AE105" s="2032"/>
      <c r="AF105" s="2032"/>
      <c r="AG105" s="2034">
        <v>1.2E-2</v>
      </c>
      <c r="AH105" s="2034"/>
      <c r="AI105" s="2037" t="s">
        <v>1672</v>
      </c>
      <c r="AJ105" s="2037"/>
      <c r="AK105" s="2032" t="s">
        <v>1680</v>
      </c>
      <c r="AL105" s="2032"/>
      <c r="AM105" s="2032"/>
      <c r="AN105" s="2032"/>
      <c r="AO105" s="2032"/>
    </row>
    <row r="106" spans="1:41" ht="45" customHeight="1" x14ac:dyDescent="0.3">
      <c r="A106" s="2011" t="s">
        <v>1639</v>
      </c>
      <c r="B106" s="2011"/>
      <c r="C106" s="2011"/>
      <c r="D106" s="2011"/>
      <c r="E106" s="2011"/>
      <c r="F106" s="2011"/>
      <c r="G106" s="2035" t="s">
        <v>20</v>
      </c>
      <c r="H106" s="2036"/>
      <c r="I106" s="2036"/>
      <c r="J106" s="2036"/>
      <c r="K106" s="2036"/>
      <c r="L106" s="2036"/>
      <c r="M106" s="2033" t="s">
        <v>20</v>
      </c>
      <c r="N106" s="2034"/>
      <c r="O106" s="2011" t="s">
        <v>2935</v>
      </c>
      <c r="P106" s="2011"/>
      <c r="Q106" s="2011"/>
      <c r="R106" s="2011"/>
      <c r="S106" s="2011"/>
      <c r="T106" s="2011"/>
      <c r="U106" s="2034">
        <v>0.04</v>
      </c>
      <c r="V106" s="2034"/>
      <c r="W106" s="2035" t="s">
        <v>20</v>
      </c>
      <c r="X106" s="2036"/>
      <c r="Y106" s="2036"/>
      <c r="Z106" s="2036"/>
      <c r="AA106" s="2036"/>
      <c r="AB106" s="2033" t="s">
        <v>20</v>
      </c>
      <c r="AC106" s="2034"/>
      <c r="AD106" s="2032" t="s">
        <v>1670</v>
      </c>
      <c r="AE106" s="2032"/>
      <c r="AF106" s="2032"/>
      <c r="AG106" s="2034">
        <v>1.2E-2</v>
      </c>
      <c r="AH106" s="2034"/>
      <c r="AI106" s="2037" t="s">
        <v>1672</v>
      </c>
      <c r="AJ106" s="2037"/>
      <c r="AK106" s="2032" t="s">
        <v>1680</v>
      </c>
      <c r="AL106" s="2032"/>
      <c r="AM106" s="2032"/>
      <c r="AN106" s="2032"/>
      <c r="AO106" s="2032"/>
    </row>
    <row r="107" spans="1:41" ht="42.75" customHeight="1" x14ac:dyDescent="0.3">
      <c r="A107" s="2011" t="s">
        <v>1640</v>
      </c>
      <c r="B107" s="2011"/>
      <c r="C107" s="2011"/>
      <c r="D107" s="2011"/>
      <c r="E107" s="2011"/>
      <c r="F107" s="2011"/>
      <c r="G107" s="2035" t="s">
        <v>20</v>
      </c>
      <c r="H107" s="2036"/>
      <c r="I107" s="2036"/>
      <c r="J107" s="2036"/>
      <c r="K107" s="2036"/>
      <c r="L107" s="2036"/>
      <c r="M107" s="2033" t="s">
        <v>20</v>
      </c>
      <c r="N107" s="2034"/>
      <c r="O107" s="2011" t="s">
        <v>2936</v>
      </c>
      <c r="P107" s="2011"/>
      <c r="Q107" s="2011"/>
      <c r="R107" s="2011"/>
      <c r="S107" s="2011"/>
      <c r="T107" s="2011"/>
      <c r="U107" s="2034">
        <v>0.06</v>
      </c>
      <c r="V107" s="2034"/>
      <c r="W107" s="2035" t="s">
        <v>20</v>
      </c>
      <c r="X107" s="2036"/>
      <c r="Y107" s="2036"/>
      <c r="Z107" s="2036"/>
      <c r="AA107" s="2036"/>
      <c r="AB107" s="2033" t="s">
        <v>20</v>
      </c>
      <c r="AC107" s="2034"/>
      <c r="AD107" s="2032" t="s">
        <v>1670</v>
      </c>
      <c r="AE107" s="2032"/>
      <c r="AF107" s="2032"/>
      <c r="AG107" s="2034">
        <v>0.02</v>
      </c>
      <c r="AH107" s="2034"/>
      <c r="AI107" s="2037" t="s">
        <v>1672</v>
      </c>
      <c r="AJ107" s="2037"/>
      <c r="AK107" s="2032" t="s">
        <v>1680</v>
      </c>
      <c r="AL107" s="2032"/>
      <c r="AM107" s="2032"/>
      <c r="AN107" s="2032"/>
      <c r="AO107" s="2032"/>
    </row>
    <row r="108" spans="1:41" ht="39.9" customHeight="1" x14ac:dyDescent="0.3">
      <c r="A108" s="2011" t="s">
        <v>1641</v>
      </c>
      <c r="B108" s="2011"/>
      <c r="C108" s="2011"/>
      <c r="D108" s="2011"/>
      <c r="E108" s="2011"/>
      <c r="F108" s="2011"/>
      <c r="G108" s="2035" t="s">
        <v>20</v>
      </c>
      <c r="H108" s="2036"/>
      <c r="I108" s="2036"/>
      <c r="J108" s="2036"/>
      <c r="K108" s="2036"/>
      <c r="L108" s="2036"/>
      <c r="M108" s="2033" t="s">
        <v>20</v>
      </c>
      <c r="N108" s="2034"/>
      <c r="O108" s="2011" t="s">
        <v>1657</v>
      </c>
      <c r="P108" s="2011"/>
      <c r="Q108" s="2011"/>
      <c r="R108" s="2011"/>
      <c r="S108" s="2011"/>
      <c r="T108" s="2011"/>
      <c r="U108" s="2034">
        <v>6.1600000000000002E-2</v>
      </c>
      <c r="V108" s="2034"/>
      <c r="W108" s="2035" t="s">
        <v>20</v>
      </c>
      <c r="X108" s="2036"/>
      <c r="Y108" s="2036"/>
      <c r="Z108" s="2036"/>
      <c r="AA108" s="2036"/>
      <c r="AB108" s="2033" t="s">
        <v>20</v>
      </c>
      <c r="AC108" s="2034"/>
      <c r="AD108" s="2035" t="s">
        <v>20</v>
      </c>
      <c r="AE108" s="2036"/>
      <c r="AF108" s="2036"/>
      <c r="AG108" s="2033" t="s">
        <v>20</v>
      </c>
      <c r="AH108" s="2034"/>
      <c r="AI108" s="2037" t="s">
        <v>1671</v>
      </c>
      <c r="AJ108" s="2037"/>
      <c r="AK108" s="2032" t="s">
        <v>1681</v>
      </c>
      <c r="AL108" s="2032"/>
      <c r="AM108" s="2032"/>
      <c r="AN108" s="2032"/>
      <c r="AO108" s="2032"/>
    </row>
    <row r="109" spans="1:41" ht="39.9" customHeight="1" x14ac:dyDescent="0.3">
      <c r="A109" s="2011" t="s">
        <v>1642</v>
      </c>
      <c r="B109" s="2011"/>
      <c r="C109" s="2011"/>
      <c r="D109" s="2011"/>
      <c r="E109" s="2011"/>
      <c r="F109" s="2011"/>
      <c r="G109" s="2035" t="s">
        <v>20</v>
      </c>
      <c r="H109" s="2036"/>
      <c r="I109" s="2036"/>
      <c r="J109" s="2036"/>
      <c r="K109" s="2036"/>
      <c r="L109" s="2036"/>
      <c r="M109" s="2033" t="s">
        <v>20</v>
      </c>
      <c r="N109" s="2034"/>
      <c r="O109" s="2011" t="s">
        <v>1658</v>
      </c>
      <c r="P109" s="2011"/>
      <c r="Q109" s="2011"/>
      <c r="R109" s="2011"/>
      <c r="S109" s="2011"/>
      <c r="T109" s="2011"/>
      <c r="U109" s="2034">
        <v>6.3600000000000004E-2</v>
      </c>
      <c r="V109" s="2034"/>
      <c r="W109" s="2035" t="s">
        <v>20</v>
      </c>
      <c r="X109" s="2036"/>
      <c r="Y109" s="2036"/>
      <c r="Z109" s="2036"/>
      <c r="AA109" s="2036"/>
      <c r="AB109" s="2033" t="s">
        <v>20</v>
      </c>
      <c r="AC109" s="2034"/>
      <c r="AD109" s="2035" t="s">
        <v>20</v>
      </c>
      <c r="AE109" s="2036"/>
      <c r="AF109" s="2036"/>
      <c r="AG109" s="2033" t="s">
        <v>20</v>
      </c>
      <c r="AH109" s="2034"/>
      <c r="AI109" s="2037" t="s">
        <v>1671</v>
      </c>
      <c r="AJ109" s="2037"/>
      <c r="AK109" s="2032" t="s">
        <v>1681</v>
      </c>
      <c r="AL109" s="2032"/>
      <c r="AM109" s="2032"/>
      <c r="AN109" s="2032"/>
      <c r="AO109" s="2032"/>
    </row>
    <row r="110" spans="1:41" ht="39.9" customHeight="1" x14ac:dyDescent="0.3">
      <c r="A110" s="2011" t="s">
        <v>1643</v>
      </c>
      <c r="B110" s="2011"/>
      <c r="C110" s="2011"/>
      <c r="D110" s="2011"/>
      <c r="E110" s="2011"/>
      <c r="F110" s="2011"/>
      <c r="G110" s="2035" t="s">
        <v>20</v>
      </c>
      <c r="H110" s="2036"/>
      <c r="I110" s="2036"/>
      <c r="J110" s="2036"/>
      <c r="K110" s="2036"/>
      <c r="L110" s="2036"/>
      <c r="M110" s="2033" t="s">
        <v>20</v>
      </c>
      <c r="N110" s="2034"/>
      <c r="O110" s="2011" t="s">
        <v>1483</v>
      </c>
      <c r="P110" s="2011"/>
      <c r="Q110" s="2011"/>
      <c r="R110" s="2011"/>
      <c r="S110" s="2011"/>
      <c r="T110" s="2011"/>
      <c r="U110" s="2034">
        <v>0.10920000000000001</v>
      </c>
      <c r="V110" s="2034"/>
      <c r="W110" s="2035" t="s">
        <v>20</v>
      </c>
      <c r="X110" s="2036"/>
      <c r="Y110" s="2036"/>
      <c r="Z110" s="2036"/>
      <c r="AA110" s="2036"/>
      <c r="AB110" s="2033" t="s">
        <v>20</v>
      </c>
      <c r="AC110" s="2034"/>
      <c r="AD110" s="2035" t="s">
        <v>20</v>
      </c>
      <c r="AE110" s="2036"/>
      <c r="AF110" s="2036"/>
      <c r="AG110" s="2033" t="s">
        <v>20</v>
      </c>
      <c r="AH110" s="2034"/>
      <c r="AI110" s="2037" t="s">
        <v>1671</v>
      </c>
      <c r="AJ110" s="2037"/>
      <c r="AK110" s="2032" t="s">
        <v>1681</v>
      </c>
      <c r="AL110" s="2032"/>
      <c r="AM110" s="2032"/>
      <c r="AN110" s="2032"/>
      <c r="AO110" s="2032"/>
    </row>
    <row r="111" spans="1:41" ht="51" customHeight="1" x14ac:dyDescent="0.3">
      <c r="A111" s="2011" t="s">
        <v>1644</v>
      </c>
      <c r="B111" s="2011"/>
      <c r="C111" s="2011"/>
      <c r="D111" s="2011"/>
      <c r="E111" s="2011"/>
      <c r="F111" s="2011"/>
      <c r="G111" s="2035" t="s">
        <v>20</v>
      </c>
      <c r="H111" s="2036"/>
      <c r="I111" s="2036"/>
      <c r="J111" s="2036"/>
      <c r="K111" s="2036"/>
      <c r="L111" s="2036"/>
      <c r="M111" s="2033" t="s">
        <v>20</v>
      </c>
      <c r="N111" s="2034"/>
      <c r="O111" s="2011" t="s">
        <v>1659</v>
      </c>
      <c r="P111" s="2011"/>
      <c r="Q111" s="2011"/>
      <c r="R111" s="2011"/>
      <c r="S111" s="2011"/>
      <c r="T111" s="2011"/>
      <c r="U111" s="2034">
        <v>5.8000000000000003E-2</v>
      </c>
      <c r="V111" s="2034"/>
      <c r="W111" s="2035" t="s">
        <v>20</v>
      </c>
      <c r="X111" s="2036"/>
      <c r="Y111" s="2036"/>
      <c r="Z111" s="2036"/>
      <c r="AA111" s="2036"/>
      <c r="AB111" s="2033" t="s">
        <v>20</v>
      </c>
      <c r="AC111" s="2034"/>
      <c r="AD111" s="2035" t="s">
        <v>20</v>
      </c>
      <c r="AE111" s="2036"/>
      <c r="AF111" s="2036"/>
      <c r="AG111" s="2033" t="s">
        <v>20</v>
      </c>
      <c r="AH111" s="2034"/>
      <c r="AI111" s="2037" t="s">
        <v>1671</v>
      </c>
      <c r="AJ111" s="2037"/>
      <c r="AK111" s="2032" t="s">
        <v>1847</v>
      </c>
      <c r="AL111" s="2032"/>
      <c r="AM111" s="2032"/>
      <c r="AN111" s="2032"/>
      <c r="AO111" s="2032"/>
    </row>
    <row r="112" spans="1:41" ht="51" customHeight="1" x14ac:dyDescent="0.3">
      <c r="A112" s="2132" t="s">
        <v>6615</v>
      </c>
      <c r="B112" s="2132"/>
      <c r="C112" s="2132"/>
      <c r="D112" s="2132"/>
      <c r="E112" s="2132"/>
      <c r="F112" s="2132"/>
      <c r="G112" s="2126" t="s">
        <v>20</v>
      </c>
      <c r="H112" s="2127"/>
      <c r="I112" s="2127"/>
      <c r="J112" s="2127"/>
      <c r="K112" s="2127"/>
      <c r="L112" s="2127"/>
      <c r="M112" s="2128" t="s">
        <v>20</v>
      </c>
      <c r="N112" s="2129"/>
      <c r="O112" s="2132" t="s">
        <v>6616</v>
      </c>
      <c r="P112" s="2132"/>
      <c r="Q112" s="2132"/>
      <c r="R112" s="2132"/>
      <c r="S112" s="2132"/>
      <c r="T112" s="2132"/>
      <c r="U112" s="2129">
        <v>2.9000000000000001E-2</v>
      </c>
      <c r="V112" s="2129"/>
      <c r="W112" s="2126" t="s">
        <v>20</v>
      </c>
      <c r="X112" s="2127"/>
      <c r="Y112" s="2127"/>
      <c r="Z112" s="2127"/>
      <c r="AA112" s="2127"/>
      <c r="AB112" s="2128" t="s">
        <v>20</v>
      </c>
      <c r="AC112" s="2129"/>
      <c r="AD112" s="2126" t="s">
        <v>20</v>
      </c>
      <c r="AE112" s="2127"/>
      <c r="AF112" s="2127"/>
      <c r="AG112" s="2128" t="s">
        <v>20</v>
      </c>
      <c r="AH112" s="2129"/>
      <c r="AI112" s="2130" t="s">
        <v>1671</v>
      </c>
      <c r="AJ112" s="2130"/>
      <c r="AK112" s="2131" t="s">
        <v>1847</v>
      </c>
      <c r="AL112" s="2131"/>
      <c r="AM112" s="2131"/>
      <c r="AN112" s="2131"/>
      <c r="AO112" s="2131"/>
    </row>
    <row r="113" spans="1:59" ht="51" customHeight="1" x14ac:dyDescent="0.3">
      <c r="A113" s="2011" t="s">
        <v>1645</v>
      </c>
      <c r="B113" s="2011"/>
      <c r="C113" s="2011"/>
      <c r="D113" s="2011"/>
      <c r="E113" s="2011"/>
      <c r="F113" s="2011"/>
      <c r="G113" s="2035" t="s">
        <v>20</v>
      </c>
      <c r="H113" s="2036"/>
      <c r="I113" s="2036"/>
      <c r="J113" s="2036"/>
      <c r="K113" s="2036"/>
      <c r="L113" s="2036"/>
      <c r="M113" s="2033" t="s">
        <v>20</v>
      </c>
      <c r="N113" s="2034"/>
      <c r="O113" s="2011" t="s">
        <v>1660</v>
      </c>
      <c r="P113" s="2011"/>
      <c r="Q113" s="2011"/>
      <c r="R113" s="2011"/>
      <c r="S113" s="2011"/>
      <c r="T113" s="2011"/>
      <c r="U113" s="2034">
        <v>5.8000000000000003E-2</v>
      </c>
      <c r="V113" s="2034"/>
      <c r="W113" s="2035" t="s">
        <v>20</v>
      </c>
      <c r="X113" s="2036"/>
      <c r="Y113" s="2036"/>
      <c r="Z113" s="2036"/>
      <c r="AA113" s="2036"/>
      <c r="AB113" s="2033" t="s">
        <v>20</v>
      </c>
      <c r="AC113" s="2034"/>
      <c r="AD113" s="2035" t="s">
        <v>20</v>
      </c>
      <c r="AE113" s="2036"/>
      <c r="AF113" s="2036"/>
      <c r="AG113" s="2033" t="s">
        <v>20</v>
      </c>
      <c r="AH113" s="2034"/>
      <c r="AI113" s="2037" t="s">
        <v>1671</v>
      </c>
      <c r="AJ113" s="2037"/>
      <c r="AK113" s="2032" t="s">
        <v>1847</v>
      </c>
      <c r="AL113" s="2032"/>
      <c r="AM113" s="2032"/>
      <c r="AN113" s="2032"/>
      <c r="AO113" s="2032"/>
    </row>
    <row r="114" spans="1:59" ht="70.5" customHeight="1" x14ac:dyDescent="0.3">
      <c r="A114" s="2011" t="s">
        <v>1646</v>
      </c>
      <c r="B114" s="2011"/>
      <c r="C114" s="2011"/>
      <c r="D114" s="2011"/>
      <c r="E114" s="2011"/>
      <c r="F114" s="2011"/>
      <c r="G114" s="2035" t="s">
        <v>20</v>
      </c>
      <c r="H114" s="2036"/>
      <c r="I114" s="2036"/>
      <c r="J114" s="2036"/>
      <c r="K114" s="2036"/>
      <c r="L114" s="2036"/>
      <c r="M114" s="2033" t="s">
        <v>20</v>
      </c>
      <c r="N114" s="2034"/>
      <c r="O114" s="2011" t="s">
        <v>1661</v>
      </c>
      <c r="P114" s="2011"/>
      <c r="Q114" s="2011"/>
      <c r="R114" s="2011"/>
      <c r="S114" s="2011"/>
      <c r="T114" s="2011"/>
      <c r="U114" s="2034">
        <v>9.2999999999999999E-2</v>
      </c>
      <c r="V114" s="2034"/>
      <c r="W114" s="2035" t="s">
        <v>20</v>
      </c>
      <c r="X114" s="2036"/>
      <c r="Y114" s="2036"/>
      <c r="Z114" s="2036"/>
      <c r="AA114" s="2036"/>
      <c r="AB114" s="2033" t="s">
        <v>20</v>
      </c>
      <c r="AC114" s="2034"/>
      <c r="AD114" s="2035" t="s">
        <v>20</v>
      </c>
      <c r="AE114" s="2036"/>
      <c r="AF114" s="2036"/>
      <c r="AG114" s="2033" t="s">
        <v>20</v>
      </c>
      <c r="AH114" s="2034"/>
      <c r="AI114" s="2037" t="s">
        <v>1671</v>
      </c>
      <c r="AJ114" s="2037"/>
      <c r="AK114" s="2032" t="s">
        <v>2937</v>
      </c>
      <c r="AL114" s="2032"/>
      <c r="AM114" s="2032"/>
      <c r="AN114" s="2032"/>
      <c r="AO114" s="2032"/>
    </row>
    <row r="115" spans="1:59" ht="68.25" customHeight="1" x14ac:dyDescent="0.3">
      <c r="A115" s="2011" t="s">
        <v>1647</v>
      </c>
      <c r="B115" s="2011"/>
      <c r="C115" s="2011"/>
      <c r="D115" s="2011"/>
      <c r="E115" s="2011"/>
      <c r="F115" s="2011"/>
      <c r="G115" s="2035" t="s">
        <v>20</v>
      </c>
      <c r="H115" s="2036"/>
      <c r="I115" s="2036"/>
      <c r="J115" s="2036"/>
      <c r="K115" s="2036"/>
      <c r="L115" s="2036"/>
      <c r="M115" s="2033" t="s">
        <v>20</v>
      </c>
      <c r="N115" s="2034"/>
      <c r="O115" s="2011" t="s">
        <v>1662</v>
      </c>
      <c r="P115" s="2011"/>
      <c r="Q115" s="2011"/>
      <c r="R115" s="2011"/>
      <c r="S115" s="2011"/>
      <c r="T115" s="2011"/>
      <c r="U115" s="2034">
        <v>0.24099999999999999</v>
      </c>
      <c r="V115" s="2034"/>
      <c r="W115" s="2035" t="s">
        <v>20</v>
      </c>
      <c r="X115" s="2036"/>
      <c r="Y115" s="2036"/>
      <c r="Z115" s="2036"/>
      <c r="AA115" s="2036"/>
      <c r="AB115" s="2033" t="s">
        <v>20</v>
      </c>
      <c r="AC115" s="2034"/>
      <c r="AD115" s="2035" t="s">
        <v>20</v>
      </c>
      <c r="AE115" s="2036"/>
      <c r="AF115" s="2036"/>
      <c r="AG115" s="2033" t="s">
        <v>20</v>
      </c>
      <c r="AH115" s="2034"/>
      <c r="AI115" s="2037" t="s">
        <v>1671</v>
      </c>
      <c r="AJ115" s="2037"/>
      <c r="AK115" s="2032" t="s">
        <v>2937</v>
      </c>
      <c r="AL115" s="2032"/>
      <c r="AM115" s="2032"/>
      <c r="AN115" s="2032"/>
      <c r="AO115" s="2032"/>
    </row>
    <row r="116" spans="1:59" ht="67.5" customHeight="1" x14ac:dyDescent="0.3">
      <c r="A116" s="2011" t="s">
        <v>1648</v>
      </c>
      <c r="B116" s="2011"/>
      <c r="C116" s="2011"/>
      <c r="D116" s="2011"/>
      <c r="E116" s="2011"/>
      <c r="F116" s="2011"/>
      <c r="G116" s="2035" t="s">
        <v>20</v>
      </c>
      <c r="H116" s="2036"/>
      <c r="I116" s="2036"/>
      <c r="J116" s="2036"/>
      <c r="K116" s="2036"/>
      <c r="L116" s="2036"/>
      <c r="M116" s="2033" t="s">
        <v>20</v>
      </c>
      <c r="N116" s="2034"/>
      <c r="O116" s="2011" t="s">
        <v>1663</v>
      </c>
      <c r="P116" s="2011"/>
      <c r="Q116" s="2011"/>
      <c r="R116" s="2011"/>
      <c r="S116" s="2011"/>
      <c r="T116" s="2011"/>
      <c r="U116" s="2034">
        <v>0.496</v>
      </c>
      <c r="V116" s="2034"/>
      <c r="W116" s="2035" t="s">
        <v>20</v>
      </c>
      <c r="X116" s="2036"/>
      <c r="Y116" s="2036"/>
      <c r="Z116" s="2036"/>
      <c r="AA116" s="2036"/>
      <c r="AB116" s="2033" t="s">
        <v>20</v>
      </c>
      <c r="AC116" s="2034"/>
      <c r="AD116" s="2035" t="s">
        <v>20</v>
      </c>
      <c r="AE116" s="2036"/>
      <c r="AF116" s="2036"/>
      <c r="AG116" s="2033" t="s">
        <v>20</v>
      </c>
      <c r="AH116" s="2034"/>
      <c r="AI116" s="2037" t="s">
        <v>1671</v>
      </c>
      <c r="AJ116" s="2037"/>
      <c r="AK116" s="2032" t="s">
        <v>2937</v>
      </c>
      <c r="AL116" s="2032"/>
      <c r="AM116" s="2032"/>
      <c r="AN116" s="2032"/>
      <c r="AO116" s="2032"/>
    </row>
    <row r="117" spans="1:59" ht="68.25" customHeight="1" x14ac:dyDescent="0.3">
      <c r="A117" s="2011" t="s">
        <v>1649</v>
      </c>
      <c r="B117" s="2011"/>
      <c r="C117" s="2011"/>
      <c r="D117" s="2011"/>
      <c r="E117" s="2011"/>
      <c r="F117" s="2011"/>
      <c r="G117" s="2035" t="s">
        <v>20</v>
      </c>
      <c r="H117" s="2036"/>
      <c r="I117" s="2036"/>
      <c r="J117" s="2036"/>
      <c r="K117" s="2036"/>
      <c r="L117" s="2036"/>
      <c r="M117" s="2033" t="s">
        <v>20</v>
      </c>
      <c r="N117" s="2034"/>
      <c r="O117" s="2011" t="s">
        <v>1664</v>
      </c>
      <c r="P117" s="2011"/>
      <c r="Q117" s="2011"/>
      <c r="R117" s="2011"/>
      <c r="S117" s="2011"/>
      <c r="T117" s="2011"/>
      <c r="U117" s="2034">
        <v>0.97</v>
      </c>
      <c r="V117" s="2034"/>
      <c r="W117" s="2035" t="s">
        <v>20</v>
      </c>
      <c r="X117" s="2036"/>
      <c r="Y117" s="2036"/>
      <c r="Z117" s="2036"/>
      <c r="AA117" s="2036"/>
      <c r="AB117" s="2033" t="s">
        <v>20</v>
      </c>
      <c r="AC117" s="2034"/>
      <c r="AD117" s="2035" t="s">
        <v>20</v>
      </c>
      <c r="AE117" s="2036"/>
      <c r="AF117" s="2036"/>
      <c r="AG117" s="2033" t="s">
        <v>20</v>
      </c>
      <c r="AH117" s="2034"/>
      <c r="AI117" s="2037" t="s">
        <v>1671</v>
      </c>
      <c r="AJ117" s="2037"/>
      <c r="AK117" s="2032" t="s">
        <v>2937</v>
      </c>
      <c r="AL117" s="2032"/>
      <c r="AM117" s="2032"/>
      <c r="AN117" s="2032"/>
      <c r="AO117" s="2032"/>
    </row>
    <row r="118" spans="1:59" x14ac:dyDescent="0.3">
      <c r="A118" s="113" t="s">
        <v>2927</v>
      </c>
      <c r="AH118" s="151"/>
    </row>
    <row r="119" spans="1:59" x14ac:dyDescent="0.3">
      <c r="A119" s="3"/>
      <c r="N119" s="253">
        <v>1</v>
      </c>
      <c r="O119" s="253">
        <v>2</v>
      </c>
      <c r="P119" s="253">
        <v>3</v>
      </c>
      <c r="Q119" s="253">
        <v>4</v>
      </c>
      <c r="R119" s="253">
        <v>5</v>
      </c>
      <c r="S119" s="253">
        <v>6</v>
      </c>
      <c r="T119" s="253">
        <v>7</v>
      </c>
      <c r="U119" s="253">
        <v>8</v>
      </c>
      <c r="V119" s="253">
        <v>9</v>
      </c>
      <c r="W119" s="253">
        <v>10</v>
      </c>
      <c r="X119" s="253">
        <v>11</v>
      </c>
      <c r="Y119" s="253">
        <v>12</v>
      </c>
      <c r="Z119" s="253">
        <v>13</v>
      </c>
      <c r="AA119" s="253">
        <v>14</v>
      </c>
      <c r="AB119" s="253">
        <v>15</v>
      </c>
      <c r="AC119" s="253">
        <v>16</v>
      </c>
      <c r="AD119" s="253">
        <v>17</v>
      </c>
      <c r="AE119" s="253">
        <v>18</v>
      </c>
      <c r="AF119" s="253">
        <v>19</v>
      </c>
      <c r="AG119" s="253">
        <v>20</v>
      </c>
      <c r="AH119" s="151"/>
    </row>
    <row r="120" spans="1:59" ht="15.6" x14ac:dyDescent="0.3">
      <c r="A120" s="57" t="s">
        <v>1707</v>
      </c>
      <c r="N120" s="1356" t="s">
        <v>2814</v>
      </c>
      <c r="O120" s="1356"/>
      <c r="P120" s="1356"/>
      <c r="Q120" s="1356"/>
      <c r="R120" s="1356"/>
      <c r="S120" s="1356"/>
      <c r="T120" s="1356"/>
      <c r="U120" s="1356"/>
      <c r="V120" s="1356"/>
      <c r="W120" s="1356"/>
      <c r="X120" s="1356"/>
      <c r="Y120" s="1356"/>
      <c r="Z120" s="1356"/>
      <c r="AA120" s="1356"/>
      <c r="AB120" s="1356"/>
      <c r="AC120" s="1356"/>
      <c r="AD120" s="1356"/>
      <c r="AE120" s="1356"/>
      <c r="AF120" s="1356"/>
      <c r="AG120" s="1356"/>
      <c r="AH120" s="151"/>
    </row>
    <row r="121" spans="1:59" ht="27" customHeight="1" x14ac:dyDescent="0.3">
      <c r="A121" s="2014" t="s">
        <v>237</v>
      </c>
      <c r="B121" s="2014"/>
      <c r="C121" s="2014"/>
      <c r="D121" s="2014"/>
      <c r="E121" s="2014"/>
      <c r="F121" s="2014"/>
      <c r="G121" s="2007" t="s">
        <v>1682</v>
      </c>
      <c r="H121" s="2007"/>
      <c r="I121" s="2007"/>
      <c r="J121" s="2007"/>
      <c r="K121" s="1985" t="s">
        <v>1706</v>
      </c>
      <c r="L121" s="1987"/>
      <c r="N121" s="2004"/>
      <c r="O121" s="2004"/>
      <c r="P121" s="2004"/>
      <c r="Q121" s="2004"/>
      <c r="R121" s="2004"/>
      <c r="S121" s="2004"/>
      <c r="T121" s="2004"/>
      <c r="U121" s="2004"/>
      <c r="V121" s="2004"/>
      <c r="W121" s="2004"/>
      <c r="X121" s="2004"/>
      <c r="Y121" s="2004"/>
      <c r="Z121" s="2004"/>
      <c r="AA121" s="2004"/>
      <c r="AB121" s="2004"/>
      <c r="AC121" s="2004"/>
      <c r="AD121" s="2004"/>
      <c r="AE121" s="2004"/>
      <c r="AF121" s="2004"/>
      <c r="AG121" s="2004"/>
      <c r="AH121" s="151"/>
    </row>
    <row r="122" spans="1:59" ht="75" customHeight="1" x14ac:dyDescent="0.3">
      <c r="A122" s="2011"/>
      <c r="B122" s="2011"/>
      <c r="C122" s="2011"/>
      <c r="D122" s="2011"/>
      <c r="E122" s="2011"/>
      <c r="F122" s="2011"/>
      <c r="G122" s="2007" t="s">
        <v>1686</v>
      </c>
      <c r="H122" s="2015"/>
      <c r="I122" s="2007" t="s">
        <v>1687</v>
      </c>
      <c r="J122" s="2007"/>
      <c r="K122" s="1991"/>
      <c r="L122" s="1993"/>
      <c r="N122" s="2007" t="s">
        <v>46</v>
      </c>
      <c r="O122" s="2007"/>
      <c r="P122" s="2007"/>
      <c r="Q122" s="2007"/>
      <c r="R122" s="2007" t="s">
        <v>1692</v>
      </c>
      <c r="S122" s="2007"/>
      <c r="T122" s="2007"/>
      <c r="U122" s="2007"/>
      <c r="V122" s="2007" t="s">
        <v>1693</v>
      </c>
      <c r="W122" s="2007"/>
      <c r="X122" s="2007"/>
      <c r="Y122" s="2007"/>
      <c r="Z122" s="2007" t="s">
        <v>1694</v>
      </c>
      <c r="AA122" s="2007"/>
      <c r="AB122" s="2007"/>
      <c r="AC122" s="2007"/>
      <c r="AD122" s="2007" t="s">
        <v>1719</v>
      </c>
      <c r="AE122" s="2007"/>
      <c r="AF122" s="2007"/>
      <c r="AG122" s="2007"/>
      <c r="AH122" s="242"/>
      <c r="AI122" s="240"/>
    </row>
    <row r="123" spans="1:59" ht="30.9" customHeight="1" x14ac:dyDescent="0.3">
      <c r="A123" s="2011" t="s">
        <v>241</v>
      </c>
      <c r="B123" s="2011"/>
      <c r="C123" s="2011"/>
      <c r="D123" s="2011"/>
      <c r="E123" s="2011"/>
      <c r="F123" s="2011"/>
      <c r="G123" s="2008" t="s">
        <v>20</v>
      </c>
      <c r="H123" s="2009"/>
      <c r="I123" s="2008" t="s">
        <v>20</v>
      </c>
      <c r="J123" s="2009"/>
      <c r="K123" s="2009">
        <v>5.0000000000000001E-3</v>
      </c>
      <c r="L123" s="2009"/>
      <c r="N123" s="2002" t="s">
        <v>1796</v>
      </c>
      <c r="O123" s="2002"/>
      <c r="P123" s="2002"/>
      <c r="Q123" s="2002"/>
      <c r="R123" s="2001">
        <f>'EFLH &amp; CF'!I28</f>
        <v>1</v>
      </c>
      <c r="S123" s="2001"/>
      <c r="T123" s="2001"/>
      <c r="U123" s="2001"/>
      <c r="V123" s="1982">
        <f>'EFLH &amp; CF'!N28</f>
        <v>0.31</v>
      </c>
      <c r="W123" s="1983"/>
      <c r="X123" s="1983"/>
      <c r="Y123" s="1984"/>
      <c r="Z123" s="1982">
        <f>'EFLH &amp; CF'!S28</f>
        <v>0.53</v>
      </c>
      <c r="AA123" s="1983"/>
      <c r="AB123" s="1983"/>
      <c r="AC123" s="1984"/>
      <c r="AD123" s="1982">
        <f>'EFLH &amp; CF'!X28</f>
        <v>0.34</v>
      </c>
      <c r="AE123" s="1983"/>
      <c r="AF123" s="1983"/>
      <c r="AG123" s="1984"/>
      <c r="AH123" s="241"/>
      <c r="AI123" s="239"/>
      <c r="AJ123" s="239"/>
      <c r="AK123" s="239"/>
      <c r="AL123" s="239"/>
      <c r="AR123" s="344"/>
      <c r="AS123" s="344"/>
      <c r="AT123" s="344"/>
      <c r="AU123" s="344"/>
      <c r="AV123" s="344"/>
      <c r="AW123" s="344"/>
      <c r="AX123" s="344"/>
      <c r="AY123" s="344"/>
      <c r="AZ123" s="344"/>
      <c r="BA123" s="344"/>
      <c r="BB123" s="344"/>
      <c r="BC123" s="344"/>
      <c r="BD123" s="344"/>
      <c r="BE123" s="344"/>
      <c r="BF123" s="344"/>
      <c r="BG123" s="344"/>
    </row>
    <row r="124" spans="1:59" ht="14.4" customHeight="1" x14ac:dyDescent="0.3">
      <c r="A124" s="2011" t="s">
        <v>1625</v>
      </c>
      <c r="B124" s="2011"/>
      <c r="C124" s="2011"/>
      <c r="D124" s="2011"/>
      <c r="E124" s="2011"/>
      <c r="F124" s="2011"/>
      <c r="G124" s="2009">
        <v>4.1500000000000002E-2</v>
      </c>
      <c r="H124" s="2009"/>
      <c r="I124" s="2009">
        <v>3.9E-2</v>
      </c>
      <c r="J124" s="2009"/>
      <c r="K124" s="2012" t="s">
        <v>20</v>
      </c>
      <c r="L124" s="2013"/>
      <c r="N124" s="2002" t="s">
        <v>211</v>
      </c>
      <c r="O124" s="2002"/>
      <c r="P124" s="2002"/>
      <c r="Q124" s="2002"/>
      <c r="R124" s="2001">
        <f>'EFLH &amp; CF'!I29</f>
        <v>1</v>
      </c>
      <c r="S124" s="2001"/>
      <c r="T124" s="2001"/>
      <c r="U124" s="2001"/>
      <c r="V124" s="1982">
        <f>'EFLH &amp; CF'!N29</f>
        <v>0.2</v>
      </c>
      <c r="W124" s="1983"/>
      <c r="X124" s="1983"/>
      <c r="Y124" s="1984"/>
      <c r="Z124" s="1982">
        <f>'EFLH &amp; CF'!S29</f>
        <v>0.2</v>
      </c>
      <c r="AA124" s="1983"/>
      <c r="AB124" s="1983"/>
      <c r="AC124" s="1984"/>
      <c r="AD124" s="1982">
        <f>'EFLH &amp; CF'!X29</f>
        <v>0.2</v>
      </c>
      <c r="AE124" s="1983"/>
      <c r="AF124" s="1983"/>
      <c r="AG124" s="1984"/>
      <c r="AH124" s="241"/>
      <c r="AI124" s="239"/>
      <c r="AJ124" s="239"/>
      <c r="AK124" s="239"/>
      <c r="AL124" s="239"/>
      <c r="AR124" s="344"/>
      <c r="AS124" s="344"/>
      <c r="AT124" s="344"/>
      <c r="AU124" s="344"/>
      <c r="AV124" s="344"/>
      <c r="AW124" s="344"/>
      <c r="AX124" s="344"/>
      <c r="AY124" s="344"/>
      <c r="AZ124" s="344"/>
      <c r="BA124" s="344"/>
      <c r="BB124" s="344"/>
      <c r="BC124" s="344"/>
      <c r="BD124" s="344"/>
      <c r="BE124" s="344"/>
      <c r="BF124" s="344"/>
      <c r="BG124" s="344"/>
    </row>
    <row r="125" spans="1:59" ht="14.4" customHeight="1" x14ac:dyDescent="0.3">
      <c r="A125" s="2011" t="s">
        <v>1626</v>
      </c>
      <c r="B125" s="2011"/>
      <c r="C125" s="2011"/>
      <c r="D125" s="2011"/>
      <c r="E125" s="2011"/>
      <c r="F125" s="2011"/>
      <c r="G125" s="2009">
        <v>1.84E-2</v>
      </c>
      <c r="H125" s="2009"/>
      <c r="I125" s="2009">
        <v>1.5900000000000001E-2</v>
      </c>
      <c r="J125" s="2009"/>
      <c r="K125" s="2012" t="s">
        <v>20</v>
      </c>
      <c r="L125" s="2013"/>
      <c r="N125" s="2002" t="s">
        <v>212</v>
      </c>
      <c r="O125" s="2002"/>
      <c r="P125" s="2002"/>
      <c r="Q125" s="2002"/>
      <c r="R125" s="2001">
        <f>'EFLH &amp; CF'!I30</f>
        <v>1</v>
      </c>
      <c r="S125" s="2001"/>
      <c r="T125" s="2001"/>
      <c r="U125" s="2001"/>
      <c r="V125" s="1982">
        <f>'EFLH &amp; CF'!N30</f>
        <v>0.28000000000000003</v>
      </c>
      <c r="W125" s="1983"/>
      <c r="X125" s="1983"/>
      <c r="Y125" s="1984"/>
      <c r="Z125" s="1982">
        <f>'EFLH &amp; CF'!S30</f>
        <v>0.4</v>
      </c>
      <c r="AA125" s="1983"/>
      <c r="AB125" s="1983"/>
      <c r="AC125" s="1984"/>
      <c r="AD125" s="1982">
        <f>'EFLH &amp; CF'!X30</f>
        <v>0.32</v>
      </c>
      <c r="AE125" s="1983"/>
      <c r="AF125" s="1983"/>
      <c r="AG125" s="1984"/>
      <c r="AH125" s="241"/>
      <c r="AI125" s="239"/>
      <c r="AJ125" s="239"/>
      <c r="AK125" s="239"/>
      <c r="AL125" s="239"/>
      <c r="AR125" s="344"/>
      <c r="AS125" s="344"/>
      <c r="AT125" s="344"/>
      <c r="AU125" s="344"/>
      <c r="AV125" s="344"/>
      <c r="AW125" s="344"/>
      <c r="AX125" s="344"/>
      <c r="AY125" s="344"/>
      <c r="AZ125" s="344"/>
      <c r="BA125" s="344"/>
      <c r="BB125" s="344"/>
      <c r="BC125" s="344"/>
      <c r="BD125" s="344"/>
      <c r="BE125" s="344"/>
      <c r="BF125" s="344"/>
      <c r="BG125" s="344"/>
    </row>
    <row r="126" spans="1:59" ht="14.4" customHeight="1" x14ac:dyDescent="0.3">
      <c r="A126" s="2011" t="s">
        <v>1627</v>
      </c>
      <c r="B126" s="2011"/>
      <c r="C126" s="2011"/>
      <c r="D126" s="2011"/>
      <c r="E126" s="2011"/>
      <c r="F126" s="2011"/>
      <c r="G126" s="2009">
        <v>1.6E-2</v>
      </c>
      <c r="H126" s="2009"/>
      <c r="I126" s="2009">
        <v>1.35E-2</v>
      </c>
      <c r="J126" s="2009"/>
      <c r="K126" s="2012" t="s">
        <v>20</v>
      </c>
      <c r="L126" s="2013"/>
      <c r="N126" s="2002" t="s">
        <v>213</v>
      </c>
      <c r="O126" s="2002"/>
      <c r="P126" s="2002"/>
      <c r="Q126" s="2002"/>
      <c r="R126" s="2001">
        <f>'EFLH &amp; CF'!I31</f>
        <v>1</v>
      </c>
      <c r="S126" s="2001"/>
      <c r="T126" s="2001"/>
      <c r="U126" s="2001"/>
      <c r="V126" s="1982">
        <f>'EFLH &amp; CF'!N31</f>
        <v>0.7</v>
      </c>
      <c r="W126" s="1983"/>
      <c r="X126" s="1983"/>
      <c r="Y126" s="1984"/>
      <c r="Z126" s="1982">
        <f>'EFLH &amp; CF'!S31</f>
        <v>0.78</v>
      </c>
      <c r="AA126" s="1983"/>
      <c r="AB126" s="1983"/>
      <c r="AC126" s="1984"/>
      <c r="AD126" s="1982">
        <f>'EFLH &amp; CF'!X31</f>
        <v>0.68</v>
      </c>
      <c r="AE126" s="1983"/>
      <c r="AF126" s="1983"/>
      <c r="AG126" s="1984"/>
      <c r="AH126" s="241"/>
      <c r="AI126" s="239"/>
      <c r="AJ126" s="239"/>
      <c r="AK126" s="239"/>
      <c r="AL126" s="239"/>
      <c r="AR126" s="344"/>
      <c r="AS126" s="344"/>
      <c r="AT126" s="344"/>
      <c r="AU126" s="344"/>
      <c r="AV126" s="344"/>
      <c r="AW126" s="344"/>
      <c r="AX126" s="344"/>
      <c r="AY126" s="344"/>
      <c r="AZ126" s="344"/>
      <c r="BA126" s="344"/>
      <c r="BB126" s="344"/>
      <c r="BC126" s="344"/>
      <c r="BD126" s="344"/>
      <c r="BE126" s="344"/>
      <c r="BF126" s="344"/>
      <c r="BG126" s="344"/>
    </row>
    <row r="127" spans="1:59" ht="14.4" customHeight="1" x14ac:dyDescent="0.3">
      <c r="A127" s="2011" t="s">
        <v>1628</v>
      </c>
      <c r="B127" s="2011"/>
      <c r="C127" s="2011"/>
      <c r="D127" s="2011"/>
      <c r="E127" s="2011"/>
      <c r="F127" s="2011"/>
      <c r="G127" s="2009">
        <v>1.2800000000000001E-2</v>
      </c>
      <c r="H127" s="2009"/>
      <c r="I127" s="2009">
        <v>1.03E-2</v>
      </c>
      <c r="J127" s="2009"/>
      <c r="K127" s="2012" t="s">
        <v>20</v>
      </c>
      <c r="L127" s="2013"/>
      <c r="N127" s="2002" t="s">
        <v>214</v>
      </c>
      <c r="O127" s="2002"/>
      <c r="P127" s="2002"/>
      <c r="Q127" s="2002"/>
      <c r="R127" s="2001">
        <f>'EFLH &amp; CF'!I32</f>
        <v>1</v>
      </c>
      <c r="S127" s="2001"/>
      <c r="T127" s="2001"/>
      <c r="U127" s="2001"/>
      <c r="V127" s="1982">
        <f>'EFLH &amp; CF'!N32</f>
        <v>0.66</v>
      </c>
      <c r="W127" s="1983"/>
      <c r="X127" s="1983"/>
      <c r="Y127" s="1984"/>
      <c r="Z127" s="1982">
        <f>'EFLH &amp; CF'!S32</f>
        <v>0.72</v>
      </c>
      <c r="AA127" s="1983"/>
      <c r="AB127" s="1983"/>
      <c r="AC127" s="1984"/>
      <c r="AD127" s="1982">
        <f>'EFLH &amp; CF'!X32</f>
        <v>0.63</v>
      </c>
      <c r="AE127" s="1983"/>
      <c r="AF127" s="1983"/>
      <c r="AG127" s="1984"/>
      <c r="AH127" s="241"/>
      <c r="AI127" s="239"/>
      <c r="AJ127" s="239"/>
      <c r="AK127" s="239"/>
      <c r="AL127" s="239"/>
      <c r="AR127" s="344"/>
      <c r="AS127" s="344"/>
      <c r="AT127" s="344"/>
      <c r="AU127" s="344"/>
      <c r="AV127" s="344"/>
      <c r="AW127" s="344"/>
      <c r="AX127" s="344"/>
      <c r="AY127" s="344"/>
      <c r="AZ127" s="344"/>
      <c r="BA127" s="344"/>
      <c r="BB127" s="344"/>
      <c r="BC127" s="344"/>
      <c r="BD127" s="344"/>
      <c r="BE127" s="344"/>
      <c r="BF127" s="344"/>
      <c r="BG127" s="344"/>
    </row>
    <row r="128" spans="1:59" ht="14.4" customHeight="1" x14ac:dyDescent="0.3">
      <c r="A128" s="2011" t="s">
        <v>1629</v>
      </c>
      <c r="B128" s="2011"/>
      <c r="C128" s="2011"/>
      <c r="D128" s="2011"/>
      <c r="E128" s="2011"/>
      <c r="F128" s="2011"/>
      <c r="G128" s="2009">
        <v>2.3199999999999998E-2</v>
      </c>
      <c r="H128" s="2009"/>
      <c r="I128" s="2009">
        <v>2.07E-2</v>
      </c>
      <c r="J128" s="2009"/>
      <c r="K128" s="2012" t="s">
        <v>20</v>
      </c>
      <c r="L128" s="2013"/>
      <c r="N128" s="2002" t="s">
        <v>215</v>
      </c>
      <c r="O128" s="2002"/>
      <c r="P128" s="2002"/>
      <c r="Q128" s="2002"/>
      <c r="R128" s="2001">
        <f>'EFLH &amp; CF'!I33</f>
        <v>1</v>
      </c>
      <c r="S128" s="2001"/>
      <c r="T128" s="2001"/>
      <c r="U128" s="2001"/>
      <c r="V128" s="1982">
        <f>'EFLH &amp; CF'!N33</f>
        <v>0.26</v>
      </c>
      <c r="W128" s="1983"/>
      <c r="X128" s="1983"/>
      <c r="Y128" s="1984"/>
      <c r="Z128" s="1982">
        <f>'EFLH &amp; CF'!S33</f>
        <v>0.96</v>
      </c>
      <c r="AA128" s="1983"/>
      <c r="AB128" s="1983"/>
      <c r="AC128" s="1984"/>
      <c r="AD128" s="1982">
        <f>'EFLH &amp; CF'!X33</f>
        <v>0.23</v>
      </c>
      <c r="AE128" s="1983"/>
      <c r="AF128" s="1983"/>
      <c r="AG128" s="1984"/>
      <c r="AH128" s="241"/>
      <c r="AI128" s="239"/>
      <c r="AJ128" s="239"/>
      <c r="AK128" s="239"/>
      <c r="AL128" s="239"/>
      <c r="AR128" s="344"/>
      <c r="AS128" s="344"/>
      <c r="AT128" s="344"/>
      <c r="AU128" s="344"/>
      <c r="AV128" s="344"/>
      <c r="AW128" s="344"/>
      <c r="AX128" s="344"/>
      <c r="AY128" s="344"/>
      <c r="AZ128" s="344"/>
      <c r="BA128" s="344"/>
      <c r="BB128" s="344"/>
      <c r="BC128" s="344"/>
      <c r="BD128" s="344"/>
      <c r="BE128" s="344"/>
      <c r="BF128" s="344"/>
      <c r="BG128" s="344"/>
    </row>
    <row r="129" spans="1:59" ht="27.75" customHeight="1" x14ac:dyDescent="0.3">
      <c r="A129" s="2011" t="s">
        <v>1630</v>
      </c>
      <c r="B129" s="2011"/>
      <c r="C129" s="2011"/>
      <c r="D129" s="2011"/>
      <c r="E129" s="2011"/>
      <c r="F129" s="2011"/>
      <c r="G129" s="2009">
        <v>0.03</v>
      </c>
      <c r="H129" s="2009"/>
      <c r="I129" s="2009">
        <v>2.75E-2</v>
      </c>
      <c r="J129" s="2009"/>
      <c r="K129" s="2012" t="s">
        <v>20</v>
      </c>
      <c r="L129" s="2013"/>
      <c r="N129" s="2002" t="s">
        <v>216</v>
      </c>
      <c r="O129" s="2002"/>
      <c r="P129" s="2002"/>
      <c r="Q129" s="2002"/>
      <c r="R129" s="2001">
        <f>'EFLH &amp; CF'!I34</f>
        <v>1</v>
      </c>
      <c r="S129" s="2001"/>
      <c r="T129" s="2001"/>
      <c r="U129" s="2001"/>
      <c r="V129" s="1982">
        <f>'EFLH &amp; CF'!N34</f>
        <v>0.53</v>
      </c>
      <c r="W129" s="1983"/>
      <c r="X129" s="1983"/>
      <c r="Y129" s="1984"/>
      <c r="Z129" s="1982">
        <f>'EFLH &amp; CF'!S34</f>
        <v>0.57999999999999996</v>
      </c>
      <c r="AA129" s="1983"/>
      <c r="AB129" s="1983"/>
      <c r="AC129" s="1984"/>
      <c r="AD129" s="1982">
        <f>'EFLH &amp; CF'!X34</f>
        <v>0.59</v>
      </c>
      <c r="AE129" s="1983"/>
      <c r="AF129" s="1983"/>
      <c r="AG129" s="1984"/>
      <c r="AH129" s="241"/>
      <c r="AI129" s="239"/>
      <c r="AJ129" s="239"/>
      <c r="AK129" s="239"/>
      <c r="AL129" s="239"/>
      <c r="AR129" s="344"/>
      <c r="AS129" s="344"/>
      <c r="AT129" s="344"/>
      <c r="AU129" s="344"/>
      <c r="AV129" s="344"/>
      <c r="AW129" s="344"/>
      <c r="AX129" s="344"/>
      <c r="AY129" s="344"/>
      <c r="AZ129" s="344"/>
      <c r="BA129" s="344"/>
      <c r="BB129" s="344"/>
      <c r="BC129" s="344"/>
      <c r="BD129" s="344"/>
      <c r="BE129" s="344"/>
      <c r="BF129" s="344"/>
      <c r="BG129" s="344"/>
    </row>
    <row r="130" spans="1:59" ht="30.9" customHeight="1" x14ac:dyDescent="0.3">
      <c r="A130" s="2011" t="s">
        <v>1798</v>
      </c>
      <c r="B130" s="2011"/>
      <c r="C130" s="2011"/>
      <c r="D130" s="2011"/>
      <c r="E130" s="2011"/>
      <c r="F130" s="2011"/>
      <c r="G130" s="2008" t="s">
        <v>20</v>
      </c>
      <c r="H130" s="2009"/>
      <c r="I130" s="2008" t="s">
        <v>20</v>
      </c>
      <c r="J130" s="2009"/>
      <c r="K130" s="2009">
        <f>'C_Light_Dimmable(Nonlinear LED)'!V86</f>
        <v>9.6399599999999995E-3</v>
      </c>
      <c r="L130" s="2009"/>
      <c r="N130" s="2002" t="s">
        <v>47</v>
      </c>
      <c r="O130" s="2002"/>
      <c r="P130" s="2002"/>
      <c r="Q130" s="2002"/>
      <c r="R130" s="2001">
        <f>'EFLH &amp; CF'!I35</f>
        <v>1</v>
      </c>
      <c r="S130" s="2001"/>
      <c r="T130" s="2001"/>
      <c r="U130" s="2001"/>
      <c r="V130" s="1982">
        <f>'EFLH &amp; CF'!N35</f>
        <v>0.22</v>
      </c>
      <c r="W130" s="1983"/>
      <c r="X130" s="1983"/>
      <c r="Y130" s="1984"/>
      <c r="Z130" s="1982">
        <f>'EFLH &amp; CF'!S35</f>
        <v>0.31</v>
      </c>
      <c r="AA130" s="1983"/>
      <c r="AB130" s="1983"/>
      <c r="AC130" s="1984"/>
      <c r="AD130" s="1982">
        <f>'EFLH &amp; CF'!X35</f>
        <v>0.25</v>
      </c>
      <c r="AE130" s="1983"/>
      <c r="AF130" s="1983"/>
      <c r="AG130" s="1984"/>
      <c r="AH130" s="241"/>
      <c r="AI130" s="239"/>
      <c r="AJ130" s="239"/>
      <c r="AK130" s="239"/>
      <c r="AL130" s="239"/>
      <c r="AR130" s="344"/>
      <c r="AS130" s="344"/>
      <c r="AT130" s="344"/>
      <c r="AU130" s="344"/>
      <c r="AV130" s="344"/>
      <c r="AW130" s="344"/>
      <c r="AX130" s="344"/>
      <c r="AY130" s="344"/>
      <c r="AZ130" s="344"/>
      <c r="BA130" s="344"/>
      <c r="BB130" s="344"/>
      <c r="BC130" s="344"/>
      <c r="BD130" s="344"/>
      <c r="BE130" s="344"/>
      <c r="BF130" s="344"/>
      <c r="BG130" s="344"/>
    </row>
    <row r="131" spans="1:59" ht="30.6" customHeight="1" x14ac:dyDescent="0.3">
      <c r="A131" s="2011" t="s">
        <v>1799</v>
      </c>
      <c r="B131" s="2011"/>
      <c r="C131" s="2011"/>
      <c r="D131" s="2011"/>
      <c r="E131" s="2011"/>
      <c r="F131" s="2011"/>
      <c r="G131" s="2008" t="s">
        <v>20</v>
      </c>
      <c r="H131" s="2009"/>
      <c r="I131" s="2008" t="s">
        <v>20</v>
      </c>
      <c r="J131" s="2009"/>
      <c r="K131" s="2009">
        <f>'C_Light_Dimmable(Nonlinear LED)'!V87</f>
        <v>8.6327999999999995E-3</v>
      </c>
      <c r="L131" s="2009"/>
      <c r="N131" s="2002" t="s">
        <v>217</v>
      </c>
      <c r="O131" s="2002"/>
      <c r="P131" s="2002"/>
      <c r="Q131" s="2002"/>
      <c r="R131" s="2001">
        <f>'EFLH &amp; CF'!I36</f>
        <v>1</v>
      </c>
      <c r="S131" s="2001"/>
      <c r="T131" s="2001"/>
      <c r="U131" s="2001"/>
      <c r="V131" s="1982">
        <f>'EFLH &amp; CF'!N36</f>
        <v>0.52</v>
      </c>
      <c r="W131" s="1983"/>
      <c r="X131" s="1983"/>
      <c r="Y131" s="1984"/>
      <c r="Z131" s="1982">
        <f>'EFLH &amp; CF'!S36</f>
        <v>0.5</v>
      </c>
      <c r="AA131" s="1983"/>
      <c r="AB131" s="1983"/>
      <c r="AC131" s="1984"/>
      <c r="AD131" s="1982">
        <f>'EFLH &amp; CF'!X36</f>
        <v>0.49</v>
      </c>
      <c r="AE131" s="1983"/>
      <c r="AF131" s="1983"/>
      <c r="AG131" s="1984"/>
      <c r="AH131" s="241"/>
      <c r="AI131" s="239"/>
      <c r="AJ131" s="239"/>
      <c r="AK131" s="239"/>
      <c r="AL131" s="239"/>
      <c r="AR131" s="344"/>
      <c r="AS131" s="344"/>
      <c r="AT131" s="344"/>
      <c r="AU131" s="344"/>
      <c r="AV131" s="344"/>
      <c r="AW131" s="344"/>
      <c r="AX131" s="344"/>
      <c r="AY131" s="344"/>
      <c r="AZ131" s="344"/>
      <c r="BA131" s="344"/>
      <c r="BB131" s="344"/>
      <c r="BC131" s="344"/>
      <c r="BD131" s="344"/>
      <c r="BE131" s="344"/>
      <c r="BF131" s="344"/>
      <c r="BG131" s="344"/>
    </row>
    <row r="132" spans="1:59" ht="14.4" customHeight="1" x14ac:dyDescent="0.3">
      <c r="A132" s="2011" t="s">
        <v>1697</v>
      </c>
      <c r="B132" s="2011"/>
      <c r="C132" s="2011"/>
      <c r="D132" s="2011"/>
      <c r="E132" s="2011"/>
      <c r="F132" s="2011"/>
      <c r="G132" s="2008" t="s">
        <v>20</v>
      </c>
      <c r="H132" s="2009"/>
      <c r="I132" s="2008" t="s">
        <v>20</v>
      </c>
      <c r="J132" s="2009"/>
      <c r="K132" s="2009">
        <f>'C_Light_Dimmable(Nonlinear LED)'!V88</f>
        <v>5.0413999999999997E-3</v>
      </c>
      <c r="L132" s="2009"/>
      <c r="N132" s="2002" t="s">
        <v>218</v>
      </c>
      <c r="O132" s="2002"/>
      <c r="P132" s="2002"/>
      <c r="Q132" s="2002"/>
      <c r="R132" s="2001">
        <f>'EFLH &amp; CF'!I37</f>
        <v>1</v>
      </c>
      <c r="S132" s="2001"/>
      <c r="T132" s="2001"/>
      <c r="U132" s="2001"/>
      <c r="V132" s="1982">
        <f>'EFLH &amp; CF'!N37</f>
        <v>0.32</v>
      </c>
      <c r="W132" s="1983"/>
      <c r="X132" s="1983"/>
      <c r="Y132" s="1984"/>
      <c r="Z132" s="1982">
        <f>'EFLH &amp; CF'!S37</f>
        <v>0.54</v>
      </c>
      <c r="AA132" s="1983"/>
      <c r="AB132" s="1983"/>
      <c r="AC132" s="1984"/>
      <c r="AD132" s="1982">
        <f>'EFLH &amp; CF'!X37</f>
        <v>0.5</v>
      </c>
      <c r="AE132" s="1983"/>
      <c r="AF132" s="1983"/>
      <c r="AG132" s="1984"/>
      <c r="AH132" s="241"/>
      <c r="AI132" s="239"/>
      <c r="AJ132" s="239"/>
      <c r="AK132" s="239"/>
      <c r="AL132" s="239"/>
      <c r="AR132" s="344"/>
      <c r="AS132" s="344"/>
      <c r="AT132" s="344"/>
      <c r="AU132" s="344"/>
      <c r="AV132" s="344"/>
      <c r="AW132" s="344"/>
      <c r="AX132" s="344"/>
      <c r="AY132" s="344"/>
      <c r="AZ132" s="344"/>
      <c r="BA132" s="344"/>
      <c r="BB132" s="344"/>
      <c r="BC132" s="344"/>
      <c r="BD132" s="344"/>
      <c r="BE132" s="344"/>
      <c r="BF132" s="344"/>
      <c r="BG132" s="344"/>
    </row>
    <row r="133" spans="1:59" x14ac:dyDescent="0.3">
      <c r="A133" s="2011" t="s">
        <v>1698</v>
      </c>
      <c r="B133" s="2011"/>
      <c r="C133" s="2011"/>
      <c r="D133" s="2011"/>
      <c r="E133" s="2011"/>
      <c r="F133" s="2011"/>
      <c r="G133" s="2008" t="s">
        <v>20</v>
      </c>
      <c r="H133" s="2009"/>
      <c r="I133" s="2008" t="s">
        <v>20</v>
      </c>
      <c r="J133" s="2009"/>
      <c r="K133" s="2009">
        <f>'C_Light_Dimmable(Nonlinear LED)'!V89</f>
        <v>6.8096000000000007E-3</v>
      </c>
      <c r="L133" s="2009"/>
      <c r="N133" s="2002" t="s">
        <v>219</v>
      </c>
      <c r="O133" s="2002"/>
      <c r="P133" s="2002"/>
      <c r="Q133" s="2002"/>
      <c r="R133" s="2001">
        <f>'EFLH &amp; CF'!I38</f>
        <v>1</v>
      </c>
      <c r="S133" s="2001"/>
      <c r="T133" s="2001"/>
      <c r="U133" s="2001"/>
      <c r="V133" s="1982">
        <f>'EFLH &amp; CF'!N38</f>
        <v>7.0000000000000007E-2</v>
      </c>
      <c r="W133" s="1983"/>
      <c r="X133" s="1983"/>
      <c r="Y133" s="1984"/>
      <c r="Z133" s="1982">
        <f>'EFLH &amp; CF'!S38</f>
        <v>0.1</v>
      </c>
      <c r="AA133" s="1983"/>
      <c r="AB133" s="1983"/>
      <c r="AC133" s="1984"/>
      <c r="AD133" s="1982">
        <f>'EFLH &amp; CF'!X38</f>
        <v>0.08</v>
      </c>
      <c r="AE133" s="1983"/>
      <c r="AF133" s="1983"/>
      <c r="AG133" s="1984"/>
      <c r="AH133" s="241"/>
      <c r="AI133" s="239"/>
      <c r="AJ133" s="239"/>
      <c r="AK133" s="239"/>
      <c r="AL133" s="239"/>
      <c r="AR133" s="344"/>
      <c r="AS133" s="344"/>
      <c r="AT133" s="344"/>
      <c r="AU133" s="344"/>
      <c r="AV133" s="344"/>
      <c r="AW133" s="344"/>
      <c r="AX133" s="344"/>
      <c r="AY133" s="344"/>
      <c r="AZ133" s="344"/>
      <c r="BA133" s="344"/>
      <c r="BB133" s="344"/>
      <c r="BC133" s="344"/>
      <c r="BD133" s="344"/>
      <c r="BE133" s="344"/>
      <c r="BF133" s="344"/>
      <c r="BG133" s="344"/>
    </row>
    <row r="134" spans="1:59" x14ac:dyDescent="0.3">
      <c r="A134" s="2011" t="s">
        <v>1699</v>
      </c>
      <c r="B134" s="2011"/>
      <c r="C134" s="2011"/>
      <c r="D134" s="2011"/>
      <c r="E134" s="2011"/>
      <c r="F134" s="2011"/>
      <c r="G134" s="2008" t="s">
        <v>20</v>
      </c>
      <c r="H134" s="2009"/>
      <c r="I134" s="2008" t="s">
        <v>20</v>
      </c>
      <c r="J134" s="2009"/>
      <c r="K134" s="2009">
        <f>'C_Light_Dimmable(Nonlinear LED)'!V90</f>
        <v>1.18066E-2</v>
      </c>
      <c r="L134" s="2009"/>
      <c r="N134" s="2003" t="s">
        <v>830</v>
      </c>
      <c r="O134" s="2003"/>
      <c r="P134" s="2003"/>
      <c r="Q134" s="2003"/>
      <c r="R134" s="2003"/>
      <c r="S134" s="2003"/>
      <c r="T134" s="2003"/>
      <c r="U134" s="2003"/>
      <c r="V134" s="2003"/>
      <c r="W134" s="2003"/>
      <c r="X134" s="2003"/>
      <c r="Y134" s="2003"/>
      <c r="Z134" s="2003"/>
      <c r="AA134" s="2003"/>
      <c r="AB134" s="2003"/>
      <c r="AC134" s="2003"/>
      <c r="AD134" s="2003"/>
      <c r="AE134" s="2003"/>
      <c r="AF134" s="2003"/>
      <c r="AG134" s="2003"/>
      <c r="AH134" s="241"/>
      <c r="AI134" s="239"/>
      <c r="AJ134" s="239"/>
      <c r="AK134" s="239"/>
      <c r="AL134" s="239"/>
    </row>
    <row r="135" spans="1:59" x14ac:dyDescent="0.3">
      <c r="A135" s="2011" t="s">
        <v>1700</v>
      </c>
      <c r="B135" s="2011"/>
      <c r="C135" s="2011"/>
      <c r="D135" s="2011"/>
      <c r="E135" s="2011"/>
      <c r="F135" s="2011"/>
      <c r="G135" s="2008" t="s">
        <v>20</v>
      </c>
      <c r="H135" s="2009"/>
      <c r="I135" s="2008" t="s">
        <v>20</v>
      </c>
      <c r="J135" s="2009"/>
      <c r="K135" s="2009">
        <f>'C_Light_Dimmable(Nonlinear LED)'!V91</f>
        <v>1.3011E-2</v>
      </c>
      <c r="L135" s="2009"/>
      <c r="N135" s="2005" t="s">
        <v>1695</v>
      </c>
      <c r="O135" s="2005"/>
      <c r="P135" s="2005"/>
      <c r="Q135" s="2005"/>
      <c r="R135" s="2005"/>
      <c r="S135" s="2005"/>
      <c r="T135" s="2005"/>
      <c r="U135" s="2005"/>
      <c r="V135" s="2005"/>
      <c r="W135" s="2005"/>
      <c r="X135" s="2005"/>
      <c r="Y135" s="2005"/>
      <c r="Z135" s="2005"/>
      <c r="AA135" s="2005"/>
      <c r="AB135" s="2005"/>
      <c r="AC135" s="2005"/>
      <c r="AD135" s="2005"/>
      <c r="AE135" s="2005"/>
      <c r="AF135" s="2005"/>
      <c r="AG135" s="2005"/>
      <c r="AH135" s="241"/>
      <c r="AI135" s="239"/>
      <c r="AJ135" s="239"/>
      <c r="AK135" s="239"/>
      <c r="AL135" s="239"/>
    </row>
    <row r="136" spans="1:59" ht="90" customHeight="1" x14ac:dyDescent="0.3">
      <c r="A136" s="2011" t="s">
        <v>1683</v>
      </c>
      <c r="B136" s="2011"/>
      <c r="C136" s="2011"/>
      <c r="D136" s="2011"/>
      <c r="E136" s="2011"/>
      <c r="F136" s="2011"/>
      <c r="G136" s="2008" t="s">
        <v>20</v>
      </c>
      <c r="H136" s="2009"/>
      <c r="I136" s="2008" t="s">
        <v>20</v>
      </c>
      <c r="J136" s="2009"/>
      <c r="K136" s="2009">
        <v>4.0000000000000001E-3</v>
      </c>
      <c r="L136" s="2009"/>
      <c r="O136" s="2006" t="s">
        <v>2800</v>
      </c>
      <c r="P136" s="2006"/>
      <c r="Q136" s="2006"/>
      <c r="R136" s="2006"/>
      <c r="S136" s="2006"/>
      <c r="T136" s="2006"/>
      <c r="U136" s="2006"/>
      <c r="V136" s="2006"/>
      <c r="W136" s="2006"/>
      <c r="X136" s="2006"/>
      <c r="Y136" s="2006"/>
      <c r="Z136" s="2006"/>
      <c r="AA136" s="2006"/>
      <c r="AB136" s="2006"/>
      <c r="AC136" s="2006"/>
      <c r="AD136" s="2006"/>
      <c r="AE136" s="2006"/>
      <c r="AF136" s="2006"/>
      <c r="AG136" s="2006"/>
      <c r="AH136" s="241"/>
      <c r="AI136" s="239"/>
      <c r="AJ136" s="239"/>
      <c r="AK136" s="239"/>
      <c r="AL136" s="239"/>
    </row>
    <row r="137" spans="1:59" ht="44.25" customHeight="1" x14ac:dyDescent="0.3">
      <c r="A137" s="2011" t="s">
        <v>2915</v>
      </c>
      <c r="B137" s="2011"/>
      <c r="C137" s="2011"/>
      <c r="D137" s="2011"/>
      <c r="E137" s="2011"/>
      <c r="F137" s="2011"/>
      <c r="G137" s="2008" t="s">
        <v>20</v>
      </c>
      <c r="H137" s="2009"/>
      <c r="I137" s="2008" t="s">
        <v>20</v>
      </c>
      <c r="J137" s="2009"/>
      <c r="K137" s="2009">
        <v>4.0000000000000001E-3</v>
      </c>
      <c r="L137" s="2009"/>
      <c r="O137" s="2006" t="s">
        <v>2798</v>
      </c>
      <c r="P137" s="2006"/>
      <c r="Q137" s="2006"/>
      <c r="R137" s="2006"/>
      <c r="S137" s="2006"/>
      <c r="T137" s="2006"/>
      <c r="U137" s="2006"/>
      <c r="V137" s="2006"/>
      <c r="W137" s="2006"/>
      <c r="X137" s="2006"/>
      <c r="Y137" s="2006"/>
      <c r="Z137" s="2006"/>
      <c r="AA137" s="2006"/>
      <c r="AB137" s="2006"/>
      <c r="AC137" s="2006"/>
      <c r="AD137" s="2006"/>
      <c r="AE137" s="2006"/>
      <c r="AF137" s="2006"/>
      <c r="AG137" s="2006"/>
      <c r="AH137" s="241"/>
      <c r="AI137" s="239"/>
      <c r="AJ137" s="239"/>
      <c r="AK137" s="239"/>
      <c r="AL137" s="239"/>
    </row>
    <row r="138" spans="1:59" ht="41.1" customHeight="1" x14ac:dyDescent="0.3">
      <c r="A138" s="2011" t="s">
        <v>1684</v>
      </c>
      <c r="B138" s="2011"/>
      <c r="C138" s="2011"/>
      <c r="D138" s="2011"/>
      <c r="E138" s="2011"/>
      <c r="F138" s="2011"/>
      <c r="G138" s="2008" t="s">
        <v>20</v>
      </c>
      <c r="H138" s="2009"/>
      <c r="I138" s="2008" t="s">
        <v>20</v>
      </c>
      <c r="J138" s="2009"/>
      <c r="K138" s="2009">
        <v>5.0000000000000001E-3</v>
      </c>
      <c r="L138" s="2009"/>
      <c r="O138" s="2006" t="s">
        <v>1696</v>
      </c>
      <c r="P138" s="2006"/>
      <c r="Q138" s="2006"/>
      <c r="R138" s="2006"/>
      <c r="S138" s="2006"/>
      <c r="T138" s="2006"/>
      <c r="U138" s="2006"/>
      <c r="V138" s="2006"/>
      <c r="W138" s="2006"/>
      <c r="X138" s="2006"/>
      <c r="Y138" s="2006"/>
      <c r="Z138" s="2006"/>
      <c r="AA138" s="2006"/>
      <c r="AB138" s="2006"/>
      <c r="AC138" s="2006"/>
      <c r="AD138" s="2006"/>
      <c r="AE138" s="2006"/>
      <c r="AF138" s="2006"/>
      <c r="AG138" s="2006"/>
      <c r="AH138" s="241"/>
      <c r="AI138" s="239"/>
      <c r="AJ138" s="239"/>
      <c r="AK138" s="239"/>
      <c r="AL138" s="239"/>
    </row>
    <row r="139" spans="1:59" ht="66.75" customHeight="1" x14ac:dyDescent="0.3">
      <c r="A139" s="2011" t="s">
        <v>1685</v>
      </c>
      <c r="B139" s="2011"/>
      <c r="C139" s="2011"/>
      <c r="D139" s="2011"/>
      <c r="E139" s="2011"/>
      <c r="F139" s="2011"/>
      <c r="G139" s="2008" t="s">
        <v>20</v>
      </c>
      <c r="H139" s="2009"/>
      <c r="I139" s="2008" t="s">
        <v>20</v>
      </c>
      <c r="J139" s="2009"/>
      <c r="K139" s="2009">
        <v>6.0000000000000001E-3</v>
      </c>
      <c r="L139" s="2009"/>
      <c r="N139" s="2005" t="s">
        <v>2852</v>
      </c>
      <c r="O139" s="2005"/>
      <c r="P139" s="2005"/>
      <c r="Q139" s="2005"/>
      <c r="R139" s="2005"/>
      <c r="S139" s="2005"/>
      <c r="T139" s="2005"/>
      <c r="U139" s="2005"/>
      <c r="V139" s="2005"/>
      <c r="W139" s="2005"/>
      <c r="X139" s="2005"/>
      <c r="Y139" s="2005"/>
      <c r="Z139" s="2005"/>
      <c r="AA139" s="2005"/>
      <c r="AB139" s="2005"/>
      <c r="AC139" s="2005"/>
      <c r="AD139" s="2005"/>
      <c r="AE139" s="2005"/>
      <c r="AF139" s="2005"/>
      <c r="AG139" s="2005"/>
      <c r="AH139" s="241"/>
      <c r="AI139" s="239"/>
      <c r="AJ139" s="239"/>
      <c r="AK139" s="239"/>
      <c r="AL139" s="239"/>
    </row>
    <row r="140" spans="1:59" ht="24.75" customHeight="1" x14ac:dyDescent="0.3">
      <c r="A140" s="2011" t="s">
        <v>1804</v>
      </c>
      <c r="B140" s="2011"/>
      <c r="C140" s="2011"/>
      <c r="D140" s="2011"/>
      <c r="E140" s="2011"/>
      <c r="F140" s="2011"/>
      <c r="G140" s="2008" t="s">
        <v>20</v>
      </c>
      <c r="H140" s="2009"/>
      <c r="I140" s="2008" t="s">
        <v>20</v>
      </c>
      <c r="J140" s="2009"/>
      <c r="K140" s="2009">
        <v>3.5000000000000003E-2</v>
      </c>
      <c r="L140" s="2009"/>
      <c r="N140" s="253">
        <v>1</v>
      </c>
      <c r="O140" s="253">
        <v>2</v>
      </c>
      <c r="P140" s="253">
        <v>3</v>
      </c>
      <c r="Q140" s="253">
        <v>4</v>
      </c>
      <c r="R140" s="253">
        <v>5</v>
      </c>
      <c r="S140" s="253">
        <v>6</v>
      </c>
      <c r="T140" s="253">
        <v>7</v>
      </c>
      <c r="U140" s="253">
        <v>8</v>
      </c>
      <c r="V140" s="253">
        <v>9</v>
      </c>
      <c r="W140" s="253">
        <v>10</v>
      </c>
      <c r="X140" s="253">
        <v>11</v>
      </c>
      <c r="Y140" s="253">
        <v>12</v>
      </c>
      <c r="Z140" s="253">
        <v>13</v>
      </c>
      <c r="AA140" s="253">
        <v>14</v>
      </c>
      <c r="AB140" s="253">
        <v>15</v>
      </c>
      <c r="AC140" s="253">
        <v>16</v>
      </c>
      <c r="AD140" s="253">
        <v>17</v>
      </c>
      <c r="AE140" s="253">
        <v>18</v>
      </c>
      <c r="AF140" s="253">
        <v>19</v>
      </c>
      <c r="AG140" s="253">
        <v>20</v>
      </c>
      <c r="AH140" s="241"/>
      <c r="AI140" s="239"/>
      <c r="AJ140" s="239"/>
      <c r="AK140" s="239"/>
      <c r="AL140" s="239"/>
    </row>
    <row r="141" spans="1:59" ht="24.75" customHeight="1" x14ac:dyDescent="0.3">
      <c r="A141" s="2011" t="s">
        <v>1805</v>
      </c>
      <c r="B141" s="2011"/>
      <c r="C141" s="2011"/>
      <c r="D141" s="2011"/>
      <c r="E141" s="2011"/>
      <c r="F141" s="2011"/>
      <c r="G141" s="2008" t="s">
        <v>20</v>
      </c>
      <c r="H141" s="2009"/>
      <c r="I141" s="2008" t="s">
        <v>20</v>
      </c>
      <c r="J141" s="2009"/>
      <c r="K141" s="2009">
        <v>0.03</v>
      </c>
      <c r="L141" s="2009"/>
      <c r="N141" s="1356" t="s">
        <v>2815</v>
      </c>
      <c r="O141" s="1356"/>
      <c r="P141" s="1356"/>
      <c r="Q141" s="1356"/>
      <c r="R141" s="1356"/>
      <c r="S141" s="1356"/>
      <c r="T141" s="1356"/>
      <c r="U141" s="1356"/>
      <c r="V141" s="1356"/>
      <c r="W141" s="1356"/>
      <c r="X141" s="1356"/>
      <c r="Y141" s="1356"/>
      <c r="Z141" s="1356"/>
      <c r="AA141" s="1356"/>
      <c r="AB141" s="1356"/>
      <c r="AC141" s="1356"/>
      <c r="AD141" s="1356"/>
      <c r="AE141" s="1356"/>
      <c r="AF141" s="1356"/>
      <c r="AG141" s="1356"/>
      <c r="AH141" s="241"/>
      <c r="AI141" s="239"/>
      <c r="AJ141" s="239"/>
      <c r="AK141" s="239"/>
      <c r="AL141" s="239"/>
    </row>
    <row r="142" spans="1:59" ht="25.5" customHeight="1" x14ac:dyDescent="0.3">
      <c r="A142" s="2011" t="s">
        <v>1806</v>
      </c>
      <c r="B142" s="2011"/>
      <c r="C142" s="2011"/>
      <c r="D142" s="2011"/>
      <c r="E142" s="2011"/>
      <c r="F142" s="2011"/>
      <c r="G142" s="2008" t="s">
        <v>20</v>
      </c>
      <c r="H142" s="2009"/>
      <c r="I142" s="2008" t="s">
        <v>20</v>
      </c>
      <c r="J142" s="2009"/>
      <c r="K142" s="2009">
        <v>0.04</v>
      </c>
      <c r="L142" s="2009"/>
      <c r="N142" s="2004"/>
      <c r="O142" s="2004"/>
      <c r="P142" s="2004"/>
      <c r="Q142" s="2004"/>
      <c r="R142" s="2004"/>
      <c r="S142" s="2004"/>
      <c r="T142" s="2004"/>
      <c r="U142" s="2004"/>
      <c r="V142" s="2004"/>
      <c r="W142" s="2004"/>
      <c r="X142" s="2004"/>
      <c r="Y142" s="2004"/>
      <c r="Z142" s="2004"/>
      <c r="AA142" s="2004"/>
      <c r="AB142" s="2004"/>
      <c r="AC142" s="2004"/>
      <c r="AD142" s="2004"/>
      <c r="AE142" s="2004"/>
      <c r="AF142" s="2004"/>
      <c r="AG142" s="2004"/>
      <c r="AH142" s="241"/>
      <c r="AI142" s="239"/>
      <c r="AJ142" s="239"/>
      <c r="AK142" s="239"/>
      <c r="AL142" s="239"/>
    </row>
    <row r="143" spans="1:59" ht="38.25" customHeight="1" x14ac:dyDescent="0.3">
      <c r="A143" s="2011" t="s">
        <v>1644</v>
      </c>
      <c r="B143" s="2011"/>
      <c r="C143" s="2011"/>
      <c r="D143" s="2011"/>
      <c r="E143" s="2011"/>
      <c r="F143" s="2011"/>
      <c r="G143" s="2009">
        <v>2.5600000000000001E-2</v>
      </c>
      <c r="H143" s="2009"/>
      <c r="I143" s="2009">
        <v>2.06E-2</v>
      </c>
      <c r="J143" s="2009"/>
      <c r="K143" s="2012" t="s">
        <v>20</v>
      </c>
      <c r="L143" s="2013"/>
      <c r="N143" s="1985" t="s">
        <v>46</v>
      </c>
      <c r="O143" s="1986"/>
      <c r="P143" s="1986"/>
      <c r="Q143" s="1987"/>
      <c r="R143" s="1985" t="s">
        <v>1693</v>
      </c>
      <c r="S143" s="1986"/>
      <c r="T143" s="1986"/>
      <c r="U143" s="1986"/>
      <c r="V143" s="1986"/>
      <c r="W143" s="1986"/>
      <c r="X143" s="1986"/>
      <c r="Y143" s="1987"/>
      <c r="Z143" s="1985" t="s">
        <v>1718</v>
      </c>
      <c r="AA143" s="1986"/>
      <c r="AB143" s="1986"/>
      <c r="AC143" s="1986"/>
      <c r="AD143" s="1986"/>
      <c r="AE143" s="1986"/>
      <c r="AF143" s="1986"/>
      <c r="AG143" s="1987"/>
      <c r="AH143" s="241"/>
      <c r="AI143" s="239"/>
      <c r="AJ143" s="239"/>
      <c r="AK143" s="239"/>
      <c r="AL143" s="239"/>
    </row>
    <row r="144" spans="1:59" ht="38.25" customHeight="1" x14ac:dyDescent="0.3">
      <c r="A144" s="2132" t="s">
        <v>6615</v>
      </c>
      <c r="B144" s="2132"/>
      <c r="C144" s="2132"/>
      <c r="D144" s="2132"/>
      <c r="E144" s="2132"/>
      <c r="F144" s="2132"/>
      <c r="G144" s="2133">
        <v>1.7500000000000002E-2</v>
      </c>
      <c r="H144" s="2133"/>
      <c r="I144" s="2133">
        <v>1.4999999999999999E-2</v>
      </c>
      <c r="J144" s="2133"/>
      <c r="K144" s="2134" t="s">
        <v>20</v>
      </c>
      <c r="L144" s="1864"/>
      <c r="N144" s="1988"/>
      <c r="O144" s="1989"/>
      <c r="P144" s="1989"/>
      <c r="Q144" s="1990"/>
      <c r="R144" s="1991"/>
      <c r="S144" s="1992"/>
      <c r="T144" s="1992"/>
      <c r="U144" s="1992"/>
      <c r="V144" s="1992"/>
      <c r="W144" s="1992"/>
      <c r="X144" s="1992"/>
      <c r="Y144" s="1993"/>
      <c r="Z144" s="1991"/>
      <c r="AA144" s="1992"/>
      <c r="AB144" s="1992"/>
      <c r="AC144" s="1992"/>
      <c r="AD144" s="1992"/>
      <c r="AE144" s="1992"/>
      <c r="AF144" s="1992"/>
      <c r="AG144" s="1993"/>
      <c r="AH144" s="241"/>
      <c r="AI144" s="239"/>
      <c r="AJ144" s="239"/>
      <c r="AK144" s="239"/>
      <c r="AL144" s="239"/>
    </row>
    <row r="145" spans="1:55" ht="40.5" customHeight="1" x14ac:dyDescent="0.3">
      <c r="A145" s="2011" t="s">
        <v>1807</v>
      </c>
      <c r="B145" s="2011"/>
      <c r="C145" s="2011"/>
      <c r="D145" s="2011"/>
      <c r="E145" s="2011"/>
      <c r="F145" s="2011"/>
      <c r="G145" s="2009">
        <v>3.5000000000000003E-2</v>
      </c>
      <c r="H145" s="2009"/>
      <c r="I145" s="2009">
        <v>0.03</v>
      </c>
      <c r="J145" s="2009"/>
      <c r="K145" s="2012" t="s">
        <v>20</v>
      </c>
      <c r="L145" s="2013"/>
      <c r="N145" s="1991"/>
      <c r="O145" s="1992"/>
      <c r="P145" s="1992"/>
      <c r="Q145" s="1993"/>
      <c r="R145" s="1998" t="s">
        <v>1701</v>
      </c>
      <c r="S145" s="1999"/>
      <c r="T145" s="1999"/>
      <c r="U145" s="2000"/>
      <c r="V145" s="1998" t="s">
        <v>1702</v>
      </c>
      <c r="W145" s="1999"/>
      <c r="X145" s="1999"/>
      <c r="Y145" s="2000"/>
      <c r="Z145" s="1998" t="s">
        <v>1701</v>
      </c>
      <c r="AA145" s="1999"/>
      <c r="AB145" s="1999"/>
      <c r="AC145" s="2000"/>
      <c r="AD145" s="1998" t="s">
        <v>1702</v>
      </c>
      <c r="AE145" s="1999"/>
      <c r="AF145" s="1999"/>
      <c r="AG145" s="2000"/>
      <c r="AH145" s="241"/>
      <c r="AI145" s="239"/>
      <c r="AJ145" s="239"/>
      <c r="AK145" s="239"/>
      <c r="AL145" s="239"/>
    </row>
    <row r="146" spans="1:55" ht="29.4" customHeight="1" x14ac:dyDescent="0.3">
      <c r="A146" s="2011" t="s">
        <v>1802</v>
      </c>
      <c r="B146" s="2011"/>
      <c r="C146" s="2011"/>
      <c r="D146" s="2011"/>
      <c r="E146" s="2011"/>
      <c r="F146" s="2011"/>
      <c r="G146" s="2008" t="s">
        <v>20</v>
      </c>
      <c r="H146" s="2009"/>
      <c r="I146" s="2008" t="s">
        <v>20</v>
      </c>
      <c r="J146" s="2009"/>
      <c r="K146" s="2009">
        <v>2.8000000000000001E-2</v>
      </c>
      <c r="L146" s="2009"/>
      <c r="N146" s="1979" t="s">
        <v>1796</v>
      </c>
      <c r="O146" s="1980"/>
      <c r="P146" s="1980"/>
      <c r="Q146" s="1981"/>
      <c r="R146" s="1982">
        <f>'Savings Factors'!I21</f>
        <v>1.25</v>
      </c>
      <c r="S146" s="1983"/>
      <c r="T146" s="1983"/>
      <c r="U146" s="1984"/>
      <c r="V146" s="1982">
        <f>'Savings Factors'!M21</f>
        <v>1.1299999999999999</v>
      </c>
      <c r="W146" s="1983"/>
      <c r="X146" s="1983"/>
      <c r="Y146" s="1984"/>
      <c r="Z146" s="1982">
        <f>'Savings Factors'!Q21</f>
        <v>1.26</v>
      </c>
      <c r="AA146" s="1983"/>
      <c r="AB146" s="1983"/>
      <c r="AC146" s="1984"/>
      <c r="AD146" s="1982">
        <f>'Savings Factors'!U21</f>
        <v>1.1299999999999999</v>
      </c>
      <c r="AE146" s="1983"/>
      <c r="AF146" s="1983"/>
      <c r="AG146" s="1984"/>
      <c r="AH146" s="241"/>
      <c r="AI146" s="239"/>
      <c r="AJ146" s="239"/>
      <c r="AK146" s="239"/>
      <c r="AL146" s="239"/>
      <c r="AN146" s="344"/>
      <c r="AO146" s="344"/>
      <c r="AP146" s="344"/>
      <c r="AQ146" s="344"/>
      <c r="AR146" s="344"/>
      <c r="AS146" s="344"/>
      <c r="AT146" s="344"/>
      <c r="AU146" s="344"/>
      <c r="AV146" s="344"/>
      <c r="AW146" s="344"/>
      <c r="AX146" s="344"/>
      <c r="AY146" s="344"/>
      <c r="AZ146" s="344"/>
      <c r="BA146" s="344"/>
      <c r="BB146" s="344"/>
      <c r="BC146" s="344"/>
    </row>
    <row r="147" spans="1:55" ht="30.9" customHeight="1" x14ac:dyDescent="0.3">
      <c r="A147" s="2011" t="s">
        <v>1800</v>
      </c>
      <c r="B147" s="2011"/>
      <c r="C147" s="2011"/>
      <c r="D147" s="2011"/>
      <c r="E147" s="2011"/>
      <c r="F147" s="2011"/>
      <c r="G147" s="2008" t="s">
        <v>20</v>
      </c>
      <c r="H147" s="2009"/>
      <c r="I147" s="2008" t="s">
        <v>20</v>
      </c>
      <c r="J147" s="2009"/>
      <c r="K147" s="2009">
        <v>7.8E-2</v>
      </c>
      <c r="L147" s="2009"/>
      <c r="N147" s="1979" t="s">
        <v>211</v>
      </c>
      <c r="O147" s="1980"/>
      <c r="P147" s="1980"/>
      <c r="Q147" s="1981"/>
      <c r="R147" s="1982">
        <f>'Savings Factors'!I22</f>
        <v>1.26</v>
      </c>
      <c r="S147" s="1983"/>
      <c r="T147" s="1983"/>
      <c r="U147" s="1984"/>
      <c r="V147" s="1982">
        <f>'Savings Factors'!M22</f>
        <v>1.56</v>
      </c>
      <c r="W147" s="1983"/>
      <c r="X147" s="1983"/>
      <c r="Y147" s="1984"/>
      <c r="Z147" s="1982">
        <f>'Savings Factors'!Q22</f>
        <v>1.25</v>
      </c>
      <c r="AA147" s="1983"/>
      <c r="AB147" s="1983"/>
      <c r="AC147" s="1984"/>
      <c r="AD147" s="1982">
        <f>'Savings Factors'!U22</f>
        <v>1.62</v>
      </c>
      <c r="AE147" s="1983"/>
      <c r="AF147" s="1983"/>
      <c r="AG147" s="1984"/>
      <c r="AH147" s="241"/>
      <c r="AI147" s="239"/>
      <c r="AJ147" s="239"/>
      <c r="AK147" s="239"/>
      <c r="AL147" s="239"/>
      <c r="AN147" s="344"/>
      <c r="AO147" s="344"/>
      <c r="AP147" s="344"/>
      <c r="AQ147" s="344"/>
      <c r="AR147" s="344"/>
      <c r="AS147" s="344"/>
      <c r="AT147" s="344"/>
      <c r="AU147" s="344"/>
      <c r="AV147" s="344"/>
      <c r="AW147" s="344"/>
      <c r="AX147" s="344"/>
      <c r="AY147" s="344"/>
      <c r="AZ147" s="344"/>
      <c r="BA147" s="344"/>
      <c r="BB147" s="344"/>
      <c r="BC147" s="344"/>
    </row>
    <row r="148" spans="1:55" ht="30.9" customHeight="1" x14ac:dyDescent="0.3">
      <c r="A148" s="2011" t="s">
        <v>1801</v>
      </c>
      <c r="B148" s="2011"/>
      <c r="C148" s="2011"/>
      <c r="D148" s="2011"/>
      <c r="E148" s="2011"/>
      <c r="F148" s="2011"/>
      <c r="G148" s="2008" t="s">
        <v>20</v>
      </c>
      <c r="H148" s="2009"/>
      <c r="I148" s="2008" t="s">
        <v>20</v>
      </c>
      <c r="J148" s="2009"/>
      <c r="K148" s="2009">
        <v>0.17</v>
      </c>
      <c r="L148" s="2009"/>
      <c r="N148" s="1979" t="s">
        <v>212</v>
      </c>
      <c r="O148" s="1980"/>
      <c r="P148" s="1980"/>
      <c r="Q148" s="1981"/>
      <c r="R148" s="1982">
        <f>'Savings Factors'!I23</f>
        <v>1.3</v>
      </c>
      <c r="S148" s="1983"/>
      <c r="T148" s="1983"/>
      <c r="U148" s="1984"/>
      <c r="V148" s="1982">
        <f>'Savings Factors'!M23</f>
        <v>1.25</v>
      </c>
      <c r="W148" s="1983"/>
      <c r="X148" s="1983"/>
      <c r="Y148" s="1984"/>
      <c r="Z148" s="1982">
        <f>'Savings Factors'!Q23</f>
        <v>1.31</v>
      </c>
      <c r="AA148" s="1983"/>
      <c r="AB148" s="1983"/>
      <c r="AC148" s="1984"/>
      <c r="AD148" s="1982">
        <f>'Savings Factors'!U23</f>
        <v>1.25</v>
      </c>
      <c r="AE148" s="1983"/>
      <c r="AF148" s="1983"/>
      <c r="AG148" s="1984"/>
      <c r="AH148" s="241"/>
      <c r="AI148" s="239"/>
      <c r="AJ148" s="239"/>
      <c r="AK148" s="239"/>
      <c r="AL148" s="239"/>
      <c r="AN148" s="344"/>
      <c r="AO148" s="344"/>
      <c r="AP148" s="344"/>
      <c r="AQ148" s="344"/>
      <c r="AR148" s="344"/>
      <c r="AS148" s="344"/>
      <c r="AT148" s="344"/>
      <c r="AU148" s="344"/>
      <c r="AV148" s="344"/>
      <c r="AW148" s="344"/>
      <c r="AX148" s="344"/>
      <c r="AY148" s="344"/>
      <c r="AZ148" s="344"/>
      <c r="BA148" s="344"/>
      <c r="BB148" s="344"/>
      <c r="BC148" s="344"/>
    </row>
    <row r="149" spans="1:55" ht="30.9" customHeight="1" x14ac:dyDescent="0.3">
      <c r="A149" s="2011" t="s">
        <v>1803</v>
      </c>
      <c r="B149" s="2011"/>
      <c r="C149" s="2011"/>
      <c r="D149" s="2011"/>
      <c r="E149" s="2011"/>
      <c r="F149" s="2011"/>
      <c r="G149" s="2008" t="s">
        <v>20</v>
      </c>
      <c r="H149" s="2009"/>
      <c r="I149" s="2008" t="s">
        <v>20</v>
      </c>
      <c r="J149" s="2009"/>
      <c r="K149" s="2009">
        <v>0.27</v>
      </c>
      <c r="L149" s="2009"/>
      <c r="N149" s="1979" t="s">
        <v>213</v>
      </c>
      <c r="O149" s="1980"/>
      <c r="P149" s="1980"/>
      <c r="Q149" s="1981"/>
      <c r="R149" s="1982">
        <f>'Savings Factors'!I24</f>
        <v>1.1100000000000001</v>
      </c>
      <c r="S149" s="1983"/>
      <c r="T149" s="1983"/>
      <c r="U149" s="1984"/>
      <c r="V149" s="1982">
        <f>'Savings Factors'!M24</f>
        <v>1.1399999999999999</v>
      </c>
      <c r="W149" s="1983"/>
      <c r="X149" s="1983"/>
      <c r="Y149" s="1984"/>
      <c r="Z149" s="1982">
        <f>'Savings Factors'!Q24</f>
        <v>1.0900000000000001</v>
      </c>
      <c r="AA149" s="1983"/>
      <c r="AB149" s="1983"/>
      <c r="AC149" s="1984"/>
      <c r="AD149" s="1982">
        <f>'Savings Factors'!U24</f>
        <v>1.1399999999999999</v>
      </c>
      <c r="AE149" s="1983"/>
      <c r="AF149" s="1983"/>
      <c r="AG149" s="1984"/>
      <c r="AH149" s="241"/>
      <c r="AI149" s="239"/>
      <c r="AJ149" s="239"/>
      <c r="AK149" s="239"/>
      <c r="AL149" s="239"/>
      <c r="AN149" s="344"/>
      <c r="AO149" s="344"/>
      <c r="AP149" s="344"/>
      <c r="AQ149" s="344"/>
      <c r="AR149" s="344"/>
      <c r="AS149" s="344"/>
      <c r="AT149" s="344"/>
      <c r="AU149" s="344"/>
      <c r="AV149" s="344"/>
      <c r="AW149" s="344"/>
      <c r="AX149" s="344"/>
      <c r="AY149" s="344"/>
      <c r="AZ149" s="344"/>
      <c r="BA149" s="344"/>
      <c r="BB149" s="344"/>
      <c r="BC149" s="344"/>
    </row>
    <row r="150" spans="1:55" ht="30.6" customHeight="1" x14ac:dyDescent="0.3">
      <c r="A150" s="2010" t="s">
        <v>1688</v>
      </c>
      <c r="B150" s="2010"/>
      <c r="C150" s="2010"/>
      <c r="D150" s="2010"/>
      <c r="E150" s="2010"/>
      <c r="F150" s="2010"/>
      <c r="G150" s="2010"/>
      <c r="H150" s="2010"/>
      <c r="I150" s="2010"/>
      <c r="J150" s="2010"/>
      <c r="K150" s="2010"/>
      <c r="L150" s="2010"/>
      <c r="N150" s="1979" t="s">
        <v>214</v>
      </c>
      <c r="O150" s="1980"/>
      <c r="P150" s="1980"/>
      <c r="Q150" s="1981"/>
      <c r="R150" s="1982">
        <f>'Savings Factors'!I25</f>
        <v>1.23</v>
      </c>
      <c r="S150" s="1983"/>
      <c r="T150" s="1983"/>
      <c r="U150" s="1984"/>
      <c r="V150" s="1982">
        <f>'Savings Factors'!M25</f>
        <v>1.1399999999999999</v>
      </c>
      <c r="W150" s="1983"/>
      <c r="X150" s="1983"/>
      <c r="Y150" s="1984"/>
      <c r="Z150" s="1982">
        <f>'Savings Factors'!Q25</f>
        <v>1.24</v>
      </c>
      <c r="AA150" s="1983"/>
      <c r="AB150" s="1983"/>
      <c r="AC150" s="1984"/>
      <c r="AD150" s="1982">
        <f>'Savings Factors'!U25</f>
        <v>1.1499999999999999</v>
      </c>
      <c r="AE150" s="1983"/>
      <c r="AF150" s="1983"/>
      <c r="AG150" s="1984"/>
      <c r="AH150" s="151"/>
      <c r="AN150" s="344"/>
      <c r="AO150" s="344"/>
      <c r="AP150" s="344"/>
      <c r="AQ150" s="344"/>
      <c r="AR150" s="344"/>
      <c r="AS150" s="344"/>
      <c r="AT150" s="344"/>
      <c r="AU150" s="344"/>
      <c r="AV150" s="344"/>
      <c r="AW150" s="344"/>
      <c r="AX150" s="344"/>
      <c r="AY150" s="344"/>
      <c r="AZ150" s="344"/>
      <c r="BA150" s="344"/>
      <c r="BB150" s="344"/>
      <c r="BC150" s="344"/>
    </row>
    <row r="151" spans="1:55" ht="40.5" customHeight="1" x14ac:dyDescent="0.3">
      <c r="A151" s="1997" t="s">
        <v>1689</v>
      </c>
      <c r="B151" s="1997"/>
      <c r="C151" s="1997"/>
      <c r="D151" s="1997"/>
      <c r="E151" s="1997"/>
      <c r="F151" s="1997"/>
      <c r="G151" s="1997"/>
      <c r="H151" s="1997"/>
      <c r="I151" s="1997"/>
      <c r="J151" s="1997"/>
      <c r="K151" s="1997"/>
      <c r="L151" s="1997"/>
      <c r="N151" s="1979" t="s">
        <v>215</v>
      </c>
      <c r="O151" s="1980"/>
      <c r="P151" s="1980"/>
      <c r="Q151" s="1981"/>
      <c r="R151" s="1982">
        <f>'Savings Factors'!I26</f>
        <v>1.27</v>
      </c>
      <c r="S151" s="1983"/>
      <c r="T151" s="1983"/>
      <c r="U151" s="1984"/>
      <c r="V151" s="1982">
        <f>'Savings Factors'!M26</f>
        <v>1.38</v>
      </c>
      <c r="W151" s="1983"/>
      <c r="X151" s="1983"/>
      <c r="Y151" s="1984"/>
      <c r="Z151" s="1982">
        <f>'Savings Factors'!Q26</f>
        <v>1.27</v>
      </c>
      <c r="AA151" s="1983"/>
      <c r="AB151" s="1983"/>
      <c r="AC151" s="1984"/>
      <c r="AD151" s="1982">
        <f>'Savings Factors'!U26</f>
        <v>1.36</v>
      </c>
      <c r="AE151" s="1983"/>
      <c r="AF151" s="1983"/>
      <c r="AG151" s="1984"/>
      <c r="AH151" s="151"/>
      <c r="AN151" s="344"/>
      <c r="AO151" s="344"/>
      <c r="AP151" s="344"/>
      <c r="AQ151" s="344"/>
      <c r="AR151" s="344"/>
      <c r="AS151" s="344"/>
      <c r="AT151" s="344"/>
      <c r="AU151" s="344"/>
      <c r="AV151" s="344"/>
      <c r="AW151" s="344"/>
      <c r="AX151" s="344"/>
      <c r="AY151" s="344"/>
      <c r="AZ151" s="344"/>
      <c r="BA151" s="344"/>
      <c r="BB151" s="344"/>
      <c r="BC151" s="344"/>
    </row>
    <row r="152" spans="1:55" ht="69.75" customHeight="1" x14ac:dyDescent="0.3">
      <c r="A152" s="1997" t="s">
        <v>1690</v>
      </c>
      <c r="B152" s="1997"/>
      <c r="C152" s="1997"/>
      <c r="D152" s="1997"/>
      <c r="E152" s="1997"/>
      <c r="F152" s="1997"/>
      <c r="G152" s="1997"/>
      <c r="H152" s="1997"/>
      <c r="I152" s="1997"/>
      <c r="J152" s="1997"/>
      <c r="K152" s="1997"/>
      <c r="L152" s="1997"/>
      <c r="N152" s="1979" t="s">
        <v>216</v>
      </c>
      <c r="O152" s="1980"/>
      <c r="P152" s="1980"/>
      <c r="Q152" s="1981"/>
      <c r="R152" s="1982">
        <f>'Savings Factors'!I27</f>
        <v>1.19</v>
      </c>
      <c r="S152" s="1983"/>
      <c r="T152" s="1983"/>
      <c r="U152" s="1984"/>
      <c r="V152" s="1982">
        <f>'Savings Factors'!M27</f>
        <v>1.1200000000000001</v>
      </c>
      <c r="W152" s="1983"/>
      <c r="X152" s="1983"/>
      <c r="Y152" s="1984"/>
      <c r="Z152" s="1982">
        <f>'Savings Factors'!Q27</f>
        <v>1.2</v>
      </c>
      <c r="AA152" s="1983"/>
      <c r="AB152" s="1983"/>
      <c r="AC152" s="1984"/>
      <c r="AD152" s="1982">
        <f>'Savings Factors'!U27</f>
        <v>1.1299999999999999</v>
      </c>
      <c r="AE152" s="1983"/>
      <c r="AF152" s="1983"/>
      <c r="AG152" s="1984"/>
      <c r="AH152" s="151"/>
      <c r="AN152" s="344"/>
      <c r="AO152" s="344"/>
      <c r="AP152" s="344"/>
      <c r="AQ152" s="344"/>
      <c r="AR152" s="344"/>
      <c r="AS152" s="344"/>
      <c r="AT152" s="344"/>
      <c r="AU152" s="344"/>
      <c r="AV152" s="344"/>
      <c r="AW152" s="344"/>
      <c r="AX152" s="344"/>
      <c r="AY152" s="344"/>
      <c r="AZ152" s="344"/>
      <c r="BA152" s="344"/>
      <c r="BB152" s="344"/>
      <c r="BC152" s="344"/>
    </row>
    <row r="153" spans="1:55" ht="88.5" customHeight="1" x14ac:dyDescent="0.3">
      <c r="A153" s="1997" t="s">
        <v>1691</v>
      </c>
      <c r="B153" s="1997"/>
      <c r="C153" s="1997"/>
      <c r="D153" s="1997"/>
      <c r="E153" s="1997"/>
      <c r="F153" s="1997"/>
      <c r="G153" s="1997"/>
      <c r="H153" s="1997"/>
      <c r="I153" s="1997"/>
      <c r="J153" s="1997"/>
      <c r="K153" s="1997"/>
      <c r="L153" s="1997"/>
      <c r="N153" s="1979" t="s">
        <v>47</v>
      </c>
      <c r="O153" s="1980"/>
      <c r="P153" s="1980"/>
      <c r="Q153" s="1981"/>
      <c r="R153" s="1982">
        <f>'Savings Factors'!I28</f>
        <v>1.08</v>
      </c>
      <c r="S153" s="1983"/>
      <c r="T153" s="1983"/>
      <c r="U153" s="1984"/>
      <c r="V153" s="1982">
        <f>'Savings Factors'!M28</f>
        <v>1.25</v>
      </c>
      <c r="W153" s="1983"/>
      <c r="X153" s="1983"/>
      <c r="Y153" s="1984"/>
      <c r="Z153" s="1982">
        <f>'Savings Factors'!Q28</f>
        <v>1.07</v>
      </c>
      <c r="AA153" s="1983"/>
      <c r="AB153" s="1983"/>
      <c r="AC153" s="1984"/>
      <c r="AD153" s="1982">
        <f>'Savings Factors'!U28</f>
        <v>1.26</v>
      </c>
      <c r="AE153" s="1983"/>
      <c r="AF153" s="1983"/>
      <c r="AG153" s="1984"/>
      <c r="AH153" s="151"/>
      <c r="AN153" s="344"/>
      <c r="AO153" s="344"/>
      <c r="AP153" s="344"/>
      <c r="AQ153" s="344"/>
      <c r="AR153" s="344"/>
      <c r="AS153" s="344"/>
      <c r="AT153" s="344"/>
      <c r="AU153" s="344"/>
      <c r="AV153" s="344"/>
      <c r="AW153" s="344"/>
      <c r="AX153" s="344"/>
      <c r="AY153" s="344"/>
      <c r="AZ153" s="344"/>
      <c r="BA153" s="344"/>
      <c r="BB153" s="344"/>
      <c r="BC153" s="344"/>
    </row>
    <row r="154" spans="1:55" ht="68.25" customHeight="1" x14ac:dyDescent="0.3">
      <c r="A154" s="1997" t="s">
        <v>1848</v>
      </c>
      <c r="B154" s="1997"/>
      <c r="C154" s="1997"/>
      <c r="D154" s="1997"/>
      <c r="E154" s="1997"/>
      <c r="F154" s="1997"/>
      <c r="G154" s="1997"/>
      <c r="H154" s="1997"/>
      <c r="I154" s="1997"/>
      <c r="J154" s="1997"/>
      <c r="K154" s="1997"/>
      <c r="L154" s="1997"/>
      <c r="N154" s="1979" t="s">
        <v>217</v>
      </c>
      <c r="O154" s="1980"/>
      <c r="P154" s="1980"/>
      <c r="Q154" s="1981"/>
      <c r="R154" s="1982">
        <f>'Savings Factors'!I29</f>
        <v>1.22</v>
      </c>
      <c r="S154" s="1983"/>
      <c r="T154" s="1983"/>
      <c r="U154" s="1984"/>
      <c r="V154" s="1982">
        <f>'Savings Factors'!M29</f>
        <v>1.28</v>
      </c>
      <c r="W154" s="1983"/>
      <c r="X154" s="1983"/>
      <c r="Y154" s="1984"/>
      <c r="Z154" s="1982">
        <f>'Savings Factors'!Q29</f>
        <v>1.24</v>
      </c>
      <c r="AA154" s="1983"/>
      <c r="AB154" s="1983"/>
      <c r="AC154" s="1984"/>
      <c r="AD154" s="1982">
        <f>'Savings Factors'!U29</f>
        <v>1.28</v>
      </c>
      <c r="AE154" s="1983"/>
      <c r="AF154" s="1983"/>
      <c r="AG154" s="1984"/>
      <c r="AH154" s="151"/>
      <c r="AN154" s="344"/>
      <c r="AO154" s="344"/>
      <c r="AP154" s="344"/>
      <c r="AQ154" s="344"/>
      <c r="AR154" s="344"/>
      <c r="AS154" s="344"/>
      <c r="AT154" s="344"/>
      <c r="AU154" s="344"/>
      <c r="AV154" s="344"/>
      <c r="AW154" s="344"/>
      <c r="AX154" s="344"/>
      <c r="AY154" s="344"/>
      <c r="AZ154" s="344"/>
      <c r="BA154" s="344"/>
      <c r="BB154" s="344"/>
      <c r="BC154" s="344"/>
    </row>
    <row r="155" spans="1:55" ht="32.25" customHeight="1" x14ac:dyDescent="0.3">
      <c r="A155" s="1997" t="s">
        <v>1705</v>
      </c>
      <c r="B155" s="1997"/>
      <c r="C155" s="1997"/>
      <c r="D155" s="1997"/>
      <c r="E155" s="1997"/>
      <c r="F155" s="1997"/>
      <c r="G155" s="1997"/>
      <c r="H155" s="1997"/>
      <c r="I155" s="1997"/>
      <c r="J155" s="1997"/>
      <c r="K155" s="1997"/>
      <c r="L155" s="1997"/>
      <c r="N155" s="1979" t="s">
        <v>218</v>
      </c>
      <c r="O155" s="1980"/>
      <c r="P155" s="1980"/>
      <c r="Q155" s="1981"/>
      <c r="R155" s="1982">
        <f>'Savings Factors'!I30</f>
        <v>1.39</v>
      </c>
      <c r="S155" s="1983"/>
      <c r="T155" s="1983"/>
      <c r="U155" s="1984"/>
      <c r="V155" s="1982">
        <f>'Savings Factors'!M30</f>
        <v>1.1399999999999999</v>
      </c>
      <c r="W155" s="1983"/>
      <c r="X155" s="1983"/>
      <c r="Y155" s="1984"/>
      <c r="Z155" s="1982">
        <f>'Savings Factors'!Q30</f>
        <v>1.36</v>
      </c>
      <c r="AA155" s="1983"/>
      <c r="AB155" s="1983"/>
      <c r="AC155" s="1984"/>
      <c r="AD155" s="1982">
        <f>'Savings Factors'!U30</f>
        <v>1.1499999999999999</v>
      </c>
      <c r="AE155" s="1983"/>
      <c r="AF155" s="1983"/>
      <c r="AG155" s="1984"/>
      <c r="AH155" s="151"/>
      <c r="AN155" s="344"/>
      <c r="AO155" s="344"/>
      <c r="AP155" s="344"/>
      <c r="AQ155" s="344"/>
      <c r="AR155" s="344"/>
      <c r="AS155" s="344"/>
      <c r="AT155" s="344"/>
      <c r="AU155" s="344"/>
      <c r="AV155" s="344"/>
      <c r="AW155" s="344"/>
      <c r="AX155" s="344"/>
      <c r="AY155" s="344"/>
      <c r="AZ155" s="344"/>
      <c r="BA155" s="344"/>
      <c r="BB155" s="344"/>
      <c r="BC155" s="344"/>
    </row>
    <row r="156" spans="1:55" x14ac:dyDescent="0.3">
      <c r="A156" s="3"/>
      <c r="N156" s="1979" t="s">
        <v>219</v>
      </c>
      <c r="O156" s="1980"/>
      <c r="P156" s="1980"/>
      <c r="Q156" s="1981"/>
      <c r="R156" s="1982">
        <f>'Savings Factors'!I31</f>
        <v>1.1499999999999999</v>
      </c>
      <c r="S156" s="1983"/>
      <c r="T156" s="1983"/>
      <c r="U156" s="1984"/>
      <c r="V156" s="1982">
        <f>'Savings Factors'!M31</f>
        <v>1.01</v>
      </c>
      <c r="W156" s="1983"/>
      <c r="X156" s="1983"/>
      <c r="Y156" s="1984"/>
      <c r="Z156" s="1982">
        <f>'Savings Factors'!Q31</f>
        <v>1.1599999999999999</v>
      </c>
      <c r="AA156" s="1983"/>
      <c r="AB156" s="1983"/>
      <c r="AC156" s="1984"/>
      <c r="AD156" s="1982">
        <f>'Savings Factors'!U31</f>
        <v>1.01</v>
      </c>
      <c r="AE156" s="1983"/>
      <c r="AF156" s="1983"/>
      <c r="AG156" s="1984"/>
      <c r="AH156" s="151"/>
      <c r="AN156" s="344"/>
      <c r="AO156" s="344"/>
      <c r="AP156" s="344"/>
      <c r="AQ156" s="344"/>
      <c r="AR156" s="344"/>
      <c r="AS156" s="344"/>
      <c r="AT156" s="344"/>
      <c r="AU156" s="344"/>
      <c r="AV156" s="344"/>
      <c r="AW156" s="344"/>
      <c r="AX156" s="344"/>
      <c r="AY156" s="344"/>
      <c r="AZ156" s="344"/>
      <c r="BA156" s="344"/>
      <c r="BB156" s="344"/>
      <c r="BC156" s="344"/>
    </row>
    <row r="157" spans="1:55" x14ac:dyDescent="0.3">
      <c r="A157" s="3"/>
      <c r="N157" s="1995" t="s">
        <v>830</v>
      </c>
      <c r="O157" s="1995"/>
      <c r="P157" s="1995"/>
      <c r="Q157" s="1995"/>
      <c r="R157" s="1995"/>
      <c r="S157" s="1995"/>
      <c r="T157" s="1995"/>
      <c r="U157" s="1995"/>
      <c r="V157" s="1995"/>
      <c r="W157" s="1995"/>
      <c r="X157" s="1995"/>
      <c r="Y157" s="1995"/>
      <c r="Z157" s="1995"/>
      <c r="AA157" s="1995"/>
      <c r="AB157" s="1995"/>
      <c r="AC157" s="1995"/>
      <c r="AD157" s="1995"/>
      <c r="AE157" s="1995"/>
      <c r="AF157" s="1995"/>
      <c r="AG157" s="1995"/>
      <c r="AH157" s="151"/>
    </row>
    <row r="158" spans="1:55" x14ac:dyDescent="0.3">
      <c r="A158" s="3"/>
      <c r="N158" s="1996" t="s">
        <v>1704</v>
      </c>
      <c r="O158" s="1996"/>
      <c r="P158" s="1996"/>
      <c r="Q158" s="1996"/>
      <c r="R158" s="1996"/>
      <c r="S158" s="1996"/>
      <c r="T158" s="1996"/>
      <c r="U158" s="1996"/>
      <c r="V158" s="1996"/>
      <c r="W158" s="1996"/>
      <c r="X158" s="1996"/>
      <c r="Y158" s="1996"/>
      <c r="Z158" s="1996"/>
      <c r="AA158" s="1996"/>
      <c r="AB158" s="1996"/>
      <c r="AC158" s="1996"/>
      <c r="AD158" s="1996"/>
      <c r="AE158" s="1996"/>
      <c r="AF158" s="1996"/>
      <c r="AG158" s="1996"/>
      <c r="AH158" s="151"/>
    </row>
    <row r="159" spans="1:55" x14ac:dyDescent="0.3">
      <c r="A159" s="3"/>
      <c r="N159" s="113"/>
      <c r="O159" s="1994" t="s">
        <v>1703</v>
      </c>
      <c r="P159" s="1994"/>
      <c r="Q159" s="1994"/>
      <c r="R159" s="1994"/>
      <c r="S159" s="1994"/>
      <c r="T159" s="1994"/>
      <c r="U159" s="1994"/>
      <c r="V159" s="1994"/>
      <c r="W159" s="1994"/>
      <c r="X159" s="1994"/>
      <c r="Y159" s="1994"/>
      <c r="Z159" s="1994"/>
      <c r="AA159" s="1994"/>
      <c r="AB159" s="1994"/>
      <c r="AC159" s="1994"/>
      <c r="AD159" s="1994"/>
      <c r="AE159" s="1994"/>
      <c r="AF159" s="1994"/>
      <c r="AG159" s="1994"/>
      <c r="AH159" s="151"/>
    </row>
    <row r="160" spans="1:55" ht="22.5" customHeight="1" x14ac:dyDescent="0.3">
      <c r="A160" s="3"/>
      <c r="N160" s="113"/>
      <c r="O160" s="1994" t="s">
        <v>2250</v>
      </c>
      <c r="P160" s="1994"/>
      <c r="Q160" s="1994"/>
      <c r="R160" s="1994"/>
      <c r="S160" s="1994"/>
      <c r="T160" s="1994"/>
      <c r="U160" s="1994"/>
      <c r="V160" s="1994"/>
      <c r="W160" s="1994"/>
      <c r="X160" s="1994"/>
      <c r="Y160" s="1994"/>
      <c r="Z160" s="1994"/>
      <c r="AA160" s="1994"/>
      <c r="AB160" s="1994"/>
      <c r="AC160" s="1994"/>
      <c r="AD160" s="1994"/>
      <c r="AE160" s="1994"/>
      <c r="AF160" s="1994"/>
      <c r="AG160" s="1994"/>
      <c r="AH160" s="151"/>
    </row>
    <row r="161" spans="1:45" ht="26.1" customHeight="1" x14ac:dyDescent="0.3">
      <c r="A161" s="3"/>
      <c r="N161" s="113"/>
      <c r="O161" s="1994" t="s">
        <v>2796</v>
      </c>
      <c r="P161" s="1994"/>
      <c r="Q161" s="1994"/>
      <c r="R161" s="1994"/>
      <c r="S161" s="1994"/>
      <c r="T161" s="1994"/>
      <c r="U161" s="1994"/>
      <c r="V161" s="1994"/>
      <c r="W161" s="1994"/>
      <c r="X161" s="1994"/>
      <c r="Y161" s="1994"/>
      <c r="Z161" s="1994"/>
      <c r="AA161" s="1994"/>
      <c r="AB161" s="1994"/>
      <c r="AC161" s="1994"/>
      <c r="AD161" s="1994"/>
      <c r="AE161" s="1994"/>
      <c r="AF161" s="1994"/>
      <c r="AG161" s="1994"/>
      <c r="AH161" s="151"/>
    </row>
    <row r="162" spans="1:45" ht="51" customHeight="1" x14ac:dyDescent="0.3">
      <c r="A162" s="3"/>
      <c r="N162" s="113"/>
      <c r="O162" s="1994" t="s">
        <v>2797</v>
      </c>
      <c r="P162" s="1994"/>
      <c r="Q162" s="1994"/>
      <c r="R162" s="1994"/>
      <c r="S162" s="1994"/>
      <c r="T162" s="1994"/>
      <c r="U162" s="1994"/>
      <c r="V162" s="1994"/>
      <c r="W162" s="1994"/>
      <c r="X162" s="1994"/>
      <c r="Y162" s="1994"/>
      <c r="Z162" s="1994"/>
      <c r="AA162" s="1994"/>
      <c r="AB162" s="1994"/>
      <c r="AC162" s="1994"/>
      <c r="AD162" s="1994"/>
      <c r="AE162" s="1994"/>
      <c r="AF162" s="1994"/>
      <c r="AG162" s="1994"/>
      <c r="AH162" s="151"/>
    </row>
    <row r="163" spans="1:45" ht="24.75" customHeight="1" x14ac:dyDescent="0.3">
      <c r="A163" s="3"/>
      <c r="N163" s="1994" t="s">
        <v>2535</v>
      </c>
      <c r="O163" s="1994"/>
      <c r="P163" s="1994"/>
      <c r="Q163" s="1994"/>
      <c r="R163" s="1994"/>
      <c r="S163" s="1994"/>
      <c r="T163" s="1994"/>
      <c r="U163" s="1994"/>
      <c r="V163" s="1994"/>
      <c r="W163" s="1994"/>
      <c r="X163" s="1994"/>
      <c r="Y163" s="1994"/>
      <c r="Z163" s="1994"/>
      <c r="AA163" s="1994"/>
      <c r="AB163" s="1994"/>
      <c r="AC163" s="1994"/>
      <c r="AD163" s="1994"/>
      <c r="AE163" s="1994"/>
      <c r="AF163" s="1994"/>
      <c r="AG163" s="1994"/>
      <c r="AH163" s="151"/>
    </row>
    <row r="164" spans="1:45" x14ac:dyDescent="0.3">
      <c r="A164" s="253">
        <v>1</v>
      </c>
      <c r="B164" s="253">
        <v>2</v>
      </c>
      <c r="C164" s="253">
        <v>3</v>
      </c>
      <c r="D164" s="253">
        <v>4</v>
      </c>
      <c r="E164" s="253">
        <v>5</v>
      </c>
      <c r="F164" s="253">
        <v>6</v>
      </c>
      <c r="G164" s="253">
        <v>7</v>
      </c>
      <c r="H164" s="253">
        <v>8</v>
      </c>
      <c r="I164" s="253">
        <v>9</v>
      </c>
      <c r="J164" s="253">
        <v>10</v>
      </c>
      <c r="K164" s="253">
        <v>11</v>
      </c>
      <c r="L164" s="253">
        <v>12</v>
      </c>
      <c r="M164" s="253">
        <v>13</v>
      </c>
      <c r="N164" s="253">
        <v>14</v>
      </c>
      <c r="O164" s="253">
        <v>15</v>
      </c>
      <c r="P164" s="253">
        <v>16</v>
      </c>
      <c r="Q164" s="253">
        <v>17</v>
      </c>
      <c r="U164" s="3"/>
      <c r="V164" s="3"/>
      <c r="W164" s="3"/>
      <c r="X164" s="3"/>
      <c r="Y164" s="3"/>
      <c r="Z164" s="3"/>
      <c r="AA164" s="3"/>
      <c r="AB164" s="3"/>
      <c r="AC164" s="3"/>
      <c r="AD164" s="3"/>
      <c r="AE164" s="3"/>
      <c r="AF164" s="3"/>
      <c r="AG164" s="3"/>
      <c r="AH164" s="3"/>
      <c r="AI164" s="3"/>
      <c r="AJ164" s="3"/>
      <c r="AK164" s="3"/>
      <c r="AL164" s="3"/>
    </row>
    <row r="165" spans="1:45" ht="15.6" x14ac:dyDescent="0.3">
      <c r="A165" s="57" t="s">
        <v>1709</v>
      </c>
      <c r="AH165" s="151"/>
    </row>
    <row r="166" spans="1:45" ht="64.5" customHeight="1" x14ac:dyDescent="0.3">
      <c r="A166" s="2090" t="s">
        <v>46</v>
      </c>
      <c r="B166" s="2090"/>
      <c r="C166" s="2090"/>
      <c r="D166" s="2090"/>
      <c r="E166" s="2019" t="s">
        <v>1692</v>
      </c>
      <c r="F166" s="2020"/>
      <c r="G166" s="2021"/>
      <c r="H166" s="2019" t="s">
        <v>1693</v>
      </c>
      <c r="I166" s="2020"/>
      <c r="J166" s="2020"/>
      <c r="K166" s="2020"/>
      <c r="L166" s="2019" t="s">
        <v>1694</v>
      </c>
      <c r="M166" s="2020"/>
      <c r="N166" s="2021"/>
      <c r="O166" s="2019" t="s">
        <v>1717</v>
      </c>
      <c r="P166" s="2020"/>
      <c r="Q166" s="2021"/>
      <c r="AS166" s="151"/>
    </row>
    <row r="167" spans="1:45" ht="30.6" customHeight="1" x14ac:dyDescent="0.3">
      <c r="A167" s="2091" t="s">
        <v>1796</v>
      </c>
      <c r="B167" s="2091"/>
      <c r="C167" s="2091"/>
      <c r="D167" s="2091"/>
      <c r="E167" s="2089">
        <f>'EFLH &amp; CF'!I13</f>
        <v>8760</v>
      </c>
      <c r="F167" s="2089"/>
      <c r="G167" s="2089"/>
      <c r="H167" s="2106">
        <f>'EFLH &amp; CF'!N13</f>
        <v>1831</v>
      </c>
      <c r="I167" s="2107"/>
      <c r="J167" s="2107"/>
      <c r="K167" s="2108"/>
      <c r="L167" s="2089">
        <f>'EFLH &amp; CF'!S13</f>
        <v>3047</v>
      </c>
      <c r="M167" s="2089"/>
      <c r="N167" s="2089"/>
      <c r="O167" s="2089">
        <f>'EFLH &amp; CF'!X13</f>
        <v>1963</v>
      </c>
      <c r="P167" s="2089"/>
      <c r="Q167" s="2089"/>
      <c r="Y167" s="336"/>
      <c r="Z167" s="336"/>
      <c r="AA167" s="336"/>
      <c r="AB167" s="336"/>
      <c r="AC167" s="336"/>
      <c r="AD167" s="336"/>
      <c r="AE167" s="336"/>
      <c r="AF167" s="336"/>
      <c r="AG167" s="336"/>
      <c r="AH167" s="336"/>
      <c r="AI167" s="336"/>
      <c r="AJ167" s="336"/>
      <c r="AK167" s="336"/>
      <c r="AS167" s="151"/>
    </row>
    <row r="168" spans="1:45" x14ac:dyDescent="0.3">
      <c r="A168" s="2092" t="s">
        <v>211</v>
      </c>
      <c r="B168" s="2092"/>
      <c r="C168" s="2092"/>
      <c r="D168" s="2092"/>
      <c r="E168" s="2089">
        <f>'EFLH &amp; CF'!I14</f>
        <v>8760</v>
      </c>
      <c r="F168" s="2089"/>
      <c r="G168" s="2089"/>
      <c r="H168" s="2106">
        <f>'EFLH &amp; CF'!N14</f>
        <v>4710</v>
      </c>
      <c r="I168" s="2107"/>
      <c r="J168" s="2107"/>
      <c r="K168" s="2108"/>
      <c r="L168" s="2089">
        <f>'EFLH &amp; CF'!S14</f>
        <v>4820</v>
      </c>
      <c r="M168" s="2089"/>
      <c r="N168" s="2089"/>
      <c r="O168" s="2089">
        <f>'EFLH &amp; CF'!X14</f>
        <v>4700</v>
      </c>
      <c r="P168" s="2089"/>
      <c r="Q168" s="2089"/>
      <c r="Y168" s="336"/>
      <c r="Z168" s="336"/>
      <c r="AA168" s="336"/>
      <c r="AB168" s="336"/>
      <c r="AC168" s="336"/>
      <c r="AD168" s="336"/>
      <c r="AE168" s="336"/>
      <c r="AF168" s="336"/>
      <c r="AG168" s="336"/>
      <c r="AH168" s="336"/>
      <c r="AI168" s="336"/>
      <c r="AJ168" s="336"/>
      <c r="AK168" s="336"/>
      <c r="AS168" s="151"/>
    </row>
    <row r="169" spans="1:45" x14ac:dyDescent="0.3">
      <c r="A169" s="2092" t="s">
        <v>212</v>
      </c>
      <c r="B169" s="2092"/>
      <c r="C169" s="2092"/>
      <c r="D169" s="2092"/>
      <c r="E169" s="2089">
        <f>'EFLH &amp; CF'!I15</f>
        <v>8760</v>
      </c>
      <c r="F169" s="2089"/>
      <c r="G169" s="2089"/>
      <c r="H169" s="2106">
        <f>'EFLH &amp; CF'!N15</f>
        <v>1498</v>
      </c>
      <c r="I169" s="2107"/>
      <c r="J169" s="2107"/>
      <c r="K169" s="2108"/>
      <c r="L169" s="2089">
        <f>'EFLH &amp; CF'!S15</f>
        <v>2176</v>
      </c>
      <c r="M169" s="2089"/>
      <c r="N169" s="2089"/>
      <c r="O169" s="2089">
        <f>'EFLH &amp; CF'!X15</f>
        <v>1702</v>
      </c>
      <c r="P169" s="2089"/>
      <c r="Q169" s="2089"/>
      <c r="Y169" s="336"/>
      <c r="Z169" s="336"/>
      <c r="AA169" s="336"/>
      <c r="AB169" s="336"/>
      <c r="AC169" s="336"/>
      <c r="AD169" s="336"/>
      <c r="AE169" s="336"/>
      <c r="AF169" s="336"/>
      <c r="AG169" s="336"/>
      <c r="AH169" s="336"/>
      <c r="AI169" s="336"/>
      <c r="AJ169" s="336"/>
      <c r="AK169" s="336"/>
      <c r="AS169" s="151"/>
    </row>
    <row r="170" spans="1:45" x14ac:dyDescent="0.3">
      <c r="A170" s="2092" t="s">
        <v>213</v>
      </c>
      <c r="B170" s="2092"/>
      <c r="C170" s="2092"/>
      <c r="D170" s="2092"/>
      <c r="E170" s="2089">
        <f>'EFLH &amp; CF'!I16</f>
        <v>8760</v>
      </c>
      <c r="F170" s="2089"/>
      <c r="G170" s="2089"/>
      <c r="H170" s="2106">
        <f>'EFLH &amp; CF'!N16</f>
        <v>4900</v>
      </c>
      <c r="I170" s="2107"/>
      <c r="J170" s="2107"/>
      <c r="K170" s="2108"/>
      <c r="L170" s="2089">
        <f>'EFLH &amp; CF'!S16</f>
        <v>5450</v>
      </c>
      <c r="M170" s="2089"/>
      <c r="N170" s="2089"/>
      <c r="O170" s="2089">
        <f>'EFLH &amp; CF'!X16</f>
        <v>4770</v>
      </c>
      <c r="P170" s="2089"/>
      <c r="Q170" s="2089"/>
      <c r="Y170" s="336"/>
      <c r="Z170" s="336"/>
      <c r="AA170" s="336"/>
      <c r="AB170" s="336"/>
      <c r="AC170" s="336"/>
      <c r="AD170" s="336"/>
      <c r="AE170" s="336"/>
      <c r="AF170" s="336"/>
      <c r="AG170" s="336"/>
      <c r="AH170" s="336"/>
      <c r="AI170" s="336"/>
      <c r="AJ170" s="336"/>
      <c r="AK170" s="336"/>
      <c r="AS170" s="151"/>
    </row>
    <row r="171" spans="1:45" x14ac:dyDescent="0.3">
      <c r="A171" s="2092" t="s">
        <v>214</v>
      </c>
      <c r="B171" s="2092"/>
      <c r="C171" s="2092"/>
      <c r="D171" s="2092"/>
      <c r="E171" s="2089">
        <f>'EFLH &amp; CF'!I17</f>
        <v>8760</v>
      </c>
      <c r="F171" s="2089"/>
      <c r="G171" s="2089"/>
      <c r="H171" s="2106">
        <f>'EFLH &amp; CF'!N17</f>
        <v>5370</v>
      </c>
      <c r="I171" s="2107"/>
      <c r="J171" s="2107"/>
      <c r="K171" s="2108"/>
      <c r="L171" s="2089">
        <f>'EFLH &amp; CF'!S17</f>
        <v>5870</v>
      </c>
      <c r="M171" s="2089"/>
      <c r="N171" s="2089"/>
      <c r="O171" s="2089">
        <f>'EFLH &amp; CF'!X17</f>
        <v>5100</v>
      </c>
      <c r="P171" s="2089"/>
      <c r="Q171" s="2089"/>
      <c r="Y171" s="336"/>
      <c r="Z171" s="336"/>
      <c r="AA171" s="336"/>
      <c r="AB171" s="336"/>
      <c r="AC171" s="336"/>
      <c r="AD171" s="336"/>
      <c r="AE171" s="336"/>
      <c r="AF171" s="336"/>
      <c r="AG171" s="336"/>
      <c r="AH171" s="336"/>
      <c r="AI171" s="336"/>
      <c r="AJ171" s="336"/>
      <c r="AK171" s="336"/>
      <c r="AS171" s="151"/>
    </row>
    <row r="172" spans="1:45" x14ac:dyDescent="0.3">
      <c r="A172" s="2092" t="s">
        <v>215</v>
      </c>
      <c r="B172" s="2092"/>
      <c r="C172" s="2092"/>
      <c r="D172" s="2092"/>
      <c r="E172" s="2089">
        <f>'EFLH &amp; CF'!I18</f>
        <v>8760</v>
      </c>
      <c r="F172" s="2089"/>
      <c r="G172" s="2089"/>
      <c r="H172" s="2106">
        <f>'EFLH &amp; CF'!N18</f>
        <v>1284</v>
      </c>
      <c r="I172" s="2107"/>
      <c r="J172" s="2107"/>
      <c r="K172" s="2108"/>
      <c r="L172" s="2089">
        <f>'EFLH &amp; CF'!S18</f>
        <v>4775</v>
      </c>
      <c r="M172" s="2089"/>
      <c r="N172" s="2089"/>
      <c r="O172" s="2089">
        <f>'EFLH &amp; CF'!X18</f>
        <v>1130</v>
      </c>
      <c r="P172" s="2089"/>
      <c r="Q172" s="2089"/>
      <c r="Y172" s="336"/>
      <c r="Z172" s="336"/>
      <c r="AA172" s="336"/>
      <c r="AB172" s="336"/>
      <c r="AC172" s="336"/>
      <c r="AD172" s="336"/>
      <c r="AE172" s="336"/>
      <c r="AF172" s="336"/>
      <c r="AG172" s="336"/>
      <c r="AH172" s="336"/>
      <c r="AI172" s="336"/>
      <c r="AJ172" s="336"/>
      <c r="AK172" s="336"/>
      <c r="AS172" s="151"/>
    </row>
    <row r="173" spans="1:45" x14ac:dyDescent="0.3">
      <c r="A173" s="2092" t="s">
        <v>216</v>
      </c>
      <c r="B173" s="2092"/>
      <c r="C173" s="2092"/>
      <c r="D173" s="2092"/>
      <c r="E173" s="2089">
        <f>'EFLH &amp; CF'!I19</f>
        <v>8760</v>
      </c>
      <c r="F173" s="2089"/>
      <c r="G173" s="2089"/>
      <c r="H173" s="2106">
        <f>'EFLH &amp; CF'!N19</f>
        <v>2145</v>
      </c>
      <c r="I173" s="2107"/>
      <c r="J173" s="2107"/>
      <c r="K173" s="2108"/>
      <c r="L173" s="2089">
        <f>'EFLH &amp; CF'!S19</f>
        <v>2860</v>
      </c>
      <c r="M173" s="2089"/>
      <c r="N173" s="2089"/>
      <c r="O173" s="2089">
        <f>'EFLH &amp; CF'!X19</f>
        <v>2305</v>
      </c>
      <c r="P173" s="2089"/>
      <c r="Q173" s="2089"/>
      <c r="Y173" s="336"/>
      <c r="Z173" s="336"/>
      <c r="AA173" s="336"/>
      <c r="AB173" s="336"/>
      <c r="AC173" s="336"/>
      <c r="AD173" s="336"/>
      <c r="AE173" s="336"/>
      <c r="AF173" s="336"/>
      <c r="AG173" s="336"/>
      <c r="AH173" s="336"/>
      <c r="AI173" s="336"/>
      <c r="AJ173" s="336"/>
      <c r="AK173" s="336"/>
      <c r="AS173" s="151"/>
    </row>
    <row r="174" spans="1:45" x14ac:dyDescent="0.3">
      <c r="A174" s="2092" t="s">
        <v>47</v>
      </c>
      <c r="B174" s="2092"/>
      <c r="C174" s="2092"/>
      <c r="D174" s="2092"/>
      <c r="E174" s="2089">
        <f>'EFLH &amp; CF'!I20</f>
        <v>8760</v>
      </c>
      <c r="F174" s="2089"/>
      <c r="G174" s="2089"/>
      <c r="H174" s="2106">
        <f>'EFLH &amp; CF'!N20</f>
        <v>1780</v>
      </c>
      <c r="I174" s="2107"/>
      <c r="J174" s="2107"/>
      <c r="K174" s="2108"/>
      <c r="L174" s="2089">
        <f>'EFLH &amp; CF'!S20</f>
        <v>2480</v>
      </c>
      <c r="M174" s="2089"/>
      <c r="N174" s="2089"/>
      <c r="O174" s="2089">
        <f>'EFLH &amp; CF'!X20</f>
        <v>1980</v>
      </c>
      <c r="P174" s="2089"/>
      <c r="Q174" s="2089"/>
      <c r="Y174" s="336"/>
      <c r="Z174" s="336"/>
      <c r="AA174" s="336"/>
      <c r="AB174" s="336"/>
      <c r="AC174" s="336"/>
      <c r="AD174" s="336"/>
      <c r="AE174" s="336"/>
      <c r="AF174" s="336"/>
      <c r="AG174" s="336"/>
      <c r="AH174" s="336"/>
      <c r="AI174" s="336"/>
      <c r="AJ174" s="336"/>
      <c r="AK174" s="336"/>
      <c r="AS174" s="151"/>
    </row>
    <row r="175" spans="1:45" x14ac:dyDescent="0.3">
      <c r="A175" s="2092" t="s">
        <v>217</v>
      </c>
      <c r="B175" s="2092"/>
      <c r="C175" s="2092"/>
      <c r="D175" s="2092"/>
      <c r="E175" s="2089">
        <f>'EFLH &amp; CF'!I21</f>
        <v>8760</v>
      </c>
      <c r="F175" s="2089"/>
      <c r="G175" s="2089"/>
      <c r="H175" s="2106">
        <f>'EFLH &amp; CF'!N21</f>
        <v>3700</v>
      </c>
      <c r="I175" s="2107"/>
      <c r="J175" s="2107"/>
      <c r="K175" s="2108"/>
      <c r="L175" s="2089">
        <f>'EFLH &amp; CF'!S21</f>
        <v>3610</v>
      </c>
      <c r="M175" s="2089"/>
      <c r="N175" s="2089"/>
      <c r="O175" s="2089">
        <f>'EFLH &amp; CF'!X21</f>
        <v>3500</v>
      </c>
      <c r="P175" s="2089"/>
      <c r="Q175" s="2089"/>
      <c r="Y175" s="336"/>
      <c r="Z175" s="336"/>
      <c r="AA175" s="336"/>
      <c r="AB175" s="336"/>
      <c r="AC175" s="336"/>
      <c r="AD175" s="336"/>
      <c r="AE175" s="336"/>
      <c r="AF175" s="336"/>
      <c r="AG175" s="336"/>
      <c r="AH175" s="336"/>
      <c r="AI175" s="336"/>
      <c r="AJ175" s="336"/>
      <c r="AK175" s="336"/>
      <c r="AS175" s="151"/>
    </row>
    <row r="176" spans="1:45" x14ac:dyDescent="0.3">
      <c r="A176" s="2092" t="s">
        <v>218</v>
      </c>
      <c r="B176" s="2092"/>
      <c r="C176" s="2092"/>
      <c r="D176" s="2092"/>
      <c r="E176" s="2089">
        <f>'EFLH &amp; CF'!I22</f>
        <v>8760</v>
      </c>
      <c r="F176" s="2089"/>
      <c r="G176" s="2089"/>
      <c r="H176" s="2106">
        <f>'EFLH &amp; CF'!N22</f>
        <v>2363</v>
      </c>
      <c r="I176" s="2107"/>
      <c r="J176" s="2107"/>
      <c r="K176" s="2108"/>
      <c r="L176" s="2089">
        <f>'EFLH &amp; CF'!S22</f>
        <v>3983</v>
      </c>
      <c r="M176" s="2089"/>
      <c r="N176" s="2089"/>
      <c r="O176" s="2089">
        <f>'EFLH &amp; CF'!X22</f>
        <v>3690</v>
      </c>
      <c r="P176" s="2089"/>
      <c r="Q176" s="2089"/>
      <c r="Y176" s="336"/>
      <c r="Z176" s="336"/>
      <c r="AA176" s="336"/>
      <c r="AB176" s="336"/>
      <c r="AC176" s="336"/>
      <c r="AD176" s="336"/>
      <c r="AE176" s="336"/>
      <c r="AF176" s="336"/>
      <c r="AG176" s="336"/>
      <c r="AH176" s="336"/>
      <c r="AI176" s="336"/>
      <c r="AJ176" s="336"/>
      <c r="AK176" s="336"/>
      <c r="AS176" s="151"/>
    </row>
    <row r="177" spans="1:52" x14ac:dyDescent="0.3">
      <c r="A177" s="2092" t="s">
        <v>219</v>
      </c>
      <c r="B177" s="2092"/>
      <c r="C177" s="2092"/>
      <c r="D177" s="2092"/>
      <c r="E177" s="2089">
        <f>'EFLH &amp; CF'!I23</f>
        <v>8760</v>
      </c>
      <c r="F177" s="2089"/>
      <c r="G177" s="2089"/>
      <c r="H177" s="2106">
        <f>'EFLH &amp; CF'!N23</f>
        <v>1690</v>
      </c>
      <c r="I177" s="2107"/>
      <c r="J177" s="2107"/>
      <c r="K177" s="2108"/>
      <c r="L177" s="2089">
        <f>'EFLH &amp; CF'!S23</f>
        <v>2245</v>
      </c>
      <c r="M177" s="2089"/>
      <c r="N177" s="2089"/>
      <c r="O177" s="2089">
        <f>'EFLH &amp; CF'!X23</f>
        <v>1970</v>
      </c>
      <c r="P177" s="2089"/>
      <c r="Q177" s="2089"/>
      <c r="Y177" s="336"/>
      <c r="Z177" s="336"/>
      <c r="AA177" s="336"/>
      <c r="AB177" s="336"/>
      <c r="AC177" s="336"/>
      <c r="AD177" s="336"/>
      <c r="AE177" s="336"/>
      <c r="AF177" s="336"/>
      <c r="AG177" s="336"/>
      <c r="AH177" s="336"/>
      <c r="AI177" s="336"/>
      <c r="AJ177" s="336"/>
      <c r="AK177" s="336"/>
      <c r="AS177" s="151"/>
    </row>
    <row r="178" spans="1:52" ht="36.75" customHeight="1" x14ac:dyDescent="0.3">
      <c r="A178" s="2109" t="s">
        <v>1715</v>
      </c>
      <c r="B178" s="2109"/>
      <c r="C178" s="2109"/>
      <c r="D178" s="2109"/>
      <c r="E178" s="2109"/>
      <c r="F178" s="2109"/>
      <c r="G178" s="2109"/>
      <c r="H178" s="2109"/>
      <c r="I178" s="2109"/>
      <c r="J178" s="2109"/>
      <c r="K178" s="2109"/>
      <c r="L178" s="2109"/>
      <c r="M178" s="2109"/>
      <c r="N178" s="2109"/>
      <c r="O178" s="2109"/>
      <c r="P178" s="2109"/>
      <c r="Q178" s="2109"/>
      <c r="AR178" s="151"/>
    </row>
    <row r="179" spans="1:52" x14ac:dyDescent="0.3">
      <c r="A179" s="57"/>
      <c r="AH179" s="151"/>
    </row>
    <row r="180" spans="1:52" ht="15.6" x14ac:dyDescent="0.3">
      <c r="A180" s="57" t="s">
        <v>1722</v>
      </c>
      <c r="AH180" s="151"/>
    </row>
    <row r="181" spans="1:52" ht="53.4" customHeight="1" x14ac:dyDescent="0.3">
      <c r="A181" s="2094" t="s">
        <v>46</v>
      </c>
      <c r="B181" s="2095"/>
      <c r="C181" s="2095"/>
      <c r="D181" s="2096"/>
      <c r="E181" s="2100" t="s">
        <v>1714</v>
      </c>
      <c r="F181" s="2101"/>
      <c r="G181" s="2101"/>
      <c r="H181" s="2102"/>
      <c r="I181" s="2100" t="s">
        <v>1710</v>
      </c>
      <c r="J181" s="2101"/>
      <c r="K181" s="2101"/>
      <c r="L181" s="2102"/>
      <c r="M181" s="2093" t="s">
        <v>1797</v>
      </c>
      <c r="N181" s="2093"/>
      <c r="O181" s="2093"/>
      <c r="P181" s="2093"/>
      <c r="Q181" s="2093" t="s">
        <v>1711</v>
      </c>
      <c r="R181" s="2093"/>
      <c r="S181" s="2093"/>
      <c r="T181" s="2093"/>
      <c r="U181" s="2100" t="s">
        <v>251</v>
      </c>
      <c r="V181" s="2101"/>
      <c r="W181" s="2101"/>
      <c r="X181" s="2102"/>
      <c r="Y181" s="2093" t="s">
        <v>1712</v>
      </c>
      <c r="Z181" s="2093"/>
      <c r="AA181" s="2093"/>
      <c r="AB181" s="2093"/>
      <c r="AC181" s="2100" t="s">
        <v>1713</v>
      </c>
      <c r="AD181" s="2101"/>
      <c r="AE181" s="2101"/>
      <c r="AF181" s="2102"/>
      <c r="AZ181" s="151"/>
    </row>
    <row r="182" spans="1:52" x14ac:dyDescent="0.3">
      <c r="A182" s="2097"/>
      <c r="B182" s="2098"/>
      <c r="C182" s="2098"/>
      <c r="D182" s="2099"/>
      <c r="E182" s="2103"/>
      <c r="F182" s="2104"/>
      <c r="G182" s="2104"/>
      <c r="H182" s="2105"/>
      <c r="I182" s="2103"/>
      <c r="J182" s="2104"/>
      <c r="K182" s="2104"/>
      <c r="L182" s="2105"/>
      <c r="M182" s="2019" t="s">
        <v>3422</v>
      </c>
      <c r="N182" s="2021"/>
      <c r="O182" s="2019" t="s">
        <v>3423</v>
      </c>
      <c r="P182" s="2021"/>
      <c r="Q182" s="2019" t="s">
        <v>3422</v>
      </c>
      <c r="R182" s="2021"/>
      <c r="S182" s="2019" t="s">
        <v>3423</v>
      </c>
      <c r="T182" s="2021"/>
      <c r="U182" s="2103"/>
      <c r="V182" s="2104"/>
      <c r="W182" s="2104"/>
      <c r="X182" s="2105"/>
      <c r="Y182" s="2019" t="s">
        <v>3422</v>
      </c>
      <c r="Z182" s="2021"/>
      <c r="AA182" s="2019" t="s">
        <v>3423</v>
      </c>
      <c r="AB182" s="2021"/>
      <c r="AC182" s="2103"/>
      <c r="AD182" s="2104"/>
      <c r="AE182" s="2104"/>
      <c r="AF182" s="2105"/>
      <c r="AZ182" s="151"/>
    </row>
    <row r="183" spans="1:52" ht="30.9" customHeight="1" x14ac:dyDescent="0.3">
      <c r="A183" s="2091" t="s">
        <v>1796</v>
      </c>
      <c r="B183" s="2091"/>
      <c r="C183" s="2091"/>
      <c r="D183" s="2091"/>
      <c r="E183" s="1864">
        <v>1</v>
      </c>
      <c r="F183" s="1864"/>
      <c r="G183" s="1864"/>
      <c r="H183" s="1864"/>
      <c r="I183" s="1864">
        <v>12</v>
      </c>
      <c r="J183" s="1864"/>
      <c r="K183" s="1864"/>
      <c r="L183" s="1864"/>
      <c r="M183" s="1862">
        <v>2</v>
      </c>
      <c r="N183" s="1863"/>
      <c r="O183" s="1862">
        <v>1</v>
      </c>
      <c r="P183" s="1863"/>
      <c r="Q183" s="1862">
        <v>2</v>
      </c>
      <c r="R183" s="1863"/>
      <c r="S183" s="1862">
        <v>1</v>
      </c>
      <c r="T183" s="1863"/>
      <c r="U183" s="1864">
        <v>5</v>
      </c>
      <c r="V183" s="1864"/>
      <c r="W183" s="1864"/>
      <c r="X183" s="1864"/>
      <c r="Y183" s="1862">
        <v>2</v>
      </c>
      <c r="Z183" s="1863"/>
      <c r="AA183" s="1862">
        <v>2</v>
      </c>
      <c r="AB183" s="1863"/>
      <c r="AC183" s="1864">
        <v>23</v>
      </c>
      <c r="AD183" s="1864"/>
      <c r="AE183" s="1864"/>
      <c r="AF183" s="1864"/>
      <c r="AZ183" s="151"/>
    </row>
    <row r="184" spans="1:52" ht="14.4" customHeight="1" x14ac:dyDescent="0.3">
      <c r="A184" s="2091" t="s">
        <v>211</v>
      </c>
      <c r="B184" s="2091"/>
      <c r="C184" s="2091"/>
      <c r="D184" s="2091"/>
      <c r="E184" s="1864">
        <v>1</v>
      </c>
      <c r="F184" s="1864"/>
      <c r="G184" s="1864"/>
      <c r="H184" s="1864"/>
      <c r="I184" s="1864">
        <v>5</v>
      </c>
      <c r="J184" s="1864"/>
      <c r="K184" s="1864"/>
      <c r="L184" s="1864"/>
      <c r="M184" s="1862">
        <v>2</v>
      </c>
      <c r="N184" s="1863"/>
      <c r="O184" s="1862">
        <v>1</v>
      </c>
      <c r="P184" s="1863"/>
      <c r="Q184" s="1862">
        <v>2</v>
      </c>
      <c r="R184" s="1863"/>
      <c r="S184" s="1862">
        <v>1</v>
      </c>
      <c r="T184" s="1863"/>
      <c r="U184" s="1864">
        <v>2</v>
      </c>
      <c r="V184" s="1864"/>
      <c r="W184" s="1864"/>
      <c r="X184" s="1864"/>
      <c r="Y184" s="1862">
        <v>2</v>
      </c>
      <c r="Z184" s="1863"/>
      <c r="AA184" s="1862">
        <v>1</v>
      </c>
      <c r="AB184" s="1863"/>
      <c r="AC184" s="1864">
        <v>15</v>
      </c>
      <c r="AD184" s="1864"/>
      <c r="AE184" s="1864"/>
      <c r="AF184" s="1864"/>
      <c r="AZ184" s="151"/>
    </row>
    <row r="185" spans="1:52" x14ac:dyDescent="0.3">
      <c r="A185" s="2091" t="s">
        <v>212</v>
      </c>
      <c r="B185" s="2091"/>
      <c r="C185" s="2091"/>
      <c r="D185" s="2091"/>
      <c r="E185" s="1864">
        <v>1</v>
      </c>
      <c r="F185" s="1864"/>
      <c r="G185" s="1864"/>
      <c r="H185" s="1864"/>
      <c r="I185" s="1864">
        <v>14</v>
      </c>
      <c r="J185" s="1864"/>
      <c r="K185" s="1864"/>
      <c r="L185" s="1864"/>
      <c r="M185" s="1862">
        <v>2</v>
      </c>
      <c r="N185" s="1863"/>
      <c r="O185" s="1862">
        <v>1</v>
      </c>
      <c r="P185" s="1863"/>
      <c r="Q185" s="1862">
        <v>2</v>
      </c>
      <c r="R185" s="1863"/>
      <c r="S185" s="1862">
        <v>2</v>
      </c>
      <c r="T185" s="1863"/>
      <c r="U185" s="1864">
        <v>6</v>
      </c>
      <c r="V185" s="1864"/>
      <c r="W185" s="1864"/>
      <c r="X185" s="1864"/>
      <c r="Y185" s="1862">
        <v>3</v>
      </c>
      <c r="Z185" s="1863"/>
      <c r="AA185" s="1862">
        <v>3</v>
      </c>
      <c r="AB185" s="1863"/>
      <c r="AC185" s="1864">
        <v>25</v>
      </c>
      <c r="AD185" s="1864"/>
      <c r="AE185" s="1864"/>
      <c r="AF185" s="1864"/>
      <c r="AZ185" s="151"/>
    </row>
    <row r="186" spans="1:52" x14ac:dyDescent="0.3">
      <c r="A186" s="2091" t="s">
        <v>213</v>
      </c>
      <c r="B186" s="2091"/>
      <c r="C186" s="2091"/>
      <c r="D186" s="2091"/>
      <c r="E186" s="1864">
        <v>1</v>
      </c>
      <c r="F186" s="1864"/>
      <c r="G186" s="1864"/>
      <c r="H186" s="1864"/>
      <c r="I186" s="1864">
        <v>5</v>
      </c>
      <c r="J186" s="1864"/>
      <c r="K186" s="1864"/>
      <c r="L186" s="1864"/>
      <c r="M186" s="1862">
        <v>2</v>
      </c>
      <c r="N186" s="1863"/>
      <c r="O186" s="1862">
        <v>1</v>
      </c>
      <c r="P186" s="1863"/>
      <c r="Q186" s="1862">
        <v>2</v>
      </c>
      <c r="R186" s="1863"/>
      <c r="S186" s="1862">
        <v>1</v>
      </c>
      <c r="T186" s="1863"/>
      <c r="U186" s="1864">
        <v>2</v>
      </c>
      <c r="V186" s="1864"/>
      <c r="W186" s="1864"/>
      <c r="X186" s="1864"/>
      <c r="Y186" s="1862">
        <v>2</v>
      </c>
      <c r="Z186" s="1863"/>
      <c r="AA186" s="1862">
        <v>1</v>
      </c>
      <c r="AB186" s="1863"/>
      <c r="AC186" s="1864">
        <v>13</v>
      </c>
      <c r="AD186" s="1864"/>
      <c r="AE186" s="1864"/>
      <c r="AF186" s="1864"/>
      <c r="AZ186" s="151"/>
    </row>
    <row r="187" spans="1:52" x14ac:dyDescent="0.3">
      <c r="A187" s="2091" t="s">
        <v>214</v>
      </c>
      <c r="B187" s="2091"/>
      <c r="C187" s="2091"/>
      <c r="D187" s="2091"/>
      <c r="E187" s="1864">
        <v>1</v>
      </c>
      <c r="F187" s="1864"/>
      <c r="G187" s="1864"/>
      <c r="H187" s="1864"/>
      <c r="I187" s="1864">
        <v>5</v>
      </c>
      <c r="J187" s="1864"/>
      <c r="K187" s="1864"/>
      <c r="L187" s="1864"/>
      <c r="M187" s="1862">
        <v>2</v>
      </c>
      <c r="N187" s="1863"/>
      <c r="O187" s="1862">
        <v>1</v>
      </c>
      <c r="P187" s="1863"/>
      <c r="Q187" s="1862">
        <v>2</v>
      </c>
      <c r="R187" s="1863"/>
      <c r="S187" s="1862">
        <v>1</v>
      </c>
      <c r="T187" s="1863"/>
      <c r="U187" s="1864">
        <v>2</v>
      </c>
      <c r="V187" s="1864"/>
      <c r="W187" s="1864"/>
      <c r="X187" s="1864"/>
      <c r="Y187" s="1862">
        <v>2</v>
      </c>
      <c r="Z187" s="1863"/>
      <c r="AA187" s="1862">
        <v>1</v>
      </c>
      <c r="AB187" s="1863"/>
      <c r="AC187" s="1864">
        <v>12</v>
      </c>
      <c r="AD187" s="1864"/>
      <c r="AE187" s="1864"/>
      <c r="AF187" s="1864"/>
      <c r="AZ187" s="151"/>
    </row>
    <row r="188" spans="1:52" x14ac:dyDescent="0.3">
      <c r="A188" s="2091" t="s">
        <v>215</v>
      </c>
      <c r="B188" s="2091"/>
      <c r="C188" s="2091"/>
      <c r="D188" s="2091"/>
      <c r="E188" s="1864">
        <v>1</v>
      </c>
      <c r="F188" s="1864"/>
      <c r="G188" s="1864"/>
      <c r="H188" s="1864"/>
      <c r="I188" s="1864">
        <v>21</v>
      </c>
      <c r="J188" s="1864"/>
      <c r="K188" s="1864"/>
      <c r="L188" s="1864"/>
      <c r="M188" s="1862">
        <v>2</v>
      </c>
      <c r="N188" s="1863"/>
      <c r="O188" s="1862">
        <v>1</v>
      </c>
      <c r="P188" s="1863"/>
      <c r="Q188" s="1862">
        <v>2</v>
      </c>
      <c r="R188" s="1863"/>
      <c r="S188" s="1862">
        <v>2</v>
      </c>
      <c r="T188" s="1863"/>
      <c r="U188" s="1864">
        <v>7</v>
      </c>
      <c r="V188" s="1864"/>
      <c r="W188" s="1864"/>
      <c r="X188" s="1864"/>
      <c r="Y188" s="1862">
        <v>3</v>
      </c>
      <c r="Z188" s="1863"/>
      <c r="AA188" s="1862">
        <v>3</v>
      </c>
      <c r="AB188" s="1863"/>
      <c r="AC188" s="1864">
        <v>15</v>
      </c>
      <c r="AD188" s="1864"/>
      <c r="AE188" s="1864"/>
      <c r="AF188" s="1864"/>
      <c r="AZ188" s="151"/>
    </row>
    <row r="189" spans="1:52" x14ac:dyDescent="0.3">
      <c r="A189" s="2091" t="s">
        <v>216</v>
      </c>
      <c r="B189" s="2091"/>
      <c r="C189" s="2091"/>
      <c r="D189" s="2091"/>
      <c r="E189" s="1864">
        <v>1</v>
      </c>
      <c r="F189" s="1864"/>
      <c r="G189" s="1864"/>
      <c r="H189" s="1864"/>
      <c r="I189" s="1864">
        <v>10</v>
      </c>
      <c r="J189" s="1864"/>
      <c r="K189" s="1864"/>
      <c r="L189" s="1864"/>
      <c r="M189" s="1862">
        <v>2</v>
      </c>
      <c r="N189" s="1863"/>
      <c r="O189" s="1862">
        <v>1</v>
      </c>
      <c r="P189" s="1863"/>
      <c r="Q189" s="1862">
        <v>2</v>
      </c>
      <c r="R189" s="1863"/>
      <c r="S189" s="1862">
        <v>1</v>
      </c>
      <c r="T189" s="1863"/>
      <c r="U189" s="1864">
        <v>4</v>
      </c>
      <c r="V189" s="1864"/>
      <c r="W189" s="1864"/>
      <c r="X189" s="1864"/>
      <c r="Y189" s="1862">
        <v>2</v>
      </c>
      <c r="Z189" s="1863"/>
      <c r="AA189" s="1862">
        <v>2</v>
      </c>
      <c r="AB189" s="1863"/>
      <c r="AC189" s="1864">
        <v>24</v>
      </c>
      <c r="AD189" s="1864"/>
      <c r="AE189" s="1864"/>
      <c r="AF189" s="1864"/>
      <c r="AZ189" s="151"/>
    </row>
    <row r="190" spans="1:52" x14ac:dyDescent="0.3">
      <c r="A190" s="2091" t="s">
        <v>47</v>
      </c>
      <c r="B190" s="2091"/>
      <c r="C190" s="2091"/>
      <c r="D190" s="2091"/>
      <c r="E190" s="1864">
        <v>1</v>
      </c>
      <c r="F190" s="1864"/>
      <c r="G190" s="1864"/>
      <c r="H190" s="1864"/>
      <c r="I190" s="1864">
        <v>12</v>
      </c>
      <c r="J190" s="1864"/>
      <c r="K190" s="1864"/>
      <c r="L190" s="1864"/>
      <c r="M190" s="1862">
        <v>2</v>
      </c>
      <c r="N190" s="1863"/>
      <c r="O190" s="1862">
        <v>1</v>
      </c>
      <c r="P190" s="1863"/>
      <c r="Q190" s="1862">
        <v>2</v>
      </c>
      <c r="R190" s="1863"/>
      <c r="S190" s="1862">
        <v>2</v>
      </c>
      <c r="T190" s="1863"/>
      <c r="U190" s="1864">
        <v>5</v>
      </c>
      <c r="V190" s="1864"/>
      <c r="W190" s="1864"/>
      <c r="X190" s="1864"/>
      <c r="Y190" s="1862">
        <v>2</v>
      </c>
      <c r="Z190" s="1863"/>
      <c r="AA190" s="1862">
        <v>2</v>
      </c>
      <c r="AB190" s="1863"/>
      <c r="AC190" s="1864">
        <v>25</v>
      </c>
      <c r="AD190" s="1864"/>
      <c r="AE190" s="1864"/>
      <c r="AF190" s="1864"/>
      <c r="AZ190" s="151"/>
    </row>
    <row r="191" spans="1:52" x14ac:dyDescent="0.3">
      <c r="A191" s="2091" t="s">
        <v>217</v>
      </c>
      <c r="B191" s="2091"/>
      <c r="C191" s="2091"/>
      <c r="D191" s="2091"/>
      <c r="E191" s="1864">
        <v>1</v>
      </c>
      <c r="F191" s="1864"/>
      <c r="G191" s="1864"/>
      <c r="H191" s="1864"/>
      <c r="I191" s="1864">
        <v>7</v>
      </c>
      <c r="J191" s="1864"/>
      <c r="K191" s="1864"/>
      <c r="L191" s="1864"/>
      <c r="M191" s="1862">
        <v>2</v>
      </c>
      <c r="N191" s="1863"/>
      <c r="O191" s="1862">
        <v>1</v>
      </c>
      <c r="P191" s="1863"/>
      <c r="Q191" s="1862">
        <v>2</v>
      </c>
      <c r="R191" s="1863"/>
      <c r="S191" s="1862">
        <v>1</v>
      </c>
      <c r="T191" s="1863"/>
      <c r="U191" s="1864">
        <v>2</v>
      </c>
      <c r="V191" s="1864"/>
      <c r="W191" s="1864"/>
      <c r="X191" s="1864"/>
      <c r="Y191" s="1862">
        <v>2</v>
      </c>
      <c r="Z191" s="1863"/>
      <c r="AA191" s="1862">
        <v>1</v>
      </c>
      <c r="AB191" s="1863"/>
      <c r="AC191" s="1864">
        <v>19</v>
      </c>
      <c r="AD191" s="1864"/>
      <c r="AE191" s="1864"/>
      <c r="AF191" s="1864"/>
      <c r="AZ191" s="151"/>
    </row>
    <row r="192" spans="1:52" x14ac:dyDescent="0.3">
      <c r="A192" s="2091" t="s">
        <v>218</v>
      </c>
      <c r="B192" s="2091"/>
      <c r="C192" s="2091"/>
      <c r="D192" s="2091"/>
      <c r="E192" s="1864">
        <v>1</v>
      </c>
      <c r="F192" s="1864"/>
      <c r="G192" s="1864"/>
      <c r="H192" s="1864"/>
      <c r="I192" s="1864">
        <v>7</v>
      </c>
      <c r="J192" s="1864"/>
      <c r="K192" s="1864"/>
      <c r="L192" s="1864"/>
      <c r="M192" s="1862">
        <v>2</v>
      </c>
      <c r="N192" s="1863"/>
      <c r="O192" s="1862">
        <v>1</v>
      </c>
      <c r="P192" s="1863"/>
      <c r="Q192" s="1862">
        <v>2</v>
      </c>
      <c r="R192" s="1863"/>
      <c r="S192" s="1862">
        <v>1</v>
      </c>
      <c r="T192" s="1863"/>
      <c r="U192" s="1864">
        <v>4</v>
      </c>
      <c r="V192" s="1864"/>
      <c r="W192" s="1864"/>
      <c r="X192" s="1864"/>
      <c r="Y192" s="1862">
        <v>2</v>
      </c>
      <c r="Z192" s="1863"/>
      <c r="AA192" s="1862">
        <v>2</v>
      </c>
      <c r="AB192" s="1863"/>
      <c r="AC192" s="1864">
        <v>18</v>
      </c>
      <c r="AD192" s="1864"/>
      <c r="AE192" s="1864"/>
      <c r="AF192" s="1864"/>
      <c r="AZ192" s="151"/>
    </row>
    <row r="193" spans="1:34" x14ac:dyDescent="0.3">
      <c r="A193" s="2091" t="s">
        <v>219</v>
      </c>
      <c r="B193" s="2091"/>
      <c r="C193" s="2091"/>
      <c r="D193" s="2091"/>
      <c r="E193" s="1864">
        <v>1</v>
      </c>
      <c r="F193" s="1864"/>
      <c r="G193" s="1864"/>
      <c r="H193" s="1864"/>
      <c r="I193" s="1864">
        <v>12</v>
      </c>
      <c r="J193" s="1864"/>
      <c r="K193" s="1864"/>
      <c r="L193" s="1864"/>
      <c r="M193" s="1862">
        <v>2</v>
      </c>
      <c r="N193" s="1863"/>
      <c r="O193" s="1862">
        <v>1</v>
      </c>
      <c r="P193" s="1863"/>
      <c r="Q193" s="1862">
        <v>2</v>
      </c>
      <c r="R193" s="1863"/>
      <c r="S193" s="1862">
        <v>2</v>
      </c>
      <c r="T193" s="1863"/>
      <c r="U193" s="1864">
        <v>5</v>
      </c>
      <c r="V193" s="1864"/>
      <c r="W193" s="1864"/>
      <c r="X193" s="1864"/>
      <c r="Y193" s="1862">
        <v>2</v>
      </c>
      <c r="Z193" s="1863"/>
      <c r="AA193" s="1862">
        <v>2</v>
      </c>
      <c r="AB193" s="1863"/>
      <c r="AC193" s="1864">
        <v>25</v>
      </c>
      <c r="AD193" s="1864"/>
      <c r="AE193" s="1864"/>
      <c r="AF193" s="1864"/>
    </row>
    <row r="194" spans="1:34" ht="30.9" customHeight="1" x14ac:dyDescent="0.3">
      <c r="A194" s="2109" t="s">
        <v>1842</v>
      </c>
      <c r="B194" s="2109"/>
      <c r="C194" s="2109"/>
      <c r="D194" s="2109"/>
      <c r="E194" s="2109"/>
      <c r="F194" s="2109"/>
      <c r="G194" s="2109"/>
      <c r="H194" s="2109"/>
      <c r="I194" s="2109"/>
      <c r="J194" s="2109"/>
      <c r="K194" s="2109"/>
      <c r="L194" s="2109"/>
      <c r="M194" s="2109"/>
      <c r="N194" s="2109"/>
      <c r="O194" s="2109"/>
      <c r="P194" s="2109"/>
      <c r="Q194" s="2109"/>
      <c r="R194" s="2109"/>
      <c r="S194" s="2109"/>
      <c r="T194" s="2109"/>
      <c r="U194" s="2109"/>
      <c r="V194" s="2109"/>
      <c r="W194" s="2109"/>
      <c r="X194" s="2109"/>
      <c r="Y194" s="2109"/>
      <c r="Z194" s="2109"/>
      <c r="AA194" s="2109"/>
      <c r="AB194" s="2109"/>
      <c r="AC194" s="2109"/>
      <c r="AD194" s="2109"/>
      <c r="AE194" s="2109"/>
      <c r="AF194" s="2109"/>
    </row>
    <row r="195" spans="1:34" ht="29.4" customHeight="1" x14ac:dyDescent="0.3">
      <c r="A195" s="998" t="s">
        <v>4599</v>
      </c>
      <c r="B195" s="998"/>
      <c r="C195" s="998"/>
      <c r="D195" s="998"/>
      <c r="E195" s="998"/>
      <c r="F195" s="998"/>
      <c r="G195" s="998"/>
      <c r="H195" s="998"/>
      <c r="I195" s="998"/>
      <c r="J195" s="998"/>
      <c r="K195" s="998"/>
      <c r="L195" s="998"/>
      <c r="M195" s="998"/>
      <c r="N195" s="998"/>
      <c r="O195" s="998"/>
      <c r="P195" s="998"/>
      <c r="Q195" s="998"/>
      <c r="R195" s="998"/>
      <c r="S195" s="998"/>
      <c r="T195" s="998"/>
      <c r="U195" s="998"/>
      <c r="V195" s="998"/>
      <c r="W195" s="998"/>
      <c r="X195" s="998"/>
      <c r="Y195" s="998"/>
      <c r="Z195" s="998"/>
      <c r="AA195" s="998"/>
      <c r="AB195" s="998"/>
      <c r="AC195" s="998"/>
      <c r="AD195" s="998"/>
      <c r="AE195" s="998"/>
      <c r="AF195" s="998"/>
    </row>
    <row r="196" spans="1:34" x14ac:dyDescent="0.3">
      <c r="A196" s="253">
        <v>1</v>
      </c>
      <c r="B196" s="253">
        <v>2</v>
      </c>
      <c r="C196" s="253">
        <v>3</v>
      </c>
      <c r="D196" s="253">
        <v>4</v>
      </c>
      <c r="E196" s="253">
        <v>5</v>
      </c>
      <c r="F196" s="253">
        <v>6</v>
      </c>
      <c r="G196" s="253">
        <v>7</v>
      </c>
      <c r="H196" s="253">
        <v>8</v>
      </c>
      <c r="I196" s="253">
        <v>9</v>
      </c>
      <c r="J196" s="253">
        <v>10</v>
      </c>
      <c r="K196" s="253">
        <v>11</v>
      </c>
      <c r="L196" s="253">
        <v>12</v>
      </c>
      <c r="M196" s="253">
        <v>13</v>
      </c>
      <c r="N196" s="253">
        <v>14</v>
      </c>
      <c r="O196" s="253">
        <v>15</v>
      </c>
      <c r="P196" s="253">
        <v>16</v>
      </c>
      <c r="Q196" s="253">
        <v>17</v>
      </c>
      <c r="R196" s="253">
        <v>18</v>
      </c>
      <c r="S196" s="253">
        <v>19</v>
      </c>
      <c r="T196" s="253">
        <v>20</v>
      </c>
      <c r="U196" s="253">
        <v>21</v>
      </c>
      <c r="V196" s="253">
        <v>22</v>
      </c>
      <c r="W196" s="253">
        <v>23</v>
      </c>
      <c r="X196" s="253">
        <v>24</v>
      </c>
      <c r="Y196" s="253">
        <v>25</v>
      </c>
      <c r="Z196" s="253">
        <v>26</v>
      </c>
      <c r="AA196" s="253">
        <v>27</v>
      </c>
      <c r="AB196" s="253">
        <v>28</v>
      </c>
      <c r="AC196" s="253">
        <v>29</v>
      </c>
      <c r="AD196" s="253">
        <v>30</v>
      </c>
      <c r="AE196" s="253">
        <v>31</v>
      </c>
      <c r="AF196" s="253">
        <v>32</v>
      </c>
      <c r="AH196" s="151"/>
    </row>
    <row r="197" spans="1:34" ht="18.899999999999999" customHeight="1" x14ac:dyDescent="0.3">
      <c r="A197" s="57" t="s">
        <v>1723</v>
      </c>
      <c r="S197" s="57" t="s">
        <v>1725</v>
      </c>
      <c r="AH197" s="151"/>
    </row>
    <row r="198" spans="1:34" ht="64.5" customHeight="1" x14ac:dyDescent="0.3">
      <c r="A198" s="2090" t="s">
        <v>46</v>
      </c>
      <c r="B198" s="2090"/>
      <c r="C198" s="2090"/>
      <c r="D198" s="2090"/>
      <c r="E198" s="2019" t="s">
        <v>241</v>
      </c>
      <c r="F198" s="2020"/>
      <c r="G198" s="2021"/>
      <c r="H198" s="2019" t="s">
        <v>1720</v>
      </c>
      <c r="I198" s="2020"/>
      <c r="J198" s="2020"/>
      <c r="K198" s="2020"/>
      <c r="L198" s="2019" t="s">
        <v>1721</v>
      </c>
      <c r="M198" s="2020"/>
      <c r="N198" s="2021"/>
      <c r="O198" s="2019" t="s">
        <v>1716</v>
      </c>
      <c r="P198" s="2020"/>
      <c r="Q198" s="2021"/>
      <c r="S198" s="2090" t="s">
        <v>46</v>
      </c>
      <c r="T198" s="2090"/>
      <c r="U198" s="2090"/>
      <c r="V198" s="2090"/>
      <c r="W198" s="2007" t="s">
        <v>1726</v>
      </c>
      <c r="X198" s="2007"/>
      <c r="Y198" s="2007"/>
      <c r="Z198" s="2007"/>
      <c r="AH198" s="151"/>
    </row>
    <row r="199" spans="1:34" ht="30.9" customHeight="1" x14ac:dyDescent="0.3">
      <c r="A199" s="2091" t="s">
        <v>1796</v>
      </c>
      <c r="B199" s="2091"/>
      <c r="C199" s="2091"/>
      <c r="D199" s="2091"/>
      <c r="E199" s="2089">
        <v>18</v>
      </c>
      <c r="F199" s="2089"/>
      <c r="G199" s="2089"/>
      <c r="H199" s="2106">
        <v>8</v>
      </c>
      <c r="I199" s="2107"/>
      <c r="J199" s="2107"/>
      <c r="K199" s="2108"/>
      <c r="L199" s="2106">
        <v>16</v>
      </c>
      <c r="M199" s="2107"/>
      <c r="N199" s="2108"/>
      <c r="O199" s="2106">
        <v>25</v>
      </c>
      <c r="P199" s="2107"/>
      <c r="Q199" s="2108"/>
      <c r="S199" s="2091" t="s">
        <v>1796</v>
      </c>
      <c r="T199" s="2091"/>
      <c r="U199" s="2091"/>
      <c r="V199" s="2091"/>
      <c r="W199" s="2013">
        <v>4</v>
      </c>
      <c r="X199" s="2013"/>
      <c r="Y199" s="2013"/>
      <c r="Z199" s="2013"/>
      <c r="AH199" s="151"/>
    </row>
    <row r="200" spans="1:34" x14ac:dyDescent="0.3">
      <c r="A200" s="2092" t="s">
        <v>211</v>
      </c>
      <c r="B200" s="2092"/>
      <c r="C200" s="2092"/>
      <c r="D200" s="2092"/>
      <c r="E200" s="2089">
        <v>18</v>
      </c>
      <c r="F200" s="2089"/>
      <c r="G200" s="2089"/>
      <c r="H200" s="2106">
        <v>3</v>
      </c>
      <c r="I200" s="2107"/>
      <c r="J200" s="2107"/>
      <c r="K200" s="2108"/>
      <c r="L200" s="2106">
        <v>10</v>
      </c>
      <c r="M200" s="2107"/>
      <c r="N200" s="2108"/>
      <c r="O200" s="2106">
        <v>11</v>
      </c>
      <c r="P200" s="2107"/>
      <c r="Q200" s="2108"/>
      <c r="S200" s="2092" t="s">
        <v>211</v>
      </c>
      <c r="T200" s="2092"/>
      <c r="U200" s="2092"/>
      <c r="V200" s="2092"/>
      <c r="W200" s="2013">
        <v>2</v>
      </c>
      <c r="X200" s="2013"/>
      <c r="Y200" s="2013"/>
      <c r="Z200" s="2013"/>
      <c r="AH200" s="151"/>
    </row>
    <row r="201" spans="1:34" x14ac:dyDescent="0.3">
      <c r="A201" s="2092" t="s">
        <v>212</v>
      </c>
      <c r="B201" s="2092"/>
      <c r="C201" s="2092"/>
      <c r="D201" s="2092"/>
      <c r="E201" s="2089">
        <v>18</v>
      </c>
      <c r="F201" s="2089"/>
      <c r="G201" s="2089"/>
      <c r="H201" s="2106">
        <v>10</v>
      </c>
      <c r="I201" s="2107"/>
      <c r="J201" s="2107"/>
      <c r="K201" s="2108"/>
      <c r="L201" s="2106">
        <v>23</v>
      </c>
      <c r="M201" s="2107"/>
      <c r="N201" s="2108"/>
      <c r="O201" s="2106">
        <v>25</v>
      </c>
      <c r="P201" s="2107"/>
      <c r="Q201" s="2108"/>
      <c r="S201" s="2092" t="s">
        <v>212</v>
      </c>
      <c r="T201" s="2092"/>
      <c r="U201" s="2092"/>
      <c r="V201" s="2092"/>
      <c r="W201" s="2013">
        <v>5</v>
      </c>
      <c r="X201" s="2013"/>
      <c r="Y201" s="2013"/>
      <c r="Z201" s="2013"/>
      <c r="AH201" s="151"/>
    </row>
    <row r="202" spans="1:34" x14ac:dyDescent="0.3">
      <c r="A202" s="2092" t="s">
        <v>213</v>
      </c>
      <c r="B202" s="2092"/>
      <c r="C202" s="2092"/>
      <c r="D202" s="2092"/>
      <c r="E202" s="2089">
        <v>18</v>
      </c>
      <c r="F202" s="2089"/>
      <c r="G202" s="2089"/>
      <c r="H202" s="2106">
        <v>3</v>
      </c>
      <c r="I202" s="2107"/>
      <c r="J202" s="2107"/>
      <c r="K202" s="2108"/>
      <c r="L202" s="2106">
        <v>9</v>
      </c>
      <c r="M202" s="2107"/>
      <c r="N202" s="2108"/>
      <c r="O202" s="2106">
        <v>10</v>
      </c>
      <c r="P202" s="2107"/>
      <c r="Q202" s="2108"/>
      <c r="S202" s="2092" t="s">
        <v>213</v>
      </c>
      <c r="T202" s="2092"/>
      <c r="U202" s="2092"/>
      <c r="V202" s="2092"/>
      <c r="W202" s="2013">
        <v>2</v>
      </c>
      <c r="X202" s="2013"/>
      <c r="Y202" s="2013"/>
      <c r="Z202" s="2013"/>
      <c r="AH202" s="151"/>
    </row>
    <row r="203" spans="1:34" x14ac:dyDescent="0.3">
      <c r="A203" s="2092" t="s">
        <v>214</v>
      </c>
      <c r="B203" s="2092"/>
      <c r="C203" s="2092"/>
      <c r="D203" s="2092"/>
      <c r="E203" s="2089">
        <v>18</v>
      </c>
      <c r="F203" s="2089"/>
      <c r="G203" s="2089"/>
      <c r="H203" s="2106">
        <v>3</v>
      </c>
      <c r="I203" s="2107"/>
      <c r="J203" s="2107"/>
      <c r="K203" s="2108"/>
      <c r="L203" s="2106">
        <v>9</v>
      </c>
      <c r="M203" s="2107"/>
      <c r="N203" s="2108"/>
      <c r="O203" s="2106">
        <v>10</v>
      </c>
      <c r="P203" s="2107"/>
      <c r="Q203" s="2108"/>
      <c r="S203" s="2092" t="s">
        <v>214</v>
      </c>
      <c r="T203" s="2092"/>
      <c r="U203" s="2092"/>
      <c r="V203" s="2092"/>
      <c r="W203" s="2013">
        <v>2</v>
      </c>
      <c r="X203" s="2013"/>
      <c r="Y203" s="2013"/>
      <c r="Z203" s="2013"/>
      <c r="AH203" s="151"/>
    </row>
    <row r="204" spans="1:34" x14ac:dyDescent="0.3">
      <c r="A204" s="2092" t="s">
        <v>215</v>
      </c>
      <c r="B204" s="2092"/>
      <c r="C204" s="2092"/>
      <c r="D204" s="2092"/>
      <c r="E204" s="2089">
        <v>18</v>
      </c>
      <c r="F204" s="2089"/>
      <c r="G204" s="2089"/>
      <c r="H204" s="2106">
        <v>12</v>
      </c>
      <c r="I204" s="2107"/>
      <c r="J204" s="2107"/>
      <c r="K204" s="2108"/>
      <c r="L204" s="2106">
        <v>10</v>
      </c>
      <c r="M204" s="2107"/>
      <c r="N204" s="2108"/>
      <c r="O204" s="2106">
        <v>25</v>
      </c>
      <c r="P204" s="2107"/>
      <c r="Q204" s="2108"/>
      <c r="S204" s="2092" t="s">
        <v>215</v>
      </c>
      <c r="T204" s="2092"/>
      <c r="U204" s="2092"/>
      <c r="V204" s="2092"/>
      <c r="W204" s="2013">
        <v>7</v>
      </c>
      <c r="X204" s="2013"/>
      <c r="Y204" s="2013"/>
      <c r="Z204" s="2013"/>
      <c r="AH204" s="151"/>
    </row>
    <row r="205" spans="1:34" x14ac:dyDescent="0.3">
      <c r="A205" s="2092" t="s">
        <v>216</v>
      </c>
      <c r="B205" s="2092"/>
      <c r="C205" s="2092"/>
      <c r="D205" s="2092"/>
      <c r="E205" s="2089">
        <v>18</v>
      </c>
      <c r="F205" s="2089"/>
      <c r="G205" s="2089"/>
      <c r="H205" s="2106">
        <v>7</v>
      </c>
      <c r="I205" s="2107"/>
      <c r="J205" s="2107"/>
      <c r="K205" s="2108"/>
      <c r="L205" s="2106">
        <v>17</v>
      </c>
      <c r="M205" s="2107"/>
      <c r="N205" s="2108"/>
      <c r="O205" s="2106">
        <v>22</v>
      </c>
      <c r="P205" s="2107"/>
      <c r="Q205" s="2108"/>
      <c r="S205" s="2092" t="s">
        <v>216</v>
      </c>
      <c r="T205" s="2092"/>
      <c r="U205" s="2092"/>
      <c r="V205" s="2092"/>
      <c r="W205" s="2013">
        <v>3</v>
      </c>
      <c r="X205" s="2013"/>
      <c r="Y205" s="2013"/>
      <c r="Z205" s="2013"/>
      <c r="AH205" s="151"/>
    </row>
    <row r="206" spans="1:34" x14ac:dyDescent="0.3">
      <c r="A206" s="2092" t="s">
        <v>47</v>
      </c>
      <c r="B206" s="2092"/>
      <c r="C206" s="2092"/>
      <c r="D206" s="2092"/>
      <c r="E206" s="2089">
        <v>18</v>
      </c>
      <c r="F206" s="2089"/>
      <c r="G206" s="2089"/>
      <c r="H206" s="2106">
        <v>8</v>
      </c>
      <c r="I206" s="2107"/>
      <c r="J206" s="2107"/>
      <c r="K206" s="2108"/>
      <c r="L206" s="2106">
        <v>20</v>
      </c>
      <c r="M206" s="2107"/>
      <c r="N206" s="2108"/>
      <c r="O206" s="2106">
        <v>25</v>
      </c>
      <c r="P206" s="2107"/>
      <c r="Q206" s="2108"/>
      <c r="S206" s="2092" t="s">
        <v>47</v>
      </c>
      <c r="T206" s="2092"/>
      <c r="U206" s="2092"/>
      <c r="V206" s="2092"/>
      <c r="W206" s="2013">
        <v>4</v>
      </c>
      <c r="X206" s="2013"/>
      <c r="Y206" s="2013"/>
      <c r="Z206" s="2013"/>
      <c r="AH206" s="151"/>
    </row>
    <row r="207" spans="1:34" x14ac:dyDescent="0.3">
      <c r="A207" s="2092" t="s">
        <v>217</v>
      </c>
      <c r="B207" s="2092"/>
      <c r="C207" s="2092"/>
      <c r="D207" s="2092"/>
      <c r="E207" s="2089">
        <v>18</v>
      </c>
      <c r="F207" s="2089"/>
      <c r="G207" s="2089"/>
      <c r="H207" s="2106">
        <v>4</v>
      </c>
      <c r="I207" s="2107"/>
      <c r="J207" s="2107"/>
      <c r="K207" s="2108"/>
      <c r="L207" s="2106">
        <v>14</v>
      </c>
      <c r="M207" s="2107"/>
      <c r="N207" s="2108"/>
      <c r="O207" s="2106">
        <v>14</v>
      </c>
      <c r="P207" s="2107"/>
      <c r="Q207" s="2108"/>
      <c r="S207" s="2092" t="s">
        <v>217</v>
      </c>
      <c r="T207" s="2092"/>
      <c r="U207" s="2092"/>
      <c r="V207" s="2092"/>
      <c r="W207" s="2013">
        <v>2</v>
      </c>
      <c r="X207" s="2013"/>
      <c r="Y207" s="2013"/>
      <c r="Z207" s="2013"/>
      <c r="AH207" s="151"/>
    </row>
    <row r="208" spans="1:34" x14ac:dyDescent="0.3">
      <c r="A208" s="2092" t="s">
        <v>218</v>
      </c>
      <c r="B208" s="2092"/>
      <c r="C208" s="2092"/>
      <c r="D208" s="2092"/>
      <c r="E208" s="2089">
        <v>18</v>
      </c>
      <c r="F208" s="2089"/>
      <c r="G208" s="2089"/>
      <c r="H208" s="2106">
        <v>6</v>
      </c>
      <c r="I208" s="2107"/>
      <c r="J208" s="2107"/>
      <c r="K208" s="2108"/>
      <c r="L208" s="2106">
        <v>13</v>
      </c>
      <c r="M208" s="2107"/>
      <c r="N208" s="2108"/>
      <c r="O208" s="2106">
        <v>14</v>
      </c>
      <c r="P208" s="2107"/>
      <c r="Q208" s="2108"/>
      <c r="S208" s="2092" t="s">
        <v>218</v>
      </c>
      <c r="T208" s="2092"/>
      <c r="U208" s="2092"/>
      <c r="V208" s="2092"/>
      <c r="W208" s="2013">
        <v>2</v>
      </c>
      <c r="X208" s="2013"/>
      <c r="Y208" s="2013"/>
      <c r="Z208" s="2013"/>
      <c r="AH208" s="151"/>
    </row>
    <row r="209" spans="1:42" x14ac:dyDescent="0.3">
      <c r="A209" s="2092" t="s">
        <v>219</v>
      </c>
      <c r="B209" s="2092"/>
      <c r="C209" s="2092"/>
      <c r="D209" s="2092"/>
      <c r="E209" s="2089">
        <v>18</v>
      </c>
      <c r="F209" s="2089"/>
      <c r="G209" s="2089"/>
      <c r="H209" s="2106">
        <v>9</v>
      </c>
      <c r="I209" s="2107"/>
      <c r="J209" s="2107"/>
      <c r="K209" s="2108"/>
      <c r="L209" s="2106">
        <v>22</v>
      </c>
      <c r="M209" s="2107"/>
      <c r="N209" s="2108"/>
      <c r="O209" s="2106">
        <v>25</v>
      </c>
      <c r="P209" s="2107"/>
      <c r="Q209" s="2108"/>
      <c r="S209" s="2092" t="s">
        <v>219</v>
      </c>
      <c r="T209" s="2092"/>
      <c r="U209" s="2092"/>
      <c r="V209" s="2092"/>
      <c r="W209" s="2013">
        <v>4</v>
      </c>
      <c r="X209" s="2013"/>
      <c r="Y209" s="2013"/>
      <c r="Z209" s="2013"/>
      <c r="AH209" s="151"/>
    </row>
    <row r="210" spans="1:42" ht="57" customHeight="1" x14ac:dyDescent="0.3">
      <c r="A210" s="1127" t="s">
        <v>1724</v>
      </c>
      <c r="B210" s="1127"/>
      <c r="C210" s="1127"/>
      <c r="D210" s="1127"/>
      <c r="E210" s="1127"/>
      <c r="F210" s="1127"/>
      <c r="G210" s="1127"/>
      <c r="H210" s="1127"/>
      <c r="I210" s="1127"/>
      <c r="J210" s="1127"/>
      <c r="K210" s="1127"/>
      <c r="L210" s="1127"/>
      <c r="M210" s="1127"/>
      <c r="N210" s="1127"/>
      <c r="O210" s="1127"/>
      <c r="P210" s="1127"/>
      <c r="Q210" s="1127"/>
      <c r="R210" s="131"/>
      <c r="S210" s="1270" t="s">
        <v>1727</v>
      </c>
      <c r="T210" s="1270"/>
      <c r="U210" s="1270"/>
      <c r="V210" s="1270"/>
      <c r="W210" s="1270"/>
      <c r="X210" s="1270"/>
      <c r="Y210" s="1270"/>
      <c r="Z210" s="1270"/>
      <c r="AH210" s="151"/>
    </row>
    <row r="211" spans="1:42" x14ac:dyDescent="0.3">
      <c r="A211" s="57"/>
      <c r="AH211" s="151"/>
    </row>
    <row r="212" spans="1:42" x14ac:dyDescent="0.3">
      <c r="A212" s="1141" t="s">
        <v>14</v>
      </c>
      <c r="B212" s="1141"/>
      <c r="C212" s="1141"/>
      <c r="D212" s="1141"/>
      <c r="E212" s="1141"/>
      <c r="F212" s="1141"/>
      <c r="G212" s="1141"/>
      <c r="H212" s="1141"/>
      <c r="I212" s="1141"/>
      <c r="J212" s="1141"/>
      <c r="K212" s="1141"/>
      <c r="L212" s="1141"/>
      <c r="M212" s="1141"/>
      <c r="N212" s="1141"/>
      <c r="O212" s="1141"/>
      <c r="P212" s="1141"/>
      <c r="Q212" s="1141"/>
      <c r="R212" s="1141"/>
      <c r="S212" s="1141"/>
      <c r="T212" s="1141"/>
      <c r="U212" s="1141"/>
      <c r="V212" s="1141"/>
      <c r="W212" s="1141"/>
      <c r="X212" s="1141"/>
      <c r="Y212" s="1141"/>
      <c r="Z212" s="1141"/>
      <c r="AA212" s="1141"/>
      <c r="AB212" s="1141"/>
      <c r="AC212" s="1141"/>
      <c r="AD212" s="1141"/>
      <c r="AE212" s="1141"/>
      <c r="AF212" s="1141"/>
      <c r="AJ212" s="59"/>
    </row>
    <row r="214" spans="1:42" x14ac:dyDescent="0.3">
      <c r="B214" s="231" t="s">
        <v>1791</v>
      </c>
    </row>
    <row r="215" spans="1:42" x14ac:dyDescent="0.3">
      <c r="B215" s="1849" t="s">
        <v>237</v>
      </c>
      <c r="C215" s="1850"/>
      <c r="D215" s="1850"/>
      <c r="E215" s="1850"/>
      <c r="F215" s="1850"/>
      <c r="G215" s="1850"/>
      <c r="H215" s="1850"/>
      <c r="I215" s="1850"/>
      <c r="J215" s="1851"/>
      <c r="K215" s="1849" t="s">
        <v>1772</v>
      </c>
      <c r="L215" s="1850"/>
      <c r="M215" s="1850"/>
      <c r="N215" s="1850"/>
      <c r="O215" s="1850"/>
      <c r="P215" s="1850"/>
      <c r="Q215" s="1850"/>
      <c r="R215" s="1850"/>
      <c r="S215" s="1850"/>
      <c r="T215" s="1850"/>
      <c r="U215" s="1850"/>
      <c r="V215" s="1851"/>
      <c r="W215" s="252"/>
      <c r="X215" s="252"/>
      <c r="Y215" s="252"/>
      <c r="Z215" s="252"/>
      <c r="AA215" s="252"/>
      <c r="AB215" s="252"/>
      <c r="AC215" s="252"/>
      <c r="AD215" s="252"/>
      <c r="AE215" s="252"/>
      <c r="AF215" s="252"/>
      <c r="AG215" s="239"/>
      <c r="AH215" s="239"/>
      <c r="AI215" s="239"/>
      <c r="AJ215" s="239"/>
      <c r="AK215" s="239"/>
      <c r="AL215" s="239"/>
      <c r="AM215" s="239"/>
      <c r="AN215" s="239"/>
      <c r="AO215" s="239"/>
      <c r="AP215" s="239"/>
    </row>
    <row r="216" spans="1:42" x14ac:dyDescent="0.3">
      <c r="B216" s="1853" t="s">
        <v>1767</v>
      </c>
      <c r="C216" s="1854"/>
      <c r="D216" s="1854"/>
      <c r="E216" s="1854"/>
      <c r="F216" s="1854"/>
      <c r="G216" s="1854"/>
      <c r="H216" s="1854"/>
      <c r="I216" s="1854"/>
      <c r="J216" s="1855"/>
      <c r="K216" s="1856" t="s">
        <v>1768</v>
      </c>
      <c r="L216" s="1857"/>
      <c r="M216" s="1857"/>
      <c r="N216" s="1857"/>
      <c r="O216" s="1857"/>
      <c r="P216" s="1858"/>
      <c r="Q216" s="1902" t="s">
        <v>1769</v>
      </c>
      <c r="R216" s="1903"/>
      <c r="S216" s="1903"/>
      <c r="T216" s="1903"/>
      <c r="U216" s="1903"/>
      <c r="V216" s="1904"/>
      <c r="W216" s="594"/>
      <c r="X216" s="595"/>
      <c r="Y216" s="595"/>
      <c r="Z216" s="595"/>
      <c r="AA216" s="595"/>
      <c r="AB216" s="595"/>
      <c r="AC216" s="595"/>
      <c r="AD216" s="595"/>
      <c r="AE216" s="595"/>
      <c r="AF216" s="595"/>
      <c r="AG216" s="239"/>
      <c r="AH216" s="239"/>
      <c r="AI216" s="239"/>
      <c r="AJ216" s="239"/>
      <c r="AK216" s="239"/>
      <c r="AL216" s="239"/>
      <c r="AM216" s="239"/>
      <c r="AN216" s="239"/>
      <c r="AO216" s="239"/>
      <c r="AP216" s="239"/>
    </row>
    <row r="217" spans="1:42" x14ac:dyDescent="0.3">
      <c r="B217" s="1853" t="s">
        <v>1770</v>
      </c>
      <c r="C217" s="1854"/>
      <c r="D217" s="1854"/>
      <c r="E217" s="1854"/>
      <c r="F217" s="1854"/>
      <c r="G217" s="1854"/>
      <c r="H217" s="1854"/>
      <c r="I217" s="1854"/>
      <c r="J217" s="1855"/>
      <c r="K217" s="1859" t="s">
        <v>1768</v>
      </c>
      <c r="L217" s="1860"/>
      <c r="M217" s="1860"/>
      <c r="N217" s="1860"/>
      <c r="O217" s="1860"/>
      <c r="P217" s="1861"/>
      <c r="Q217" s="1899" t="s">
        <v>1769</v>
      </c>
      <c r="R217" s="1900"/>
      <c r="S217" s="1900"/>
      <c r="T217" s="1900"/>
      <c r="U217" s="1900"/>
      <c r="V217" s="1901"/>
      <c r="W217" s="594"/>
      <c r="X217" s="595"/>
      <c r="Y217" s="595"/>
      <c r="Z217" s="595"/>
      <c r="AA217" s="595"/>
      <c r="AB217" s="595"/>
      <c r="AC217" s="595"/>
      <c r="AD217" s="595"/>
      <c r="AE217" s="595"/>
      <c r="AF217" s="595"/>
      <c r="AG217" s="239"/>
      <c r="AH217" s="239"/>
      <c r="AI217" s="239"/>
      <c r="AJ217" s="239"/>
      <c r="AK217" s="239"/>
      <c r="AL217" s="239"/>
      <c r="AM217" s="239"/>
      <c r="AN217" s="239"/>
      <c r="AO217" s="239"/>
      <c r="AP217" s="239"/>
    </row>
    <row r="218" spans="1:42" x14ac:dyDescent="0.3">
      <c r="B218" s="1853" t="s">
        <v>1774</v>
      </c>
      <c r="C218" s="1854"/>
      <c r="D218" s="1854"/>
      <c r="E218" s="1854"/>
      <c r="F218" s="1854"/>
      <c r="G218" s="1854"/>
      <c r="H218" s="1854"/>
      <c r="I218" s="1854"/>
      <c r="J218" s="1855"/>
      <c r="K218" s="1859" t="s">
        <v>1768</v>
      </c>
      <c r="L218" s="1860"/>
      <c r="M218" s="1860"/>
      <c r="N218" s="1860"/>
      <c r="O218" s="1860"/>
      <c r="P218" s="1861"/>
      <c r="Q218" s="1899" t="s">
        <v>1769</v>
      </c>
      <c r="R218" s="1900"/>
      <c r="S218" s="1900"/>
      <c r="T218" s="1900"/>
      <c r="U218" s="1900"/>
      <c r="V218" s="1901"/>
      <c r="W218" s="594"/>
      <c r="X218" s="595"/>
      <c r="Y218" s="595"/>
      <c r="Z218" s="595"/>
      <c r="AA218" s="595"/>
      <c r="AB218" s="595"/>
      <c r="AC218" s="595"/>
      <c r="AD218" s="595"/>
      <c r="AE218" s="595"/>
      <c r="AF218" s="595"/>
      <c r="AG218" s="239"/>
      <c r="AH218" s="239"/>
      <c r="AI218" s="239"/>
      <c r="AJ218" s="239"/>
      <c r="AK218" s="239"/>
      <c r="AL218" s="239"/>
      <c r="AM218" s="239"/>
      <c r="AN218" s="239"/>
      <c r="AO218" s="239"/>
      <c r="AP218" s="239"/>
    </row>
    <row r="219" spans="1:42" x14ac:dyDescent="0.3">
      <c r="B219" s="1853" t="s">
        <v>1775</v>
      </c>
      <c r="C219" s="1854"/>
      <c r="D219" s="1854"/>
      <c r="E219" s="1854"/>
      <c r="F219" s="1854"/>
      <c r="G219" s="1854"/>
      <c r="H219" s="1854"/>
      <c r="I219" s="1854"/>
      <c r="J219" s="1855"/>
      <c r="K219" s="1859" t="s">
        <v>1768</v>
      </c>
      <c r="L219" s="1860"/>
      <c r="M219" s="1860"/>
      <c r="N219" s="1860"/>
      <c r="O219" s="1860"/>
      <c r="P219" s="1861"/>
      <c r="Q219" s="1899" t="s">
        <v>1769</v>
      </c>
      <c r="R219" s="1900"/>
      <c r="S219" s="1900"/>
      <c r="T219" s="1900"/>
      <c r="U219" s="1900"/>
      <c r="V219" s="1901"/>
      <c r="W219" s="594"/>
      <c r="X219" s="595"/>
      <c r="Y219" s="595"/>
      <c r="Z219" s="595"/>
      <c r="AA219" s="595"/>
      <c r="AB219" s="595"/>
      <c r="AC219" s="595"/>
      <c r="AD219" s="595"/>
      <c r="AE219" s="595"/>
      <c r="AF219" s="595"/>
      <c r="AG219" s="239"/>
      <c r="AH219" s="239"/>
      <c r="AI219" s="239"/>
      <c r="AJ219" s="239"/>
      <c r="AK219" s="239"/>
      <c r="AL219" s="239"/>
      <c r="AM219" s="239"/>
      <c r="AN219" s="239"/>
      <c r="AO219" s="239"/>
      <c r="AP219" s="239"/>
    </row>
    <row r="220" spans="1:42" x14ac:dyDescent="0.3">
      <c r="B220" s="1853" t="s">
        <v>1776</v>
      </c>
      <c r="C220" s="1854"/>
      <c r="D220" s="1854"/>
      <c r="E220" s="1854"/>
      <c r="F220" s="1854"/>
      <c r="G220" s="1854"/>
      <c r="H220" s="1854"/>
      <c r="I220" s="1854"/>
      <c r="J220" s="1855"/>
      <c r="K220" s="1859" t="s">
        <v>1768</v>
      </c>
      <c r="L220" s="1860"/>
      <c r="M220" s="1860"/>
      <c r="N220" s="1860"/>
      <c r="O220" s="1860"/>
      <c r="P220" s="1861"/>
      <c r="Q220" s="1899" t="s">
        <v>1769</v>
      </c>
      <c r="R220" s="1900"/>
      <c r="S220" s="1900"/>
      <c r="T220" s="1900"/>
      <c r="U220" s="1900"/>
      <c r="V220" s="1901"/>
      <c r="W220" s="594"/>
      <c r="X220" s="595"/>
      <c r="Y220" s="595"/>
      <c r="Z220" s="595"/>
      <c r="AA220" s="595"/>
      <c r="AB220" s="595"/>
      <c r="AC220" s="595"/>
      <c r="AD220" s="595"/>
      <c r="AE220" s="595"/>
      <c r="AF220" s="595"/>
      <c r="AG220" s="239"/>
      <c r="AH220" s="239"/>
      <c r="AI220" s="239"/>
      <c r="AJ220" s="239"/>
      <c r="AK220" s="249"/>
      <c r="AL220" s="249"/>
      <c r="AM220" s="249"/>
      <c r="AN220" s="249"/>
      <c r="AO220" s="249"/>
      <c r="AP220" s="249"/>
    </row>
    <row r="221" spans="1:42" x14ac:dyDescent="0.3">
      <c r="B221" s="1853" t="s">
        <v>1777</v>
      </c>
      <c r="C221" s="1854"/>
      <c r="D221" s="1854"/>
      <c r="E221" s="1854"/>
      <c r="F221" s="1854"/>
      <c r="G221" s="1854"/>
      <c r="H221" s="1854"/>
      <c r="I221" s="1854"/>
      <c r="J221" s="1855"/>
      <c r="K221" s="1859" t="s">
        <v>1768</v>
      </c>
      <c r="L221" s="1860"/>
      <c r="M221" s="1860"/>
      <c r="N221" s="1860"/>
      <c r="O221" s="1860"/>
      <c r="P221" s="1861"/>
      <c r="Q221" s="1899" t="s">
        <v>1769</v>
      </c>
      <c r="R221" s="1900"/>
      <c r="S221" s="1900"/>
      <c r="T221" s="1900"/>
      <c r="U221" s="1900"/>
      <c r="V221" s="1901"/>
      <c r="W221" s="594"/>
      <c r="X221" s="595"/>
      <c r="Y221" s="595"/>
      <c r="Z221" s="595"/>
      <c r="AA221" s="595"/>
      <c r="AB221" s="595"/>
      <c r="AC221" s="595"/>
      <c r="AD221" s="595"/>
      <c r="AE221" s="595"/>
      <c r="AF221" s="595"/>
      <c r="AG221" s="239"/>
      <c r="AH221" s="239"/>
      <c r="AI221" s="239"/>
      <c r="AJ221" s="239"/>
      <c r="AK221" s="249"/>
      <c r="AL221" s="249"/>
      <c r="AM221" s="249"/>
      <c r="AN221" s="249"/>
      <c r="AO221" s="249"/>
      <c r="AP221" s="249"/>
    </row>
    <row r="222" spans="1:42" x14ac:dyDescent="0.3">
      <c r="B222" s="1887" t="s">
        <v>5765</v>
      </c>
      <c r="C222" s="1888"/>
      <c r="D222" s="1888"/>
      <c r="E222" s="1888"/>
      <c r="F222" s="1888"/>
      <c r="G222" s="1888"/>
      <c r="H222" s="1888"/>
      <c r="I222" s="1888"/>
      <c r="J222" s="1889"/>
      <c r="K222" s="1859" t="s">
        <v>1768</v>
      </c>
      <c r="L222" s="1860"/>
      <c r="M222" s="1860"/>
      <c r="N222" s="1860"/>
      <c r="O222" s="1860"/>
      <c r="P222" s="1861"/>
      <c r="Q222" s="1899" t="s">
        <v>1769</v>
      </c>
      <c r="R222" s="1900"/>
      <c r="S222" s="1900"/>
      <c r="T222" s="1900"/>
      <c r="U222" s="1900"/>
      <c r="V222" s="1901"/>
      <c r="W222" s="594"/>
      <c r="X222" s="595"/>
      <c r="Y222" s="595"/>
      <c r="Z222" s="595"/>
      <c r="AA222" s="595"/>
      <c r="AB222" s="595"/>
      <c r="AC222" s="595"/>
      <c r="AD222" s="595"/>
      <c r="AE222" s="595"/>
      <c r="AF222" s="595"/>
      <c r="AG222" s="239"/>
      <c r="AH222" s="239"/>
      <c r="AI222" s="239"/>
      <c r="AJ222" s="239"/>
      <c r="AK222" s="249"/>
      <c r="AL222" s="249"/>
      <c r="AM222" s="249"/>
      <c r="AN222" s="249"/>
      <c r="AO222" s="249"/>
      <c r="AP222" s="249"/>
    </row>
    <row r="223" spans="1:42" x14ac:dyDescent="0.3">
      <c r="B223" s="1853" t="s">
        <v>1778</v>
      </c>
      <c r="C223" s="1854"/>
      <c r="D223" s="1854"/>
      <c r="E223" s="1854"/>
      <c r="F223" s="1854"/>
      <c r="G223" s="1854"/>
      <c r="H223" s="1854"/>
      <c r="I223" s="1854"/>
      <c r="J223" s="1855"/>
      <c r="K223" s="1859" t="s">
        <v>1768</v>
      </c>
      <c r="L223" s="1860"/>
      <c r="M223" s="1860"/>
      <c r="N223" s="1860"/>
      <c r="O223" s="1860"/>
      <c r="P223" s="1861"/>
      <c r="Q223" s="1899" t="s">
        <v>1769</v>
      </c>
      <c r="R223" s="1900"/>
      <c r="S223" s="1900"/>
      <c r="T223" s="1900"/>
      <c r="U223" s="1900"/>
      <c r="V223" s="1901"/>
      <c r="W223" s="594"/>
      <c r="X223" s="595"/>
      <c r="Y223" s="595"/>
      <c r="Z223" s="595"/>
      <c r="AA223" s="595"/>
      <c r="AB223" s="595"/>
      <c r="AC223" s="595"/>
      <c r="AD223" s="595"/>
      <c r="AE223" s="595"/>
      <c r="AF223" s="595"/>
      <c r="AG223" s="239"/>
      <c r="AH223" s="239"/>
      <c r="AI223" s="239"/>
      <c r="AJ223" s="239"/>
      <c r="AK223" s="250"/>
      <c r="AL223" s="250"/>
      <c r="AM223" s="250"/>
      <c r="AN223" s="250"/>
      <c r="AO223" s="250"/>
      <c r="AP223" s="250"/>
    </row>
    <row r="224" spans="1:42" x14ac:dyDescent="0.3">
      <c r="B224" s="1849" t="s">
        <v>237</v>
      </c>
      <c r="C224" s="1850"/>
      <c r="D224" s="1850"/>
      <c r="E224" s="1850"/>
      <c r="F224" s="1850"/>
      <c r="G224" s="1850"/>
      <c r="H224" s="1850"/>
      <c r="I224" s="1850"/>
      <c r="J224" s="1851"/>
      <c r="K224" s="1849" t="s">
        <v>1773</v>
      </c>
      <c r="L224" s="1850"/>
      <c r="M224" s="1850"/>
      <c r="N224" s="1850"/>
      <c r="O224" s="1850"/>
      <c r="P224" s="1850"/>
      <c r="Q224" s="1850"/>
      <c r="R224" s="1850"/>
      <c r="S224" s="1850"/>
      <c r="T224" s="1850"/>
      <c r="U224" s="1850"/>
      <c r="V224" s="1850"/>
      <c r="W224" s="1850"/>
      <c r="X224" s="1850"/>
      <c r="Y224" s="1850"/>
      <c r="Z224" s="1850"/>
      <c r="AA224" s="1850"/>
      <c r="AB224" s="1850"/>
      <c r="AC224" s="1850"/>
      <c r="AD224" s="1850"/>
      <c r="AE224" s="1850"/>
      <c r="AF224" s="1851"/>
      <c r="AG224" s="239"/>
      <c r="AH224" s="239"/>
      <c r="AI224" s="239"/>
      <c r="AJ224" s="239"/>
      <c r="AK224" s="249"/>
      <c r="AL224" s="249"/>
      <c r="AM224" s="249"/>
      <c r="AN224" s="249"/>
      <c r="AO224" s="249"/>
      <c r="AP224" s="249"/>
    </row>
    <row r="225" spans="1:50" x14ac:dyDescent="0.3">
      <c r="B225" s="1890" t="s">
        <v>1790</v>
      </c>
      <c r="C225" s="1891"/>
      <c r="D225" s="1891"/>
      <c r="E225" s="1891"/>
      <c r="F225" s="1891"/>
      <c r="G225" s="1891"/>
      <c r="H225" s="1891"/>
      <c r="I225" s="1891"/>
      <c r="J225" s="1892"/>
      <c r="K225" s="1893" t="s">
        <v>1793</v>
      </c>
      <c r="L225" s="1894"/>
      <c r="M225" s="1894"/>
      <c r="N225" s="1894"/>
      <c r="O225" s="1894"/>
      <c r="P225" s="1894"/>
      <c r="Q225" s="1894"/>
      <c r="R225" s="1894"/>
      <c r="S225" s="1894"/>
      <c r="T225" s="1894"/>
      <c r="U225" s="1894"/>
      <c r="V225" s="1895"/>
      <c r="W225" s="1896" t="s">
        <v>1794</v>
      </c>
      <c r="X225" s="1679"/>
      <c r="Y225" s="1679"/>
      <c r="Z225" s="1679"/>
      <c r="AA225" s="1679"/>
      <c r="AB225" s="1679"/>
      <c r="AC225" s="1679"/>
      <c r="AD225" s="1679"/>
      <c r="AE225" s="1679"/>
      <c r="AF225" s="1897"/>
      <c r="AG225" s="239"/>
      <c r="AH225" s="239"/>
      <c r="AI225" s="239"/>
      <c r="AJ225" s="239"/>
      <c r="AK225" s="249"/>
      <c r="AL225" s="249"/>
      <c r="AM225" s="249"/>
      <c r="AN225" s="249"/>
      <c r="AO225" s="249"/>
      <c r="AP225" s="249"/>
    </row>
    <row r="226" spans="1:50" x14ac:dyDescent="0.3">
      <c r="B226" s="1898" t="s">
        <v>1792</v>
      </c>
      <c r="C226" s="1898"/>
      <c r="D226" s="1898"/>
      <c r="E226" s="1898"/>
      <c r="F226" s="1898"/>
      <c r="G226" s="1898"/>
      <c r="H226" s="1898"/>
      <c r="I226" s="1898"/>
      <c r="J226" s="1898"/>
      <c r="K226" s="1852" t="s">
        <v>4591</v>
      </c>
      <c r="L226" s="1852"/>
      <c r="M226" s="1852"/>
      <c r="N226" s="1852"/>
      <c r="O226" s="1852"/>
      <c r="P226" s="1852"/>
      <c r="Q226" s="1852" t="s">
        <v>4592</v>
      </c>
      <c r="R226" s="1852"/>
      <c r="S226" s="1852"/>
      <c r="T226" s="1852"/>
      <c r="U226" s="1852"/>
      <c r="V226" s="1852"/>
      <c r="W226" s="1852" t="s">
        <v>4593</v>
      </c>
      <c r="X226" s="1852"/>
      <c r="Y226" s="1852"/>
      <c r="Z226" s="1852"/>
      <c r="AA226" s="1852"/>
      <c r="AB226" s="1852" t="s">
        <v>4594</v>
      </c>
      <c r="AC226" s="1852"/>
      <c r="AD226" s="1852"/>
      <c r="AE226" s="1852"/>
      <c r="AF226" s="1852"/>
      <c r="AG226" s="239"/>
    </row>
    <row r="227" spans="1:50" x14ac:dyDescent="0.3">
      <c r="B227" s="1898" t="s">
        <v>1771</v>
      </c>
      <c r="C227" s="1898"/>
      <c r="D227" s="1898"/>
      <c r="E227" s="1898"/>
      <c r="F227" s="1898"/>
      <c r="G227" s="1898"/>
      <c r="H227" s="1898"/>
      <c r="I227" s="1898"/>
      <c r="J227" s="1898"/>
      <c r="K227" s="1852" t="s">
        <v>4591</v>
      </c>
      <c r="L227" s="1852"/>
      <c r="M227" s="1852"/>
      <c r="N227" s="1852"/>
      <c r="O227" s="1852"/>
      <c r="P227" s="1852"/>
      <c r="Q227" s="1852" t="s">
        <v>4592</v>
      </c>
      <c r="R227" s="1852"/>
      <c r="S227" s="1852"/>
      <c r="T227" s="1852"/>
      <c r="U227" s="1852"/>
      <c r="V227" s="1852"/>
      <c r="W227" s="1852" t="s">
        <v>4593</v>
      </c>
      <c r="X227" s="1852"/>
      <c r="Y227" s="1852"/>
      <c r="Z227" s="1852"/>
      <c r="AA227" s="1852"/>
      <c r="AB227" s="1852" t="s">
        <v>4594</v>
      </c>
      <c r="AC227" s="1852"/>
      <c r="AD227" s="1852"/>
      <c r="AE227" s="1852"/>
      <c r="AF227" s="1852"/>
      <c r="AG227" s="239"/>
    </row>
    <row r="228" spans="1:50" x14ac:dyDescent="0.3">
      <c r="B228" s="113" t="s">
        <v>1795</v>
      </c>
      <c r="AB228" s="239"/>
      <c r="AC228" s="239"/>
      <c r="AD228" s="239"/>
      <c r="AE228" s="239"/>
      <c r="AF228" s="239"/>
      <c r="AG228" s="239"/>
      <c r="AH228" s="239"/>
      <c r="AI228" s="249"/>
      <c r="AJ228" s="249"/>
      <c r="AK228" s="249"/>
      <c r="AL228" s="249"/>
      <c r="AM228" s="249"/>
      <c r="AN228" s="249"/>
    </row>
    <row r="229" spans="1:50" x14ac:dyDescent="0.3">
      <c r="AD229" s="239"/>
      <c r="AE229" s="239"/>
      <c r="AF229" s="239"/>
      <c r="AG229" s="239"/>
      <c r="AH229" s="239"/>
      <c r="AI229" s="249"/>
      <c r="AJ229" s="249"/>
      <c r="AK229" s="249"/>
      <c r="AL229" s="249"/>
      <c r="AM229" s="249"/>
      <c r="AN229" s="249"/>
    </row>
    <row r="231" spans="1:50" x14ac:dyDescent="0.3">
      <c r="B231" s="231" t="s">
        <v>1728</v>
      </c>
    </row>
    <row r="232" spans="1:50" x14ac:dyDescent="0.3">
      <c r="AX232" s="254"/>
    </row>
    <row r="233" spans="1:50" x14ac:dyDescent="0.3">
      <c r="A233" s="10" t="s">
        <v>1747</v>
      </c>
      <c r="B233" s="10"/>
      <c r="C233" s="10"/>
      <c r="D233" s="10"/>
      <c r="E233" s="10"/>
      <c r="F233" s="10"/>
      <c r="G233" s="10"/>
      <c r="H233" s="10"/>
      <c r="I233" s="10"/>
      <c r="J233" s="10"/>
      <c r="K233" s="10"/>
      <c r="L233" s="10"/>
      <c r="M233" s="10"/>
      <c r="N233" s="10"/>
      <c r="O233" s="10"/>
      <c r="P233" s="10"/>
      <c r="Q233" s="10"/>
      <c r="R233" s="10"/>
      <c r="S233" s="10"/>
      <c r="T233" s="10"/>
      <c r="U233" s="10"/>
      <c r="V233" s="10"/>
      <c r="W233" s="142"/>
      <c r="X233" s="142"/>
      <c r="Y233" s="142"/>
      <c r="Z233" s="142"/>
      <c r="AA233" s="142"/>
      <c r="AB233" s="142"/>
      <c r="AC233" s="142"/>
      <c r="AD233" s="142"/>
      <c r="AE233" s="142"/>
      <c r="AF233" s="142"/>
      <c r="AG233" s="142"/>
      <c r="AH233" s="142"/>
      <c r="AI233" s="142"/>
      <c r="AJ233" s="142"/>
      <c r="AK233" s="142"/>
      <c r="AL233" s="142"/>
      <c r="AM233" s="10"/>
      <c r="AN233" s="10"/>
      <c r="AO233" s="10"/>
      <c r="AP233" s="10"/>
      <c r="AX233" s="254"/>
    </row>
    <row r="234" spans="1:50" x14ac:dyDescent="0.3">
      <c r="B234" s="152"/>
      <c r="C234" s="152"/>
      <c r="D234" s="152"/>
      <c r="E234" s="152"/>
      <c r="F234" s="152"/>
      <c r="G234" s="2056" t="s">
        <v>2777</v>
      </c>
      <c r="H234" s="2056"/>
      <c r="I234" s="2056"/>
      <c r="J234" s="2056"/>
      <c r="K234" s="2056"/>
      <c r="L234" s="2056"/>
      <c r="M234" s="2056"/>
      <c r="N234" s="2056"/>
      <c r="O234" s="2056"/>
      <c r="P234" s="2056"/>
      <c r="Q234" s="2056"/>
      <c r="R234" s="2056"/>
      <c r="S234" s="2056"/>
      <c r="T234" s="2056"/>
      <c r="U234" s="2056"/>
      <c r="V234" s="2056"/>
      <c r="W234" s="1964" t="s">
        <v>2778</v>
      </c>
      <c r="X234" s="1964"/>
      <c r="Y234" s="1964"/>
      <c r="Z234" s="1964"/>
      <c r="AA234" s="1964"/>
      <c r="AB234" s="1964"/>
      <c r="AC234" s="1964"/>
      <c r="AD234" s="1964"/>
      <c r="AE234" s="1964"/>
      <c r="AF234" s="1964"/>
      <c r="AG234" s="1964"/>
      <c r="AH234" s="1964"/>
      <c r="AI234" s="1964"/>
      <c r="AJ234" s="1964"/>
      <c r="AK234" s="1964"/>
      <c r="AL234" s="1964"/>
    </row>
    <row r="235" spans="1:50" x14ac:dyDescent="0.3">
      <c r="A235" s="1945" t="s">
        <v>46</v>
      </c>
      <c r="B235" s="1945"/>
      <c r="C235" s="1945"/>
      <c r="D235" s="1945"/>
      <c r="E235" s="1945"/>
      <c r="F235" s="1945"/>
      <c r="G235" s="2057" t="s">
        <v>239</v>
      </c>
      <c r="H235" s="2057"/>
      <c r="I235" s="2057"/>
      <c r="J235" s="2057"/>
      <c r="K235" s="2054" t="s">
        <v>254</v>
      </c>
      <c r="L235" s="2054"/>
      <c r="M235" s="2054"/>
      <c r="N235" s="2054"/>
      <c r="O235" s="2057" t="s">
        <v>238</v>
      </c>
      <c r="P235" s="2057"/>
      <c r="Q235" s="2057"/>
      <c r="R235" s="2057"/>
      <c r="S235" s="2054" t="s">
        <v>240</v>
      </c>
      <c r="T235" s="2054"/>
      <c r="U235" s="2054"/>
      <c r="V235" s="2054"/>
      <c r="W235" s="2057" t="s">
        <v>239</v>
      </c>
      <c r="X235" s="2057"/>
      <c r="Y235" s="2057"/>
      <c r="Z235" s="2057"/>
      <c r="AA235" s="2054" t="s">
        <v>254</v>
      </c>
      <c r="AB235" s="2054"/>
      <c r="AC235" s="2054"/>
      <c r="AD235" s="2054"/>
      <c r="AE235" s="2057" t="s">
        <v>238</v>
      </c>
      <c r="AF235" s="2057"/>
      <c r="AG235" s="2057"/>
      <c r="AH235" s="2057"/>
      <c r="AI235" s="2054" t="s">
        <v>240</v>
      </c>
      <c r="AJ235" s="2054"/>
      <c r="AK235" s="2054"/>
      <c r="AL235" s="2054"/>
    </row>
    <row r="236" spans="1:50" x14ac:dyDescent="0.3">
      <c r="A236" s="1938" t="s">
        <v>1796</v>
      </c>
      <c r="B236" s="1938"/>
      <c r="C236" s="1938"/>
      <c r="D236" s="1938"/>
      <c r="E236" s="1938"/>
      <c r="F236" s="1938"/>
      <c r="G236" s="2055">
        <f t="shared" ref="G236:G246" si="0">ROUND($AB$95*VLOOKUP($A236,$N$123:$AG$133,17,TRUE)*VLOOKUP($A236,$N$146:$AG$156,13,TRUE)*$Q$78,3)</f>
        <v>7.0000000000000001E-3</v>
      </c>
      <c r="H236" s="2055"/>
      <c r="I236" s="2055"/>
      <c r="J236" s="2055"/>
      <c r="K236" s="2055">
        <f t="shared" ref="K236:K246" si="1">ROUND($AB$94*VLOOKUP($A236,$N$123:$AG$133,17,TRUE)*VLOOKUP($A236,$N$146:$AG$156,13,TRUE)*$Q$78,3)</f>
        <v>0.01</v>
      </c>
      <c r="L236" s="2055"/>
      <c r="M236" s="2055"/>
      <c r="N236" s="2055"/>
      <c r="O236" s="2055">
        <f t="shared" ref="O236:O246" si="2">ROUND($AB$93*VLOOKUP($A236,$N$123:$AG$133,17,TRUE)*VLOOKUP($A236,$N$146:$AG$156,13,TRUE)*$Q$78,3)</f>
        <v>1.2999999999999999E-2</v>
      </c>
      <c r="P236" s="2055"/>
      <c r="Q236" s="2055"/>
      <c r="R236" s="2055"/>
      <c r="S236" s="2055">
        <f t="shared" ref="S236:S246" si="3">ROUND($AB$92*VLOOKUP($A236,$N$123:$AG$133,17,TRUE)*VLOOKUP($A236,$N$146:$AG$156,13,TRUE)*$Q$78,3)</f>
        <v>2.4E-2</v>
      </c>
      <c r="T236" s="2055"/>
      <c r="U236" s="2055"/>
      <c r="V236" s="2055"/>
      <c r="W236" s="1949">
        <f t="shared" ref="W236:W246" si="4">ROUND($AB$95*VLOOKUP($A236,$A$167:$Q$177,15,TRUE)*VLOOKUP($A236,$N$146:$AG$156,17,TRUE)*$Q$78,2)</f>
        <v>35.49</v>
      </c>
      <c r="X236" s="1949"/>
      <c r="Y236" s="1949"/>
      <c r="Z236" s="1949"/>
      <c r="AA236" s="1949">
        <f t="shared" ref="AA236:AA246" si="5">ROUND($AB$94*VLOOKUP($A236,$A$167:$Q$177,15,TRUE)*VLOOKUP($A236,$N$146:$AG$156,17,TRUE)*$Q$78,2)</f>
        <v>51.02</v>
      </c>
      <c r="AB236" s="1949"/>
      <c r="AC236" s="1949"/>
      <c r="AD236" s="1949"/>
      <c r="AE236" s="1949">
        <f t="shared" ref="AE236:AE246" si="6">ROUND($AB$93*VLOOKUP($A236,$A$167:$Q$177,15,TRUE)*VLOOKUP($A236,$N$146:$AG$156,17,TRUE)*$Q$78,2)</f>
        <v>68.760000000000005</v>
      </c>
      <c r="AF236" s="1949"/>
      <c r="AG236" s="1949"/>
      <c r="AH236" s="1949"/>
      <c r="AI236" s="1949">
        <f t="shared" ref="AI236:AI246" si="7">ROUND($AB$92*VLOOKUP($A236,$A$167:$Q$177,15,TRUE)*VLOOKUP($A236,$N$146:$AG$156,17,TRUE)*$Q$78,2)</f>
        <v>126.44</v>
      </c>
      <c r="AJ236" s="1949"/>
      <c r="AK236" s="1949"/>
      <c r="AL236" s="1949"/>
      <c r="AM236" s="153"/>
    </row>
    <row r="237" spans="1:50" x14ac:dyDescent="0.3">
      <c r="A237" s="1938" t="s">
        <v>211</v>
      </c>
      <c r="B237" s="1938"/>
      <c r="C237" s="1938"/>
      <c r="D237" s="1938"/>
      <c r="E237" s="1938"/>
      <c r="F237" s="1938"/>
      <c r="G237" s="2058">
        <f t="shared" si="0"/>
        <v>4.0000000000000001E-3</v>
      </c>
      <c r="H237" s="2059"/>
      <c r="I237" s="2059"/>
      <c r="J237" s="2060"/>
      <c r="K237" s="2058">
        <f t="shared" si="1"/>
        <v>6.0000000000000001E-3</v>
      </c>
      <c r="L237" s="2059"/>
      <c r="M237" s="2059"/>
      <c r="N237" s="2060"/>
      <c r="O237" s="2058">
        <f t="shared" si="2"/>
        <v>8.0000000000000002E-3</v>
      </c>
      <c r="P237" s="2059"/>
      <c r="Q237" s="2059"/>
      <c r="R237" s="2060"/>
      <c r="S237" s="2058">
        <f t="shared" si="3"/>
        <v>1.4E-2</v>
      </c>
      <c r="T237" s="2059"/>
      <c r="U237" s="2059"/>
      <c r="V237" s="2060"/>
      <c r="W237" s="1840">
        <f t="shared" si="4"/>
        <v>121.82</v>
      </c>
      <c r="X237" s="1841"/>
      <c r="Y237" s="1841"/>
      <c r="Z237" s="1842"/>
      <c r="AA237" s="1840">
        <f t="shared" si="5"/>
        <v>175.12</v>
      </c>
      <c r="AB237" s="1841"/>
      <c r="AC237" s="1841"/>
      <c r="AD237" s="1842"/>
      <c r="AE237" s="1840">
        <f t="shared" si="6"/>
        <v>236.03</v>
      </c>
      <c r="AF237" s="1841"/>
      <c r="AG237" s="1841"/>
      <c r="AH237" s="1842"/>
      <c r="AI237" s="1840">
        <f t="shared" si="7"/>
        <v>434</v>
      </c>
      <c r="AJ237" s="1841"/>
      <c r="AK237" s="1841"/>
      <c r="AL237" s="1842"/>
      <c r="AM237" s="153"/>
    </row>
    <row r="238" spans="1:50" x14ac:dyDescent="0.3">
      <c r="A238" s="1938" t="s">
        <v>212</v>
      </c>
      <c r="B238" s="1938"/>
      <c r="C238" s="1938"/>
      <c r="D238" s="1938"/>
      <c r="E238" s="1938"/>
      <c r="F238" s="1938"/>
      <c r="G238" s="2055">
        <f t="shared" si="0"/>
        <v>7.0000000000000001E-3</v>
      </c>
      <c r="H238" s="2055"/>
      <c r="I238" s="2055"/>
      <c r="J238" s="2055"/>
      <c r="K238" s="2055">
        <f t="shared" si="1"/>
        <v>0.01</v>
      </c>
      <c r="L238" s="2055"/>
      <c r="M238" s="2055"/>
      <c r="N238" s="2055"/>
      <c r="O238" s="2055">
        <f t="shared" si="2"/>
        <v>1.2999999999999999E-2</v>
      </c>
      <c r="P238" s="2055"/>
      <c r="Q238" s="2055"/>
      <c r="R238" s="2055"/>
      <c r="S238" s="2055">
        <f t="shared" si="3"/>
        <v>2.4E-2</v>
      </c>
      <c r="T238" s="2055"/>
      <c r="U238" s="2055"/>
      <c r="V238" s="2055"/>
      <c r="W238" s="1949">
        <f t="shared" si="4"/>
        <v>34.04</v>
      </c>
      <c r="X238" s="1949"/>
      <c r="Y238" s="1949"/>
      <c r="Z238" s="1949"/>
      <c r="AA238" s="1949">
        <f t="shared" si="5"/>
        <v>48.93</v>
      </c>
      <c r="AB238" s="1949"/>
      <c r="AC238" s="1949"/>
      <c r="AD238" s="1949"/>
      <c r="AE238" s="1949">
        <f t="shared" si="6"/>
        <v>65.95</v>
      </c>
      <c r="AF238" s="1949"/>
      <c r="AG238" s="1949"/>
      <c r="AH238" s="1949"/>
      <c r="AI238" s="1949">
        <f t="shared" si="7"/>
        <v>121.27</v>
      </c>
      <c r="AJ238" s="1949"/>
      <c r="AK238" s="1949"/>
      <c r="AL238" s="1949"/>
      <c r="AM238" s="153"/>
    </row>
    <row r="239" spans="1:50" x14ac:dyDescent="0.3">
      <c r="A239" s="1938" t="s">
        <v>213</v>
      </c>
      <c r="B239" s="1938"/>
      <c r="C239" s="1938"/>
      <c r="D239" s="1938"/>
      <c r="E239" s="1938"/>
      <c r="F239" s="1938"/>
      <c r="G239" s="2055">
        <f t="shared" si="0"/>
        <v>1.2E-2</v>
      </c>
      <c r="H239" s="2055"/>
      <c r="I239" s="2055"/>
      <c r="J239" s="2055"/>
      <c r="K239" s="2055">
        <f t="shared" si="1"/>
        <v>1.7000000000000001E-2</v>
      </c>
      <c r="L239" s="2055"/>
      <c r="M239" s="2055"/>
      <c r="N239" s="2055"/>
      <c r="O239" s="2055">
        <f t="shared" si="2"/>
        <v>2.3E-2</v>
      </c>
      <c r="P239" s="2055"/>
      <c r="Q239" s="2055"/>
      <c r="R239" s="2055"/>
      <c r="S239" s="2055">
        <f t="shared" si="3"/>
        <v>4.2000000000000003E-2</v>
      </c>
      <c r="T239" s="2055"/>
      <c r="U239" s="2055"/>
      <c r="V239" s="2055"/>
      <c r="W239" s="1949">
        <f t="shared" si="4"/>
        <v>87</v>
      </c>
      <c r="X239" s="1949"/>
      <c r="Y239" s="1949"/>
      <c r="Z239" s="1949"/>
      <c r="AA239" s="1949">
        <f t="shared" si="5"/>
        <v>125.07</v>
      </c>
      <c r="AB239" s="1949"/>
      <c r="AC239" s="1949"/>
      <c r="AD239" s="1949"/>
      <c r="AE239" s="1949">
        <f t="shared" si="6"/>
        <v>168.57</v>
      </c>
      <c r="AF239" s="1949"/>
      <c r="AG239" s="1949"/>
      <c r="AH239" s="1949"/>
      <c r="AI239" s="1949">
        <f t="shared" si="7"/>
        <v>309.95</v>
      </c>
      <c r="AJ239" s="1949"/>
      <c r="AK239" s="1949"/>
      <c r="AL239" s="1949"/>
      <c r="AM239" s="153"/>
    </row>
    <row r="240" spans="1:50" x14ac:dyDescent="0.3">
      <c r="A240" s="1938" t="s">
        <v>214</v>
      </c>
      <c r="B240" s="1938"/>
      <c r="C240" s="1938"/>
      <c r="D240" s="1938"/>
      <c r="E240" s="1938"/>
      <c r="F240" s="1938"/>
      <c r="G240" s="2055">
        <f t="shared" si="0"/>
        <v>1.2E-2</v>
      </c>
      <c r="H240" s="2055"/>
      <c r="I240" s="2055"/>
      <c r="J240" s="2055"/>
      <c r="K240" s="2055">
        <f t="shared" si="1"/>
        <v>1.7999999999999999E-2</v>
      </c>
      <c r="L240" s="2055"/>
      <c r="M240" s="2055"/>
      <c r="N240" s="2055"/>
      <c r="O240" s="2055">
        <f t="shared" si="2"/>
        <v>2.4E-2</v>
      </c>
      <c r="P240" s="2055"/>
      <c r="Q240" s="2055"/>
      <c r="R240" s="2055"/>
      <c r="S240" s="2055">
        <f t="shared" si="3"/>
        <v>4.4999999999999998E-2</v>
      </c>
      <c r="T240" s="2055"/>
      <c r="U240" s="2055"/>
      <c r="V240" s="2055"/>
      <c r="W240" s="1949">
        <f t="shared" si="4"/>
        <v>93.84</v>
      </c>
      <c r="X240" s="1949"/>
      <c r="Y240" s="1949"/>
      <c r="Z240" s="1949"/>
      <c r="AA240" s="1949">
        <f t="shared" si="5"/>
        <v>134.9</v>
      </c>
      <c r="AB240" s="1949"/>
      <c r="AC240" s="1949"/>
      <c r="AD240" s="1949"/>
      <c r="AE240" s="1949">
        <f t="shared" si="6"/>
        <v>181.82</v>
      </c>
      <c r="AF240" s="1949"/>
      <c r="AG240" s="1949"/>
      <c r="AH240" s="1949"/>
      <c r="AI240" s="1949">
        <f t="shared" si="7"/>
        <v>334.31</v>
      </c>
      <c r="AJ240" s="1949"/>
      <c r="AK240" s="1949"/>
      <c r="AL240" s="1949"/>
      <c r="AM240" s="153"/>
    </row>
    <row r="241" spans="1:45" x14ac:dyDescent="0.3">
      <c r="A241" s="1938" t="s">
        <v>215</v>
      </c>
      <c r="B241" s="1938"/>
      <c r="C241" s="1938"/>
      <c r="D241" s="1938"/>
      <c r="E241" s="1938"/>
      <c r="F241" s="1938"/>
      <c r="G241" s="2055">
        <f t="shared" si="0"/>
        <v>5.0000000000000001E-3</v>
      </c>
      <c r="H241" s="2055"/>
      <c r="I241" s="2055"/>
      <c r="J241" s="2055"/>
      <c r="K241" s="2055">
        <f t="shared" si="1"/>
        <v>7.0000000000000001E-3</v>
      </c>
      <c r="L241" s="2055"/>
      <c r="M241" s="2055"/>
      <c r="N241" s="2055"/>
      <c r="O241" s="2055">
        <f t="shared" si="2"/>
        <v>8.9999999999999993E-3</v>
      </c>
      <c r="P241" s="2055"/>
      <c r="Q241" s="2055"/>
      <c r="R241" s="2055"/>
      <c r="S241" s="2055">
        <f t="shared" si="3"/>
        <v>1.7000000000000001E-2</v>
      </c>
      <c r="T241" s="2055"/>
      <c r="U241" s="2055"/>
      <c r="V241" s="2055"/>
      <c r="W241" s="1949">
        <f t="shared" si="4"/>
        <v>24.59</v>
      </c>
      <c r="X241" s="1949"/>
      <c r="Y241" s="1949"/>
      <c r="Z241" s="1949"/>
      <c r="AA241" s="1949">
        <f t="shared" si="5"/>
        <v>35.35</v>
      </c>
      <c r="AB241" s="1949"/>
      <c r="AC241" s="1949"/>
      <c r="AD241" s="1949"/>
      <c r="AE241" s="1949">
        <f t="shared" si="6"/>
        <v>47.64</v>
      </c>
      <c r="AF241" s="1949"/>
      <c r="AG241" s="1949"/>
      <c r="AH241" s="1949"/>
      <c r="AI241" s="1949">
        <f t="shared" si="7"/>
        <v>87.6</v>
      </c>
      <c r="AJ241" s="1949"/>
      <c r="AK241" s="1949"/>
      <c r="AL241" s="1949"/>
      <c r="AM241" s="153"/>
    </row>
    <row r="242" spans="1:45" x14ac:dyDescent="0.3">
      <c r="A242" s="1938" t="s">
        <v>216</v>
      </c>
      <c r="B242" s="1938"/>
      <c r="C242" s="1938"/>
      <c r="D242" s="1938"/>
      <c r="E242" s="1938"/>
      <c r="F242" s="1938"/>
      <c r="G242" s="2055">
        <f t="shared" si="0"/>
        <v>1.0999999999999999E-2</v>
      </c>
      <c r="H242" s="2055"/>
      <c r="I242" s="2055"/>
      <c r="J242" s="2055"/>
      <c r="K242" s="2055">
        <f t="shared" si="1"/>
        <v>1.6E-2</v>
      </c>
      <c r="L242" s="2055"/>
      <c r="M242" s="2055"/>
      <c r="N242" s="2055"/>
      <c r="O242" s="2055">
        <f t="shared" si="2"/>
        <v>2.1999999999999999E-2</v>
      </c>
      <c r="P242" s="2055"/>
      <c r="Q242" s="2055"/>
      <c r="R242" s="2055"/>
      <c r="S242" s="2055">
        <f t="shared" si="3"/>
        <v>0.04</v>
      </c>
      <c r="T242" s="2055"/>
      <c r="U242" s="2055"/>
      <c r="V242" s="2055"/>
      <c r="W242" s="1949">
        <f t="shared" si="4"/>
        <v>41.67</v>
      </c>
      <c r="X242" s="1949"/>
      <c r="Y242" s="1949"/>
      <c r="Z242" s="1949"/>
      <c r="AA242" s="1949">
        <f t="shared" si="5"/>
        <v>59.91</v>
      </c>
      <c r="AB242" s="1949"/>
      <c r="AC242" s="1949"/>
      <c r="AD242" s="1949"/>
      <c r="AE242" s="1949">
        <f t="shared" si="6"/>
        <v>80.739999999999995</v>
      </c>
      <c r="AF242" s="1949"/>
      <c r="AG242" s="1949"/>
      <c r="AH242" s="1949"/>
      <c r="AI242" s="1949">
        <f t="shared" si="7"/>
        <v>148.47</v>
      </c>
      <c r="AJ242" s="1949"/>
      <c r="AK242" s="1949"/>
      <c r="AL242" s="1949"/>
      <c r="AM242" s="153"/>
    </row>
    <row r="243" spans="1:45" x14ac:dyDescent="0.3">
      <c r="A243" s="1938" t="s">
        <v>47</v>
      </c>
      <c r="B243" s="1938"/>
      <c r="C243" s="1938"/>
      <c r="D243" s="1938"/>
      <c r="E243" s="1938"/>
      <c r="F243" s="1938"/>
      <c r="G243" s="2055">
        <f t="shared" si="0"/>
        <v>4.0000000000000001E-3</v>
      </c>
      <c r="H243" s="2055"/>
      <c r="I243" s="2055"/>
      <c r="J243" s="2055"/>
      <c r="K243" s="2055">
        <f t="shared" si="1"/>
        <v>6.0000000000000001E-3</v>
      </c>
      <c r="L243" s="2055"/>
      <c r="M243" s="2055"/>
      <c r="N243" s="2055"/>
      <c r="O243" s="2055">
        <f t="shared" si="2"/>
        <v>8.0000000000000002E-3</v>
      </c>
      <c r="P243" s="2055"/>
      <c r="Q243" s="2055"/>
      <c r="R243" s="2055"/>
      <c r="S243" s="2055">
        <f t="shared" si="3"/>
        <v>1.4999999999999999E-2</v>
      </c>
      <c r="T243" s="2055"/>
      <c r="U243" s="2055"/>
      <c r="V243" s="2055"/>
      <c r="W243" s="1949">
        <f t="shared" si="4"/>
        <v>39.92</v>
      </c>
      <c r="X243" s="1949"/>
      <c r="Y243" s="1949"/>
      <c r="Z243" s="1949"/>
      <c r="AA243" s="1949">
        <f t="shared" si="5"/>
        <v>57.38</v>
      </c>
      <c r="AB243" s="1949"/>
      <c r="AC243" s="1949"/>
      <c r="AD243" s="1949"/>
      <c r="AE243" s="1949">
        <f t="shared" si="6"/>
        <v>77.34</v>
      </c>
      <c r="AF243" s="1949"/>
      <c r="AG243" s="1949"/>
      <c r="AH243" s="1949"/>
      <c r="AI243" s="1949">
        <f t="shared" si="7"/>
        <v>142.19999999999999</v>
      </c>
      <c r="AJ243" s="1949"/>
      <c r="AK243" s="1949"/>
      <c r="AL243" s="1949"/>
      <c r="AM243" s="153"/>
    </row>
    <row r="244" spans="1:45" x14ac:dyDescent="0.3">
      <c r="A244" s="1938" t="s">
        <v>217</v>
      </c>
      <c r="B244" s="1938"/>
      <c r="C244" s="1938"/>
      <c r="D244" s="1938"/>
      <c r="E244" s="1938"/>
      <c r="F244" s="1938"/>
      <c r="G244" s="2055">
        <f t="shared" si="0"/>
        <v>0.01</v>
      </c>
      <c r="H244" s="2055"/>
      <c r="I244" s="2055"/>
      <c r="J244" s="2055"/>
      <c r="K244" s="2055">
        <f t="shared" si="1"/>
        <v>1.4E-2</v>
      </c>
      <c r="L244" s="2055"/>
      <c r="M244" s="2055"/>
      <c r="N244" s="2055"/>
      <c r="O244" s="2055">
        <f t="shared" si="2"/>
        <v>1.9E-2</v>
      </c>
      <c r="P244" s="2055"/>
      <c r="Q244" s="2055"/>
      <c r="R244" s="2055"/>
      <c r="S244" s="2055">
        <f t="shared" si="3"/>
        <v>3.5000000000000003E-2</v>
      </c>
      <c r="T244" s="2055"/>
      <c r="U244" s="2055"/>
      <c r="V244" s="2055"/>
      <c r="W244" s="1949">
        <f t="shared" si="4"/>
        <v>71.680000000000007</v>
      </c>
      <c r="X244" s="1949"/>
      <c r="Y244" s="1949"/>
      <c r="Z244" s="1949"/>
      <c r="AA244" s="1949">
        <f t="shared" si="5"/>
        <v>103.04</v>
      </c>
      <c r="AB244" s="1949"/>
      <c r="AC244" s="1949"/>
      <c r="AD244" s="1949"/>
      <c r="AE244" s="1949">
        <f t="shared" si="6"/>
        <v>138.88</v>
      </c>
      <c r="AF244" s="1949"/>
      <c r="AG244" s="1949"/>
      <c r="AH244" s="1949"/>
      <c r="AI244" s="1949">
        <f t="shared" si="7"/>
        <v>255.36</v>
      </c>
      <c r="AJ244" s="1949"/>
      <c r="AK244" s="1949"/>
      <c r="AL244" s="1949"/>
      <c r="AM244" s="153"/>
    </row>
    <row r="245" spans="1:45" x14ac:dyDescent="0.3">
      <c r="A245" s="1938" t="s">
        <v>218</v>
      </c>
      <c r="B245" s="1938"/>
      <c r="C245" s="1938"/>
      <c r="D245" s="1938"/>
      <c r="E245" s="1938"/>
      <c r="F245" s="1938"/>
      <c r="G245" s="2055">
        <f t="shared" si="0"/>
        <v>1.0999999999999999E-2</v>
      </c>
      <c r="H245" s="2055"/>
      <c r="I245" s="2055"/>
      <c r="J245" s="2055"/>
      <c r="K245" s="2055">
        <f t="shared" si="1"/>
        <v>1.6E-2</v>
      </c>
      <c r="L245" s="2055"/>
      <c r="M245" s="2055"/>
      <c r="N245" s="2055"/>
      <c r="O245" s="2055">
        <f t="shared" si="2"/>
        <v>2.1000000000000001E-2</v>
      </c>
      <c r="P245" s="2055"/>
      <c r="Q245" s="2055"/>
      <c r="R245" s="2055"/>
      <c r="S245" s="2055">
        <f t="shared" si="3"/>
        <v>3.9E-2</v>
      </c>
      <c r="T245" s="2055"/>
      <c r="U245" s="2055"/>
      <c r="V245" s="2055"/>
      <c r="W245" s="1949">
        <f t="shared" si="4"/>
        <v>67.900000000000006</v>
      </c>
      <c r="X245" s="1949"/>
      <c r="Y245" s="1949"/>
      <c r="Z245" s="1949"/>
      <c r="AA245" s="1949">
        <f t="shared" si="5"/>
        <v>97.6</v>
      </c>
      <c r="AB245" s="1949"/>
      <c r="AC245" s="1949"/>
      <c r="AD245" s="1949"/>
      <c r="AE245" s="1949">
        <f t="shared" si="6"/>
        <v>131.55000000000001</v>
      </c>
      <c r="AF245" s="1949"/>
      <c r="AG245" s="1949"/>
      <c r="AH245" s="1949"/>
      <c r="AI245" s="1949">
        <f t="shared" si="7"/>
        <v>241.88</v>
      </c>
      <c r="AJ245" s="1949"/>
      <c r="AK245" s="1949"/>
      <c r="AL245" s="1949"/>
      <c r="AM245" s="153"/>
    </row>
    <row r="246" spans="1:45" x14ac:dyDescent="0.3">
      <c r="A246" s="1938" t="s">
        <v>219</v>
      </c>
      <c r="B246" s="1938"/>
      <c r="C246" s="1938"/>
      <c r="D246" s="1938"/>
      <c r="E246" s="1938"/>
      <c r="F246" s="1938"/>
      <c r="G246" s="2055">
        <f t="shared" si="0"/>
        <v>1E-3</v>
      </c>
      <c r="H246" s="2055"/>
      <c r="I246" s="2055"/>
      <c r="J246" s="2055"/>
      <c r="K246" s="2055">
        <f t="shared" si="1"/>
        <v>2E-3</v>
      </c>
      <c r="L246" s="2055"/>
      <c r="M246" s="2055"/>
      <c r="N246" s="2055"/>
      <c r="O246" s="2055">
        <f t="shared" si="2"/>
        <v>3.0000000000000001E-3</v>
      </c>
      <c r="P246" s="2055"/>
      <c r="Q246" s="2055"/>
      <c r="R246" s="2055"/>
      <c r="S246" s="2055">
        <f t="shared" si="3"/>
        <v>5.0000000000000001E-3</v>
      </c>
      <c r="T246" s="2055"/>
      <c r="U246" s="2055"/>
      <c r="V246" s="2055"/>
      <c r="W246" s="1949">
        <f t="shared" si="4"/>
        <v>31.84</v>
      </c>
      <c r="X246" s="1949"/>
      <c r="Y246" s="1949"/>
      <c r="Z246" s="1949"/>
      <c r="AA246" s="1949">
        <f t="shared" si="5"/>
        <v>45.76</v>
      </c>
      <c r="AB246" s="1949"/>
      <c r="AC246" s="1949"/>
      <c r="AD246" s="1949"/>
      <c r="AE246" s="1949">
        <f t="shared" si="6"/>
        <v>61.68</v>
      </c>
      <c r="AF246" s="1949"/>
      <c r="AG246" s="1949"/>
      <c r="AH246" s="1949"/>
      <c r="AI246" s="1949">
        <f t="shared" si="7"/>
        <v>113.41</v>
      </c>
      <c r="AJ246" s="1949"/>
      <c r="AK246" s="1949"/>
      <c r="AL246" s="1949"/>
      <c r="AM246" s="153"/>
    </row>
    <row r="247" spans="1:45" x14ac:dyDescent="0.3">
      <c r="A247" s="244" t="s">
        <v>1729</v>
      </c>
      <c r="B247" s="243"/>
      <c r="C247" s="147"/>
      <c r="G247" s="136"/>
      <c r="K247" s="136"/>
      <c r="O247" s="136"/>
      <c r="S247" s="136"/>
      <c r="AA247" s="136"/>
      <c r="AG247" s="136"/>
      <c r="AK247" s="136"/>
      <c r="AO247" s="136"/>
      <c r="AS247" s="136"/>
    </row>
    <row r="248" spans="1:45" x14ac:dyDescent="0.3">
      <c r="A248" s="245"/>
      <c r="B248" s="147"/>
      <c r="C248" s="147"/>
      <c r="G248" s="136"/>
      <c r="K248" s="136"/>
      <c r="O248" s="136"/>
      <c r="S248" s="136"/>
      <c r="AA248" s="136"/>
      <c r="AG248" s="136"/>
      <c r="AK248" s="136"/>
      <c r="AO248" s="136"/>
      <c r="AS248" s="136"/>
    </row>
    <row r="249" spans="1:45" x14ac:dyDescent="0.3">
      <c r="B249" s="231" t="s">
        <v>1730</v>
      </c>
      <c r="C249" s="147"/>
      <c r="G249" s="136"/>
      <c r="K249" s="136"/>
      <c r="O249" s="136"/>
      <c r="S249" s="136"/>
      <c r="AA249" s="136"/>
      <c r="AG249" s="136"/>
      <c r="AK249" s="136"/>
      <c r="AO249" s="136"/>
      <c r="AS249" s="136"/>
    </row>
    <row r="250" spans="1:45" x14ac:dyDescent="0.3">
      <c r="A250" s="245"/>
      <c r="B250" s="147"/>
      <c r="C250" s="147"/>
      <c r="G250" s="136"/>
      <c r="K250" s="136"/>
      <c r="O250" s="136"/>
      <c r="S250" s="136"/>
      <c r="AA250" s="136"/>
      <c r="AG250" s="136"/>
      <c r="AK250" s="136"/>
      <c r="AO250" s="136"/>
      <c r="AS250" s="136"/>
    </row>
    <row r="251" spans="1:45" x14ac:dyDescent="0.3">
      <c r="A251" s="10" t="s">
        <v>1746</v>
      </c>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O251" s="136"/>
      <c r="AS251" s="136"/>
    </row>
    <row r="252" spans="1:45" x14ac:dyDescent="0.3">
      <c r="B252" s="152"/>
      <c r="C252" s="152"/>
      <c r="D252" s="152"/>
      <c r="E252" s="152"/>
      <c r="F252" s="152"/>
      <c r="G252" s="1952" t="s">
        <v>1745</v>
      </c>
      <c r="H252" s="1952"/>
      <c r="I252" s="1952"/>
      <c r="J252" s="1952"/>
      <c r="K252" s="1952"/>
      <c r="L252" s="1952"/>
      <c r="M252" s="1952"/>
      <c r="N252" s="1952"/>
      <c r="O252" s="1952"/>
      <c r="P252" s="1952"/>
      <c r="Q252" s="1952"/>
      <c r="R252" s="1952"/>
      <c r="S252" s="1952"/>
      <c r="T252" s="1952"/>
      <c r="U252" s="1952"/>
      <c r="V252" s="1952"/>
      <c r="W252" s="246"/>
      <c r="Y252" s="136"/>
      <c r="AC252" s="136"/>
    </row>
    <row r="253" spans="1:45" x14ac:dyDescent="0.3">
      <c r="A253" s="1945" t="s">
        <v>46</v>
      </c>
      <c r="B253" s="1945"/>
      <c r="C253" s="1945"/>
      <c r="D253" s="1945"/>
      <c r="E253" s="1945"/>
      <c r="F253" s="1945"/>
      <c r="G253" s="1953" t="s">
        <v>239</v>
      </c>
      <c r="H253" s="1953"/>
      <c r="I253" s="1953"/>
      <c r="J253" s="1953"/>
      <c r="K253" s="1954" t="s">
        <v>254</v>
      </c>
      <c r="L253" s="1954"/>
      <c r="M253" s="1954"/>
      <c r="N253" s="1954"/>
      <c r="O253" s="1953" t="s">
        <v>238</v>
      </c>
      <c r="P253" s="1953"/>
      <c r="Q253" s="1953"/>
      <c r="R253" s="1953"/>
      <c r="S253" s="1954" t="s">
        <v>240</v>
      </c>
      <c r="T253" s="1954"/>
      <c r="U253" s="1954"/>
      <c r="V253" s="1954"/>
      <c r="Y253" s="136"/>
      <c r="AC253" s="136"/>
    </row>
    <row r="254" spans="1:45" x14ac:dyDescent="0.3">
      <c r="A254" s="1938" t="s">
        <v>1796</v>
      </c>
      <c r="B254" s="1938"/>
      <c r="C254" s="1938"/>
      <c r="D254" s="1938"/>
      <c r="E254" s="1938"/>
      <c r="F254" s="1938"/>
      <c r="G254" s="1949">
        <f>ROUND(W236*VLOOKUP($A254,$A$199:$Q$209,15,TRUE),2)</f>
        <v>887.25</v>
      </c>
      <c r="H254" s="1949"/>
      <c r="I254" s="1949"/>
      <c r="J254" s="1949"/>
      <c r="K254" s="1949">
        <f>ROUND(AA236*VLOOKUP($A254,$A$199:$Q$209,15,TRUE),2)</f>
        <v>1275.5</v>
      </c>
      <c r="L254" s="1949"/>
      <c r="M254" s="1949"/>
      <c r="N254" s="1949"/>
      <c r="O254" s="1949">
        <f>ROUND(AE236*VLOOKUP($A254,$A$199:$Q$209,15,TRUE),2)</f>
        <v>1719</v>
      </c>
      <c r="P254" s="1949"/>
      <c r="Q254" s="1949"/>
      <c r="R254" s="1949"/>
      <c r="S254" s="1949">
        <f>ROUND(AI236*VLOOKUP($A254,$A$199:$Q$209,15,TRUE),2)</f>
        <v>3161</v>
      </c>
      <c r="T254" s="1949"/>
      <c r="U254" s="1949"/>
      <c r="V254" s="1949"/>
      <c r="Y254" s="136"/>
      <c r="AC254" s="136"/>
    </row>
    <row r="255" spans="1:45" x14ac:dyDescent="0.3">
      <c r="A255" s="1938" t="s">
        <v>211</v>
      </c>
      <c r="B255" s="1938"/>
      <c r="C255" s="1938"/>
      <c r="D255" s="1938"/>
      <c r="E255" s="1938"/>
      <c r="F255" s="1938"/>
      <c r="G255" s="1949">
        <f t="shared" ref="G255:G263" si="8">ROUND(W237*VLOOKUP($A255,$A$199:$Q$209,15,TRUE),2)</f>
        <v>1340.02</v>
      </c>
      <c r="H255" s="1949"/>
      <c r="I255" s="1949"/>
      <c r="J255" s="1949"/>
      <c r="K255" s="1949">
        <f t="shared" ref="K255:K263" si="9">ROUND(AA237*VLOOKUP($A255,$A$199:$Q$209,15,TRUE),2)</f>
        <v>1926.32</v>
      </c>
      <c r="L255" s="1949"/>
      <c r="M255" s="1949"/>
      <c r="N255" s="1949"/>
      <c r="O255" s="1949">
        <f t="shared" ref="O255:O263" si="10">ROUND(AE237*VLOOKUP($A255,$A$199:$Q$209,15,TRUE),2)</f>
        <v>2596.33</v>
      </c>
      <c r="P255" s="1949"/>
      <c r="Q255" s="1949"/>
      <c r="R255" s="1949"/>
      <c r="S255" s="1949">
        <f t="shared" ref="S255:S263" si="11">ROUND(AI237*VLOOKUP($A255,$A$199:$Q$209,15,TRUE),2)</f>
        <v>4774</v>
      </c>
      <c r="T255" s="1949"/>
      <c r="U255" s="1949"/>
      <c r="V255" s="1949"/>
      <c r="Y255" s="136"/>
      <c r="AC255" s="136"/>
    </row>
    <row r="256" spans="1:45" x14ac:dyDescent="0.3">
      <c r="A256" s="1938" t="s">
        <v>212</v>
      </c>
      <c r="B256" s="1938"/>
      <c r="C256" s="1938"/>
      <c r="D256" s="1938"/>
      <c r="E256" s="1938"/>
      <c r="F256" s="1938"/>
      <c r="G256" s="1949">
        <f t="shared" si="8"/>
        <v>851</v>
      </c>
      <c r="H256" s="1949"/>
      <c r="I256" s="1949"/>
      <c r="J256" s="1949"/>
      <c r="K256" s="1949">
        <f t="shared" si="9"/>
        <v>1223.25</v>
      </c>
      <c r="L256" s="1949"/>
      <c r="M256" s="1949"/>
      <c r="N256" s="1949"/>
      <c r="O256" s="1949">
        <f t="shared" si="10"/>
        <v>1648.75</v>
      </c>
      <c r="P256" s="1949"/>
      <c r="Q256" s="1949"/>
      <c r="R256" s="1949"/>
      <c r="S256" s="1949">
        <f t="shared" si="11"/>
        <v>3031.75</v>
      </c>
      <c r="T256" s="1949"/>
      <c r="U256" s="1949"/>
      <c r="V256" s="1949"/>
      <c r="Y256" s="136"/>
      <c r="AC256" s="136"/>
    </row>
    <row r="257" spans="1:52" x14ac:dyDescent="0.3">
      <c r="A257" s="1938" t="s">
        <v>213</v>
      </c>
      <c r="B257" s="1938"/>
      <c r="C257" s="1938"/>
      <c r="D257" s="1938"/>
      <c r="E257" s="1938"/>
      <c r="F257" s="1938"/>
      <c r="G257" s="1949">
        <f t="shared" si="8"/>
        <v>870</v>
      </c>
      <c r="H257" s="1949"/>
      <c r="I257" s="1949"/>
      <c r="J257" s="1949"/>
      <c r="K257" s="1949">
        <f t="shared" si="9"/>
        <v>1250.7</v>
      </c>
      <c r="L257" s="1949"/>
      <c r="M257" s="1949"/>
      <c r="N257" s="1949"/>
      <c r="O257" s="1949">
        <f t="shared" si="10"/>
        <v>1685.7</v>
      </c>
      <c r="P257" s="1949"/>
      <c r="Q257" s="1949"/>
      <c r="R257" s="1949"/>
      <c r="S257" s="1949">
        <f t="shared" si="11"/>
        <v>3099.5</v>
      </c>
      <c r="T257" s="1949"/>
      <c r="U257" s="1949"/>
      <c r="V257" s="1949"/>
      <c r="Y257" s="136"/>
      <c r="AC257" s="136"/>
    </row>
    <row r="258" spans="1:52" x14ac:dyDescent="0.3">
      <c r="A258" s="1938" t="s">
        <v>214</v>
      </c>
      <c r="B258" s="1938"/>
      <c r="C258" s="1938"/>
      <c r="D258" s="1938"/>
      <c r="E258" s="1938"/>
      <c r="F258" s="1938"/>
      <c r="G258" s="1949">
        <f t="shared" si="8"/>
        <v>938.4</v>
      </c>
      <c r="H258" s="1949"/>
      <c r="I258" s="1949"/>
      <c r="J258" s="1949"/>
      <c r="K258" s="1949">
        <f t="shared" si="9"/>
        <v>1349</v>
      </c>
      <c r="L258" s="1949"/>
      <c r="M258" s="1949"/>
      <c r="N258" s="1949"/>
      <c r="O258" s="1949">
        <f t="shared" si="10"/>
        <v>1818.2</v>
      </c>
      <c r="P258" s="1949"/>
      <c r="Q258" s="1949"/>
      <c r="R258" s="1949"/>
      <c r="S258" s="1949">
        <f t="shared" si="11"/>
        <v>3343.1</v>
      </c>
      <c r="T258" s="1949"/>
      <c r="U258" s="1949"/>
      <c r="V258" s="1949"/>
      <c r="Y258" s="136"/>
      <c r="AC258" s="136"/>
    </row>
    <row r="259" spans="1:52" x14ac:dyDescent="0.3">
      <c r="A259" s="1938" t="s">
        <v>215</v>
      </c>
      <c r="B259" s="1938"/>
      <c r="C259" s="1938"/>
      <c r="D259" s="1938"/>
      <c r="E259" s="1938"/>
      <c r="F259" s="1938"/>
      <c r="G259" s="1949">
        <f t="shared" si="8"/>
        <v>614.75</v>
      </c>
      <c r="H259" s="1949"/>
      <c r="I259" s="1949"/>
      <c r="J259" s="1949"/>
      <c r="K259" s="1949">
        <f t="shared" si="9"/>
        <v>883.75</v>
      </c>
      <c r="L259" s="1949"/>
      <c r="M259" s="1949"/>
      <c r="N259" s="1949"/>
      <c r="O259" s="1949">
        <f t="shared" si="10"/>
        <v>1191</v>
      </c>
      <c r="P259" s="1949"/>
      <c r="Q259" s="1949"/>
      <c r="R259" s="1949"/>
      <c r="S259" s="1949">
        <f t="shared" si="11"/>
        <v>2190</v>
      </c>
      <c r="T259" s="1949"/>
      <c r="U259" s="1949"/>
      <c r="V259" s="1949"/>
      <c r="Y259" s="136"/>
      <c r="AC259" s="136"/>
    </row>
    <row r="260" spans="1:52" x14ac:dyDescent="0.3">
      <c r="A260" s="1938" t="s">
        <v>216</v>
      </c>
      <c r="B260" s="1938"/>
      <c r="C260" s="1938"/>
      <c r="D260" s="1938"/>
      <c r="E260" s="1938"/>
      <c r="F260" s="1938"/>
      <c r="G260" s="1949">
        <f t="shared" si="8"/>
        <v>916.74</v>
      </c>
      <c r="H260" s="1949"/>
      <c r="I260" s="1949"/>
      <c r="J260" s="1949"/>
      <c r="K260" s="1949">
        <f t="shared" si="9"/>
        <v>1318.02</v>
      </c>
      <c r="L260" s="1949"/>
      <c r="M260" s="1949"/>
      <c r="N260" s="1949"/>
      <c r="O260" s="1949">
        <f t="shared" si="10"/>
        <v>1776.28</v>
      </c>
      <c r="P260" s="1949"/>
      <c r="Q260" s="1949"/>
      <c r="R260" s="1949"/>
      <c r="S260" s="1949">
        <f t="shared" si="11"/>
        <v>3266.34</v>
      </c>
      <c r="T260" s="1949"/>
      <c r="U260" s="1949"/>
      <c r="V260" s="1949"/>
      <c r="Y260" s="136"/>
      <c r="AC260" s="136"/>
    </row>
    <row r="261" spans="1:52" x14ac:dyDescent="0.3">
      <c r="A261" s="1938" t="s">
        <v>47</v>
      </c>
      <c r="B261" s="1938"/>
      <c r="C261" s="1938"/>
      <c r="D261" s="1938"/>
      <c r="E261" s="1938"/>
      <c r="F261" s="1938"/>
      <c r="G261" s="1949">
        <f t="shared" si="8"/>
        <v>998</v>
      </c>
      <c r="H261" s="1949"/>
      <c r="I261" s="1949"/>
      <c r="J261" s="1949"/>
      <c r="K261" s="1949">
        <f t="shared" si="9"/>
        <v>1434.5</v>
      </c>
      <c r="L261" s="1949"/>
      <c r="M261" s="1949"/>
      <c r="N261" s="1949"/>
      <c r="O261" s="1949">
        <f t="shared" si="10"/>
        <v>1933.5</v>
      </c>
      <c r="P261" s="1949"/>
      <c r="Q261" s="1949"/>
      <c r="R261" s="1949"/>
      <c r="S261" s="1949">
        <f t="shared" si="11"/>
        <v>3555</v>
      </c>
      <c r="T261" s="1949"/>
      <c r="U261" s="1949"/>
      <c r="V261" s="1949"/>
      <c r="Y261" s="136"/>
      <c r="AC261" s="136"/>
    </row>
    <row r="262" spans="1:52" x14ac:dyDescent="0.3">
      <c r="A262" s="1938" t="s">
        <v>217</v>
      </c>
      <c r="B262" s="1938"/>
      <c r="C262" s="1938"/>
      <c r="D262" s="1938"/>
      <c r="E262" s="1938"/>
      <c r="F262" s="1938"/>
      <c r="G262" s="1949">
        <f t="shared" si="8"/>
        <v>1003.52</v>
      </c>
      <c r="H262" s="1949"/>
      <c r="I262" s="1949"/>
      <c r="J262" s="1949"/>
      <c r="K262" s="1949">
        <f t="shared" si="9"/>
        <v>1442.56</v>
      </c>
      <c r="L262" s="1949"/>
      <c r="M262" s="1949"/>
      <c r="N262" s="1949"/>
      <c r="O262" s="1949">
        <f t="shared" si="10"/>
        <v>1944.32</v>
      </c>
      <c r="P262" s="1949"/>
      <c r="Q262" s="1949"/>
      <c r="R262" s="1949"/>
      <c r="S262" s="1949">
        <f t="shared" si="11"/>
        <v>3575.04</v>
      </c>
      <c r="T262" s="1949"/>
      <c r="U262" s="1949"/>
      <c r="V262" s="1949"/>
      <c r="Y262" s="136"/>
      <c r="AC262" s="136"/>
    </row>
    <row r="263" spans="1:52" x14ac:dyDescent="0.3">
      <c r="A263" s="1938" t="s">
        <v>218</v>
      </c>
      <c r="B263" s="1938"/>
      <c r="C263" s="1938"/>
      <c r="D263" s="1938"/>
      <c r="E263" s="1938"/>
      <c r="F263" s="1938"/>
      <c r="G263" s="1949">
        <f t="shared" si="8"/>
        <v>950.6</v>
      </c>
      <c r="H263" s="1949"/>
      <c r="I263" s="1949"/>
      <c r="J263" s="1949"/>
      <c r="K263" s="1949">
        <f t="shared" si="9"/>
        <v>1366.4</v>
      </c>
      <c r="L263" s="1949"/>
      <c r="M263" s="1949"/>
      <c r="N263" s="1949"/>
      <c r="O263" s="1949">
        <f t="shared" si="10"/>
        <v>1841.7</v>
      </c>
      <c r="P263" s="1949"/>
      <c r="Q263" s="1949"/>
      <c r="R263" s="1949"/>
      <c r="S263" s="1949">
        <f t="shared" si="11"/>
        <v>3386.32</v>
      </c>
      <c r="T263" s="1949"/>
      <c r="U263" s="1949"/>
      <c r="V263" s="1949"/>
      <c r="Y263" s="136"/>
      <c r="AC263" s="136"/>
    </row>
    <row r="264" spans="1:52" x14ac:dyDescent="0.3">
      <c r="A264" s="1938" t="s">
        <v>219</v>
      </c>
      <c r="B264" s="1938"/>
      <c r="C264" s="1938"/>
      <c r="D264" s="1938"/>
      <c r="E264" s="1938"/>
      <c r="F264" s="1938"/>
      <c r="G264" s="1949">
        <f>ROUND(W246*VLOOKUP($A264,$A$199:$Q$209,15,TRUE),2)</f>
        <v>796</v>
      </c>
      <c r="H264" s="1949"/>
      <c r="I264" s="1949"/>
      <c r="J264" s="1949"/>
      <c r="K264" s="1949">
        <f>ROUND(AA246*VLOOKUP($A264,$A$199:$Q$209,15,TRUE),2)</f>
        <v>1144</v>
      </c>
      <c r="L264" s="1949"/>
      <c r="M264" s="1949"/>
      <c r="N264" s="1949"/>
      <c r="O264" s="1949">
        <f>ROUND(AE246*VLOOKUP($A264,$A$199:$Q$209,15,TRUE),2)</f>
        <v>1542</v>
      </c>
      <c r="P264" s="1949"/>
      <c r="Q264" s="1949"/>
      <c r="R264" s="1949"/>
      <c r="S264" s="1949">
        <f>ROUND(AI246*VLOOKUP($A264,$A$199:$Q$209,15,TRUE),2)</f>
        <v>2835.25</v>
      </c>
      <c r="T264" s="1949"/>
      <c r="U264" s="1949"/>
      <c r="V264" s="1949"/>
      <c r="Y264" s="136"/>
      <c r="AC264" s="136"/>
    </row>
    <row r="265" spans="1:52" x14ac:dyDescent="0.3">
      <c r="A265" s="244" t="s">
        <v>1729</v>
      </c>
      <c r="B265" s="243"/>
      <c r="C265" s="147"/>
      <c r="G265" s="136"/>
      <c r="K265" s="136"/>
      <c r="O265" s="136"/>
      <c r="S265" s="136"/>
      <c r="AA265" s="136"/>
      <c r="AG265" s="136"/>
      <c r="AK265" s="136"/>
      <c r="AM265" s="10"/>
      <c r="AN265" s="10"/>
      <c r="AO265" s="10"/>
      <c r="AP265" s="10"/>
      <c r="AQ265" s="10"/>
      <c r="AR265" s="10"/>
      <c r="AS265" s="10"/>
      <c r="AT265" s="10"/>
      <c r="AU265" s="10"/>
      <c r="AV265" s="10"/>
      <c r="AW265" s="10"/>
      <c r="AX265" s="10"/>
      <c r="AY265" s="10"/>
      <c r="AZ265" s="10"/>
    </row>
    <row r="266" spans="1:52" x14ac:dyDescent="0.3">
      <c r="A266" s="245"/>
      <c r="B266" s="147"/>
      <c r="C266" s="147"/>
      <c r="G266" s="136"/>
      <c r="K266" s="136"/>
      <c r="O266" s="136"/>
      <c r="S266" s="136"/>
      <c r="AA266" s="136"/>
      <c r="AG266" s="136"/>
      <c r="AK266" s="136"/>
      <c r="AM266" s="10"/>
      <c r="AN266" s="10"/>
      <c r="AO266" s="10"/>
      <c r="AP266" s="10"/>
      <c r="AQ266" s="10"/>
      <c r="AR266" s="10"/>
      <c r="AS266" s="10"/>
      <c r="AT266" s="10"/>
      <c r="AU266" s="10"/>
      <c r="AV266" s="10"/>
      <c r="AW266" s="10"/>
      <c r="AX266" s="10"/>
      <c r="AY266" s="10"/>
      <c r="AZ266" s="10"/>
    </row>
    <row r="267" spans="1:52" x14ac:dyDescent="0.3">
      <c r="B267" s="231" t="s">
        <v>1731</v>
      </c>
      <c r="C267" s="147"/>
      <c r="G267" s="136"/>
      <c r="K267" s="136"/>
      <c r="O267" s="136"/>
      <c r="S267" s="136"/>
      <c r="AA267" s="136"/>
      <c r="AG267" s="136"/>
      <c r="AK267" s="136"/>
      <c r="AM267" s="10"/>
      <c r="AN267" s="10"/>
      <c r="AO267" s="10"/>
      <c r="AP267" s="10"/>
      <c r="AQ267" s="10"/>
      <c r="AR267" s="10"/>
      <c r="AS267" s="10"/>
      <c r="AT267" s="10"/>
      <c r="AU267" s="10"/>
      <c r="AV267" s="10"/>
      <c r="AW267" s="10"/>
      <c r="AX267" s="10"/>
      <c r="AY267" s="10"/>
      <c r="AZ267" s="10"/>
    </row>
    <row r="268" spans="1:52" x14ac:dyDescent="0.3">
      <c r="A268" s="245"/>
      <c r="B268" s="147"/>
      <c r="C268" s="147"/>
      <c r="G268" s="136"/>
      <c r="K268" s="136"/>
      <c r="O268" s="136"/>
      <c r="S268" s="136"/>
      <c r="AA268" s="136"/>
      <c r="AG268" s="136"/>
      <c r="AK268" s="136"/>
      <c r="AM268" s="10"/>
      <c r="AN268" s="10"/>
      <c r="AO268" s="10"/>
      <c r="AP268" s="10"/>
      <c r="AQ268" s="10"/>
      <c r="AR268" s="10"/>
      <c r="AS268" s="10"/>
      <c r="AT268" s="10"/>
      <c r="AU268" s="10"/>
      <c r="AV268" s="10"/>
      <c r="AW268" s="10"/>
      <c r="AX268" s="10"/>
      <c r="AY268" s="10"/>
      <c r="AZ268" s="10"/>
    </row>
    <row r="269" spans="1:52" x14ac:dyDescent="0.3">
      <c r="A269" s="138" t="s">
        <v>1733</v>
      </c>
      <c r="G269" s="3"/>
      <c r="K269" s="3"/>
      <c r="AA269" s="53"/>
      <c r="AB269" s="53"/>
      <c r="AC269" s="53"/>
      <c r="AD269" s="53"/>
    </row>
    <row r="270" spans="1:52" x14ac:dyDescent="0.3">
      <c r="A270" s="1945" t="s">
        <v>46</v>
      </c>
      <c r="B270" s="1945"/>
      <c r="C270" s="1945"/>
      <c r="D270" s="1945"/>
      <c r="E270" s="1945"/>
      <c r="F270" s="1945"/>
      <c r="G270" s="1947" t="s">
        <v>2777</v>
      </c>
      <c r="H270" s="1947"/>
      <c r="I270" s="1947"/>
      <c r="J270" s="1947"/>
      <c r="K270" s="1947"/>
      <c r="L270" s="1947"/>
      <c r="M270" s="1947"/>
      <c r="N270" s="1947"/>
      <c r="O270" s="1947"/>
      <c r="P270" s="1947"/>
      <c r="Q270" s="1947"/>
      <c r="R270" s="1947"/>
      <c r="S270" s="1948" t="s">
        <v>2778</v>
      </c>
      <c r="T270" s="1948"/>
      <c r="U270" s="1948"/>
      <c r="V270" s="1948"/>
      <c r="W270" s="1948"/>
      <c r="X270" s="1948"/>
      <c r="Y270" s="1948"/>
      <c r="Z270" s="1948"/>
      <c r="AA270" s="1948"/>
      <c r="AB270" s="1948"/>
      <c r="AC270" s="1948"/>
      <c r="AD270" s="1948"/>
    </row>
    <row r="271" spans="1:52" x14ac:dyDescent="0.3">
      <c r="A271" s="1032" t="s">
        <v>221</v>
      </c>
      <c r="B271" s="1032"/>
      <c r="C271" s="1032"/>
      <c r="D271" s="1032"/>
      <c r="E271" s="1032"/>
      <c r="F271" s="1032"/>
      <c r="G271" s="1031">
        <f>ROUND(($U$91-$K$123)*$Q$73*$R$123*$Q$78,3)</f>
        <v>3.2000000000000001E-2</v>
      </c>
      <c r="H271" s="1031"/>
      <c r="I271" s="1031"/>
      <c r="J271" s="1031"/>
      <c r="K271" s="1031"/>
      <c r="L271" s="1031"/>
      <c r="M271" s="1031"/>
      <c r="N271" s="1031"/>
      <c r="O271" s="1031"/>
      <c r="P271" s="1031"/>
      <c r="Q271" s="1031"/>
      <c r="R271" s="1031"/>
      <c r="S271" s="1944">
        <f>ROUND(($U$91-$K$123)*$Q$73*$E$167*$Q$78,2)</f>
        <v>283.3</v>
      </c>
      <c r="T271" s="1944"/>
      <c r="U271" s="1944"/>
      <c r="V271" s="1944"/>
      <c r="W271" s="1944"/>
      <c r="X271" s="1944"/>
      <c r="Y271" s="1944"/>
      <c r="Z271" s="1944"/>
      <c r="AA271" s="1944"/>
      <c r="AB271" s="1944"/>
      <c r="AC271" s="1944"/>
      <c r="AD271" s="1944"/>
    </row>
    <row r="273" spans="1:52" x14ac:dyDescent="0.3">
      <c r="B273" s="231" t="s">
        <v>1732</v>
      </c>
      <c r="C273" s="147"/>
      <c r="G273" s="136"/>
      <c r="K273" s="136"/>
      <c r="O273" s="136"/>
      <c r="S273" s="136"/>
      <c r="AA273" s="136"/>
      <c r="AG273" s="136"/>
      <c r="AK273" s="136"/>
      <c r="AM273" s="10"/>
      <c r="AN273" s="10"/>
      <c r="AO273" s="10"/>
      <c r="AP273" s="10"/>
      <c r="AQ273" s="10"/>
      <c r="AR273" s="10"/>
      <c r="AS273" s="10"/>
      <c r="AT273" s="10"/>
      <c r="AU273" s="10"/>
      <c r="AV273" s="10"/>
      <c r="AW273" s="10"/>
      <c r="AX273" s="10"/>
      <c r="AY273" s="10"/>
      <c r="AZ273" s="10"/>
    </row>
    <row r="274" spans="1:52" x14ac:dyDescent="0.3">
      <c r="A274" s="245"/>
      <c r="B274" s="147"/>
      <c r="C274" s="147"/>
      <c r="G274" s="136"/>
      <c r="K274" s="136"/>
      <c r="O274" s="136"/>
      <c r="S274" s="136"/>
      <c r="AA274" s="136"/>
      <c r="AG274" s="136"/>
      <c r="AK274" s="136"/>
      <c r="AM274" s="10"/>
      <c r="AN274" s="10"/>
      <c r="AO274" s="10"/>
      <c r="AP274" s="10"/>
      <c r="AQ274" s="10"/>
      <c r="AR274" s="10"/>
      <c r="AS274" s="10"/>
      <c r="AT274" s="10"/>
      <c r="AU274" s="10"/>
      <c r="AV274" s="10"/>
      <c r="AW274" s="10"/>
      <c r="AX274" s="10"/>
      <c r="AY274" s="10"/>
      <c r="AZ274" s="10"/>
    </row>
    <row r="275" spans="1:52" x14ac:dyDescent="0.3">
      <c r="A275" s="138" t="s">
        <v>1734</v>
      </c>
      <c r="G275" s="3"/>
      <c r="K275" s="3"/>
      <c r="AA275" s="53"/>
      <c r="AB275" s="53"/>
      <c r="AC275" s="53"/>
      <c r="AD275" s="53"/>
      <c r="AG275" s="136"/>
      <c r="AK275" s="136"/>
      <c r="AM275" s="10"/>
      <c r="AN275" s="10"/>
      <c r="AO275" s="10"/>
      <c r="AP275" s="10"/>
      <c r="AQ275" s="10"/>
      <c r="AR275" s="10"/>
      <c r="AS275" s="10"/>
      <c r="AT275" s="10"/>
      <c r="AU275" s="10"/>
      <c r="AV275" s="10"/>
      <c r="AW275" s="10"/>
      <c r="AX275" s="10"/>
      <c r="AY275" s="10"/>
      <c r="AZ275" s="10"/>
    </row>
    <row r="276" spans="1:52" x14ac:dyDescent="0.3">
      <c r="A276" s="1945" t="s">
        <v>46</v>
      </c>
      <c r="B276" s="1945"/>
      <c r="C276" s="1945"/>
      <c r="D276" s="1945"/>
      <c r="E276" s="1945"/>
      <c r="F276" s="1945"/>
      <c r="G276" s="1946" t="s">
        <v>1745</v>
      </c>
      <c r="H276" s="1946"/>
      <c r="I276" s="1946"/>
      <c r="J276" s="1946"/>
      <c r="K276" s="1946"/>
      <c r="L276" s="1946"/>
      <c r="M276" s="1946"/>
      <c r="N276" s="1946"/>
      <c r="O276" s="1946"/>
      <c r="P276" s="1946"/>
      <c r="Q276" s="1946"/>
      <c r="R276" s="1946"/>
      <c r="U276" s="136"/>
      <c r="Y276" s="136"/>
      <c r="AA276" s="10"/>
      <c r="AB276" s="10"/>
      <c r="AC276" s="10"/>
      <c r="AD276" s="10"/>
      <c r="AE276" s="10"/>
      <c r="AF276" s="10"/>
      <c r="AG276" s="10"/>
      <c r="AH276" s="10"/>
      <c r="AI276" s="10"/>
      <c r="AJ276" s="10"/>
      <c r="AK276" s="10"/>
      <c r="AL276" s="10"/>
      <c r="AM276" s="10"/>
      <c r="AN276" s="10"/>
    </row>
    <row r="277" spans="1:52" x14ac:dyDescent="0.3">
      <c r="A277" s="1032" t="s">
        <v>221</v>
      </c>
      <c r="B277" s="1032"/>
      <c r="C277" s="1032"/>
      <c r="D277" s="1032"/>
      <c r="E277" s="1032"/>
      <c r="F277" s="1032"/>
      <c r="G277" s="1687">
        <f>ROUND($S$271*$E$199,2)</f>
        <v>5099.3999999999996</v>
      </c>
      <c r="H277" s="1687"/>
      <c r="I277" s="1687"/>
      <c r="J277" s="1687"/>
      <c r="K277" s="1687"/>
      <c r="L277" s="1687"/>
      <c r="M277" s="1687"/>
      <c r="N277" s="1687"/>
      <c r="O277" s="1687"/>
      <c r="P277" s="1687"/>
      <c r="Q277" s="1687"/>
      <c r="R277" s="1687"/>
      <c r="U277" s="136"/>
      <c r="Y277" s="136"/>
      <c r="AA277" s="10"/>
      <c r="AB277" s="10"/>
      <c r="AC277" s="10"/>
      <c r="AD277" s="10"/>
      <c r="AE277" s="10"/>
      <c r="AF277" s="10"/>
      <c r="AG277" s="10"/>
      <c r="AH277" s="10"/>
      <c r="AI277" s="10"/>
      <c r="AJ277" s="10"/>
      <c r="AK277" s="10"/>
      <c r="AL277" s="10"/>
      <c r="AM277" s="10"/>
      <c r="AN277" s="10"/>
    </row>
    <row r="278" spans="1:52" x14ac:dyDescent="0.3">
      <c r="A278" s="245"/>
      <c r="B278" s="147"/>
      <c r="C278" s="147"/>
      <c r="G278" s="136"/>
      <c r="K278" s="136"/>
      <c r="O278" s="136"/>
      <c r="S278" s="136"/>
      <c r="AA278" s="136"/>
      <c r="AG278" s="136"/>
      <c r="AK278" s="136"/>
      <c r="AM278" s="10"/>
      <c r="AN278" s="10"/>
      <c r="AO278" s="10"/>
      <c r="AP278" s="10"/>
      <c r="AQ278" s="10"/>
      <c r="AR278" s="10"/>
      <c r="AS278" s="10"/>
      <c r="AT278" s="10"/>
      <c r="AU278" s="10"/>
      <c r="AV278" s="10"/>
      <c r="AW278" s="10"/>
      <c r="AX278" s="10"/>
      <c r="AY278" s="10"/>
      <c r="AZ278" s="10"/>
    </row>
    <row r="279" spans="1:52" x14ac:dyDescent="0.3">
      <c r="A279" s="245"/>
      <c r="B279" s="231" t="s">
        <v>1736</v>
      </c>
      <c r="C279" s="147"/>
      <c r="G279" s="136"/>
      <c r="K279" s="136"/>
      <c r="O279" s="136"/>
      <c r="S279" s="136"/>
      <c r="AA279" s="136"/>
      <c r="AG279" s="136"/>
      <c r="AK279" s="136"/>
      <c r="AM279" s="10"/>
      <c r="AN279" s="10"/>
      <c r="AO279" s="10"/>
      <c r="AP279" s="10"/>
      <c r="AQ279" s="10"/>
      <c r="AR279" s="10"/>
      <c r="AS279" s="10"/>
      <c r="AT279" s="10"/>
      <c r="AU279" s="10"/>
      <c r="AV279" s="10"/>
      <c r="AW279" s="10"/>
      <c r="AX279" s="10"/>
      <c r="AY279" s="10"/>
      <c r="AZ279" s="10"/>
    </row>
    <row r="280" spans="1:52" x14ac:dyDescent="0.3">
      <c r="A280" s="245"/>
      <c r="B280" s="147"/>
      <c r="C280" s="147"/>
      <c r="G280" s="136"/>
      <c r="K280" s="136"/>
      <c r="O280" s="136"/>
      <c r="S280" s="136"/>
      <c r="AA280" s="136"/>
      <c r="AG280" s="136"/>
      <c r="AK280" s="136"/>
      <c r="AM280" s="10"/>
      <c r="AN280" s="10"/>
      <c r="AO280" s="10"/>
      <c r="AP280" s="10"/>
      <c r="AQ280" s="10"/>
      <c r="AR280" s="10"/>
      <c r="AS280" s="10"/>
      <c r="AT280" s="10"/>
      <c r="AU280" s="10"/>
      <c r="AV280" s="10"/>
      <c r="AW280" s="10"/>
      <c r="AX280" s="10"/>
      <c r="AY280" s="10"/>
      <c r="AZ280" s="10"/>
    </row>
    <row r="281" spans="1:52" x14ac:dyDescent="0.3">
      <c r="A281" s="610" t="s">
        <v>4600</v>
      </c>
      <c r="B281" s="139"/>
      <c r="C281" s="139"/>
      <c r="D281" s="139"/>
      <c r="E281" s="139"/>
      <c r="F281" s="139"/>
      <c r="G281" s="141"/>
      <c r="H281" s="141"/>
      <c r="I281" s="141"/>
      <c r="J281" s="141"/>
      <c r="K281" s="141"/>
      <c r="L281" s="141"/>
      <c r="M281" s="141"/>
      <c r="N281" s="141"/>
      <c r="O281" s="141"/>
      <c r="P281" s="141"/>
      <c r="Q281" s="141"/>
      <c r="R281" s="141"/>
      <c r="S281" s="141"/>
      <c r="T281" s="141"/>
      <c r="U281" s="141"/>
      <c r="V281" s="141"/>
      <c r="W281" s="141"/>
      <c r="X281" s="141"/>
      <c r="Y281" s="141"/>
      <c r="Z281" s="141"/>
      <c r="AA281" s="141"/>
      <c r="AB281" s="141"/>
      <c r="AC281" s="141"/>
      <c r="AD281" s="141"/>
      <c r="AE281" s="141"/>
      <c r="AF281" s="141"/>
      <c r="AG281" s="141"/>
      <c r="AH281" s="141"/>
      <c r="AI281" s="53"/>
      <c r="AJ281" s="53"/>
      <c r="AK281" s="53"/>
      <c r="AL281" s="53"/>
    </row>
    <row r="282" spans="1:52" x14ac:dyDescent="0.3">
      <c r="A282" s="53"/>
      <c r="B282" s="53"/>
      <c r="C282" s="53"/>
      <c r="D282" s="53"/>
      <c r="E282" s="53"/>
      <c r="F282" s="53"/>
      <c r="G282" s="2061" t="s">
        <v>596</v>
      </c>
      <c r="H282" s="2061"/>
      <c r="I282" s="2061"/>
      <c r="J282" s="2061"/>
      <c r="K282" s="2061"/>
      <c r="L282" s="2061"/>
      <c r="M282" s="2061"/>
      <c r="N282" s="2061"/>
      <c r="O282" s="2062" t="s">
        <v>597</v>
      </c>
      <c r="P282" s="2062"/>
      <c r="Q282" s="2062"/>
      <c r="R282" s="2062"/>
      <c r="S282" s="2062"/>
      <c r="T282" s="2062"/>
      <c r="U282" s="2062"/>
      <c r="V282" s="2062"/>
      <c r="W282" s="2061" t="s">
        <v>598</v>
      </c>
      <c r="X282" s="2061"/>
      <c r="Y282" s="2061"/>
      <c r="Z282" s="2061"/>
      <c r="AA282" s="2061"/>
      <c r="AB282" s="2061"/>
      <c r="AC282" s="2061"/>
      <c r="AD282" s="2061"/>
      <c r="AE282" s="2062" t="s">
        <v>599</v>
      </c>
      <c r="AF282" s="2062"/>
      <c r="AG282" s="2062"/>
      <c r="AH282" s="2062"/>
      <c r="AI282" s="2062"/>
      <c r="AJ282" s="2062"/>
      <c r="AK282" s="2062"/>
      <c r="AL282" s="2062"/>
    </row>
    <row r="283" spans="1:52" x14ac:dyDescent="0.3">
      <c r="A283" s="1069" t="s">
        <v>46</v>
      </c>
      <c r="B283" s="1069"/>
      <c r="C283" s="1069"/>
      <c r="D283" s="1069"/>
      <c r="E283" s="1069"/>
      <c r="F283" s="1069"/>
      <c r="G283" s="1947" t="s">
        <v>18</v>
      </c>
      <c r="H283" s="1947"/>
      <c r="I283" s="1947"/>
      <c r="J283" s="1947"/>
      <c r="K283" s="1948" t="s">
        <v>41</v>
      </c>
      <c r="L283" s="1948"/>
      <c r="M283" s="1948"/>
      <c r="N283" s="1948"/>
      <c r="O283" s="1947" t="s">
        <v>18</v>
      </c>
      <c r="P283" s="1947"/>
      <c r="Q283" s="1947"/>
      <c r="R283" s="1947"/>
      <c r="S283" s="1948" t="s">
        <v>41</v>
      </c>
      <c r="T283" s="1948"/>
      <c r="U283" s="1948"/>
      <c r="V283" s="1948"/>
      <c r="W283" s="1947" t="s">
        <v>18</v>
      </c>
      <c r="X283" s="1947"/>
      <c r="Y283" s="1947"/>
      <c r="Z283" s="1947"/>
      <c r="AA283" s="1948" t="s">
        <v>41</v>
      </c>
      <c r="AB283" s="1948"/>
      <c r="AC283" s="1948"/>
      <c r="AD283" s="1948"/>
      <c r="AE283" s="1947" t="s">
        <v>18</v>
      </c>
      <c r="AF283" s="1947"/>
      <c r="AG283" s="1947"/>
      <c r="AH283" s="1947"/>
      <c r="AI283" s="1948" t="s">
        <v>41</v>
      </c>
      <c r="AJ283" s="1948"/>
      <c r="AK283" s="1948"/>
      <c r="AL283" s="1948"/>
    </row>
    <row r="284" spans="1:52" x14ac:dyDescent="0.3">
      <c r="A284" s="1938" t="s">
        <v>1796</v>
      </c>
      <c r="B284" s="1938"/>
      <c r="C284" s="1938"/>
      <c r="D284" s="1938"/>
      <c r="E284" s="1938"/>
      <c r="F284" s="1938"/>
      <c r="G284" s="1950">
        <f t="shared" ref="G284:G294" si="12">ROUND(($U$104-$K$136)*$Q$73*VLOOKUP($A284,$N$123:$AG$133,9,TRUE)*VLOOKUP($A284,$N$146:$AG$156,5,TRUE)*$Q$78,3)</f>
        <v>8.0000000000000002E-3</v>
      </c>
      <c r="H284" s="1950"/>
      <c r="I284" s="1950"/>
      <c r="J284" s="1950"/>
      <c r="K284" s="1956">
        <f t="shared" ref="K284:K294" si="13">ROUND(($U$104-$K$136)*$Q$73*VLOOKUP($A284,$A$167:$Q$177,8,TRUE)*VLOOKUP($A284,$N$146:$AG$156,9,TRUE)*$Q$78,2)</f>
        <v>42.58</v>
      </c>
      <c r="L284" s="1956"/>
      <c r="M284" s="1956"/>
      <c r="N284" s="1956"/>
      <c r="O284" s="1950">
        <f t="shared" ref="O284:O294" si="14">ROUND(($U$105-$K$137)*$Q$73*VLOOKUP($A284,$N$123:$AG$133,9,TRUE)*VLOOKUP($A284,$N$146:$AG$156,5,TRUE)*$Q$78,3)</f>
        <v>1.4E-2</v>
      </c>
      <c r="P284" s="1950"/>
      <c r="Q284" s="1950"/>
      <c r="R284" s="1950"/>
      <c r="S284" s="1956">
        <f t="shared" ref="S284:S294" si="15">ROUND(($U$105-$K$137)*$Q$73*VLOOKUP($A284,$A$167:$Q$177,8,TRUE)*VLOOKUP($A284,$N$146:$AG$156,9,TRUE)*$Q$78,2)</f>
        <v>73</v>
      </c>
      <c r="T284" s="1956"/>
      <c r="U284" s="1956"/>
      <c r="V284" s="1956"/>
      <c r="W284" s="1950">
        <f t="shared" ref="W284:W294" si="16">ROUND(($U$106-$K$138)*$Q$73*VLOOKUP($A284,$N$123:$AG$133,9,TRUE)*VLOOKUP($A284,$N$146:$AG$156,5,TRUE)*$Q$78,3)</f>
        <v>1.2999999999999999E-2</v>
      </c>
      <c r="X284" s="1950"/>
      <c r="Y284" s="1950"/>
      <c r="Z284" s="1950"/>
      <c r="AA284" s="1956">
        <f t="shared" ref="AA284:AA294" si="17">ROUND(($U$106-$K$138)*$Q$73*VLOOKUP($A284,$A$167:$Q$177,8,TRUE)*VLOOKUP($A284,$N$146:$AG$156,9,TRUE)*$Q$78,2)</f>
        <v>70.97</v>
      </c>
      <c r="AB284" s="1956"/>
      <c r="AC284" s="1956"/>
      <c r="AD284" s="1956"/>
      <c r="AE284" s="1950">
        <f t="shared" ref="AE284:AE294" si="18">ROUND(($U$107-$K$139)*$Q$73*VLOOKUP($A284,$N$123:$AG$133,9,TRUE)*VLOOKUP($A284,$N$146:$AG$156,5,TRUE)*$Q$78,3)</f>
        <v>2.1000000000000001E-2</v>
      </c>
      <c r="AF284" s="1950"/>
      <c r="AG284" s="1950"/>
      <c r="AH284" s="1950"/>
      <c r="AI284" s="1956">
        <f t="shared" ref="AI284:AI294" si="19">ROUND(($U$107-$K$139)*$Q$73*VLOOKUP($A284,$A$167:$Q$177,8,TRUE)*VLOOKUP($A284,$N$146:$AG$156,9,TRUE)*$Q$78,2)</f>
        <v>109.49</v>
      </c>
      <c r="AJ284" s="1956"/>
      <c r="AK284" s="1956"/>
      <c r="AL284" s="1956"/>
    </row>
    <row r="285" spans="1:52" x14ac:dyDescent="0.3">
      <c r="A285" s="1938" t="s">
        <v>211</v>
      </c>
      <c r="B285" s="1938"/>
      <c r="C285" s="1938"/>
      <c r="D285" s="1938"/>
      <c r="E285" s="1938"/>
      <c r="F285" s="1938"/>
      <c r="G285" s="1950">
        <f t="shared" si="12"/>
        <v>5.0000000000000001E-3</v>
      </c>
      <c r="H285" s="1950"/>
      <c r="I285" s="1950"/>
      <c r="J285" s="1950"/>
      <c r="K285" s="1956">
        <f t="shared" si="13"/>
        <v>151.21</v>
      </c>
      <c r="L285" s="1956"/>
      <c r="M285" s="1956"/>
      <c r="N285" s="1956"/>
      <c r="O285" s="1950">
        <f t="shared" si="14"/>
        <v>8.9999999999999993E-3</v>
      </c>
      <c r="P285" s="1950"/>
      <c r="Q285" s="1950"/>
      <c r="R285" s="1950"/>
      <c r="S285" s="1956">
        <f t="shared" si="15"/>
        <v>259.22000000000003</v>
      </c>
      <c r="T285" s="1956"/>
      <c r="U285" s="1956"/>
      <c r="V285" s="1956"/>
      <c r="W285" s="1950">
        <f t="shared" si="16"/>
        <v>8.9999999999999993E-3</v>
      </c>
      <c r="X285" s="1950"/>
      <c r="Y285" s="1950"/>
      <c r="Z285" s="1950"/>
      <c r="AA285" s="1956">
        <f t="shared" si="17"/>
        <v>252.02</v>
      </c>
      <c r="AB285" s="1956"/>
      <c r="AC285" s="1956"/>
      <c r="AD285" s="1956"/>
      <c r="AE285" s="1950">
        <f t="shared" si="18"/>
        <v>1.2999999999999999E-2</v>
      </c>
      <c r="AF285" s="1950"/>
      <c r="AG285" s="1950"/>
      <c r="AH285" s="1950"/>
      <c r="AI285" s="1956">
        <f t="shared" si="19"/>
        <v>388.83</v>
      </c>
      <c r="AJ285" s="1956"/>
      <c r="AK285" s="1956"/>
      <c r="AL285" s="1956"/>
    </row>
    <row r="286" spans="1:52" x14ac:dyDescent="0.3">
      <c r="A286" s="1938" t="s">
        <v>212</v>
      </c>
      <c r="B286" s="1938"/>
      <c r="C286" s="1938"/>
      <c r="D286" s="1938"/>
      <c r="E286" s="1938"/>
      <c r="F286" s="1938"/>
      <c r="G286" s="1950">
        <f t="shared" si="12"/>
        <v>7.0000000000000001E-3</v>
      </c>
      <c r="H286" s="1950"/>
      <c r="I286" s="1950"/>
      <c r="J286" s="1950"/>
      <c r="K286" s="1956">
        <f t="shared" si="13"/>
        <v>38.54</v>
      </c>
      <c r="L286" s="1956"/>
      <c r="M286" s="1956"/>
      <c r="N286" s="1956"/>
      <c r="O286" s="1950">
        <f t="shared" si="14"/>
        <v>1.2999999999999999E-2</v>
      </c>
      <c r="P286" s="1950"/>
      <c r="Q286" s="1950"/>
      <c r="R286" s="1950"/>
      <c r="S286" s="1956">
        <f t="shared" si="15"/>
        <v>66.06</v>
      </c>
      <c r="T286" s="1956"/>
      <c r="U286" s="1956"/>
      <c r="V286" s="1956"/>
      <c r="W286" s="1950">
        <f t="shared" si="16"/>
        <v>1.2E-2</v>
      </c>
      <c r="X286" s="1950"/>
      <c r="Y286" s="1950"/>
      <c r="Z286" s="1950"/>
      <c r="AA286" s="1956">
        <f t="shared" si="17"/>
        <v>64.23</v>
      </c>
      <c r="AB286" s="1956"/>
      <c r="AC286" s="1956"/>
      <c r="AD286" s="1956"/>
      <c r="AE286" s="1950">
        <f t="shared" si="18"/>
        <v>1.9E-2</v>
      </c>
      <c r="AF286" s="1950"/>
      <c r="AG286" s="1950"/>
      <c r="AH286" s="1950"/>
      <c r="AI286" s="1956">
        <f t="shared" si="19"/>
        <v>99.09</v>
      </c>
      <c r="AJ286" s="1956"/>
      <c r="AK286" s="1956"/>
      <c r="AL286" s="1956"/>
    </row>
    <row r="287" spans="1:52" x14ac:dyDescent="0.3">
      <c r="A287" s="1938" t="s">
        <v>213</v>
      </c>
      <c r="B287" s="1938"/>
      <c r="C287" s="1938"/>
      <c r="D287" s="1938"/>
      <c r="E287" s="1938"/>
      <c r="F287" s="1938"/>
      <c r="G287" s="1950">
        <f t="shared" si="12"/>
        <v>1.6E-2</v>
      </c>
      <c r="H287" s="1950"/>
      <c r="I287" s="1950"/>
      <c r="J287" s="1950"/>
      <c r="K287" s="1956">
        <f t="shared" si="13"/>
        <v>114.96</v>
      </c>
      <c r="L287" s="1956"/>
      <c r="M287" s="1956"/>
      <c r="N287" s="1956"/>
      <c r="O287" s="1950">
        <f t="shared" si="14"/>
        <v>2.7E-2</v>
      </c>
      <c r="P287" s="1950"/>
      <c r="Q287" s="1950"/>
      <c r="R287" s="1950"/>
      <c r="S287" s="1956">
        <f t="shared" si="15"/>
        <v>197.07</v>
      </c>
      <c r="T287" s="1956"/>
      <c r="U287" s="1956"/>
      <c r="V287" s="1956"/>
      <c r="W287" s="1950">
        <f t="shared" si="16"/>
        <v>2.7E-2</v>
      </c>
      <c r="X287" s="1950"/>
      <c r="Y287" s="1950"/>
      <c r="Z287" s="1950"/>
      <c r="AA287" s="1956">
        <f t="shared" si="17"/>
        <v>191.6</v>
      </c>
      <c r="AB287" s="1956"/>
      <c r="AC287" s="1956"/>
      <c r="AD287" s="1956"/>
      <c r="AE287" s="1950">
        <f t="shared" si="18"/>
        <v>4.1000000000000002E-2</v>
      </c>
      <c r="AF287" s="1950"/>
      <c r="AG287" s="1950"/>
      <c r="AH287" s="1950"/>
      <c r="AI287" s="1956">
        <f t="shared" si="19"/>
        <v>295.61</v>
      </c>
      <c r="AJ287" s="1956"/>
      <c r="AK287" s="1956"/>
      <c r="AL287" s="1956"/>
    </row>
    <row r="288" spans="1:52" x14ac:dyDescent="0.3">
      <c r="A288" s="1938" t="s">
        <v>214</v>
      </c>
      <c r="B288" s="1938"/>
      <c r="C288" s="1938"/>
      <c r="D288" s="1938"/>
      <c r="E288" s="1938"/>
      <c r="F288" s="1938"/>
      <c r="G288" s="1950">
        <f t="shared" si="12"/>
        <v>1.7000000000000001E-2</v>
      </c>
      <c r="H288" s="1950"/>
      <c r="I288" s="1950"/>
      <c r="J288" s="1950"/>
      <c r="K288" s="1956">
        <f t="shared" si="13"/>
        <v>125.99</v>
      </c>
      <c r="L288" s="1956"/>
      <c r="M288" s="1956"/>
      <c r="N288" s="1956"/>
      <c r="O288" s="1950">
        <f t="shared" si="14"/>
        <v>2.9000000000000001E-2</v>
      </c>
      <c r="P288" s="1950"/>
      <c r="Q288" s="1950"/>
      <c r="R288" s="1950"/>
      <c r="S288" s="1956">
        <f t="shared" si="15"/>
        <v>215.98</v>
      </c>
      <c r="T288" s="1956"/>
      <c r="U288" s="1956"/>
      <c r="V288" s="1956"/>
      <c r="W288" s="1950">
        <f t="shared" si="16"/>
        <v>2.8000000000000001E-2</v>
      </c>
      <c r="X288" s="1950"/>
      <c r="Y288" s="1950"/>
      <c r="Z288" s="1950"/>
      <c r="AA288" s="1956">
        <f t="shared" si="17"/>
        <v>209.98</v>
      </c>
      <c r="AB288" s="1956"/>
      <c r="AC288" s="1956"/>
      <c r="AD288" s="1956"/>
      <c r="AE288" s="1950">
        <f t="shared" si="18"/>
        <v>4.2999999999999997E-2</v>
      </c>
      <c r="AF288" s="1950"/>
      <c r="AG288" s="1950"/>
      <c r="AH288" s="1950"/>
      <c r="AI288" s="1956">
        <f t="shared" si="19"/>
        <v>323.97000000000003</v>
      </c>
      <c r="AJ288" s="1956"/>
      <c r="AK288" s="1956"/>
      <c r="AL288" s="1956"/>
    </row>
    <row r="289" spans="1:59" x14ac:dyDescent="0.3">
      <c r="A289" s="1938" t="s">
        <v>215</v>
      </c>
      <c r="B289" s="1938"/>
      <c r="C289" s="1938"/>
      <c r="D289" s="1938"/>
      <c r="E289" s="1938"/>
      <c r="F289" s="1938"/>
      <c r="G289" s="1950">
        <f t="shared" si="12"/>
        <v>7.0000000000000001E-3</v>
      </c>
      <c r="H289" s="1950"/>
      <c r="I289" s="1950"/>
      <c r="J289" s="1950"/>
      <c r="K289" s="1956">
        <f t="shared" si="13"/>
        <v>36.47</v>
      </c>
      <c r="L289" s="1956"/>
      <c r="M289" s="1956"/>
      <c r="N289" s="1956"/>
      <c r="O289" s="1950">
        <f t="shared" si="14"/>
        <v>1.2E-2</v>
      </c>
      <c r="P289" s="1950"/>
      <c r="Q289" s="1950"/>
      <c r="R289" s="1950"/>
      <c r="S289" s="1956">
        <f t="shared" si="15"/>
        <v>62.51</v>
      </c>
      <c r="T289" s="1956"/>
      <c r="U289" s="1956"/>
      <c r="V289" s="1956"/>
      <c r="W289" s="1950">
        <f t="shared" si="16"/>
        <v>1.0999999999999999E-2</v>
      </c>
      <c r="X289" s="1950"/>
      <c r="Y289" s="1950"/>
      <c r="Z289" s="1950"/>
      <c r="AA289" s="1956">
        <f t="shared" si="17"/>
        <v>60.78</v>
      </c>
      <c r="AB289" s="1956"/>
      <c r="AC289" s="1956"/>
      <c r="AD289" s="1956"/>
      <c r="AE289" s="1950">
        <f t="shared" si="18"/>
        <v>1.7000000000000001E-2</v>
      </c>
      <c r="AF289" s="1950"/>
      <c r="AG289" s="1950"/>
      <c r="AH289" s="1950"/>
      <c r="AI289" s="1956">
        <f t="shared" si="19"/>
        <v>93.77</v>
      </c>
      <c r="AJ289" s="1956"/>
      <c r="AK289" s="1956"/>
      <c r="AL289" s="1956"/>
    </row>
    <row r="290" spans="1:59" x14ac:dyDescent="0.3">
      <c r="A290" s="1938" t="s">
        <v>216</v>
      </c>
      <c r="B290" s="1938"/>
      <c r="C290" s="1938"/>
      <c r="D290" s="1938"/>
      <c r="E290" s="1938"/>
      <c r="F290" s="1938"/>
      <c r="G290" s="1950">
        <f t="shared" si="12"/>
        <v>1.2999999999999999E-2</v>
      </c>
      <c r="H290" s="1950"/>
      <c r="I290" s="1950"/>
      <c r="J290" s="1950"/>
      <c r="K290" s="1956">
        <f t="shared" si="13"/>
        <v>49.44</v>
      </c>
      <c r="L290" s="1956"/>
      <c r="M290" s="1956"/>
      <c r="N290" s="1956"/>
      <c r="O290" s="1950">
        <f t="shared" si="14"/>
        <v>2.1999999999999999E-2</v>
      </c>
      <c r="P290" s="1950"/>
      <c r="Q290" s="1950"/>
      <c r="R290" s="1950"/>
      <c r="S290" s="1956">
        <f t="shared" si="15"/>
        <v>84.76</v>
      </c>
      <c r="T290" s="1956"/>
      <c r="U290" s="1956"/>
      <c r="V290" s="1956"/>
      <c r="W290" s="1950">
        <f t="shared" si="16"/>
        <v>2.1999999999999999E-2</v>
      </c>
      <c r="X290" s="1950"/>
      <c r="Y290" s="1950"/>
      <c r="Z290" s="1950"/>
      <c r="AA290" s="1956">
        <f t="shared" si="17"/>
        <v>82.4</v>
      </c>
      <c r="AB290" s="1956"/>
      <c r="AC290" s="1956"/>
      <c r="AD290" s="1956"/>
      <c r="AE290" s="1950">
        <f t="shared" si="18"/>
        <v>3.3000000000000002E-2</v>
      </c>
      <c r="AF290" s="1950"/>
      <c r="AG290" s="1950"/>
      <c r="AH290" s="1950"/>
      <c r="AI290" s="1956">
        <f t="shared" si="19"/>
        <v>127.14</v>
      </c>
      <c r="AJ290" s="1956"/>
      <c r="AK290" s="1956"/>
      <c r="AL290" s="1956"/>
    </row>
    <row r="291" spans="1:59" x14ac:dyDescent="0.3">
      <c r="A291" s="1938" t="s">
        <v>47</v>
      </c>
      <c r="B291" s="1938"/>
      <c r="C291" s="1938"/>
      <c r="D291" s="1938"/>
      <c r="E291" s="1938"/>
      <c r="F291" s="1938"/>
      <c r="G291" s="1950">
        <f t="shared" si="12"/>
        <v>5.0000000000000001E-3</v>
      </c>
      <c r="H291" s="1950"/>
      <c r="I291" s="1950"/>
      <c r="J291" s="1950"/>
      <c r="K291" s="1956">
        <f t="shared" si="13"/>
        <v>45.79</v>
      </c>
      <c r="L291" s="1956"/>
      <c r="M291" s="1956"/>
      <c r="N291" s="1956"/>
      <c r="O291" s="1950">
        <f t="shared" si="14"/>
        <v>8.0000000000000002E-3</v>
      </c>
      <c r="P291" s="1950"/>
      <c r="Q291" s="1950"/>
      <c r="R291" s="1950"/>
      <c r="S291" s="1956">
        <f t="shared" si="15"/>
        <v>78.5</v>
      </c>
      <c r="T291" s="1956"/>
      <c r="U291" s="1956"/>
      <c r="V291" s="1956"/>
      <c r="W291" s="1950">
        <f t="shared" si="16"/>
        <v>8.0000000000000002E-3</v>
      </c>
      <c r="X291" s="1950"/>
      <c r="Y291" s="1950"/>
      <c r="Z291" s="1950"/>
      <c r="AA291" s="1956">
        <f t="shared" si="17"/>
        <v>76.319999999999993</v>
      </c>
      <c r="AB291" s="1956"/>
      <c r="AC291" s="1956"/>
      <c r="AD291" s="1956"/>
      <c r="AE291" s="1950">
        <f t="shared" si="18"/>
        <v>1.2999999999999999E-2</v>
      </c>
      <c r="AF291" s="1950"/>
      <c r="AG291" s="1950"/>
      <c r="AH291" s="1950"/>
      <c r="AI291" s="1956">
        <f t="shared" si="19"/>
        <v>117.75</v>
      </c>
      <c r="AJ291" s="1956"/>
      <c r="AK291" s="1956"/>
      <c r="AL291" s="1956"/>
    </row>
    <row r="292" spans="1:59" x14ac:dyDescent="0.3">
      <c r="A292" s="1938" t="s">
        <v>217</v>
      </c>
      <c r="B292" s="1938"/>
      <c r="C292" s="1938"/>
      <c r="D292" s="1938"/>
      <c r="E292" s="1938"/>
      <c r="F292" s="1938"/>
      <c r="G292" s="1950">
        <f t="shared" si="12"/>
        <v>1.2999999999999999E-2</v>
      </c>
      <c r="H292" s="1950"/>
      <c r="I292" s="1950"/>
      <c r="J292" s="1950"/>
      <c r="K292" s="1956">
        <f t="shared" si="13"/>
        <v>97.47</v>
      </c>
      <c r="L292" s="1956"/>
      <c r="M292" s="1956"/>
      <c r="N292" s="1956"/>
      <c r="O292" s="1950">
        <f t="shared" si="14"/>
        <v>2.1999999999999999E-2</v>
      </c>
      <c r="P292" s="1950"/>
      <c r="Q292" s="1950"/>
      <c r="R292" s="1950"/>
      <c r="S292" s="1956">
        <f t="shared" si="15"/>
        <v>167.09</v>
      </c>
      <c r="T292" s="1956"/>
      <c r="U292" s="1956"/>
      <c r="V292" s="1956"/>
      <c r="W292" s="1950">
        <f t="shared" si="16"/>
        <v>2.1999999999999999E-2</v>
      </c>
      <c r="X292" s="1950"/>
      <c r="Y292" s="1950"/>
      <c r="Z292" s="1950"/>
      <c r="AA292" s="1956">
        <f t="shared" si="17"/>
        <v>162.44</v>
      </c>
      <c r="AB292" s="1956"/>
      <c r="AC292" s="1956"/>
      <c r="AD292" s="1956"/>
      <c r="AE292" s="1950">
        <f t="shared" si="18"/>
        <v>3.4000000000000002E-2</v>
      </c>
      <c r="AF292" s="1950"/>
      <c r="AG292" s="1950"/>
      <c r="AH292" s="1950"/>
      <c r="AI292" s="1956">
        <f t="shared" si="19"/>
        <v>250.63</v>
      </c>
      <c r="AJ292" s="1956"/>
      <c r="AK292" s="1956"/>
      <c r="AL292" s="1956"/>
    </row>
    <row r="293" spans="1:59" x14ac:dyDescent="0.3">
      <c r="A293" s="1938" t="s">
        <v>218</v>
      </c>
      <c r="B293" s="1938"/>
      <c r="C293" s="1938"/>
      <c r="D293" s="1938"/>
      <c r="E293" s="1938"/>
      <c r="F293" s="1938"/>
      <c r="G293" s="1950">
        <f t="shared" si="12"/>
        <v>8.9999999999999993E-3</v>
      </c>
      <c r="H293" s="1950"/>
      <c r="I293" s="1950"/>
      <c r="J293" s="1950"/>
      <c r="K293" s="1956">
        <f t="shared" si="13"/>
        <v>55.44</v>
      </c>
      <c r="L293" s="1956"/>
      <c r="M293" s="1956"/>
      <c r="N293" s="1956"/>
      <c r="O293" s="1950">
        <f t="shared" si="14"/>
        <v>1.6E-2</v>
      </c>
      <c r="P293" s="1950"/>
      <c r="Q293" s="1950"/>
      <c r="R293" s="1950"/>
      <c r="S293" s="1956">
        <f t="shared" si="15"/>
        <v>95.04</v>
      </c>
      <c r="T293" s="1956"/>
      <c r="U293" s="1956"/>
      <c r="V293" s="1956"/>
      <c r="W293" s="1950">
        <f t="shared" si="16"/>
        <v>1.4999999999999999E-2</v>
      </c>
      <c r="X293" s="1950"/>
      <c r="Y293" s="1950"/>
      <c r="Z293" s="1950"/>
      <c r="AA293" s="1956">
        <f t="shared" si="17"/>
        <v>92.4</v>
      </c>
      <c r="AB293" s="1956"/>
      <c r="AC293" s="1956"/>
      <c r="AD293" s="1956"/>
      <c r="AE293" s="1950">
        <f t="shared" si="18"/>
        <v>2.4E-2</v>
      </c>
      <c r="AF293" s="1950"/>
      <c r="AG293" s="1950"/>
      <c r="AH293" s="1950"/>
      <c r="AI293" s="1956">
        <f t="shared" si="19"/>
        <v>142.56</v>
      </c>
      <c r="AJ293" s="1956"/>
      <c r="AK293" s="1956"/>
      <c r="AL293" s="1956"/>
    </row>
    <row r="294" spans="1:59" x14ac:dyDescent="0.3">
      <c r="A294" s="1938" t="s">
        <v>219</v>
      </c>
      <c r="B294" s="1938"/>
      <c r="C294" s="1938"/>
      <c r="D294" s="1938"/>
      <c r="E294" s="1938"/>
      <c r="F294" s="1938"/>
      <c r="G294" s="1950">
        <f t="shared" si="12"/>
        <v>2E-3</v>
      </c>
      <c r="H294" s="1950"/>
      <c r="I294" s="1950"/>
      <c r="J294" s="1950"/>
      <c r="K294" s="1956">
        <f t="shared" si="13"/>
        <v>35.130000000000003</v>
      </c>
      <c r="L294" s="1956"/>
      <c r="M294" s="1956"/>
      <c r="N294" s="1956"/>
      <c r="O294" s="1950">
        <f t="shared" si="14"/>
        <v>3.0000000000000001E-3</v>
      </c>
      <c r="P294" s="1950"/>
      <c r="Q294" s="1950"/>
      <c r="R294" s="1950"/>
      <c r="S294" s="1956">
        <f t="shared" si="15"/>
        <v>60.22</v>
      </c>
      <c r="T294" s="1956"/>
      <c r="U294" s="1956"/>
      <c r="V294" s="1956"/>
      <c r="W294" s="1950">
        <f t="shared" si="16"/>
        <v>3.0000000000000001E-3</v>
      </c>
      <c r="X294" s="1950"/>
      <c r="Y294" s="1950"/>
      <c r="Z294" s="1950"/>
      <c r="AA294" s="1956">
        <f t="shared" si="17"/>
        <v>58.55</v>
      </c>
      <c r="AB294" s="1956"/>
      <c r="AC294" s="1956"/>
      <c r="AD294" s="1956"/>
      <c r="AE294" s="1950">
        <f t="shared" si="18"/>
        <v>4.0000000000000001E-3</v>
      </c>
      <c r="AF294" s="1950"/>
      <c r="AG294" s="1950"/>
      <c r="AH294" s="1950"/>
      <c r="AI294" s="1956">
        <f t="shared" si="19"/>
        <v>90.33</v>
      </c>
      <c r="AJ294" s="1956"/>
      <c r="AK294" s="1956"/>
      <c r="AL294" s="1956"/>
    </row>
    <row r="295" spans="1:59" x14ac:dyDescent="0.3">
      <c r="A295" s="147"/>
      <c r="B295" s="147"/>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row>
    <row r="296" spans="1:59" x14ac:dyDescent="0.3">
      <c r="A296" s="610" t="s">
        <v>4601</v>
      </c>
      <c r="B296" s="139"/>
      <c r="C296" s="139"/>
      <c r="D296" s="139"/>
      <c r="E296" s="139"/>
      <c r="F296" s="139"/>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141"/>
      <c r="AF296" s="141"/>
      <c r="AG296" s="141"/>
      <c r="AH296" s="141"/>
      <c r="AI296" s="53"/>
      <c r="AJ296" s="53"/>
      <c r="AK296" s="53"/>
      <c r="AL296" s="53"/>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row>
    <row r="297" spans="1:59" x14ac:dyDescent="0.3">
      <c r="A297" s="53"/>
      <c r="B297" s="53"/>
      <c r="C297" s="53"/>
      <c r="D297" s="53"/>
      <c r="E297" s="53"/>
      <c r="F297" s="53"/>
      <c r="G297" s="2112" t="s">
        <v>596</v>
      </c>
      <c r="H297" s="2112"/>
      <c r="I297" s="2112"/>
      <c r="J297" s="2112"/>
      <c r="K297" s="2112"/>
      <c r="L297" s="2112"/>
      <c r="M297" s="2112"/>
      <c r="N297" s="2112"/>
      <c r="O297" s="2113" t="s">
        <v>597</v>
      </c>
      <c r="P297" s="2113"/>
      <c r="Q297" s="2113"/>
      <c r="R297" s="2113"/>
      <c r="S297" s="2113"/>
      <c r="T297" s="2113"/>
      <c r="U297" s="2113"/>
      <c r="V297" s="2113"/>
      <c r="W297" s="2112" t="s">
        <v>598</v>
      </c>
      <c r="X297" s="2112"/>
      <c r="Y297" s="2112"/>
      <c r="Z297" s="2112"/>
      <c r="AA297" s="2112"/>
      <c r="AB297" s="2112"/>
      <c r="AC297" s="2112"/>
      <c r="AD297" s="2112"/>
      <c r="AE297" s="2113" t="s">
        <v>599</v>
      </c>
      <c r="AF297" s="2113"/>
      <c r="AG297" s="2113"/>
      <c r="AH297" s="2113"/>
      <c r="AI297" s="2113"/>
      <c r="AJ297" s="2113"/>
      <c r="AK297" s="2113"/>
      <c r="AL297" s="2113"/>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row>
    <row r="298" spans="1:59" x14ac:dyDescent="0.3">
      <c r="A298" s="1069" t="s">
        <v>46</v>
      </c>
      <c r="B298" s="1069"/>
      <c r="C298" s="1069"/>
      <c r="D298" s="1069"/>
      <c r="E298" s="1069"/>
      <c r="F298" s="1069"/>
      <c r="G298" s="2110" t="s">
        <v>18</v>
      </c>
      <c r="H298" s="2110"/>
      <c r="I298" s="2110"/>
      <c r="J298" s="2110"/>
      <c r="K298" s="2111" t="s">
        <v>41</v>
      </c>
      <c r="L298" s="2111"/>
      <c r="M298" s="2111"/>
      <c r="N298" s="2111"/>
      <c r="O298" s="2110" t="s">
        <v>18</v>
      </c>
      <c r="P298" s="2110"/>
      <c r="Q298" s="2110"/>
      <c r="R298" s="2110"/>
      <c r="S298" s="2111" t="s">
        <v>41</v>
      </c>
      <c r="T298" s="2111"/>
      <c r="U298" s="2111"/>
      <c r="V298" s="2111"/>
      <c r="W298" s="2110" t="s">
        <v>18</v>
      </c>
      <c r="X298" s="2110"/>
      <c r="Y298" s="2110"/>
      <c r="Z298" s="2110"/>
      <c r="AA298" s="2111" t="s">
        <v>41</v>
      </c>
      <c r="AB298" s="2111"/>
      <c r="AC298" s="2111"/>
      <c r="AD298" s="2111"/>
      <c r="AE298" s="2110" t="s">
        <v>18</v>
      </c>
      <c r="AF298" s="2110"/>
      <c r="AG298" s="2110"/>
      <c r="AH298" s="2110"/>
      <c r="AI298" s="2111" t="s">
        <v>41</v>
      </c>
      <c r="AJ298" s="2111"/>
      <c r="AK298" s="2111"/>
      <c r="AL298" s="2111"/>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row>
    <row r="299" spans="1:59" x14ac:dyDescent="0.3">
      <c r="A299" s="1938" t="s">
        <v>1796</v>
      </c>
      <c r="B299" s="1938"/>
      <c r="C299" s="1938"/>
      <c r="D299" s="1938"/>
      <c r="E299" s="1938"/>
      <c r="F299" s="1938"/>
      <c r="G299" s="1950">
        <f t="shared" ref="G299:G309" si="20">ROUND(($AG$104-$K$136)*$Q$73*VLOOKUP($A299,$N$123:$AG$133,9,TRUE)*VLOOKUP($A299,$N$146:$AG$156,5,TRUE)*$Q$78,3)</f>
        <v>1E-3</v>
      </c>
      <c r="H299" s="1950"/>
      <c r="I299" s="1950"/>
      <c r="J299" s="1950"/>
      <c r="K299" s="1956">
        <f t="shared" ref="K299:K309" si="21">ROUND(($AG$104-$K$136)*$Q$73*VLOOKUP($A299,$A$167:$Q$177,8,TRUE)*VLOOKUP($A299,$N$146:$AG$156,9,TRUE)*$Q$78,2)</f>
        <v>4.0599999999999996</v>
      </c>
      <c r="L299" s="1956"/>
      <c r="M299" s="1956"/>
      <c r="N299" s="1956"/>
      <c r="O299" s="1950">
        <f t="shared" ref="O299:O309" si="22">ROUND(($AG$105-$K$137)*$Q$73*VLOOKUP($A299,$N$123:$AG$133,9,TRUE)*VLOOKUP($A299,$N$146:$AG$156,5,TRUE)*$Q$78,3)</f>
        <v>3.0000000000000001E-3</v>
      </c>
      <c r="P299" s="1950"/>
      <c r="Q299" s="1950"/>
      <c r="R299" s="1950"/>
      <c r="S299" s="1956">
        <f t="shared" ref="S299:S309" si="23">ROUND(($AG$105-$K$137)*$Q$73*VLOOKUP($A299,$A$167:$Q$177,8,TRUE)*VLOOKUP($A299,$N$146:$AG$156,9,TRUE)*$Q$78,2)</f>
        <v>16.22</v>
      </c>
      <c r="T299" s="1956"/>
      <c r="U299" s="1956"/>
      <c r="V299" s="1956"/>
      <c r="W299" s="1950">
        <f t="shared" ref="W299:W309" si="24">ROUND(($AG$106-$K$138)*$Q$73*VLOOKUP($A299,$N$123:$AG$133,9,TRUE)*VLOOKUP($A299,$N$146:$AG$156,5,TRUE)*$Q$78,3)</f>
        <v>3.0000000000000001E-3</v>
      </c>
      <c r="X299" s="1950"/>
      <c r="Y299" s="1950"/>
      <c r="Z299" s="1950"/>
      <c r="AA299" s="1956">
        <f t="shared" ref="AA299:AA309" si="25">ROUND(($AG$106-$K$138)*$Q$73*VLOOKUP($A299,$A$167:$Q$177,8,TRUE)*VLOOKUP($A299,$N$146:$AG$156,9,TRUE)*$Q$78,2)</f>
        <v>14.19</v>
      </c>
      <c r="AB299" s="1956"/>
      <c r="AC299" s="1956"/>
      <c r="AD299" s="1956"/>
      <c r="AE299" s="1950">
        <f t="shared" ref="AE299:AE309" si="26">ROUND(($AG$107-$K$139)*$Q$73*VLOOKUP($A299,$N$123:$AG$133,9,TRUE)*VLOOKUP($A299,$N$146:$AG$156,5,TRUE)*$Q$78,3)</f>
        <v>5.0000000000000001E-3</v>
      </c>
      <c r="AF299" s="1950"/>
      <c r="AG299" s="1950"/>
      <c r="AH299" s="1950"/>
      <c r="AI299" s="1956">
        <f t="shared" ref="AI299:AI309" si="27">ROUND(($AG$107-$K$139)*$Q$73*VLOOKUP($A299,$A$167:$Q$177,8,TRUE)*VLOOKUP($A299,$N$146:$AG$156,9,TRUE)*$Q$78,2)</f>
        <v>28.39</v>
      </c>
      <c r="AJ299" s="1956"/>
      <c r="AK299" s="1956"/>
      <c r="AL299" s="1956"/>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row>
    <row r="300" spans="1:59" x14ac:dyDescent="0.3">
      <c r="A300" s="1938" t="s">
        <v>211</v>
      </c>
      <c r="B300" s="1938"/>
      <c r="C300" s="1938"/>
      <c r="D300" s="1938"/>
      <c r="E300" s="1938"/>
      <c r="F300" s="1938"/>
      <c r="G300" s="1950">
        <f t="shared" si="20"/>
        <v>0</v>
      </c>
      <c r="H300" s="1950"/>
      <c r="I300" s="1950"/>
      <c r="J300" s="1950"/>
      <c r="K300" s="1956">
        <f t="shared" si="21"/>
        <v>14.4</v>
      </c>
      <c r="L300" s="1956"/>
      <c r="M300" s="1956"/>
      <c r="N300" s="1956"/>
      <c r="O300" s="1950">
        <f t="shared" si="22"/>
        <v>2E-3</v>
      </c>
      <c r="P300" s="1950"/>
      <c r="Q300" s="1950"/>
      <c r="R300" s="1950"/>
      <c r="S300" s="1956">
        <f t="shared" si="23"/>
        <v>57.61</v>
      </c>
      <c r="T300" s="1956"/>
      <c r="U300" s="1956"/>
      <c r="V300" s="1956"/>
      <c r="W300" s="1950">
        <f t="shared" si="24"/>
        <v>2E-3</v>
      </c>
      <c r="X300" s="1950"/>
      <c r="Y300" s="1950"/>
      <c r="Z300" s="1950"/>
      <c r="AA300" s="1956">
        <f t="shared" si="25"/>
        <v>50.4</v>
      </c>
      <c r="AB300" s="1956"/>
      <c r="AC300" s="1956"/>
      <c r="AD300" s="1956"/>
      <c r="AE300" s="1950">
        <f t="shared" si="26"/>
        <v>3.0000000000000001E-3</v>
      </c>
      <c r="AF300" s="1950"/>
      <c r="AG300" s="1950"/>
      <c r="AH300" s="1950"/>
      <c r="AI300" s="1956">
        <f t="shared" si="27"/>
        <v>100.81</v>
      </c>
      <c r="AJ300" s="1956"/>
      <c r="AK300" s="1956"/>
      <c r="AL300" s="1956"/>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row>
    <row r="301" spans="1:59" x14ac:dyDescent="0.3">
      <c r="A301" s="1938" t="s">
        <v>212</v>
      </c>
      <c r="B301" s="1938"/>
      <c r="C301" s="1938"/>
      <c r="D301" s="1938"/>
      <c r="E301" s="1938"/>
      <c r="F301" s="1938"/>
      <c r="G301" s="1950">
        <f t="shared" si="20"/>
        <v>1E-3</v>
      </c>
      <c r="H301" s="1950"/>
      <c r="I301" s="1950"/>
      <c r="J301" s="1950"/>
      <c r="K301" s="1956">
        <f t="shared" si="21"/>
        <v>3.67</v>
      </c>
      <c r="L301" s="1956"/>
      <c r="M301" s="1956"/>
      <c r="N301" s="1956"/>
      <c r="O301" s="1950">
        <f t="shared" si="22"/>
        <v>3.0000000000000001E-3</v>
      </c>
      <c r="P301" s="1950"/>
      <c r="Q301" s="1950"/>
      <c r="R301" s="1950"/>
      <c r="S301" s="1956">
        <f t="shared" si="23"/>
        <v>14.68</v>
      </c>
      <c r="T301" s="1956"/>
      <c r="U301" s="1956"/>
      <c r="V301" s="1956"/>
      <c r="W301" s="1950">
        <f t="shared" si="24"/>
        <v>2E-3</v>
      </c>
      <c r="X301" s="1950"/>
      <c r="Y301" s="1950"/>
      <c r="Z301" s="1950"/>
      <c r="AA301" s="1956">
        <f t="shared" si="25"/>
        <v>12.85</v>
      </c>
      <c r="AB301" s="1956"/>
      <c r="AC301" s="1956"/>
      <c r="AD301" s="1956"/>
      <c r="AE301" s="1950">
        <f t="shared" si="26"/>
        <v>5.0000000000000001E-3</v>
      </c>
      <c r="AF301" s="1950"/>
      <c r="AG301" s="1950"/>
      <c r="AH301" s="1950"/>
      <c r="AI301" s="1956">
        <f t="shared" si="27"/>
        <v>25.69</v>
      </c>
      <c r="AJ301" s="1956"/>
      <c r="AK301" s="1956"/>
      <c r="AL301" s="1956"/>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row>
    <row r="302" spans="1:59" x14ac:dyDescent="0.3">
      <c r="A302" s="1938" t="s">
        <v>213</v>
      </c>
      <c r="B302" s="1938"/>
      <c r="C302" s="1938"/>
      <c r="D302" s="1938"/>
      <c r="E302" s="1938"/>
      <c r="F302" s="1938"/>
      <c r="G302" s="1950">
        <f t="shared" si="20"/>
        <v>2E-3</v>
      </c>
      <c r="H302" s="1950"/>
      <c r="I302" s="1950"/>
      <c r="J302" s="1950"/>
      <c r="K302" s="1956">
        <f t="shared" si="21"/>
        <v>10.95</v>
      </c>
      <c r="L302" s="1956"/>
      <c r="M302" s="1956"/>
      <c r="N302" s="1956"/>
      <c r="O302" s="1950">
        <f t="shared" si="22"/>
        <v>6.0000000000000001E-3</v>
      </c>
      <c r="P302" s="1950"/>
      <c r="Q302" s="1950"/>
      <c r="R302" s="1950"/>
      <c r="S302" s="1956">
        <f t="shared" si="23"/>
        <v>43.79</v>
      </c>
      <c r="T302" s="1956"/>
      <c r="U302" s="1956"/>
      <c r="V302" s="1956"/>
      <c r="W302" s="1950">
        <f t="shared" si="24"/>
        <v>5.0000000000000001E-3</v>
      </c>
      <c r="X302" s="1950"/>
      <c r="Y302" s="1950"/>
      <c r="Z302" s="1950"/>
      <c r="AA302" s="1956">
        <f t="shared" si="25"/>
        <v>38.32</v>
      </c>
      <c r="AB302" s="1956"/>
      <c r="AC302" s="1956"/>
      <c r="AD302" s="1956"/>
      <c r="AE302" s="1950">
        <f t="shared" si="26"/>
        <v>1.0999999999999999E-2</v>
      </c>
      <c r="AF302" s="1950"/>
      <c r="AG302" s="1950"/>
      <c r="AH302" s="1950"/>
      <c r="AI302" s="1956">
        <f t="shared" si="27"/>
        <v>76.64</v>
      </c>
      <c r="AJ302" s="1956"/>
      <c r="AK302" s="1956"/>
      <c r="AL302" s="1956"/>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row>
    <row r="303" spans="1:59" x14ac:dyDescent="0.3">
      <c r="A303" s="1938" t="s">
        <v>214</v>
      </c>
      <c r="B303" s="1938"/>
      <c r="C303" s="1938"/>
      <c r="D303" s="1938"/>
      <c r="E303" s="1938"/>
      <c r="F303" s="1938"/>
      <c r="G303" s="1950">
        <f t="shared" si="20"/>
        <v>2E-3</v>
      </c>
      <c r="H303" s="1950"/>
      <c r="I303" s="1950"/>
      <c r="J303" s="1950"/>
      <c r="K303" s="1956">
        <f t="shared" si="21"/>
        <v>12</v>
      </c>
      <c r="L303" s="1956"/>
      <c r="M303" s="1956"/>
      <c r="N303" s="1956"/>
      <c r="O303" s="1950">
        <f t="shared" si="22"/>
        <v>6.0000000000000001E-3</v>
      </c>
      <c r="P303" s="1950"/>
      <c r="Q303" s="1950"/>
      <c r="R303" s="1950"/>
      <c r="S303" s="1956">
        <f t="shared" si="23"/>
        <v>47.99</v>
      </c>
      <c r="T303" s="1956"/>
      <c r="U303" s="1956"/>
      <c r="V303" s="1956"/>
      <c r="W303" s="1950">
        <f t="shared" si="24"/>
        <v>6.0000000000000001E-3</v>
      </c>
      <c r="X303" s="1950"/>
      <c r="Y303" s="1950"/>
      <c r="Z303" s="1950"/>
      <c r="AA303" s="1956">
        <f t="shared" si="25"/>
        <v>42</v>
      </c>
      <c r="AB303" s="1956"/>
      <c r="AC303" s="1956"/>
      <c r="AD303" s="1956"/>
      <c r="AE303" s="1950">
        <f t="shared" si="26"/>
        <v>1.0999999999999999E-2</v>
      </c>
      <c r="AF303" s="1950"/>
      <c r="AG303" s="1950"/>
      <c r="AH303" s="1950"/>
      <c r="AI303" s="1956">
        <f t="shared" si="27"/>
        <v>83.99</v>
      </c>
      <c r="AJ303" s="1956"/>
      <c r="AK303" s="1956"/>
      <c r="AL303" s="1956"/>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row>
    <row r="304" spans="1:59" x14ac:dyDescent="0.3">
      <c r="A304" s="1938" t="s">
        <v>215</v>
      </c>
      <c r="B304" s="1938"/>
      <c r="C304" s="1938"/>
      <c r="D304" s="1938"/>
      <c r="E304" s="1938"/>
      <c r="F304" s="1938"/>
      <c r="G304" s="1950">
        <f t="shared" si="20"/>
        <v>1E-3</v>
      </c>
      <c r="H304" s="1950"/>
      <c r="I304" s="1950"/>
      <c r="J304" s="1950"/>
      <c r="K304" s="1956">
        <f t="shared" si="21"/>
        <v>3.47</v>
      </c>
      <c r="L304" s="1956"/>
      <c r="M304" s="1956"/>
      <c r="N304" s="1956"/>
      <c r="O304" s="1950">
        <f t="shared" si="22"/>
        <v>3.0000000000000001E-3</v>
      </c>
      <c r="P304" s="1950"/>
      <c r="Q304" s="1950"/>
      <c r="R304" s="1950"/>
      <c r="S304" s="1956">
        <f t="shared" si="23"/>
        <v>13.89</v>
      </c>
      <c r="T304" s="1956"/>
      <c r="U304" s="1956"/>
      <c r="V304" s="1956"/>
      <c r="W304" s="1950">
        <f t="shared" si="24"/>
        <v>2E-3</v>
      </c>
      <c r="X304" s="1950"/>
      <c r="Y304" s="1950"/>
      <c r="Z304" s="1950"/>
      <c r="AA304" s="1956">
        <f t="shared" si="25"/>
        <v>12.16</v>
      </c>
      <c r="AB304" s="1956"/>
      <c r="AC304" s="1956"/>
      <c r="AD304" s="1956"/>
      <c r="AE304" s="1950">
        <f t="shared" si="26"/>
        <v>5.0000000000000001E-3</v>
      </c>
      <c r="AF304" s="1950"/>
      <c r="AG304" s="1950"/>
      <c r="AH304" s="1950"/>
      <c r="AI304" s="1956">
        <f t="shared" si="27"/>
        <v>24.31</v>
      </c>
      <c r="AJ304" s="1956"/>
      <c r="AK304" s="1956"/>
      <c r="AL304" s="1956"/>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row>
    <row r="305" spans="1:59" x14ac:dyDescent="0.3">
      <c r="A305" s="1938" t="s">
        <v>216</v>
      </c>
      <c r="B305" s="1938"/>
      <c r="C305" s="1938"/>
      <c r="D305" s="1938"/>
      <c r="E305" s="1938"/>
      <c r="F305" s="1938"/>
      <c r="G305" s="1950">
        <f t="shared" si="20"/>
        <v>1E-3</v>
      </c>
      <c r="H305" s="1950"/>
      <c r="I305" s="1950"/>
      <c r="J305" s="1950"/>
      <c r="K305" s="1956">
        <f t="shared" si="21"/>
        <v>4.71</v>
      </c>
      <c r="L305" s="1956"/>
      <c r="M305" s="1956"/>
      <c r="N305" s="1956"/>
      <c r="O305" s="1950">
        <f t="shared" si="22"/>
        <v>5.0000000000000001E-3</v>
      </c>
      <c r="P305" s="1950"/>
      <c r="Q305" s="1950"/>
      <c r="R305" s="1950"/>
      <c r="S305" s="1956">
        <f t="shared" si="23"/>
        <v>18.829999999999998</v>
      </c>
      <c r="T305" s="1956"/>
      <c r="U305" s="1956"/>
      <c r="V305" s="1956"/>
      <c r="W305" s="1950">
        <f t="shared" si="24"/>
        <v>4.0000000000000001E-3</v>
      </c>
      <c r="X305" s="1950"/>
      <c r="Y305" s="1950"/>
      <c r="Z305" s="1950"/>
      <c r="AA305" s="1956">
        <f t="shared" si="25"/>
        <v>16.48</v>
      </c>
      <c r="AB305" s="1956"/>
      <c r="AC305" s="1956"/>
      <c r="AD305" s="1956"/>
      <c r="AE305" s="1950">
        <f t="shared" si="26"/>
        <v>8.9999999999999993E-3</v>
      </c>
      <c r="AF305" s="1950"/>
      <c r="AG305" s="1950"/>
      <c r="AH305" s="1950"/>
      <c r="AI305" s="1956">
        <f t="shared" si="27"/>
        <v>32.96</v>
      </c>
      <c r="AJ305" s="1956"/>
      <c r="AK305" s="1956"/>
      <c r="AL305" s="1956"/>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row>
    <row r="306" spans="1:59" x14ac:dyDescent="0.3">
      <c r="A306" s="1938" t="s">
        <v>47</v>
      </c>
      <c r="B306" s="1938"/>
      <c r="C306" s="1938"/>
      <c r="D306" s="1938"/>
      <c r="E306" s="1938"/>
      <c r="F306" s="1938"/>
      <c r="G306" s="1950">
        <f t="shared" si="20"/>
        <v>0</v>
      </c>
      <c r="H306" s="1950"/>
      <c r="I306" s="1950"/>
      <c r="J306" s="1950"/>
      <c r="K306" s="1956">
        <f t="shared" si="21"/>
        <v>4.3600000000000003</v>
      </c>
      <c r="L306" s="1956"/>
      <c r="M306" s="1956"/>
      <c r="N306" s="1956"/>
      <c r="O306" s="1950">
        <f t="shared" si="22"/>
        <v>2E-3</v>
      </c>
      <c r="P306" s="1950"/>
      <c r="Q306" s="1950"/>
      <c r="R306" s="1950"/>
      <c r="S306" s="1956">
        <f t="shared" si="23"/>
        <v>17.440000000000001</v>
      </c>
      <c r="T306" s="1956"/>
      <c r="U306" s="1956"/>
      <c r="V306" s="1956"/>
      <c r="W306" s="1950">
        <f t="shared" si="24"/>
        <v>2E-3</v>
      </c>
      <c r="X306" s="1950"/>
      <c r="Y306" s="1950"/>
      <c r="Z306" s="1950"/>
      <c r="AA306" s="1956">
        <f t="shared" si="25"/>
        <v>15.26</v>
      </c>
      <c r="AB306" s="1956"/>
      <c r="AC306" s="1956"/>
      <c r="AD306" s="1956"/>
      <c r="AE306" s="1950">
        <f t="shared" si="26"/>
        <v>3.0000000000000001E-3</v>
      </c>
      <c r="AF306" s="1950"/>
      <c r="AG306" s="1950"/>
      <c r="AH306" s="1950"/>
      <c r="AI306" s="1956">
        <f t="shared" si="27"/>
        <v>30.53</v>
      </c>
      <c r="AJ306" s="1956"/>
      <c r="AK306" s="1956"/>
      <c r="AL306" s="1956"/>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row>
    <row r="307" spans="1:59" x14ac:dyDescent="0.3">
      <c r="A307" s="1938" t="s">
        <v>217</v>
      </c>
      <c r="B307" s="1938"/>
      <c r="C307" s="1938"/>
      <c r="D307" s="1938"/>
      <c r="E307" s="1938"/>
      <c r="F307" s="1938"/>
      <c r="G307" s="1950">
        <f t="shared" si="20"/>
        <v>1E-3</v>
      </c>
      <c r="H307" s="1950"/>
      <c r="I307" s="1950"/>
      <c r="J307" s="1950"/>
      <c r="K307" s="1956">
        <f t="shared" si="21"/>
        <v>9.2799999999999994</v>
      </c>
      <c r="L307" s="1956"/>
      <c r="M307" s="1956"/>
      <c r="N307" s="1956"/>
      <c r="O307" s="1950">
        <f t="shared" si="22"/>
        <v>5.0000000000000001E-3</v>
      </c>
      <c r="P307" s="1950"/>
      <c r="Q307" s="1950"/>
      <c r="R307" s="1950"/>
      <c r="S307" s="1956">
        <f t="shared" si="23"/>
        <v>37.130000000000003</v>
      </c>
      <c r="T307" s="1956"/>
      <c r="U307" s="1956"/>
      <c r="V307" s="1956"/>
      <c r="W307" s="1950">
        <f t="shared" si="24"/>
        <v>4.0000000000000001E-3</v>
      </c>
      <c r="X307" s="1950"/>
      <c r="Y307" s="1950"/>
      <c r="Z307" s="1950"/>
      <c r="AA307" s="1956">
        <f t="shared" si="25"/>
        <v>32.49</v>
      </c>
      <c r="AB307" s="1956"/>
      <c r="AC307" s="1956"/>
      <c r="AD307" s="1956"/>
      <c r="AE307" s="1950">
        <f t="shared" si="26"/>
        <v>8.9999999999999993E-3</v>
      </c>
      <c r="AF307" s="1950"/>
      <c r="AG307" s="1950"/>
      <c r="AH307" s="1950"/>
      <c r="AI307" s="1956">
        <f t="shared" si="27"/>
        <v>64.98</v>
      </c>
      <c r="AJ307" s="1956"/>
      <c r="AK307" s="1956"/>
      <c r="AL307" s="1956"/>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row>
    <row r="308" spans="1:59" x14ac:dyDescent="0.3">
      <c r="A308" s="1938" t="s">
        <v>218</v>
      </c>
      <c r="B308" s="1938"/>
      <c r="C308" s="1938"/>
      <c r="D308" s="1938"/>
      <c r="E308" s="1938"/>
      <c r="F308" s="1938"/>
      <c r="G308" s="1950">
        <f t="shared" si="20"/>
        <v>1E-3</v>
      </c>
      <c r="H308" s="1950"/>
      <c r="I308" s="1950"/>
      <c r="J308" s="1950"/>
      <c r="K308" s="1956">
        <f t="shared" si="21"/>
        <v>5.28</v>
      </c>
      <c r="L308" s="1956"/>
      <c r="M308" s="1956"/>
      <c r="N308" s="1956"/>
      <c r="O308" s="1950">
        <f t="shared" si="22"/>
        <v>3.0000000000000001E-3</v>
      </c>
      <c r="P308" s="1950"/>
      <c r="Q308" s="1950"/>
      <c r="R308" s="1950"/>
      <c r="S308" s="1956">
        <f t="shared" si="23"/>
        <v>21.12</v>
      </c>
      <c r="T308" s="1956"/>
      <c r="U308" s="1956"/>
      <c r="V308" s="1956"/>
      <c r="W308" s="1950">
        <f t="shared" si="24"/>
        <v>3.0000000000000001E-3</v>
      </c>
      <c r="X308" s="1950"/>
      <c r="Y308" s="1950"/>
      <c r="Z308" s="1950"/>
      <c r="AA308" s="1956">
        <f t="shared" si="25"/>
        <v>18.48</v>
      </c>
      <c r="AB308" s="1956"/>
      <c r="AC308" s="1956"/>
      <c r="AD308" s="1956"/>
      <c r="AE308" s="1950">
        <f t="shared" si="26"/>
        <v>6.0000000000000001E-3</v>
      </c>
      <c r="AF308" s="1950"/>
      <c r="AG308" s="1950"/>
      <c r="AH308" s="1950"/>
      <c r="AI308" s="1956">
        <f t="shared" si="27"/>
        <v>36.96</v>
      </c>
      <c r="AJ308" s="1956"/>
      <c r="AK308" s="1956"/>
      <c r="AL308" s="1956"/>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row>
    <row r="309" spans="1:59" x14ac:dyDescent="0.3">
      <c r="A309" s="1938" t="s">
        <v>219</v>
      </c>
      <c r="B309" s="1938"/>
      <c r="C309" s="1938"/>
      <c r="D309" s="1938"/>
      <c r="E309" s="1938"/>
      <c r="F309" s="1938"/>
      <c r="G309" s="1950">
        <f t="shared" si="20"/>
        <v>0</v>
      </c>
      <c r="H309" s="1950"/>
      <c r="I309" s="1950"/>
      <c r="J309" s="1950"/>
      <c r="K309" s="1956">
        <f t="shared" si="21"/>
        <v>3.35</v>
      </c>
      <c r="L309" s="1956"/>
      <c r="M309" s="1956"/>
      <c r="N309" s="1956"/>
      <c r="O309" s="1950">
        <f t="shared" si="22"/>
        <v>1E-3</v>
      </c>
      <c r="P309" s="1950"/>
      <c r="Q309" s="1950"/>
      <c r="R309" s="1950"/>
      <c r="S309" s="1956">
        <f t="shared" si="23"/>
        <v>13.38</v>
      </c>
      <c r="T309" s="1956"/>
      <c r="U309" s="1956"/>
      <c r="V309" s="1956"/>
      <c r="W309" s="1950">
        <f t="shared" si="24"/>
        <v>1E-3</v>
      </c>
      <c r="X309" s="1950"/>
      <c r="Y309" s="1950"/>
      <c r="Z309" s="1950"/>
      <c r="AA309" s="1956">
        <f t="shared" si="25"/>
        <v>11.71</v>
      </c>
      <c r="AB309" s="1956"/>
      <c r="AC309" s="1956"/>
      <c r="AD309" s="1956"/>
      <c r="AE309" s="1950">
        <f t="shared" si="26"/>
        <v>1E-3</v>
      </c>
      <c r="AF309" s="1950"/>
      <c r="AG309" s="1950"/>
      <c r="AH309" s="1950"/>
      <c r="AI309" s="1956">
        <f t="shared" si="27"/>
        <v>23.42</v>
      </c>
      <c r="AJ309" s="1956"/>
      <c r="AK309" s="1956"/>
      <c r="AL309" s="1956"/>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row>
    <row r="310" spans="1:59" x14ac:dyDescent="0.3">
      <c r="A310" s="147"/>
      <c r="B310" s="147"/>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row>
    <row r="311" spans="1:59" x14ac:dyDescent="0.3">
      <c r="A311" s="245"/>
      <c r="B311" s="231" t="s">
        <v>1737</v>
      </c>
      <c r="C311" s="147"/>
      <c r="G311" s="136"/>
      <c r="K311" s="136"/>
      <c r="O311" s="136"/>
      <c r="S311" s="136"/>
      <c r="AA311" s="136"/>
      <c r="AG311" s="136"/>
      <c r="AK311" s="136"/>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row>
    <row r="312" spans="1:59" x14ac:dyDescent="0.3">
      <c r="A312" s="245"/>
      <c r="B312" s="147"/>
      <c r="C312" s="147"/>
      <c r="G312" s="136"/>
      <c r="K312" s="136"/>
      <c r="O312" s="136"/>
      <c r="S312" s="136"/>
      <c r="AA312" s="136"/>
      <c r="AG312" s="136"/>
      <c r="AK312" s="136"/>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row>
    <row r="313" spans="1:59" x14ac:dyDescent="0.3">
      <c r="A313" s="610" t="s">
        <v>4602</v>
      </c>
      <c r="B313" s="610"/>
      <c r="C313" s="610"/>
      <c r="D313" s="610"/>
      <c r="E313" s="610"/>
      <c r="F313" s="610"/>
      <c r="G313" s="611"/>
      <c r="H313" s="611"/>
      <c r="I313" s="611"/>
      <c r="J313" s="611"/>
      <c r="K313" s="611"/>
      <c r="L313" s="611"/>
      <c r="M313" s="611"/>
      <c r="N313" s="611"/>
      <c r="O313" s="611"/>
      <c r="P313" s="611"/>
      <c r="Q313" s="611"/>
      <c r="R313" s="611"/>
      <c r="S313" s="611"/>
      <c r="T313" s="611"/>
      <c r="U313" s="611"/>
      <c r="V313" s="611"/>
      <c r="W313" s="611"/>
      <c r="X313" s="611"/>
      <c r="Y313" s="611"/>
      <c r="Z313" s="611"/>
      <c r="AA313" s="611"/>
      <c r="AB313" s="611"/>
      <c r="AC313" s="611"/>
      <c r="AD313" s="611"/>
      <c r="AE313" s="611"/>
      <c r="AF313" s="611"/>
      <c r="AG313" s="611"/>
      <c r="AH313" s="611"/>
      <c r="AI313" s="64"/>
      <c r="AJ313" s="64"/>
      <c r="AK313" s="64"/>
      <c r="AL313" s="6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row>
    <row r="314" spans="1:59" x14ac:dyDescent="0.3">
      <c r="A314" s="64"/>
      <c r="B314" s="64"/>
      <c r="C314" s="64"/>
      <c r="D314" s="64"/>
      <c r="E314" s="64"/>
      <c r="F314" s="64"/>
      <c r="G314" s="1935" t="s">
        <v>1745</v>
      </c>
      <c r="H314" s="1936"/>
      <c r="I314" s="1936"/>
      <c r="J314" s="1936"/>
      <c r="K314" s="1936"/>
      <c r="L314" s="1936"/>
      <c r="M314" s="1936"/>
      <c r="N314" s="1936"/>
      <c r="O314" s="1936"/>
      <c r="P314" s="1936"/>
      <c r="Q314" s="1936"/>
      <c r="R314" s="1936"/>
      <c r="S314" s="1936"/>
      <c r="T314" s="1936"/>
      <c r="U314" s="1936"/>
      <c r="V314" s="1936"/>
      <c r="W314" s="1936"/>
      <c r="X314" s="1936"/>
      <c r="Y314" s="1936"/>
      <c r="Z314" s="1936"/>
      <c r="AA314" s="1936"/>
      <c r="AB314" s="1936"/>
      <c r="AC314" s="1936"/>
      <c r="AD314" s="1936"/>
      <c r="AE314" s="1936"/>
      <c r="AF314" s="1936"/>
      <c r="AG314" s="1936"/>
      <c r="AH314" s="1936"/>
      <c r="AI314" s="1936"/>
      <c r="AJ314" s="1936"/>
      <c r="AK314" s="1936"/>
      <c r="AL314" s="1937"/>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row>
    <row r="315" spans="1:59" x14ac:dyDescent="0.3">
      <c r="A315" s="1843" t="s">
        <v>46</v>
      </c>
      <c r="B315" s="1844"/>
      <c r="C315" s="1844"/>
      <c r="D315" s="1844"/>
      <c r="E315" s="1844"/>
      <c r="F315" s="1845"/>
      <c r="G315" s="1838" t="s">
        <v>596</v>
      </c>
      <c r="H315" s="1838"/>
      <c r="I315" s="1838"/>
      <c r="J315" s="1838"/>
      <c r="K315" s="1838"/>
      <c r="L315" s="1838"/>
      <c r="M315" s="1838"/>
      <c r="N315" s="1838"/>
      <c r="O315" s="1839" t="s">
        <v>597</v>
      </c>
      <c r="P315" s="1839"/>
      <c r="Q315" s="1839"/>
      <c r="R315" s="1839"/>
      <c r="S315" s="1839"/>
      <c r="T315" s="1839"/>
      <c r="U315" s="1839"/>
      <c r="V315" s="1839"/>
      <c r="W315" s="1838" t="s">
        <v>598</v>
      </c>
      <c r="X315" s="1838"/>
      <c r="Y315" s="1838"/>
      <c r="Z315" s="1838"/>
      <c r="AA315" s="1838"/>
      <c r="AB315" s="1838"/>
      <c r="AC315" s="1838"/>
      <c r="AD315" s="1838"/>
      <c r="AE315" s="1839" t="s">
        <v>599</v>
      </c>
      <c r="AF315" s="1839"/>
      <c r="AG315" s="1839"/>
      <c r="AH315" s="1839"/>
      <c r="AI315" s="1839"/>
      <c r="AJ315" s="1839"/>
      <c r="AK315" s="1839"/>
      <c r="AL315" s="1839"/>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row>
    <row r="316" spans="1:59" x14ac:dyDescent="0.3">
      <c r="A316" s="1846"/>
      <c r="B316" s="1847"/>
      <c r="C316" s="1847"/>
      <c r="D316" s="1847"/>
      <c r="E316" s="1847"/>
      <c r="F316" s="1848"/>
      <c r="G316" s="1838" t="s">
        <v>3422</v>
      </c>
      <c r="H316" s="1838"/>
      <c r="I316" s="1838"/>
      <c r="J316" s="1838"/>
      <c r="K316" s="1838" t="s">
        <v>3423</v>
      </c>
      <c r="L316" s="1838"/>
      <c r="M316" s="1838"/>
      <c r="N316" s="1838"/>
      <c r="O316" s="1839" t="s">
        <v>3422</v>
      </c>
      <c r="P316" s="1839"/>
      <c r="Q316" s="1839"/>
      <c r="R316" s="1839"/>
      <c r="S316" s="1839" t="s">
        <v>3423</v>
      </c>
      <c r="T316" s="1839"/>
      <c r="U316" s="1839"/>
      <c r="V316" s="1839"/>
      <c r="W316" s="1838" t="s">
        <v>3422</v>
      </c>
      <c r="X316" s="1838"/>
      <c r="Y316" s="1838"/>
      <c r="Z316" s="1838"/>
      <c r="AA316" s="1838" t="s">
        <v>3423</v>
      </c>
      <c r="AB316" s="1838"/>
      <c r="AC316" s="1838"/>
      <c r="AD316" s="1838"/>
      <c r="AE316" s="1839" t="s">
        <v>3422</v>
      </c>
      <c r="AF316" s="1839"/>
      <c r="AG316" s="1839"/>
      <c r="AH316" s="1839"/>
      <c r="AI316" s="1839" t="s">
        <v>3423</v>
      </c>
      <c r="AJ316" s="1839"/>
      <c r="AK316" s="1839"/>
      <c r="AL316" s="1839"/>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row>
    <row r="317" spans="1:59" x14ac:dyDescent="0.3">
      <c r="A317" s="2114" t="s">
        <v>1796</v>
      </c>
      <c r="B317" s="2114"/>
      <c r="C317" s="2114"/>
      <c r="D317" s="2114"/>
      <c r="E317" s="2114"/>
      <c r="F317" s="2114"/>
      <c r="G317" s="1837">
        <f t="shared" ref="G317:G327" si="28">ROUND(K284*VLOOKUP($A317,$A$183:$AF$193,13,TRUE)+K299*(VLOOKUP($A317,$A$199:$Q$209,8,TRUE)-VLOOKUP($A317,$A$183:$AF$193,13,TRUE)),2)</f>
        <v>109.52</v>
      </c>
      <c r="H317" s="1837"/>
      <c r="I317" s="1837"/>
      <c r="J317" s="1837"/>
      <c r="K317" s="1837">
        <f>ROUND(K284*VLOOKUP($A317,$A$183:$AF$193,15,TRUE)+K299*(VLOOKUP($A317,$A$199:$Q$209,8,TRUE)-VLOOKUP($A317,$A$183:$AF$193,15,TRUE)),2)</f>
        <v>71</v>
      </c>
      <c r="L317" s="1837"/>
      <c r="M317" s="1837"/>
      <c r="N317" s="1837"/>
      <c r="O317" s="1837">
        <f t="shared" ref="O317:O327" si="29">ROUND(S284*VLOOKUP($A317,$A$183:$AF$193,13,TRUE)+S299*(VLOOKUP($A317,$A$199:$Q$209,8,TRUE)-VLOOKUP($A317,$A$183:$AF$193,13,TRUE)),2)</f>
        <v>243.32</v>
      </c>
      <c r="P317" s="1837"/>
      <c r="Q317" s="1837"/>
      <c r="R317" s="1837"/>
      <c r="S317" s="1837">
        <f>ROUND(S284*VLOOKUP($A317,$A$183:$AF$193,15,TRUE)+S299*(VLOOKUP($A317,$A$199:$Q$209,8,TRUE)-VLOOKUP($A317,$A$183:$AF$193,15,TRUE)),2)</f>
        <v>186.54</v>
      </c>
      <c r="T317" s="1837"/>
      <c r="U317" s="1837"/>
      <c r="V317" s="1837"/>
      <c r="W317" s="1837">
        <f t="shared" ref="W317:W327" si="30">ROUND(AA284*VLOOKUP($A317,$A$183:$AF$193,13,TRUE)+AA299*(VLOOKUP($A317,$A$199:$Q$209,8,TRUE)-VLOOKUP($A317,$A$183:$AF$193,13,TRUE)),2)</f>
        <v>227.08</v>
      </c>
      <c r="X317" s="1837"/>
      <c r="Y317" s="1837"/>
      <c r="Z317" s="1837"/>
      <c r="AA317" s="1837">
        <f>ROUND(AA284*VLOOKUP($A317,$A$183:$AF$193,15,TRUE)+AA299*(VLOOKUP($A317,$A$199:$Q$209,8,TRUE)-VLOOKUP($A317,$A$183:$AF$193,15,TRUE)),2)</f>
        <v>170.3</v>
      </c>
      <c r="AB317" s="1837"/>
      <c r="AC317" s="1837"/>
      <c r="AD317" s="1837"/>
      <c r="AE317" s="1837">
        <f t="shared" ref="AE317:AE327" si="31">ROUND(AI284*VLOOKUP($A317,$A$183:$AF$193,13,TRUE)+AI299*(VLOOKUP($A317,$A$199:$Q$209,8,TRUE)-VLOOKUP($A317,$A$183:$AF$193,13,TRUE)),2)</f>
        <v>389.32</v>
      </c>
      <c r="AF317" s="1837"/>
      <c r="AG317" s="1837"/>
      <c r="AH317" s="1837"/>
      <c r="AI317" s="1837">
        <f>ROUND(AI284*VLOOKUP($A317,$A$183:$AF$193,15,TRUE)+AI299*(VLOOKUP($A317,$A$199:$Q$209,8,TRUE)-VLOOKUP($A317,$A$183:$AF$193,15,TRUE)),2)</f>
        <v>308.22000000000003</v>
      </c>
      <c r="AJ317" s="1837"/>
      <c r="AK317" s="1837"/>
      <c r="AL317" s="1837"/>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row>
    <row r="318" spans="1:59" x14ac:dyDescent="0.3">
      <c r="A318" s="2114" t="s">
        <v>211</v>
      </c>
      <c r="B318" s="2114"/>
      <c r="C318" s="2114"/>
      <c r="D318" s="2114"/>
      <c r="E318" s="2114"/>
      <c r="F318" s="2114"/>
      <c r="G318" s="1837">
        <f t="shared" si="28"/>
        <v>316.82</v>
      </c>
      <c r="H318" s="1837"/>
      <c r="I318" s="1837"/>
      <c r="J318" s="1837"/>
      <c r="K318" s="1837">
        <f t="shared" ref="K318:K327" si="32">ROUND(K285*VLOOKUP($A318,$A$183:$AF$193,15,TRUE)+K300*(VLOOKUP($A318,$A$199:$Q$209,8,TRUE)-VLOOKUP($A318,$A$183:$AF$193,15,TRUE)),2)</f>
        <v>180.01</v>
      </c>
      <c r="L318" s="1837"/>
      <c r="M318" s="1837"/>
      <c r="N318" s="1837"/>
      <c r="O318" s="1837">
        <f t="shared" si="29"/>
        <v>576.04999999999995</v>
      </c>
      <c r="P318" s="1837"/>
      <c r="Q318" s="1837"/>
      <c r="R318" s="1837"/>
      <c r="S318" s="1837">
        <f t="shared" ref="S318:S327" si="33">ROUND(S285*VLOOKUP($A318,$A$183:$AF$193,15,TRUE)+S300*(VLOOKUP($A318,$A$199:$Q$209,8,TRUE)-VLOOKUP($A318,$A$183:$AF$193,15,TRUE)),2)</f>
        <v>374.44</v>
      </c>
      <c r="T318" s="1837"/>
      <c r="U318" s="1837"/>
      <c r="V318" s="1837"/>
      <c r="W318" s="1837">
        <f t="shared" si="30"/>
        <v>554.44000000000005</v>
      </c>
      <c r="X318" s="1837"/>
      <c r="Y318" s="1837"/>
      <c r="Z318" s="1837"/>
      <c r="AA318" s="1837">
        <f t="shared" ref="AA318:AA327" si="34">ROUND(AA285*VLOOKUP($A318,$A$183:$AF$193,15,TRUE)+AA300*(VLOOKUP($A318,$A$199:$Q$209,8,TRUE)-VLOOKUP($A318,$A$183:$AF$193,15,TRUE)),2)</f>
        <v>352.82</v>
      </c>
      <c r="AB318" s="1837"/>
      <c r="AC318" s="1837"/>
      <c r="AD318" s="1837"/>
      <c r="AE318" s="1837">
        <f t="shared" si="31"/>
        <v>878.47</v>
      </c>
      <c r="AF318" s="1837"/>
      <c r="AG318" s="1837"/>
      <c r="AH318" s="1837"/>
      <c r="AI318" s="1837">
        <f t="shared" ref="AI318:AI327" si="35">ROUND(AI285*VLOOKUP($A318,$A$183:$AF$193,15,TRUE)+AI300*(VLOOKUP($A318,$A$199:$Q$209,8,TRUE)-VLOOKUP($A318,$A$183:$AF$193,15,TRUE)),2)</f>
        <v>590.45000000000005</v>
      </c>
      <c r="AJ318" s="1837"/>
      <c r="AK318" s="1837"/>
      <c r="AL318" s="1837"/>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row>
    <row r="319" spans="1:59" x14ac:dyDescent="0.3">
      <c r="A319" s="2114" t="s">
        <v>212</v>
      </c>
      <c r="B319" s="2114"/>
      <c r="C319" s="2114"/>
      <c r="D319" s="2114"/>
      <c r="E319" s="2114"/>
      <c r="F319" s="2114"/>
      <c r="G319" s="1837">
        <f t="shared" si="28"/>
        <v>106.44</v>
      </c>
      <c r="H319" s="1837"/>
      <c r="I319" s="1837"/>
      <c r="J319" s="1837"/>
      <c r="K319" s="1837">
        <f t="shared" si="32"/>
        <v>71.569999999999993</v>
      </c>
      <c r="L319" s="1837"/>
      <c r="M319" s="1837"/>
      <c r="N319" s="1837"/>
      <c r="O319" s="1837">
        <f t="shared" si="29"/>
        <v>249.56</v>
      </c>
      <c r="P319" s="1837"/>
      <c r="Q319" s="1837"/>
      <c r="R319" s="1837"/>
      <c r="S319" s="1837">
        <f t="shared" si="33"/>
        <v>198.18</v>
      </c>
      <c r="T319" s="1837"/>
      <c r="U319" s="1837"/>
      <c r="V319" s="1837"/>
      <c r="W319" s="1837">
        <f t="shared" si="30"/>
        <v>231.26</v>
      </c>
      <c r="X319" s="1837"/>
      <c r="Y319" s="1837"/>
      <c r="Z319" s="1837"/>
      <c r="AA319" s="1837">
        <f t="shared" si="34"/>
        <v>179.88</v>
      </c>
      <c r="AB319" s="1837"/>
      <c r="AC319" s="1837"/>
      <c r="AD319" s="1837"/>
      <c r="AE319" s="1837">
        <f t="shared" si="31"/>
        <v>403.7</v>
      </c>
      <c r="AF319" s="1837"/>
      <c r="AG319" s="1837"/>
      <c r="AH319" s="1837"/>
      <c r="AI319" s="1837">
        <f t="shared" si="35"/>
        <v>330.3</v>
      </c>
      <c r="AJ319" s="1837"/>
      <c r="AK319" s="1837"/>
      <c r="AL319" s="1837"/>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row>
    <row r="320" spans="1:59" x14ac:dyDescent="0.3">
      <c r="A320" s="2114" t="s">
        <v>213</v>
      </c>
      <c r="B320" s="2114"/>
      <c r="C320" s="2114"/>
      <c r="D320" s="2114"/>
      <c r="E320" s="2114"/>
      <c r="F320" s="2114"/>
      <c r="G320" s="1837">
        <f t="shared" si="28"/>
        <v>240.87</v>
      </c>
      <c r="H320" s="1837"/>
      <c r="I320" s="1837"/>
      <c r="J320" s="1837"/>
      <c r="K320" s="1837">
        <f t="shared" si="32"/>
        <v>136.86000000000001</v>
      </c>
      <c r="L320" s="1837"/>
      <c r="M320" s="1837"/>
      <c r="N320" s="1837"/>
      <c r="O320" s="1837">
        <f t="shared" si="29"/>
        <v>437.93</v>
      </c>
      <c r="P320" s="1837"/>
      <c r="Q320" s="1837"/>
      <c r="R320" s="1837"/>
      <c r="S320" s="1837">
        <f t="shared" si="33"/>
        <v>284.64999999999998</v>
      </c>
      <c r="T320" s="1837"/>
      <c r="U320" s="1837"/>
      <c r="V320" s="1837"/>
      <c r="W320" s="1837">
        <f t="shared" si="30"/>
        <v>421.52</v>
      </c>
      <c r="X320" s="1837"/>
      <c r="Y320" s="1837"/>
      <c r="Z320" s="1837"/>
      <c r="AA320" s="1837">
        <f t="shared" si="34"/>
        <v>268.24</v>
      </c>
      <c r="AB320" s="1837"/>
      <c r="AC320" s="1837"/>
      <c r="AD320" s="1837"/>
      <c r="AE320" s="1837">
        <f t="shared" si="31"/>
        <v>667.86</v>
      </c>
      <c r="AF320" s="1837"/>
      <c r="AG320" s="1837"/>
      <c r="AH320" s="1837"/>
      <c r="AI320" s="1837">
        <f t="shared" si="35"/>
        <v>448.89</v>
      </c>
      <c r="AJ320" s="1837"/>
      <c r="AK320" s="1837"/>
      <c r="AL320" s="1837"/>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row>
    <row r="321" spans="1:59" x14ac:dyDescent="0.3">
      <c r="A321" s="2114" t="s">
        <v>214</v>
      </c>
      <c r="B321" s="2114"/>
      <c r="C321" s="2114"/>
      <c r="D321" s="2114"/>
      <c r="E321" s="2114"/>
      <c r="F321" s="2114"/>
      <c r="G321" s="1837">
        <f t="shared" si="28"/>
        <v>263.98</v>
      </c>
      <c r="H321" s="1837"/>
      <c r="I321" s="1837"/>
      <c r="J321" s="1837"/>
      <c r="K321" s="1837">
        <f t="shared" si="32"/>
        <v>149.99</v>
      </c>
      <c r="L321" s="1837"/>
      <c r="M321" s="1837"/>
      <c r="N321" s="1837"/>
      <c r="O321" s="1837">
        <f t="shared" si="29"/>
        <v>479.95</v>
      </c>
      <c r="P321" s="1837"/>
      <c r="Q321" s="1837"/>
      <c r="R321" s="1837"/>
      <c r="S321" s="1837">
        <f t="shared" si="33"/>
        <v>311.95999999999998</v>
      </c>
      <c r="T321" s="1837"/>
      <c r="U321" s="1837"/>
      <c r="V321" s="1837"/>
      <c r="W321" s="1837">
        <f t="shared" si="30"/>
        <v>461.96</v>
      </c>
      <c r="X321" s="1837"/>
      <c r="Y321" s="1837"/>
      <c r="Z321" s="1837"/>
      <c r="AA321" s="1837">
        <f t="shared" si="34"/>
        <v>293.98</v>
      </c>
      <c r="AB321" s="1837"/>
      <c r="AC321" s="1837"/>
      <c r="AD321" s="1837"/>
      <c r="AE321" s="1837">
        <f t="shared" si="31"/>
        <v>731.93</v>
      </c>
      <c r="AF321" s="1837"/>
      <c r="AG321" s="1837"/>
      <c r="AH321" s="1837"/>
      <c r="AI321" s="1837">
        <f t="shared" si="35"/>
        <v>491.95</v>
      </c>
      <c r="AJ321" s="1837"/>
      <c r="AK321" s="1837"/>
      <c r="AL321" s="1837"/>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row>
    <row r="322" spans="1:59" x14ac:dyDescent="0.3">
      <c r="A322" s="2114" t="s">
        <v>215</v>
      </c>
      <c r="B322" s="2114"/>
      <c r="C322" s="2114"/>
      <c r="D322" s="2114"/>
      <c r="E322" s="2114"/>
      <c r="F322" s="2114"/>
      <c r="G322" s="1837">
        <f t="shared" si="28"/>
        <v>107.64</v>
      </c>
      <c r="H322" s="1837"/>
      <c r="I322" s="1837"/>
      <c r="J322" s="1837"/>
      <c r="K322" s="1837">
        <f t="shared" si="32"/>
        <v>74.64</v>
      </c>
      <c r="L322" s="1837"/>
      <c r="M322" s="1837"/>
      <c r="N322" s="1837"/>
      <c r="O322" s="1837">
        <f t="shared" si="29"/>
        <v>263.92</v>
      </c>
      <c r="P322" s="1837"/>
      <c r="Q322" s="1837"/>
      <c r="R322" s="1837"/>
      <c r="S322" s="1837">
        <f t="shared" si="33"/>
        <v>215.3</v>
      </c>
      <c r="T322" s="1837"/>
      <c r="U322" s="1837"/>
      <c r="V322" s="1837"/>
      <c r="W322" s="1837">
        <f t="shared" si="30"/>
        <v>243.16</v>
      </c>
      <c r="X322" s="1837"/>
      <c r="Y322" s="1837"/>
      <c r="Z322" s="1837"/>
      <c r="AA322" s="1837">
        <f t="shared" si="34"/>
        <v>194.54</v>
      </c>
      <c r="AB322" s="1837"/>
      <c r="AC322" s="1837"/>
      <c r="AD322" s="1837"/>
      <c r="AE322" s="1837">
        <f t="shared" si="31"/>
        <v>430.64</v>
      </c>
      <c r="AF322" s="1837"/>
      <c r="AG322" s="1837"/>
      <c r="AH322" s="1837"/>
      <c r="AI322" s="1837">
        <f t="shared" si="35"/>
        <v>361.18</v>
      </c>
      <c r="AJ322" s="1837"/>
      <c r="AK322" s="1837"/>
      <c r="AL322" s="1837"/>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row>
    <row r="323" spans="1:59" x14ac:dyDescent="0.3">
      <c r="A323" s="2114" t="s">
        <v>216</v>
      </c>
      <c r="B323" s="2114"/>
      <c r="C323" s="2114"/>
      <c r="D323" s="2114"/>
      <c r="E323" s="2114"/>
      <c r="F323" s="2114"/>
      <c r="G323" s="1837">
        <f t="shared" si="28"/>
        <v>122.43</v>
      </c>
      <c r="H323" s="1837"/>
      <c r="I323" s="1837"/>
      <c r="J323" s="1837"/>
      <c r="K323" s="1837">
        <f t="shared" si="32"/>
        <v>77.7</v>
      </c>
      <c r="L323" s="1837"/>
      <c r="M323" s="1837"/>
      <c r="N323" s="1837"/>
      <c r="O323" s="1837">
        <f t="shared" si="29"/>
        <v>263.67</v>
      </c>
      <c r="P323" s="1837"/>
      <c r="Q323" s="1837"/>
      <c r="R323" s="1837"/>
      <c r="S323" s="1837">
        <f t="shared" si="33"/>
        <v>197.74</v>
      </c>
      <c r="T323" s="1837"/>
      <c r="U323" s="1837"/>
      <c r="V323" s="1837"/>
      <c r="W323" s="1837">
        <f t="shared" si="30"/>
        <v>247.2</v>
      </c>
      <c r="X323" s="1837"/>
      <c r="Y323" s="1837"/>
      <c r="Z323" s="1837"/>
      <c r="AA323" s="1837">
        <f t="shared" si="34"/>
        <v>181.28</v>
      </c>
      <c r="AB323" s="1837"/>
      <c r="AC323" s="1837"/>
      <c r="AD323" s="1837"/>
      <c r="AE323" s="1837">
        <f t="shared" si="31"/>
        <v>419.08</v>
      </c>
      <c r="AF323" s="1837"/>
      <c r="AG323" s="1837"/>
      <c r="AH323" s="1837"/>
      <c r="AI323" s="1837">
        <f t="shared" si="35"/>
        <v>324.89999999999998</v>
      </c>
      <c r="AJ323" s="1837"/>
      <c r="AK323" s="1837"/>
      <c r="AL323" s="1837"/>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row>
    <row r="324" spans="1:59" x14ac:dyDescent="0.3">
      <c r="A324" s="2114" t="s">
        <v>47</v>
      </c>
      <c r="B324" s="2114"/>
      <c r="C324" s="2114"/>
      <c r="D324" s="2114"/>
      <c r="E324" s="2114"/>
      <c r="F324" s="2114"/>
      <c r="G324" s="1837">
        <f t="shared" si="28"/>
        <v>117.74</v>
      </c>
      <c r="H324" s="1837"/>
      <c r="I324" s="1837"/>
      <c r="J324" s="1837"/>
      <c r="K324" s="1837">
        <f t="shared" si="32"/>
        <v>76.31</v>
      </c>
      <c r="L324" s="1837"/>
      <c r="M324" s="1837"/>
      <c r="N324" s="1837"/>
      <c r="O324" s="1837">
        <f t="shared" si="29"/>
        <v>261.64</v>
      </c>
      <c r="P324" s="1837"/>
      <c r="Q324" s="1837"/>
      <c r="R324" s="1837"/>
      <c r="S324" s="1837">
        <f t="shared" si="33"/>
        <v>200.58</v>
      </c>
      <c r="T324" s="1837"/>
      <c r="U324" s="1837"/>
      <c r="V324" s="1837"/>
      <c r="W324" s="1837">
        <f t="shared" si="30"/>
        <v>244.2</v>
      </c>
      <c r="X324" s="1837"/>
      <c r="Y324" s="1837"/>
      <c r="Z324" s="1837"/>
      <c r="AA324" s="1837">
        <f t="shared" si="34"/>
        <v>183.14</v>
      </c>
      <c r="AB324" s="1837"/>
      <c r="AC324" s="1837"/>
      <c r="AD324" s="1837"/>
      <c r="AE324" s="1837">
        <f t="shared" si="31"/>
        <v>418.68</v>
      </c>
      <c r="AF324" s="1837"/>
      <c r="AG324" s="1837"/>
      <c r="AH324" s="1837"/>
      <c r="AI324" s="1837">
        <f t="shared" si="35"/>
        <v>331.46</v>
      </c>
      <c r="AJ324" s="1837"/>
      <c r="AK324" s="1837"/>
      <c r="AL324" s="1837"/>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row>
    <row r="325" spans="1:59" x14ac:dyDescent="0.3">
      <c r="A325" s="2114" t="s">
        <v>217</v>
      </c>
      <c r="B325" s="2114"/>
      <c r="C325" s="2114"/>
      <c r="D325" s="2114"/>
      <c r="E325" s="2114"/>
      <c r="F325" s="2114"/>
      <c r="G325" s="1837">
        <f t="shared" si="28"/>
        <v>213.5</v>
      </c>
      <c r="H325" s="1837"/>
      <c r="I325" s="1837"/>
      <c r="J325" s="1837"/>
      <c r="K325" s="1837">
        <f t="shared" si="32"/>
        <v>125.31</v>
      </c>
      <c r="L325" s="1837"/>
      <c r="M325" s="1837"/>
      <c r="N325" s="1837"/>
      <c r="O325" s="1837">
        <f t="shared" si="29"/>
        <v>408.44</v>
      </c>
      <c r="P325" s="1837"/>
      <c r="Q325" s="1837"/>
      <c r="R325" s="1837"/>
      <c r="S325" s="1837">
        <f t="shared" si="33"/>
        <v>278.48</v>
      </c>
      <c r="T325" s="1837"/>
      <c r="U325" s="1837"/>
      <c r="V325" s="1837"/>
      <c r="W325" s="1837">
        <f t="shared" si="30"/>
        <v>389.86</v>
      </c>
      <c r="X325" s="1837"/>
      <c r="Y325" s="1837"/>
      <c r="Z325" s="1837"/>
      <c r="AA325" s="1837">
        <f t="shared" si="34"/>
        <v>259.91000000000003</v>
      </c>
      <c r="AB325" s="1837"/>
      <c r="AC325" s="1837"/>
      <c r="AD325" s="1837"/>
      <c r="AE325" s="1837">
        <f t="shared" si="31"/>
        <v>631.22</v>
      </c>
      <c r="AF325" s="1837"/>
      <c r="AG325" s="1837"/>
      <c r="AH325" s="1837"/>
      <c r="AI325" s="1837">
        <f t="shared" si="35"/>
        <v>445.57</v>
      </c>
      <c r="AJ325" s="1837"/>
      <c r="AK325" s="1837"/>
      <c r="AL325" s="1837"/>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row>
    <row r="326" spans="1:59" x14ac:dyDescent="0.3">
      <c r="A326" s="2114" t="s">
        <v>218</v>
      </c>
      <c r="B326" s="2114"/>
      <c r="C326" s="2114"/>
      <c r="D326" s="2114"/>
      <c r="E326" s="2114"/>
      <c r="F326" s="2114"/>
      <c r="G326" s="1837">
        <f t="shared" si="28"/>
        <v>132</v>
      </c>
      <c r="H326" s="1837"/>
      <c r="I326" s="1837"/>
      <c r="J326" s="1837"/>
      <c r="K326" s="1837">
        <f t="shared" si="32"/>
        <v>81.84</v>
      </c>
      <c r="L326" s="1837"/>
      <c r="M326" s="1837"/>
      <c r="N326" s="1837"/>
      <c r="O326" s="1837">
        <f t="shared" si="29"/>
        <v>274.56</v>
      </c>
      <c r="P326" s="1837"/>
      <c r="Q326" s="1837"/>
      <c r="R326" s="1837"/>
      <c r="S326" s="1837">
        <f t="shared" si="33"/>
        <v>200.64</v>
      </c>
      <c r="T326" s="1837"/>
      <c r="U326" s="1837"/>
      <c r="V326" s="1837"/>
      <c r="W326" s="1837">
        <f t="shared" si="30"/>
        <v>258.72000000000003</v>
      </c>
      <c r="X326" s="1837"/>
      <c r="Y326" s="1837"/>
      <c r="Z326" s="1837"/>
      <c r="AA326" s="1837">
        <f t="shared" si="34"/>
        <v>184.8</v>
      </c>
      <c r="AB326" s="1837"/>
      <c r="AC326" s="1837"/>
      <c r="AD326" s="1837"/>
      <c r="AE326" s="1837">
        <f t="shared" si="31"/>
        <v>432.96</v>
      </c>
      <c r="AF326" s="1837"/>
      <c r="AG326" s="1837"/>
      <c r="AH326" s="1837"/>
      <c r="AI326" s="1837">
        <f t="shared" si="35"/>
        <v>327.36</v>
      </c>
      <c r="AJ326" s="1837"/>
      <c r="AK326" s="1837"/>
      <c r="AL326" s="1837"/>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row>
    <row r="327" spans="1:59" x14ac:dyDescent="0.3">
      <c r="A327" s="2114" t="s">
        <v>219</v>
      </c>
      <c r="B327" s="2114"/>
      <c r="C327" s="2114"/>
      <c r="D327" s="2114"/>
      <c r="E327" s="2114"/>
      <c r="F327" s="2114"/>
      <c r="G327" s="1837">
        <f t="shared" si="28"/>
        <v>93.71</v>
      </c>
      <c r="H327" s="1837"/>
      <c r="I327" s="1837"/>
      <c r="J327" s="1837"/>
      <c r="K327" s="1837">
        <f t="shared" si="32"/>
        <v>61.93</v>
      </c>
      <c r="L327" s="1837"/>
      <c r="M327" s="1837"/>
      <c r="N327" s="1837"/>
      <c r="O327" s="1837">
        <f t="shared" si="29"/>
        <v>214.1</v>
      </c>
      <c r="P327" s="1837"/>
      <c r="Q327" s="1837"/>
      <c r="R327" s="1837"/>
      <c r="S327" s="1837">
        <f t="shared" si="33"/>
        <v>167.26</v>
      </c>
      <c r="T327" s="1837"/>
      <c r="U327" s="1837"/>
      <c r="V327" s="1837"/>
      <c r="W327" s="1837">
        <f t="shared" si="30"/>
        <v>199.07</v>
      </c>
      <c r="X327" s="1837"/>
      <c r="Y327" s="1837"/>
      <c r="Z327" s="1837"/>
      <c r="AA327" s="1837">
        <f t="shared" si="34"/>
        <v>152.22999999999999</v>
      </c>
      <c r="AB327" s="1837"/>
      <c r="AC327" s="1837"/>
      <c r="AD327" s="1837"/>
      <c r="AE327" s="1837">
        <f t="shared" si="31"/>
        <v>344.6</v>
      </c>
      <c r="AF327" s="1837"/>
      <c r="AG327" s="1837"/>
      <c r="AH327" s="1837"/>
      <c r="AI327" s="1837">
        <f t="shared" si="35"/>
        <v>277.69</v>
      </c>
      <c r="AJ327" s="1837"/>
      <c r="AK327" s="1837"/>
      <c r="AL327" s="1837"/>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row>
    <row r="328" spans="1:59" x14ac:dyDescent="0.3">
      <c r="A328" s="612"/>
      <c r="B328" s="612"/>
      <c r="C328" s="613"/>
      <c r="D328" s="613"/>
      <c r="E328" s="613"/>
      <c r="F328" s="613"/>
      <c r="G328" s="613"/>
      <c r="H328" s="613"/>
      <c r="I328" s="613"/>
      <c r="J328" s="613"/>
      <c r="K328" s="613"/>
      <c r="L328" s="613"/>
      <c r="M328" s="613"/>
      <c r="N328" s="613"/>
      <c r="O328" s="613"/>
      <c r="P328" s="613"/>
      <c r="Q328" s="613"/>
      <c r="R328" s="613"/>
      <c r="S328" s="613"/>
      <c r="T328" s="613"/>
      <c r="U328" s="613"/>
      <c r="V328" s="613"/>
      <c r="W328" s="613"/>
      <c r="X328" s="613"/>
      <c r="Y328" s="613"/>
      <c r="Z328" s="613"/>
      <c r="AA328" s="613"/>
      <c r="AB328" s="613"/>
      <c r="AC328" s="613"/>
      <c r="AD328" s="613"/>
      <c r="AE328" s="613"/>
      <c r="AF328" s="613"/>
      <c r="AG328" s="613"/>
      <c r="AH328" s="613"/>
      <c r="AI328" s="613"/>
      <c r="AJ328" s="613"/>
      <c r="AK328" s="613"/>
      <c r="AL328" s="613"/>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row>
    <row r="329" spans="1:59" x14ac:dyDescent="0.3">
      <c r="A329" s="610" t="s">
        <v>4603</v>
      </c>
      <c r="B329" s="610"/>
      <c r="C329" s="610"/>
      <c r="D329" s="610"/>
      <c r="E329" s="610"/>
      <c r="F329" s="610"/>
      <c r="G329" s="611"/>
      <c r="H329" s="611"/>
      <c r="I329" s="611"/>
      <c r="J329" s="611"/>
      <c r="K329" s="611"/>
      <c r="L329" s="611"/>
      <c r="M329" s="611"/>
      <c r="N329" s="611"/>
      <c r="O329" s="611"/>
      <c r="P329" s="611"/>
      <c r="Q329" s="611"/>
      <c r="R329" s="611"/>
      <c r="S329" s="611"/>
      <c r="T329" s="611"/>
      <c r="U329" s="611"/>
      <c r="V329" s="611"/>
      <c r="W329" s="611"/>
      <c r="X329" s="611"/>
      <c r="Y329" s="611"/>
      <c r="Z329" s="611"/>
      <c r="AA329" s="611"/>
      <c r="AB329" s="611"/>
      <c r="AC329" s="611"/>
      <c r="AD329" s="611"/>
      <c r="AE329" s="611"/>
      <c r="AF329" s="611"/>
      <c r="AG329" s="611"/>
      <c r="AH329" s="611"/>
      <c r="AI329" s="64"/>
      <c r="AJ329" s="64"/>
      <c r="AK329" s="64"/>
      <c r="AL329" s="6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row>
    <row r="330" spans="1:59" x14ac:dyDescent="0.3">
      <c r="A330" s="53"/>
      <c r="B330" s="53"/>
      <c r="C330" s="53"/>
      <c r="D330" s="53"/>
      <c r="E330" s="53"/>
      <c r="F330" s="53"/>
      <c r="G330" s="1905" t="s">
        <v>1745</v>
      </c>
      <c r="H330" s="1906"/>
      <c r="I330" s="1906"/>
      <c r="J330" s="1906"/>
      <c r="K330" s="1906"/>
      <c r="L330" s="1906"/>
      <c r="M330" s="1906"/>
      <c r="N330" s="1906"/>
      <c r="O330" s="1906"/>
      <c r="P330" s="1906"/>
      <c r="Q330" s="1906"/>
      <c r="R330" s="1906"/>
      <c r="S330" s="1906"/>
      <c r="T330" s="1906"/>
      <c r="U330" s="1906"/>
      <c r="V330" s="1906"/>
      <c r="W330" s="1906"/>
      <c r="X330" s="1906"/>
      <c r="Y330" s="1906"/>
      <c r="Z330" s="1906"/>
      <c r="AA330" s="1906"/>
      <c r="AB330" s="1906"/>
      <c r="AC330" s="1906"/>
      <c r="AD330" s="1906"/>
      <c r="AE330" s="1906"/>
      <c r="AF330" s="1906"/>
      <c r="AG330" s="1906"/>
      <c r="AH330" s="1906"/>
      <c r="AI330" s="1906"/>
      <c r="AJ330" s="1906"/>
      <c r="AK330" s="1906"/>
      <c r="AL330" s="1907"/>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row>
    <row r="331" spans="1:59" x14ac:dyDescent="0.3">
      <c r="A331" s="1069" t="s">
        <v>46</v>
      </c>
      <c r="B331" s="1069"/>
      <c r="C331" s="1069"/>
      <c r="D331" s="1069"/>
      <c r="E331" s="1069"/>
      <c r="F331" s="1069"/>
      <c r="G331" s="2121" t="s">
        <v>596</v>
      </c>
      <c r="H331" s="2121"/>
      <c r="I331" s="2121"/>
      <c r="J331" s="2121"/>
      <c r="K331" s="2121"/>
      <c r="L331" s="2121"/>
      <c r="M331" s="2121"/>
      <c r="N331" s="2121"/>
      <c r="O331" s="2122" t="s">
        <v>597</v>
      </c>
      <c r="P331" s="2122"/>
      <c r="Q331" s="2122"/>
      <c r="R331" s="2122"/>
      <c r="S331" s="2122"/>
      <c r="T331" s="2122"/>
      <c r="U331" s="2122"/>
      <c r="V331" s="2122"/>
      <c r="W331" s="2121" t="s">
        <v>598</v>
      </c>
      <c r="X331" s="2121"/>
      <c r="Y331" s="2121"/>
      <c r="Z331" s="2121"/>
      <c r="AA331" s="2121"/>
      <c r="AB331" s="2121"/>
      <c r="AC331" s="2121"/>
      <c r="AD331" s="2121"/>
      <c r="AE331" s="2122" t="s">
        <v>599</v>
      </c>
      <c r="AF331" s="2122"/>
      <c r="AG331" s="2122"/>
      <c r="AH331" s="2122"/>
      <c r="AI331" s="2122"/>
      <c r="AJ331" s="2122"/>
      <c r="AK331" s="2122"/>
      <c r="AL331" s="2122"/>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row>
    <row r="332" spans="1:59" x14ac:dyDescent="0.3">
      <c r="A332" s="1938" t="s">
        <v>1796</v>
      </c>
      <c r="B332" s="1938"/>
      <c r="C332" s="1938"/>
      <c r="D332" s="1938"/>
      <c r="E332" s="1938"/>
      <c r="F332" s="1938"/>
      <c r="G332" s="1840">
        <f t="shared" ref="G332:G342" si="36">ROUND(K299*VLOOKUP($A332,$A$199:$Q$209,8,TRUE),2)</f>
        <v>32.479999999999997</v>
      </c>
      <c r="H332" s="1841"/>
      <c r="I332" s="1841"/>
      <c r="J332" s="1841"/>
      <c r="K332" s="1841"/>
      <c r="L332" s="1841"/>
      <c r="M332" s="1841"/>
      <c r="N332" s="1842"/>
      <c r="O332" s="1840">
        <f t="shared" ref="O332:O342" si="37">ROUND(S299*VLOOKUP($A332,$A$199:$Q$209,8,TRUE),2)</f>
        <v>129.76</v>
      </c>
      <c r="P332" s="1841"/>
      <c r="Q332" s="1841"/>
      <c r="R332" s="1841"/>
      <c r="S332" s="1841"/>
      <c r="T332" s="1841"/>
      <c r="U332" s="1841"/>
      <c r="V332" s="1842"/>
      <c r="W332" s="1840">
        <f t="shared" ref="W332:W342" si="38">ROUND(AA299*VLOOKUP($A332,$A$199:$Q$209,8,TRUE),2)</f>
        <v>113.52</v>
      </c>
      <c r="X332" s="1841"/>
      <c r="Y332" s="1841"/>
      <c r="Z332" s="1841"/>
      <c r="AA332" s="1841"/>
      <c r="AB332" s="1841"/>
      <c r="AC332" s="1841"/>
      <c r="AD332" s="1842"/>
      <c r="AE332" s="1840">
        <f t="shared" ref="AE332:AE342" si="39">ROUND(AI299*VLOOKUP($A332,$A$199:$Q$209,8,TRUE),2)</f>
        <v>227.12</v>
      </c>
      <c r="AF332" s="1841"/>
      <c r="AG332" s="1841"/>
      <c r="AH332" s="1841"/>
      <c r="AI332" s="1841"/>
      <c r="AJ332" s="1841"/>
      <c r="AK332" s="1841"/>
      <c r="AL332" s="1842"/>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row>
    <row r="333" spans="1:59" x14ac:dyDescent="0.3">
      <c r="A333" s="1938" t="s">
        <v>211</v>
      </c>
      <c r="B333" s="1938"/>
      <c r="C333" s="1938"/>
      <c r="D333" s="1938"/>
      <c r="E333" s="1938"/>
      <c r="F333" s="1938"/>
      <c r="G333" s="1840">
        <f t="shared" si="36"/>
        <v>43.2</v>
      </c>
      <c r="H333" s="1841"/>
      <c r="I333" s="1841"/>
      <c r="J333" s="1841"/>
      <c r="K333" s="1841"/>
      <c r="L333" s="1841"/>
      <c r="M333" s="1841"/>
      <c r="N333" s="1842"/>
      <c r="O333" s="1840">
        <f t="shared" si="37"/>
        <v>172.83</v>
      </c>
      <c r="P333" s="1841"/>
      <c r="Q333" s="1841"/>
      <c r="R333" s="1841"/>
      <c r="S333" s="1841"/>
      <c r="T333" s="1841"/>
      <c r="U333" s="1841"/>
      <c r="V333" s="1842"/>
      <c r="W333" s="1840">
        <f t="shared" si="38"/>
        <v>151.19999999999999</v>
      </c>
      <c r="X333" s="1841"/>
      <c r="Y333" s="1841"/>
      <c r="Z333" s="1841"/>
      <c r="AA333" s="1841"/>
      <c r="AB333" s="1841"/>
      <c r="AC333" s="1841"/>
      <c r="AD333" s="1842"/>
      <c r="AE333" s="1840">
        <f t="shared" si="39"/>
        <v>302.43</v>
      </c>
      <c r="AF333" s="1841"/>
      <c r="AG333" s="1841"/>
      <c r="AH333" s="1841"/>
      <c r="AI333" s="1841"/>
      <c r="AJ333" s="1841"/>
      <c r="AK333" s="1841"/>
      <c r="AL333" s="1842"/>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row>
    <row r="334" spans="1:59" x14ac:dyDescent="0.3">
      <c r="A334" s="1938" t="s">
        <v>212</v>
      </c>
      <c r="B334" s="1938"/>
      <c r="C334" s="1938"/>
      <c r="D334" s="1938"/>
      <c r="E334" s="1938"/>
      <c r="F334" s="1938"/>
      <c r="G334" s="1840">
        <f t="shared" si="36"/>
        <v>36.700000000000003</v>
      </c>
      <c r="H334" s="1841"/>
      <c r="I334" s="1841"/>
      <c r="J334" s="1841"/>
      <c r="K334" s="1841"/>
      <c r="L334" s="1841"/>
      <c r="M334" s="1841"/>
      <c r="N334" s="1842"/>
      <c r="O334" s="1840">
        <f t="shared" si="37"/>
        <v>146.80000000000001</v>
      </c>
      <c r="P334" s="1841"/>
      <c r="Q334" s="1841"/>
      <c r="R334" s="1841"/>
      <c r="S334" s="1841"/>
      <c r="T334" s="1841"/>
      <c r="U334" s="1841"/>
      <c r="V334" s="1842"/>
      <c r="W334" s="1840">
        <f t="shared" si="38"/>
        <v>128.5</v>
      </c>
      <c r="X334" s="1841"/>
      <c r="Y334" s="1841"/>
      <c r="Z334" s="1841"/>
      <c r="AA334" s="1841"/>
      <c r="AB334" s="1841"/>
      <c r="AC334" s="1841"/>
      <c r="AD334" s="1842"/>
      <c r="AE334" s="1840">
        <f t="shared" si="39"/>
        <v>256.89999999999998</v>
      </c>
      <c r="AF334" s="1841"/>
      <c r="AG334" s="1841"/>
      <c r="AH334" s="1841"/>
      <c r="AI334" s="1841"/>
      <c r="AJ334" s="1841"/>
      <c r="AK334" s="1841"/>
      <c r="AL334" s="1842"/>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row>
    <row r="335" spans="1:59" x14ac:dyDescent="0.3">
      <c r="A335" s="1938" t="s">
        <v>213</v>
      </c>
      <c r="B335" s="1938"/>
      <c r="C335" s="1938"/>
      <c r="D335" s="1938"/>
      <c r="E335" s="1938"/>
      <c r="F335" s="1938"/>
      <c r="G335" s="1840">
        <f t="shared" si="36"/>
        <v>32.85</v>
      </c>
      <c r="H335" s="1841"/>
      <c r="I335" s="1841"/>
      <c r="J335" s="1841"/>
      <c r="K335" s="1841"/>
      <c r="L335" s="1841"/>
      <c r="M335" s="1841"/>
      <c r="N335" s="1842"/>
      <c r="O335" s="1840">
        <f t="shared" si="37"/>
        <v>131.37</v>
      </c>
      <c r="P335" s="1841"/>
      <c r="Q335" s="1841"/>
      <c r="R335" s="1841"/>
      <c r="S335" s="1841"/>
      <c r="T335" s="1841"/>
      <c r="U335" s="1841"/>
      <c r="V335" s="1842"/>
      <c r="W335" s="1840">
        <f t="shared" si="38"/>
        <v>114.96</v>
      </c>
      <c r="X335" s="1841"/>
      <c r="Y335" s="1841"/>
      <c r="Z335" s="1841"/>
      <c r="AA335" s="1841"/>
      <c r="AB335" s="1841"/>
      <c r="AC335" s="1841"/>
      <c r="AD335" s="1842"/>
      <c r="AE335" s="1840">
        <f t="shared" si="39"/>
        <v>229.92</v>
      </c>
      <c r="AF335" s="1841"/>
      <c r="AG335" s="1841"/>
      <c r="AH335" s="1841"/>
      <c r="AI335" s="1841"/>
      <c r="AJ335" s="1841"/>
      <c r="AK335" s="1841"/>
      <c r="AL335" s="1842"/>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row>
    <row r="336" spans="1:59" x14ac:dyDescent="0.3">
      <c r="A336" s="1938" t="s">
        <v>214</v>
      </c>
      <c r="B336" s="1938"/>
      <c r="C336" s="1938"/>
      <c r="D336" s="1938"/>
      <c r="E336" s="1938"/>
      <c r="F336" s="1938"/>
      <c r="G336" s="1840">
        <f t="shared" si="36"/>
        <v>36</v>
      </c>
      <c r="H336" s="1841"/>
      <c r="I336" s="1841"/>
      <c r="J336" s="1841"/>
      <c r="K336" s="1841"/>
      <c r="L336" s="1841"/>
      <c r="M336" s="1841"/>
      <c r="N336" s="1842"/>
      <c r="O336" s="1840">
        <f t="shared" si="37"/>
        <v>143.97</v>
      </c>
      <c r="P336" s="1841"/>
      <c r="Q336" s="1841"/>
      <c r="R336" s="1841"/>
      <c r="S336" s="1841"/>
      <c r="T336" s="1841"/>
      <c r="U336" s="1841"/>
      <c r="V336" s="1842"/>
      <c r="W336" s="1840">
        <f t="shared" si="38"/>
        <v>126</v>
      </c>
      <c r="X336" s="1841"/>
      <c r="Y336" s="1841"/>
      <c r="Z336" s="1841"/>
      <c r="AA336" s="1841"/>
      <c r="AB336" s="1841"/>
      <c r="AC336" s="1841"/>
      <c r="AD336" s="1842"/>
      <c r="AE336" s="1840">
        <f t="shared" si="39"/>
        <v>251.97</v>
      </c>
      <c r="AF336" s="1841"/>
      <c r="AG336" s="1841"/>
      <c r="AH336" s="1841"/>
      <c r="AI336" s="1841"/>
      <c r="AJ336" s="1841"/>
      <c r="AK336" s="1841"/>
      <c r="AL336" s="1842"/>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row>
    <row r="337" spans="1:59" x14ac:dyDescent="0.3">
      <c r="A337" s="1938" t="s">
        <v>215</v>
      </c>
      <c r="B337" s="1938"/>
      <c r="C337" s="1938"/>
      <c r="D337" s="1938"/>
      <c r="E337" s="1938"/>
      <c r="F337" s="1938"/>
      <c r="G337" s="1840">
        <f t="shared" si="36"/>
        <v>41.64</v>
      </c>
      <c r="H337" s="1841"/>
      <c r="I337" s="1841"/>
      <c r="J337" s="1841"/>
      <c r="K337" s="1841"/>
      <c r="L337" s="1841"/>
      <c r="M337" s="1841"/>
      <c r="N337" s="1842"/>
      <c r="O337" s="1840">
        <f t="shared" si="37"/>
        <v>166.68</v>
      </c>
      <c r="P337" s="1841"/>
      <c r="Q337" s="1841"/>
      <c r="R337" s="1841"/>
      <c r="S337" s="1841"/>
      <c r="T337" s="1841"/>
      <c r="U337" s="1841"/>
      <c r="V337" s="1842"/>
      <c r="W337" s="1840">
        <f t="shared" si="38"/>
        <v>145.91999999999999</v>
      </c>
      <c r="X337" s="1841"/>
      <c r="Y337" s="1841"/>
      <c r="Z337" s="1841"/>
      <c r="AA337" s="1841"/>
      <c r="AB337" s="1841"/>
      <c r="AC337" s="1841"/>
      <c r="AD337" s="1842"/>
      <c r="AE337" s="1840">
        <f t="shared" si="39"/>
        <v>291.72000000000003</v>
      </c>
      <c r="AF337" s="1841"/>
      <c r="AG337" s="1841"/>
      <c r="AH337" s="1841"/>
      <c r="AI337" s="1841"/>
      <c r="AJ337" s="1841"/>
      <c r="AK337" s="1841"/>
      <c r="AL337" s="1842"/>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row>
    <row r="338" spans="1:59" x14ac:dyDescent="0.3">
      <c r="A338" s="1938" t="s">
        <v>216</v>
      </c>
      <c r="B338" s="1938"/>
      <c r="C338" s="1938"/>
      <c r="D338" s="1938"/>
      <c r="E338" s="1938"/>
      <c r="F338" s="1938"/>
      <c r="G338" s="1840">
        <f t="shared" si="36"/>
        <v>32.97</v>
      </c>
      <c r="H338" s="1841"/>
      <c r="I338" s="1841"/>
      <c r="J338" s="1841"/>
      <c r="K338" s="1841"/>
      <c r="L338" s="1841"/>
      <c r="M338" s="1841"/>
      <c r="N338" s="1842"/>
      <c r="O338" s="1840">
        <f t="shared" si="37"/>
        <v>131.81</v>
      </c>
      <c r="P338" s="1841"/>
      <c r="Q338" s="1841"/>
      <c r="R338" s="1841"/>
      <c r="S338" s="1841"/>
      <c r="T338" s="1841"/>
      <c r="U338" s="1841"/>
      <c r="V338" s="1842"/>
      <c r="W338" s="1840">
        <f t="shared" si="38"/>
        <v>115.36</v>
      </c>
      <c r="X338" s="1841"/>
      <c r="Y338" s="1841"/>
      <c r="Z338" s="1841"/>
      <c r="AA338" s="1841"/>
      <c r="AB338" s="1841"/>
      <c r="AC338" s="1841"/>
      <c r="AD338" s="1842"/>
      <c r="AE338" s="1840">
        <f t="shared" si="39"/>
        <v>230.72</v>
      </c>
      <c r="AF338" s="1841"/>
      <c r="AG338" s="1841"/>
      <c r="AH338" s="1841"/>
      <c r="AI338" s="1841"/>
      <c r="AJ338" s="1841"/>
      <c r="AK338" s="1841"/>
      <c r="AL338" s="1842"/>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row>
    <row r="339" spans="1:59" x14ac:dyDescent="0.3">
      <c r="A339" s="1938" t="s">
        <v>47</v>
      </c>
      <c r="B339" s="1938"/>
      <c r="C339" s="1938"/>
      <c r="D339" s="1938"/>
      <c r="E339" s="1938"/>
      <c r="F339" s="1938"/>
      <c r="G339" s="1840">
        <f t="shared" si="36"/>
        <v>34.880000000000003</v>
      </c>
      <c r="H339" s="1841"/>
      <c r="I339" s="1841"/>
      <c r="J339" s="1841"/>
      <c r="K339" s="1841"/>
      <c r="L339" s="1841"/>
      <c r="M339" s="1841"/>
      <c r="N339" s="1842"/>
      <c r="O339" s="1840">
        <f t="shared" si="37"/>
        <v>139.52000000000001</v>
      </c>
      <c r="P339" s="1841"/>
      <c r="Q339" s="1841"/>
      <c r="R339" s="1841"/>
      <c r="S339" s="1841"/>
      <c r="T339" s="1841"/>
      <c r="U339" s="1841"/>
      <c r="V339" s="1842"/>
      <c r="W339" s="1840">
        <f t="shared" si="38"/>
        <v>122.08</v>
      </c>
      <c r="X339" s="1841"/>
      <c r="Y339" s="1841"/>
      <c r="Z339" s="1841"/>
      <c r="AA339" s="1841"/>
      <c r="AB339" s="1841"/>
      <c r="AC339" s="1841"/>
      <c r="AD339" s="1842"/>
      <c r="AE339" s="1840">
        <f t="shared" si="39"/>
        <v>244.24</v>
      </c>
      <c r="AF339" s="1841"/>
      <c r="AG339" s="1841"/>
      <c r="AH339" s="1841"/>
      <c r="AI339" s="1841"/>
      <c r="AJ339" s="1841"/>
      <c r="AK339" s="1841"/>
      <c r="AL339" s="1842"/>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row>
    <row r="340" spans="1:59" x14ac:dyDescent="0.3">
      <c r="A340" s="1938" t="s">
        <v>217</v>
      </c>
      <c r="B340" s="1938"/>
      <c r="C340" s="1938"/>
      <c r="D340" s="1938"/>
      <c r="E340" s="1938"/>
      <c r="F340" s="1938"/>
      <c r="G340" s="1840">
        <f t="shared" si="36"/>
        <v>37.119999999999997</v>
      </c>
      <c r="H340" s="1841"/>
      <c r="I340" s="1841"/>
      <c r="J340" s="1841"/>
      <c r="K340" s="1841"/>
      <c r="L340" s="1841"/>
      <c r="M340" s="1841"/>
      <c r="N340" s="1842"/>
      <c r="O340" s="1840">
        <f t="shared" si="37"/>
        <v>148.52000000000001</v>
      </c>
      <c r="P340" s="1841"/>
      <c r="Q340" s="1841"/>
      <c r="R340" s="1841"/>
      <c r="S340" s="1841"/>
      <c r="T340" s="1841"/>
      <c r="U340" s="1841"/>
      <c r="V340" s="1842"/>
      <c r="W340" s="1840">
        <f t="shared" si="38"/>
        <v>129.96</v>
      </c>
      <c r="X340" s="1841"/>
      <c r="Y340" s="1841"/>
      <c r="Z340" s="1841"/>
      <c r="AA340" s="1841"/>
      <c r="AB340" s="1841"/>
      <c r="AC340" s="1841"/>
      <c r="AD340" s="1842"/>
      <c r="AE340" s="1840">
        <f t="shared" si="39"/>
        <v>259.92</v>
      </c>
      <c r="AF340" s="1841"/>
      <c r="AG340" s="1841"/>
      <c r="AH340" s="1841"/>
      <c r="AI340" s="1841"/>
      <c r="AJ340" s="1841"/>
      <c r="AK340" s="1841"/>
      <c r="AL340" s="1842"/>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row>
    <row r="341" spans="1:59" x14ac:dyDescent="0.3">
      <c r="A341" s="1938" t="s">
        <v>218</v>
      </c>
      <c r="B341" s="1938"/>
      <c r="C341" s="1938"/>
      <c r="D341" s="1938"/>
      <c r="E341" s="1938"/>
      <c r="F341" s="1938"/>
      <c r="G341" s="1840">
        <f t="shared" si="36"/>
        <v>31.68</v>
      </c>
      <c r="H341" s="1841"/>
      <c r="I341" s="1841"/>
      <c r="J341" s="1841"/>
      <c r="K341" s="1841"/>
      <c r="L341" s="1841"/>
      <c r="M341" s="1841"/>
      <c r="N341" s="1842"/>
      <c r="O341" s="1840">
        <f t="shared" si="37"/>
        <v>126.72</v>
      </c>
      <c r="P341" s="1841"/>
      <c r="Q341" s="1841"/>
      <c r="R341" s="1841"/>
      <c r="S341" s="1841"/>
      <c r="T341" s="1841"/>
      <c r="U341" s="1841"/>
      <c r="V341" s="1842"/>
      <c r="W341" s="1840">
        <f t="shared" si="38"/>
        <v>110.88</v>
      </c>
      <c r="X341" s="1841"/>
      <c r="Y341" s="1841"/>
      <c r="Z341" s="1841"/>
      <c r="AA341" s="1841"/>
      <c r="AB341" s="1841"/>
      <c r="AC341" s="1841"/>
      <c r="AD341" s="1842"/>
      <c r="AE341" s="1840">
        <f t="shared" si="39"/>
        <v>221.76</v>
      </c>
      <c r="AF341" s="1841"/>
      <c r="AG341" s="1841"/>
      <c r="AH341" s="1841"/>
      <c r="AI341" s="1841"/>
      <c r="AJ341" s="1841"/>
      <c r="AK341" s="1841"/>
      <c r="AL341" s="1842"/>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row>
    <row r="342" spans="1:59" x14ac:dyDescent="0.3">
      <c r="A342" s="1938" t="s">
        <v>219</v>
      </c>
      <c r="B342" s="1938"/>
      <c r="C342" s="1938"/>
      <c r="D342" s="1938"/>
      <c r="E342" s="1938"/>
      <c r="F342" s="1938"/>
      <c r="G342" s="1840">
        <f t="shared" si="36"/>
        <v>30.15</v>
      </c>
      <c r="H342" s="1841"/>
      <c r="I342" s="1841"/>
      <c r="J342" s="1841"/>
      <c r="K342" s="1841"/>
      <c r="L342" s="1841"/>
      <c r="M342" s="1841"/>
      <c r="N342" s="1842"/>
      <c r="O342" s="1840">
        <f t="shared" si="37"/>
        <v>120.42</v>
      </c>
      <c r="P342" s="1841"/>
      <c r="Q342" s="1841"/>
      <c r="R342" s="1841"/>
      <c r="S342" s="1841"/>
      <c r="T342" s="1841"/>
      <c r="U342" s="1841"/>
      <c r="V342" s="1842"/>
      <c r="W342" s="1840">
        <f t="shared" si="38"/>
        <v>105.39</v>
      </c>
      <c r="X342" s="1841"/>
      <c r="Y342" s="1841"/>
      <c r="Z342" s="1841"/>
      <c r="AA342" s="1841"/>
      <c r="AB342" s="1841"/>
      <c r="AC342" s="1841"/>
      <c r="AD342" s="1842"/>
      <c r="AE342" s="1840">
        <f t="shared" si="39"/>
        <v>210.78</v>
      </c>
      <c r="AF342" s="1841"/>
      <c r="AG342" s="1841"/>
      <c r="AH342" s="1841"/>
      <c r="AI342" s="1841"/>
      <c r="AJ342" s="1841"/>
      <c r="AK342" s="1841"/>
      <c r="AL342" s="1842"/>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row>
    <row r="343" spans="1:59" x14ac:dyDescent="0.3">
      <c r="A343" s="147"/>
      <c r="B343" s="147"/>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row>
    <row r="344" spans="1:59" x14ac:dyDescent="0.3">
      <c r="A344" s="147"/>
      <c r="B344" s="231" t="s">
        <v>1735</v>
      </c>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row>
    <row r="346" spans="1:59" x14ac:dyDescent="0.3">
      <c r="A346" s="10" t="s">
        <v>1738</v>
      </c>
      <c r="B346" s="10"/>
      <c r="C346" s="10"/>
      <c r="D346" s="10"/>
      <c r="E346" s="10"/>
      <c r="F346" s="10"/>
      <c r="G346" s="10"/>
      <c r="H346" s="10"/>
      <c r="I346" s="10"/>
      <c r="J346" s="10"/>
      <c r="K346" s="10"/>
      <c r="L346" s="10"/>
      <c r="M346" s="10"/>
      <c r="N346" s="10"/>
      <c r="S346" s="139"/>
      <c r="T346" s="139"/>
      <c r="U346" s="139"/>
      <c r="V346" s="139"/>
      <c r="W346" s="139"/>
      <c r="X346" s="139"/>
      <c r="Y346" s="139"/>
      <c r="Z346" s="139"/>
      <c r="AA346" s="1"/>
      <c r="AB346" s="1"/>
      <c r="AC346" s="1"/>
      <c r="AD346" s="1"/>
    </row>
    <row r="347" spans="1:59" x14ac:dyDescent="0.3">
      <c r="B347" s="152"/>
      <c r="C347" s="152"/>
      <c r="D347" s="152"/>
      <c r="E347" s="152"/>
      <c r="F347" s="152"/>
      <c r="G347" s="1961" t="s">
        <v>2777</v>
      </c>
      <c r="H347" s="1962"/>
      <c r="I347" s="1962"/>
      <c r="J347" s="1962"/>
      <c r="K347" s="1962"/>
      <c r="L347" s="1962"/>
      <c r="M347" s="1962"/>
      <c r="N347" s="1962"/>
      <c r="O347" s="1962"/>
      <c r="P347" s="1962"/>
      <c r="Q347" s="1962"/>
      <c r="R347" s="1963"/>
      <c r="S347" s="2082" t="s">
        <v>2778</v>
      </c>
      <c r="T347" s="2083"/>
      <c r="U347" s="2083"/>
      <c r="V347" s="2083"/>
      <c r="W347" s="2083"/>
      <c r="X347" s="2083"/>
      <c r="Y347" s="2083"/>
      <c r="Z347" s="2083"/>
      <c r="AA347" s="2083"/>
      <c r="AB347" s="2083"/>
      <c r="AC347" s="2083"/>
      <c r="AD347" s="2084"/>
    </row>
    <row r="348" spans="1:59" x14ac:dyDescent="0.3">
      <c r="A348" s="1967" t="s">
        <v>46</v>
      </c>
      <c r="B348" s="1968"/>
      <c r="C348" s="1968"/>
      <c r="D348" s="1968"/>
      <c r="E348" s="1968"/>
      <c r="F348" s="1969"/>
      <c r="G348" s="2069" t="s">
        <v>256</v>
      </c>
      <c r="H348" s="2070"/>
      <c r="I348" s="2070"/>
      <c r="J348" s="2071"/>
      <c r="K348" s="2072" t="s">
        <v>257</v>
      </c>
      <c r="L348" s="2073"/>
      <c r="M348" s="2073"/>
      <c r="N348" s="2074"/>
      <c r="O348" s="2069" t="s">
        <v>258</v>
      </c>
      <c r="P348" s="2070"/>
      <c r="Q348" s="2070"/>
      <c r="R348" s="2071"/>
      <c r="S348" s="2069" t="s">
        <v>256</v>
      </c>
      <c r="T348" s="2070"/>
      <c r="U348" s="2070"/>
      <c r="V348" s="2071"/>
      <c r="W348" s="2072" t="s">
        <v>257</v>
      </c>
      <c r="X348" s="2073"/>
      <c r="Y348" s="2073"/>
      <c r="Z348" s="2074"/>
      <c r="AA348" s="2069" t="s">
        <v>258</v>
      </c>
      <c r="AB348" s="2070"/>
      <c r="AC348" s="2070"/>
      <c r="AD348" s="2071"/>
    </row>
    <row r="349" spans="1:59" x14ac:dyDescent="0.3">
      <c r="A349" s="2066" t="s">
        <v>1796</v>
      </c>
      <c r="B349" s="2067"/>
      <c r="C349" s="2067"/>
      <c r="D349" s="2067"/>
      <c r="E349" s="2067"/>
      <c r="F349" s="2068"/>
      <c r="G349" s="1833">
        <f t="shared" ref="G349:G359" si="40">ROUND(($U$108-$K$140)*$Q$73*VLOOKUP($A349,$N$123:$AG$133,17,TRUE)*VLOOKUP($A349,$N$146:$AG$156,13,TRUE)*$Q$78,3)</f>
        <v>1.0999999999999999E-2</v>
      </c>
      <c r="H349" s="1834"/>
      <c r="I349" s="1834"/>
      <c r="J349" s="1835"/>
      <c r="K349" s="1833">
        <f t="shared" ref="K349:K359" si="41">ROUND(($U$109-$K$141)*$Q$73*VLOOKUP($A349,$N$123:$AG$133,17,TRUE)*VLOOKUP($A349,$N$146:$AG$156,13,TRUE)*$Q$78,3)</f>
        <v>1.4E-2</v>
      </c>
      <c r="L349" s="1834"/>
      <c r="M349" s="1834"/>
      <c r="N349" s="1835"/>
      <c r="O349" s="1833">
        <f t="shared" ref="O349:O359" si="42">ROUND(($U$110-$K$142)*$Q$73*VLOOKUP($A349,$N$123:$AG$133,17,TRUE)*VLOOKUP($A349,$N$146:$AG$156,13,TRUE)*$Q$78,3)</f>
        <v>2.9000000000000001E-2</v>
      </c>
      <c r="P349" s="1834"/>
      <c r="Q349" s="1834"/>
      <c r="R349" s="1835"/>
      <c r="S349" s="2063">
        <f t="shared" ref="S349:S359" si="43">ROUND(($U$108-$K$140)*$Q$73*VLOOKUP($A349,$A$167:$Q$177,15,TRUE)*VLOOKUP($A349,$N$146:$AG$156,17,TRUE)*$Q$78,2)</f>
        <v>57.82</v>
      </c>
      <c r="T349" s="2064"/>
      <c r="U349" s="2064"/>
      <c r="V349" s="2065"/>
      <c r="W349" s="2063">
        <f t="shared" ref="W349:W359" si="44">ROUND(($U$109-$K$141)*$Q$73*VLOOKUP($A349,$A$167:$Q$177,15,TRUE)*VLOOKUP($A349,$N$146:$AG$156,17,TRUE)*$Q$78,2)</f>
        <v>73.040000000000006</v>
      </c>
      <c r="X349" s="2064"/>
      <c r="Y349" s="2064"/>
      <c r="Z349" s="2065"/>
      <c r="AA349" s="2063">
        <f t="shared" ref="AA349:AA359" si="45">ROUND(($U$110-$K$142)*$Q$73*VLOOKUP($A349,$A$167:$Q$177,15,TRUE)*VLOOKUP($A349,$N$146:$AG$156,17,TRUE)*$Q$78,2)</f>
        <v>150.43</v>
      </c>
      <c r="AB349" s="2064"/>
      <c r="AC349" s="2064"/>
      <c r="AD349" s="2065"/>
    </row>
    <row r="350" spans="1:59" x14ac:dyDescent="0.3">
      <c r="A350" s="2066" t="s">
        <v>211</v>
      </c>
      <c r="B350" s="2067"/>
      <c r="C350" s="2067"/>
      <c r="D350" s="2067"/>
      <c r="E350" s="2067"/>
      <c r="F350" s="2068"/>
      <c r="G350" s="1833">
        <f t="shared" si="40"/>
        <v>7.0000000000000001E-3</v>
      </c>
      <c r="H350" s="1834"/>
      <c r="I350" s="1834"/>
      <c r="J350" s="1835"/>
      <c r="K350" s="1833">
        <f t="shared" si="41"/>
        <v>8.0000000000000002E-3</v>
      </c>
      <c r="L350" s="1834"/>
      <c r="M350" s="1834"/>
      <c r="N350" s="1835"/>
      <c r="O350" s="1833">
        <f t="shared" si="42"/>
        <v>1.7000000000000001E-2</v>
      </c>
      <c r="P350" s="1834"/>
      <c r="Q350" s="1834"/>
      <c r="R350" s="1835"/>
      <c r="S350" s="2063">
        <f t="shared" si="43"/>
        <v>198.48</v>
      </c>
      <c r="T350" s="2064"/>
      <c r="U350" s="2064"/>
      <c r="V350" s="2065"/>
      <c r="W350" s="2063">
        <f t="shared" si="44"/>
        <v>250.71</v>
      </c>
      <c r="X350" s="2064"/>
      <c r="Y350" s="2064"/>
      <c r="Z350" s="2065"/>
      <c r="AA350" s="2063">
        <f t="shared" si="45"/>
        <v>516.35</v>
      </c>
      <c r="AB350" s="2064"/>
      <c r="AC350" s="2064"/>
      <c r="AD350" s="2065"/>
    </row>
    <row r="351" spans="1:59" x14ac:dyDescent="0.3">
      <c r="A351" s="2066" t="s">
        <v>212</v>
      </c>
      <c r="B351" s="2067"/>
      <c r="C351" s="2067"/>
      <c r="D351" s="2067"/>
      <c r="E351" s="2067"/>
      <c r="F351" s="2068"/>
      <c r="G351" s="1833">
        <f t="shared" si="40"/>
        <v>1.0999999999999999E-2</v>
      </c>
      <c r="H351" s="1834"/>
      <c r="I351" s="1834"/>
      <c r="J351" s="1835"/>
      <c r="K351" s="1833">
        <f t="shared" si="41"/>
        <v>1.4E-2</v>
      </c>
      <c r="L351" s="1834"/>
      <c r="M351" s="1834"/>
      <c r="N351" s="1835"/>
      <c r="O351" s="1833">
        <f t="shared" si="42"/>
        <v>2.8000000000000001E-2</v>
      </c>
      <c r="P351" s="1834"/>
      <c r="Q351" s="1834"/>
      <c r="R351" s="1835"/>
      <c r="S351" s="2063">
        <f t="shared" si="43"/>
        <v>55.46</v>
      </c>
      <c r="T351" s="2064"/>
      <c r="U351" s="2064"/>
      <c r="V351" s="2065"/>
      <c r="W351" s="2063">
        <f t="shared" si="44"/>
        <v>70.05</v>
      </c>
      <c r="X351" s="2064"/>
      <c r="Y351" s="2064"/>
      <c r="Z351" s="2065"/>
      <c r="AA351" s="2063">
        <f t="shared" si="45"/>
        <v>144.28</v>
      </c>
      <c r="AB351" s="2064"/>
      <c r="AC351" s="2064"/>
      <c r="AD351" s="2065"/>
    </row>
    <row r="352" spans="1:59" x14ac:dyDescent="0.3">
      <c r="A352" s="2066" t="s">
        <v>213</v>
      </c>
      <c r="B352" s="2067"/>
      <c r="C352" s="2067"/>
      <c r="D352" s="2067"/>
      <c r="E352" s="2067"/>
      <c r="F352" s="2068"/>
      <c r="G352" s="1833">
        <f t="shared" si="40"/>
        <v>1.9E-2</v>
      </c>
      <c r="H352" s="1834"/>
      <c r="I352" s="1834"/>
      <c r="J352" s="1835"/>
      <c r="K352" s="1833">
        <f t="shared" si="41"/>
        <v>2.4E-2</v>
      </c>
      <c r="L352" s="1834"/>
      <c r="M352" s="1834"/>
      <c r="N352" s="1835"/>
      <c r="O352" s="1833">
        <f t="shared" si="42"/>
        <v>0.05</v>
      </c>
      <c r="P352" s="1834"/>
      <c r="Q352" s="1834"/>
      <c r="R352" s="1835"/>
      <c r="S352" s="2063">
        <f t="shared" si="43"/>
        <v>141.75</v>
      </c>
      <c r="T352" s="2064"/>
      <c r="U352" s="2064"/>
      <c r="V352" s="2065"/>
      <c r="W352" s="2063">
        <f t="shared" si="44"/>
        <v>179.06</v>
      </c>
      <c r="X352" s="2064"/>
      <c r="Y352" s="2064"/>
      <c r="Z352" s="2065"/>
      <c r="AA352" s="2063">
        <f t="shared" si="45"/>
        <v>368.77</v>
      </c>
      <c r="AB352" s="2064"/>
      <c r="AC352" s="2064"/>
      <c r="AD352" s="2065"/>
    </row>
    <row r="353" spans="1:30" x14ac:dyDescent="0.3">
      <c r="A353" s="2066" t="s">
        <v>214</v>
      </c>
      <c r="B353" s="2067"/>
      <c r="C353" s="2067"/>
      <c r="D353" s="2067"/>
      <c r="E353" s="2067"/>
      <c r="F353" s="2068"/>
      <c r="G353" s="1833">
        <f t="shared" si="40"/>
        <v>0.02</v>
      </c>
      <c r="H353" s="1834"/>
      <c r="I353" s="1834"/>
      <c r="J353" s="1835"/>
      <c r="K353" s="1833">
        <f t="shared" si="41"/>
        <v>2.5999999999999999E-2</v>
      </c>
      <c r="L353" s="1834"/>
      <c r="M353" s="1834"/>
      <c r="N353" s="1835"/>
      <c r="O353" s="1833">
        <f t="shared" si="42"/>
        <v>5.2999999999999999E-2</v>
      </c>
      <c r="P353" s="1834"/>
      <c r="Q353" s="1834"/>
      <c r="R353" s="1835"/>
      <c r="S353" s="2063">
        <f t="shared" si="43"/>
        <v>152.88999999999999</v>
      </c>
      <c r="T353" s="2064"/>
      <c r="U353" s="2064"/>
      <c r="V353" s="2065"/>
      <c r="W353" s="2063">
        <f t="shared" si="44"/>
        <v>193.12</v>
      </c>
      <c r="X353" s="2064"/>
      <c r="Y353" s="2064"/>
      <c r="Z353" s="2065"/>
      <c r="AA353" s="2063">
        <f t="shared" si="45"/>
        <v>397.74</v>
      </c>
      <c r="AB353" s="2064"/>
      <c r="AC353" s="2064"/>
      <c r="AD353" s="2065"/>
    </row>
    <row r="354" spans="1:30" x14ac:dyDescent="0.3">
      <c r="A354" s="1938" t="s">
        <v>215</v>
      </c>
      <c r="B354" s="1938"/>
      <c r="C354" s="1938"/>
      <c r="D354" s="1938"/>
      <c r="E354" s="1938"/>
      <c r="F354" s="1938"/>
      <c r="G354" s="1833">
        <f t="shared" si="40"/>
        <v>8.0000000000000002E-3</v>
      </c>
      <c r="H354" s="1834"/>
      <c r="I354" s="1834"/>
      <c r="J354" s="1835"/>
      <c r="K354" s="1833">
        <f t="shared" si="41"/>
        <v>0.01</v>
      </c>
      <c r="L354" s="1834"/>
      <c r="M354" s="1834"/>
      <c r="N354" s="1835"/>
      <c r="O354" s="1833">
        <f t="shared" si="42"/>
        <v>0.02</v>
      </c>
      <c r="P354" s="1834"/>
      <c r="Q354" s="1834"/>
      <c r="R354" s="1835"/>
      <c r="S354" s="2063">
        <f t="shared" si="43"/>
        <v>40.06</v>
      </c>
      <c r="T354" s="2064"/>
      <c r="U354" s="2064"/>
      <c r="V354" s="2065"/>
      <c r="W354" s="2063">
        <f t="shared" si="44"/>
        <v>50.6</v>
      </c>
      <c r="X354" s="2064"/>
      <c r="Y354" s="2064"/>
      <c r="Z354" s="2065"/>
      <c r="AA354" s="2063">
        <f t="shared" si="45"/>
        <v>104.22</v>
      </c>
      <c r="AB354" s="2064"/>
      <c r="AC354" s="2064"/>
      <c r="AD354" s="2065"/>
    </row>
    <row r="355" spans="1:30" x14ac:dyDescent="0.3">
      <c r="A355" s="1938" t="s">
        <v>216</v>
      </c>
      <c r="B355" s="1938"/>
      <c r="C355" s="1938"/>
      <c r="D355" s="1938"/>
      <c r="E355" s="1938"/>
      <c r="F355" s="1938"/>
      <c r="G355" s="1833">
        <f t="shared" si="40"/>
        <v>1.7999999999999999E-2</v>
      </c>
      <c r="H355" s="1834"/>
      <c r="I355" s="1834"/>
      <c r="J355" s="1835"/>
      <c r="K355" s="1833">
        <f t="shared" si="41"/>
        <v>2.3E-2</v>
      </c>
      <c r="L355" s="1834"/>
      <c r="M355" s="1834"/>
      <c r="N355" s="1835"/>
      <c r="O355" s="1833">
        <f t="shared" si="42"/>
        <v>4.8000000000000001E-2</v>
      </c>
      <c r="P355" s="1834"/>
      <c r="Q355" s="1834"/>
      <c r="R355" s="1835"/>
      <c r="S355" s="2063">
        <f t="shared" si="43"/>
        <v>67.900000000000006</v>
      </c>
      <c r="T355" s="2064"/>
      <c r="U355" s="2064"/>
      <c r="V355" s="2065"/>
      <c r="W355" s="2063">
        <f t="shared" si="44"/>
        <v>85.77</v>
      </c>
      <c r="X355" s="2064"/>
      <c r="Y355" s="2064"/>
      <c r="Z355" s="2065"/>
      <c r="AA355" s="2063">
        <f t="shared" si="45"/>
        <v>176.64</v>
      </c>
      <c r="AB355" s="2064"/>
      <c r="AC355" s="2064"/>
      <c r="AD355" s="2065"/>
    </row>
    <row r="356" spans="1:30" x14ac:dyDescent="0.3">
      <c r="A356" s="1938" t="s">
        <v>47</v>
      </c>
      <c r="B356" s="1938"/>
      <c r="C356" s="1938"/>
      <c r="D356" s="1938"/>
      <c r="E356" s="1938"/>
      <c r="F356" s="1938"/>
      <c r="G356" s="1833">
        <f t="shared" si="40"/>
        <v>7.0000000000000001E-3</v>
      </c>
      <c r="H356" s="1834"/>
      <c r="I356" s="1834"/>
      <c r="J356" s="1835"/>
      <c r="K356" s="1833">
        <f t="shared" si="41"/>
        <v>8.9999999999999993E-3</v>
      </c>
      <c r="L356" s="1834"/>
      <c r="M356" s="1834"/>
      <c r="N356" s="1835"/>
      <c r="O356" s="1833">
        <f t="shared" si="42"/>
        <v>1.7999999999999999E-2</v>
      </c>
      <c r="P356" s="1834"/>
      <c r="Q356" s="1834"/>
      <c r="R356" s="1835"/>
      <c r="S356" s="2063">
        <f t="shared" si="43"/>
        <v>65.03</v>
      </c>
      <c r="T356" s="2064"/>
      <c r="U356" s="2064"/>
      <c r="V356" s="2065"/>
      <c r="W356" s="2063">
        <f t="shared" si="44"/>
        <v>82.15</v>
      </c>
      <c r="X356" s="2064"/>
      <c r="Y356" s="2064"/>
      <c r="Z356" s="2065"/>
      <c r="AA356" s="2063">
        <f t="shared" si="45"/>
        <v>169.19</v>
      </c>
      <c r="AB356" s="2064"/>
      <c r="AC356" s="2064"/>
      <c r="AD356" s="2065"/>
    </row>
    <row r="357" spans="1:30" x14ac:dyDescent="0.3">
      <c r="A357" s="1938" t="s">
        <v>217</v>
      </c>
      <c r="B357" s="1938"/>
      <c r="C357" s="1938"/>
      <c r="D357" s="1938"/>
      <c r="E357" s="1938"/>
      <c r="F357" s="1938"/>
      <c r="G357" s="1833">
        <f t="shared" si="40"/>
        <v>1.6E-2</v>
      </c>
      <c r="H357" s="1834"/>
      <c r="I357" s="1834"/>
      <c r="J357" s="1835"/>
      <c r="K357" s="1833">
        <f t="shared" si="41"/>
        <v>0.02</v>
      </c>
      <c r="L357" s="1834"/>
      <c r="M357" s="1834"/>
      <c r="N357" s="1835"/>
      <c r="O357" s="1833">
        <f t="shared" si="42"/>
        <v>4.1000000000000002E-2</v>
      </c>
      <c r="P357" s="1834"/>
      <c r="Q357" s="1834"/>
      <c r="R357" s="1835"/>
      <c r="S357" s="2063">
        <f t="shared" si="43"/>
        <v>116.78</v>
      </c>
      <c r="T357" s="2064"/>
      <c r="U357" s="2064"/>
      <c r="V357" s="2065"/>
      <c r="W357" s="2063">
        <f t="shared" si="44"/>
        <v>147.52000000000001</v>
      </c>
      <c r="X357" s="2064"/>
      <c r="Y357" s="2064"/>
      <c r="Z357" s="2065"/>
      <c r="AA357" s="2063">
        <f t="shared" si="45"/>
        <v>303.82</v>
      </c>
      <c r="AB357" s="2064"/>
      <c r="AC357" s="2064"/>
      <c r="AD357" s="2065"/>
    </row>
    <row r="358" spans="1:30" x14ac:dyDescent="0.3">
      <c r="A358" s="1938" t="s">
        <v>218</v>
      </c>
      <c r="B358" s="1938"/>
      <c r="C358" s="1938"/>
      <c r="D358" s="1938"/>
      <c r="E358" s="1938"/>
      <c r="F358" s="1938"/>
      <c r="G358" s="1833">
        <f t="shared" si="40"/>
        <v>1.7999999999999999E-2</v>
      </c>
      <c r="H358" s="1834"/>
      <c r="I358" s="1834"/>
      <c r="J358" s="1835"/>
      <c r="K358" s="1833">
        <f t="shared" si="41"/>
        <v>2.1999999999999999E-2</v>
      </c>
      <c r="L358" s="1834"/>
      <c r="M358" s="1834"/>
      <c r="N358" s="1835"/>
      <c r="O358" s="1833">
        <f t="shared" si="42"/>
        <v>4.5999999999999999E-2</v>
      </c>
      <c r="P358" s="1834"/>
      <c r="Q358" s="1834"/>
      <c r="R358" s="1835"/>
      <c r="S358" s="2063">
        <f t="shared" si="43"/>
        <v>110.62</v>
      </c>
      <c r="T358" s="2064"/>
      <c r="U358" s="2064"/>
      <c r="V358" s="2065"/>
      <c r="W358" s="2063">
        <f t="shared" si="44"/>
        <v>139.72999999999999</v>
      </c>
      <c r="X358" s="2064"/>
      <c r="Y358" s="2064"/>
      <c r="Z358" s="2065"/>
      <c r="AA358" s="2063">
        <f t="shared" si="45"/>
        <v>287.77999999999997</v>
      </c>
      <c r="AB358" s="2064"/>
      <c r="AC358" s="2064"/>
      <c r="AD358" s="2065"/>
    </row>
    <row r="359" spans="1:30" x14ac:dyDescent="0.3">
      <c r="A359" s="1938" t="s">
        <v>219</v>
      </c>
      <c r="B359" s="1938"/>
      <c r="C359" s="1938"/>
      <c r="D359" s="1938"/>
      <c r="E359" s="1938"/>
      <c r="F359" s="1938"/>
      <c r="G359" s="1833">
        <f t="shared" si="40"/>
        <v>2E-3</v>
      </c>
      <c r="H359" s="1834"/>
      <c r="I359" s="1834"/>
      <c r="J359" s="1835"/>
      <c r="K359" s="1833">
        <f t="shared" si="41"/>
        <v>3.0000000000000001E-3</v>
      </c>
      <c r="L359" s="1834"/>
      <c r="M359" s="1834"/>
      <c r="N359" s="1835"/>
      <c r="O359" s="1833">
        <f t="shared" si="42"/>
        <v>6.0000000000000001E-3</v>
      </c>
      <c r="P359" s="1834"/>
      <c r="Q359" s="1834"/>
      <c r="R359" s="1835"/>
      <c r="S359" s="2063">
        <f t="shared" si="43"/>
        <v>51.87</v>
      </c>
      <c r="T359" s="2064"/>
      <c r="U359" s="2064"/>
      <c r="V359" s="2065"/>
      <c r="W359" s="2063">
        <f t="shared" si="44"/>
        <v>65.52</v>
      </c>
      <c r="X359" s="2064"/>
      <c r="Y359" s="2064"/>
      <c r="Z359" s="2065"/>
      <c r="AA359" s="2063">
        <f t="shared" si="45"/>
        <v>134.93</v>
      </c>
      <c r="AB359" s="2064"/>
      <c r="AC359" s="2064"/>
      <c r="AD359" s="2065"/>
    </row>
    <row r="360" spans="1:30" x14ac:dyDescent="0.3">
      <c r="A360" s="135"/>
      <c r="G360" s="137"/>
      <c r="K360" s="137"/>
      <c r="O360" s="137"/>
    </row>
    <row r="361" spans="1:30" x14ac:dyDescent="0.3">
      <c r="A361" s="147"/>
      <c r="B361" s="231" t="s">
        <v>1739</v>
      </c>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row>
    <row r="363" spans="1:30" x14ac:dyDescent="0.3">
      <c r="A363" s="10" t="s">
        <v>1740</v>
      </c>
      <c r="B363" s="10"/>
      <c r="C363" s="10"/>
      <c r="D363" s="10"/>
      <c r="E363" s="10"/>
      <c r="F363" s="10"/>
      <c r="G363" s="10"/>
      <c r="H363" s="10"/>
      <c r="I363" s="10"/>
      <c r="J363" s="10"/>
      <c r="K363" s="10"/>
      <c r="L363" s="10"/>
      <c r="M363" s="10"/>
      <c r="N363" s="10"/>
      <c r="S363" s="139"/>
      <c r="T363" s="139"/>
      <c r="U363" s="139"/>
      <c r="V363" s="139"/>
      <c r="W363" s="139"/>
      <c r="X363" s="139"/>
      <c r="Y363" s="139"/>
      <c r="Z363" s="139"/>
      <c r="AA363" s="1"/>
      <c r="AB363" s="1"/>
      <c r="AC363" s="1"/>
      <c r="AD363" s="1"/>
    </row>
    <row r="364" spans="1:30" x14ac:dyDescent="0.3">
      <c r="B364" s="152"/>
      <c r="C364" s="152"/>
      <c r="D364" s="152"/>
      <c r="E364" s="152"/>
      <c r="F364" s="152"/>
      <c r="G364" s="2123" t="s">
        <v>1745</v>
      </c>
      <c r="H364" s="2124"/>
      <c r="I364" s="2124"/>
      <c r="J364" s="2124"/>
      <c r="K364" s="2124"/>
      <c r="L364" s="2124"/>
      <c r="M364" s="2124"/>
      <c r="N364" s="2124"/>
      <c r="O364" s="2124"/>
      <c r="P364" s="2124"/>
      <c r="Q364" s="2124"/>
      <c r="R364" s="2125"/>
    </row>
    <row r="365" spans="1:30" x14ac:dyDescent="0.3">
      <c r="A365" s="1967" t="s">
        <v>46</v>
      </c>
      <c r="B365" s="1968"/>
      <c r="C365" s="1968"/>
      <c r="D365" s="1968"/>
      <c r="E365" s="1968"/>
      <c r="F365" s="1969"/>
      <c r="G365" s="2115" t="s">
        <v>256</v>
      </c>
      <c r="H365" s="2116"/>
      <c r="I365" s="2116"/>
      <c r="J365" s="2117"/>
      <c r="K365" s="2118" t="s">
        <v>257</v>
      </c>
      <c r="L365" s="2119"/>
      <c r="M365" s="2119"/>
      <c r="N365" s="2120"/>
      <c r="O365" s="2115" t="s">
        <v>258</v>
      </c>
      <c r="P365" s="2116"/>
      <c r="Q365" s="2116"/>
      <c r="R365" s="2117"/>
    </row>
    <row r="366" spans="1:30" x14ac:dyDescent="0.3">
      <c r="A366" s="2066" t="s">
        <v>1796</v>
      </c>
      <c r="B366" s="2067"/>
      <c r="C366" s="2067"/>
      <c r="D366" s="2067"/>
      <c r="E366" s="2067"/>
      <c r="F366" s="2068"/>
      <c r="G366" s="1840">
        <f>ROUND(S349*VLOOKUP($A366,$A$199:$Q$209,15,TRUE),2)</f>
        <v>1445.5</v>
      </c>
      <c r="H366" s="1841"/>
      <c r="I366" s="1841"/>
      <c r="J366" s="1842"/>
      <c r="K366" s="1840">
        <f>ROUND(W349*VLOOKUP($A366,$A$199:$Q$209,15,TRUE),2)</f>
        <v>1826</v>
      </c>
      <c r="L366" s="1841"/>
      <c r="M366" s="1841"/>
      <c r="N366" s="1842"/>
      <c r="O366" s="1840">
        <f>ROUND(AA349*VLOOKUP($A366,$A$199:$Q$209,15,TRUE),2)</f>
        <v>3760.75</v>
      </c>
      <c r="P366" s="1841"/>
      <c r="Q366" s="1841"/>
      <c r="R366" s="1842"/>
    </row>
    <row r="367" spans="1:30" x14ac:dyDescent="0.3">
      <c r="A367" s="2066" t="s">
        <v>211</v>
      </c>
      <c r="B367" s="2067"/>
      <c r="C367" s="2067"/>
      <c r="D367" s="2067"/>
      <c r="E367" s="2067"/>
      <c r="F367" s="2068"/>
      <c r="G367" s="1840">
        <f t="shared" ref="G367:G376" si="46">ROUND(S350*VLOOKUP($A367,$A$199:$Q$209,15,TRUE),2)</f>
        <v>2183.2800000000002</v>
      </c>
      <c r="H367" s="1841"/>
      <c r="I367" s="1841"/>
      <c r="J367" s="1842"/>
      <c r="K367" s="1840">
        <f t="shared" ref="K367:K376" si="47">ROUND(W350*VLOOKUP($A367,$A$199:$Q$209,15,TRUE),2)</f>
        <v>2757.81</v>
      </c>
      <c r="L367" s="1841"/>
      <c r="M367" s="1841"/>
      <c r="N367" s="1842"/>
      <c r="O367" s="1840">
        <f t="shared" ref="O367:O376" si="48">ROUND(AA350*VLOOKUP($A367,$A$199:$Q$209,15,TRUE),2)</f>
        <v>5679.85</v>
      </c>
      <c r="P367" s="1841"/>
      <c r="Q367" s="1841"/>
      <c r="R367" s="1842"/>
    </row>
    <row r="368" spans="1:30" x14ac:dyDescent="0.3">
      <c r="A368" s="2066" t="s">
        <v>212</v>
      </c>
      <c r="B368" s="2067"/>
      <c r="C368" s="2067"/>
      <c r="D368" s="2067"/>
      <c r="E368" s="2067"/>
      <c r="F368" s="2068"/>
      <c r="G368" s="1840">
        <f t="shared" si="46"/>
        <v>1386.5</v>
      </c>
      <c r="H368" s="1841"/>
      <c r="I368" s="1841"/>
      <c r="J368" s="1842"/>
      <c r="K368" s="1840">
        <f t="shared" si="47"/>
        <v>1751.25</v>
      </c>
      <c r="L368" s="1841"/>
      <c r="M368" s="1841"/>
      <c r="N368" s="1842"/>
      <c r="O368" s="1840">
        <f t="shared" si="48"/>
        <v>3607</v>
      </c>
      <c r="P368" s="1841"/>
      <c r="Q368" s="1841"/>
      <c r="R368" s="1842"/>
    </row>
    <row r="369" spans="1:54" x14ac:dyDescent="0.3">
      <c r="A369" s="2066" t="s">
        <v>213</v>
      </c>
      <c r="B369" s="2067"/>
      <c r="C369" s="2067"/>
      <c r="D369" s="2067"/>
      <c r="E369" s="2067"/>
      <c r="F369" s="2068"/>
      <c r="G369" s="1840">
        <f t="shared" si="46"/>
        <v>1417.5</v>
      </c>
      <c r="H369" s="1841"/>
      <c r="I369" s="1841"/>
      <c r="J369" s="1842"/>
      <c r="K369" s="1840">
        <f t="shared" si="47"/>
        <v>1790.6</v>
      </c>
      <c r="L369" s="1841"/>
      <c r="M369" s="1841"/>
      <c r="N369" s="1842"/>
      <c r="O369" s="1840">
        <f t="shared" si="48"/>
        <v>3687.7</v>
      </c>
      <c r="P369" s="1841"/>
      <c r="Q369" s="1841"/>
      <c r="R369" s="1842"/>
    </row>
    <row r="370" spans="1:54" x14ac:dyDescent="0.3">
      <c r="A370" s="2066" t="s">
        <v>214</v>
      </c>
      <c r="B370" s="2067"/>
      <c r="C370" s="2067"/>
      <c r="D370" s="2067"/>
      <c r="E370" s="2067"/>
      <c r="F370" s="2068"/>
      <c r="G370" s="1840">
        <f t="shared" si="46"/>
        <v>1528.9</v>
      </c>
      <c r="H370" s="1841"/>
      <c r="I370" s="1841"/>
      <c r="J370" s="1842"/>
      <c r="K370" s="1840">
        <f t="shared" si="47"/>
        <v>1931.2</v>
      </c>
      <c r="L370" s="1841"/>
      <c r="M370" s="1841"/>
      <c r="N370" s="1842"/>
      <c r="O370" s="1840">
        <f t="shared" si="48"/>
        <v>3977.4</v>
      </c>
      <c r="P370" s="1841"/>
      <c r="Q370" s="1841"/>
      <c r="R370" s="1842"/>
    </row>
    <row r="371" spans="1:54" x14ac:dyDescent="0.3">
      <c r="A371" s="1938" t="s">
        <v>215</v>
      </c>
      <c r="B371" s="1938"/>
      <c r="C371" s="1938"/>
      <c r="D371" s="1938"/>
      <c r="E371" s="1938"/>
      <c r="F371" s="1938"/>
      <c r="G371" s="1840">
        <f t="shared" si="46"/>
        <v>1001.5</v>
      </c>
      <c r="H371" s="1841"/>
      <c r="I371" s="1841"/>
      <c r="J371" s="1842"/>
      <c r="K371" s="1840">
        <f t="shared" si="47"/>
        <v>1265</v>
      </c>
      <c r="L371" s="1841"/>
      <c r="M371" s="1841"/>
      <c r="N371" s="1842"/>
      <c r="O371" s="1840">
        <f t="shared" si="48"/>
        <v>2605.5</v>
      </c>
      <c r="P371" s="1841"/>
      <c r="Q371" s="1841"/>
      <c r="R371" s="1842"/>
    </row>
    <row r="372" spans="1:54" x14ac:dyDescent="0.3">
      <c r="A372" s="1938" t="s">
        <v>216</v>
      </c>
      <c r="B372" s="1938"/>
      <c r="C372" s="1938"/>
      <c r="D372" s="1938"/>
      <c r="E372" s="1938"/>
      <c r="F372" s="1938"/>
      <c r="G372" s="1840">
        <f t="shared" si="46"/>
        <v>1493.8</v>
      </c>
      <c r="H372" s="1841"/>
      <c r="I372" s="1841"/>
      <c r="J372" s="1842"/>
      <c r="K372" s="1840">
        <f t="shared" si="47"/>
        <v>1886.94</v>
      </c>
      <c r="L372" s="1841"/>
      <c r="M372" s="1841"/>
      <c r="N372" s="1842"/>
      <c r="O372" s="1840">
        <f t="shared" si="48"/>
        <v>3886.08</v>
      </c>
      <c r="P372" s="1841"/>
      <c r="Q372" s="1841"/>
      <c r="R372" s="1842"/>
    </row>
    <row r="373" spans="1:54" x14ac:dyDescent="0.3">
      <c r="A373" s="1938" t="s">
        <v>47</v>
      </c>
      <c r="B373" s="1938"/>
      <c r="C373" s="1938"/>
      <c r="D373" s="1938"/>
      <c r="E373" s="1938"/>
      <c r="F373" s="1938"/>
      <c r="G373" s="1840">
        <f t="shared" si="46"/>
        <v>1625.75</v>
      </c>
      <c r="H373" s="1841"/>
      <c r="I373" s="1841"/>
      <c r="J373" s="1842"/>
      <c r="K373" s="1840">
        <f t="shared" si="47"/>
        <v>2053.75</v>
      </c>
      <c r="L373" s="1841"/>
      <c r="M373" s="1841"/>
      <c r="N373" s="1842"/>
      <c r="O373" s="1840">
        <f t="shared" si="48"/>
        <v>4229.75</v>
      </c>
      <c r="P373" s="1841"/>
      <c r="Q373" s="1841"/>
      <c r="R373" s="1842"/>
    </row>
    <row r="374" spans="1:54" x14ac:dyDescent="0.3">
      <c r="A374" s="1938" t="s">
        <v>217</v>
      </c>
      <c r="B374" s="1938"/>
      <c r="C374" s="1938"/>
      <c r="D374" s="1938"/>
      <c r="E374" s="1938"/>
      <c r="F374" s="1938"/>
      <c r="G374" s="1840">
        <f t="shared" si="46"/>
        <v>1634.92</v>
      </c>
      <c r="H374" s="1841"/>
      <c r="I374" s="1841"/>
      <c r="J374" s="1842"/>
      <c r="K374" s="1840">
        <f t="shared" si="47"/>
        <v>2065.2800000000002</v>
      </c>
      <c r="L374" s="1841"/>
      <c r="M374" s="1841"/>
      <c r="N374" s="1842"/>
      <c r="O374" s="1840">
        <f t="shared" si="48"/>
        <v>4253.4799999999996</v>
      </c>
      <c r="P374" s="1841"/>
      <c r="Q374" s="1841"/>
      <c r="R374" s="1842"/>
    </row>
    <row r="375" spans="1:54" x14ac:dyDescent="0.3">
      <c r="A375" s="1938" t="s">
        <v>218</v>
      </c>
      <c r="B375" s="1938"/>
      <c r="C375" s="1938"/>
      <c r="D375" s="1938"/>
      <c r="E375" s="1938"/>
      <c r="F375" s="1938"/>
      <c r="G375" s="1840">
        <f t="shared" si="46"/>
        <v>1548.68</v>
      </c>
      <c r="H375" s="1841"/>
      <c r="I375" s="1841"/>
      <c r="J375" s="1842"/>
      <c r="K375" s="1840">
        <f t="shared" si="47"/>
        <v>1956.22</v>
      </c>
      <c r="L375" s="1841"/>
      <c r="M375" s="1841"/>
      <c r="N375" s="1842"/>
      <c r="O375" s="1840">
        <f t="shared" si="48"/>
        <v>4028.92</v>
      </c>
      <c r="P375" s="1841"/>
      <c r="Q375" s="1841"/>
      <c r="R375" s="1842"/>
    </row>
    <row r="376" spans="1:54" x14ac:dyDescent="0.3">
      <c r="A376" s="1938" t="s">
        <v>219</v>
      </c>
      <c r="B376" s="1938"/>
      <c r="C376" s="1938"/>
      <c r="D376" s="1938"/>
      <c r="E376" s="1938"/>
      <c r="F376" s="1938"/>
      <c r="G376" s="1840">
        <f t="shared" si="46"/>
        <v>1296.75</v>
      </c>
      <c r="H376" s="1841"/>
      <c r="I376" s="1841"/>
      <c r="J376" s="1842"/>
      <c r="K376" s="1840">
        <f t="shared" si="47"/>
        <v>1638</v>
      </c>
      <c r="L376" s="1841"/>
      <c r="M376" s="1841"/>
      <c r="N376" s="1842"/>
      <c r="O376" s="1840">
        <f t="shared" si="48"/>
        <v>3373.25</v>
      </c>
      <c r="P376" s="1841"/>
      <c r="Q376" s="1841"/>
      <c r="R376" s="1842"/>
    </row>
    <row r="377" spans="1:54" x14ac:dyDescent="0.3">
      <c r="A377" s="135"/>
      <c r="G377" s="137"/>
      <c r="K377" s="137"/>
      <c r="O377" s="137"/>
    </row>
    <row r="378" spans="1:54" x14ac:dyDescent="0.3">
      <c r="A378" s="135"/>
      <c r="B378" s="231" t="s">
        <v>1748</v>
      </c>
      <c r="G378" s="137"/>
      <c r="K378" s="137"/>
      <c r="O378" s="137"/>
    </row>
    <row r="379" spans="1:54" x14ac:dyDescent="0.3">
      <c r="A379" s="135"/>
      <c r="G379" s="137"/>
      <c r="K379" s="137"/>
      <c r="O379" s="137"/>
    </row>
    <row r="380" spans="1:54" ht="15.6" x14ac:dyDescent="0.3">
      <c r="A380" s="139" t="s">
        <v>1749</v>
      </c>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Y380" s="1"/>
      <c r="AZ380" s="1"/>
      <c r="BA380" s="1"/>
      <c r="BB380" s="1"/>
    </row>
    <row r="381" spans="1:54" x14ac:dyDescent="0.3">
      <c r="B381" s="152"/>
      <c r="C381" s="152"/>
      <c r="D381" s="152"/>
      <c r="E381" s="152"/>
      <c r="F381" s="152"/>
      <c r="G381" s="1961" t="s">
        <v>2777</v>
      </c>
      <c r="H381" s="1962"/>
      <c r="I381" s="1962"/>
      <c r="J381" s="1962"/>
      <c r="K381" s="1962"/>
      <c r="L381" s="1962"/>
      <c r="M381" s="1962"/>
      <c r="N381" s="1962"/>
      <c r="O381" s="1962"/>
      <c r="P381" s="1962"/>
      <c r="Q381" s="1962"/>
      <c r="R381" s="1962"/>
      <c r="S381" s="1962"/>
      <c r="T381" s="1962"/>
      <c r="U381" s="1962"/>
      <c r="V381" s="1962"/>
      <c r="W381" s="1962"/>
      <c r="X381" s="1962"/>
      <c r="Y381" s="1962"/>
      <c r="Z381" s="1962"/>
      <c r="AA381" s="1962"/>
      <c r="AB381" s="1962"/>
      <c r="AC381" s="1962"/>
      <c r="AD381" s="1962"/>
      <c r="AE381" s="1962"/>
      <c r="AF381" s="1962"/>
      <c r="AG381" s="1962"/>
      <c r="AH381" s="1962"/>
      <c r="AI381" s="1962"/>
      <c r="AJ381" s="1962"/>
      <c r="AK381" s="1962"/>
      <c r="AL381" s="1963"/>
    </row>
    <row r="382" spans="1:54" x14ac:dyDescent="0.3">
      <c r="A382" s="1945" t="s">
        <v>46</v>
      </c>
      <c r="B382" s="1945"/>
      <c r="C382" s="1945"/>
      <c r="D382" s="1945"/>
      <c r="E382" s="1945"/>
      <c r="F382" s="1945"/>
      <c r="G382" s="2057" t="s">
        <v>600</v>
      </c>
      <c r="H382" s="2057"/>
      <c r="I382" s="2057"/>
      <c r="J382" s="2057"/>
      <c r="K382" s="2057" t="s">
        <v>1741</v>
      </c>
      <c r="L382" s="2057"/>
      <c r="M382" s="2057"/>
      <c r="N382" s="2057"/>
      <c r="O382" s="2054" t="s">
        <v>982</v>
      </c>
      <c r="P382" s="2054"/>
      <c r="Q382" s="2054"/>
      <c r="R382" s="2054"/>
      <c r="S382" s="2054" t="s">
        <v>1742</v>
      </c>
      <c r="T382" s="2054"/>
      <c r="U382" s="2054"/>
      <c r="V382" s="2054"/>
      <c r="W382" s="2057" t="s">
        <v>601</v>
      </c>
      <c r="X382" s="2057"/>
      <c r="Y382" s="2057"/>
      <c r="Z382" s="2057"/>
      <c r="AA382" s="2057" t="s">
        <v>1743</v>
      </c>
      <c r="AB382" s="2057"/>
      <c r="AC382" s="2057"/>
      <c r="AD382" s="2057"/>
      <c r="AE382" s="2054" t="s">
        <v>983</v>
      </c>
      <c r="AF382" s="2054"/>
      <c r="AG382" s="2054"/>
      <c r="AH382" s="2054"/>
      <c r="AI382" s="2054" t="s">
        <v>1744</v>
      </c>
      <c r="AJ382" s="2054"/>
      <c r="AK382" s="2054"/>
      <c r="AL382" s="2054"/>
    </row>
    <row r="383" spans="1:54" x14ac:dyDescent="0.3">
      <c r="A383" s="1938" t="s">
        <v>1796</v>
      </c>
      <c r="B383" s="1938"/>
      <c r="C383" s="1938"/>
      <c r="D383" s="1938"/>
      <c r="E383" s="1938"/>
      <c r="F383" s="1938"/>
      <c r="G383" s="1950">
        <f t="shared" ref="G383:G393" si="49">ROUND(($AB$95-$G$127)*$Q$73*VLOOKUP($A383,$N$123:$AG$133,17,TRUE)*VLOOKUP($A383,$N$146:$AG$156,13,TRUE)*$Q$78,3)</f>
        <v>1E-3</v>
      </c>
      <c r="H383" s="1950"/>
      <c r="I383" s="1950"/>
      <c r="J383" s="1950"/>
      <c r="K383" s="1950">
        <f t="shared" ref="K383:K393" si="50">ROUND(($AB$95-$I$127)*$Q$73*VLOOKUP($A383,$N$123:$AG$133,17,TRUE)*VLOOKUP($A383,$N$146:$AG$156,13,TRUE)*$Q$78,3)</f>
        <v>2E-3</v>
      </c>
      <c r="L383" s="1950"/>
      <c r="M383" s="1950"/>
      <c r="N383" s="1950"/>
      <c r="O383" s="1950">
        <f t="shared" ref="O383:O393" si="51">ROUND(($AB$94-$G$126)*$Q$73*VLOOKUP($A383,$N$123:$AG$133,17,TRUE)*VLOOKUP($A383,$N$146:$AG$156,13,TRUE)*$Q$78,3)</f>
        <v>3.0000000000000001E-3</v>
      </c>
      <c r="P383" s="1950"/>
      <c r="Q383" s="1950"/>
      <c r="R383" s="1950"/>
      <c r="S383" s="1950">
        <f t="shared" ref="S383:S393" si="52">ROUND(($AB$94-$I$126)*$Q$73*VLOOKUP($A383,$N$123:$AG$133,17,TRUE)*VLOOKUP($A383,$N$146:$AG$156,13,TRUE)*$Q$78,3)</f>
        <v>4.0000000000000001E-3</v>
      </c>
      <c r="T383" s="1950"/>
      <c r="U383" s="1950"/>
      <c r="V383" s="1950"/>
      <c r="W383" s="1950">
        <f t="shared" ref="W383:W393" si="53">ROUND(($AB$93-$G$125)*$Q$73*VLOOKUP($A383,$N$123:$AG$133,17,TRUE)*VLOOKUP($A383,$N$146:$AG$156,13,TRUE)*$Q$78,3)</f>
        <v>5.0000000000000001E-3</v>
      </c>
      <c r="X383" s="1950"/>
      <c r="Y383" s="1950"/>
      <c r="Z383" s="1950"/>
      <c r="AA383" s="1950">
        <f t="shared" ref="AA383:AA393" si="54">ROUND(($AB$93-$I$125)*$Q$73*VLOOKUP($A383,$N$123:$AG$133,17,TRUE)*VLOOKUP($A383,$N$146:$AG$156,13,TRUE)*$Q$78,3)</f>
        <v>6.0000000000000001E-3</v>
      </c>
      <c r="AB383" s="1950"/>
      <c r="AC383" s="1950"/>
      <c r="AD383" s="1950"/>
      <c r="AE383" s="1950">
        <f t="shared" ref="AE383:AE393" si="55">ROUND(($AB$92-$G$124)*$Q$73*VLOOKUP($A383,$N$123:$AG$133,17,TRUE)*VLOOKUP($A383,$N$146:$AG$156,13,TRUE)*$Q$78,3)</f>
        <v>7.0000000000000001E-3</v>
      </c>
      <c r="AF383" s="1950"/>
      <c r="AG383" s="1950"/>
      <c r="AH383" s="1950"/>
      <c r="AI383" s="1950">
        <f t="shared" ref="AI383:AI393" si="56">ROUND(($AB$92-$I$124)*$Q$73*VLOOKUP($A383,$N$123:$AG$133,17,TRUE)*VLOOKUP($A383,$N$146:$AG$156,13,TRUE)*$Q$78,3)</f>
        <v>8.0000000000000002E-3</v>
      </c>
      <c r="AJ383" s="1950"/>
      <c r="AK383" s="1950"/>
      <c r="AL383" s="1950"/>
    </row>
    <row r="384" spans="1:54" x14ac:dyDescent="0.3">
      <c r="A384" s="1938" t="s">
        <v>211</v>
      </c>
      <c r="B384" s="1938"/>
      <c r="C384" s="1938"/>
      <c r="D384" s="1938"/>
      <c r="E384" s="1938"/>
      <c r="F384" s="1938"/>
      <c r="G384" s="1950">
        <f t="shared" si="49"/>
        <v>1E-3</v>
      </c>
      <c r="H384" s="1950"/>
      <c r="I384" s="1950"/>
      <c r="J384" s="1950"/>
      <c r="K384" s="1950">
        <f t="shared" si="50"/>
        <v>1E-3</v>
      </c>
      <c r="L384" s="1950"/>
      <c r="M384" s="1950"/>
      <c r="N384" s="1950"/>
      <c r="O384" s="1950">
        <f t="shared" si="51"/>
        <v>2E-3</v>
      </c>
      <c r="P384" s="1950"/>
      <c r="Q384" s="1950"/>
      <c r="R384" s="1950"/>
      <c r="S384" s="1950">
        <f t="shared" si="52"/>
        <v>2E-3</v>
      </c>
      <c r="T384" s="1950"/>
      <c r="U384" s="1950"/>
      <c r="V384" s="1950"/>
      <c r="W384" s="1950">
        <f t="shared" si="53"/>
        <v>3.0000000000000001E-3</v>
      </c>
      <c r="X384" s="1950"/>
      <c r="Y384" s="1950"/>
      <c r="Z384" s="1950"/>
      <c r="AA384" s="1950">
        <f t="shared" si="54"/>
        <v>4.0000000000000001E-3</v>
      </c>
      <c r="AB384" s="1950"/>
      <c r="AC384" s="1950"/>
      <c r="AD384" s="1950"/>
      <c r="AE384" s="1950">
        <f t="shared" si="55"/>
        <v>4.0000000000000001E-3</v>
      </c>
      <c r="AF384" s="1950"/>
      <c r="AG384" s="1950"/>
      <c r="AH384" s="1950"/>
      <c r="AI384" s="1950">
        <f t="shared" si="56"/>
        <v>4.0000000000000001E-3</v>
      </c>
      <c r="AJ384" s="1950"/>
      <c r="AK384" s="1950"/>
      <c r="AL384" s="1950"/>
    </row>
    <row r="385" spans="1:54" x14ac:dyDescent="0.3">
      <c r="A385" s="1938" t="s">
        <v>212</v>
      </c>
      <c r="B385" s="1938"/>
      <c r="C385" s="1938"/>
      <c r="D385" s="1938"/>
      <c r="E385" s="1938"/>
      <c r="F385" s="1938"/>
      <c r="G385" s="1950">
        <f t="shared" si="49"/>
        <v>1E-3</v>
      </c>
      <c r="H385" s="1950"/>
      <c r="I385" s="1950"/>
      <c r="J385" s="1950"/>
      <c r="K385" s="1950">
        <f t="shared" si="50"/>
        <v>2E-3</v>
      </c>
      <c r="L385" s="1950"/>
      <c r="M385" s="1950"/>
      <c r="N385" s="1950"/>
      <c r="O385" s="1950">
        <f t="shared" si="51"/>
        <v>3.0000000000000001E-3</v>
      </c>
      <c r="P385" s="1950"/>
      <c r="Q385" s="1950"/>
      <c r="R385" s="1950"/>
      <c r="S385" s="1950">
        <f t="shared" si="52"/>
        <v>4.0000000000000001E-3</v>
      </c>
      <c r="T385" s="1950"/>
      <c r="U385" s="1950"/>
      <c r="V385" s="1950"/>
      <c r="W385" s="1950">
        <f t="shared" si="53"/>
        <v>5.0000000000000001E-3</v>
      </c>
      <c r="X385" s="1950"/>
      <c r="Y385" s="1950"/>
      <c r="Z385" s="1950"/>
      <c r="AA385" s="1950">
        <f t="shared" si="54"/>
        <v>6.0000000000000001E-3</v>
      </c>
      <c r="AB385" s="1950"/>
      <c r="AC385" s="1950"/>
      <c r="AD385" s="1950"/>
      <c r="AE385" s="1950">
        <f t="shared" si="55"/>
        <v>6.0000000000000001E-3</v>
      </c>
      <c r="AF385" s="1950"/>
      <c r="AG385" s="1950"/>
      <c r="AH385" s="1950"/>
      <c r="AI385" s="1950">
        <f t="shared" si="56"/>
        <v>7.0000000000000001E-3</v>
      </c>
      <c r="AJ385" s="1950"/>
      <c r="AK385" s="1950"/>
      <c r="AL385" s="1950"/>
    </row>
    <row r="386" spans="1:54" x14ac:dyDescent="0.3">
      <c r="A386" s="1938" t="s">
        <v>213</v>
      </c>
      <c r="B386" s="1938"/>
      <c r="C386" s="1938"/>
      <c r="D386" s="1938"/>
      <c r="E386" s="1938"/>
      <c r="F386" s="1938"/>
      <c r="G386" s="1950">
        <f t="shared" si="49"/>
        <v>2E-3</v>
      </c>
      <c r="H386" s="1950"/>
      <c r="I386" s="1950"/>
      <c r="J386" s="1950"/>
      <c r="K386" s="1950">
        <f t="shared" si="50"/>
        <v>4.0000000000000001E-3</v>
      </c>
      <c r="L386" s="1950"/>
      <c r="M386" s="1950"/>
      <c r="N386" s="1950"/>
      <c r="O386" s="1950">
        <f t="shared" si="51"/>
        <v>5.0000000000000001E-3</v>
      </c>
      <c r="P386" s="1950"/>
      <c r="Q386" s="1950"/>
      <c r="R386" s="1950"/>
      <c r="S386" s="1950">
        <f t="shared" si="52"/>
        <v>7.0000000000000001E-3</v>
      </c>
      <c r="T386" s="1950"/>
      <c r="U386" s="1950"/>
      <c r="V386" s="1950"/>
      <c r="W386" s="1950">
        <f t="shared" si="53"/>
        <v>8.9999999999999993E-3</v>
      </c>
      <c r="X386" s="1950"/>
      <c r="Y386" s="1950"/>
      <c r="Z386" s="1950"/>
      <c r="AA386" s="1950">
        <f t="shared" si="54"/>
        <v>1.0999999999999999E-2</v>
      </c>
      <c r="AB386" s="1950"/>
      <c r="AC386" s="1950"/>
      <c r="AD386" s="1950"/>
      <c r="AE386" s="1950">
        <f t="shared" si="55"/>
        <v>1.0999999999999999E-2</v>
      </c>
      <c r="AF386" s="1950"/>
      <c r="AG386" s="1950"/>
      <c r="AH386" s="1950"/>
      <c r="AI386" s="1950">
        <f t="shared" si="56"/>
        <v>1.2999999999999999E-2</v>
      </c>
      <c r="AJ386" s="1950"/>
      <c r="AK386" s="1950"/>
      <c r="AL386" s="1950"/>
    </row>
    <row r="387" spans="1:54" x14ac:dyDescent="0.3">
      <c r="A387" s="1938" t="s">
        <v>214</v>
      </c>
      <c r="B387" s="1938"/>
      <c r="C387" s="1938"/>
      <c r="D387" s="1938"/>
      <c r="E387" s="1938"/>
      <c r="F387" s="1938"/>
      <c r="G387" s="1950">
        <f t="shared" si="49"/>
        <v>2E-3</v>
      </c>
      <c r="H387" s="1950"/>
      <c r="I387" s="1950"/>
      <c r="J387" s="1950"/>
      <c r="K387" s="1950">
        <f t="shared" si="50"/>
        <v>4.0000000000000001E-3</v>
      </c>
      <c r="L387" s="1950"/>
      <c r="M387" s="1950"/>
      <c r="N387" s="1950"/>
      <c r="O387" s="1950">
        <f t="shared" si="51"/>
        <v>5.0000000000000001E-3</v>
      </c>
      <c r="P387" s="1950"/>
      <c r="Q387" s="1950"/>
      <c r="R387" s="1950"/>
      <c r="S387" s="1950">
        <f t="shared" si="52"/>
        <v>7.0000000000000001E-3</v>
      </c>
      <c r="T387" s="1950"/>
      <c r="U387" s="1950"/>
      <c r="V387" s="1950"/>
      <c r="W387" s="1950">
        <f t="shared" si="53"/>
        <v>0.01</v>
      </c>
      <c r="X387" s="1950"/>
      <c r="Y387" s="1950"/>
      <c r="Z387" s="1950"/>
      <c r="AA387" s="1950">
        <f t="shared" si="54"/>
        <v>1.2E-2</v>
      </c>
      <c r="AB387" s="1950"/>
      <c r="AC387" s="1950"/>
      <c r="AD387" s="1950"/>
      <c r="AE387" s="1950">
        <f t="shared" si="55"/>
        <v>1.2E-2</v>
      </c>
      <c r="AF387" s="1950"/>
      <c r="AG387" s="1950"/>
      <c r="AH387" s="1950"/>
      <c r="AI387" s="1950">
        <f t="shared" si="56"/>
        <v>1.4E-2</v>
      </c>
      <c r="AJ387" s="1950"/>
      <c r="AK387" s="1950"/>
      <c r="AL387" s="1950"/>
    </row>
    <row r="388" spans="1:54" x14ac:dyDescent="0.3">
      <c r="A388" s="1938" t="s">
        <v>215</v>
      </c>
      <c r="B388" s="1938"/>
      <c r="C388" s="1938"/>
      <c r="D388" s="1938"/>
      <c r="E388" s="1938"/>
      <c r="F388" s="1938"/>
      <c r="G388" s="1950">
        <f t="shared" si="49"/>
        <v>1E-3</v>
      </c>
      <c r="H388" s="1950"/>
      <c r="I388" s="1950"/>
      <c r="J388" s="1950"/>
      <c r="K388" s="1950">
        <f t="shared" si="50"/>
        <v>2E-3</v>
      </c>
      <c r="L388" s="1950"/>
      <c r="M388" s="1950"/>
      <c r="N388" s="1950"/>
      <c r="O388" s="1950">
        <f t="shared" si="51"/>
        <v>2E-3</v>
      </c>
      <c r="P388" s="1950"/>
      <c r="Q388" s="1950"/>
      <c r="R388" s="1950"/>
      <c r="S388" s="1950">
        <f t="shared" si="52"/>
        <v>3.0000000000000001E-3</v>
      </c>
      <c r="T388" s="1950"/>
      <c r="U388" s="1950"/>
      <c r="V388" s="1950"/>
      <c r="W388" s="1950">
        <f t="shared" si="53"/>
        <v>4.0000000000000001E-3</v>
      </c>
      <c r="X388" s="1950"/>
      <c r="Y388" s="1950"/>
      <c r="Z388" s="1950"/>
      <c r="AA388" s="1950">
        <f t="shared" si="54"/>
        <v>4.0000000000000001E-3</v>
      </c>
      <c r="AB388" s="1950"/>
      <c r="AC388" s="1950"/>
      <c r="AD388" s="1950"/>
      <c r="AE388" s="1950">
        <f t="shared" si="55"/>
        <v>4.0000000000000001E-3</v>
      </c>
      <c r="AF388" s="1950"/>
      <c r="AG388" s="1950"/>
      <c r="AH388" s="1950"/>
      <c r="AI388" s="1950">
        <f t="shared" si="56"/>
        <v>5.0000000000000001E-3</v>
      </c>
      <c r="AJ388" s="1950"/>
      <c r="AK388" s="1950"/>
      <c r="AL388" s="1950"/>
    </row>
    <row r="389" spans="1:54" x14ac:dyDescent="0.3">
      <c r="A389" s="1938" t="s">
        <v>216</v>
      </c>
      <c r="B389" s="1938"/>
      <c r="C389" s="1938"/>
      <c r="D389" s="1938"/>
      <c r="E389" s="1938"/>
      <c r="F389" s="1938"/>
      <c r="G389" s="1950">
        <f t="shared" si="49"/>
        <v>2E-3</v>
      </c>
      <c r="H389" s="1950"/>
      <c r="I389" s="1950"/>
      <c r="J389" s="1950"/>
      <c r="K389" s="1950">
        <f t="shared" si="50"/>
        <v>4.0000000000000001E-3</v>
      </c>
      <c r="L389" s="1950"/>
      <c r="M389" s="1950"/>
      <c r="N389" s="1950"/>
      <c r="O389" s="1950">
        <f t="shared" si="51"/>
        <v>5.0000000000000001E-3</v>
      </c>
      <c r="P389" s="1950"/>
      <c r="Q389" s="1950"/>
      <c r="R389" s="1950"/>
      <c r="S389" s="1950">
        <f t="shared" si="52"/>
        <v>7.0000000000000001E-3</v>
      </c>
      <c r="T389" s="1950"/>
      <c r="U389" s="1950"/>
      <c r="V389" s="1950"/>
      <c r="W389" s="1950">
        <f t="shared" si="53"/>
        <v>8.9999999999999993E-3</v>
      </c>
      <c r="X389" s="1950"/>
      <c r="Y389" s="1950"/>
      <c r="Z389" s="1950"/>
      <c r="AA389" s="1950">
        <f t="shared" si="54"/>
        <v>0.01</v>
      </c>
      <c r="AB389" s="1950"/>
      <c r="AC389" s="1950"/>
      <c r="AD389" s="1950"/>
      <c r="AE389" s="1950">
        <f t="shared" si="55"/>
        <v>1.0999999999999999E-2</v>
      </c>
      <c r="AF389" s="1950"/>
      <c r="AG389" s="1950"/>
      <c r="AH389" s="1950"/>
      <c r="AI389" s="1950">
        <f t="shared" si="56"/>
        <v>1.2E-2</v>
      </c>
      <c r="AJ389" s="1950"/>
      <c r="AK389" s="1950"/>
      <c r="AL389" s="1950"/>
    </row>
    <row r="390" spans="1:54" x14ac:dyDescent="0.3">
      <c r="A390" s="1938" t="s">
        <v>47</v>
      </c>
      <c r="B390" s="1938"/>
      <c r="C390" s="1938"/>
      <c r="D390" s="1938"/>
      <c r="E390" s="1938"/>
      <c r="F390" s="1938"/>
      <c r="G390" s="1950">
        <f t="shared" si="49"/>
        <v>1E-3</v>
      </c>
      <c r="H390" s="1950"/>
      <c r="I390" s="1950"/>
      <c r="J390" s="1950"/>
      <c r="K390" s="1950">
        <f t="shared" si="50"/>
        <v>1E-3</v>
      </c>
      <c r="L390" s="1950"/>
      <c r="M390" s="1950"/>
      <c r="N390" s="1950"/>
      <c r="O390" s="1950">
        <f t="shared" si="51"/>
        <v>2E-3</v>
      </c>
      <c r="P390" s="1950"/>
      <c r="Q390" s="1950"/>
      <c r="R390" s="1950"/>
      <c r="S390" s="1950">
        <f t="shared" si="52"/>
        <v>2E-3</v>
      </c>
      <c r="T390" s="1950"/>
      <c r="U390" s="1950"/>
      <c r="V390" s="1950"/>
      <c r="W390" s="1950">
        <f t="shared" si="53"/>
        <v>3.0000000000000001E-3</v>
      </c>
      <c r="X390" s="1950"/>
      <c r="Y390" s="1950"/>
      <c r="Z390" s="1950"/>
      <c r="AA390" s="1950">
        <f t="shared" si="54"/>
        <v>4.0000000000000001E-3</v>
      </c>
      <c r="AB390" s="1950"/>
      <c r="AC390" s="1950"/>
      <c r="AD390" s="1950"/>
      <c r="AE390" s="1950">
        <f t="shared" si="55"/>
        <v>4.0000000000000001E-3</v>
      </c>
      <c r="AF390" s="1950"/>
      <c r="AG390" s="1950"/>
      <c r="AH390" s="1950"/>
      <c r="AI390" s="1950">
        <f t="shared" si="56"/>
        <v>5.0000000000000001E-3</v>
      </c>
      <c r="AJ390" s="1950"/>
      <c r="AK390" s="1950"/>
      <c r="AL390" s="1950"/>
    </row>
    <row r="391" spans="1:54" x14ac:dyDescent="0.3">
      <c r="A391" s="1938" t="s">
        <v>217</v>
      </c>
      <c r="B391" s="1938"/>
      <c r="C391" s="1938"/>
      <c r="D391" s="1938"/>
      <c r="E391" s="1938"/>
      <c r="F391" s="1938"/>
      <c r="G391" s="1950">
        <f t="shared" si="49"/>
        <v>2E-3</v>
      </c>
      <c r="H391" s="1950"/>
      <c r="I391" s="1950"/>
      <c r="J391" s="1950"/>
      <c r="K391" s="1950">
        <f t="shared" si="50"/>
        <v>3.0000000000000001E-3</v>
      </c>
      <c r="L391" s="1950"/>
      <c r="M391" s="1950"/>
      <c r="N391" s="1950"/>
      <c r="O391" s="1950">
        <f t="shared" si="51"/>
        <v>4.0000000000000001E-3</v>
      </c>
      <c r="P391" s="1950"/>
      <c r="Q391" s="1950"/>
      <c r="R391" s="1950"/>
      <c r="S391" s="1950">
        <f t="shared" si="52"/>
        <v>6.0000000000000001E-3</v>
      </c>
      <c r="T391" s="1950"/>
      <c r="U391" s="1950"/>
      <c r="V391" s="1950"/>
      <c r="W391" s="1950">
        <f t="shared" si="53"/>
        <v>8.0000000000000002E-3</v>
      </c>
      <c r="X391" s="1950"/>
      <c r="Y391" s="1950"/>
      <c r="Z391" s="1950"/>
      <c r="AA391" s="1950">
        <f t="shared" si="54"/>
        <v>8.9999999999999993E-3</v>
      </c>
      <c r="AB391" s="1950"/>
      <c r="AC391" s="1950"/>
      <c r="AD391" s="1950"/>
      <c r="AE391" s="1950">
        <f t="shared" si="55"/>
        <v>8.9999999999999993E-3</v>
      </c>
      <c r="AF391" s="1950"/>
      <c r="AG391" s="1950"/>
      <c r="AH391" s="1950"/>
      <c r="AI391" s="1950">
        <f t="shared" si="56"/>
        <v>1.0999999999999999E-2</v>
      </c>
      <c r="AJ391" s="1950"/>
      <c r="AK391" s="1950"/>
      <c r="AL391" s="1950"/>
    </row>
    <row r="392" spans="1:54" x14ac:dyDescent="0.3">
      <c r="A392" s="1938" t="s">
        <v>218</v>
      </c>
      <c r="B392" s="1938"/>
      <c r="C392" s="1938"/>
      <c r="D392" s="1938"/>
      <c r="E392" s="1938"/>
      <c r="F392" s="1938"/>
      <c r="G392" s="1950">
        <f t="shared" si="49"/>
        <v>2E-3</v>
      </c>
      <c r="H392" s="1950"/>
      <c r="I392" s="1950"/>
      <c r="J392" s="1950"/>
      <c r="K392" s="1950">
        <f t="shared" si="50"/>
        <v>4.0000000000000001E-3</v>
      </c>
      <c r="L392" s="1950"/>
      <c r="M392" s="1950"/>
      <c r="N392" s="1950"/>
      <c r="O392" s="1950">
        <f t="shared" si="51"/>
        <v>5.0000000000000001E-3</v>
      </c>
      <c r="P392" s="1950"/>
      <c r="Q392" s="1950"/>
      <c r="R392" s="1950"/>
      <c r="S392" s="1950">
        <f t="shared" si="52"/>
        <v>6.0000000000000001E-3</v>
      </c>
      <c r="T392" s="1950"/>
      <c r="U392" s="1950"/>
      <c r="V392" s="1950"/>
      <c r="W392" s="1950">
        <f t="shared" si="53"/>
        <v>8.0000000000000002E-3</v>
      </c>
      <c r="X392" s="1950"/>
      <c r="Y392" s="1950"/>
      <c r="Z392" s="1950"/>
      <c r="AA392" s="1950">
        <f t="shared" si="54"/>
        <v>0.01</v>
      </c>
      <c r="AB392" s="1950"/>
      <c r="AC392" s="1950"/>
      <c r="AD392" s="1950"/>
      <c r="AE392" s="1950">
        <f t="shared" si="55"/>
        <v>0.01</v>
      </c>
      <c r="AF392" s="1950"/>
      <c r="AG392" s="1950"/>
      <c r="AH392" s="1950"/>
      <c r="AI392" s="1950">
        <f t="shared" si="56"/>
        <v>1.2E-2</v>
      </c>
      <c r="AJ392" s="1950"/>
      <c r="AK392" s="1950"/>
      <c r="AL392" s="1950"/>
    </row>
    <row r="393" spans="1:54" x14ac:dyDescent="0.3">
      <c r="A393" s="1938" t="s">
        <v>219</v>
      </c>
      <c r="B393" s="1938"/>
      <c r="C393" s="1938"/>
      <c r="D393" s="1938"/>
      <c r="E393" s="1938"/>
      <c r="F393" s="1938"/>
      <c r="G393" s="1950">
        <f t="shared" si="49"/>
        <v>0</v>
      </c>
      <c r="H393" s="1950"/>
      <c r="I393" s="1950"/>
      <c r="J393" s="1950"/>
      <c r="K393" s="1950">
        <f t="shared" si="50"/>
        <v>1E-3</v>
      </c>
      <c r="L393" s="1950"/>
      <c r="M393" s="1950"/>
      <c r="N393" s="1950"/>
      <c r="O393" s="1950">
        <f t="shared" si="51"/>
        <v>1E-3</v>
      </c>
      <c r="P393" s="1950"/>
      <c r="Q393" s="1950"/>
      <c r="R393" s="1950"/>
      <c r="S393" s="1950">
        <f t="shared" si="52"/>
        <v>1E-3</v>
      </c>
      <c r="T393" s="1950"/>
      <c r="U393" s="1950"/>
      <c r="V393" s="1950"/>
      <c r="W393" s="1950">
        <f t="shared" si="53"/>
        <v>1E-3</v>
      </c>
      <c r="X393" s="1950"/>
      <c r="Y393" s="1950"/>
      <c r="Z393" s="1950"/>
      <c r="AA393" s="1950">
        <f t="shared" si="54"/>
        <v>1E-3</v>
      </c>
      <c r="AB393" s="1950"/>
      <c r="AC393" s="1950"/>
      <c r="AD393" s="1950"/>
      <c r="AE393" s="1950">
        <f t="shared" si="55"/>
        <v>1E-3</v>
      </c>
      <c r="AF393" s="1950"/>
      <c r="AG393" s="1950"/>
      <c r="AH393" s="1950"/>
      <c r="AI393" s="1950">
        <f t="shared" si="56"/>
        <v>2E-3</v>
      </c>
      <c r="AJ393" s="1950"/>
      <c r="AK393" s="1950"/>
      <c r="AL393" s="1950"/>
    </row>
    <row r="394" spans="1:54" x14ac:dyDescent="0.3">
      <c r="A394" s="135"/>
      <c r="G394" s="140"/>
      <c r="K394" s="140"/>
      <c r="O394" s="140"/>
    </row>
    <row r="395" spans="1:54" ht="15.6" x14ac:dyDescent="0.3">
      <c r="A395" s="139" t="s">
        <v>1751</v>
      </c>
      <c r="B395" s="27"/>
      <c r="C395" s="27"/>
      <c r="D395" s="27"/>
      <c r="E395" s="27"/>
      <c r="F395" s="27"/>
      <c r="AY395" s="1"/>
      <c r="AZ395" s="1"/>
      <c r="BA395" s="1"/>
      <c r="BB395" s="1"/>
    </row>
    <row r="396" spans="1:54" x14ac:dyDescent="0.3">
      <c r="B396" s="152"/>
      <c r="C396" s="152"/>
      <c r="D396" s="152"/>
      <c r="E396" s="152"/>
      <c r="F396" s="152"/>
      <c r="G396" s="2075" t="s">
        <v>2778</v>
      </c>
      <c r="H396" s="2075"/>
      <c r="I396" s="2075"/>
      <c r="J396" s="2075"/>
      <c r="K396" s="2075"/>
      <c r="L396" s="2075"/>
      <c r="M396" s="2075"/>
      <c r="N396" s="2075"/>
      <c r="O396" s="2075"/>
      <c r="P396" s="2075"/>
      <c r="Q396" s="2075"/>
      <c r="R396" s="2075"/>
      <c r="S396" s="2075"/>
      <c r="T396" s="2075"/>
      <c r="U396" s="2075"/>
      <c r="V396" s="2075"/>
      <c r="W396" s="2075"/>
      <c r="X396" s="2075"/>
      <c r="Y396" s="2075"/>
      <c r="Z396" s="2075"/>
      <c r="AA396" s="2075"/>
      <c r="AB396" s="2075"/>
      <c r="AC396" s="2075"/>
      <c r="AD396" s="2075"/>
      <c r="AE396" s="2075"/>
      <c r="AF396" s="2075"/>
      <c r="AG396" s="2075"/>
      <c r="AH396" s="2075"/>
      <c r="AI396" s="2075"/>
      <c r="AJ396" s="2075"/>
      <c r="AK396" s="2075"/>
      <c r="AL396" s="2075"/>
    </row>
    <row r="397" spans="1:54" x14ac:dyDescent="0.3">
      <c r="A397" s="1945" t="s">
        <v>46</v>
      </c>
      <c r="B397" s="1945"/>
      <c r="C397" s="1945"/>
      <c r="D397" s="1945"/>
      <c r="E397" s="1945"/>
      <c r="F397" s="1945"/>
      <c r="G397" s="2057" t="s">
        <v>600</v>
      </c>
      <c r="H397" s="2057"/>
      <c r="I397" s="2057"/>
      <c r="J397" s="2057"/>
      <c r="K397" s="2057" t="s">
        <v>1741</v>
      </c>
      <c r="L397" s="2057"/>
      <c r="M397" s="2057"/>
      <c r="N397" s="2057"/>
      <c r="O397" s="2054" t="s">
        <v>982</v>
      </c>
      <c r="P397" s="2054"/>
      <c r="Q397" s="2054"/>
      <c r="R397" s="2054"/>
      <c r="S397" s="2054" t="s">
        <v>1742</v>
      </c>
      <c r="T397" s="2054"/>
      <c r="U397" s="2054"/>
      <c r="V397" s="2054"/>
      <c r="W397" s="2057" t="s">
        <v>601</v>
      </c>
      <c r="X397" s="2057"/>
      <c r="Y397" s="2057"/>
      <c r="Z397" s="2057"/>
      <c r="AA397" s="2057" t="s">
        <v>1743</v>
      </c>
      <c r="AB397" s="2057"/>
      <c r="AC397" s="2057"/>
      <c r="AD397" s="2057"/>
      <c r="AE397" s="2054" t="s">
        <v>983</v>
      </c>
      <c r="AF397" s="2054"/>
      <c r="AG397" s="2054"/>
      <c r="AH397" s="2054"/>
      <c r="AI397" s="2054" t="s">
        <v>1744</v>
      </c>
      <c r="AJ397" s="2054"/>
      <c r="AK397" s="2054"/>
      <c r="AL397" s="2054"/>
    </row>
    <row r="398" spans="1:54" x14ac:dyDescent="0.3">
      <c r="A398" s="1938" t="s">
        <v>1796</v>
      </c>
      <c r="B398" s="1938"/>
      <c r="C398" s="1938"/>
      <c r="D398" s="1938"/>
      <c r="E398" s="1938"/>
      <c r="F398" s="1938"/>
      <c r="G398" s="1956">
        <f t="shared" ref="G398:G408" si="57">ROUND(($AB$95-$G$127)*$Q$73*VLOOKUP($A398,$A$167:$Q$177,15,TRUE)*VLOOKUP($A398,$N$146:$AG$156,17,TRUE)*$Q$78,3)</f>
        <v>6.9560000000000004</v>
      </c>
      <c r="H398" s="1956"/>
      <c r="I398" s="1956"/>
      <c r="J398" s="1956"/>
      <c r="K398" s="1956">
        <f t="shared" ref="K398:K408" si="58">ROUND(($AB$95-$I$127)*$Q$73*VLOOKUP($A398,$A$167:$Q$177,15,TRUE)*VLOOKUP($A398,$N$146:$AG$156,17,TRUE)*$Q$78,3)</f>
        <v>12.391</v>
      </c>
      <c r="L398" s="1956"/>
      <c r="M398" s="1956"/>
      <c r="N398" s="1956"/>
      <c r="O398" s="1956">
        <f t="shared" ref="O398:O408" si="59">ROUND(($AB$94-$G$126)*$Q$73*VLOOKUP($A398,$A$167:$Q$177,15,TRUE)*VLOOKUP($A398,$N$146:$AG$156,17,TRUE)*$Q$78,3)</f>
        <v>15.217000000000001</v>
      </c>
      <c r="P398" s="1956"/>
      <c r="Q398" s="1956"/>
      <c r="R398" s="1956"/>
      <c r="S398" s="1956">
        <f t="shared" ref="S398:S408" si="60">ROUND(($AB$94-$I$126)*$Q$73*VLOOKUP($A398,$A$167:$Q$177,15,TRUE)*VLOOKUP($A398,$N$146:$AG$156,17,TRUE)*$Q$78,3)</f>
        <v>20.651</v>
      </c>
      <c r="T398" s="1956"/>
      <c r="U398" s="1956"/>
      <c r="V398" s="1956"/>
      <c r="W398" s="1956">
        <f t="shared" ref="W398:W408" si="61">ROUND(($AB$93-$G$125)*$Q$73*VLOOKUP($A398,$A$167:$Q$177,15,TRUE)*VLOOKUP($A398,$N$146:$AG$156,17,TRUE)*$Q$78,3)</f>
        <v>27.39</v>
      </c>
      <c r="X398" s="1956"/>
      <c r="Y398" s="1956"/>
      <c r="Z398" s="1956"/>
      <c r="AA398" s="1956">
        <f t="shared" ref="AA398:AA408" si="62">ROUND(($AB$93-$I$125)*$Q$73*VLOOKUP($A398,$A$167:$Q$177,15,TRUE)*VLOOKUP($A398,$N$146:$AG$156,17,TRUE)*$Q$78,3)</f>
        <v>32.825000000000003</v>
      </c>
      <c r="AB398" s="1956"/>
      <c r="AC398" s="1956"/>
      <c r="AD398" s="1956"/>
      <c r="AE398" s="1956">
        <f t="shared" ref="AE398:AE408" si="63">ROUND(($AB$92-$G$124)*$Q$73*VLOOKUP($A398,$A$167:$Q$177,15,TRUE)*VLOOKUP($A398,$N$146:$AG$156,17,TRUE)*$Q$78,3)</f>
        <v>33.694000000000003</v>
      </c>
      <c r="AF398" s="1956"/>
      <c r="AG398" s="1956"/>
      <c r="AH398" s="1956"/>
      <c r="AI398" s="1956">
        <f t="shared" ref="AI398:AI408" si="64">ROUND(($AB$92-$I$124)*$Q$73*VLOOKUP($A398,$A$167:$Q$177,15,TRUE)*VLOOKUP($A398,$N$146:$AG$156,17,TRUE)*$Q$78,3)</f>
        <v>39.128999999999998</v>
      </c>
      <c r="AJ398" s="1956"/>
      <c r="AK398" s="1956"/>
      <c r="AL398" s="1956"/>
    </row>
    <row r="399" spans="1:54" x14ac:dyDescent="0.3">
      <c r="A399" s="1938" t="s">
        <v>211</v>
      </c>
      <c r="B399" s="1938"/>
      <c r="C399" s="1938"/>
      <c r="D399" s="1938"/>
      <c r="E399" s="1938"/>
      <c r="F399" s="1938"/>
      <c r="G399" s="1956">
        <f t="shared" si="57"/>
        <v>23.878</v>
      </c>
      <c r="H399" s="1956"/>
      <c r="I399" s="1956"/>
      <c r="J399" s="1956"/>
      <c r="K399" s="1956">
        <f t="shared" si="58"/>
        <v>42.531999999999996</v>
      </c>
      <c r="L399" s="1956"/>
      <c r="M399" s="1956"/>
      <c r="N399" s="1956"/>
      <c r="O399" s="1956">
        <f t="shared" si="59"/>
        <v>52.231999999999999</v>
      </c>
      <c r="P399" s="1956"/>
      <c r="Q399" s="1956"/>
      <c r="R399" s="1956"/>
      <c r="S399" s="1956">
        <f t="shared" si="60"/>
        <v>70.885999999999996</v>
      </c>
      <c r="T399" s="1956"/>
      <c r="U399" s="1956"/>
      <c r="V399" s="1956"/>
      <c r="W399" s="1956">
        <f t="shared" si="61"/>
        <v>94.018000000000001</v>
      </c>
      <c r="X399" s="1956"/>
      <c r="Y399" s="1956"/>
      <c r="Z399" s="1956"/>
      <c r="AA399" s="1956">
        <f t="shared" si="62"/>
        <v>112.672</v>
      </c>
      <c r="AB399" s="1956"/>
      <c r="AC399" s="1956"/>
      <c r="AD399" s="1956"/>
      <c r="AE399" s="1956">
        <f t="shared" si="63"/>
        <v>115.657</v>
      </c>
      <c r="AF399" s="1956"/>
      <c r="AG399" s="1956"/>
      <c r="AH399" s="1956"/>
      <c r="AI399" s="1956">
        <f t="shared" si="64"/>
        <v>134.31100000000001</v>
      </c>
      <c r="AJ399" s="1956"/>
      <c r="AK399" s="1956"/>
      <c r="AL399" s="1956"/>
    </row>
    <row r="400" spans="1:54" x14ac:dyDescent="0.3">
      <c r="A400" s="1938" t="s">
        <v>212</v>
      </c>
      <c r="B400" s="1938"/>
      <c r="C400" s="1938"/>
      <c r="D400" s="1938"/>
      <c r="E400" s="1938"/>
      <c r="F400" s="1938"/>
      <c r="G400" s="1956">
        <f t="shared" si="57"/>
        <v>6.6719999999999997</v>
      </c>
      <c r="H400" s="1956"/>
      <c r="I400" s="1956"/>
      <c r="J400" s="1956"/>
      <c r="K400" s="1956">
        <f t="shared" si="58"/>
        <v>11.884</v>
      </c>
      <c r="L400" s="1956"/>
      <c r="M400" s="1956"/>
      <c r="N400" s="1956"/>
      <c r="O400" s="1956">
        <f t="shared" si="59"/>
        <v>14.595000000000001</v>
      </c>
      <c r="P400" s="1956"/>
      <c r="Q400" s="1956"/>
      <c r="R400" s="1956"/>
      <c r="S400" s="1956">
        <f t="shared" si="60"/>
        <v>19.806999999999999</v>
      </c>
      <c r="T400" s="1956"/>
      <c r="U400" s="1956"/>
      <c r="V400" s="1956"/>
      <c r="W400" s="1956">
        <f t="shared" si="61"/>
        <v>26.27</v>
      </c>
      <c r="X400" s="1956"/>
      <c r="Y400" s="1956"/>
      <c r="Z400" s="1956"/>
      <c r="AA400" s="1956">
        <f t="shared" si="62"/>
        <v>31.483000000000001</v>
      </c>
      <c r="AB400" s="1956"/>
      <c r="AC400" s="1956"/>
      <c r="AD400" s="1956"/>
      <c r="AE400" s="1956">
        <f t="shared" si="63"/>
        <v>32.317</v>
      </c>
      <c r="AF400" s="1956"/>
      <c r="AG400" s="1956"/>
      <c r="AH400" s="1956"/>
      <c r="AI400" s="1956">
        <f t="shared" si="64"/>
        <v>37.529000000000003</v>
      </c>
      <c r="AJ400" s="1956"/>
      <c r="AK400" s="1956"/>
      <c r="AL400" s="1956"/>
    </row>
    <row r="401" spans="1:38" x14ac:dyDescent="0.3">
      <c r="A401" s="1938" t="s">
        <v>213</v>
      </c>
      <c r="B401" s="1938"/>
      <c r="C401" s="1938"/>
      <c r="D401" s="1938"/>
      <c r="E401" s="1938"/>
      <c r="F401" s="1938"/>
      <c r="G401" s="1956">
        <f t="shared" si="57"/>
        <v>17.053000000000001</v>
      </c>
      <c r="H401" s="1956"/>
      <c r="I401" s="1956"/>
      <c r="J401" s="1956"/>
      <c r="K401" s="1956">
        <f t="shared" si="58"/>
        <v>30.376000000000001</v>
      </c>
      <c r="L401" s="1956"/>
      <c r="M401" s="1956"/>
      <c r="N401" s="1956"/>
      <c r="O401" s="1956">
        <f t="shared" si="59"/>
        <v>37.302999999999997</v>
      </c>
      <c r="P401" s="1956"/>
      <c r="Q401" s="1956"/>
      <c r="R401" s="1956"/>
      <c r="S401" s="1956">
        <f t="shared" si="60"/>
        <v>50.625999999999998</v>
      </c>
      <c r="T401" s="1956"/>
      <c r="U401" s="1956"/>
      <c r="V401" s="1956"/>
      <c r="W401" s="1956">
        <f t="shared" si="61"/>
        <v>67.146000000000001</v>
      </c>
      <c r="X401" s="1956"/>
      <c r="Y401" s="1956"/>
      <c r="Z401" s="1956"/>
      <c r="AA401" s="1956">
        <f t="shared" si="62"/>
        <v>80.468999999999994</v>
      </c>
      <c r="AB401" s="1956"/>
      <c r="AC401" s="1956"/>
      <c r="AD401" s="1956"/>
      <c r="AE401" s="1956">
        <f t="shared" si="63"/>
        <v>82.6</v>
      </c>
      <c r="AF401" s="1956"/>
      <c r="AG401" s="1956"/>
      <c r="AH401" s="1956"/>
      <c r="AI401" s="1956">
        <f t="shared" si="64"/>
        <v>95.923000000000002</v>
      </c>
      <c r="AJ401" s="1956"/>
      <c r="AK401" s="1956"/>
      <c r="AL401" s="1956"/>
    </row>
    <row r="402" spans="1:38" x14ac:dyDescent="0.3">
      <c r="A402" s="1938" t="s">
        <v>214</v>
      </c>
      <c r="B402" s="1938"/>
      <c r="C402" s="1938"/>
      <c r="D402" s="1938"/>
      <c r="E402" s="1938"/>
      <c r="F402" s="1938"/>
      <c r="G402" s="1956">
        <f t="shared" si="57"/>
        <v>18.393000000000001</v>
      </c>
      <c r="H402" s="1956"/>
      <c r="I402" s="1956"/>
      <c r="J402" s="1956"/>
      <c r="K402" s="1956">
        <f t="shared" si="58"/>
        <v>32.762</v>
      </c>
      <c r="L402" s="1956"/>
      <c r="M402" s="1956"/>
      <c r="N402" s="1956"/>
      <c r="O402" s="1956">
        <f t="shared" si="59"/>
        <v>40.234000000000002</v>
      </c>
      <c r="P402" s="1956"/>
      <c r="Q402" s="1956"/>
      <c r="R402" s="1956"/>
      <c r="S402" s="1956">
        <f t="shared" si="60"/>
        <v>54.603000000000002</v>
      </c>
      <c r="T402" s="1956"/>
      <c r="U402" s="1956"/>
      <c r="V402" s="1956"/>
      <c r="W402" s="1956">
        <f t="shared" si="61"/>
        <v>72.421000000000006</v>
      </c>
      <c r="X402" s="1956"/>
      <c r="Y402" s="1956"/>
      <c r="Z402" s="1956"/>
      <c r="AA402" s="1956">
        <f t="shared" si="62"/>
        <v>86.79</v>
      </c>
      <c r="AB402" s="1956"/>
      <c r="AC402" s="1956"/>
      <c r="AD402" s="1956"/>
      <c r="AE402" s="1956">
        <f t="shared" si="63"/>
        <v>89.088999999999999</v>
      </c>
      <c r="AF402" s="1956"/>
      <c r="AG402" s="1956"/>
      <c r="AH402" s="1956"/>
      <c r="AI402" s="1956">
        <f t="shared" si="64"/>
        <v>103.459</v>
      </c>
      <c r="AJ402" s="1956"/>
      <c r="AK402" s="1956"/>
      <c r="AL402" s="1956"/>
    </row>
    <row r="403" spans="1:38" x14ac:dyDescent="0.3">
      <c r="A403" s="1938" t="s">
        <v>215</v>
      </c>
      <c r="B403" s="1938"/>
      <c r="C403" s="1938"/>
      <c r="D403" s="1938"/>
      <c r="E403" s="1938"/>
      <c r="F403" s="1938"/>
      <c r="G403" s="1956">
        <f t="shared" si="57"/>
        <v>4.819</v>
      </c>
      <c r="H403" s="1956"/>
      <c r="I403" s="1956"/>
      <c r="J403" s="1956"/>
      <c r="K403" s="1956">
        <f t="shared" si="58"/>
        <v>8.5850000000000009</v>
      </c>
      <c r="L403" s="1956"/>
      <c r="M403" s="1956"/>
      <c r="N403" s="1956"/>
      <c r="O403" s="1956">
        <f t="shared" si="59"/>
        <v>10.542</v>
      </c>
      <c r="P403" s="1956"/>
      <c r="Q403" s="1956"/>
      <c r="R403" s="1956"/>
      <c r="S403" s="1956">
        <f t="shared" si="60"/>
        <v>14.308</v>
      </c>
      <c r="T403" s="1956"/>
      <c r="U403" s="1956"/>
      <c r="V403" s="1956"/>
      <c r="W403" s="1956">
        <f t="shared" si="61"/>
        <v>18.975999999999999</v>
      </c>
      <c r="X403" s="1956"/>
      <c r="Y403" s="1956"/>
      <c r="Z403" s="1956"/>
      <c r="AA403" s="1956">
        <f t="shared" si="62"/>
        <v>22.742000000000001</v>
      </c>
      <c r="AB403" s="1956"/>
      <c r="AC403" s="1956"/>
      <c r="AD403" s="1956"/>
      <c r="AE403" s="1956">
        <f t="shared" si="63"/>
        <v>23.344000000000001</v>
      </c>
      <c r="AF403" s="1956"/>
      <c r="AG403" s="1956"/>
      <c r="AH403" s="1956"/>
      <c r="AI403" s="1956">
        <f t="shared" si="64"/>
        <v>27.109000000000002</v>
      </c>
      <c r="AJ403" s="1956"/>
      <c r="AK403" s="1956"/>
      <c r="AL403" s="1956"/>
    </row>
    <row r="404" spans="1:38" x14ac:dyDescent="0.3">
      <c r="A404" s="1938" t="s">
        <v>216</v>
      </c>
      <c r="B404" s="1938"/>
      <c r="C404" s="1938"/>
      <c r="D404" s="1938"/>
      <c r="E404" s="1938"/>
      <c r="F404" s="1938"/>
      <c r="G404" s="1956">
        <f t="shared" si="57"/>
        <v>8.1679999999999993</v>
      </c>
      <c r="H404" s="1956"/>
      <c r="I404" s="1956"/>
      <c r="J404" s="1956"/>
      <c r="K404" s="1956">
        <f t="shared" si="58"/>
        <v>14.55</v>
      </c>
      <c r="L404" s="1956"/>
      <c r="M404" s="1956"/>
      <c r="N404" s="1956"/>
      <c r="O404" s="1956">
        <f t="shared" si="59"/>
        <v>17.867999999999999</v>
      </c>
      <c r="P404" s="1956"/>
      <c r="Q404" s="1956"/>
      <c r="R404" s="1956"/>
      <c r="S404" s="1956">
        <f t="shared" si="60"/>
        <v>24.248999999999999</v>
      </c>
      <c r="T404" s="1956"/>
      <c r="U404" s="1956"/>
      <c r="V404" s="1956"/>
      <c r="W404" s="1956">
        <f t="shared" si="61"/>
        <v>32.161999999999999</v>
      </c>
      <c r="X404" s="1956"/>
      <c r="Y404" s="1956"/>
      <c r="Z404" s="1956"/>
      <c r="AA404" s="1956">
        <f t="shared" si="62"/>
        <v>38.543999999999997</v>
      </c>
      <c r="AB404" s="1956"/>
      <c r="AC404" s="1956"/>
      <c r="AD404" s="1956"/>
      <c r="AE404" s="1956">
        <f t="shared" si="63"/>
        <v>39.564999999999998</v>
      </c>
      <c r="AF404" s="1956"/>
      <c r="AG404" s="1956"/>
      <c r="AH404" s="1956"/>
      <c r="AI404" s="1956">
        <f t="shared" si="64"/>
        <v>45.945999999999998</v>
      </c>
      <c r="AJ404" s="1956"/>
      <c r="AK404" s="1956"/>
      <c r="AL404" s="1956"/>
    </row>
    <row r="405" spans="1:38" x14ac:dyDescent="0.3">
      <c r="A405" s="1938" t="s">
        <v>47</v>
      </c>
      <c r="B405" s="1938"/>
      <c r="C405" s="1938"/>
      <c r="D405" s="1938"/>
      <c r="E405" s="1938"/>
      <c r="F405" s="1938"/>
      <c r="G405" s="1956">
        <f t="shared" si="57"/>
        <v>7.8239999999999998</v>
      </c>
      <c r="H405" s="1956"/>
      <c r="I405" s="1956"/>
      <c r="J405" s="1956"/>
      <c r="K405" s="1956">
        <f t="shared" si="58"/>
        <v>13.936</v>
      </c>
      <c r="L405" s="1956"/>
      <c r="M405" s="1956"/>
      <c r="N405" s="1956"/>
      <c r="O405" s="1956">
        <f t="shared" si="59"/>
        <v>17.114000000000001</v>
      </c>
      <c r="P405" s="1956"/>
      <c r="Q405" s="1956"/>
      <c r="R405" s="1956"/>
      <c r="S405" s="1956">
        <f t="shared" si="60"/>
        <v>23.227</v>
      </c>
      <c r="T405" s="1956"/>
      <c r="U405" s="1956"/>
      <c r="V405" s="1956"/>
      <c r="W405" s="1956">
        <f t="shared" si="61"/>
        <v>30.806000000000001</v>
      </c>
      <c r="X405" s="1956"/>
      <c r="Y405" s="1956"/>
      <c r="Z405" s="1956"/>
      <c r="AA405" s="1956">
        <f t="shared" si="62"/>
        <v>36.917999999999999</v>
      </c>
      <c r="AB405" s="1956"/>
      <c r="AC405" s="1956"/>
      <c r="AD405" s="1956"/>
      <c r="AE405" s="1956">
        <f t="shared" si="63"/>
        <v>37.896000000000001</v>
      </c>
      <c r="AF405" s="1956"/>
      <c r="AG405" s="1956"/>
      <c r="AH405" s="1956"/>
      <c r="AI405" s="1956">
        <f t="shared" si="64"/>
        <v>44.008000000000003</v>
      </c>
      <c r="AJ405" s="1956"/>
      <c r="AK405" s="1956"/>
      <c r="AL405" s="1956"/>
    </row>
    <row r="406" spans="1:38" x14ac:dyDescent="0.3">
      <c r="A406" s="1938" t="s">
        <v>217</v>
      </c>
      <c r="B406" s="1938"/>
      <c r="C406" s="1938"/>
      <c r="D406" s="1938"/>
      <c r="E406" s="1938"/>
      <c r="F406" s="1938"/>
      <c r="G406" s="1956">
        <f t="shared" si="57"/>
        <v>14.048999999999999</v>
      </c>
      <c r="H406" s="1956"/>
      <c r="I406" s="1956"/>
      <c r="J406" s="1956"/>
      <c r="K406" s="1956">
        <f t="shared" si="58"/>
        <v>25.024999999999999</v>
      </c>
      <c r="L406" s="1956"/>
      <c r="M406" s="1956"/>
      <c r="N406" s="1956"/>
      <c r="O406" s="1956">
        <f t="shared" si="59"/>
        <v>30.733000000000001</v>
      </c>
      <c r="P406" s="1956"/>
      <c r="Q406" s="1956"/>
      <c r="R406" s="1956"/>
      <c r="S406" s="1956">
        <f t="shared" si="60"/>
        <v>41.709000000000003</v>
      </c>
      <c r="T406" s="1956"/>
      <c r="U406" s="1956"/>
      <c r="V406" s="1956"/>
      <c r="W406" s="1956">
        <f t="shared" si="61"/>
        <v>55.319000000000003</v>
      </c>
      <c r="X406" s="1956"/>
      <c r="Y406" s="1956"/>
      <c r="Z406" s="1956"/>
      <c r="AA406" s="1956">
        <f t="shared" si="62"/>
        <v>66.295000000000002</v>
      </c>
      <c r="AB406" s="1956"/>
      <c r="AC406" s="1956"/>
      <c r="AD406" s="1956"/>
      <c r="AE406" s="1956">
        <f t="shared" si="63"/>
        <v>68.051000000000002</v>
      </c>
      <c r="AF406" s="1956"/>
      <c r="AG406" s="1956"/>
      <c r="AH406" s="1956"/>
      <c r="AI406" s="1956">
        <f t="shared" si="64"/>
        <v>79.027000000000001</v>
      </c>
      <c r="AJ406" s="1956"/>
      <c r="AK406" s="1956"/>
      <c r="AL406" s="1956"/>
    </row>
    <row r="407" spans="1:38" x14ac:dyDescent="0.3">
      <c r="A407" s="1938" t="s">
        <v>218</v>
      </c>
      <c r="B407" s="1938"/>
      <c r="C407" s="1938"/>
      <c r="D407" s="1938"/>
      <c r="E407" s="1938"/>
      <c r="F407" s="1938"/>
      <c r="G407" s="1956">
        <f t="shared" si="57"/>
        <v>13.308</v>
      </c>
      <c r="H407" s="1956"/>
      <c r="I407" s="1956"/>
      <c r="J407" s="1956"/>
      <c r="K407" s="1956">
        <f t="shared" si="58"/>
        <v>23.704000000000001</v>
      </c>
      <c r="L407" s="1956"/>
      <c r="M407" s="1956"/>
      <c r="N407" s="1956"/>
      <c r="O407" s="1956">
        <f t="shared" si="59"/>
        <v>29.11</v>
      </c>
      <c r="P407" s="1956"/>
      <c r="Q407" s="1956"/>
      <c r="R407" s="1956"/>
      <c r="S407" s="1956">
        <f t="shared" si="60"/>
        <v>39.506999999999998</v>
      </c>
      <c r="T407" s="1956"/>
      <c r="U407" s="1956"/>
      <c r="V407" s="1956"/>
      <c r="W407" s="1956">
        <f t="shared" si="61"/>
        <v>52.399000000000001</v>
      </c>
      <c r="X407" s="1956"/>
      <c r="Y407" s="1956"/>
      <c r="Z407" s="1956"/>
      <c r="AA407" s="1956">
        <f t="shared" si="62"/>
        <v>62.795000000000002</v>
      </c>
      <c r="AB407" s="1956"/>
      <c r="AC407" s="1956"/>
      <c r="AD407" s="1956"/>
      <c r="AE407" s="1956">
        <f t="shared" si="63"/>
        <v>64.459000000000003</v>
      </c>
      <c r="AF407" s="1956"/>
      <c r="AG407" s="1956"/>
      <c r="AH407" s="1956"/>
      <c r="AI407" s="1956">
        <f t="shared" si="64"/>
        <v>74.855000000000004</v>
      </c>
      <c r="AJ407" s="1956"/>
      <c r="AK407" s="1956"/>
      <c r="AL407" s="1956"/>
    </row>
    <row r="408" spans="1:38" x14ac:dyDescent="0.3">
      <c r="A408" s="1938" t="s">
        <v>219</v>
      </c>
      <c r="B408" s="1938"/>
      <c r="C408" s="1938"/>
      <c r="D408" s="1938"/>
      <c r="E408" s="1938"/>
      <c r="F408" s="1938"/>
      <c r="G408" s="1956">
        <f t="shared" si="57"/>
        <v>6.24</v>
      </c>
      <c r="H408" s="1956"/>
      <c r="I408" s="1956"/>
      <c r="J408" s="1956"/>
      <c r="K408" s="1956">
        <f t="shared" si="58"/>
        <v>11.114000000000001</v>
      </c>
      <c r="L408" s="1956"/>
      <c r="M408" s="1956"/>
      <c r="N408" s="1956"/>
      <c r="O408" s="1956">
        <f t="shared" si="59"/>
        <v>13.648999999999999</v>
      </c>
      <c r="P408" s="1956"/>
      <c r="Q408" s="1956"/>
      <c r="R408" s="1956"/>
      <c r="S408" s="1956">
        <f t="shared" si="60"/>
        <v>18.524000000000001</v>
      </c>
      <c r="T408" s="1956"/>
      <c r="U408" s="1956"/>
      <c r="V408" s="1956"/>
      <c r="W408" s="1956">
        <f t="shared" si="61"/>
        <v>24.568999999999999</v>
      </c>
      <c r="X408" s="1956"/>
      <c r="Y408" s="1956"/>
      <c r="Z408" s="1956"/>
      <c r="AA408" s="1956">
        <f t="shared" si="62"/>
        <v>29.443999999999999</v>
      </c>
      <c r="AB408" s="1956"/>
      <c r="AC408" s="1956"/>
      <c r="AD408" s="1956"/>
      <c r="AE408" s="1956">
        <f t="shared" si="63"/>
        <v>30.224</v>
      </c>
      <c r="AF408" s="1956"/>
      <c r="AG408" s="1956"/>
      <c r="AH408" s="1956"/>
      <c r="AI408" s="1956">
        <f t="shared" si="64"/>
        <v>35.097999999999999</v>
      </c>
      <c r="AJ408" s="1956"/>
      <c r="AK408" s="1956"/>
      <c r="AL408" s="1956"/>
    </row>
    <row r="410" spans="1:38" x14ac:dyDescent="0.3">
      <c r="B410" s="231" t="s">
        <v>1750</v>
      </c>
    </row>
    <row r="412" spans="1:38" ht="15.6" x14ac:dyDescent="0.3">
      <c r="A412" s="139" t="s">
        <v>1752</v>
      </c>
      <c r="B412" s="27"/>
      <c r="C412" s="27"/>
      <c r="D412" s="27"/>
      <c r="E412" s="27"/>
      <c r="F412" s="27"/>
    </row>
    <row r="413" spans="1:38" x14ac:dyDescent="0.3">
      <c r="B413" s="152"/>
      <c r="C413" s="152"/>
      <c r="D413" s="152"/>
      <c r="E413" s="152"/>
      <c r="F413" s="152"/>
      <c r="G413" s="2079" t="s">
        <v>1745</v>
      </c>
      <c r="H413" s="2079"/>
      <c r="I413" s="2079"/>
      <c r="J413" s="2079"/>
      <c r="K413" s="2079"/>
      <c r="L413" s="2079"/>
      <c r="M413" s="2079"/>
      <c r="N413" s="2079"/>
      <c r="O413" s="2079"/>
      <c r="P413" s="2079"/>
      <c r="Q413" s="2079"/>
      <c r="R413" s="2079"/>
      <c r="S413" s="2079"/>
      <c r="T413" s="2079"/>
      <c r="U413" s="2079"/>
      <c r="V413" s="2079"/>
      <c r="W413" s="2079"/>
      <c r="X413" s="2079"/>
      <c r="Y413" s="2079"/>
      <c r="Z413" s="2079"/>
      <c r="AA413" s="2079"/>
      <c r="AB413" s="2079"/>
      <c r="AC413" s="2079"/>
      <c r="AD413" s="2079"/>
      <c r="AE413" s="2079"/>
      <c r="AF413" s="2079"/>
      <c r="AG413" s="2079"/>
      <c r="AH413" s="2079"/>
      <c r="AI413" s="2079"/>
      <c r="AJ413" s="2079"/>
      <c r="AK413" s="2079"/>
      <c r="AL413" s="2079"/>
    </row>
    <row r="414" spans="1:38" ht="15" customHeight="1" x14ac:dyDescent="0.3">
      <c r="A414" s="2080" t="s">
        <v>46</v>
      </c>
      <c r="B414" s="2080"/>
      <c r="C414" s="2080"/>
      <c r="D414" s="2080"/>
      <c r="E414" s="2080"/>
      <c r="F414" s="2080"/>
      <c r="G414" s="2076" t="s">
        <v>2911</v>
      </c>
      <c r="H414" s="2076"/>
      <c r="I414" s="2076"/>
      <c r="J414" s="2076"/>
      <c r="K414" s="2076" t="s">
        <v>1741</v>
      </c>
      <c r="L414" s="2076"/>
      <c r="M414" s="2076"/>
      <c r="N414" s="2076"/>
      <c r="O414" s="2077" t="s">
        <v>2912</v>
      </c>
      <c r="P414" s="2077"/>
      <c r="Q414" s="2077"/>
      <c r="R414" s="2077"/>
      <c r="S414" s="2077" t="s">
        <v>1742</v>
      </c>
      <c r="T414" s="2077"/>
      <c r="U414" s="2077"/>
      <c r="V414" s="2077"/>
      <c r="W414" s="2076" t="s">
        <v>2913</v>
      </c>
      <c r="X414" s="2076"/>
      <c r="Y414" s="2076"/>
      <c r="Z414" s="2076"/>
      <c r="AA414" s="2076" t="s">
        <v>1743</v>
      </c>
      <c r="AB414" s="2076"/>
      <c r="AC414" s="2076"/>
      <c r="AD414" s="2076"/>
      <c r="AE414" s="2077" t="s">
        <v>2914</v>
      </c>
      <c r="AF414" s="2077"/>
      <c r="AG414" s="2077"/>
      <c r="AH414" s="2077"/>
      <c r="AI414" s="2077" t="s">
        <v>1744</v>
      </c>
      <c r="AJ414" s="2077"/>
      <c r="AK414" s="2077"/>
      <c r="AL414" s="2077"/>
    </row>
    <row r="415" spans="1:38" x14ac:dyDescent="0.3">
      <c r="A415" s="1938" t="s">
        <v>1796</v>
      </c>
      <c r="B415" s="1938"/>
      <c r="C415" s="1938"/>
      <c r="D415" s="1938"/>
      <c r="E415" s="1938"/>
      <c r="F415" s="1938"/>
      <c r="G415" s="1949">
        <f>ROUND(G398*VLOOKUP($A415,$A$199:$Q$209,15,TRUE)/3,2)</f>
        <v>57.97</v>
      </c>
      <c r="H415" s="1949"/>
      <c r="I415" s="1949"/>
      <c r="J415" s="1949"/>
      <c r="K415" s="1949">
        <f>ROUND(K398*VLOOKUP($A415,$A$199:$Q$209,15,TRUE),2)</f>
        <v>309.77999999999997</v>
      </c>
      <c r="L415" s="1949"/>
      <c r="M415" s="1949"/>
      <c r="N415" s="1949"/>
      <c r="O415" s="1949">
        <f>ROUND(O398*VLOOKUP($A415,$A$199:$Q$209,15,TRUE)/3,2)</f>
        <v>126.81</v>
      </c>
      <c r="P415" s="1949"/>
      <c r="Q415" s="1949"/>
      <c r="R415" s="1949"/>
      <c r="S415" s="1949">
        <f>ROUND(S398*VLOOKUP($A415,$A$199:$Q$209,15,TRUE),2)</f>
        <v>516.28</v>
      </c>
      <c r="T415" s="1949"/>
      <c r="U415" s="1949"/>
      <c r="V415" s="1949"/>
      <c r="W415" s="1949">
        <f>ROUND(W398*VLOOKUP($A415,$A$199:$Q$209,15,TRUE)/3,2)</f>
        <v>228.25</v>
      </c>
      <c r="X415" s="1949"/>
      <c r="Y415" s="1949"/>
      <c r="Z415" s="1949"/>
      <c r="AA415" s="1949">
        <f>ROUND(AA398*VLOOKUP($A415,$A$199:$Q$209,15,TRUE),2)</f>
        <v>820.63</v>
      </c>
      <c r="AB415" s="1949"/>
      <c r="AC415" s="1949"/>
      <c r="AD415" s="1949"/>
      <c r="AE415" s="1949">
        <f>ROUND(AE398*VLOOKUP($A415,$A$199:$Q$209,15,TRUE)/3,2)</f>
        <v>280.77999999999997</v>
      </c>
      <c r="AF415" s="1949"/>
      <c r="AG415" s="1949"/>
      <c r="AH415" s="1949"/>
      <c r="AI415" s="1949">
        <f>ROUND(AI398*VLOOKUP($A415,$A$199:$Q$209,15,TRUE),2)</f>
        <v>978.23</v>
      </c>
      <c r="AJ415" s="1949"/>
      <c r="AK415" s="1949"/>
      <c r="AL415" s="1949"/>
    </row>
    <row r="416" spans="1:38" x14ac:dyDescent="0.3">
      <c r="A416" s="1938" t="s">
        <v>211</v>
      </c>
      <c r="B416" s="1938"/>
      <c r="C416" s="1938"/>
      <c r="D416" s="1938"/>
      <c r="E416" s="1938"/>
      <c r="F416" s="1938"/>
      <c r="G416" s="1949">
        <f t="shared" ref="G416:G425" si="65">ROUND(G399*VLOOKUP($A416,$A$199:$Q$209,15,TRUE)/3,2)</f>
        <v>87.55</v>
      </c>
      <c r="H416" s="1949"/>
      <c r="I416" s="1949"/>
      <c r="J416" s="1949"/>
      <c r="K416" s="1949">
        <f t="shared" ref="K416:K425" si="66">ROUND(K399*VLOOKUP($A416,$A$199:$Q$209,15,TRUE),2)</f>
        <v>467.85</v>
      </c>
      <c r="L416" s="1949"/>
      <c r="M416" s="1949"/>
      <c r="N416" s="1949"/>
      <c r="O416" s="1949">
        <f t="shared" ref="O416:O425" si="67">ROUND(O399*VLOOKUP($A416,$A$199:$Q$209,15,TRUE)/3,2)</f>
        <v>191.52</v>
      </c>
      <c r="P416" s="1949"/>
      <c r="Q416" s="1949"/>
      <c r="R416" s="1949"/>
      <c r="S416" s="1949">
        <f t="shared" ref="S416:S425" si="68">ROUND(S399*VLOOKUP($A416,$A$199:$Q$209,15,TRUE),2)</f>
        <v>779.75</v>
      </c>
      <c r="T416" s="1949"/>
      <c r="U416" s="1949"/>
      <c r="V416" s="1949"/>
      <c r="W416" s="1949">
        <f t="shared" ref="W416:W425" si="69">ROUND(W399*VLOOKUP($A416,$A$199:$Q$209,15,TRUE)/3,2)</f>
        <v>344.73</v>
      </c>
      <c r="X416" s="1949"/>
      <c r="Y416" s="1949"/>
      <c r="Z416" s="1949"/>
      <c r="AA416" s="1949">
        <f t="shared" ref="AA416:AA425" si="70">ROUND(AA399*VLOOKUP($A416,$A$199:$Q$209,15,TRUE),2)</f>
        <v>1239.3900000000001</v>
      </c>
      <c r="AB416" s="1949"/>
      <c r="AC416" s="1949"/>
      <c r="AD416" s="1949"/>
      <c r="AE416" s="1840">
        <f t="shared" ref="AE416:AE425" si="71">ROUND(AE399*VLOOKUP($A416,$A$199:$Q$209,15,TRUE)/3,2)</f>
        <v>424.08</v>
      </c>
      <c r="AF416" s="1841"/>
      <c r="AG416" s="1841"/>
      <c r="AH416" s="1842"/>
      <c r="AI416" s="1949">
        <f t="shared" ref="AI416:AI425" si="72">ROUND(AI399*VLOOKUP($A416,$A$199:$Q$209,15,TRUE),2)</f>
        <v>1477.42</v>
      </c>
      <c r="AJ416" s="1949"/>
      <c r="AK416" s="1949"/>
      <c r="AL416" s="1949"/>
    </row>
    <row r="417" spans="1:41" x14ac:dyDescent="0.3">
      <c r="A417" s="1938" t="s">
        <v>212</v>
      </c>
      <c r="B417" s="1938"/>
      <c r="C417" s="1938"/>
      <c r="D417" s="1938"/>
      <c r="E417" s="1938"/>
      <c r="F417" s="1938"/>
      <c r="G417" s="1949">
        <f t="shared" si="65"/>
        <v>55.6</v>
      </c>
      <c r="H417" s="1949"/>
      <c r="I417" s="1949"/>
      <c r="J417" s="1949"/>
      <c r="K417" s="1949">
        <f t="shared" si="66"/>
        <v>297.10000000000002</v>
      </c>
      <c r="L417" s="1949"/>
      <c r="M417" s="1949"/>
      <c r="N417" s="1949"/>
      <c r="O417" s="1949">
        <f t="shared" si="67"/>
        <v>121.63</v>
      </c>
      <c r="P417" s="1949"/>
      <c r="Q417" s="1949"/>
      <c r="R417" s="1949"/>
      <c r="S417" s="1949">
        <f t="shared" si="68"/>
        <v>495.18</v>
      </c>
      <c r="T417" s="1949"/>
      <c r="U417" s="1949"/>
      <c r="V417" s="1949"/>
      <c r="W417" s="1949">
        <f t="shared" si="69"/>
        <v>218.92</v>
      </c>
      <c r="X417" s="1949"/>
      <c r="Y417" s="1949"/>
      <c r="Z417" s="1949"/>
      <c r="AA417" s="1949">
        <f t="shared" si="70"/>
        <v>787.08</v>
      </c>
      <c r="AB417" s="1949"/>
      <c r="AC417" s="1949"/>
      <c r="AD417" s="1949"/>
      <c r="AE417" s="1840">
        <f t="shared" si="71"/>
        <v>269.31</v>
      </c>
      <c r="AF417" s="1841"/>
      <c r="AG417" s="1841"/>
      <c r="AH417" s="1842"/>
      <c r="AI417" s="1949">
        <f t="shared" si="72"/>
        <v>938.23</v>
      </c>
      <c r="AJ417" s="1949"/>
      <c r="AK417" s="1949"/>
      <c r="AL417" s="1949"/>
    </row>
    <row r="418" spans="1:41" x14ac:dyDescent="0.3">
      <c r="A418" s="1938" t="s">
        <v>213</v>
      </c>
      <c r="B418" s="1938"/>
      <c r="C418" s="1938"/>
      <c r="D418" s="1938"/>
      <c r="E418" s="1938"/>
      <c r="F418" s="1938"/>
      <c r="G418" s="1949">
        <f t="shared" si="65"/>
        <v>56.84</v>
      </c>
      <c r="H418" s="1949"/>
      <c r="I418" s="1949"/>
      <c r="J418" s="1949"/>
      <c r="K418" s="1949">
        <f t="shared" si="66"/>
        <v>303.76</v>
      </c>
      <c r="L418" s="1949"/>
      <c r="M418" s="1949"/>
      <c r="N418" s="1949"/>
      <c r="O418" s="1949">
        <f t="shared" si="67"/>
        <v>124.34</v>
      </c>
      <c r="P418" s="1949"/>
      <c r="Q418" s="1949"/>
      <c r="R418" s="1949"/>
      <c r="S418" s="1949">
        <f t="shared" si="68"/>
        <v>506.26</v>
      </c>
      <c r="T418" s="1949"/>
      <c r="U418" s="1949"/>
      <c r="V418" s="1949"/>
      <c r="W418" s="1949">
        <f t="shared" si="69"/>
        <v>223.82</v>
      </c>
      <c r="X418" s="1949"/>
      <c r="Y418" s="1949"/>
      <c r="Z418" s="1949"/>
      <c r="AA418" s="1949">
        <f t="shared" si="70"/>
        <v>804.69</v>
      </c>
      <c r="AB418" s="1949"/>
      <c r="AC418" s="1949"/>
      <c r="AD418" s="1949"/>
      <c r="AE418" s="1840">
        <f t="shared" si="71"/>
        <v>275.33</v>
      </c>
      <c r="AF418" s="1841"/>
      <c r="AG418" s="1841"/>
      <c r="AH418" s="1842"/>
      <c r="AI418" s="1949">
        <f t="shared" si="72"/>
        <v>959.23</v>
      </c>
      <c r="AJ418" s="1949"/>
      <c r="AK418" s="1949"/>
      <c r="AL418" s="1949"/>
    </row>
    <row r="419" spans="1:41" x14ac:dyDescent="0.3">
      <c r="A419" s="1938" t="s">
        <v>214</v>
      </c>
      <c r="B419" s="1938"/>
      <c r="C419" s="1938"/>
      <c r="D419" s="1938"/>
      <c r="E419" s="1938"/>
      <c r="F419" s="1938"/>
      <c r="G419" s="1949">
        <f t="shared" si="65"/>
        <v>61.31</v>
      </c>
      <c r="H419" s="1949"/>
      <c r="I419" s="1949"/>
      <c r="J419" s="1949"/>
      <c r="K419" s="1949">
        <f t="shared" si="66"/>
        <v>327.62</v>
      </c>
      <c r="L419" s="1949"/>
      <c r="M419" s="1949"/>
      <c r="N419" s="1949"/>
      <c r="O419" s="1949">
        <f t="shared" si="67"/>
        <v>134.11000000000001</v>
      </c>
      <c r="P419" s="1949"/>
      <c r="Q419" s="1949"/>
      <c r="R419" s="1949"/>
      <c r="S419" s="1949">
        <f t="shared" si="68"/>
        <v>546.03</v>
      </c>
      <c r="T419" s="1949"/>
      <c r="U419" s="1949"/>
      <c r="V419" s="1949"/>
      <c r="W419" s="1949">
        <f t="shared" si="69"/>
        <v>241.4</v>
      </c>
      <c r="X419" s="1949"/>
      <c r="Y419" s="1949"/>
      <c r="Z419" s="1949"/>
      <c r="AA419" s="1949">
        <f t="shared" si="70"/>
        <v>867.9</v>
      </c>
      <c r="AB419" s="1949"/>
      <c r="AC419" s="1949"/>
      <c r="AD419" s="1949"/>
      <c r="AE419" s="1840">
        <f t="shared" si="71"/>
        <v>296.95999999999998</v>
      </c>
      <c r="AF419" s="1841"/>
      <c r="AG419" s="1841"/>
      <c r="AH419" s="1842"/>
      <c r="AI419" s="1949">
        <f t="shared" si="72"/>
        <v>1034.5899999999999</v>
      </c>
      <c r="AJ419" s="1949"/>
      <c r="AK419" s="1949"/>
      <c r="AL419" s="1949"/>
    </row>
    <row r="420" spans="1:41" x14ac:dyDescent="0.3">
      <c r="A420" s="1938" t="s">
        <v>215</v>
      </c>
      <c r="B420" s="1938"/>
      <c r="C420" s="1938"/>
      <c r="D420" s="1938"/>
      <c r="E420" s="1938"/>
      <c r="F420" s="1938"/>
      <c r="G420" s="1949">
        <f t="shared" si="65"/>
        <v>40.159999999999997</v>
      </c>
      <c r="H420" s="1949"/>
      <c r="I420" s="1949"/>
      <c r="J420" s="1949"/>
      <c r="K420" s="1949">
        <f t="shared" si="66"/>
        <v>214.63</v>
      </c>
      <c r="L420" s="1949"/>
      <c r="M420" s="1949"/>
      <c r="N420" s="1949"/>
      <c r="O420" s="1949">
        <f t="shared" si="67"/>
        <v>87.85</v>
      </c>
      <c r="P420" s="1949"/>
      <c r="Q420" s="1949"/>
      <c r="R420" s="1949"/>
      <c r="S420" s="1949">
        <f t="shared" si="68"/>
        <v>357.7</v>
      </c>
      <c r="T420" s="1949"/>
      <c r="U420" s="1949"/>
      <c r="V420" s="1949"/>
      <c r="W420" s="1949">
        <f t="shared" si="69"/>
        <v>158.13</v>
      </c>
      <c r="X420" s="1949"/>
      <c r="Y420" s="1949"/>
      <c r="Z420" s="1949"/>
      <c r="AA420" s="1949">
        <f t="shared" si="70"/>
        <v>568.54999999999995</v>
      </c>
      <c r="AB420" s="1949"/>
      <c r="AC420" s="1949"/>
      <c r="AD420" s="1949"/>
      <c r="AE420" s="1840">
        <f t="shared" si="71"/>
        <v>194.53</v>
      </c>
      <c r="AF420" s="1841"/>
      <c r="AG420" s="1841"/>
      <c r="AH420" s="1842"/>
      <c r="AI420" s="1949">
        <f t="shared" si="72"/>
        <v>677.73</v>
      </c>
      <c r="AJ420" s="1949"/>
      <c r="AK420" s="1949"/>
      <c r="AL420" s="1949"/>
    </row>
    <row r="421" spans="1:41" x14ac:dyDescent="0.3">
      <c r="A421" s="1938" t="s">
        <v>216</v>
      </c>
      <c r="B421" s="1938"/>
      <c r="C421" s="1938"/>
      <c r="D421" s="1938"/>
      <c r="E421" s="1938"/>
      <c r="F421" s="1938"/>
      <c r="G421" s="1949">
        <f t="shared" si="65"/>
        <v>59.9</v>
      </c>
      <c r="H421" s="1949"/>
      <c r="I421" s="1949"/>
      <c r="J421" s="1949"/>
      <c r="K421" s="1949">
        <f t="shared" si="66"/>
        <v>320.10000000000002</v>
      </c>
      <c r="L421" s="1949"/>
      <c r="M421" s="1949"/>
      <c r="N421" s="1949"/>
      <c r="O421" s="1949">
        <f t="shared" si="67"/>
        <v>131.03</v>
      </c>
      <c r="P421" s="1949"/>
      <c r="Q421" s="1949"/>
      <c r="R421" s="1949"/>
      <c r="S421" s="1949">
        <f t="shared" si="68"/>
        <v>533.48</v>
      </c>
      <c r="T421" s="1949"/>
      <c r="U421" s="1949"/>
      <c r="V421" s="1949"/>
      <c r="W421" s="1949">
        <f t="shared" si="69"/>
        <v>235.85</v>
      </c>
      <c r="X421" s="1949"/>
      <c r="Y421" s="1949"/>
      <c r="Z421" s="1949"/>
      <c r="AA421" s="1949">
        <f t="shared" si="70"/>
        <v>847.97</v>
      </c>
      <c r="AB421" s="1949"/>
      <c r="AC421" s="1949"/>
      <c r="AD421" s="1949"/>
      <c r="AE421" s="1840">
        <f t="shared" si="71"/>
        <v>290.14</v>
      </c>
      <c r="AF421" s="1841"/>
      <c r="AG421" s="1841"/>
      <c r="AH421" s="1842"/>
      <c r="AI421" s="1949">
        <f t="shared" si="72"/>
        <v>1010.81</v>
      </c>
      <c r="AJ421" s="1949"/>
      <c r="AK421" s="1949"/>
      <c r="AL421" s="1949"/>
    </row>
    <row r="422" spans="1:41" x14ac:dyDescent="0.3">
      <c r="A422" s="1938" t="s">
        <v>47</v>
      </c>
      <c r="B422" s="1938"/>
      <c r="C422" s="1938"/>
      <c r="D422" s="1938"/>
      <c r="E422" s="1938"/>
      <c r="F422" s="1938"/>
      <c r="G422" s="1949">
        <f t="shared" si="65"/>
        <v>65.2</v>
      </c>
      <c r="H422" s="1949"/>
      <c r="I422" s="1949"/>
      <c r="J422" s="1949"/>
      <c r="K422" s="1949">
        <f t="shared" si="66"/>
        <v>348.4</v>
      </c>
      <c r="L422" s="1949"/>
      <c r="M422" s="1949"/>
      <c r="N422" s="1949"/>
      <c r="O422" s="1949">
        <f t="shared" si="67"/>
        <v>142.62</v>
      </c>
      <c r="P422" s="1949"/>
      <c r="Q422" s="1949"/>
      <c r="R422" s="1949"/>
      <c r="S422" s="1949">
        <f t="shared" si="68"/>
        <v>580.67999999999995</v>
      </c>
      <c r="T422" s="1949"/>
      <c r="U422" s="1949"/>
      <c r="V422" s="1949"/>
      <c r="W422" s="1949">
        <f t="shared" si="69"/>
        <v>256.72000000000003</v>
      </c>
      <c r="X422" s="1949"/>
      <c r="Y422" s="1949"/>
      <c r="Z422" s="1949"/>
      <c r="AA422" s="1949">
        <f t="shared" si="70"/>
        <v>922.95</v>
      </c>
      <c r="AB422" s="1949"/>
      <c r="AC422" s="1949"/>
      <c r="AD422" s="1949"/>
      <c r="AE422" s="1840">
        <f t="shared" si="71"/>
        <v>315.8</v>
      </c>
      <c r="AF422" s="1841"/>
      <c r="AG422" s="1841"/>
      <c r="AH422" s="1842"/>
      <c r="AI422" s="1949">
        <f t="shared" si="72"/>
        <v>1100.2</v>
      </c>
      <c r="AJ422" s="1949"/>
      <c r="AK422" s="1949"/>
      <c r="AL422" s="1949"/>
    </row>
    <row r="423" spans="1:41" x14ac:dyDescent="0.3">
      <c r="A423" s="1938" t="s">
        <v>217</v>
      </c>
      <c r="B423" s="1938"/>
      <c r="C423" s="1938"/>
      <c r="D423" s="1938"/>
      <c r="E423" s="1938"/>
      <c r="F423" s="1938"/>
      <c r="G423" s="1949">
        <f t="shared" si="65"/>
        <v>65.56</v>
      </c>
      <c r="H423" s="1949"/>
      <c r="I423" s="1949"/>
      <c r="J423" s="1949"/>
      <c r="K423" s="1949">
        <f t="shared" si="66"/>
        <v>350.35</v>
      </c>
      <c r="L423" s="1949"/>
      <c r="M423" s="1949"/>
      <c r="N423" s="1949"/>
      <c r="O423" s="1949">
        <f t="shared" si="67"/>
        <v>143.41999999999999</v>
      </c>
      <c r="P423" s="1949"/>
      <c r="Q423" s="1949"/>
      <c r="R423" s="1949"/>
      <c r="S423" s="1949">
        <f t="shared" si="68"/>
        <v>583.92999999999995</v>
      </c>
      <c r="T423" s="1949"/>
      <c r="U423" s="1949"/>
      <c r="V423" s="1949"/>
      <c r="W423" s="1949">
        <f t="shared" si="69"/>
        <v>258.16000000000003</v>
      </c>
      <c r="X423" s="1949"/>
      <c r="Y423" s="1949"/>
      <c r="Z423" s="1949"/>
      <c r="AA423" s="1949">
        <f t="shared" si="70"/>
        <v>928.13</v>
      </c>
      <c r="AB423" s="1949"/>
      <c r="AC423" s="1949"/>
      <c r="AD423" s="1949"/>
      <c r="AE423" s="1840">
        <f t="shared" si="71"/>
        <v>317.57</v>
      </c>
      <c r="AF423" s="1841"/>
      <c r="AG423" s="1841"/>
      <c r="AH423" s="1842"/>
      <c r="AI423" s="1949">
        <f t="shared" si="72"/>
        <v>1106.3800000000001</v>
      </c>
      <c r="AJ423" s="1949"/>
      <c r="AK423" s="1949"/>
      <c r="AL423" s="1949"/>
    </row>
    <row r="424" spans="1:41" x14ac:dyDescent="0.3">
      <c r="A424" s="1938" t="s">
        <v>218</v>
      </c>
      <c r="B424" s="1938"/>
      <c r="C424" s="1938"/>
      <c r="D424" s="1938"/>
      <c r="E424" s="1938"/>
      <c r="F424" s="1938"/>
      <c r="G424" s="1949">
        <f t="shared" si="65"/>
        <v>62.1</v>
      </c>
      <c r="H424" s="1949"/>
      <c r="I424" s="1949"/>
      <c r="J424" s="1949"/>
      <c r="K424" s="1949">
        <f t="shared" si="66"/>
        <v>331.86</v>
      </c>
      <c r="L424" s="1949"/>
      <c r="M424" s="1949"/>
      <c r="N424" s="1949"/>
      <c r="O424" s="1949">
        <f t="shared" si="67"/>
        <v>135.85</v>
      </c>
      <c r="P424" s="1949"/>
      <c r="Q424" s="1949"/>
      <c r="R424" s="1949"/>
      <c r="S424" s="1949">
        <f t="shared" si="68"/>
        <v>553.1</v>
      </c>
      <c r="T424" s="1949"/>
      <c r="U424" s="1949"/>
      <c r="V424" s="1949"/>
      <c r="W424" s="1949">
        <f t="shared" si="69"/>
        <v>244.53</v>
      </c>
      <c r="X424" s="1949"/>
      <c r="Y424" s="1949"/>
      <c r="Z424" s="1949"/>
      <c r="AA424" s="1949">
        <f t="shared" si="70"/>
        <v>879.13</v>
      </c>
      <c r="AB424" s="1949"/>
      <c r="AC424" s="1949"/>
      <c r="AD424" s="1949"/>
      <c r="AE424" s="1840">
        <f t="shared" si="71"/>
        <v>300.81</v>
      </c>
      <c r="AF424" s="1841"/>
      <c r="AG424" s="1841"/>
      <c r="AH424" s="1842"/>
      <c r="AI424" s="1949">
        <f t="shared" si="72"/>
        <v>1047.97</v>
      </c>
      <c r="AJ424" s="1949"/>
      <c r="AK424" s="1949"/>
      <c r="AL424" s="1949"/>
    </row>
    <row r="425" spans="1:41" x14ac:dyDescent="0.3">
      <c r="A425" s="1938" t="s">
        <v>219</v>
      </c>
      <c r="B425" s="1938"/>
      <c r="C425" s="1938"/>
      <c r="D425" s="1938"/>
      <c r="E425" s="1938"/>
      <c r="F425" s="1938"/>
      <c r="G425" s="1949">
        <f t="shared" si="65"/>
        <v>52</v>
      </c>
      <c r="H425" s="1949"/>
      <c r="I425" s="1949"/>
      <c r="J425" s="1949"/>
      <c r="K425" s="1949">
        <f t="shared" si="66"/>
        <v>277.85000000000002</v>
      </c>
      <c r="L425" s="1949"/>
      <c r="M425" s="1949"/>
      <c r="N425" s="1949"/>
      <c r="O425" s="1949">
        <f t="shared" si="67"/>
        <v>113.74</v>
      </c>
      <c r="P425" s="1949"/>
      <c r="Q425" s="1949"/>
      <c r="R425" s="1949"/>
      <c r="S425" s="1949">
        <f t="shared" si="68"/>
        <v>463.1</v>
      </c>
      <c r="T425" s="1949"/>
      <c r="U425" s="1949"/>
      <c r="V425" s="1949"/>
      <c r="W425" s="1949">
        <f t="shared" si="69"/>
        <v>204.74</v>
      </c>
      <c r="X425" s="1949"/>
      <c r="Y425" s="1949"/>
      <c r="Z425" s="1949"/>
      <c r="AA425" s="1949">
        <f t="shared" si="70"/>
        <v>736.1</v>
      </c>
      <c r="AB425" s="1949"/>
      <c r="AC425" s="1949"/>
      <c r="AD425" s="1949"/>
      <c r="AE425" s="1840">
        <f t="shared" si="71"/>
        <v>251.87</v>
      </c>
      <c r="AF425" s="1841"/>
      <c r="AG425" s="1841"/>
      <c r="AH425" s="1842"/>
      <c r="AI425" s="1949">
        <f t="shared" si="72"/>
        <v>877.45</v>
      </c>
      <c r="AJ425" s="1949"/>
      <c r="AK425" s="1949"/>
      <c r="AL425" s="1949"/>
    </row>
    <row r="426" spans="1:41" ht="67.5" customHeight="1" x14ac:dyDescent="0.3">
      <c r="A426" s="1082" t="s">
        <v>2910</v>
      </c>
      <c r="B426" s="1082"/>
      <c r="C426" s="1082"/>
      <c r="D426" s="1082"/>
      <c r="E426" s="1082"/>
      <c r="F426" s="1082"/>
      <c r="G426" s="1082"/>
      <c r="H426" s="1082"/>
      <c r="I426" s="1082"/>
      <c r="J426" s="1082"/>
      <c r="K426" s="1082"/>
      <c r="L426" s="1082"/>
      <c r="M426" s="1082"/>
      <c r="N426" s="1082"/>
      <c r="O426" s="1082"/>
      <c r="P426" s="1082"/>
      <c r="Q426" s="1082"/>
      <c r="R426" s="1082"/>
      <c r="S426" s="1082"/>
      <c r="T426" s="1082"/>
      <c r="U426" s="1082"/>
      <c r="V426" s="1082"/>
      <c r="W426" s="1082"/>
      <c r="X426" s="1082"/>
      <c r="Y426" s="1082"/>
      <c r="Z426" s="1082"/>
      <c r="AA426" s="1082"/>
      <c r="AB426" s="1082"/>
      <c r="AC426" s="1082"/>
      <c r="AD426" s="1082"/>
      <c r="AE426" s="1082"/>
      <c r="AF426" s="1082"/>
      <c r="AG426" s="1082"/>
      <c r="AH426" s="1082"/>
      <c r="AI426" s="1082"/>
      <c r="AJ426" s="1082"/>
      <c r="AK426" s="1082"/>
      <c r="AL426" s="1082"/>
    </row>
    <row r="427" spans="1:41" x14ac:dyDescent="0.3">
      <c r="A427" s="135"/>
      <c r="B427" s="231" t="s">
        <v>1753</v>
      </c>
      <c r="G427" s="137"/>
      <c r="K427" s="137"/>
      <c r="O427" s="137"/>
    </row>
    <row r="428" spans="1:41" x14ac:dyDescent="0.3">
      <c r="A428" s="135"/>
      <c r="G428" s="137"/>
      <c r="K428" s="137"/>
      <c r="O428" s="137"/>
      <c r="AO428" s="59"/>
    </row>
    <row r="429" spans="1:41" ht="15.6" x14ac:dyDescent="0.3">
      <c r="A429" s="139" t="s">
        <v>1783</v>
      </c>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139"/>
      <c r="AB429" s="139"/>
      <c r="AC429" s="139"/>
      <c r="AD429" s="139"/>
      <c r="AE429" s="139"/>
      <c r="AF429" s="139"/>
      <c r="AG429" s="139"/>
      <c r="AH429" s="139"/>
      <c r="AI429" s="139"/>
      <c r="AJ429" s="139"/>
      <c r="AK429" s="139"/>
      <c r="AL429" s="139"/>
    </row>
    <row r="430" spans="1:41" x14ac:dyDescent="0.3">
      <c r="B430" s="152"/>
      <c r="C430" s="152"/>
      <c r="D430" s="152"/>
      <c r="E430" s="152"/>
      <c r="F430" s="152"/>
      <c r="G430" s="1961" t="s">
        <v>2783</v>
      </c>
      <c r="H430" s="1962"/>
      <c r="I430" s="1962"/>
      <c r="J430" s="1962"/>
      <c r="K430" s="1962"/>
      <c r="L430" s="1962"/>
      <c r="M430" s="1962"/>
      <c r="N430" s="1962"/>
      <c r="O430" s="1962"/>
      <c r="P430" s="1962"/>
      <c r="Q430" s="1962"/>
      <c r="R430" s="1962"/>
      <c r="S430" s="1962"/>
      <c r="T430" s="1962"/>
      <c r="U430" s="1962"/>
      <c r="V430" s="1962"/>
      <c r="W430" s="1962"/>
      <c r="X430" s="1962"/>
      <c r="Y430" s="1962"/>
      <c r="Z430" s="1962"/>
      <c r="AA430" s="1962"/>
      <c r="AB430" s="1962"/>
      <c r="AC430" s="1962"/>
      <c r="AD430" s="1962"/>
      <c r="AE430" s="1962"/>
      <c r="AF430" s="1962"/>
      <c r="AG430" s="1962"/>
      <c r="AH430" s="1962"/>
      <c r="AI430" s="1962"/>
      <c r="AJ430" s="1962"/>
      <c r="AK430" s="1962"/>
      <c r="AL430" s="1963"/>
    </row>
    <row r="431" spans="1:41" x14ac:dyDescent="0.3">
      <c r="A431" s="1945" t="s">
        <v>46</v>
      </c>
      <c r="B431" s="1945"/>
      <c r="C431" s="1945"/>
      <c r="D431" s="1945"/>
      <c r="E431" s="1945"/>
      <c r="F431" s="1945"/>
      <c r="G431" s="2057" t="s">
        <v>600</v>
      </c>
      <c r="H431" s="2057"/>
      <c r="I431" s="2057"/>
      <c r="J431" s="2057"/>
      <c r="K431" s="2057" t="s">
        <v>1741</v>
      </c>
      <c r="L431" s="2057"/>
      <c r="M431" s="2057"/>
      <c r="N431" s="2057"/>
      <c r="O431" s="2054" t="s">
        <v>982</v>
      </c>
      <c r="P431" s="2054"/>
      <c r="Q431" s="2054"/>
      <c r="R431" s="2054"/>
      <c r="S431" s="2054" t="s">
        <v>1742</v>
      </c>
      <c r="T431" s="2054"/>
      <c r="U431" s="2054"/>
      <c r="V431" s="2054"/>
      <c r="W431" s="2057" t="s">
        <v>601</v>
      </c>
      <c r="X431" s="2057"/>
      <c r="Y431" s="2057"/>
      <c r="Z431" s="2057"/>
      <c r="AA431" s="2057" t="s">
        <v>1743</v>
      </c>
      <c r="AB431" s="2057"/>
      <c r="AC431" s="2057"/>
      <c r="AD431" s="2057"/>
      <c r="AE431" s="2054" t="s">
        <v>983</v>
      </c>
      <c r="AF431" s="2054"/>
      <c r="AG431" s="2054"/>
      <c r="AH431" s="2054"/>
      <c r="AI431" s="2054" t="s">
        <v>1744</v>
      </c>
      <c r="AJ431" s="2054"/>
      <c r="AK431" s="2054"/>
      <c r="AL431" s="2054"/>
    </row>
    <row r="432" spans="1:41" x14ac:dyDescent="0.3">
      <c r="A432" s="1938" t="s">
        <v>1796</v>
      </c>
      <c r="B432" s="1938"/>
      <c r="C432" s="1938"/>
      <c r="D432" s="1938"/>
      <c r="E432" s="1938"/>
      <c r="F432" s="1938"/>
      <c r="G432" s="1950">
        <f t="shared" ref="G432:G442" si="73">ROUND(($M$95-$G$127)*VLOOKUP($A432,$N$123:$AG$133,17,TRUE)*VLOOKUP($A432,$N$146:$AG$156,13,TRUE)*$Q$78,3)</f>
        <v>3.0000000000000001E-3</v>
      </c>
      <c r="H432" s="1950"/>
      <c r="I432" s="1950"/>
      <c r="J432" s="1950"/>
      <c r="K432" s="1950">
        <f t="shared" ref="K432:K442" si="74">ROUND(($M$95-$I$127)*VLOOKUP($A432,$N$123:$AG$133,17,TRUE)*VLOOKUP($A432,$N$146:$AG$156,13,TRUE)*$Q$78,3)</f>
        <v>4.0000000000000001E-3</v>
      </c>
      <c r="L432" s="1950"/>
      <c r="M432" s="1950"/>
      <c r="N432" s="1950"/>
      <c r="O432" s="1950">
        <f t="shared" ref="O432:O442" si="75">ROUND(($M$94-$G$126)*VLOOKUP($A432,$N$123:$AG$133,17,TRUE)*VLOOKUP($A432,$N$146:$AG$156,13,TRUE)*$Q$78,3)</f>
        <v>5.0000000000000001E-3</v>
      </c>
      <c r="P432" s="1950"/>
      <c r="Q432" s="1950"/>
      <c r="R432" s="1950"/>
      <c r="S432" s="1950">
        <f t="shared" ref="S432:S442" si="76">ROUND(($M$94-$I$126)*VLOOKUP($A432,$N$123:$AG$133,17,TRUE)*VLOOKUP($A432,$N$146:$AG$156,13,TRUE)*$Q$78,3)</f>
        <v>6.0000000000000001E-3</v>
      </c>
      <c r="T432" s="1950"/>
      <c r="U432" s="1950"/>
      <c r="V432" s="1950"/>
      <c r="W432" s="1950">
        <f t="shared" ref="W432:W442" si="77">ROUND(($M$93-$G$125)*VLOOKUP($A432,$N$123:$AG$133,17,TRUE)*VLOOKUP($A432,$N$146:$AG$156,13,TRUE)*$Q$78,3)</f>
        <v>8.0000000000000002E-3</v>
      </c>
      <c r="X432" s="1950"/>
      <c r="Y432" s="1950"/>
      <c r="Z432" s="1950"/>
      <c r="AA432" s="1950">
        <f t="shared" ref="AA432:AA442" si="78">ROUND(($M$93-$I$125)*VLOOKUP($A432,$N$123:$AG$133,17,TRUE)*VLOOKUP($A432,$N$146:$AG$156,13,TRUE)*$Q$78,3)</f>
        <v>8.9999999999999993E-3</v>
      </c>
      <c r="AB432" s="1950"/>
      <c r="AC432" s="1950"/>
      <c r="AD432" s="1950"/>
      <c r="AE432" s="1950">
        <f t="shared" ref="AE432:AE442" si="79">ROUND(($M$92-$G$124)*VLOOKUP($A432,$N$123:$AG$133,17,TRUE)*VLOOKUP($A432,$N$146:$AG$156,13,TRUE)*$Q$78,3)</f>
        <v>7.0000000000000001E-3</v>
      </c>
      <c r="AF432" s="1950"/>
      <c r="AG432" s="1950"/>
      <c r="AH432" s="1950"/>
      <c r="AI432" s="1950">
        <f t="shared" ref="AI432:AI442" si="80">ROUND(($M$92-$I$124)*VLOOKUP($A432,$N$123:$AG$133,17,TRUE)*VLOOKUP($A432,$N$146:$AG$156,13,TRUE)*$Q$78,3)</f>
        <v>8.9999999999999993E-3</v>
      </c>
      <c r="AJ432" s="1950"/>
      <c r="AK432" s="1950"/>
      <c r="AL432" s="1950"/>
    </row>
    <row r="433" spans="1:38" x14ac:dyDescent="0.3">
      <c r="A433" s="1938" t="s">
        <v>211</v>
      </c>
      <c r="B433" s="1938"/>
      <c r="C433" s="1938"/>
      <c r="D433" s="1938"/>
      <c r="E433" s="1938"/>
      <c r="F433" s="1938"/>
      <c r="G433" s="1950">
        <f t="shared" si="73"/>
        <v>2E-3</v>
      </c>
      <c r="H433" s="1950"/>
      <c r="I433" s="1950"/>
      <c r="J433" s="1950"/>
      <c r="K433" s="1950">
        <f t="shared" si="74"/>
        <v>2E-3</v>
      </c>
      <c r="L433" s="1950"/>
      <c r="M433" s="1950"/>
      <c r="N433" s="1950"/>
      <c r="O433" s="1950">
        <f t="shared" si="75"/>
        <v>3.0000000000000001E-3</v>
      </c>
      <c r="P433" s="1950"/>
      <c r="Q433" s="1950"/>
      <c r="R433" s="1950"/>
      <c r="S433" s="1950">
        <f t="shared" si="76"/>
        <v>3.0000000000000001E-3</v>
      </c>
      <c r="T433" s="1950"/>
      <c r="U433" s="1950"/>
      <c r="V433" s="1950"/>
      <c r="W433" s="1950">
        <f t="shared" si="77"/>
        <v>4.0000000000000001E-3</v>
      </c>
      <c r="X433" s="1950"/>
      <c r="Y433" s="1950"/>
      <c r="Z433" s="1950"/>
      <c r="AA433" s="1950">
        <f t="shared" si="78"/>
        <v>5.0000000000000001E-3</v>
      </c>
      <c r="AB433" s="1950"/>
      <c r="AC433" s="1950"/>
      <c r="AD433" s="1950"/>
      <c r="AE433" s="1950">
        <f t="shared" si="79"/>
        <v>4.0000000000000001E-3</v>
      </c>
      <c r="AF433" s="1950"/>
      <c r="AG433" s="1950"/>
      <c r="AH433" s="1950"/>
      <c r="AI433" s="1950">
        <f t="shared" si="80"/>
        <v>5.0000000000000001E-3</v>
      </c>
      <c r="AJ433" s="1950"/>
      <c r="AK433" s="1950"/>
      <c r="AL433" s="1950"/>
    </row>
    <row r="434" spans="1:38" x14ac:dyDescent="0.3">
      <c r="A434" s="1938" t="s">
        <v>212</v>
      </c>
      <c r="B434" s="1938"/>
      <c r="C434" s="1938"/>
      <c r="D434" s="1938"/>
      <c r="E434" s="1938"/>
      <c r="F434" s="1938"/>
      <c r="G434" s="1950">
        <f t="shared" si="73"/>
        <v>3.0000000000000001E-3</v>
      </c>
      <c r="H434" s="1950"/>
      <c r="I434" s="1950"/>
      <c r="J434" s="1950"/>
      <c r="K434" s="1950">
        <f t="shared" si="74"/>
        <v>4.0000000000000001E-3</v>
      </c>
      <c r="L434" s="1950"/>
      <c r="M434" s="1950"/>
      <c r="N434" s="1950"/>
      <c r="O434" s="1950">
        <f t="shared" si="75"/>
        <v>5.0000000000000001E-3</v>
      </c>
      <c r="P434" s="1950"/>
      <c r="Q434" s="1950"/>
      <c r="R434" s="1950"/>
      <c r="S434" s="1950">
        <f t="shared" si="76"/>
        <v>6.0000000000000001E-3</v>
      </c>
      <c r="T434" s="1950"/>
      <c r="U434" s="1950"/>
      <c r="V434" s="1950"/>
      <c r="W434" s="1950">
        <f t="shared" si="77"/>
        <v>7.0000000000000001E-3</v>
      </c>
      <c r="X434" s="1950"/>
      <c r="Y434" s="1950"/>
      <c r="Z434" s="1950"/>
      <c r="AA434" s="1950">
        <f t="shared" si="78"/>
        <v>8.0000000000000002E-3</v>
      </c>
      <c r="AB434" s="1950"/>
      <c r="AC434" s="1950"/>
      <c r="AD434" s="1950"/>
      <c r="AE434" s="1950">
        <f t="shared" si="79"/>
        <v>7.0000000000000001E-3</v>
      </c>
      <c r="AF434" s="1950"/>
      <c r="AG434" s="1950"/>
      <c r="AH434" s="1950"/>
      <c r="AI434" s="1950">
        <f t="shared" si="80"/>
        <v>8.0000000000000002E-3</v>
      </c>
      <c r="AJ434" s="1950"/>
      <c r="AK434" s="1950"/>
      <c r="AL434" s="1950"/>
    </row>
    <row r="435" spans="1:38" x14ac:dyDescent="0.3">
      <c r="A435" s="1938" t="s">
        <v>213</v>
      </c>
      <c r="B435" s="1938"/>
      <c r="C435" s="1938"/>
      <c r="D435" s="1938"/>
      <c r="E435" s="1938"/>
      <c r="F435" s="1938"/>
      <c r="G435" s="1950">
        <f t="shared" si="73"/>
        <v>5.0000000000000001E-3</v>
      </c>
      <c r="H435" s="1950"/>
      <c r="I435" s="1950"/>
      <c r="J435" s="1950"/>
      <c r="K435" s="1950">
        <f t="shared" si="74"/>
        <v>6.0000000000000001E-3</v>
      </c>
      <c r="L435" s="1950"/>
      <c r="M435" s="1950"/>
      <c r="N435" s="1950"/>
      <c r="O435" s="1950">
        <f t="shared" si="75"/>
        <v>8.0000000000000002E-3</v>
      </c>
      <c r="P435" s="1950"/>
      <c r="Q435" s="1950"/>
      <c r="R435" s="1950"/>
      <c r="S435" s="1950">
        <f t="shared" si="76"/>
        <v>0.01</v>
      </c>
      <c r="T435" s="1950"/>
      <c r="U435" s="1950"/>
      <c r="V435" s="1950"/>
      <c r="W435" s="1950">
        <f t="shared" si="77"/>
        <v>1.2999999999999999E-2</v>
      </c>
      <c r="X435" s="1950"/>
      <c r="Y435" s="1950"/>
      <c r="Z435" s="1950"/>
      <c r="AA435" s="1950">
        <f t="shared" si="78"/>
        <v>1.4999999999999999E-2</v>
      </c>
      <c r="AB435" s="1950"/>
      <c r="AC435" s="1950"/>
      <c r="AD435" s="1950"/>
      <c r="AE435" s="1950">
        <f t="shared" si="79"/>
        <v>1.2999999999999999E-2</v>
      </c>
      <c r="AF435" s="1950"/>
      <c r="AG435" s="1950"/>
      <c r="AH435" s="1950"/>
      <c r="AI435" s="1950">
        <f t="shared" si="80"/>
        <v>1.4999999999999999E-2</v>
      </c>
      <c r="AJ435" s="1950"/>
      <c r="AK435" s="1950"/>
      <c r="AL435" s="1950"/>
    </row>
    <row r="436" spans="1:38" x14ac:dyDescent="0.3">
      <c r="A436" s="1938" t="s">
        <v>214</v>
      </c>
      <c r="B436" s="1938"/>
      <c r="C436" s="1938"/>
      <c r="D436" s="1938"/>
      <c r="E436" s="1938"/>
      <c r="F436" s="1938"/>
      <c r="G436" s="1950">
        <f t="shared" si="73"/>
        <v>5.0000000000000001E-3</v>
      </c>
      <c r="H436" s="1950"/>
      <c r="I436" s="1950"/>
      <c r="J436" s="1950"/>
      <c r="K436" s="1950">
        <f t="shared" si="74"/>
        <v>7.0000000000000001E-3</v>
      </c>
      <c r="L436" s="1950"/>
      <c r="M436" s="1950"/>
      <c r="N436" s="1950"/>
      <c r="O436" s="1950">
        <f t="shared" si="75"/>
        <v>8.9999999999999993E-3</v>
      </c>
      <c r="P436" s="1950"/>
      <c r="Q436" s="1950"/>
      <c r="R436" s="1950"/>
      <c r="S436" s="1950">
        <f t="shared" si="76"/>
        <v>1.0999999999999999E-2</v>
      </c>
      <c r="T436" s="1950"/>
      <c r="U436" s="1950"/>
      <c r="V436" s="1950"/>
      <c r="W436" s="1950">
        <f t="shared" si="77"/>
        <v>1.4E-2</v>
      </c>
      <c r="X436" s="1950"/>
      <c r="Y436" s="1950"/>
      <c r="Z436" s="1950"/>
      <c r="AA436" s="1950">
        <f t="shared" si="78"/>
        <v>1.6E-2</v>
      </c>
      <c r="AB436" s="1950"/>
      <c r="AC436" s="1950"/>
      <c r="AD436" s="1950"/>
      <c r="AE436" s="1950">
        <f t="shared" si="79"/>
        <v>1.4E-2</v>
      </c>
      <c r="AF436" s="1950"/>
      <c r="AG436" s="1950"/>
      <c r="AH436" s="1950"/>
      <c r="AI436" s="1950">
        <f t="shared" si="80"/>
        <v>1.6E-2</v>
      </c>
      <c r="AJ436" s="1950"/>
      <c r="AK436" s="1950"/>
      <c r="AL436" s="1950"/>
    </row>
    <row r="437" spans="1:38" x14ac:dyDescent="0.3">
      <c r="A437" s="1938" t="s">
        <v>215</v>
      </c>
      <c r="B437" s="1938"/>
      <c r="C437" s="1938"/>
      <c r="D437" s="1938"/>
      <c r="E437" s="1938"/>
      <c r="F437" s="1938"/>
      <c r="G437" s="1950">
        <f t="shared" si="73"/>
        <v>2E-3</v>
      </c>
      <c r="H437" s="1950"/>
      <c r="I437" s="1950"/>
      <c r="J437" s="1950"/>
      <c r="K437" s="1950">
        <f t="shared" si="74"/>
        <v>3.0000000000000001E-3</v>
      </c>
      <c r="L437" s="1950"/>
      <c r="M437" s="1950"/>
      <c r="N437" s="1950"/>
      <c r="O437" s="1950">
        <f t="shared" si="75"/>
        <v>3.0000000000000001E-3</v>
      </c>
      <c r="P437" s="1950"/>
      <c r="Q437" s="1950"/>
      <c r="R437" s="1950"/>
      <c r="S437" s="1950">
        <f t="shared" si="76"/>
        <v>4.0000000000000001E-3</v>
      </c>
      <c r="T437" s="1950"/>
      <c r="U437" s="1950"/>
      <c r="V437" s="1950"/>
      <c r="W437" s="1950">
        <f t="shared" si="77"/>
        <v>5.0000000000000001E-3</v>
      </c>
      <c r="X437" s="1950"/>
      <c r="Y437" s="1950"/>
      <c r="Z437" s="1950"/>
      <c r="AA437" s="1950">
        <f t="shared" si="78"/>
        <v>6.0000000000000001E-3</v>
      </c>
      <c r="AB437" s="1950"/>
      <c r="AC437" s="1950"/>
      <c r="AD437" s="1950"/>
      <c r="AE437" s="1950">
        <f t="shared" si="79"/>
        <v>5.0000000000000001E-3</v>
      </c>
      <c r="AF437" s="1950"/>
      <c r="AG437" s="1950"/>
      <c r="AH437" s="1950"/>
      <c r="AI437" s="1950">
        <f t="shared" si="80"/>
        <v>6.0000000000000001E-3</v>
      </c>
      <c r="AJ437" s="1950"/>
      <c r="AK437" s="1950"/>
      <c r="AL437" s="1950"/>
    </row>
    <row r="438" spans="1:38" x14ac:dyDescent="0.3">
      <c r="A438" s="1938" t="s">
        <v>216</v>
      </c>
      <c r="B438" s="1938"/>
      <c r="C438" s="1938"/>
      <c r="D438" s="1938"/>
      <c r="E438" s="1938"/>
      <c r="F438" s="1938"/>
      <c r="G438" s="1950">
        <f t="shared" si="73"/>
        <v>4.0000000000000001E-3</v>
      </c>
      <c r="H438" s="1950"/>
      <c r="I438" s="1950"/>
      <c r="J438" s="1950"/>
      <c r="K438" s="1950">
        <f t="shared" si="74"/>
        <v>6.0000000000000001E-3</v>
      </c>
      <c r="L438" s="1950"/>
      <c r="M438" s="1950"/>
      <c r="N438" s="1950"/>
      <c r="O438" s="1950">
        <f t="shared" si="75"/>
        <v>8.0000000000000002E-3</v>
      </c>
      <c r="P438" s="1950"/>
      <c r="Q438" s="1950"/>
      <c r="R438" s="1950"/>
      <c r="S438" s="1950">
        <f t="shared" si="76"/>
        <v>0.01</v>
      </c>
      <c r="T438" s="1950"/>
      <c r="U438" s="1950"/>
      <c r="V438" s="1950"/>
      <c r="W438" s="1950">
        <f t="shared" si="77"/>
        <v>1.2E-2</v>
      </c>
      <c r="X438" s="1950"/>
      <c r="Y438" s="1950"/>
      <c r="Z438" s="1950"/>
      <c r="AA438" s="1950">
        <f t="shared" si="78"/>
        <v>1.4E-2</v>
      </c>
      <c r="AB438" s="1950"/>
      <c r="AC438" s="1950"/>
      <c r="AD438" s="1950"/>
      <c r="AE438" s="1950">
        <f t="shared" si="79"/>
        <v>1.2E-2</v>
      </c>
      <c r="AF438" s="1950"/>
      <c r="AG438" s="1950"/>
      <c r="AH438" s="1950"/>
      <c r="AI438" s="1950">
        <f t="shared" si="80"/>
        <v>1.4E-2</v>
      </c>
      <c r="AJ438" s="1950"/>
      <c r="AK438" s="1950"/>
      <c r="AL438" s="1950"/>
    </row>
    <row r="439" spans="1:38" x14ac:dyDescent="0.3">
      <c r="A439" s="1938" t="s">
        <v>47</v>
      </c>
      <c r="B439" s="1938"/>
      <c r="C439" s="1938"/>
      <c r="D439" s="1938"/>
      <c r="E439" s="1938"/>
      <c r="F439" s="1938"/>
      <c r="G439" s="1950">
        <f t="shared" si="73"/>
        <v>2E-3</v>
      </c>
      <c r="H439" s="1950"/>
      <c r="I439" s="1950"/>
      <c r="J439" s="1950"/>
      <c r="K439" s="1950">
        <f t="shared" si="74"/>
        <v>2E-3</v>
      </c>
      <c r="L439" s="1950"/>
      <c r="M439" s="1950"/>
      <c r="N439" s="1950"/>
      <c r="O439" s="1950">
        <f t="shared" si="75"/>
        <v>3.0000000000000001E-3</v>
      </c>
      <c r="P439" s="1950"/>
      <c r="Q439" s="1950"/>
      <c r="R439" s="1950"/>
      <c r="S439" s="1950">
        <f t="shared" si="76"/>
        <v>4.0000000000000001E-3</v>
      </c>
      <c r="T439" s="1950"/>
      <c r="U439" s="1950"/>
      <c r="V439" s="1950"/>
      <c r="W439" s="1950">
        <f t="shared" si="77"/>
        <v>5.0000000000000001E-3</v>
      </c>
      <c r="X439" s="1950"/>
      <c r="Y439" s="1950"/>
      <c r="Z439" s="1950"/>
      <c r="AA439" s="1950">
        <f t="shared" si="78"/>
        <v>5.0000000000000001E-3</v>
      </c>
      <c r="AB439" s="1950"/>
      <c r="AC439" s="1950"/>
      <c r="AD439" s="1950"/>
      <c r="AE439" s="1950">
        <f t="shared" si="79"/>
        <v>5.0000000000000001E-3</v>
      </c>
      <c r="AF439" s="1950"/>
      <c r="AG439" s="1950"/>
      <c r="AH439" s="1950"/>
      <c r="AI439" s="1950">
        <f t="shared" si="80"/>
        <v>5.0000000000000001E-3</v>
      </c>
      <c r="AJ439" s="1950"/>
      <c r="AK439" s="1950"/>
      <c r="AL439" s="1950"/>
    </row>
    <row r="440" spans="1:38" x14ac:dyDescent="0.3">
      <c r="A440" s="1938" t="s">
        <v>217</v>
      </c>
      <c r="B440" s="1938"/>
      <c r="C440" s="1938"/>
      <c r="D440" s="1938"/>
      <c r="E440" s="1938"/>
      <c r="F440" s="1938"/>
      <c r="G440" s="1950">
        <f t="shared" si="73"/>
        <v>4.0000000000000001E-3</v>
      </c>
      <c r="H440" s="1950"/>
      <c r="I440" s="1950"/>
      <c r="J440" s="1950"/>
      <c r="K440" s="1950">
        <f t="shared" si="74"/>
        <v>5.0000000000000001E-3</v>
      </c>
      <c r="L440" s="1950"/>
      <c r="M440" s="1950"/>
      <c r="N440" s="1950"/>
      <c r="O440" s="1950">
        <f t="shared" si="75"/>
        <v>7.0000000000000001E-3</v>
      </c>
      <c r="P440" s="1950"/>
      <c r="Q440" s="1950"/>
      <c r="R440" s="1950"/>
      <c r="S440" s="1950">
        <f t="shared" si="76"/>
        <v>8.0000000000000002E-3</v>
      </c>
      <c r="T440" s="1950"/>
      <c r="U440" s="1950"/>
      <c r="V440" s="1950"/>
      <c r="W440" s="1950">
        <f t="shared" si="77"/>
        <v>1.0999999999999999E-2</v>
      </c>
      <c r="X440" s="1950"/>
      <c r="Y440" s="1950"/>
      <c r="Z440" s="1950"/>
      <c r="AA440" s="1950">
        <f t="shared" si="78"/>
        <v>1.2E-2</v>
      </c>
      <c r="AB440" s="1950"/>
      <c r="AC440" s="1950"/>
      <c r="AD440" s="1950"/>
      <c r="AE440" s="1950">
        <f t="shared" si="79"/>
        <v>1.0999999999999999E-2</v>
      </c>
      <c r="AF440" s="1950"/>
      <c r="AG440" s="1950"/>
      <c r="AH440" s="1950"/>
      <c r="AI440" s="1950">
        <f t="shared" si="80"/>
        <v>1.2E-2</v>
      </c>
      <c r="AJ440" s="1950"/>
      <c r="AK440" s="1950"/>
      <c r="AL440" s="1950"/>
    </row>
    <row r="441" spans="1:38" x14ac:dyDescent="0.3">
      <c r="A441" s="1938" t="s">
        <v>218</v>
      </c>
      <c r="B441" s="1938"/>
      <c r="C441" s="1938"/>
      <c r="D441" s="1938"/>
      <c r="E441" s="1938"/>
      <c r="F441" s="1938"/>
      <c r="G441" s="1950">
        <f t="shared" si="73"/>
        <v>4.0000000000000001E-3</v>
      </c>
      <c r="H441" s="1950"/>
      <c r="I441" s="1950"/>
      <c r="J441" s="1950"/>
      <c r="K441" s="1950">
        <f t="shared" si="74"/>
        <v>6.0000000000000001E-3</v>
      </c>
      <c r="L441" s="1950"/>
      <c r="M441" s="1950"/>
      <c r="N441" s="1950"/>
      <c r="O441" s="1950">
        <f t="shared" si="75"/>
        <v>7.0000000000000001E-3</v>
      </c>
      <c r="P441" s="1950"/>
      <c r="Q441" s="1950"/>
      <c r="R441" s="1950"/>
      <c r="S441" s="1950">
        <f t="shared" si="76"/>
        <v>8.9999999999999993E-3</v>
      </c>
      <c r="T441" s="1950"/>
      <c r="U441" s="1950"/>
      <c r="V441" s="1950"/>
      <c r="W441" s="1950">
        <f t="shared" si="77"/>
        <v>1.2E-2</v>
      </c>
      <c r="X441" s="1950"/>
      <c r="Y441" s="1950"/>
      <c r="Z441" s="1950"/>
      <c r="AA441" s="1950">
        <f t="shared" si="78"/>
        <v>1.4E-2</v>
      </c>
      <c r="AB441" s="1950"/>
      <c r="AC441" s="1950"/>
      <c r="AD441" s="1950"/>
      <c r="AE441" s="1950">
        <f t="shared" si="79"/>
        <v>1.2E-2</v>
      </c>
      <c r="AF441" s="1950"/>
      <c r="AG441" s="1950"/>
      <c r="AH441" s="1950"/>
      <c r="AI441" s="1950">
        <f t="shared" si="80"/>
        <v>1.4E-2</v>
      </c>
      <c r="AJ441" s="1950"/>
      <c r="AK441" s="1950"/>
      <c r="AL441" s="1950"/>
    </row>
    <row r="442" spans="1:38" x14ac:dyDescent="0.3">
      <c r="A442" s="1938" t="s">
        <v>219</v>
      </c>
      <c r="B442" s="1938"/>
      <c r="C442" s="1938"/>
      <c r="D442" s="1938"/>
      <c r="E442" s="1938"/>
      <c r="F442" s="1938"/>
      <c r="G442" s="1950">
        <f t="shared" si="73"/>
        <v>1E-3</v>
      </c>
      <c r="H442" s="1950"/>
      <c r="I442" s="1950"/>
      <c r="J442" s="1950"/>
      <c r="K442" s="1950">
        <f t="shared" si="74"/>
        <v>1E-3</v>
      </c>
      <c r="L442" s="1950"/>
      <c r="M442" s="1950"/>
      <c r="N442" s="1950"/>
      <c r="O442" s="1950">
        <f t="shared" si="75"/>
        <v>1E-3</v>
      </c>
      <c r="P442" s="1950"/>
      <c r="Q442" s="1950"/>
      <c r="R442" s="1950"/>
      <c r="S442" s="1950">
        <f t="shared" si="76"/>
        <v>1E-3</v>
      </c>
      <c r="T442" s="1950"/>
      <c r="U442" s="1950"/>
      <c r="V442" s="1950"/>
      <c r="W442" s="1950">
        <f t="shared" si="77"/>
        <v>2E-3</v>
      </c>
      <c r="X442" s="1950"/>
      <c r="Y442" s="1950"/>
      <c r="Z442" s="1950"/>
      <c r="AA442" s="1950">
        <f t="shared" si="78"/>
        <v>2E-3</v>
      </c>
      <c r="AB442" s="1950"/>
      <c r="AC442" s="1950"/>
      <c r="AD442" s="1950"/>
      <c r="AE442" s="1950">
        <f t="shared" si="79"/>
        <v>2E-3</v>
      </c>
      <c r="AF442" s="1950"/>
      <c r="AG442" s="1950"/>
      <c r="AH442" s="1950"/>
      <c r="AI442" s="1950">
        <f t="shared" si="80"/>
        <v>2E-3</v>
      </c>
      <c r="AJ442" s="1950"/>
      <c r="AK442" s="1950"/>
      <c r="AL442" s="1950"/>
    </row>
    <row r="444" spans="1:38" ht="30.9" customHeight="1" x14ac:dyDescent="0.3">
      <c r="A444" s="1958" t="s">
        <v>4338</v>
      </c>
      <c r="B444" s="1958"/>
      <c r="C444" s="1958"/>
      <c r="D444" s="1958"/>
      <c r="E444" s="1958"/>
      <c r="F444" s="1958"/>
      <c r="G444" s="1958"/>
      <c r="H444" s="1958"/>
      <c r="I444" s="1958"/>
      <c r="J444" s="1958"/>
      <c r="K444" s="1958"/>
      <c r="L444" s="1958"/>
      <c r="M444" s="1958"/>
      <c r="N444" s="1958"/>
      <c r="O444" s="1958"/>
      <c r="P444" s="1958"/>
      <c r="Q444" s="1958"/>
      <c r="R444" s="1958"/>
      <c r="S444" s="1958"/>
      <c r="T444" s="1958"/>
      <c r="U444" s="1958"/>
      <c r="V444" s="1958"/>
      <c r="W444" s="1958"/>
      <c r="X444" s="1958"/>
      <c r="Y444" s="1958"/>
      <c r="Z444" s="1958"/>
      <c r="AA444" s="1958"/>
      <c r="AB444" s="1958"/>
      <c r="AC444" s="1958"/>
      <c r="AD444" s="1958"/>
      <c r="AE444" s="1958"/>
      <c r="AF444" s="1958"/>
      <c r="AG444" s="1958"/>
      <c r="AH444" s="1958"/>
      <c r="AI444" s="1958"/>
      <c r="AJ444" s="1958"/>
      <c r="AK444" s="1958"/>
      <c r="AL444" s="1958"/>
    </row>
    <row r="446" spans="1:38" ht="15.6" x14ac:dyDescent="0.3">
      <c r="A446" s="139" t="s">
        <v>1784</v>
      </c>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139"/>
      <c r="AB446" s="139"/>
      <c r="AC446" s="139"/>
      <c r="AD446" s="139"/>
      <c r="AE446" s="139"/>
      <c r="AF446" s="139"/>
      <c r="AG446" s="139"/>
      <c r="AH446" s="139"/>
      <c r="AI446" s="139"/>
      <c r="AJ446" s="139"/>
      <c r="AK446" s="139"/>
      <c r="AL446" s="139"/>
    </row>
    <row r="447" spans="1:38" x14ac:dyDescent="0.3">
      <c r="B447" s="152"/>
      <c r="C447" s="152"/>
      <c r="D447" s="152"/>
      <c r="E447" s="152"/>
      <c r="F447" s="152"/>
      <c r="G447" s="1976" t="s">
        <v>2777</v>
      </c>
      <c r="H447" s="1977"/>
      <c r="I447" s="1977"/>
      <c r="J447" s="1977"/>
      <c r="K447" s="1977"/>
      <c r="L447" s="1977"/>
      <c r="M447" s="1977"/>
      <c r="N447" s="1977"/>
      <c r="O447" s="1977"/>
      <c r="P447" s="1977"/>
      <c r="Q447" s="1977"/>
      <c r="R447" s="1977"/>
      <c r="S447" s="1977"/>
      <c r="T447" s="1977"/>
      <c r="U447" s="1977"/>
      <c r="V447" s="1977"/>
      <c r="W447" s="1977"/>
      <c r="X447" s="1977"/>
      <c r="Y447" s="1977"/>
      <c r="Z447" s="1977"/>
      <c r="AA447" s="1977"/>
      <c r="AB447" s="1977"/>
      <c r="AC447" s="1977"/>
      <c r="AD447" s="1977"/>
      <c r="AE447" s="1977"/>
      <c r="AF447" s="1977"/>
      <c r="AG447" s="1977"/>
      <c r="AH447" s="1977"/>
      <c r="AI447" s="1977"/>
      <c r="AJ447" s="1977"/>
      <c r="AK447" s="1977"/>
      <c r="AL447" s="1978"/>
    </row>
    <row r="448" spans="1:38" x14ac:dyDescent="0.3">
      <c r="A448" s="1967" t="s">
        <v>46</v>
      </c>
      <c r="B448" s="1968"/>
      <c r="C448" s="1968"/>
      <c r="D448" s="1968"/>
      <c r="E448" s="1968"/>
      <c r="F448" s="1969"/>
      <c r="G448" s="1970" t="s">
        <v>600</v>
      </c>
      <c r="H448" s="1971"/>
      <c r="I448" s="1971"/>
      <c r="J448" s="1972"/>
      <c r="K448" s="1970" t="s">
        <v>1741</v>
      </c>
      <c r="L448" s="1971"/>
      <c r="M448" s="1971"/>
      <c r="N448" s="1972"/>
      <c r="O448" s="1973" t="s">
        <v>982</v>
      </c>
      <c r="P448" s="1974"/>
      <c r="Q448" s="1974"/>
      <c r="R448" s="1975"/>
      <c r="S448" s="1973" t="s">
        <v>1742</v>
      </c>
      <c r="T448" s="1974"/>
      <c r="U448" s="1974"/>
      <c r="V448" s="1975"/>
      <c r="W448" s="1970" t="s">
        <v>601</v>
      </c>
      <c r="X448" s="1971"/>
      <c r="Y448" s="1971"/>
      <c r="Z448" s="1972"/>
      <c r="AA448" s="1970" t="s">
        <v>1743</v>
      </c>
      <c r="AB448" s="1971"/>
      <c r="AC448" s="1971"/>
      <c r="AD448" s="1972"/>
      <c r="AE448" s="1973" t="s">
        <v>983</v>
      </c>
      <c r="AF448" s="1974"/>
      <c r="AG448" s="1974"/>
      <c r="AH448" s="1975"/>
      <c r="AI448" s="1973" t="s">
        <v>1744</v>
      </c>
      <c r="AJ448" s="1974"/>
      <c r="AK448" s="1974"/>
      <c r="AL448" s="1975"/>
    </row>
    <row r="449" spans="1:38" x14ac:dyDescent="0.3">
      <c r="A449" s="1938" t="s">
        <v>1796</v>
      </c>
      <c r="B449" s="1938"/>
      <c r="C449" s="1938"/>
      <c r="D449" s="1938"/>
      <c r="E449" s="1938"/>
      <c r="F449" s="1938"/>
      <c r="G449" s="1950">
        <f t="shared" ref="G449:G459" si="81">G383/$Q$73</f>
        <v>1.0204081632653062E-3</v>
      </c>
      <c r="H449" s="1950"/>
      <c r="I449" s="1950"/>
      <c r="J449" s="1950"/>
      <c r="K449" s="1950">
        <f t="shared" ref="K449:K459" si="82">K383/$Q$73</f>
        <v>2.0408163265306124E-3</v>
      </c>
      <c r="L449" s="1950"/>
      <c r="M449" s="1950"/>
      <c r="N449" s="1950"/>
      <c r="O449" s="1950">
        <f t="shared" ref="O449:O459" si="83">O383/$Q$73</f>
        <v>3.0612244897959186E-3</v>
      </c>
      <c r="P449" s="1950"/>
      <c r="Q449" s="1950"/>
      <c r="R449" s="1950"/>
      <c r="S449" s="1950">
        <f t="shared" ref="S449:S459" si="84">S383/$Q$73</f>
        <v>4.0816326530612249E-3</v>
      </c>
      <c r="T449" s="1950"/>
      <c r="U449" s="1950"/>
      <c r="V449" s="1950"/>
      <c r="W449" s="1950">
        <f t="shared" ref="W449:W459" si="85">W383/$Q$73</f>
        <v>5.1020408163265311E-3</v>
      </c>
      <c r="X449" s="1950"/>
      <c r="Y449" s="1950"/>
      <c r="Z449" s="1950"/>
      <c r="AA449" s="1950">
        <f t="shared" ref="AA449:AA459" si="86">AA383/$Q$73</f>
        <v>6.1224489795918373E-3</v>
      </c>
      <c r="AB449" s="1950"/>
      <c r="AC449" s="1950"/>
      <c r="AD449" s="1950"/>
      <c r="AE449" s="1950">
        <f t="shared" ref="AE449:AE459" si="87">AE383/$Q$73</f>
        <v>7.1428571428571435E-3</v>
      </c>
      <c r="AF449" s="1950"/>
      <c r="AG449" s="1950"/>
      <c r="AH449" s="1950"/>
      <c r="AI449" s="1950">
        <f t="shared" ref="AI449:AI459" si="88">AI383/$Q$73</f>
        <v>8.1632653061224497E-3</v>
      </c>
      <c r="AJ449" s="1950"/>
      <c r="AK449" s="1950"/>
      <c r="AL449" s="1950"/>
    </row>
    <row r="450" spans="1:38" x14ac:dyDescent="0.3">
      <c r="A450" s="1938" t="s">
        <v>211</v>
      </c>
      <c r="B450" s="1938"/>
      <c r="C450" s="1938"/>
      <c r="D450" s="1938"/>
      <c r="E450" s="1938"/>
      <c r="F450" s="1938"/>
      <c r="G450" s="1950">
        <f t="shared" si="81"/>
        <v>1.0204081632653062E-3</v>
      </c>
      <c r="H450" s="1950"/>
      <c r="I450" s="1950"/>
      <c r="J450" s="1950"/>
      <c r="K450" s="1950">
        <f t="shared" si="82"/>
        <v>1.0204081632653062E-3</v>
      </c>
      <c r="L450" s="1950"/>
      <c r="M450" s="1950"/>
      <c r="N450" s="1950"/>
      <c r="O450" s="1950">
        <f t="shared" si="83"/>
        <v>2.0408163265306124E-3</v>
      </c>
      <c r="P450" s="1950"/>
      <c r="Q450" s="1950"/>
      <c r="R450" s="1950"/>
      <c r="S450" s="1950">
        <f t="shared" si="84"/>
        <v>2.0408163265306124E-3</v>
      </c>
      <c r="T450" s="1950"/>
      <c r="U450" s="1950"/>
      <c r="V450" s="1950"/>
      <c r="W450" s="1950">
        <f t="shared" si="85"/>
        <v>3.0612244897959186E-3</v>
      </c>
      <c r="X450" s="1950"/>
      <c r="Y450" s="1950"/>
      <c r="Z450" s="1950"/>
      <c r="AA450" s="1950">
        <f t="shared" si="86"/>
        <v>4.0816326530612249E-3</v>
      </c>
      <c r="AB450" s="1950"/>
      <c r="AC450" s="1950"/>
      <c r="AD450" s="1950"/>
      <c r="AE450" s="1950">
        <f t="shared" si="87"/>
        <v>4.0816326530612249E-3</v>
      </c>
      <c r="AF450" s="1950"/>
      <c r="AG450" s="1950"/>
      <c r="AH450" s="1950"/>
      <c r="AI450" s="1950">
        <f t="shared" si="88"/>
        <v>4.0816326530612249E-3</v>
      </c>
      <c r="AJ450" s="1950"/>
      <c r="AK450" s="1950"/>
      <c r="AL450" s="1950"/>
    </row>
    <row r="451" spans="1:38" x14ac:dyDescent="0.3">
      <c r="A451" s="1938" t="s">
        <v>212</v>
      </c>
      <c r="B451" s="1938"/>
      <c r="C451" s="1938"/>
      <c r="D451" s="1938"/>
      <c r="E451" s="1938"/>
      <c r="F451" s="1938"/>
      <c r="G451" s="1950">
        <f t="shared" si="81"/>
        <v>1.0204081632653062E-3</v>
      </c>
      <c r="H451" s="1950"/>
      <c r="I451" s="1950"/>
      <c r="J451" s="1950"/>
      <c r="K451" s="1950">
        <f t="shared" si="82"/>
        <v>2.0408163265306124E-3</v>
      </c>
      <c r="L451" s="1950"/>
      <c r="M451" s="1950"/>
      <c r="N451" s="1950"/>
      <c r="O451" s="1950">
        <f t="shared" si="83"/>
        <v>3.0612244897959186E-3</v>
      </c>
      <c r="P451" s="1950"/>
      <c r="Q451" s="1950"/>
      <c r="R451" s="1950"/>
      <c r="S451" s="1950">
        <f t="shared" si="84"/>
        <v>4.0816326530612249E-3</v>
      </c>
      <c r="T451" s="1950"/>
      <c r="U451" s="1950"/>
      <c r="V451" s="1950"/>
      <c r="W451" s="1950">
        <f t="shared" si="85"/>
        <v>5.1020408163265311E-3</v>
      </c>
      <c r="X451" s="1950"/>
      <c r="Y451" s="1950"/>
      <c r="Z451" s="1950"/>
      <c r="AA451" s="1950">
        <f t="shared" si="86"/>
        <v>6.1224489795918373E-3</v>
      </c>
      <c r="AB451" s="1950"/>
      <c r="AC451" s="1950"/>
      <c r="AD451" s="1950"/>
      <c r="AE451" s="1950">
        <f t="shared" si="87"/>
        <v>6.1224489795918373E-3</v>
      </c>
      <c r="AF451" s="1950"/>
      <c r="AG451" s="1950"/>
      <c r="AH451" s="1950"/>
      <c r="AI451" s="1950">
        <f t="shared" si="88"/>
        <v>7.1428571428571435E-3</v>
      </c>
      <c r="AJ451" s="1950"/>
      <c r="AK451" s="1950"/>
      <c r="AL451" s="1950"/>
    </row>
    <row r="452" spans="1:38" x14ac:dyDescent="0.3">
      <c r="A452" s="1938" t="s">
        <v>213</v>
      </c>
      <c r="B452" s="1938"/>
      <c r="C452" s="1938"/>
      <c r="D452" s="1938"/>
      <c r="E452" s="1938"/>
      <c r="F452" s="1938"/>
      <c r="G452" s="1950">
        <f t="shared" si="81"/>
        <v>2.0408163265306124E-3</v>
      </c>
      <c r="H452" s="1950"/>
      <c r="I452" s="1950"/>
      <c r="J452" s="1950"/>
      <c r="K452" s="1950">
        <f t="shared" si="82"/>
        <v>4.0816326530612249E-3</v>
      </c>
      <c r="L452" s="1950"/>
      <c r="M452" s="1950"/>
      <c r="N452" s="1950"/>
      <c r="O452" s="1950">
        <f t="shared" si="83"/>
        <v>5.1020408163265311E-3</v>
      </c>
      <c r="P452" s="1950"/>
      <c r="Q452" s="1950"/>
      <c r="R452" s="1950"/>
      <c r="S452" s="1950">
        <f t="shared" si="84"/>
        <v>7.1428571428571435E-3</v>
      </c>
      <c r="T452" s="1950"/>
      <c r="U452" s="1950"/>
      <c r="V452" s="1950"/>
      <c r="W452" s="1950">
        <f t="shared" si="85"/>
        <v>9.1836734693877542E-3</v>
      </c>
      <c r="X452" s="1950"/>
      <c r="Y452" s="1950"/>
      <c r="Z452" s="1950"/>
      <c r="AA452" s="1950">
        <f t="shared" si="86"/>
        <v>1.1224489795918367E-2</v>
      </c>
      <c r="AB452" s="1950"/>
      <c r="AC452" s="1950"/>
      <c r="AD452" s="1950"/>
      <c r="AE452" s="1950">
        <f t="shared" si="87"/>
        <v>1.1224489795918367E-2</v>
      </c>
      <c r="AF452" s="1950"/>
      <c r="AG452" s="1950"/>
      <c r="AH452" s="1950"/>
      <c r="AI452" s="1950">
        <f t="shared" si="88"/>
        <v>1.3265306122448979E-2</v>
      </c>
      <c r="AJ452" s="1950"/>
      <c r="AK452" s="1950"/>
      <c r="AL452" s="1950"/>
    </row>
    <row r="453" spans="1:38" x14ac:dyDescent="0.3">
      <c r="A453" s="1938" t="s">
        <v>214</v>
      </c>
      <c r="B453" s="1938"/>
      <c r="C453" s="1938"/>
      <c r="D453" s="1938"/>
      <c r="E453" s="1938"/>
      <c r="F453" s="1938"/>
      <c r="G453" s="1950">
        <f t="shared" si="81"/>
        <v>2.0408163265306124E-3</v>
      </c>
      <c r="H453" s="1950"/>
      <c r="I453" s="1950"/>
      <c r="J453" s="1950"/>
      <c r="K453" s="1950">
        <f t="shared" si="82"/>
        <v>4.0816326530612249E-3</v>
      </c>
      <c r="L453" s="1950"/>
      <c r="M453" s="1950"/>
      <c r="N453" s="1950"/>
      <c r="O453" s="1950">
        <f t="shared" si="83"/>
        <v>5.1020408163265311E-3</v>
      </c>
      <c r="P453" s="1950"/>
      <c r="Q453" s="1950"/>
      <c r="R453" s="1950"/>
      <c r="S453" s="1950">
        <f t="shared" si="84"/>
        <v>7.1428571428571435E-3</v>
      </c>
      <c r="T453" s="1950"/>
      <c r="U453" s="1950"/>
      <c r="V453" s="1950"/>
      <c r="W453" s="1950">
        <f t="shared" si="85"/>
        <v>1.0204081632653062E-2</v>
      </c>
      <c r="X453" s="1950"/>
      <c r="Y453" s="1950"/>
      <c r="Z453" s="1950"/>
      <c r="AA453" s="1950">
        <f t="shared" si="86"/>
        <v>1.2244897959183675E-2</v>
      </c>
      <c r="AB453" s="1950"/>
      <c r="AC453" s="1950"/>
      <c r="AD453" s="1950"/>
      <c r="AE453" s="1950">
        <f t="shared" si="87"/>
        <v>1.2244897959183675E-2</v>
      </c>
      <c r="AF453" s="1950"/>
      <c r="AG453" s="1950"/>
      <c r="AH453" s="1950"/>
      <c r="AI453" s="1950">
        <f t="shared" si="88"/>
        <v>1.4285714285714287E-2</v>
      </c>
      <c r="AJ453" s="1950"/>
      <c r="AK453" s="1950"/>
      <c r="AL453" s="1950"/>
    </row>
    <row r="454" spans="1:38" x14ac:dyDescent="0.3">
      <c r="A454" s="1938" t="s">
        <v>215</v>
      </c>
      <c r="B454" s="1938"/>
      <c r="C454" s="1938"/>
      <c r="D454" s="1938"/>
      <c r="E454" s="1938"/>
      <c r="F454" s="1938"/>
      <c r="G454" s="1950">
        <f t="shared" si="81"/>
        <v>1.0204081632653062E-3</v>
      </c>
      <c r="H454" s="1950"/>
      <c r="I454" s="1950"/>
      <c r="J454" s="1950"/>
      <c r="K454" s="1950">
        <f t="shared" si="82"/>
        <v>2.0408163265306124E-3</v>
      </c>
      <c r="L454" s="1950"/>
      <c r="M454" s="1950"/>
      <c r="N454" s="1950"/>
      <c r="O454" s="1950">
        <f t="shared" si="83"/>
        <v>2.0408163265306124E-3</v>
      </c>
      <c r="P454" s="1950"/>
      <c r="Q454" s="1950"/>
      <c r="R454" s="1950"/>
      <c r="S454" s="1950">
        <f t="shared" si="84"/>
        <v>3.0612244897959186E-3</v>
      </c>
      <c r="T454" s="1950"/>
      <c r="U454" s="1950"/>
      <c r="V454" s="1950"/>
      <c r="W454" s="1950">
        <f t="shared" si="85"/>
        <v>4.0816326530612249E-3</v>
      </c>
      <c r="X454" s="1950"/>
      <c r="Y454" s="1950"/>
      <c r="Z454" s="1950"/>
      <c r="AA454" s="1950">
        <f t="shared" si="86"/>
        <v>4.0816326530612249E-3</v>
      </c>
      <c r="AB454" s="1950"/>
      <c r="AC454" s="1950"/>
      <c r="AD454" s="1950"/>
      <c r="AE454" s="1950">
        <f t="shared" si="87"/>
        <v>4.0816326530612249E-3</v>
      </c>
      <c r="AF454" s="1950"/>
      <c r="AG454" s="1950"/>
      <c r="AH454" s="1950"/>
      <c r="AI454" s="1950">
        <f t="shared" si="88"/>
        <v>5.1020408163265311E-3</v>
      </c>
      <c r="AJ454" s="1950"/>
      <c r="AK454" s="1950"/>
      <c r="AL454" s="1950"/>
    </row>
    <row r="455" spans="1:38" x14ac:dyDescent="0.3">
      <c r="A455" s="1938" t="s">
        <v>216</v>
      </c>
      <c r="B455" s="1938"/>
      <c r="C455" s="1938"/>
      <c r="D455" s="1938"/>
      <c r="E455" s="1938"/>
      <c r="F455" s="1938"/>
      <c r="G455" s="1950">
        <f t="shared" si="81"/>
        <v>2.0408163265306124E-3</v>
      </c>
      <c r="H455" s="1950"/>
      <c r="I455" s="1950"/>
      <c r="J455" s="1950"/>
      <c r="K455" s="1950">
        <f t="shared" si="82"/>
        <v>4.0816326530612249E-3</v>
      </c>
      <c r="L455" s="1950"/>
      <c r="M455" s="1950"/>
      <c r="N455" s="1950"/>
      <c r="O455" s="1950">
        <f t="shared" si="83"/>
        <v>5.1020408163265311E-3</v>
      </c>
      <c r="P455" s="1950"/>
      <c r="Q455" s="1950"/>
      <c r="R455" s="1950"/>
      <c r="S455" s="1950">
        <f t="shared" si="84"/>
        <v>7.1428571428571435E-3</v>
      </c>
      <c r="T455" s="1950"/>
      <c r="U455" s="1950"/>
      <c r="V455" s="1950"/>
      <c r="W455" s="1950">
        <f t="shared" si="85"/>
        <v>9.1836734693877542E-3</v>
      </c>
      <c r="X455" s="1950"/>
      <c r="Y455" s="1950"/>
      <c r="Z455" s="1950"/>
      <c r="AA455" s="1950">
        <f t="shared" si="86"/>
        <v>1.0204081632653062E-2</v>
      </c>
      <c r="AB455" s="1950"/>
      <c r="AC455" s="1950"/>
      <c r="AD455" s="1950"/>
      <c r="AE455" s="1950">
        <f t="shared" si="87"/>
        <v>1.1224489795918367E-2</v>
      </c>
      <c r="AF455" s="1950"/>
      <c r="AG455" s="1950"/>
      <c r="AH455" s="1950"/>
      <c r="AI455" s="1950">
        <f t="shared" si="88"/>
        <v>1.2244897959183675E-2</v>
      </c>
      <c r="AJ455" s="1950"/>
      <c r="AK455" s="1950"/>
      <c r="AL455" s="1950"/>
    </row>
    <row r="456" spans="1:38" x14ac:dyDescent="0.3">
      <c r="A456" s="1938" t="s">
        <v>47</v>
      </c>
      <c r="B456" s="1938"/>
      <c r="C456" s="1938"/>
      <c r="D456" s="1938"/>
      <c r="E456" s="1938"/>
      <c r="F456" s="1938"/>
      <c r="G456" s="1950">
        <f t="shared" si="81"/>
        <v>1.0204081632653062E-3</v>
      </c>
      <c r="H456" s="1950"/>
      <c r="I456" s="1950"/>
      <c r="J456" s="1950"/>
      <c r="K456" s="1950">
        <f t="shared" si="82"/>
        <v>1.0204081632653062E-3</v>
      </c>
      <c r="L456" s="1950"/>
      <c r="M456" s="1950"/>
      <c r="N456" s="1950"/>
      <c r="O456" s="1950">
        <f t="shared" si="83"/>
        <v>2.0408163265306124E-3</v>
      </c>
      <c r="P456" s="1950"/>
      <c r="Q456" s="1950"/>
      <c r="R456" s="1950"/>
      <c r="S456" s="1950">
        <f t="shared" si="84"/>
        <v>2.0408163265306124E-3</v>
      </c>
      <c r="T456" s="1950"/>
      <c r="U456" s="1950"/>
      <c r="V456" s="1950"/>
      <c r="W456" s="1950">
        <f t="shared" si="85"/>
        <v>3.0612244897959186E-3</v>
      </c>
      <c r="X456" s="1950"/>
      <c r="Y456" s="1950"/>
      <c r="Z456" s="1950"/>
      <c r="AA456" s="1950">
        <f t="shared" si="86"/>
        <v>4.0816326530612249E-3</v>
      </c>
      <c r="AB456" s="1950"/>
      <c r="AC456" s="1950"/>
      <c r="AD456" s="1950"/>
      <c r="AE456" s="1950">
        <f t="shared" si="87"/>
        <v>4.0816326530612249E-3</v>
      </c>
      <c r="AF456" s="1950"/>
      <c r="AG456" s="1950"/>
      <c r="AH456" s="1950"/>
      <c r="AI456" s="1950">
        <f t="shared" si="88"/>
        <v>5.1020408163265311E-3</v>
      </c>
      <c r="AJ456" s="1950"/>
      <c r="AK456" s="1950"/>
      <c r="AL456" s="1950"/>
    </row>
    <row r="457" spans="1:38" x14ac:dyDescent="0.3">
      <c r="A457" s="1938" t="s">
        <v>217</v>
      </c>
      <c r="B457" s="1938"/>
      <c r="C457" s="1938"/>
      <c r="D457" s="1938"/>
      <c r="E457" s="1938"/>
      <c r="F457" s="1938"/>
      <c r="G457" s="1950">
        <f t="shared" si="81"/>
        <v>2.0408163265306124E-3</v>
      </c>
      <c r="H457" s="1950"/>
      <c r="I457" s="1950"/>
      <c r="J457" s="1950"/>
      <c r="K457" s="1950">
        <f t="shared" si="82"/>
        <v>3.0612244897959186E-3</v>
      </c>
      <c r="L457" s="1950"/>
      <c r="M457" s="1950"/>
      <c r="N457" s="1950"/>
      <c r="O457" s="1950">
        <f t="shared" si="83"/>
        <v>4.0816326530612249E-3</v>
      </c>
      <c r="P457" s="1950"/>
      <c r="Q457" s="1950"/>
      <c r="R457" s="1950"/>
      <c r="S457" s="1950">
        <f t="shared" si="84"/>
        <v>6.1224489795918373E-3</v>
      </c>
      <c r="T457" s="1950"/>
      <c r="U457" s="1950"/>
      <c r="V457" s="1950"/>
      <c r="W457" s="1950">
        <f t="shared" si="85"/>
        <v>8.1632653061224497E-3</v>
      </c>
      <c r="X457" s="1950"/>
      <c r="Y457" s="1950"/>
      <c r="Z457" s="1950"/>
      <c r="AA457" s="1950">
        <f t="shared" si="86"/>
        <v>9.1836734693877542E-3</v>
      </c>
      <c r="AB457" s="1950"/>
      <c r="AC457" s="1950"/>
      <c r="AD457" s="1950"/>
      <c r="AE457" s="1950">
        <f t="shared" si="87"/>
        <v>9.1836734693877542E-3</v>
      </c>
      <c r="AF457" s="1950"/>
      <c r="AG457" s="1950"/>
      <c r="AH457" s="1950"/>
      <c r="AI457" s="1950">
        <f t="shared" si="88"/>
        <v>1.1224489795918367E-2</v>
      </c>
      <c r="AJ457" s="1950"/>
      <c r="AK457" s="1950"/>
      <c r="AL457" s="1950"/>
    </row>
    <row r="458" spans="1:38" x14ac:dyDescent="0.3">
      <c r="A458" s="1938" t="s">
        <v>218</v>
      </c>
      <c r="B458" s="1938"/>
      <c r="C458" s="1938"/>
      <c r="D458" s="1938"/>
      <c r="E458" s="1938"/>
      <c r="F458" s="1938"/>
      <c r="G458" s="1950">
        <f t="shared" si="81"/>
        <v>2.0408163265306124E-3</v>
      </c>
      <c r="H458" s="1950"/>
      <c r="I458" s="1950"/>
      <c r="J458" s="1950"/>
      <c r="K458" s="1950">
        <f t="shared" si="82"/>
        <v>4.0816326530612249E-3</v>
      </c>
      <c r="L458" s="1950"/>
      <c r="M458" s="1950"/>
      <c r="N458" s="1950"/>
      <c r="O458" s="1950">
        <f t="shared" si="83"/>
        <v>5.1020408163265311E-3</v>
      </c>
      <c r="P458" s="1950"/>
      <c r="Q458" s="1950"/>
      <c r="R458" s="1950"/>
      <c r="S458" s="1950">
        <f t="shared" si="84"/>
        <v>6.1224489795918373E-3</v>
      </c>
      <c r="T458" s="1950"/>
      <c r="U458" s="1950"/>
      <c r="V458" s="1950"/>
      <c r="W458" s="1950">
        <f t="shared" si="85"/>
        <v>8.1632653061224497E-3</v>
      </c>
      <c r="X458" s="1950"/>
      <c r="Y458" s="1950"/>
      <c r="Z458" s="1950"/>
      <c r="AA458" s="1950">
        <f t="shared" si="86"/>
        <v>1.0204081632653062E-2</v>
      </c>
      <c r="AB458" s="1950"/>
      <c r="AC458" s="1950"/>
      <c r="AD458" s="1950"/>
      <c r="AE458" s="1950">
        <f t="shared" si="87"/>
        <v>1.0204081632653062E-2</v>
      </c>
      <c r="AF458" s="1950"/>
      <c r="AG458" s="1950"/>
      <c r="AH458" s="1950"/>
      <c r="AI458" s="1950">
        <f t="shared" si="88"/>
        <v>1.2244897959183675E-2</v>
      </c>
      <c r="AJ458" s="1950"/>
      <c r="AK458" s="1950"/>
      <c r="AL458" s="1950"/>
    </row>
    <row r="459" spans="1:38" x14ac:dyDescent="0.3">
      <c r="A459" s="1938" t="s">
        <v>219</v>
      </c>
      <c r="B459" s="1938"/>
      <c r="C459" s="1938"/>
      <c r="D459" s="1938"/>
      <c r="E459" s="1938"/>
      <c r="F459" s="1938"/>
      <c r="G459" s="1950">
        <f t="shared" si="81"/>
        <v>0</v>
      </c>
      <c r="H459" s="1950"/>
      <c r="I459" s="1950"/>
      <c r="J459" s="1950"/>
      <c r="K459" s="1950">
        <f t="shared" si="82"/>
        <v>1.0204081632653062E-3</v>
      </c>
      <c r="L459" s="1950"/>
      <c r="M459" s="1950"/>
      <c r="N459" s="1950"/>
      <c r="O459" s="1950">
        <f t="shared" si="83"/>
        <v>1.0204081632653062E-3</v>
      </c>
      <c r="P459" s="1950"/>
      <c r="Q459" s="1950"/>
      <c r="R459" s="1950"/>
      <c r="S459" s="1950">
        <f t="shared" si="84"/>
        <v>1.0204081632653062E-3</v>
      </c>
      <c r="T459" s="1950"/>
      <c r="U459" s="1950"/>
      <c r="V459" s="1950"/>
      <c r="W459" s="1950">
        <f t="shared" si="85"/>
        <v>1.0204081632653062E-3</v>
      </c>
      <c r="X459" s="1950"/>
      <c r="Y459" s="1950"/>
      <c r="Z459" s="1950"/>
      <c r="AA459" s="1950">
        <f t="shared" si="86"/>
        <v>1.0204081632653062E-3</v>
      </c>
      <c r="AB459" s="1950"/>
      <c r="AC459" s="1950"/>
      <c r="AD459" s="1950"/>
      <c r="AE459" s="1950">
        <f t="shared" si="87"/>
        <v>1.0204081632653062E-3</v>
      </c>
      <c r="AF459" s="1950"/>
      <c r="AG459" s="1950"/>
      <c r="AH459" s="1950"/>
      <c r="AI459" s="1950">
        <f t="shared" si="88"/>
        <v>2.0408163265306124E-3</v>
      </c>
      <c r="AJ459" s="1950"/>
      <c r="AK459" s="1950"/>
      <c r="AL459" s="1950"/>
    </row>
    <row r="460" spans="1:38" x14ac:dyDescent="0.3">
      <c r="A460" s="113" t="s">
        <v>1754</v>
      </c>
    </row>
    <row r="462" spans="1:38" ht="31.5" customHeight="1" x14ac:dyDescent="0.3">
      <c r="A462" s="1958" t="s">
        <v>4339</v>
      </c>
      <c r="B462" s="1958"/>
      <c r="C462" s="1958"/>
      <c r="D462" s="1958"/>
      <c r="E462" s="1958"/>
      <c r="F462" s="1958"/>
      <c r="G462" s="1958"/>
      <c r="H462" s="1958"/>
      <c r="I462" s="1958"/>
      <c r="J462" s="1958"/>
      <c r="K462" s="1958"/>
      <c r="L462" s="1958"/>
      <c r="M462" s="1958"/>
      <c r="N462" s="1958"/>
      <c r="O462" s="1958"/>
      <c r="P462" s="1958"/>
      <c r="Q462" s="1958"/>
      <c r="R462" s="1958"/>
      <c r="S462" s="1958"/>
      <c r="T462" s="1958"/>
      <c r="U462" s="1958"/>
      <c r="V462" s="1958"/>
      <c r="W462" s="1958"/>
      <c r="X462" s="1958"/>
      <c r="Y462" s="1958"/>
      <c r="Z462" s="1958"/>
      <c r="AA462" s="1958"/>
      <c r="AB462" s="1958"/>
      <c r="AC462" s="1958"/>
      <c r="AD462" s="1958"/>
      <c r="AE462" s="1958"/>
      <c r="AF462" s="1958"/>
      <c r="AG462" s="1958"/>
      <c r="AH462" s="1958"/>
      <c r="AI462" s="1958"/>
      <c r="AJ462" s="1958"/>
      <c r="AK462" s="1958"/>
      <c r="AL462" s="1958"/>
    </row>
    <row r="465" spans="1:54" x14ac:dyDescent="0.3">
      <c r="B465" s="231" t="s">
        <v>1755</v>
      </c>
    </row>
    <row r="467" spans="1:54" ht="30" customHeight="1" x14ac:dyDescent="0.3">
      <c r="A467" s="1958" t="s">
        <v>4340</v>
      </c>
      <c r="B467" s="1958"/>
      <c r="C467" s="1958"/>
      <c r="D467" s="1958"/>
      <c r="E467" s="1958"/>
      <c r="F467" s="1958"/>
      <c r="G467" s="1958"/>
      <c r="H467" s="1958"/>
      <c r="I467" s="1958"/>
      <c r="J467" s="1958"/>
      <c r="K467" s="1958"/>
      <c r="L467" s="1958"/>
      <c r="M467" s="1958"/>
      <c r="N467" s="1958"/>
      <c r="O467" s="1958"/>
      <c r="P467" s="1958"/>
      <c r="Q467" s="1958"/>
      <c r="R467" s="1958"/>
      <c r="S467" s="1958"/>
      <c r="T467" s="1958"/>
      <c r="U467" s="1958"/>
      <c r="V467" s="1958"/>
      <c r="W467" s="1958"/>
      <c r="X467" s="1958"/>
      <c r="Y467" s="1958"/>
      <c r="Z467" s="1958"/>
      <c r="AA467" s="1958"/>
      <c r="AB467" s="1958"/>
      <c r="AC467" s="1958"/>
      <c r="AD467" s="1958"/>
      <c r="AE467" s="1958"/>
      <c r="AF467" s="1958"/>
      <c r="AG467" s="1958"/>
      <c r="AH467" s="1958"/>
      <c r="AI467" s="1958"/>
      <c r="AJ467" s="1958"/>
      <c r="AK467" s="1958"/>
      <c r="AL467" s="1958"/>
    </row>
    <row r="468" spans="1:54" x14ac:dyDescent="0.3">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c r="AA468" s="247"/>
      <c r="AB468" s="247"/>
      <c r="AC468" s="247"/>
      <c r="AD468" s="247"/>
      <c r="AE468" s="247"/>
      <c r="AF468" s="247"/>
      <c r="AG468" s="247"/>
      <c r="AH468" s="247"/>
      <c r="AI468" s="247"/>
      <c r="AJ468" s="247"/>
      <c r="AK468" s="247"/>
      <c r="AL468" s="247"/>
    </row>
    <row r="470" spans="1:54" x14ac:dyDescent="0.3">
      <c r="B470" s="231" t="s">
        <v>1756</v>
      </c>
    </row>
    <row r="472" spans="1:54" ht="15.6" x14ac:dyDescent="0.3">
      <c r="A472" s="139" t="s">
        <v>1758</v>
      </c>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Y472" s="1"/>
      <c r="AZ472" s="1"/>
      <c r="BA472" s="1"/>
      <c r="BB472" s="1"/>
    </row>
    <row r="473" spans="1:54" x14ac:dyDescent="0.3">
      <c r="B473" s="152"/>
      <c r="C473" s="152"/>
      <c r="D473" s="152"/>
      <c r="E473" s="152"/>
      <c r="F473" s="152"/>
      <c r="G473" s="1961" t="s">
        <v>2777</v>
      </c>
      <c r="H473" s="1962"/>
      <c r="I473" s="1962"/>
      <c r="J473" s="1962"/>
      <c r="K473" s="1962"/>
      <c r="L473" s="1962"/>
      <c r="M473" s="1962"/>
      <c r="N473" s="1962"/>
      <c r="O473" s="1962"/>
      <c r="P473" s="1962"/>
      <c r="Q473" s="1962"/>
      <c r="R473" s="1962"/>
      <c r="S473" s="1962"/>
      <c r="T473" s="1962"/>
      <c r="U473" s="1962"/>
      <c r="V473" s="1963"/>
      <c r="W473" s="1964" t="s">
        <v>2778</v>
      </c>
      <c r="X473" s="1964"/>
      <c r="Y473" s="1964"/>
      <c r="Z473" s="1964"/>
      <c r="AA473" s="1964"/>
      <c r="AB473" s="1964"/>
      <c r="AC473" s="1964"/>
      <c r="AD473" s="1964"/>
      <c r="AE473" s="1964"/>
      <c r="AF473" s="1964"/>
      <c r="AG473" s="1964"/>
      <c r="AH473" s="1964"/>
      <c r="AI473" s="1964"/>
      <c r="AJ473" s="1964"/>
      <c r="AK473" s="1964"/>
      <c r="AL473" s="1964"/>
    </row>
    <row r="474" spans="1:54" ht="30.75" customHeight="1" x14ac:dyDescent="0.3">
      <c r="A474" s="1945" t="s">
        <v>46</v>
      </c>
      <c r="B474" s="1945"/>
      <c r="C474" s="1945"/>
      <c r="D474" s="1945"/>
      <c r="E474" s="1945"/>
      <c r="F474" s="1945"/>
      <c r="G474" s="1966" t="s">
        <v>984</v>
      </c>
      <c r="H474" s="1966"/>
      <c r="I474" s="1966"/>
      <c r="J474" s="1966"/>
      <c r="K474" s="1966" t="s">
        <v>1759</v>
      </c>
      <c r="L474" s="1966"/>
      <c r="M474" s="1966"/>
      <c r="N474" s="1966"/>
      <c r="O474" s="2078" t="s">
        <v>985</v>
      </c>
      <c r="P474" s="2078"/>
      <c r="Q474" s="2078"/>
      <c r="R474" s="2078"/>
      <c r="S474" s="2078" t="s">
        <v>1760</v>
      </c>
      <c r="T474" s="2078"/>
      <c r="U474" s="2078"/>
      <c r="V474" s="2078"/>
      <c r="W474" s="1966" t="s">
        <v>984</v>
      </c>
      <c r="X474" s="1966"/>
      <c r="Y474" s="1966"/>
      <c r="Z474" s="1966"/>
      <c r="AA474" s="1966" t="s">
        <v>1759</v>
      </c>
      <c r="AB474" s="1966"/>
      <c r="AC474" s="1966"/>
      <c r="AD474" s="1966"/>
      <c r="AE474" s="2078" t="s">
        <v>985</v>
      </c>
      <c r="AF474" s="2078"/>
      <c r="AG474" s="2078"/>
      <c r="AH474" s="2078"/>
      <c r="AI474" s="2078" t="s">
        <v>1760</v>
      </c>
      <c r="AJ474" s="2078"/>
      <c r="AK474" s="2078"/>
      <c r="AL474" s="2078"/>
    </row>
    <row r="475" spans="1:54" x14ac:dyDescent="0.3">
      <c r="A475" s="1938" t="s">
        <v>1796</v>
      </c>
      <c r="B475" s="1938"/>
      <c r="C475" s="1938"/>
      <c r="D475" s="1938"/>
      <c r="E475" s="1938"/>
      <c r="F475" s="1938"/>
      <c r="G475" s="1950">
        <f t="shared" ref="G475:G485" si="89">ROUND(($U$96-$G$128)*$Q$73*VLOOKUP($A475,$N$123:$AG$133,17,TRUE)*VLOOKUP($A475,$N$146:$AG$156,13,TRUE)*$Q$78,3)</f>
        <v>4.0000000000000001E-3</v>
      </c>
      <c r="H475" s="1950"/>
      <c r="I475" s="1950"/>
      <c r="J475" s="1950"/>
      <c r="K475" s="1950">
        <f t="shared" ref="K475:K485" si="90">ROUND(($U$96-$I$128)*$Q$73*VLOOKUP($A475,$N$123:$AG$133,17,TRUE)*VLOOKUP($A475,$N$146:$AG$156,13,TRUE)*$Q$78,3)</f>
        <v>5.0000000000000001E-3</v>
      </c>
      <c r="L475" s="1950"/>
      <c r="M475" s="1950"/>
      <c r="N475" s="1950"/>
      <c r="O475" s="1950">
        <f t="shared" ref="O475:O485" si="91">ROUND(($U$97-$G$129)*$Q$73*VLOOKUP($A475,$N$123:$AG$133,17,TRUE)*VLOOKUP($A475,$N$146:$AG$156,13,TRUE)*$Q$78,3)</f>
        <v>1.2E-2</v>
      </c>
      <c r="P475" s="1950"/>
      <c r="Q475" s="1950"/>
      <c r="R475" s="1950"/>
      <c r="S475" s="1950">
        <f t="shared" ref="S475:S485" si="92">ROUND(($U$97-$I$129)*$Q$73*VLOOKUP($A475,$N$123:$AG$133,17,TRUE)*VLOOKUP($A475,$N$146:$AG$156,13,TRUE)*$Q$78,3)</f>
        <v>1.2999999999999999E-2</v>
      </c>
      <c r="T475" s="1950"/>
      <c r="U475" s="1950"/>
      <c r="V475" s="1950"/>
      <c r="W475" s="1956">
        <f t="shared" ref="W475:W485" si="93">ROUND(($U$96-$G$128)*$Q$73*VLOOKUP($A475,$A$167:$Q$177,15,TRUE)*VLOOKUP($A475,$N$146:$AG$156,17,TRUE)*$Q$78,2)</f>
        <v>19.13</v>
      </c>
      <c r="X475" s="1956"/>
      <c r="Y475" s="1956"/>
      <c r="Z475" s="1956"/>
      <c r="AA475" s="1956">
        <f t="shared" ref="AA475:AA485" si="94">ROUND(($U$96-$I$128)*$Q$73*VLOOKUP($A475,$A$167:$Q$177,15,TRUE)*VLOOKUP($A475,$N$146:$AG$156,17,TRUE)*$Q$78,2)</f>
        <v>24.56</v>
      </c>
      <c r="AB475" s="1956"/>
      <c r="AC475" s="1956"/>
      <c r="AD475" s="1956"/>
      <c r="AE475" s="1956">
        <f t="shared" ref="AE475:AE485" si="95">ROUND(($U$97-$G$129)*$Q$73*VLOOKUP($A475,$A$167:$Q$177,15,TRUE)*VLOOKUP($A475,$N$146:$AG$156,17,TRUE)*$Q$78,2)</f>
        <v>63.04</v>
      </c>
      <c r="AF475" s="1956"/>
      <c r="AG475" s="1956"/>
      <c r="AH475" s="1956"/>
      <c r="AI475" s="1956">
        <f t="shared" ref="AI475:AI485" si="96">ROUND(($U$97-$I$129)*$Q$73*VLOOKUP($A475,$A$167:$Q$177,15,TRUE)*VLOOKUP($A475,$N$146:$AG$156,17,TRUE)*$Q$78,2)</f>
        <v>68.48</v>
      </c>
      <c r="AJ475" s="1956"/>
      <c r="AK475" s="1956"/>
      <c r="AL475" s="1956"/>
    </row>
    <row r="476" spans="1:54" x14ac:dyDescent="0.3">
      <c r="A476" s="1938" t="s">
        <v>211</v>
      </c>
      <c r="B476" s="1938"/>
      <c r="C476" s="1938"/>
      <c r="D476" s="1938"/>
      <c r="E476" s="1938"/>
      <c r="F476" s="1938"/>
      <c r="G476" s="1950">
        <f t="shared" si="89"/>
        <v>2E-3</v>
      </c>
      <c r="H476" s="1950"/>
      <c r="I476" s="1950"/>
      <c r="J476" s="1950"/>
      <c r="K476" s="1950">
        <f t="shared" si="90"/>
        <v>3.0000000000000001E-3</v>
      </c>
      <c r="L476" s="1950"/>
      <c r="M476" s="1950"/>
      <c r="N476" s="1950"/>
      <c r="O476" s="1950">
        <f t="shared" si="91"/>
        <v>7.0000000000000001E-3</v>
      </c>
      <c r="P476" s="1950"/>
      <c r="Q476" s="1950"/>
      <c r="R476" s="1950"/>
      <c r="S476" s="1950">
        <f t="shared" si="92"/>
        <v>8.0000000000000002E-3</v>
      </c>
      <c r="T476" s="1950"/>
      <c r="U476" s="1950"/>
      <c r="V476" s="1950"/>
      <c r="W476" s="1956">
        <f t="shared" si="93"/>
        <v>65.66</v>
      </c>
      <c r="X476" s="1956"/>
      <c r="Y476" s="1956"/>
      <c r="Z476" s="1956"/>
      <c r="AA476" s="1956">
        <f t="shared" si="94"/>
        <v>84.32</v>
      </c>
      <c r="AB476" s="1956"/>
      <c r="AC476" s="1956"/>
      <c r="AD476" s="1956"/>
      <c r="AE476" s="1956">
        <f t="shared" si="95"/>
        <v>216.39</v>
      </c>
      <c r="AF476" s="1956"/>
      <c r="AG476" s="1956"/>
      <c r="AH476" s="1956"/>
      <c r="AI476" s="1956">
        <f t="shared" si="96"/>
        <v>235.04</v>
      </c>
      <c r="AJ476" s="1956"/>
      <c r="AK476" s="1956"/>
      <c r="AL476" s="1956"/>
    </row>
    <row r="477" spans="1:54" x14ac:dyDescent="0.3">
      <c r="A477" s="1938" t="s">
        <v>212</v>
      </c>
      <c r="B477" s="1938"/>
      <c r="C477" s="1938"/>
      <c r="D477" s="1938"/>
      <c r="E477" s="1938"/>
      <c r="F477" s="1938"/>
      <c r="G477" s="1950">
        <f t="shared" si="89"/>
        <v>4.0000000000000001E-3</v>
      </c>
      <c r="H477" s="1950"/>
      <c r="I477" s="1950"/>
      <c r="J477" s="1950"/>
      <c r="K477" s="1950">
        <f t="shared" si="90"/>
        <v>5.0000000000000001E-3</v>
      </c>
      <c r="L477" s="1950"/>
      <c r="M477" s="1950"/>
      <c r="N477" s="1950"/>
      <c r="O477" s="1950">
        <f t="shared" si="91"/>
        <v>1.2E-2</v>
      </c>
      <c r="P477" s="1950"/>
      <c r="Q477" s="1950"/>
      <c r="R477" s="1950"/>
      <c r="S477" s="1950">
        <f t="shared" si="92"/>
        <v>1.2999999999999999E-2</v>
      </c>
      <c r="T477" s="1950"/>
      <c r="U477" s="1950"/>
      <c r="V477" s="1950"/>
      <c r="W477" s="1956">
        <f t="shared" si="93"/>
        <v>18.350000000000001</v>
      </c>
      <c r="X477" s="1956"/>
      <c r="Y477" s="1956"/>
      <c r="Z477" s="1956"/>
      <c r="AA477" s="1956">
        <f t="shared" si="94"/>
        <v>23.56</v>
      </c>
      <c r="AB477" s="1956"/>
      <c r="AC477" s="1956"/>
      <c r="AD477" s="1956"/>
      <c r="AE477" s="1956">
        <f t="shared" si="95"/>
        <v>60.46</v>
      </c>
      <c r="AF477" s="1956"/>
      <c r="AG477" s="1956"/>
      <c r="AH477" s="1956"/>
      <c r="AI477" s="1956">
        <f t="shared" si="96"/>
        <v>65.680000000000007</v>
      </c>
      <c r="AJ477" s="1956"/>
      <c r="AK477" s="1956"/>
      <c r="AL477" s="1956"/>
    </row>
    <row r="478" spans="1:54" x14ac:dyDescent="0.3">
      <c r="A478" s="1938" t="s">
        <v>213</v>
      </c>
      <c r="B478" s="1938"/>
      <c r="C478" s="1938"/>
      <c r="D478" s="1938"/>
      <c r="E478" s="1938"/>
      <c r="F478" s="1938"/>
      <c r="G478" s="1950">
        <f t="shared" si="89"/>
        <v>6.0000000000000001E-3</v>
      </c>
      <c r="H478" s="1950"/>
      <c r="I478" s="1950"/>
      <c r="J478" s="1950"/>
      <c r="K478" s="1950">
        <f t="shared" si="90"/>
        <v>8.0000000000000002E-3</v>
      </c>
      <c r="L478" s="1950"/>
      <c r="M478" s="1950"/>
      <c r="N478" s="1950"/>
      <c r="O478" s="1950">
        <f t="shared" si="91"/>
        <v>2.1000000000000001E-2</v>
      </c>
      <c r="P478" s="1950"/>
      <c r="Q478" s="1950"/>
      <c r="R478" s="1950"/>
      <c r="S478" s="1950">
        <f t="shared" si="92"/>
        <v>2.3E-2</v>
      </c>
      <c r="T478" s="1950"/>
      <c r="U478" s="1950"/>
      <c r="V478" s="1950"/>
      <c r="W478" s="1956">
        <f t="shared" si="93"/>
        <v>46.9</v>
      </c>
      <c r="X478" s="1956"/>
      <c r="Y478" s="1956"/>
      <c r="Z478" s="1956"/>
      <c r="AA478" s="1956">
        <f t="shared" si="94"/>
        <v>60.22</v>
      </c>
      <c r="AB478" s="1956"/>
      <c r="AC478" s="1956"/>
      <c r="AD478" s="1956"/>
      <c r="AE478" s="1956">
        <f t="shared" si="95"/>
        <v>154.54</v>
      </c>
      <c r="AF478" s="1956"/>
      <c r="AG478" s="1956"/>
      <c r="AH478" s="1956"/>
      <c r="AI478" s="1956">
        <f t="shared" si="96"/>
        <v>167.86</v>
      </c>
      <c r="AJ478" s="1956"/>
      <c r="AK478" s="1956"/>
      <c r="AL478" s="1956"/>
    </row>
    <row r="479" spans="1:54" x14ac:dyDescent="0.3">
      <c r="A479" s="1938" t="s">
        <v>214</v>
      </c>
      <c r="B479" s="1938"/>
      <c r="C479" s="1938"/>
      <c r="D479" s="1938"/>
      <c r="E479" s="1938"/>
      <c r="F479" s="1938"/>
      <c r="G479" s="1950">
        <f t="shared" si="89"/>
        <v>7.0000000000000001E-3</v>
      </c>
      <c r="H479" s="1950"/>
      <c r="I479" s="1950"/>
      <c r="J479" s="1950"/>
      <c r="K479" s="1950">
        <f t="shared" si="90"/>
        <v>8.9999999999999993E-3</v>
      </c>
      <c r="L479" s="1950"/>
      <c r="M479" s="1950"/>
      <c r="N479" s="1950"/>
      <c r="O479" s="1950">
        <f t="shared" si="91"/>
        <v>2.1999999999999999E-2</v>
      </c>
      <c r="P479" s="1950"/>
      <c r="Q479" s="1950"/>
      <c r="R479" s="1950"/>
      <c r="S479" s="1950">
        <f t="shared" si="92"/>
        <v>2.4E-2</v>
      </c>
      <c r="T479" s="1950"/>
      <c r="U479" s="1950"/>
      <c r="V479" s="1950"/>
      <c r="W479" s="1956">
        <f t="shared" si="93"/>
        <v>50.58</v>
      </c>
      <c r="X479" s="1956"/>
      <c r="Y479" s="1956"/>
      <c r="Z479" s="1956"/>
      <c r="AA479" s="1956">
        <f t="shared" si="94"/>
        <v>64.95</v>
      </c>
      <c r="AB479" s="1956"/>
      <c r="AC479" s="1956"/>
      <c r="AD479" s="1956"/>
      <c r="AE479" s="1956">
        <f t="shared" si="95"/>
        <v>166.68</v>
      </c>
      <c r="AF479" s="1956"/>
      <c r="AG479" s="1956"/>
      <c r="AH479" s="1956"/>
      <c r="AI479" s="1956">
        <f t="shared" si="96"/>
        <v>181.05</v>
      </c>
      <c r="AJ479" s="1956"/>
      <c r="AK479" s="1956"/>
      <c r="AL479" s="1956"/>
    </row>
    <row r="480" spans="1:54" x14ac:dyDescent="0.3">
      <c r="A480" s="1938" t="s">
        <v>215</v>
      </c>
      <c r="B480" s="1938"/>
      <c r="C480" s="1938"/>
      <c r="D480" s="1938"/>
      <c r="E480" s="1938"/>
      <c r="F480" s="1938"/>
      <c r="G480" s="1950">
        <f t="shared" si="89"/>
        <v>3.0000000000000001E-3</v>
      </c>
      <c r="H480" s="1950"/>
      <c r="I480" s="1950"/>
      <c r="J480" s="1950"/>
      <c r="K480" s="1950">
        <f t="shared" si="90"/>
        <v>3.0000000000000001E-3</v>
      </c>
      <c r="L480" s="1950"/>
      <c r="M480" s="1950"/>
      <c r="N480" s="1950"/>
      <c r="O480" s="1950">
        <f t="shared" si="91"/>
        <v>8.0000000000000002E-3</v>
      </c>
      <c r="P480" s="1950"/>
      <c r="Q480" s="1950"/>
      <c r="R480" s="1950"/>
      <c r="S480" s="1950">
        <f t="shared" si="92"/>
        <v>8.9999999999999993E-3</v>
      </c>
      <c r="T480" s="1950"/>
      <c r="U480" s="1950"/>
      <c r="V480" s="1950"/>
      <c r="W480" s="1956">
        <f t="shared" si="93"/>
        <v>13.25</v>
      </c>
      <c r="X480" s="1956"/>
      <c r="Y480" s="1956"/>
      <c r="Z480" s="1956"/>
      <c r="AA480" s="1956">
        <f t="shared" si="94"/>
        <v>17.02</v>
      </c>
      <c r="AB480" s="1956"/>
      <c r="AC480" s="1956"/>
      <c r="AD480" s="1956"/>
      <c r="AE480" s="1956">
        <f t="shared" si="95"/>
        <v>43.68</v>
      </c>
      <c r="AF480" s="1956"/>
      <c r="AG480" s="1956"/>
      <c r="AH480" s="1956"/>
      <c r="AI480" s="1956">
        <f t="shared" si="96"/>
        <v>47.44</v>
      </c>
      <c r="AJ480" s="1956"/>
      <c r="AK480" s="1956"/>
      <c r="AL480" s="1956"/>
    </row>
    <row r="481" spans="1:54" x14ac:dyDescent="0.3">
      <c r="A481" s="1938" t="s">
        <v>216</v>
      </c>
      <c r="B481" s="1938"/>
      <c r="C481" s="1938"/>
      <c r="D481" s="1938"/>
      <c r="E481" s="1938"/>
      <c r="F481" s="1938"/>
      <c r="G481" s="1950">
        <f t="shared" si="89"/>
        <v>6.0000000000000001E-3</v>
      </c>
      <c r="H481" s="1950"/>
      <c r="I481" s="1950"/>
      <c r="J481" s="1950"/>
      <c r="K481" s="1950">
        <f t="shared" si="90"/>
        <v>8.0000000000000002E-3</v>
      </c>
      <c r="L481" s="1950"/>
      <c r="M481" s="1950"/>
      <c r="N481" s="1950"/>
      <c r="O481" s="1950">
        <f t="shared" si="91"/>
        <v>0.02</v>
      </c>
      <c r="P481" s="1950"/>
      <c r="Q481" s="1950"/>
      <c r="R481" s="1950"/>
      <c r="S481" s="1950">
        <f t="shared" si="92"/>
        <v>2.1999999999999999E-2</v>
      </c>
      <c r="T481" s="1950"/>
      <c r="U481" s="1950"/>
      <c r="V481" s="1950"/>
      <c r="W481" s="1956">
        <f t="shared" si="93"/>
        <v>22.46</v>
      </c>
      <c r="X481" s="1956"/>
      <c r="Y481" s="1956"/>
      <c r="Z481" s="1956"/>
      <c r="AA481" s="1956">
        <f t="shared" si="94"/>
        <v>28.84</v>
      </c>
      <c r="AB481" s="1956"/>
      <c r="AC481" s="1956"/>
      <c r="AD481" s="1956"/>
      <c r="AE481" s="1956">
        <f t="shared" si="95"/>
        <v>74.02</v>
      </c>
      <c r="AF481" s="1956"/>
      <c r="AG481" s="1956"/>
      <c r="AH481" s="1956"/>
      <c r="AI481" s="1956">
        <f t="shared" si="96"/>
        <v>80.41</v>
      </c>
      <c r="AJ481" s="1956"/>
      <c r="AK481" s="1956"/>
      <c r="AL481" s="1956"/>
    </row>
    <row r="482" spans="1:54" x14ac:dyDescent="0.3">
      <c r="A482" s="1938" t="s">
        <v>47</v>
      </c>
      <c r="B482" s="1938"/>
      <c r="C482" s="1938"/>
      <c r="D482" s="1938"/>
      <c r="E482" s="1938"/>
      <c r="F482" s="1938"/>
      <c r="G482" s="1950">
        <f t="shared" si="89"/>
        <v>2E-3</v>
      </c>
      <c r="H482" s="1950"/>
      <c r="I482" s="1950"/>
      <c r="J482" s="1950"/>
      <c r="K482" s="1950">
        <f t="shared" si="90"/>
        <v>3.0000000000000001E-3</v>
      </c>
      <c r="L482" s="1950"/>
      <c r="M482" s="1950"/>
      <c r="N482" s="1950"/>
      <c r="O482" s="1950">
        <f t="shared" si="91"/>
        <v>8.0000000000000002E-3</v>
      </c>
      <c r="P482" s="1950"/>
      <c r="Q482" s="1950"/>
      <c r="R482" s="1950"/>
      <c r="S482" s="1950">
        <f t="shared" si="92"/>
        <v>8.0000000000000002E-3</v>
      </c>
      <c r="T482" s="1950"/>
      <c r="U482" s="1950"/>
      <c r="V482" s="1950"/>
      <c r="W482" s="1956">
        <f t="shared" si="93"/>
        <v>21.52</v>
      </c>
      <c r="X482" s="1956"/>
      <c r="Y482" s="1956"/>
      <c r="Z482" s="1956"/>
      <c r="AA482" s="1956">
        <f t="shared" si="94"/>
        <v>27.63</v>
      </c>
      <c r="AB482" s="1956"/>
      <c r="AC482" s="1956"/>
      <c r="AD482" s="1956"/>
      <c r="AE482" s="1956">
        <f t="shared" si="95"/>
        <v>70.900000000000006</v>
      </c>
      <c r="AF482" s="1956"/>
      <c r="AG482" s="1956"/>
      <c r="AH482" s="1956"/>
      <c r="AI482" s="1956">
        <f t="shared" si="96"/>
        <v>77.010000000000005</v>
      </c>
      <c r="AJ482" s="1956"/>
      <c r="AK482" s="1956"/>
      <c r="AL482" s="1956"/>
    </row>
    <row r="483" spans="1:54" x14ac:dyDescent="0.3">
      <c r="A483" s="1938" t="s">
        <v>217</v>
      </c>
      <c r="B483" s="1938"/>
      <c r="C483" s="1938"/>
      <c r="D483" s="1938"/>
      <c r="E483" s="1938"/>
      <c r="F483" s="1938"/>
      <c r="G483" s="1950">
        <f t="shared" si="89"/>
        <v>5.0000000000000001E-3</v>
      </c>
      <c r="H483" s="1950"/>
      <c r="I483" s="1950"/>
      <c r="J483" s="1950"/>
      <c r="K483" s="1950">
        <f t="shared" si="90"/>
        <v>7.0000000000000001E-3</v>
      </c>
      <c r="L483" s="1950"/>
      <c r="M483" s="1950"/>
      <c r="N483" s="1950"/>
      <c r="O483" s="1950">
        <f t="shared" si="91"/>
        <v>1.7000000000000001E-2</v>
      </c>
      <c r="P483" s="1950"/>
      <c r="Q483" s="1950"/>
      <c r="R483" s="1950"/>
      <c r="S483" s="1950">
        <f t="shared" si="92"/>
        <v>1.9E-2</v>
      </c>
      <c r="T483" s="1950"/>
      <c r="U483" s="1950"/>
      <c r="V483" s="1950"/>
      <c r="W483" s="1956">
        <f t="shared" si="93"/>
        <v>38.64</v>
      </c>
      <c r="X483" s="1956"/>
      <c r="Y483" s="1956"/>
      <c r="Z483" s="1956"/>
      <c r="AA483" s="1956">
        <f t="shared" si="94"/>
        <v>49.61</v>
      </c>
      <c r="AB483" s="1956"/>
      <c r="AC483" s="1956"/>
      <c r="AD483" s="1956"/>
      <c r="AE483" s="1956">
        <f t="shared" si="95"/>
        <v>127.32</v>
      </c>
      <c r="AF483" s="1956"/>
      <c r="AG483" s="1956"/>
      <c r="AH483" s="1956"/>
      <c r="AI483" s="1956">
        <f t="shared" si="96"/>
        <v>138.30000000000001</v>
      </c>
      <c r="AJ483" s="1956"/>
      <c r="AK483" s="1956"/>
      <c r="AL483" s="1956"/>
    </row>
    <row r="484" spans="1:54" x14ac:dyDescent="0.3">
      <c r="A484" s="1938" t="s">
        <v>218</v>
      </c>
      <c r="B484" s="1938"/>
      <c r="C484" s="1938"/>
      <c r="D484" s="1938"/>
      <c r="E484" s="1938"/>
      <c r="F484" s="1938"/>
      <c r="G484" s="1950">
        <f t="shared" si="89"/>
        <v>6.0000000000000001E-3</v>
      </c>
      <c r="H484" s="1950"/>
      <c r="I484" s="1950"/>
      <c r="J484" s="1950"/>
      <c r="K484" s="1950">
        <f t="shared" si="90"/>
        <v>8.0000000000000002E-3</v>
      </c>
      <c r="L484" s="1950"/>
      <c r="M484" s="1950"/>
      <c r="N484" s="1950"/>
      <c r="O484" s="1950">
        <f t="shared" si="91"/>
        <v>1.9E-2</v>
      </c>
      <c r="P484" s="1950"/>
      <c r="Q484" s="1950"/>
      <c r="R484" s="1950"/>
      <c r="S484" s="1950">
        <f t="shared" si="92"/>
        <v>2.1000000000000001E-2</v>
      </c>
      <c r="T484" s="1950"/>
      <c r="U484" s="1950"/>
      <c r="V484" s="1950"/>
      <c r="W484" s="1956">
        <f t="shared" si="93"/>
        <v>36.6</v>
      </c>
      <c r="X484" s="1956"/>
      <c r="Y484" s="1956"/>
      <c r="Z484" s="1956"/>
      <c r="AA484" s="1956">
        <f t="shared" si="94"/>
        <v>46.99</v>
      </c>
      <c r="AB484" s="1956"/>
      <c r="AC484" s="1956"/>
      <c r="AD484" s="1956"/>
      <c r="AE484" s="1956">
        <f t="shared" si="95"/>
        <v>120.6</v>
      </c>
      <c r="AF484" s="1956"/>
      <c r="AG484" s="1956"/>
      <c r="AH484" s="1956"/>
      <c r="AI484" s="1956">
        <f t="shared" si="96"/>
        <v>131</v>
      </c>
      <c r="AJ484" s="1956"/>
      <c r="AK484" s="1956"/>
      <c r="AL484" s="1956"/>
    </row>
    <row r="485" spans="1:54" x14ac:dyDescent="0.3">
      <c r="A485" s="1938" t="s">
        <v>219</v>
      </c>
      <c r="B485" s="1938"/>
      <c r="C485" s="1938"/>
      <c r="D485" s="1938"/>
      <c r="E485" s="1938"/>
      <c r="F485" s="1938"/>
      <c r="G485" s="1950">
        <f t="shared" si="89"/>
        <v>1E-3</v>
      </c>
      <c r="H485" s="1950"/>
      <c r="I485" s="1950"/>
      <c r="J485" s="1950"/>
      <c r="K485" s="1950">
        <f t="shared" si="90"/>
        <v>1E-3</v>
      </c>
      <c r="L485" s="1950"/>
      <c r="M485" s="1950"/>
      <c r="N485" s="1950"/>
      <c r="O485" s="1950">
        <f t="shared" si="91"/>
        <v>3.0000000000000001E-3</v>
      </c>
      <c r="P485" s="1950"/>
      <c r="Q485" s="1950"/>
      <c r="R485" s="1950"/>
      <c r="S485" s="1950">
        <f t="shared" si="92"/>
        <v>3.0000000000000001E-3</v>
      </c>
      <c r="T485" s="1950"/>
      <c r="U485" s="1950"/>
      <c r="V485" s="1950"/>
      <c r="W485" s="1956">
        <f t="shared" si="93"/>
        <v>17.16</v>
      </c>
      <c r="X485" s="1956"/>
      <c r="Y485" s="1956"/>
      <c r="Z485" s="1956"/>
      <c r="AA485" s="1956">
        <f t="shared" si="94"/>
        <v>22.03</v>
      </c>
      <c r="AB485" s="1956"/>
      <c r="AC485" s="1956"/>
      <c r="AD485" s="1956"/>
      <c r="AE485" s="1956">
        <f t="shared" si="95"/>
        <v>56.55</v>
      </c>
      <c r="AF485" s="1956"/>
      <c r="AG485" s="1956"/>
      <c r="AH485" s="1956"/>
      <c r="AI485" s="1956">
        <f t="shared" si="96"/>
        <v>61.42</v>
      </c>
      <c r="AJ485" s="1956"/>
      <c r="AK485" s="1956"/>
      <c r="AL485" s="1956"/>
    </row>
    <row r="487" spans="1:54" x14ac:dyDescent="0.3">
      <c r="B487" s="231" t="s">
        <v>1757</v>
      </c>
    </row>
    <row r="489" spans="1:54" ht="15.6" x14ac:dyDescent="0.3">
      <c r="A489" s="139" t="s">
        <v>1785</v>
      </c>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Y489" s="1"/>
      <c r="AZ489" s="1"/>
      <c r="BA489" s="1"/>
      <c r="BB489" s="1"/>
    </row>
    <row r="490" spans="1:54" x14ac:dyDescent="0.3">
      <c r="B490" s="152"/>
      <c r="C490" s="152"/>
      <c r="D490" s="152"/>
      <c r="E490" s="152"/>
      <c r="F490" s="152"/>
      <c r="G490" s="1965" t="s">
        <v>1745</v>
      </c>
      <c r="H490" s="1965"/>
      <c r="I490" s="1965"/>
      <c r="J490" s="1965"/>
      <c r="K490" s="1965"/>
      <c r="L490" s="1965"/>
      <c r="M490" s="1965"/>
      <c r="N490" s="1965"/>
      <c r="O490" s="1965"/>
      <c r="P490" s="1965"/>
      <c r="Q490" s="1965"/>
      <c r="R490" s="1965"/>
      <c r="S490" s="1965"/>
      <c r="T490" s="1965"/>
      <c r="U490" s="1965"/>
      <c r="V490" s="1965"/>
    </row>
    <row r="491" spans="1:54" ht="31.5" customHeight="1" x14ac:dyDescent="0.3">
      <c r="A491" s="1945" t="s">
        <v>46</v>
      </c>
      <c r="B491" s="1945"/>
      <c r="C491" s="1945"/>
      <c r="D491" s="1945"/>
      <c r="E491" s="1945"/>
      <c r="F491" s="1945"/>
      <c r="G491" s="1959" t="s">
        <v>2908</v>
      </c>
      <c r="H491" s="1959"/>
      <c r="I491" s="1959"/>
      <c r="J491" s="1959"/>
      <c r="K491" s="1959" t="s">
        <v>1759</v>
      </c>
      <c r="L491" s="1959"/>
      <c r="M491" s="1959"/>
      <c r="N491" s="1959"/>
      <c r="O491" s="1960" t="s">
        <v>2909</v>
      </c>
      <c r="P491" s="1960"/>
      <c r="Q491" s="1960"/>
      <c r="R491" s="1960"/>
      <c r="S491" s="1960" t="s">
        <v>1760</v>
      </c>
      <c r="T491" s="1960"/>
      <c r="U491" s="1960"/>
      <c r="V491" s="1960"/>
    </row>
    <row r="492" spans="1:54" x14ac:dyDescent="0.3">
      <c r="A492" s="1938" t="s">
        <v>1796</v>
      </c>
      <c r="B492" s="1938"/>
      <c r="C492" s="1938"/>
      <c r="D492" s="1938"/>
      <c r="E492" s="1938"/>
      <c r="F492" s="1938"/>
      <c r="G492" s="1949">
        <f>ROUND(W475*VLOOKUP($A492,$A$199:$Q$209,15,TRUE)/3,2)</f>
        <v>159.41999999999999</v>
      </c>
      <c r="H492" s="1949"/>
      <c r="I492" s="1949"/>
      <c r="J492" s="1949"/>
      <c r="K492" s="1949">
        <f>ROUND(AA475*VLOOKUP($A492,$A$199:$Q$209,15,TRUE),2)</f>
        <v>614</v>
      </c>
      <c r="L492" s="1949"/>
      <c r="M492" s="1949"/>
      <c r="N492" s="1949"/>
      <c r="O492" s="1949">
        <f>ROUND(AE475*VLOOKUP($A492,$A$199:$Q$209,15,TRUE)/3,2)</f>
        <v>525.33000000000004</v>
      </c>
      <c r="P492" s="1949"/>
      <c r="Q492" s="1949"/>
      <c r="R492" s="1949"/>
      <c r="S492" s="1949">
        <f>ROUND(AI475*VLOOKUP($A492,$A$199:$Q$209,15,TRUE),2)</f>
        <v>1712</v>
      </c>
      <c r="T492" s="1949"/>
      <c r="U492" s="1949"/>
      <c r="V492" s="1949"/>
    </row>
    <row r="493" spans="1:54" x14ac:dyDescent="0.3">
      <c r="A493" s="1938" t="s">
        <v>211</v>
      </c>
      <c r="B493" s="1938"/>
      <c r="C493" s="1938"/>
      <c r="D493" s="1938"/>
      <c r="E493" s="1938"/>
      <c r="F493" s="1938"/>
      <c r="G493" s="1949">
        <f t="shared" ref="G493:G502" si="97">ROUND(W476*VLOOKUP($A493,$A$199:$Q$209,15,TRUE)/3,2)</f>
        <v>240.75</v>
      </c>
      <c r="H493" s="1949"/>
      <c r="I493" s="1949"/>
      <c r="J493" s="1949"/>
      <c r="K493" s="1949">
        <f t="shared" ref="K493:K502" si="98">ROUND(AA476*VLOOKUP($A493,$A$199:$Q$209,15,TRUE),2)</f>
        <v>927.52</v>
      </c>
      <c r="L493" s="1949"/>
      <c r="M493" s="1949"/>
      <c r="N493" s="1949"/>
      <c r="O493" s="1840">
        <f t="shared" ref="O493:O502" si="99">ROUND(AE476*VLOOKUP($A493,$A$199:$Q$209,15,TRUE)/3,2)</f>
        <v>793.43</v>
      </c>
      <c r="P493" s="1841"/>
      <c r="Q493" s="1841"/>
      <c r="R493" s="1842"/>
      <c r="S493" s="1949">
        <f t="shared" ref="S493:S502" si="100">ROUND(AI476*VLOOKUP($A493,$A$199:$Q$209,15,TRUE),2)</f>
        <v>2585.44</v>
      </c>
      <c r="T493" s="1949"/>
      <c r="U493" s="1949"/>
      <c r="V493" s="1949"/>
    </row>
    <row r="494" spans="1:54" x14ac:dyDescent="0.3">
      <c r="A494" s="1938" t="s">
        <v>212</v>
      </c>
      <c r="B494" s="1938"/>
      <c r="C494" s="1938"/>
      <c r="D494" s="1938"/>
      <c r="E494" s="1938"/>
      <c r="F494" s="1938"/>
      <c r="G494" s="1949">
        <f t="shared" si="97"/>
        <v>152.91999999999999</v>
      </c>
      <c r="H494" s="1949"/>
      <c r="I494" s="1949"/>
      <c r="J494" s="1949"/>
      <c r="K494" s="1949">
        <f t="shared" si="98"/>
        <v>589</v>
      </c>
      <c r="L494" s="1949"/>
      <c r="M494" s="1949"/>
      <c r="N494" s="1949"/>
      <c r="O494" s="1840">
        <f t="shared" si="99"/>
        <v>503.83</v>
      </c>
      <c r="P494" s="1841"/>
      <c r="Q494" s="1841"/>
      <c r="R494" s="1842"/>
      <c r="S494" s="1949">
        <f t="shared" si="100"/>
        <v>1642</v>
      </c>
      <c r="T494" s="1949"/>
      <c r="U494" s="1949"/>
      <c r="V494" s="1949"/>
    </row>
    <row r="495" spans="1:54" x14ac:dyDescent="0.3">
      <c r="A495" s="1938" t="s">
        <v>213</v>
      </c>
      <c r="B495" s="1938"/>
      <c r="C495" s="1938"/>
      <c r="D495" s="1938"/>
      <c r="E495" s="1938"/>
      <c r="F495" s="1938"/>
      <c r="G495" s="1949">
        <f t="shared" si="97"/>
        <v>156.33000000000001</v>
      </c>
      <c r="H495" s="1949"/>
      <c r="I495" s="1949"/>
      <c r="J495" s="1949"/>
      <c r="K495" s="1949">
        <f t="shared" si="98"/>
        <v>602.20000000000005</v>
      </c>
      <c r="L495" s="1949"/>
      <c r="M495" s="1949"/>
      <c r="N495" s="1949"/>
      <c r="O495" s="1840">
        <f t="shared" si="99"/>
        <v>515.13</v>
      </c>
      <c r="P495" s="1841"/>
      <c r="Q495" s="1841"/>
      <c r="R495" s="1842"/>
      <c r="S495" s="1949">
        <f t="shared" si="100"/>
        <v>1678.6</v>
      </c>
      <c r="T495" s="1949"/>
      <c r="U495" s="1949"/>
      <c r="V495" s="1949"/>
    </row>
    <row r="496" spans="1:54" x14ac:dyDescent="0.3">
      <c r="A496" s="1938" t="s">
        <v>214</v>
      </c>
      <c r="B496" s="1938"/>
      <c r="C496" s="1938"/>
      <c r="D496" s="1938"/>
      <c r="E496" s="1938"/>
      <c r="F496" s="1938"/>
      <c r="G496" s="1949">
        <f t="shared" si="97"/>
        <v>168.6</v>
      </c>
      <c r="H496" s="1949"/>
      <c r="I496" s="1949"/>
      <c r="J496" s="1949"/>
      <c r="K496" s="1949">
        <f t="shared" si="98"/>
        <v>649.5</v>
      </c>
      <c r="L496" s="1949"/>
      <c r="M496" s="1949"/>
      <c r="N496" s="1949"/>
      <c r="O496" s="1840">
        <f t="shared" si="99"/>
        <v>555.6</v>
      </c>
      <c r="P496" s="1841"/>
      <c r="Q496" s="1841"/>
      <c r="R496" s="1842"/>
      <c r="S496" s="1949">
        <f t="shared" si="100"/>
        <v>1810.5</v>
      </c>
      <c r="T496" s="1949"/>
      <c r="U496" s="1949"/>
      <c r="V496" s="1949"/>
    </row>
    <row r="497" spans="1:54" x14ac:dyDescent="0.3">
      <c r="A497" s="1938" t="s">
        <v>215</v>
      </c>
      <c r="B497" s="1938"/>
      <c r="C497" s="1938"/>
      <c r="D497" s="1938"/>
      <c r="E497" s="1938"/>
      <c r="F497" s="1938"/>
      <c r="G497" s="1949">
        <f t="shared" si="97"/>
        <v>110.42</v>
      </c>
      <c r="H497" s="1949"/>
      <c r="I497" s="1949"/>
      <c r="J497" s="1949"/>
      <c r="K497" s="1949">
        <f t="shared" si="98"/>
        <v>425.5</v>
      </c>
      <c r="L497" s="1949"/>
      <c r="M497" s="1949"/>
      <c r="N497" s="1949"/>
      <c r="O497" s="1840">
        <f t="shared" si="99"/>
        <v>364</v>
      </c>
      <c r="P497" s="1841"/>
      <c r="Q497" s="1841"/>
      <c r="R497" s="1842"/>
      <c r="S497" s="1949">
        <f t="shared" si="100"/>
        <v>1186</v>
      </c>
      <c r="T497" s="1949"/>
      <c r="U497" s="1949"/>
      <c r="V497" s="1949"/>
    </row>
    <row r="498" spans="1:54" x14ac:dyDescent="0.3">
      <c r="A498" s="1938" t="s">
        <v>216</v>
      </c>
      <c r="B498" s="1938"/>
      <c r="C498" s="1938"/>
      <c r="D498" s="1938"/>
      <c r="E498" s="1938"/>
      <c r="F498" s="1938"/>
      <c r="G498" s="1949">
        <f t="shared" si="97"/>
        <v>164.71</v>
      </c>
      <c r="H498" s="1949"/>
      <c r="I498" s="1949"/>
      <c r="J498" s="1949"/>
      <c r="K498" s="1949">
        <f t="shared" si="98"/>
        <v>634.48</v>
      </c>
      <c r="L498" s="1949"/>
      <c r="M498" s="1949"/>
      <c r="N498" s="1949"/>
      <c r="O498" s="1840">
        <f t="shared" si="99"/>
        <v>542.80999999999995</v>
      </c>
      <c r="P498" s="1841"/>
      <c r="Q498" s="1841"/>
      <c r="R498" s="1842"/>
      <c r="S498" s="1949">
        <f t="shared" si="100"/>
        <v>1769.02</v>
      </c>
      <c r="T498" s="1949"/>
      <c r="U498" s="1949"/>
      <c r="V498" s="1949"/>
    </row>
    <row r="499" spans="1:54" x14ac:dyDescent="0.3">
      <c r="A499" s="1938" t="s">
        <v>47</v>
      </c>
      <c r="B499" s="1938"/>
      <c r="C499" s="1938"/>
      <c r="D499" s="1938"/>
      <c r="E499" s="1938"/>
      <c r="F499" s="1938"/>
      <c r="G499" s="1949">
        <f t="shared" si="97"/>
        <v>179.33</v>
      </c>
      <c r="H499" s="1949"/>
      <c r="I499" s="1949"/>
      <c r="J499" s="1949"/>
      <c r="K499" s="1949">
        <f t="shared" si="98"/>
        <v>690.75</v>
      </c>
      <c r="L499" s="1949"/>
      <c r="M499" s="1949"/>
      <c r="N499" s="1949"/>
      <c r="O499" s="1840">
        <f t="shared" si="99"/>
        <v>590.83000000000004</v>
      </c>
      <c r="P499" s="1841"/>
      <c r="Q499" s="1841"/>
      <c r="R499" s="1842"/>
      <c r="S499" s="1949">
        <f t="shared" si="100"/>
        <v>1925.25</v>
      </c>
      <c r="T499" s="1949"/>
      <c r="U499" s="1949"/>
      <c r="V499" s="1949"/>
    </row>
    <row r="500" spans="1:54" x14ac:dyDescent="0.3">
      <c r="A500" s="1938" t="s">
        <v>217</v>
      </c>
      <c r="B500" s="1938"/>
      <c r="C500" s="1938"/>
      <c r="D500" s="1938"/>
      <c r="E500" s="1938"/>
      <c r="F500" s="1938"/>
      <c r="G500" s="1949">
        <f t="shared" si="97"/>
        <v>180.32</v>
      </c>
      <c r="H500" s="1949"/>
      <c r="I500" s="1949"/>
      <c r="J500" s="1949"/>
      <c r="K500" s="1949">
        <f t="shared" si="98"/>
        <v>694.54</v>
      </c>
      <c r="L500" s="1949"/>
      <c r="M500" s="1949"/>
      <c r="N500" s="1949"/>
      <c r="O500" s="1840">
        <f t="shared" si="99"/>
        <v>594.16</v>
      </c>
      <c r="P500" s="1841"/>
      <c r="Q500" s="1841"/>
      <c r="R500" s="1842"/>
      <c r="S500" s="1949">
        <f t="shared" si="100"/>
        <v>1936.2</v>
      </c>
      <c r="T500" s="1949"/>
      <c r="U500" s="1949"/>
      <c r="V500" s="1949"/>
    </row>
    <row r="501" spans="1:54" x14ac:dyDescent="0.3">
      <c r="A501" s="1938" t="s">
        <v>218</v>
      </c>
      <c r="B501" s="1938"/>
      <c r="C501" s="1938"/>
      <c r="D501" s="1938"/>
      <c r="E501" s="1938"/>
      <c r="F501" s="1938"/>
      <c r="G501" s="1949">
        <f t="shared" si="97"/>
        <v>170.8</v>
      </c>
      <c r="H501" s="1949"/>
      <c r="I501" s="1949"/>
      <c r="J501" s="1949"/>
      <c r="K501" s="1949">
        <f t="shared" si="98"/>
        <v>657.86</v>
      </c>
      <c r="L501" s="1949"/>
      <c r="M501" s="1949"/>
      <c r="N501" s="1949"/>
      <c r="O501" s="1840">
        <f t="shared" si="99"/>
        <v>562.79999999999995</v>
      </c>
      <c r="P501" s="1841"/>
      <c r="Q501" s="1841"/>
      <c r="R501" s="1842"/>
      <c r="S501" s="1949">
        <f t="shared" si="100"/>
        <v>1834</v>
      </c>
      <c r="T501" s="1949"/>
      <c r="U501" s="1949"/>
      <c r="V501" s="1949"/>
    </row>
    <row r="502" spans="1:54" x14ac:dyDescent="0.3">
      <c r="A502" s="1938" t="s">
        <v>219</v>
      </c>
      <c r="B502" s="1938"/>
      <c r="C502" s="1938"/>
      <c r="D502" s="1938"/>
      <c r="E502" s="1938"/>
      <c r="F502" s="1938"/>
      <c r="G502" s="1949">
        <f t="shared" si="97"/>
        <v>143</v>
      </c>
      <c r="H502" s="1949"/>
      <c r="I502" s="1949"/>
      <c r="J502" s="1949"/>
      <c r="K502" s="1949">
        <f t="shared" si="98"/>
        <v>550.75</v>
      </c>
      <c r="L502" s="1949"/>
      <c r="M502" s="1949"/>
      <c r="N502" s="1949"/>
      <c r="O502" s="1840">
        <f t="shared" si="99"/>
        <v>471.25</v>
      </c>
      <c r="P502" s="1841"/>
      <c r="Q502" s="1841"/>
      <c r="R502" s="1842"/>
      <c r="S502" s="1949">
        <f t="shared" si="100"/>
        <v>1535.5</v>
      </c>
      <c r="T502" s="1949"/>
      <c r="U502" s="1949"/>
      <c r="V502" s="1949"/>
    </row>
    <row r="503" spans="1:54" ht="63" customHeight="1" x14ac:dyDescent="0.3">
      <c r="A503" s="1082" t="s">
        <v>2910</v>
      </c>
      <c r="B503" s="1082"/>
      <c r="C503" s="1082"/>
      <c r="D503" s="1082"/>
      <c r="E503" s="1082"/>
      <c r="F503" s="1082"/>
      <c r="G503" s="1082"/>
      <c r="H503" s="1082"/>
      <c r="I503" s="1082"/>
      <c r="J503" s="1082"/>
      <c r="K503" s="1082"/>
      <c r="L503" s="1082"/>
      <c r="M503" s="1082"/>
      <c r="N503" s="1082"/>
      <c r="O503" s="1082"/>
      <c r="P503" s="1082"/>
      <c r="Q503" s="1082"/>
      <c r="R503" s="1082"/>
      <c r="S503" s="1082"/>
      <c r="T503" s="1082"/>
      <c r="U503" s="1082"/>
      <c r="V503" s="1082"/>
      <c r="W503" s="1082"/>
      <c r="X503" s="1082"/>
      <c r="Y503" s="1082"/>
      <c r="Z503" s="1082"/>
      <c r="AA503" s="1082"/>
      <c r="AB503" s="1082"/>
      <c r="AC503" s="1082"/>
      <c r="AD503" s="1082"/>
      <c r="AE503" s="1082"/>
      <c r="AF503" s="1082"/>
      <c r="AG503" s="1082"/>
      <c r="AH503" s="1082"/>
      <c r="AI503" s="1082"/>
      <c r="AJ503" s="1082"/>
      <c r="AK503" s="1082"/>
      <c r="AL503" s="1082"/>
    </row>
    <row r="504" spans="1:54" x14ac:dyDescent="0.3">
      <c r="B504" s="231" t="s">
        <v>1765</v>
      </c>
    </row>
    <row r="506" spans="1:54" ht="15.6" x14ac:dyDescent="0.3">
      <c r="A506" s="139" t="s">
        <v>1786</v>
      </c>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1"/>
      <c r="AB506" s="1"/>
      <c r="AC506" s="1"/>
      <c r="AD506" s="1"/>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
      <c r="AZ506" s="1"/>
      <c r="BA506" s="1"/>
      <c r="BB506" s="1"/>
    </row>
    <row r="507" spans="1:54" x14ac:dyDescent="0.3">
      <c r="B507" s="152"/>
      <c r="C507" s="152"/>
      <c r="D507" s="152"/>
      <c r="E507" s="152"/>
      <c r="F507" s="152"/>
      <c r="G507" s="1961" t="s">
        <v>2777</v>
      </c>
      <c r="H507" s="1962"/>
      <c r="I507" s="1962"/>
      <c r="J507" s="1962"/>
      <c r="K507" s="1962"/>
      <c r="L507" s="1962"/>
      <c r="M507" s="1962"/>
      <c r="N507" s="1962"/>
      <c r="O507" s="1962"/>
      <c r="P507" s="1962"/>
      <c r="Q507" s="1962"/>
      <c r="R507" s="1962"/>
      <c r="S507" s="1962"/>
      <c r="T507" s="1962"/>
      <c r="U507" s="1962"/>
      <c r="V507" s="1962"/>
      <c r="W507" s="1962"/>
      <c r="X507" s="1962"/>
      <c r="Y507" s="1962"/>
      <c r="Z507" s="1962"/>
      <c r="AA507" s="1962"/>
      <c r="AB507" s="1962"/>
      <c r="AC507" s="1962"/>
      <c r="AD507" s="1963"/>
      <c r="AE507" s="2082" t="s">
        <v>2778</v>
      </c>
      <c r="AF507" s="2083"/>
      <c r="AG507" s="2083"/>
      <c r="AH507" s="2083"/>
      <c r="AI507" s="2083"/>
      <c r="AJ507" s="2083"/>
      <c r="AK507" s="2083"/>
      <c r="AL507" s="2083"/>
      <c r="AM507" s="2083"/>
      <c r="AN507" s="2083"/>
      <c r="AO507" s="2083"/>
      <c r="AP507" s="2083"/>
      <c r="AQ507" s="2083"/>
      <c r="AR507" s="2083"/>
      <c r="AS507" s="2083"/>
      <c r="AT507" s="2083"/>
      <c r="AU507" s="2083"/>
      <c r="AV507" s="2083"/>
      <c r="AW507" s="2083"/>
      <c r="AX507" s="2083"/>
      <c r="AY507" s="2083"/>
      <c r="AZ507" s="2083"/>
      <c r="BA507" s="2083"/>
      <c r="BB507" s="2084"/>
    </row>
    <row r="508" spans="1:54" ht="29.4" customHeight="1" x14ac:dyDescent="0.3">
      <c r="A508" s="1945" t="s">
        <v>46</v>
      </c>
      <c r="B508" s="1945"/>
      <c r="C508" s="1945"/>
      <c r="D508" s="1945"/>
      <c r="E508" s="1945"/>
      <c r="F508" s="1945"/>
      <c r="G508" s="2085" t="s">
        <v>1763</v>
      </c>
      <c r="H508" s="2085"/>
      <c r="I508" s="2085"/>
      <c r="J508" s="2085"/>
      <c r="K508" s="2085" t="s">
        <v>1764</v>
      </c>
      <c r="L508" s="2085"/>
      <c r="M508" s="2085"/>
      <c r="N508" s="2085"/>
      <c r="O508" s="2081" t="s">
        <v>6617</v>
      </c>
      <c r="P508" s="2081"/>
      <c r="Q508" s="2081"/>
      <c r="R508" s="2081"/>
      <c r="S508" s="2081" t="s">
        <v>6618</v>
      </c>
      <c r="T508" s="2081"/>
      <c r="U508" s="2081"/>
      <c r="V508" s="2081"/>
      <c r="W508" s="1955" t="s">
        <v>1761</v>
      </c>
      <c r="X508" s="1955"/>
      <c r="Y508" s="1955"/>
      <c r="Z508" s="1955"/>
      <c r="AA508" s="1955" t="s">
        <v>1762</v>
      </c>
      <c r="AB508" s="1955"/>
      <c r="AC508" s="1955"/>
      <c r="AD508" s="1955"/>
      <c r="AE508" s="2086" t="s">
        <v>1763</v>
      </c>
      <c r="AF508" s="2086"/>
      <c r="AG508" s="2086"/>
      <c r="AH508" s="2086"/>
      <c r="AI508" s="2086" t="s">
        <v>1764</v>
      </c>
      <c r="AJ508" s="2086"/>
      <c r="AK508" s="2086"/>
      <c r="AL508" s="2086"/>
      <c r="AM508" s="2081" t="s">
        <v>6617</v>
      </c>
      <c r="AN508" s="2081"/>
      <c r="AO508" s="2081"/>
      <c r="AP508" s="2081"/>
      <c r="AQ508" s="2081" t="s">
        <v>6618</v>
      </c>
      <c r="AR508" s="2081"/>
      <c r="AS508" s="2081"/>
      <c r="AT508" s="2081"/>
      <c r="AU508" s="2078" t="s">
        <v>1761</v>
      </c>
      <c r="AV508" s="2078"/>
      <c r="AW508" s="2078"/>
      <c r="AX508" s="2078"/>
      <c r="AY508" s="2078" t="s">
        <v>1762</v>
      </c>
      <c r="AZ508" s="2078"/>
      <c r="BA508" s="2078"/>
      <c r="BB508" s="2078"/>
    </row>
    <row r="509" spans="1:54" x14ac:dyDescent="0.3">
      <c r="A509" s="1938" t="s">
        <v>1796</v>
      </c>
      <c r="B509" s="1938"/>
      <c r="C509" s="1938"/>
      <c r="D509" s="1938"/>
      <c r="E509" s="1938"/>
      <c r="F509" s="1938"/>
      <c r="G509" s="1950">
        <f t="shared" ref="G509:G519" si="101">ROUND(($U$111-$G$143)*$Q$73*VLOOKUP($A509,$N$123:$AG$133,17,TRUE)*VLOOKUP($A509,$N$146:$AG$156,13,TRUE)*$Q$78,3)</f>
        <v>1.4E-2</v>
      </c>
      <c r="H509" s="1950"/>
      <c r="I509" s="1950"/>
      <c r="J509" s="1950"/>
      <c r="K509" s="1950">
        <f t="shared" ref="K509:K519" si="102">ROUND(($U$111-$I$143)*$Q$73*VLOOKUP($A509,$N$123:$AG$133,17,TRUE)*VLOOKUP($A509,$N$146:$AG$156,13,TRUE)*$Q$78,3)</f>
        <v>1.6E-2</v>
      </c>
      <c r="L509" s="1950"/>
      <c r="M509" s="1950"/>
      <c r="N509" s="1950"/>
      <c r="O509" s="1957">
        <f>ROUND(($U$112-$G$144)*$Q$73*VLOOKUP($A509,$N$123:$AG$133,17,TRUE)*VLOOKUP($A509,$N$146:$AG$156,13,TRUE)*$Q$78,3)</f>
        <v>5.0000000000000001E-3</v>
      </c>
      <c r="P509" s="1957"/>
      <c r="Q509" s="1957"/>
      <c r="R509" s="1957"/>
      <c r="S509" s="1957">
        <f>ROUND(($U$112-$I$144)*$Q$73*VLOOKUP($A509,$N$123:$AG$133,17,TRUE)*VLOOKUP($A509,$N$146:$AG$156,13,TRUE)*$Q$78,3)</f>
        <v>6.0000000000000001E-3</v>
      </c>
      <c r="T509" s="1957"/>
      <c r="U509" s="1957"/>
      <c r="V509" s="1957"/>
      <c r="W509" s="1957">
        <f t="shared" ref="W509:W519" si="103">ROUND(($U$113-$G$145)*$Q$73*VLOOKUP($A509,$N$123:$AG$133,17,TRUE)*VLOOKUP($A509,$N$146:$AG$156,13,TRUE)*$Q$78,3)</f>
        <v>0.01</v>
      </c>
      <c r="X509" s="1957"/>
      <c r="Y509" s="1957"/>
      <c r="Z509" s="1957"/>
      <c r="AA509" s="1957">
        <f t="shared" ref="AA509:AA519" si="104">ROUND(($U$113-$I$145)*$Q$73*VLOOKUP($A509,$N$123:$AG$133,17,TRUE)*VLOOKUP($A509,$N$146:$AG$156,13,TRUE)*$Q$78,3)</f>
        <v>1.2E-2</v>
      </c>
      <c r="AB509" s="1957"/>
      <c r="AC509" s="1957"/>
      <c r="AD509" s="1957"/>
      <c r="AE509" s="1836">
        <f t="shared" ref="AE509:AE519" si="105">ROUND(($U$111-$G$143)*$Q$73*VLOOKUP($A509,$A$167:$Q$177,15,TRUE)*VLOOKUP($A509,$N$146:$AG$156,17,TRUE)*$Q$78,2)</f>
        <v>70.430000000000007</v>
      </c>
      <c r="AF509" s="1836"/>
      <c r="AG509" s="1836"/>
      <c r="AH509" s="1836"/>
      <c r="AI509" s="1836">
        <f t="shared" ref="AI509:AI519" si="106">ROUND(($U$111-$I$143)*$Q$73*VLOOKUP($A509,$A$167:$Q$177,15,TRUE)*VLOOKUP($A509,$N$146:$AG$156,17,TRUE)*$Q$78,2)</f>
        <v>81.3</v>
      </c>
      <c r="AJ509" s="1836"/>
      <c r="AK509" s="1836"/>
      <c r="AL509" s="1836"/>
      <c r="AM509" s="1836">
        <f>ROUND(($U$112-$G$144)*$Q$73*VLOOKUP($A509,$A$167:$Q$177,15,TRUE)*VLOOKUP($A509,$N$146:$AG$156,17,TRUE)*$Q$78,2)</f>
        <v>25</v>
      </c>
      <c r="AN509" s="1836"/>
      <c r="AO509" s="1836"/>
      <c r="AP509" s="1836"/>
      <c r="AQ509" s="1836">
        <f>ROUND(($U$112-$I$144)*$Q$73*VLOOKUP($A509,$A$167:$Q$177,15,TRUE)*VLOOKUP($A509,$N$146:$AG$156,17,TRUE)*$Q$78,2)</f>
        <v>30.43</v>
      </c>
      <c r="AR509" s="1836"/>
      <c r="AS509" s="1836"/>
      <c r="AT509" s="1836"/>
      <c r="AU509" s="1956">
        <f t="shared" ref="AU509:AU519" si="107">ROUND(($U$113-$G$145)*$Q$73*VLOOKUP($A509,$A$167:$Q$177,15,TRUE)*VLOOKUP($A509,$N$146:$AG$156,17,TRUE)*$Q$78,2)</f>
        <v>50</v>
      </c>
      <c r="AV509" s="1956"/>
      <c r="AW509" s="1956"/>
      <c r="AX509" s="1956"/>
      <c r="AY509" s="1956">
        <f t="shared" ref="AY509:AY519" si="108">ROUND(($U$113-$I$145)*$Q$73*VLOOKUP($A509,$A$167:$Q$177,15,TRUE)*VLOOKUP($A509,$N$146:$AG$156,17,TRUE)*$Q$78,2)</f>
        <v>60.87</v>
      </c>
      <c r="AZ509" s="1956"/>
      <c r="BA509" s="1956"/>
      <c r="BB509" s="1956"/>
    </row>
    <row r="510" spans="1:54" x14ac:dyDescent="0.3">
      <c r="A510" s="1938" t="s">
        <v>211</v>
      </c>
      <c r="B510" s="1938"/>
      <c r="C510" s="1938"/>
      <c r="D510" s="1938"/>
      <c r="E510" s="1938"/>
      <c r="F510" s="1938"/>
      <c r="G510" s="1950">
        <f t="shared" si="101"/>
        <v>8.0000000000000002E-3</v>
      </c>
      <c r="H510" s="1950"/>
      <c r="I510" s="1950"/>
      <c r="J510" s="1950"/>
      <c r="K510" s="1950">
        <f t="shared" si="102"/>
        <v>8.9999999999999993E-3</v>
      </c>
      <c r="L510" s="1950"/>
      <c r="M510" s="1950"/>
      <c r="N510" s="1950"/>
      <c r="O510" s="1957">
        <f t="shared" ref="O510:O519" si="109">ROUND(($U$112-$G$144)*$Q$73*VLOOKUP($A510,$N$123:$AG$133,17,TRUE)*VLOOKUP($A510,$N$146:$AG$156,13,TRUE)*$Q$78,3)</f>
        <v>3.0000000000000001E-3</v>
      </c>
      <c r="P510" s="1957"/>
      <c r="Q510" s="1957"/>
      <c r="R510" s="1957"/>
      <c r="S510" s="1957">
        <f t="shared" ref="S510:S519" si="110">ROUND(($U$112-$I$144)*$Q$73*VLOOKUP($A510,$N$123:$AG$133,17,TRUE)*VLOOKUP($A510,$N$146:$AG$156,13,TRUE)*$Q$78,3)</f>
        <v>3.0000000000000001E-3</v>
      </c>
      <c r="T510" s="1957"/>
      <c r="U510" s="1957"/>
      <c r="V510" s="1957"/>
      <c r="W510" s="1957">
        <f t="shared" si="103"/>
        <v>6.0000000000000001E-3</v>
      </c>
      <c r="X510" s="1957"/>
      <c r="Y510" s="1957"/>
      <c r="Z510" s="1957"/>
      <c r="AA510" s="1957">
        <f t="shared" si="104"/>
        <v>7.0000000000000001E-3</v>
      </c>
      <c r="AB510" s="1957"/>
      <c r="AC510" s="1957"/>
      <c r="AD510" s="1957"/>
      <c r="AE510" s="1836">
        <f t="shared" si="105"/>
        <v>241.76</v>
      </c>
      <c r="AF510" s="1836"/>
      <c r="AG510" s="1836"/>
      <c r="AH510" s="1836"/>
      <c r="AI510" s="1836">
        <f t="shared" si="106"/>
        <v>279.07</v>
      </c>
      <c r="AJ510" s="1836"/>
      <c r="AK510" s="1836"/>
      <c r="AL510" s="1836"/>
      <c r="AM510" s="1836">
        <f t="shared" ref="AM510:AM519" si="111">ROUND(($U$112-$G$144)*$Q$73*VLOOKUP($A510,$A$167:$Q$177,15,TRUE)*VLOOKUP($A510,$N$146:$AG$156,17,TRUE)*$Q$78,2)</f>
        <v>85.81</v>
      </c>
      <c r="AN510" s="1836"/>
      <c r="AO510" s="1836"/>
      <c r="AP510" s="1836"/>
      <c r="AQ510" s="1836">
        <f t="shared" ref="AQ510:AQ519" si="112">ROUND(($U$112-$I$144)*$Q$73*VLOOKUP($A510,$A$167:$Q$177,15,TRUE)*VLOOKUP($A510,$N$146:$AG$156,17,TRUE)*$Q$78,2)</f>
        <v>104.46</v>
      </c>
      <c r="AR510" s="1836"/>
      <c r="AS510" s="1836"/>
      <c r="AT510" s="1836"/>
      <c r="AU510" s="1956">
        <f t="shared" si="107"/>
        <v>171.62</v>
      </c>
      <c r="AV510" s="1956"/>
      <c r="AW510" s="1956"/>
      <c r="AX510" s="1956"/>
      <c r="AY510" s="1956">
        <f t="shared" si="108"/>
        <v>208.93</v>
      </c>
      <c r="AZ510" s="1956"/>
      <c r="BA510" s="1956"/>
      <c r="BB510" s="1956"/>
    </row>
    <row r="511" spans="1:54" x14ac:dyDescent="0.3">
      <c r="A511" s="1938" t="s">
        <v>212</v>
      </c>
      <c r="B511" s="1938"/>
      <c r="C511" s="1938"/>
      <c r="D511" s="1938"/>
      <c r="E511" s="1938"/>
      <c r="F511" s="1938"/>
      <c r="G511" s="1950">
        <f t="shared" si="101"/>
        <v>1.2999999999999999E-2</v>
      </c>
      <c r="H511" s="1950"/>
      <c r="I511" s="1950"/>
      <c r="J511" s="1950"/>
      <c r="K511" s="1950">
        <f t="shared" si="102"/>
        <v>1.4999999999999999E-2</v>
      </c>
      <c r="L511" s="1950"/>
      <c r="M511" s="1950"/>
      <c r="N511" s="1950"/>
      <c r="O511" s="1957">
        <f t="shared" si="109"/>
        <v>5.0000000000000001E-3</v>
      </c>
      <c r="P511" s="1957"/>
      <c r="Q511" s="1957"/>
      <c r="R511" s="1957"/>
      <c r="S511" s="1957">
        <f t="shared" si="110"/>
        <v>6.0000000000000001E-3</v>
      </c>
      <c r="T511" s="1957"/>
      <c r="U511" s="1957"/>
      <c r="V511" s="1957"/>
      <c r="W511" s="1957">
        <f t="shared" si="103"/>
        <v>8.9999999999999993E-3</v>
      </c>
      <c r="X511" s="1957"/>
      <c r="Y511" s="1957"/>
      <c r="Z511" s="1957"/>
      <c r="AA511" s="1957">
        <f t="shared" si="104"/>
        <v>1.2E-2</v>
      </c>
      <c r="AB511" s="1957"/>
      <c r="AC511" s="1957"/>
      <c r="AD511" s="1957"/>
      <c r="AE511" s="1836">
        <f t="shared" si="105"/>
        <v>67.55</v>
      </c>
      <c r="AF511" s="1836"/>
      <c r="AG511" s="1836"/>
      <c r="AH511" s="1836"/>
      <c r="AI511" s="1836">
        <f t="shared" si="106"/>
        <v>77.98</v>
      </c>
      <c r="AJ511" s="1836"/>
      <c r="AK511" s="1836"/>
      <c r="AL511" s="1836"/>
      <c r="AM511" s="1836">
        <f t="shared" si="111"/>
        <v>23.98</v>
      </c>
      <c r="AN511" s="1836"/>
      <c r="AO511" s="1836"/>
      <c r="AP511" s="1836"/>
      <c r="AQ511" s="1836">
        <f t="shared" si="112"/>
        <v>29.19</v>
      </c>
      <c r="AR511" s="1836"/>
      <c r="AS511" s="1836"/>
      <c r="AT511" s="1836"/>
      <c r="AU511" s="1956">
        <f t="shared" si="107"/>
        <v>47.95</v>
      </c>
      <c r="AV511" s="1956"/>
      <c r="AW511" s="1956"/>
      <c r="AX511" s="1956"/>
      <c r="AY511" s="1956">
        <f t="shared" si="108"/>
        <v>58.38</v>
      </c>
      <c r="AZ511" s="1956"/>
      <c r="BA511" s="1956"/>
      <c r="BB511" s="1956"/>
    </row>
    <row r="512" spans="1:54" x14ac:dyDescent="0.3">
      <c r="A512" s="1938" t="s">
        <v>213</v>
      </c>
      <c r="B512" s="1938"/>
      <c r="C512" s="1938"/>
      <c r="D512" s="1938"/>
      <c r="E512" s="1938"/>
      <c r="F512" s="1938"/>
      <c r="G512" s="1950">
        <f t="shared" si="101"/>
        <v>2.4E-2</v>
      </c>
      <c r="H512" s="1950"/>
      <c r="I512" s="1950"/>
      <c r="J512" s="1950"/>
      <c r="K512" s="1950">
        <f t="shared" si="102"/>
        <v>2.7E-2</v>
      </c>
      <c r="L512" s="1950"/>
      <c r="M512" s="1950"/>
      <c r="N512" s="1950"/>
      <c r="O512" s="1957">
        <f t="shared" si="109"/>
        <v>8.0000000000000002E-3</v>
      </c>
      <c r="P512" s="1957"/>
      <c r="Q512" s="1957"/>
      <c r="R512" s="1957"/>
      <c r="S512" s="1957">
        <f t="shared" si="110"/>
        <v>0.01</v>
      </c>
      <c r="T512" s="1957"/>
      <c r="U512" s="1957"/>
      <c r="V512" s="1957"/>
      <c r="W512" s="1957">
        <f t="shared" si="103"/>
        <v>1.7000000000000001E-2</v>
      </c>
      <c r="X512" s="1957"/>
      <c r="Y512" s="1957"/>
      <c r="Z512" s="1957"/>
      <c r="AA512" s="1957">
        <f t="shared" si="104"/>
        <v>0.02</v>
      </c>
      <c r="AB512" s="1957"/>
      <c r="AC512" s="1957"/>
      <c r="AD512" s="1957"/>
      <c r="AE512" s="1836">
        <f t="shared" si="105"/>
        <v>172.66</v>
      </c>
      <c r="AF512" s="1836"/>
      <c r="AG512" s="1836"/>
      <c r="AH512" s="1836"/>
      <c r="AI512" s="1836">
        <f t="shared" si="106"/>
        <v>199.31</v>
      </c>
      <c r="AJ512" s="1836"/>
      <c r="AK512" s="1836"/>
      <c r="AL512" s="1836"/>
      <c r="AM512" s="1836">
        <f t="shared" si="111"/>
        <v>61.28</v>
      </c>
      <c r="AN512" s="1836"/>
      <c r="AO512" s="1836"/>
      <c r="AP512" s="1836"/>
      <c r="AQ512" s="1836">
        <f t="shared" si="112"/>
        <v>74.61</v>
      </c>
      <c r="AR512" s="1836"/>
      <c r="AS512" s="1836"/>
      <c r="AT512" s="1836"/>
      <c r="AU512" s="1956">
        <f t="shared" si="107"/>
        <v>122.57</v>
      </c>
      <c r="AV512" s="1956"/>
      <c r="AW512" s="1956"/>
      <c r="AX512" s="1956"/>
      <c r="AY512" s="1956">
        <f t="shared" si="108"/>
        <v>149.21</v>
      </c>
      <c r="AZ512" s="1956"/>
      <c r="BA512" s="1956"/>
      <c r="BB512" s="1956"/>
    </row>
    <row r="513" spans="1:59" x14ac:dyDescent="0.3">
      <c r="A513" s="1938" t="s">
        <v>214</v>
      </c>
      <c r="B513" s="1938"/>
      <c r="C513" s="1938"/>
      <c r="D513" s="1938"/>
      <c r="E513" s="1938"/>
      <c r="F513" s="1938"/>
      <c r="G513" s="1950">
        <f t="shared" si="101"/>
        <v>2.5000000000000001E-2</v>
      </c>
      <c r="H513" s="1950"/>
      <c r="I513" s="1950"/>
      <c r="J513" s="1950"/>
      <c r="K513" s="1950">
        <f t="shared" si="102"/>
        <v>2.9000000000000001E-2</v>
      </c>
      <c r="L513" s="1950"/>
      <c r="M513" s="1950"/>
      <c r="N513" s="1950"/>
      <c r="O513" s="1957">
        <f t="shared" si="109"/>
        <v>8.9999999999999993E-3</v>
      </c>
      <c r="P513" s="1957"/>
      <c r="Q513" s="1957"/>
      <c r="R513" s="1957"/>
      <c r="S513" s="1957">
        <f t="shared" si="110"/>
        <v>1.0999999999999999E-2</v>
      </c>
      <c r="T513" s="1957"/>
      <c r="U513" s="1957"/>
      <c r="V513" s="1957"/>
      <c r="W513" s="1957">
        <f t="shared" si="103"/>
        <v>1.7999999999999999E-2</v>
      </c>
      <c r="X513" s="1957"/>
      <c r="Y513" s="1957"/>
      <c r="Z513" s="1957"/>
      <c r="AA513" s="1957">
        <f t="shared" si="104"/>
        <v>2.1000000000000001E-2</v>
      </c>
      <c r="AB513" s="1957"/>
      <c r="AC513" s="1957"/>
      <c r="AD513" s="1957"/>
      <c r="AE513" s="1836">
        <f t="shared" si="105"/>
        <v>186.23</v>
      </c>
      <c r="AF513" s="1836"/>
      <c r="AG513" s="1836"/>
      <c r="AH513" s="1836"/>
      <c r="AI513" s="1836">
        <f t="shared" si="106"/>
        <v>214.96</v>
      </c>
      <c r="AJ513" s="1836"/>
      <c r="AK513" s="1836"/>
      <c r="AL513" s="1836"/>
      <c r="AM513" s="1836">
        <f t="shared" si="111"/>
        <v>66.099999999999994</v>
      </c>
      <c r="AN513" s="1836"/>
      <c r="AO513" s="1836"/>
      <c r="AP513" s="1836"/>
      <c r="AQ513" s="1836">
        <f t="shared" si="112"/>
        <v>80.47</v>
      </c>
      <c r="AR513" s="1836"/>
      <c r="AS513" s="1836"/>
      <c r="AT513" s="1836"/>
      <c r="AU513" s="1956">
        <f t="shared" si="107"/>
        <v>132.19999999999999</v>
      </c>
      <c r="AV513" s="1956"/>
      <c r="AW513" s="1956"/>
      <c r="AX513" s="1956"/>
      <c r="AY513" s="1956">
        <f t="shared" si="108"/>
        <v>160.94</v>
      </c>
      <c r="AZ513" s="1956"/>
      <c r="BA513" s="1956"/>
      <c r="BB513" s="1956"/>
    </row>
    <row r="514" spans="1:59" x14ac:dyDescent="0.3">
      <c r="A514" s="1938" t="s">
        <v>215</v>
      </c>
      <c r="B514" s="1938"/>
      <c r="C514" s="1938"/>
      <c r="D514" s="1938"/>
      <c r="E514" s="1938"/>
      <c r="F514" s="1938"/>
      <c r="G514" s="1950">
        <f t="shared" si="101"/>
        <v>8.9999999999999993E-3</v>
      </c>
      <c r="H514" s="1950"/>
      <c r="I514" s="1950"/>
      <c r="J514" s="1950"/>
      <c r="K514" s="1950">
        <f t="shared" si="102"/>
        <v>1.0999999999999999E-2</v>
      </c>
      <c r="L514" s="1950"/>
      <c r="M514" s="1950"/>
      <c r="N514" s="1950"/>
      <c r="O514" s="1957">
        <f t="shared" si="109"/>
        <v>3.0000000000000001E-3</v>
      </c>
      <c r="P514" s="1957"/>
      <c r="Q514" s="1957"/>
      <c r="R514" s="1957"/>
      <c r="S514" s="1957">
        <f t="shared" si="110"/>
        <v>4.0000000000000001E-3</v>
      </c>
      <c r="T514" s="1957"/>
      <c r="U514" s="1957"/>
      <c r="V514" s="1957"/>
      <c r="W514" s="1957">
        <f t="shared" si="103"/>
        <v>7.0000000000000001E-3</v>
      </c>
      <c r="X514" s="1957"/>
      <c r="Y514" s="1957"/>
      <c r="Z514" s="1957"/>
      <c r="AA514" s="1957">
        <f t="shared" si="104"/>
        <v>8.0000000000000002E-3</v>
      </c>
      <c r="AB514" s="1957"/>
      <c r="AC514" s="1957"/>
      <c r="AD514" s="1957"/>
      <c r="AE514" s="1836">
        <f t="shared" si="105"/>
        <v>48.8</v>
      </c>
      <c r="AF514" s="1836"/>
      <c r="AG514" s="1836"/>
      <c r="AH514" s="1836"/>
      <c r="AI514" s="1836">
        <f t="shared" si="106"/>
        <v>56.33</v>
      </c>
      <c r="AJ514" s="1836"/>
      <c r="AK514" s="1836"/>
      <c r="AL514" s="1836"/>
      <c r="AM514" s="1836">
        <f t="shared" si="111"/>
        <v>17.32</v>
      </c>
      <c r="AN514" s="1836"/>
      <c r="AO514" s="1836"/>
      <c r="AP514" s="1836"/>
      <c r="AQ514" s="1836">
        <f t="shared" si="112"/>
        <v>21.08</v>
      </c>
      <c r="AR514" s="1836"/>
      <c r="AS514" s="1836"/>
      <c r="AT514" s="1836"/>
      <c r="AU514" s="1956">
        <f t="shared" si="107"/>
        <v>34.64</v>
      </c>
      <c r="AV514" s="1956"/>
      <c r="AW514" s="1956"/>
      <c r="AX514" s="1956"/>
      <c r="AY514" s="1956">
        <f t="shared" si="108"/>
        <v>42.17</v>
      </c>
      <c r="AZ514" s="1956"/>
      <c r="BA514" s="1956"/>
      <c r="BB514" s="1956"/>
    </row>
    <row r="515" spans="1:59" x14ac:dyDescent="0.3">
      <c r="A515" s="1938" t="s">
        <v>216</v>
      </c>
      <c r="B515" s="1938"/>
      <c r="C515" s="1938"/>
      <c r="D515" s="1938"/>
      <c r="E515" s="1938"/>
      <c r="F515" s="1938"/>
      <c r="G515" s="1950">
        <f t="shared" si="101"/>
        <v>2.1999999999999999E-2</v>
      </c>
      <c r="H515" s="1950"/>
      <c r="I515" s="1950"/>
      <c r="J515" s="1950"/>
      <c r="K515" s="1950">
        <f t="shared" si="102"/>
        <v>2.5999999999999999E-2</v>
      </c>
      <c r="L515" s="1950"/>
      <c r="M515" s="1950"/>
      <c r="N515" s="1950"/>
      <c r="O515" s="1957">
        <f t="shared" si="109"/>
        <v>8.0000000000000002E-3</v>
      </c>
      <c r="P515" s="1957"/>
      <c r="Q515" s="1957"/>
      <c r="R515" s="1957"/>
      <c r="S515" s="1957">
        <f t="shared" si="110"/>
        <v>0.01</v>
      </c>
      <c r="T515" s="1957"/>
      <c r="U515" s="1957"/>
      <c r="V515" s="1957"/>
      <c r="W515" s="1957">
        <f t="shared" si="103"/>
        <v>1.6E-2</v>
      </c>
      <c r="X515" s="1957"/>
      <c r="Y515" s="1957"/>
      <c r="Z515" s="1957"/>
      <c r="AA515" s="1957">
        <f t="shared" si="104"/>
        <v>1.9E-2</v>
      </c>
      <c r="AB515" s="1957"/>
      <c r="AC515" s="1957"/>
      <c r="AD515" s="1957"/>
      <c r="AE515" s="1836">
        <f t="shared" si="105"/>
        <v>82.7</v>
      </c>
      <c r="AF515" s="1836"/>
      <c r="AG515" s="1836"/>
      <c r="AH515" s="1836"/>
      <c r="AI515" s="1836">
        <f t="shared" si="106"/>
        <v>95.47</v>
      </c>
      <c r="AJ515" s="1836"/>
      <c r="AK515" s="1836"/>
      <c r="AL515" s="1836"/>
      <c r="AM515" s="1836">
        <f t="shared" si="111"/>
        <v>29.35</v>
      </c>
      <c r="AN515" s="1836"/>
      <c r="AO515" s="1836"/>
      <c r="AP515" s="1836"/>
      <c r="AQ515" s="1836">
        <f t="shared" si="112"/>
        <v>35.74</v>
      </c>
      <c r="AR515" s="1836"/>
      <c r="AS515" s="1836"/>
      <c r="AT515" s="1836"/>
      <c r="AU515" s="1956">
        <f t="shared" si="107"/>
        <v>58.71</v>
      </c>
      <c r="AV515" s="1956"/>
      <c r="AW515" s="1956"/>
      <c r="AX515" s="1956"/>
      <c r="AY515" s="1956">
        <f t="shared" si="108"/>
        <v>71.47</v>
      </c>
      <c r="AZ515" s="1956"/>
      <c r="BA515" s="1956"/>
      <c r="BB515" s="1956"/>
    </row>
    <row r="516" spans="1:59" x14ac:dyDescent="0.3">
      <c r="A516" s="1938" t="s">
        <v>47</v>
      </c>
      <c r="B516" s="1938"/>
      <c r="C516" s="1938"/>
      <c r="D516" s="1938"/>
      <c r="E516" s="1938"/>
      <c r="F516" s="1938"/>
      <c r="G516" s="1950">
        <f t="shared" si="101"/>
        <v>8.0000000000000002E-3</v>
      </c>
      <c r="H516" s="1950"/>
      <c r="I516" s="1950"/>
      <c r="J516" s="1950"/>
      <c r="K516" s="1950">
        <f t="shared" si="102"/>
        <v>0.01</v>
      </c>
      <c r="L516" s="1950"/>
      <c r="M516" s="1950"/>
      <c r="N516" s="1950"/>
      <c r="O516" s="1957">
        <f t="shared" si="109"/>
        <v>3.0000000000000001E-3</v>
      </c>
      <c r="P516" s="1957"/>
      <c r="Q516" s="1957"/>
      <c r="R516" s="1957"/>
      <c r="S516" s="1957">
        <f t="shared" si="110"/>
        <v>4.0000000000000001E-3</v>
      </c>
      <c r="T516" s="1957"/>
      <c r="U516" s="1957"/>
      <c r="V516" s="1957"/>
      <c r="W516" s="1957">
        <f t="shared" si="103"/>
        <v>6.0000000000000001E-3</v>
      </c>
      <c r="X516" s="1957"/>
      <c r="Y516" s="1957"/>
      <c r="Z516" s="1957"/>
      <c r="AA516" s="1957">
        <f t="shared" si="104"/>
        <v>7.0000000000000001E-3</v>
      </c>
      <c r="AB516" s="1957"/>
      <c r="AC516" s="1957"/>
      <c r="AD516" s="1957"/>
      <c r="AE516" s="1836">
        <f t="shared" si="105"/>
        <v>79.209999999999994</v>
      </c>
      <c r="AF516" s="1836"/>
      <c r="AG516" s="1836"/>
      <c r="AH516" s="1836"/>
      <c r="AI516" s="1836">
        <f t="shared" si="106"/>
        <v>91.44</v>
      </c>
      <c r="AJ516" s="1836"/>
      <c r="AK516" s="1836"/>
      <c r="AL516" s="1836"/>
      <c r="AM516" s="1836">
        <f t="shared" si="111"/>
        <v>28.12</v>
      </c>
      <c r="AN516" s="1836"/>
      <c r="AO516" s="1836"/>
      <c r="AP516" s="1836"/>
      <c r="AQ516" s="1836">
        <f t="shared" si="112"/>
        <v>34.229999999999997</v>
      </c>
      <c r="AR516" s="1836"/>
      <c r="AS516" s="1836"/>
      <c r="AT516" s="1836"/>
      <c r="AU516" s="1956">
        <f t="shared" si="107"/>
        <v>56.23</v>
      </c>
      <c r="AV516" s="1956"/>
      <c r="AW516" s="1956"/>
      <c r="AX516" s="1956"/>
      <c r="AY516" s="1956">
        <f t="shared" si="108"/>
        <v>68.459999999999994</v>
      </c>
      <c r="AZ516" s="1956"/>
      <c r="BA516" s="1956"/>
      <c r="BB516" s="1956"/>
    </row>
    <row r="517" spans="1:59" x14ac:dyDescent="0.3">
      <c r="A517" s="1938" t="s">
        <v>217</v>
      </c>
      <c r="B517" s="1938"/>
      <c r="C517" s="1938"/>
      <c r="D517" s="1938"/>
      <c r="E517" s="1938"/>
      <c r="F517" s="1938"/>
      <c r="G517" s="1950">
        <f t="shared" si="101"/>
        <v>1.9E-2</v>
      </c>
      <c r="H517" s="1950"/>
      <c r="I517" s="1950"/>
      <c r="J517" s="1950"/>
      <c r="K517" s="1950">
        <f t="shared" si="102"/>
        <v>2.1999999999999999E-2</v>
      </c>
      <c r="L517" s="1950"/>
      <c r="M517" s="1950"/>
      <c r="N517" s="1950"/>
      <c r="O517" s="1957">
        <f t="shared" si="109"/>
        <v>7.0000000000000001E-3</v>
      </c>
      <c r="P517" s="1957"/>
      <c r="Q517" s="1957"/>
      <c r="R517" s="1957"/>
      <c r="S517" s="1957">
        <f t="shared" si="110"/>
        <v>8.0000000000000002E-3</v>
      </c>
      <c r="T517" s="1957"/>
      <c r="U517" s="1957"/>
      <c r="V517" s="1957"/>
      <c r="W517" s="1957">
        <f t="shared" si="103"/>
        <v>1.4E-2</v>
      </c>
      <c r="X517" s="1957"/>
      <c r="Y517" s="1957"/>
      <c r="Z517" s="1957"/>
      <c r="AA517" s="1957">
        <f t="shared" si="104"/>
        <v>1.7000000000000001E-2</v>
      </c>
      <c r="AB517" s="1957"/>
      <c r="AC517" s="1957"/>
      <c r="AD517" s="1957"/>
      <c r="AE517" s="1836">
        <f t="shared" si="105"/>
        <v>142.25</v>
      </c>
      <c r="AF517" s="1836"/>
      <c r="AG517" s="1836"/>
      <c r="AH517" s="1836"/>
      <c r="AI517" s="1836">
        <f t="shared" si="106"/>
        <v>164.2</v>
      </c>
      <c r="AJ517" s="1836"/>
      <c r="AK517" s="1836"/>
      <c r="AL517" s="1836"/>
      <c r="AM517" s="1836">
        <f t="shared" si="111"/>
        <v>50.49</v>
      </c>
      <c r="AN517" s="1836"/>
      <c r="AO517" s="1836"/>
      <c r="AP517" s="1836"/>
      <c r="AQ517" s="1836">
        <f t="shared" si="112"/>
        <v>61.47</v>
      </c>
      <c r="AR517" s="1836"/>
      <c r="AS517" s="1836"/>
      <c r="AT517" s="1836"/>
      <c r="AU517" s="1956">
        <f t="shared" si="107"/>
        <v>100.98</v>
      </c>
      <c r="AV517" s="1956"/>
      <c r="AW517" s="1956"/>
      <c r="AX517" s="1956"/>
      <c r="AY517" s="1956">
        <f t="shared" si="108"/>
        <v>122.93</v>
      </c>
      <c r="AZ517" s="1956"/>
      <c r="BA517" s="1956"/>
      <c r="BB517" s="1956"/>
    </row>
    <row r="518" spans="1:59" x14ac:dyDescent="0.3">
      <c r="A518" s="1938" t="s">
        <v>218</v>
      </c>
      <c r="B518" s="1938"/>
      <c r="C518" s="1938"/>
      <c r="D518" s="1938"/>
      <c r="E518" s="1938"/>
      <c r="F518" s="1938"/>
      <c r="G518" s="1950">
        <f t="shared" si="101"/>
        <v>2.1999999999999999E-2</v>
      </c>
      <c r="H518" s="1950"/>
      <c r="I518" s="1950"/>
      <c r="J518" s="1950"/>
      <c r="K518" s="1950">
        <f t="shared" si="102"/>
        <v>2.5000000000000001E-2</v>
      </c>
      <c r="L518" s="1950"/>
      <c r="M518" s="1950"/>
      <c r="N518" s="1950"/>
      <c r="O518" s="1957">
        <f t="shared" si="109"/>
        <v>8.0000000000000002E-3</v>
      </c>
      <c r="P518" s="1957"/>
      <c r="Q518" s="1957"/>
      <c r="R518" s="1957"/>
      <c r="S518" s="1957">
        <f t="shared" si="110"/>
        <v>8.9999999999999993E-3</v>
      </c>
      <c r="T518" s="1957"/>
      <c r="U518" s="1957"/>
      <c r="V518" s="1957"/>
      <c r="W518" s="1957">
        <f t="shared" si="103"/>
        <v>1.4999999999999999E-2</v>
      </c>
      <c r="X518" s="1957"/>
      <c r="Y518" s="1957"/>
      <c r="Z518" s="1957"/>
      <c r="AA518" s="1957">
        <f t="shared" si="104"/>
        <v>1.9E-2</v>
      </c>
      <c r="AB518" s="1957"/>
      <c r="AC518" s="1957"/>
      <c r="AD518" s="1957"/>
      <c r="AE518" s="1836">
        <f t="shared" si="105"/>
        <v>134.74</v>
      </c>
      <c r="AF518" s="1836"/>
      <c r="AG518" s="1836"/>
      <c r="AH518" s="1836"/>
      <c r="AI518" s="1836">
        <f t="shared" si="106"/>
        <v>155.53</v>
      </c>
      <c r="AJ518" s="1836"/>
      <c r="AK518" s="1836"/>
      <c r="AL518" s="1836"/>
      <c r="AM518" s="1836">
        <f t="shared" si="111"/>
        <v>47.82</v>
      </c>
      <c r="AN518" s="1836"/>
      <c r="AO518" s="1836"/>
      <c r="AP518" s="1836"/>
      <c r="AQ518" s="1836">
        <f t="shared" si="112"/>
        <v>58.22</v>
      </c>
      <c r="AR518" s="1836"/>
      <c r="AS518" s="1836"/>
      <c r="AT518" s="1836"/>
      <c r="AU518" s="1956">
        <f t="shared" si="107"/>
        <v>95.65</v>
      </c>
      <c r="AV518" s="1956"/>
      <c r="AW518" s="1956"/>
      <c r="AX518" s="1956"/>
      <c r="AY518" s="1956">
        <f t="shared" si="108"/>
        <v>116.44</v>
      </c>
      <c r="AZ518" s="1956"/>
      <c r="BA518" s="1956"/>
      <c r="BB518" s="1956"/>
    </row>
    <row r="519" spans="1:59" x14ac:dyDescent="0.3">
      <c r="A519" s="1938" t="s">
        <v>219</v>
      </c>
      <c r="B519" s="1938"/>
      <c r="C519" s="1938"/>
      <c r="D519" s="1938"/>
      <c r="E519" s="1938"/>
      <c r="F519" s="1938"/>
      <c r="G519" s="1950">
        <f t="shared" si="101"/>
        <v>3.0000000000000001E-3</v>
      </c>
      <c r="H519" s="1950"/>
      <c r="I519" s="1950"/>
      <c r="J519" s="1950"/>
      <c r="K519" s="1950">
        <f t="shared" si="102"/>
        <v>3.0000000000000001E-3</v>
      </c>
      <c r="L519" s="1950"/>
      <c r="M519" s="1950"/>
      <c r="N519" s="1950"/>
      <c r="O519" s="1957">
        <f t="shared" si="109"/>
        <v>1E-3</v>
      </c>
      <c r="P519" s="1957"/>
      <c r="Q519" s="1957"/>
      <c r="R519" s="1957"/>
      <c r="S519" s="1957">
        <f t="shared" si="110"/>
        <v>1E-3</v>
      </c>
      <c r="T519" s="1957"/>
      <c r="U519" s="1957"/>
      <c r="V519" s="1957"/>
      <c r="W519" s="1957">
        <f t="shared" si="103"/>
        <v>2E-3</v>
      </c>
      <c r="X519" s="1957"/>
      <c r="Y519" s="1957"/>
      <c r="Z519" s="1957"/>
      <c r="AA519" s="1957">
        <f t="shared" si="104"/>
        <v>3.0000000000000001E-3</v>
      </c>
      <c r="AB519" s="1957"/>
      <c r="AC519" s="1957"/>
      <c r="AD519" s="1957"/>
      <c r="AE519" s="1836">
        <f t="shared" si="105"/>
        <v>63.18</v>
      </c>
      <c r="AF519" s="1836"/>
      <c r="AG519" s="1836"/>
      <c r="AH519" s="1836"/>
      <c r="AI519" s="1836">
        <f t="shared" si="106"/>
        <v>72.930000000000007</v>
      </c>
      <c r="AJ519" s="1836"/>
      <c r="AK519" s="1836"/>
      <c r="AL519" s="1836"/>
      <c r="AM519" s="1836">
        <f t="shared" si="111"/>
        <v>22.42</v>
      </c>
      <c r="AN519" s="1836"/>
      <c r="AO519" s="1836"/>
      <c r="AP519" s="1836"/>
      <c r="AQ519" s="1836">
        <f t="shared" si="112"/>
        <v>27.3</v>
      </c>
      <c r="AR519" s="1836"/>
      <c r="AS519" s="1836"/>
      <c r="AT519" s="1836"/>
      <c r="AU519" s="1956">
        <f t="shared" si="107"/>
        <v>44.85</v>
      </c>
      <c r="AV519" s="1956"/>
      <c r="AW519" s="1956"/>
      <c r="AX519" s="1956"/>
      <c r="AY519" s="1956">
        <f t="shared" si="108"/>
        <v>54.6</v>
      </c>
      <c r="AZ519" s="1956"/>
      <c r="BA519" s="1956"/>
      <c r="BB519" s="1956"/>
    </row>
    <row r="520" spans="1:59" x14ac:dyDescent="0.3">
      <c r="A520" s="1951" t="s">
        <v>831</v>
      </c>
      <c r="B520" s="1951"/>
      <c r="C520" s="2088" t="s">
        <v>986</v>
      </c>
      <c r="D520" s="2088"/>
      <c r="E520" s="2088"/>
      <c r="F520" s="2088"/>
      <c r="G520" s="2088"/>
      <c r="H520" s="2088"/>
      <c r="I520" s="2088"/>
      <c r="J520" s="2088"/>
      <c r="K520" s="2088"/>
      <c r="L520" s="2088"/>
      <c r="M520" s="2088"/>
      <c r="N520" s="2088"/>
      <c r="O520" s="2088"/>
      <c r="P520" s="2088"/>
      <c r="Q520" s="2088"/>
      <c r="R520" s="2088"/>
      <c r="S520" s="2088"/>
      <c r="T520" s="2088"/>
      <c r="U520" s="2088"/>
      <c r="V520" s="2088"/>
      <c r="W520" s="2088"/>
      <c r="X520" s="2088"/>
      <c r="Y520" s="2088"/>
      <c r="Z520" s="2088"/>
      <c r="AA520" s="2088"/>
      <c r="AB520" s="2088"/>
      <c r="AC520" s="2088"/>
      <c r="AD520" s="2088"/>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row>
    <row r="522" spans="1:59" x14ac:dyDescent="0.3">
      <c r="B522" s="231" t="s">
        <v>1766</v>
      </c>
    </row>
    <row r="524" spans="1:59" ht="15.6" x14ac:dyDescent="0.3">
      <c r="A524" s="139" t="s">
        <v>1787</v>
      </c>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1"/>
      <c r="AB524" s="1"/>
      <c r="AC524" s="1"/>
      <c r="AD524" s="1"/>
      <c r="AE524" s="139"/>
      <c r="AF524" s="139"/>
      <c r="AG524" s="139"/>
      <c r="AH524" s="139"/>
      <c r="AI524" s="139"/>
      <c r="AJ524" s="139"/>
      <c r="AK524" s="139"/>
      <c r="AL524" s="139"/>
    </row>
    <row r="525" spans="1:59" x14ac:dyDescent="0.3">
      <c r="B525" s="152"/>
      <c r="C525" s="152"/>
      <c r="D525" s="152"/>
      <c r="E525" s="152"/>
      <c r="F525" s="152"/>
      <c r="G525" s="2123" t="s">
        <v>1745</v>
      </c>
      <c r="H525" s="2124"/>
      <c r="I525" s="2124"/>
      <c r="J525" s="2124"/>
      <c r="K525" s="2124"/>
      <c r="L525" s="2124"/>
      <c r="M525" s="2124"/>
      <c r="N525" s="2124"/>
      <c r="O525" s="2124"/>
      <c r="P525" s="2124"/>
      <c r="Q525" s="2124"/>
      <c r="R525" s="2124"/>
      <c r="S525" s="2124"/>
      <c r="T525" s="2124"/>
      <c r="U525" s="2124"/>
      <c r="V525" s="2124"/>
      <c r="W525" s="2124"/>
      <c r="X525" s="2124"/>
      <c r="Y525" s="2124"/>
      <c r="Z525" s="2124"/>
      <c r="AA525" s="2124"/>
      <c r="AB525" s="2124"/>
      <c r="AC525" s="2124"/>
      <c r="AD525" s="2125"/>
    </row>
    <row r="526" spans="1:59" ht="30" customHeight="1" x14ac:dyDescent="0.3">
      <c r="A526" s="1945" t="s">
        <v>46</v>
      </c>
      <c r="B526" s="1945"/>
      <c r="C526" s="1945"/>
      <c r="D526" s="1945"/>
      <c r="E526" s="1945"/>
      <c r="F526" s="1945"/>
      <c r="G526" s="1959" t="s">
        <v>2916</v>
      </c>
      <c r="H526" s="1959"/>
      <c r="I526" s="1959"/>
      <c r="J526" s="1959"/>
      <c r="K526" s="1959" t="s">
        <v>1764</v>
      </c>
      <c r="L526" s="1959"/>
      <c r="M526" s="1959"/>
      <c r="N526" s="1959"/>
      <c r="O526" s="2135" t="s">
        <v>6620</v>
      </c>
      <c r="P526" s="2135"/>
      <c r="Q526" s="2135"/>
      <c r="R526" s="2135"/>
      <c r="S526" s="2135" t="s">
        <v>6618</v>
      </c>
      <c r="T526" s="2135"/>
      <c r="U526" s="2135"/>
      <c r="V526" s="2135"/>
      <c r="W526" s="2087" t="s">
        <v>2917</v>
      </c>
      <c r="X526" s="2087"/>
      <c r="Y526" s="2087"/>
      <c r="Z526" s="2087"/>
      <c r="AA526" s="2087" t="s">
        <v>1762</v>
      </c>
      <c r="AB526" s="2087"/>
      <c r="AC526" s="2087"/>
      <c r="AD526" s="2087"/>
    </row>
    <row r="527" spans="1:59" x14ac:dyDescent="0.3">
      <c r="A527" s="1938" t="s">
        <v>1796</v>
      </c>
      <c r="B527" s="1938"/>
      <c r="C527" s="1938"/>
      <c r="D527" s="1938"/>
      <c r="E527" s="1938"/>
      <c r="F527" s="1938"/>
      <c r="G527" s="1949">
        <f t="shared" ref="G527:G537" si="113">ROUND(AE509*VLOOKUP($A527,$A$199:$Q$209,15,TRUE)/3,2)</f>
        <v>586.91999999999996</v>
      </c>
      <c r="H527" s="1949"/>
      <c r="I527" s="1949"/>
      <c r="J527" s="1949"/>
      <c r="K527" s="1949">
        <f t="shared" ref="K527:K537" si="114">ROUND(AI509*VLOOKUP($A527,$A$199:$Q$209,15,TRUE),2)</f>
        <v>2032.5</v>
      </c>
      <c r="L527" s="1949"/>
      <c r="M527" s="1949"/>
      <c r="N527" s="1949"/>
      <c r="O527" s="1837">
        <f>ROUND(AM509*VLOOKUP($A527,$A$199:$Q$209,15,TRUE)/3,2)</f>
        <v>208.33</v>
      </c>
      <c r="P527" s="1837"/>
      <c r="Q527" s="1837"/>
      <c r="R527" s="1837"/>
      <c r="S527" s="1837">
        <f>ROUND(AQ509*VLOOKUP($A527,$A$199:$Q$209,15,TRUE),2)</f>
        <v>760.75</v>
      </c>
      <c r="T527" s="1837"/>
      <c r="U527" s="1837"/>
      <c r="V527" s="1837"/>
      <c r="W527" s="1949">
        <f t="shared" ref="W527:W537" si="115">ROUND(AU509*VLOOKUP($A527,$A$199:$Q$209,15,TRUE)/3,2)</f>
        <v>416.67</v>
      </c>
      <c r="X527" s="1949"/>
      <c r="Y527" s="1949"/>
      <c r="Z527" s="1949"/>
      <c r="AA527" s="1949">
        <f t="shared" ref="AA527:AA537" si="116">ROUND(AY509*VLOOKUP($A527,$A$199:$Q$209,15,TRUE),2)</f>
        <v>1521.75</v>
      </c>
      <c r="AB527" s="1949"/>
      <c r="AC527" s="1949"/>
      <c r="AD527" s="1949"/>
    </row>
    <row r="528" spans="1:59" x14ac:dyDescent="0.3">
      <c r="A528" s="1938" t="s">
        <v>211</v>
      </c>
      <c r="B528" s="1938"/>
      <c r="C528" s="1938"/>
      <c r="D528" s="1938"/>
      <c r="E528" s="1938"/>
      <c r="F528" s="1938"/>
      <c r="G528" s="1949">
        <f t="shared" si="113"/>
        <v>886.45</v>
      </c>
      <c r="H528" s="1949"/>
      <c r="I528" s="1949"/>
      <c r="J528" s="1949"/>
      <c r="K528" s="1949">
        <f t="shared" si="114"/>
        <v>3069.77</v>
      </c>
      <c r="L528" s="1949"/>
      <c r="M528" s="1949"/>
      <c r="N528" s="1949"/>
      <c r="O528" s="1837">
        <f t="shared" ref="O528:O536" si="117">ROUND(AM510*VLOOKUP($A528,$A$199:$Q$209,15,TRUE)/3,2)</f>
        <v>314.64</v>
      </c>
      <c r="P528" s="1837"/>
      <c r="Q528" s="1837"/>
      <c r="R528" s="1837"/>
      <c r="S528" s="1837">
        <f t="shared" ref="S528:S537" si="118">ROUND(AQ510*VLOOKUP($A528,$A$199:$Q$209,15,TRUE),2)</f>
        <v>1149.06</v>
      </c>
      <c r="T528" s="1837"/>
      <c r="U528" s="1837"/>
      <c r="V528" s="1837"/>
      <c r="W528" s="1949">
        <f t="shared" si="115"/>
        <v>629.27</v>
      </c>
      <c r="X528" s="1949"/>
      <c r="Y528" s="1949"/>
      <c r="Z528" s="1949"/>
      <c r="AA528" s="1949">
        <f t="shared" si="116"/>
        <v>2298.23</v>
      </c>
      <c r="AB528" s="1949"/>
      <c r="AC528" s="1949"/>
      <c r="AD528" s="1949"/>
    </row>
    <row r="529" spans="1:38" x14ac:dyDescent="0.3">
      <c r="A529" s="1938" t="s">
        <v>212</v>
      </c>
      <c r="B529" s="1938"/>
      <c r="C529" s="1938"/>
      <c r="D529" s="1938"/>
      <c r="E529" s="1938"/>
      <c r="F529" s="1938"/>
      <c r="G529" s="1949">
        <f t="shared" si="113"/>
        <v>562.91999999999996</v>
      </c>
      <c r="H529" s="1949"/>
      <c r="I529" s="1949"/>
      <c r="J529" s="1949"/>
      <c r="K529" s="1949">
        <f t="shared" si="114"/>
        <v>1949.5</v>
      </c>
      <c r="L529" s="1949"/>
      <c r="M529" s="1949"/>
      <c r="N529" s="1949"/>
      <c r="O529" s="1837">
        <f t="shared" si="117"/>
        <v>199.83</v>
      </c>
      <c r="P529" s="1837"/>
      <c r="Q529" s="1837"/>
      <c r="R529" s="1837"/>
      <c r="S529" s="1837">
        <f t="shared" si="118"/>
        <v>729.75</v>
      </c>
      <c r="T529" s="1837"/>
      <c r="U529" s="1837"/>
      <c r="V529" s="1837"/>
      <c r="W529" s="1949">
        <f t="shared" si="115"/>
        <v>399.58</v>
      </c>
      <c r="X529" s="1949"/>
      <c r="Y529" s="1949"/>
      <c r="Z529" s="1949"/>
      <c r="AA529" s="1949">
        <f t="shared" si="116"/>
        <v>1459.5</v>
      </c>
      <c r="AB529" s="1949"/>
      <c r="AC529" s="1949"/>
      <c r="AD529" s="1949"/>
    </row>
    <row r="530" spans="1:38" x14ac:dyDescent="0.3">
      <c r="A530" s="1938" t="s">
        <v>213</v>
      </c>
      <c r="B530" s="1938"/>
      <c r="C530" s="1938"/>
      <c r="D530" s="1938"/>
      <c r="E530" s="1938"/>
      <c r="F530" s="1938"/>
      <c r="G530" s="1949">
        <f t="shared" si="113"/>
        <v>575.53</v>
      </c>
      <c r="H530" s="1949"/>
      <c r="I530" s="1949"/>
      <c r="J530" s="1949"/>
      <c r="K530" s="1949">
        <f t="shared" si="114"/>
        <v>1993.1</v>
      </c>
      <c r="L530" s="1949"/>
      <c r="M530" s="1949"/>
      <c r="N530" s="1949"/>
      <c r="O530" s="1837">
        <f t="shared" si="117"/>
        <v>204.27</v>
      </c>
      <c r="P530" s="1837"/>
      <c r="Q530" s="1837"/>
      <c r="R530" s="1837"/>
      <c r="S530" s="1837">
        <f t="shared" si="118"/>
        <v>746.1</v>
      </c>
      <c r="T530" s="1837"/>
      <c r="U530" s="1837"/>
      <c r="V530" s="1837"/>
      <c r="W530" s="1949">
        <f t="shared" si="115"/>
        <v>408.57</v>
      </c>
      <c r="X530" s="1949"/>
      <c r="Y530" s="1949"/>
      <c r="Z530" s="1949"/>
      <c r="AA530" s="1949">
        <f t="shared" si="116"/>
        <v>1492.1</v>
      </c>
      <c r="AB530" s="1949"/>
      <c r="AC530" s="1949"/>
      <c r="AD530" s="1949"/>
    </row>
    <row r="531" spans="1:38" x14ac:dyDescent="0.3">
      <c r="A531" s="1938" t="s">
        <v>214</v>
      </c>
      <c r="B531" s="1938"/>
      <c r="C531" s="1938"/>
      <c r="D531" s="1938"/>
      <c r="E531" s="1938"/>
      <c r="F531" s="1938"/>
      <c r="G531" s="1949">
        <f t="shared" si="113"/>
        <v>620.77</v>
      </c>
      <c r="H531" s="1949"/>
      <c r="I531" s="1949"/>
      <c r="J531" s="1949"/>
      <c r="K531" s="1949">
        <f t="shared" si="114"/>
        <v>2149.6</v>
      </c>
      <c r="L531" s="1949"/>
      <c r="M531" s="1949"/>
      <c r="N531" s="1949"/>
      <c r="O531" s="1837">
        <f t="shared" si="117"/>
        <v>220.33</v>
      </c>
      <c r="P531" s="1837"/>
      <c r="Q531" s="1837"/>
      <c r="R531" s="1837"/>
      <c r="S531" s="1837">
        <f t="shared" si="118"/>
        <v>804.7</v>
      </c>
      <c r="T531" s="1837"/>
      <c r="U531" s="1837"/>
      <c r="V531" s="1837"/>
      <c r="W531" s="1949">
        <f t="shared" si="115"/>
        <v>440.67</v>
      </c>
      <c r="X531" s="1949"/>
      <c r="Y531" s="1949"/>
      <c r="Z531" s="1949"/>
      <c r="AA531" s="1949">
        <f t="shared" si="116"/>
        <v>1609.4</v>
      </c>
      <c r="AB531" s="1949"/>
      <c r="AC531" s="1949"/>
      <c r="AD531" s="1949"/>
    </row>
    <row r="532" spans="1:38" x14ac:dyDescent="0.3">
      <c r="A532" s="1938" t="s">
        <v>215</v>
      </c>
      <c r="B532" s="1938"/>
      <c r="C532" s="1938"/>
      <c r="D532" s="1938"/>
      <c r="E532" s="1938"/>
      <c r="F532" s="1938"/>
      <c r="G532" s="1949">
        <f t="shared" si="113"/>
        <v>406.67</v>
      </c>
      <c r="H532" s="1949"/>
      <c r="I532" s="1949"/>
      <c r="J532" s="1949"/>
      <c r="K532" s="1949">
        <f t="shared" si="114"/>
        <v>1408.25</v>
      </c>
      <c r="L532" s="1949"/>
      <c r="M532" s="1949"/>
      <c r="N532" s="1949"/>
      <c r="O532" s="1837">
        <f t="shared" si="117"/>
        <v>144.33000000000001</v>
      </c>
      <c r="P532" s="1837"/>
      <c r="Q532" s="1837"/>
      <c r="R532" s="1837"/>
      <c r="S532" s="1837">
        <f t="shared" si="118"/>
        <v>527</v>
      </c>
      <c r="T532" s="1837"/>
      <c r="U532" s="1837"/>
      <c r="V532" s="1837"/>
      <c r="W532" s="1949">
        <f t="shared" si="115"/>
        <v>288.67</v>
      </c>
      <c r="X532" s="1949"/>
      <c r="Y532" s="1949"/>
      <c r="Z532" s="1949"/>
      <c r="AA532" s="1949">
        <f t="shared" si="116"/>
        <v>1054.25</v>
      </c>
      <c r="AB532" s="1949"/>
      <c r="AC532" s="1949"/>
      <c r="AD532" s="1949"/>
    </row>
    <row r="533" spans="1:38" x14ac:dyDescent="0.3">
      <c r="A533" s="1938" t="s">
        <v>216</v>
      </c>
      <c r="B533" s="1938"/>
      <c r="C533" s="1938"/>
      <c r="D533" s="1938"/>
      <c r="E533" s="1938"/>
      <c r="F533" s="1938"/>
      <c r="G533" s="1949">
        <f t="shared" si="113"/>
        <v>606.47</v>
      </c>
      <c r="H533" s="1949"/>
      <c r="I533" s="1949"/>
      <c r="J533" s="1949"/>
      <c r="K533" s="1949">
        <f t="shared" si="114"/>
        <v>2100.34</v>
      </c>
      <c r="L533" s="1949"/>
      <c r="M533" s="1949"/>
      <c r="N533" s="1949"/>
      <c r="O533" s="1837">
        <f t="shared" si="117"/>
        <v>215.23</v>
      </c>
      <c r="P533" s="1837"/>
      <c r="Q533" s="1837"/>
      <c r="R533" s="1837"/>
      <c r="S533" s="1837">
        <f t="shared" si="118"/>
        <v>786.28</v>
      </c>
      <c r="T533" s="1837"/>
      <c r="U533" s="1837"/>
      <c r="V533" s="1837"/>
      <c r="W533" s="1949">
        <f t="shared" si="115"/>
        <v>430.54</v>
      </c>
      <c r="X533" s="1949"/>
      <c r="Y533" s="1949"/>
      <c r="Z533" s="1949"/>
      <c r="AA533" s="1949">
        <f t="shared" si="116"/>
        <v>1572.34</v>
      </c>
      <c r="AB533" s="1949"/>
      <c r="AC533" s="1949"/>
      <c r="AD533" s="1949"/>
    </row>
    <row r="534" spans="1:38" x14ac:dyDescent="0.3">
      <c r="A534" s="1938" t="s">
        <v>47</v>
      </c>
      <c r="B534" s="1938"/>
      <c r="C534" s="1938"/>
      <c r="D534" s="1938"/>
      <c r="E534" s="1938"/>
      <c r="F534" s="1938"/>
      <c r="G534" s="1949">
        <f t="shared" si="113"/>
        <v>660.08</v>
      </c>
      <c r="H534" s="1949"/>
      <c r="I534" s="1949"/>
      <c r="J534" s="1949"/>
      <c r="K534" s="1949">
        <f t="shared" si="114"/>
        <v>2286</v>
      </c>
      <c r="L534" s="1949"/>
      <c r="M534" s="1949"/>
      <c r="N534" s="1949"/>
      <c r="O534" s="1837">
        <f t="shared" si="117"/>
        <v>234.33</v>
      </c>
      <c r="P534" s="1837"/>
      <c r="Q534" s="1837"/>
      <c r="R534" s="1837"/>
      <c r="S534" s="1837">
        <f t="shared" si="118"/>
        <v>855.75</v>
      </c>
      <c r="T534" s="1837"/>
      <c r="U534" s="1837"/>
      <c r="V534" s="1837"/>
      <c r="W534" s="1949">
        <f t="shared" si="115"/>
        <v>468.58</v>
      </c>
      <c r="X534" s="1949"/>
      <c r="Y534" s="1949"/>
      <c r="Z534" s="1949"/>
      <c r="AA534" s="1949">
        <f t="shared" si="116"/>
        <v>1711.5</v>
      </c>
      <c r="AB534" s="1949"/>
      <c r="AC534" s="1949"/>
      <c r="AD534" s="1949"/>
    </row>
    <row r="535" spans="1:38" x14ac:dyDescent="0.3">
      <c r="A535" s="1938" t="s">
        <v>217</v>
      </c>
      <c r="B535" s="1938"/>
      <c r="C535" s="1938"/>
      <c r="D535" s="1938"/>
      <c r="E535" s="1938"/>
      <c r="F535" s="1938"/>
      <c r="G535" s="1949">
        <f t="shared" si="113"/>
        <v>663.83</v>
      </c>
      <c r="H535" s="1949"/>
      <c r="I535" s="1949"/>
      <c r="J535" s="1949"/>
      <c r="K535" s="1949">
        <f t="shared" si="114"/>
        <v>2298.8000000000002</v>
      </c>
      <c r="L535" s="1949"/>
      <c r="M535" s="1949"/>
      <c r="N535" s="1949"/>
      <c r="O535" s="1837">
        <f t="shared" si="117"/>
        <v>235.62</v>
      </c>
      <c r="P535" s="1837"/>
      <c r="Q535" s="1837"/>
      <c r="R535" s="1837"/>
      <c r="S535" s="1837">
        <f t="shared" si="118"/>
        <v>860.58</v>
      </c>
      <c r="T535" s="1837"/>
      <c r="U535" s="1837"/>
      <c r="V535" s="1837"/>
      <c r="W535" s="1949">
        <f t="shared" si="115"/>
        <v>471.24</v>
      </c>
      <c r="X535" s="1949"/>
      <c r="Y535" s="1949"/>
      <c r="Z535" s="1949"/>
      <c r="AA535" s="1949">
        <f t="shared" si="116"/>
        <v>1721.02</v>
      </c>
      <c r="AB535" s="1949"/>
      <c r="AC535" s="1949"/>
      <c r="AD535" s="1949"/>
    </row>
    <row r="536" spans="1:38" x14ac:dyDescent="0.3">
      <c r="A536" s="1938" t="s">
        <v>218</v>
      </c>
      <c r="B536" s="1938"/>
      <c r="C536" s="1938"/>
      <c r="D536" s="1938"/>
      <c r="E536" s="1938"/>
      <c r="F536" s="1938"/>
      <c r="G536" s="1949">
        <f t="shared" si="113"/>
        <v>628.79</v>
      </c>
      <c r="H536" s="1949"/>
      <c r="I536" s="1949"/>
      <c r="J536" s="1949"/>
      <c r="K536" s="1949">
        <f t="shared" si="114"/>
        <v>2177.42</v>
      </c>
      <c r="L536" s="1949"/>
      <c r="M536" s="1949"/>
      <c r="N536" s="1949"/>
      <c r="O536" s="1837">
        <f t="shared" si="117"/>
        <v>223.16</v>
      </c>
      <c r="P536" s="1837"/>
      <c r="Q536" s="1837"/>
      <c r="R536" s="1837"/>
      <c r="S536" s="1837">
        <f>ROUND(AQ518*VLOOKUP($A536,$A$199:$Q$209,15,TRUE),2)</f>
        <v>815.08</v>
      </c>
      <c r="T536" s="1837"/>
      <c r="U536" s="1837"/>
      <c r="V536" s="1837"/>
      <c r="W536" s="1949">
        <f t="shared" si="115"/>
        <v>446.37</v>
      </c>
      <c r="X536" s="1949"/>
      <c r="Y536" s="1949"/>
      <c r="Z536" s="1949"/>
      <c r="AA536" s="1949">
        <f t="shared" si="116"/>
        <v>1630.16</v>
      </c>
      <c r="AB536" s="1949"/>
      <c r="AC536" s="1949"/>
      <c r="AD536" s="1949"/>
    </row>
    <row r="537" spans="1:38" x14ac:dyDescent="0.3">
      <c r="A537" s="1938" t="s">
        <v>219</v>
      </c>
      <c r="B537" s="1938"/>
      <c r="C537" s="1938"/>
      <c r="D537" s="1938"/>
      <c r="E537" s="1938"/>
      <c r="F537" s="1938"/>
      <c r="G537" s="1949">
        <f t="shared" si="113"/>
        <v>526.5</v>
      </c>
      <c r="H537" s="1949"/>
      <c r="I537" s="1949"/>
      <c r="J537" s="1949"/>
      <c r="K537" s="1949">
        <f t="shared" si="114"/>
        <v>1823.25</v>
      </c>
      <c r="L537" s="1949"/>
      <c r="M537" s="1949"/>
      <c r="N537" s="1949"/>
      <c r="O537" s="1837">
        <f>ROUND(AM519*VLOOKUP($A537,$A$199:$Q$209,15,TRUE)/3,2)</f>
        <v>186.83</v>
      </c>
      <c r="P537" s="1837"/>
      <c r="Q537" s="1837"/>
      <c r="R537" s="1837"/>
      <c r="S537" s="1837">
        <f t="shared" si="118"/>
        <v>682.5</v>
      </c>
      <c r="T537" s="1837"/>
      <c r="U537" s="1837"/>
      <c r="V537" s="1837"/>
      <c r="W537" s="1949">
        <f t="shared" si="115"/>
        <v>373.75</v>
      </c>
      <c r="X537" s="1949"/>
      <c r="Y537" s="1949"/>
      <c r="Z537" s="1949"/>
      <c r="AA537" s="1949">
        <f t="shared" si="116"/>
        <v>1365</v>
      </c>
      <c r="AB537" s="1949"/>
      <c r="AC537" s="1949"/>
      <c r="AD537" s="1949"/>
    </row>
    <row r="538" spans="1:38" x14ac:dyDescent="0.3">
      <c r="A538" s="1951" t="s">
        <v>831</v>
      </c>
      <c r="B538" s="1951"/>
      <c r="C538" s="248" t="s">
        <v>986</v>
      </c>
      <c r="D538" s="248"/>
      <c r="E538" s="248"/>
      <c r="F538" s="248"/>
      <c r="G538" s="248"/>
      <c r="H538" s="248"/>
      <c r="I538" s="248"/>
      <c r="J538" s="248"/>
      <c r="K538" s="248"/>
      <c r="L538" s="248"/>
      <c r="M538" s="248"/>
      <c r="N538" s="248"/>
      <c r="O538" s="248"/>
      <c r="P538" s="248"/>
      <c r="Q538" s="248"/>
      <c r="R538" s="248"/>
      <c r="S538" s="248"/>
      <c r="T538" s="248"/>
      <c r="U538" s="248"/>
      <c r="V538" s="248"/>
      <c r="W538" s="154"/>
      <c r="X538" s="154"/>
      <c r="Y538" s="154"/>
      <c r="Z538" s="154"/>
      <c r="AA538" s="154"/>
      <c r="AB538" s="154"/>
      <c r="AC538" s="154"/>
      <c r="AD538" s="154"/>
      <c r="AE538" s="154"/>
      <c r="AF538" s="154"/>
      <c r="AG538" s="154"/>
      <c r="AH538" s="154"/>
      <c r="AI538" s="154"/>
      <c r="AJ538" s="154"/>
      <c r="AK538" s="154"/>
      <c r="AL538" s="154"/>
    </row>
    <row r="539" spans="1:38" ht="65.25" customHeight="1" x14ac:dyDescent="0.3">
      <c r="A539" s="1082" t="s">
        <v>2910</v>
      </c>
      <c r="B539" s="1082"/>
      <c r="C539" s="1082"/>
      <c r="D539" s="1082"/>
      <c r="E539" s="1082"/>
      <c r="F539" s="1082"/>
      <c r="G539" s="1082"/>
      <c r="H539" s="1082"/>
      <c r="I539" s="1082"/>
      <c r="J539" s="1082"/>
      <c r="K539" s="1082"/>
      <c r="L539" s="1082"/>
      <c r="M539" s="1082"/>
      <c r="N539" s="1082"/>
      <c r="O539" s="1082"/>
      <c r="P539" s="1082"/>
      <c r="Q539" s="1082"/>
      <c r="R539" s="1082"/>
      <c r="S539" s="1082"/>
      <c r="T539" s="1082"/>
      <c r="U539" s="1082"/>
      <c r="V539" s="1082"/>
      <c r="W539" s="1082"/>
      <c r="X539" s="1082"/>
      <c r="Y539" s="1082"/>
      <c r="Z539" s="1082"/>
      <c r="AA539" s="1082"/>
      <c r="AB539" s="1082"/>
      <c r="AC539" s="1082"/>
      <c r="AD539" s="1082"/>
      <c r="AE539" s="1082"/>
      <c r="AF539" s="1082"/>
      <c r="AG539" s="1082"/>
      <c r="AH539" s="1082"/>
      <c r="AI539" s="1082"/>
      <c r="AJ539" s="1082"/>
      <c r="AK539" s="1082"/>
      <c r="AL539" s="1082"/>
    </row>
    <row r="540" spans="1:38" x14ac:dyDescent="0.3">
      <c r="A540" s="59"/>
      <c r="B540" s="372" t="s">
        <v>5766</v>
      </c>
      <c r="C540" s="59"/>
      <c r="D540" s="59"/>
      <c r="E540" s="59"/>
      <c r="F540" s="59"/>
      <c r="G540" s="59"/>
      <c r="H540" s="59"/>
      <c r="I540" s="59"/>
      <c r="J540" s="59"/>
      <c r="K540" s="59"/>
      <c r="L540" s="59"/>
      <c r="M540" s="59"/>
      <c r="N540" s="59"/>
      <c r="O540" s="59"/>
      <c r="P540" s="59"/>
      <c r="Q540" s="59"/>
      <c r="R540" s="59"/>
      <c r="S540" s="59"/>
      <c r="T540" s="59"/>
      <c r="U540" s="59"/>
      <c r="V540" s="59"/>
    </row>
    <row r="541" spans="1:38" x14ac:dyDescent="0.3">
      <c r="A541" s="59"/>
      <c r="B541" s="59"/>
      <c r="C541" s="59"/>
      <c r="D541" s="59"/>
      <c r="E541" s="59"/>
      <c r="F541" s="59"/>
      <c r="G541" s="59"/>
      <c r="H541" s="59"/>
      <c r="I541" s="59"/>
      <c r="J541" s="59"/>
      <c r="K541" s="59"/>
      <c r="L541" s="59"/>
      <c r="M541" s="59"/>
      <c r="N541" s="59"/>
      <c r="O541" s="59"/>
      <c r="P541" s="59"/>
      <c r="Q541" s="59"/>
      <c r="R541" s="59"/>
      <c r="S541" s="59"/>
      <c r="T541" s="59"/>
      <c r="U541" s="59"/>
      <c r="V541" s="59"/>
    </row>
    <row r="542" spans="1:38" x14ac:dyDescent="0.3">
      <c r="A542" s="610" t="s">
        <v>5767</v>
      </c>
      <c r="B542" s="610"/>
      <c r="C542" s="610"/>
      <c r="D542" s="610"/>
      <c r="E542" s="610"/>
      <c r="F542" s="610"/>
      <c r="G542" s="610"/>
      <c r="H542" s="610"/>
      <c r="I542" s="610"/>
      <c r="J542" s="610"/>
      <c r="K542" s="610"/>
      <c r="L542" s="610"/>
      <c r="M542" s="610"/>
      <c r="N542" s="610"/>
      <c r="O542" s="610"/>
      <c r="P542" s="610"/>
      <c r="Q542" s="610"/>
      <c r="R542" s="610"/>
      <c r="S542" s="121"/>
      <c r="T542" s="121"/>
      <c r="U542" s="121"/>
      <c r="V542" s="121"/>
      <c r="W542" s="139"/>
      <c r="X542" s="139"/>
      <c r="Y542" s="139"/>
      <c r="Z542" s="139"/>
      <c r="AA542" s="139"/>
      <c r="AB542" s="139"/>
      <c r="AC542" s="139"/>
      <c r="AD542" s="139"/>
      <c r="AE542" s="139"/>
      <c r="AF542" s="139"/>
      <c r="AG542" s="139"/>
      <c r="AH542" s="139"/>
      <c r="AI542" s="1"/>
      <c r="AJ542" s="1"/>
      <c r="AK542" s="1"/>
      <c r="AL542" s="1"/>
    </row>
    <row r="543" spans="1:38" x14ac:dyDescent="0.3">
      <c r="B543" s="152"/>
      <c r="C543" s="152"/>
      <c r="D543" s="152"/>
      <c r="E543" s="152"/>
      <c r="F543" s="152"/>
      <c r="G543" s="2056" t="s">
        <v>2777</v>
      </c>
      <c r="H543" s="2056"/>
      <c r="I543" s="2056"/>
      <c r="J543" s="2056"/>
      <c r="K543" s="2056"/>
      <c r="L543" s="2056"/>
      <c r="M543" s="2056"/>
      <c r="N543" s="2056"/>
      <c r="O543" s="2056"/>
      <c r="P543" s="2056"/>
      <c r="Q543" s="2056"/>
      <c r="R543" s="2056"/>
      <c r="S543" s="2056"/>
      <c r="T543" s="2056"/>
      <c r="U543" s="2056"/>
      <c r="V543" s="2056"/>
      <c r="W543" s="1964" t="s">
        <v>2778</v>
      </c>
      <c r="X543" s="1964"/>
      <c r="Y543" s="1964"/>
      <c r="Z543" s="1964"/>
      <c r="AA543" s="1964"/>
      <c r="AB543" s="1964"/>
      <c r="AC543" s="1964"/>
      <c r="AD543" s="1964"/>
      <c r="AE543" s="1964"/>
      <c r="AF543" s="1964"/>
      <c r="AG543" s="1964"/>
      <c r="AH543" s="1964"/>
      <c r="AI543" s="1964"/>
      <c r="AJ543" s="1964"/>
      <c r="AK543" s="1964"/>
      <c r="AL543" s="1964"/>
    </row>
    <row r="544" spans="1:38" x14ac:dyDescent="0.3">
      <c r="A544" s="1945" t="s">
        <v>46</v>
      </c>
      <c r="B544" s="1945"/>
      <c r="C544" s="1945"/>
      <c r="D544" s="1945"/>
      <c r="E544" s="1945"/>
      <c r="F544" s="1945"/>
      <c r="G544" s="2057" t="s">
        <v>1196</v>
      </c>
      <c r="H544" s="2057"/>
      <c r="I544" s="2057"/>
      <c r="J544" s="2057"/>
      <c r="K544" s="2054" t="s">
        <v>1204</v>
      </c>
      <c r="L544" s="2054"/>
      <c r="M544" s="2054"/>
      <c r="N544" s="2054"/>
      <c r="O544" s="2057" t="s">
        <v>1205</v>
      </c>
      <c r="P544" s="2057"/>
      <c r="Q544" s="2057"/>
      <c r="R544" s="2057"/>
      <c r="S544" s="2054" t="s">
        <v>1197</v>
      </c>
      <c r="T544" s="2054"/>
      <c r="U544" s="2054"/>
      <c r="V544" s="2054"/>
      <c r="W544" s="2057" t="s">
        <v>1196</v>
      </c>
      <c r="X544" s="2057"/>
      <c r="Y544" s="2057"/>
      <c r="Z544" s="2057"/>
      <c r="AA544" s="2054" t="s">
        <v>1204</v>
      </c>
      <c r="AB544" s="2054"/>
      <c r="AC544" s="2054"/>
      <c r="AD544" s="2054"/>
      <c r="AE544" s="2057" t="s">
        <v>1205</v>
      </c>
      <c r="AF544" s="2057"/>
      <c r="AG544" s="2057"/>
      <c r="AH544" s="2057"/>
      <c r="AI544" s="2054" t="s">
        <v>1197</v>
      </c>
      <c r="AJ544" s="2054"/>
      <c r="AK544" s="2054"/>
      <c r="AL544" s="2054"/>
    </row>
    <row r="545" spans="1:38" x14ac:dyDescent="0.3">
      <c r="A545" s="1938" t="s">
        <v>1796</v>
      </c>
      <c r="B545" s="1938"/>
      <c r="C545" s="1938"/>
      <c r="D545" s="1938"/>
      <c r="E545" s="1938"/>
      <c r="F545" s="1938"/>
      <c r="G545" s="1950">
        <f t="shared" ref="G545:G555" si="119">ROUND(($U$114-$K$146)*$Q$73*VLOOKUP($A545,$N$123:$AG$133,13,TRUE)*VLOOKUP($A545,$N$146:$AG$156,13,TRUE)*$Q$78,3)</f>
        <v>4.2999999999999997E-2</v>
      </c>
      <c r="H545" s="1950"/>
      <c r="I545" s="1950"/>
      <c r="J545" s="1950"/>
      <c r="K545" s="1950">
        <f t="shared" ref="K545:K555" si="120">ROUND(($U$115-$K$147)*$Q$73*VLOOKUP($A545,$N$123:$AG$133,13,TRUE)*VLOOKUP($A545,$N$146:$AG$156,13,TRUE)*$Q$78,3)</f>
        <v>0.107</v>
      </c>
      <c r="L545" s="1950"/>
      <c r="M545" s="1950"/>
      <c r="N545" s="1950"/>
      <c r="O545" s="1950">
        <f t="shared" ref="O545:O555" si="121">ROUND(($U$116-$K$148)*$Q$73*VLOOKUP($A545,$N$123:$AG$133,13,TRUE)*VLOOKUP($A545,$N$146:$AG$156,13,TRUE)*$Q$78,3)</f>
        <v>0.21299999999999999</v>
      </c>
      <c r="P545" s="1950"/>
      <c r="Q545" s="1950"/>
      <c r="R545" s="1950"/>
      <c r="S545" s="1950">
        <f t="shared" ref="S545:S555" si="122">ROUND(($U$117-$K$149)*$Q$73*VLOOKUP($A545,$N$123:$AG$133,13,TRUE)*VLOOKUP($A545,$N$146:$AG$156,13,TRUE)*$Q$78,3)</f>
        <v>0.45800000000000002</v>
      </c>
      <c r="T545" s="1950"/>
      <c r="U545" s="1950"/>
      <c r="V545" s="1950"/>
      <c r="W545" s="1949">
        <f t="shared" ref="W545:W555" si="123">ROUND(($U$114-$K$146)*$Q$73*VLOOKUP($A545,$A$167:$Q$177,12,TRUE)*VLOOKUP($A545,$N$146:$AG$156,17,TRUE)*$Q$78,2)</f>
        <v>219.33</v>
      </c>
      <c r="X545" s="1949"/>
      <c r="Y545" s="1949"/>
      <c r="Z545" s="1949"/>
      <c r="AA545" s="1949">
        <f t="shared" ref="AA545:AA555" si="124">ROUND(($U$115-$K$147)*$Q$73*VLOOKUP($A545,$A$167:$Q$177,12,TRUE)*VLOOKUP($A545,$N$146:$AG$156,17,TRUE)*$Q$78,2)</f>
        <v>550</v>
      </c>
      <c r="AB545" s="1949"/>
      <c r="AC545" s="1949"/>
      <c r="AD545" s="1949"/>
      <c r="AE545" s="1949">
        <f t="shared" ref="AE545:AE555" si="125">ROUND(($U$116-$K$148)*$Q$73*VLOOKUP($A545,$A$167:$Q$177,12,TRUE)*VLOOKUP($A545,$N$146:$AG$156,17,TRUE)*$Q$78,2)</f>
        <v>1100</v>
      </c>
      <c r="AF545" s="1949"/>
      <c r="AG545" s="1949"/>
      <c r="AH545" s="1949"/>
      <c r="AI545" s="1949">
        <f t="shared" ref="AI545:AI555" si="126">ROUND(($U$117-$K$149)*$Q$73*VLOOKUP($A545,$A$167:$Q$177,12,TRUE)*VLOOKUP($A545,$N$146:$AG$156,17,TRUE)*$Q$78,2)</f>
        <v>2361.9699999999998</v>
      </c>
      <c r="AJ545" s="1949"/>
      <c r="AK545" s="1949"/>
      <c r="AL545" s="1949"/>
    </row>
    <row r="546" spans="1:38" x14ac:dyDescent="0.3">
      <c r="A546" s="1938" t="s">
        <v>211</v>
      </c>
      <c r="B546" s="1938"/>
      <c r="C546" s="1938"/>
      <c r="D546" s="1938"/>
      <c r="E546" s="1938"/>
      <c r="F546" s="1938"/>
      <c r="G546" s="1950">
        <f t="shared" si="119"/>
        <v>1.6E-2</v>
      </c>
      <c r="H546" s="1950"/>
      <c r="I546" s="1950"/>
      <c r="J546" s="1950"/>
      <c r="K546" s="1950">
        <f t="shared" si="120"/>
        <v>0.04</v>
      </c>
      <c r="L546" s="1950"/>
      <c r="M546" s="1950"/>
      <c r="N546" s="1950"/>
      <c r="O546" s="1950">
        <f t="shared" si="121"/>
        <v>0.08</v>
      </c>
      <c r="P546" s="1950"/>
      <c r="Q546" s="1950"/>
      <c r="R546" s="1950"/>
      <c r="S546" s="1950">
        <f t="shared" si="122"/>
        <v>0.17199999999999999</v>
      </c>
      <c r="T546" s="1950"/>
      <c r="U546" s="1950"/>
      <c r="V546" s="1950"/>
      <c r="W546" s="1949">
        <f t="shared" si="123"/>
        <v>497.4</v>
      </c>
      <c r="X546" s="1949"/>
      <c r="Y546" s="1949"/>
      <c r="Z546" s="1949"/>
      <c r="AA546" s="1949">
        <f t="shared" si="124"/>
        <v>1247.31</v>
      </c>
      <c r="AB546" s="1949"/>
      <c r="AC546" s="1949"/>
      <c r="AD546" s="1949"/>
      <c r="AE546" s="1949">
        <f t="shared" si="125"/>
        <v>2494.63</v>
      </c>
      <c r="AF546" s="1949"/>
      <c r="AG546" s="1949"/>
      <c r="AH546" s="1949"/>
      <c r="AI546" s="1949">
        <f t="shared" si="126"/>
        <v>5356.56</v>
      </c>
      <c r="AJ546" s="1949"/>
      <c r="AK546" s="1949"/>
      <c r="AL546" s="1949"/>
    </row>
    <row r="547" spans="1:38" x14ac:dyDescent="0.3">
      <c r="A547" s="1938" t="s">
        <v>212</v>
      </c>
      <c r="B547" s="1938"/>
      <c r="C547" s="1938"/>
      <c r="D547" s="1938"/>
      <c r="E547" s="1938"/>
      <c r="F547" s="1938"/>
      <c r="G547" s="1950">
        <f t="shared" si="119"/>
        <v>3.3000000000000002E-2</v>
      </c>
      <c r="H547" s="1950"/>
      <c r="I547" s="1950"/>
      <c r="J547" s="1950"/>
      <c r="K547" s="1950">
        <f t="shared" si="120"/>
        <v>8.4000000000000005E-2</v>
      </c>
      <c r="L547" s="1950"/>
      <c r="M547" s="1950"/>
      <c r="N547" s="1950"/>
      <c r="O547" s="1950">
        <f t="shared" si="121"/>
        <v>0.16700000000000001</v>
      </c>
      <c r="P547" s="1950"/>
      <c r="Q547" s="1950"/>
      <c r="R547" s="1950"/>
      <c r="S547" s="1950">
        <f t="shared" si="122"/>
        <v>0.35899999999999999</v>
      </c>
      <c r="T547" s="1950"/>
      <c r="U547" s="1950"/>
      <c r="V547" s="1950"/>
      <c r="W547" s="1949">
        <f t="shared" si="123"/>
        <v>173.26</v>
      </c>
      <c r="X547" s="1949"/>
      <c r="Y547" s="1949"/>
      <c r="Z547" s="1949"/>
      <c r="AA547" s="1949">
        <f t="shared" si="124"/>
        <v>434.49</v>
      </c>
      <c r="AB547" s="1949"/>
      <c r="AC547" s="1949"/>
      <c r="AD547" s="1949"/>
      <c r="AE547" s="1949">
        <f t="shared" si="125"/>
        <v>868.99</v>
      </c>
      <c r="AF547" s="1949"/>
      <c r="AG547" s="1949"/>
      <c r="AH547" s="1949"/>
      <c r="AI547" s="1949">
        <f t="shared" si="126"/>
        <v>1865.92</v>
      </c>
      <c r="AJ547" s="1949"/>
      <c r="AK547" s="1949"/>
      <c r="AL547" s="1949"/>
    </row>
    <row r="548" spans="1:38" x14ac:dyDescent="0.3">
      <c r="A548" s="1938" t="s">
        <v>213</v>
      </c>
      <c r="B548" s="1938"/>
      <c r="C548" s="1938"/>
      <c r="D548" s="1938"/>
      <c r="E548" s="1938"/>
      <c r="F548" s="1938"/>
      <c r="G548" s="1950">
        <f t="shared" si="119"/>
        <v>5.3999999999999999E-2</v>
      </c>
      <c r="H548" s="1950"/>
      <c r="I548" s="1950"/>
      <c r="J548" s="1950"/>
      <c r="K548" s="1950">
        <f t="shared" si="120"/>
        <v>0.13600000000000001</v>
      </c>
      <c r="L548" s="1950"/>
      <c r="M548" s="1950"/>
      <c r="N548" s="1950"/>
      <c r="O548" s="1950">
        <f t="shared" si="121"/>
        <v>0.27200000000000002</v>
      </c>
      <c r="P548" s="1950"/>
      <c r="Q548" s="1950"/>
      <c r="R548" s="1950"/>
      <c r="S548" s="1950">
        <f t="shared" si="122"/>
        <v>0.58299999999999996</v>
      </c>
      <c r="T548" s="1950"/>
      <c r="U548" s="1950"/>
      <c r="V548" s="1950"/>
      <c r="W548" s="1949">
        <f t="shared" si="123"/>
        <v>395.77</v>
      </c>
      <c r="X548" s="1949"/>
      <c r="Y548" s="1949"/>
      <c r="Z548" s="1949"/>
      <c r="AA548" s="1949">
        <f t="shared" si="124"/>
        <v>992.46</v>
      </c>
      <c r="AB548" s="1949"/>
      <c r="AC548" s="1949"/>
      <c r="AD548" s="1949"/>
      <c r="AE548" s="1949">
        <f t="shared" si="125"/>
        <v>1984.93</v>
      </c>
      <c r="AF548" s="1949"/>
      <c r="AG548" s="1949"/>
      <c r="AH548" s="1949"/>
      <c r="AI548" s="1949">
        <f t="shared" si="126"/>
        <v>4262.12</v>
      </c>
      <c r="AJ548" s="1949"/>
      <c r="AK548" s="1949"/>
      <c r="AL548" s="1949"/>
    </row>
    <row r="549" spans="1:38" x14ac:dyDescent="0.3">
      <c r="A549" s="1938" t="s">
        <v>214</v>
      </c>
      <c r="B549" s="1938"/>
      <c r="C549" s="1938"/>
      <c r="D549" s="1938"/>
      <c r="E549" s="1938"/>
      <c r="F549" s="1938"/>
      <c r="G549" s="1950">
        <f t="shared" si="119"/>
        <v>5.7000000000000002E-2</v>
      </c>
      <c r="H549" s="1950"/>
      <c r="I549" s="1950"/>
      <c r="J549" s="1950"/>
      <c r="K549" s="1950">
        <f t="shared" si="120"/>
        <v>0.14299999999999999</v>
      </c>
      <c r="L549" s="1950"/>
      <c r="M549" s="1950"/>
      <c r="N549" s="1950"/>
      <c r="O549" s="1950">
        <f t="shared" si="121"/>
        <v>0.28499999999999998</v>
      </c>
      <c r="P549" s="1950"/>
      <c r="Q549" s="1950"/>
      <c r="R549" s="1950"/>
      <c r="S549" s="1950">
        <f t="shared" si="122"/>
        <v>0.61199999999999999</v>
      </c>
      <c r="T549" s="1950"/>
      <c r="U549" s="1950"/>
      <c r="V549" s="1950"/>
      <c r="W549" s="1949">
        <f t="shared" si="123"/>
        <v>430.01</v>
      </c>
      <c r="X549" s="1949"/>
      <c r="Y549" s="1949"/>
      <c r="Z549" s="1949"/>
      <c r="AA549" s="1949">
        <f t="shared" si="124"/>
        <v>1078.32</v>
      </c>
      <c r="AB549" s="1949"/>
      <c r="AC549" s="1949"/>
      <c r="AD549" s="1949"/>
      <c r="AE549" s="1949">
        <f t="shared" si="125"/>
        <v>2156.65</v>
      </c>
      <c r="AF549" s="1949"/>
      <c r="AG549" s="1949"/>
      <c r="AH549" s="1949"/>
      <c r="AI549" s="1949">
        <f t="shared" si="126"/>
        <v>4630.84</v>
      </c>
      <c r="AJ549" s="1949"/>
      <c r="AK549" s="1949"/>
      <c r="AL549" s="1949"/>
    </row>
    <row r="550" spans="1:38" x14ac:dyDescent="0.3">
      <c r="A550" s="1938" t="s">
        <v>215</v>
      </c>
      <c r="B550" s="1938"/>
      <c r="C550" s="1938"/>
      <c r="D550" s="1938"/>
      <c r="E550" s="1938"/>
      <c r="F550" s="1938"/>
      <c r="G550" s="1950">
        <f t="shared" si="119"/>
        <v>7.8E-2</v>
      </c>
      <c r="H550" s="1950"/>
      <c r="I550" s="1950"/>
      <c r="J550" s="1950"/>
      <c r="K550" s="1950">
        <f t="shared" si="120"/>
        <v>0.19500000000000001</v>
      </c>
      <c r="L550" s="1950"/>
      <c r="M550" s="1950"/>
      <c r="N550" s="1950"/>
      <c r="O550" s="1950">
        <f t="shared" si="121"/>
        <v>0.39</v>
      </c>
      <c r="P550" s="1950"/>
      <c r="Q550" s="1950"/>
      <c r="R550" s="1950"/>
      <c r="S550" s="1950">
        <f t="shared" si="122"/>
        <v>0.83599999999999997</v>
      </c>
      <c r="T550" s="1950"/>
      <c r="U550" s="1950"/>
      <c r="V550" s="1950"/>
      <c r="W550" s="1949">
        <f t="shared" si="123"/>
        <v>413.67</v>
      </c>
      <c r="X550" s="1949"/>
      <c r="Y550" s="1949"/>
      <c r="Z550" s="1949"/>
      <c r="AA550" s="1949">
        <f t="shared" si="124"/>
        <v>1037.3499999999999</v>
      </c>
      <c r="AB550" s="1949"/>
      <c r="AC550" s="1949"/>
      <c r="AD550" s="1949"/>
      <c r="AE550" s="1949">
        <f t="shared" si="125"/>
        <v>2074.6999999999998</v>
      </c>
      <c r="AF550" s="1949"/>
      <c r="AG550" s="1949"/>
      <c r="AH550" s="1949"/>
      <c r="AI550" s="1949">
        <f t="shared" si="126"/>
        <v>4454.88</v>
      </c>
      <c r="AJ550" s="1949"/>
      <c r="AK550" s="1949"/>
      <c r="AL550" s="1949"/>
    </row>
    <row r="551" spans="1:38" x14ac:dyDescent="0.3">
      <c r="A551" s="1938" t="s">
        <v>216</v>
      </c>
      <c r="B551" s="1938"/>
      <c r="C551" s="1938"/>
      <c r="D551" s="1938"/>
      <c r="E551" s="1938"/>
      <c r="F551" s="1938"/>
      <c r="G551" s="1950">
        <f t="shared" si="119"/>
        <v>4.3999999999999997E-2</v>
      </c>
      <c r="H551" s="1950"/>
      <c r="I551" s="1950"/>
      <c r="J551" s="1950"/>
      <c r="K551" s="1950">
        <f t="shared" si="120"/>
        <v>0.111</v>
      </c>
      <c r="L551" s="1950"/>
      <c r="M551" s="1950"/>
      <c r="N551" s="1950"/>
      <c r="O551" s="1950">
        <f t="shared" si="121"/>
        <v>0.222</v>
      </c>
      <c r="P551" s="1950"/>
      <c r="Q551" s="1950"/>
      <c r="R551" s="1950"/>
      <c r="S551" s="1950">
        <f t="shared" si="122"/>
        <v>0.47699999999999998</v>
      </c>
      <c r="T551" s="1950"/>
      <c r="U551" s="1950"/>
      <c r="V551" s="1950"/>
      <c r="W551" s="1949">
        <f t="shared" si="123"/>
        <v>205.87</v>
      </c>
      <c r="X551" s="1949"/>
      <c r="Y551" s="1949"/>
      <c r="Z551" s="1949"/>
      <c r="AA551" s="1949">
        <f t="shared" si="124"/>
        <v>516.25</v>
      </c>
      <c r="AB551" s="1949"/>
      <c r="AC551" s="1949"/>
      <c r="AD551" s="1949"/>
      <c r="AE551" s="1949">
        <f t="shared" si="125"/>
        <v>1032.5</v>
      </c>
      <c r="AF551" s="1949"/>
      <c r="AG551" s="1949"/>
      <c r="AH551" s="1949"/>
      <c r="AI551" s="1949">
        <f t="shared" si="126"/>
        <v>2217.0100000000002</v>
      </c>
      <c r="AJ551" s="1949"/>
      <c r="AK551" s="1949"/>
      <c r="AL551" s="1949"/>
    </row>
    <row r="552" spans="1:38" x14ac:dyDescent="0.3">
      <c r="A552" s="1938" t="s">
        <v>47</v>
      </c>
      <c r="B552" s="1938"/>
      <c r="C552" s="1938"/>
      <c r="D552" s="1938"/>
      <c r="E552" s="1938"/>
      <c r="F552" s="1938"/>
      <c r="G552" s="1950">
        <f t="shared" si="119"/>
        <v>2.1000000000000001E-2</v>
      </c>
      <c r="H552" s="1950"/>
      <c r="I552" s="1950"/>
      <c r="J552" s="1950"/>
      <c r="K552" s="1950">
        <f t="shared" si="120"/>
        <v>5.2999999999999999E-2</v>
      </c>
      <c r="L552" s="1950"/>
      <c r="M552" s="1950"/>
      <c r="N552" s="1950"/>
      <c r="O552" s="1950">
        <f t="shared" si="121"/>
        <v>0.106</v>
      </c>
      <c r="P552" s="1950"/>
      <c r="Q552" s="1950"/>
      <c r="R552" s="1950"/>
      <c r="S552" s="1950">
        <f t="shared" si="122"/>
        <v>0.22800000000000001</v>
      </c>
      <c r="T552" s="1950"/>
      <c r="U552" s="1950"/>
      <c r="V552" s="1950"/>
      <c r="W552" s="1949">
        <f t="shared" si="123"/>
        <v>199.05</v>
      </c>
      <c r="X552" s="1949"/>
      <c r="Y552" s="1949"/>
      <c r="Z552" s="1949"/>
      <c r="AA552" s="1949">
        <f t="shared" si="124"/>
        <v>499.16</v>
      </c>
      <c r="AB552" s="1949"/>
      <c r="AC552" s="1949"/>
      <c r="AD552" s="1949"/>
      <c r="AE552" s="1949">
        <f t="shared" si="125"/>
        <v>998.31</v>
      </c>
      <c r="AF552" s="1949"/>
      <c r="AG552" s="1949"/>
      <c r="AH552" s="1949"/>
      <c r="AI552" s="1949">
        <f t="shared" si="126"/>
        <v>2143.61</v>
      </c>
      <c r="AJ552" s="1949"/>
      <c r="AK552" s="1949"/>
      <c r="AL552" s="1949"/>
    </row>
    <row r="553" spans="1:38" x14ac:dyDescent="0.3">
      <c r="A553" s="1938" t="s">
        <v>217</v>
      </c>
      <c r="B553" s="1938"/>
      <c r="C553" s="1938"/>
      <c r="D553" s="1938"/>
      <c r="E553" s="1938"/>
      <c r="F553" s="1938"/>
      <c r="G553" s="1950">
        <f t="shared" si="119"/>
        <v>3.9E-2</v>
      </c>
      <c r="H553" s="1950"/>
      <c r="I553" s="1950"/>
      <c r="J553" s="1950"/>
      <c r="K553" s="1950">
        <f t="shared" si="120"/>
        <v>9.9000000000000005E-2</v>
      </c>
      <c r="L553" s="1950"/>
      <c r="M553" s="1950"/>
      <c r="N553" s="1950"/>
      <c r="O553" s="1950">
        <f t="shared" si="121"/>
        <v>0.19800000000000001</v>
      </c>
      <c r="P553" s="1950"/>
      <c r="Q553" s="1950"/>
      <c r="R553" s="1950"/>
      <c r="S553" s="1950">
        <f t="shared" si="122"/>
        <v>0.42499999999999999</v>
      </c>
      <c r="T553" s="1950"/>
      <c r="U553" s="1950"/>
      <c r="V553" s="1950"/>
      <c r="W553" s="1949">
        <f t="shared" si="123"/>
        <v>294.33999999999997</v>
      </c>
      <c r="X553" s="1949"/>
      <c r="Y553" s="1949"/>
      <c r="Z553" s="1949"/>
      <c r="AA553" s="1949">
        <f t="shared" si="124"/>
        <v>738.13</v>
      </c>
      <c r="AB553" s="1949"/>
      <c r="AC553" s="1949"/>
      <c r="AD553" s="1949"/>
      <c r="AE553" s="1949">
        <f t="shared" si="125"/>
        <v>1476.25</v>
      </c>
      <c r="AF553" s="1949"/>
      <c r="AG553" s="1949"/>
      <c r="AH553" s="1949"/>
      <c r="AI553" s="1949">
        <f t="shared" si="126"/>
        <v>3169.87</v>
      </c>
      <c r="AJ553" s="1949"/>
      <c r="AK553" s="1949"/>
      <c r="AL553" s="1949"/>
    </row>
    <row r="554" spans="1:38" x14ac:dyDescent="0.3">
      <c r="A554" s="1938" t="s">
        <v>218</v>
      </c>
      <c r="B554" s="1938"/>
      <c r="C554" s="1938"/>
      <c r="D554" s="1938"/>
      <c r="E554" s="1938"/>
      <c r="F554" s="1938"/>
      <c r="G554" s="1950">
        <f t="shared" si="119"/>
        <v>4.7E-2</v>
      </c>
      <c r="H554" s="1950"/>
      <c r="I554" s="1950"/>
      <c r="J554" s="1950"/>
      <c r="K554" s="1950">
        <f t="shared" si="120"/>
        <v>0.11700000000000001</v>
      </c>
      <c r="L554" s="1950"/>
      <c r="M554" s="1950"/>
      <c r="N554" s="1950"/>
      <c r="O554" s="1950">
        <f t="shared" si="121"/>
        <v>0.23499999999999999</v>
      </c>
      <c r="P554" s="1950"/>
      <c r="Q554" s="1950"/>
      <c r="R554" s="1950"/>
      <c r="S554" s="1950">
        <f t="shared" si="122"/>
        <v>0.504</v>
      </c>
      <c r="T554" s="1950"/>
      <c r="U554" s="1950"/>
      <c r="V554" s="1950"/>
      <c r="W554" s="1949">
        <f t="shared" si="123"/>
        <v>291.77</v>
      </c>
      <c r="X554" s="1949"/>
      <c r="Y554" s="1949"/>
      <c r="Z554" s="1949"/>
      <c r="AA554" s="1949">
        <f t="shared" si="124"/>
        <v>731.68</v>
      </c>
      <c r="AB554" s="1949"/>
      <c r="AC554" s="1949"/>
      <c r="AD554" s="1949"/>
      <c r="AE554" s="1949">
        <f t="shared" si="125"/>
        <v>1463.36</v>
      </c>
      <c r="AF554" s="1949"/>
      <c r="AG554" s="1949"/>
      <c r="AH554" s="1949"/>
      <c r="AI554" s="1949">
        <f t="shared" si="126"/>
        <v>3142.19</v>
      </c>
      <c r="AJ554" s="1949"/>
      <c r="AK554" s="1949"/>
      <c r="AL554" s="1949"/>
    </row>
    <row r="555" spans="1:38" x14ac:dyDescent="0.3">
      <c r="A555" s="1938" t="s">
        <v>219</v>
      </c>
      <c r="B555" s="1938"/>
      <c r="C555" s="1938"/>
      <c r="D555" s="1938"/>
      <c r="E555" s="1938"/>
      <c r="F555" s="1938"/>
      <c r="G555" s="1950">
        <f t="shared" si="119"/>
        <v>7.0000000000000001E-3</v>
      </c>
      <c r="H555" s="1950"/>
      <c r="I555" s="1950"/>
      <c r="J555" s="1950"/>
      <c r="K555" s="1950">
        <f t="shared" si="120"/>
        <v>1.9E-2</v>
      </c>
      <c r="L555" s="1950"/>
      <c r="M555" s="1950"/>
      <c r="N555" s="1950"/>
      <c r="O555" s="1950">
        <f t="shared" si="121"/>
        <v>3.6999999999999998E-2</v>
      </c>
      <c r="P555" s="1950"/>
      <c r="Q555" s="1950"/>
      <c r="R555" s="1950"/>
      <c r="S555" s="1950">
        <f t="shared" si="122"/>
        <v>0.08</v>
      </c>
      <c r="T555" s="1950"/>
      <c r="U555" s="1950"/>
      <c r="V555" s="1950"/>
      <c r="W555" s="1949">
        <f t="shared" si="123"/>
        <v>144.44</v>
      </c>
      <c r="X555" s="1949"/>
      <c r="Y555" s="1949"/>
      <c r="Z555" s="1949"/>
      <c r="AA555" s="1949">
        <f t="shared" si="124"/>
        <v>362.2</v>
      </c>
      <c r="AB555" s="1949"/>
      <c r="AC555" s="1949"/>
      <c r="AD555" s="1949"/>
      <c r="AE555" s="1949">
        <f t="shared" si="125"/>
        <v>724.4</v>
      </c>
      <c r="AF555" s="1949"/>
      <c r="AG555" s="1949"/>
      <c r="AH555" s="1949"/>
      <c r="AI555" s="1949">
        <f t="shared" si="126"/>
        <v>1555.47</v>
      </c>
      <c r="AJ555" s="1949"/>
      <c r="AK555" s="1949"/>
      <c r="AL555" s="1949"/>
    </row>
    <row r="556" spans="1:38" x14ac:dyDescent="0.3">
      <c r="A556" s="256"/>
      <c r="B556" s="256"/>
      <c r="C556" s="256"/>
      <c r="D556" s="256"/>
      <c r="E556" s="256"/>
      <c r="F556" s="256"/>
      <c r="G556" s="258"/>
      <c r="H556" s="258"/>
      <c r="I556" s="258"/>
      <c r="J556" s="258"/>
      <c r="K556" s="258"/>
      <c r="L556" s="258"/>
      <c r="M556" s="258"/>
      <c r="N556" s="258"/>
      <c r="O556" s="258"/>
      <c r="P556" s="258"/>
      <c r="Q556" s="258"/>
      <c r="R556" s="258"/>
      <c r="S556" s="258"/>
      <c r="T556" s="258"/>
      <c r="U556" s="258"/>
      <c r="V556" s="258"/>
      <c r="W556" s="259"/>
      <c r="X556" s="259"/>
      <c r="Y556" s="259"/>
      <c r="Z556" s="259"/>
      <c r="AA556" s="259"/>
      <c r="AB556" s="259"/>
      <c r="AC556" s="259"/>
      <c r="AD556" s="259"/>
      <c r="AE556" s="259"/>
      <c r="AF556" s="259"/>
      <c r="AG556" s="259"/>
      <c r="AH556" s="259"/>
      <c r="AI556" s="259"/>
      <c r="AJ556" s="259"/>
      <c r="AK556" s="259"/>
      <c r="AL556" s="259"/>
    </row>
    <row r="558" spans="1:38" x14ac:dyDescent="0.3">
      <c r="A558" s="59"/>
      <c r="B558" s="372" t="s">
        <v>5768</v>
      </c>
      <c r="C558" s="59"/>
      <c r="D558" s="59"/>
      <c r="E558" s="59"/>
      <c r="F558" s="59"/>
      <c r="G558" s="59"/>
      <c r="H558" s="59"/>
      <c r="I558" s="59"/>
      <c r="J558" s="59"/>
      <c r="K558" s="59"/>
      <c r="L558" s="59"/>
      <c r="M558" s="59"/>
      <c r="N558" s="59"/>
      <c r="O558" s="59"/>
      <c r="P558" s="59"/>
      <c r="Q558" s="59"/>
      <c r="R558" s="59"/>
      <c r="S558" s="59"/>
      <c r="T558" s="59"/>
      <c r="U558" s="59"/>
      <c r="V558" s="59"/>
    </row>
    <row r="559" spans="1:38" x14ac:dyDescent="0.3">
      <c r="A559" s="59"/>
      <c r="B559" s="59"/>
      <c r="C559" s="59"/>
      <c r="D559" s="59"/>
      <c r="E559" s="59"/>
      <c r="F559" s="59"/>
      <c r="G559" s="59"/>
      <c r="H559" s="59"/>
      <c r="I559" s="59"/>
      <c r="J559" s="59"/>
      <c r="K559" s="59"/>
      <c r="L559" s="59"/>
      <c r="M559" s="59"/>
      <c r="N559" s="59"/>
      <c r="O559" s="59"/>
      <c r="P559" s="59"/>
      <c r="Q559" s="59"/>
      <c r="R559" s="59"/>
      <c r="S559" s="59"/>
      <c r="T559" s="59"/>
      <c r="U559" s="59"/>
      <c r="V559" s="59"/>
    </row>
    <row r="560" spans="1:38" x14ac:dyDescent="0.3">
      <c r="A560" s="610" t="s">
        <v>5769</v>
      </c>
      <c r="B560" s="610"/>
      <c r="C560" s="610"/>
      <c r="D560" s="610"/>
      <c r="E560" s="610"/>
      <c r="F560" s="610"/>
      <c r="G560" s="610"/>
      <c r="H560" s="610"/>
      <c r="I560" s="610"/>
      <c r="J560" s="610"/>
      <c r="K560" s="610"/>
      <c r="L560" s="610"/>
      <c r="M560" s="610"/>
      <c r="N560" s="610"/>
      <c r="O560" s="610"/>
      <c r="P560" s="610"/>
      <c r="Q560" s="610"/>
      <c r="R560" s="610"/>
      <c r="S560" s="121"/>
      <c r="T560" s="121"/>
      <c r="U560" s="121"/>
      <c r="V560" s="121"/>
      <c r="W560" s="139"/>
      <c r="X560" s="139"/>
      <c r="Y560" s="139"/>
      <c r="Z560" s="139"/>
      <c r="AA560" s="139"/>
      <c r="AB560" s="139"/>
      <c r="AC560" s="139"/>
      <c r="AD560" s="139"/>
      <c r="AE560" s="139"/>
      <c r="AF560" s="139"/>
      <c r="AG560" s="139"/>
      <c r="AH560" s="139"/>
      <c r="AI560" s="1"/>
      <c r="AJ560" s="1"/>
      <c r="AK560" s="1"/>
      <c r="AL560" s="1"/>
    </row>
    <row r="561" spans="1:22" x14ac:dyDescent="0.3">
      <c r="B561" s="152"/>
      <c r="C561" s="152"/>
      <c r="D561" s="152"/>
      <c r="E561" s="152"/>
      <c r="F561" s="152"/>
      <c r="G561" s="1952" t="s">
        <v>1745</v>
      </c>
      <c r="H561" s="1952"/>
      <c r="I561" s="1952"/>
      <c r="J561" s="1952"/>
      <c r="K561" s="1952"/>
      <c r="L561" s="1952"/>
      <c r="M561" s="1952"/>
      <c r="N561" s="1952"/>
      <c r="O561" s="1952"/>
      <c r="P561" s="1952"/>
      <c r="Q561" s="1952"/>
      <c r="R561" s="1952"/>
      <c r="S561" s="1952"/>
      <c r="T561" s="1952"/>
      <c r="U561" s="1952"/>
      <c r="V561" s="1952"/>
    </row>
    <row r="562" spans="1:22" x14ac:dyDescent="0.3">
      <c r="A562" s="1945" t="s">
        <v>46</v>
      </c>
      <c r="B562" s="1945"/>
      <c r="C562" s="1945"/>
      <c r="D562" s="1945"/>
      <c r="E562" s="1945"/>
      <c r="F562" s="1945"/>
      <c r="G562" s="1953" t="s">
        <v>1196</v>
      </c>
      <c r="H562" s="1953"/>
      <c r="I562" s="1953"/>
      <c r="J562" s="1953"/>
      <c r="K562" s="1954" t="s">
        <v>1204</v>
      </c>
      <c r="L562" s="1954"/>
      <c r="M562" s="1954"/>
      <c r="N562" s="1954"/>
      <c r="O562" s="1953" t="s">
        <v>1205</v>
      </c>
      <c r="P562" s="1953"/>
      <c r="Q562" s="1953"/>
      <c r="R562" s="1953"/>
      <c r="S562" s="1954" t="s">
        <v>1197</v>
      </c>
      <c r="T562" s="1954"/>
      <c r="U562" s="1954"/>
      <c r="V562" s="1954"/>
    </row>
    <row r="563" spans="1:22" x14ac:dyDescent="0.3">
      <c r="A563" s="1938" t="s">
        <v>1796</v>
      </c>
      <c r="B563" s="1938"/>
      <c r="C563" s="1938"/>
      <c r="D563" s="1938"/>
      <c r="E563" s="1938"/>
      <c r="F563" s="1938"/>
      <c r="G563" s="1949">
        <f>ROUND(W545*VLOOKUP($A563,$A$199:$Q$209,12,TRUE),2)</f>
        <v>3509.28</v>
      </c>
      <c r="H563" s="1949"/>
      <c r="I563" s="1949"/>
      <c r="J563" s="1949"/>
      <c r="K563" s="1949">
        <f t="shared" ref="K563" si="127">ROUND(AA545*VLOOKUP($A563,$A$199:$Q$209,12,TRUE),2)</f>
        <v>8800</v>
      </c>
      <c r="L563" s="1949"/>
      <c r="M563" s="1949"/>
      <c r="N563" s="1949"/>
      <c r="O563" s="1949">
        <f t="shared" ref="O563" si="128">ROUND(AE545*VLOOKUP($A563,$A$199:$Q$209,12,TRUE),2)</f>
        <v>17600</v>
      </c>
      <c r="P563" s="1949"/>
      <c r="Q563" s="1949"/>
      <c r="R563" s="1949"/>
      <c r="S563" s="1949">
        <f t="shared" ref="S563" si="129">ROUND(AI545*VLOOKUP($A563,$A$199:$Q$209,12,TRUE),2)</f>
        <v>37791.519999999997</v>
      </c>
      <c r="T563" s="1949"/>
      <c r="U563" s="1949"/>
      <c r="V563" s="1949"/>
    </row>
    <row r="564" spans="1:22" x14ac:dyDescent="0.3">
      <c r="A564" s="1938" t="s">
        <v>211</v>
      </c>
      <c r="B564" s="1938"/>
      <c r="C564" s="1938"/>
      <c r="D564" s="1938"/>
      <c r="E564" s="1938"/>
      <c r="F564" s="1938"/>
      <c r="G564" s="1949">
        <f t="shared" ref="G564:G573" si="130">ROUND(W546*VLOOKUP($A564,$A$199:$Q$209,12,TRUE),2)</f>
        <v>4974</v>
      </c>
      <c r="H564" s="1949"/>
      <c r="I564" s="1949"/>
      <c r="J564" s="1949"/>
      <c r="K564" s="1949">
        <f t="shared" ref="K564:K573" si="131">ROUND(AA546*VLOOKUP($A564,$A$199:$Q$209,12,TRUE),2)</f>
        <v>12473.1</v>
      </c>
      <c r="L564" s="1949"/>
      <c r="M564" s="1949"/>
      <c r="N564" s="1949"/>
      <c r="O564" s="1949">
        <f t="shared" ref="O564:O573" si="132">ROUND(AE546*VLOOKUP($A564,$A$199:$Q$209,12,TRUE),2)</f>
        <v>24946.3</v>
      </c>
      <c r="P564" s="1949"/>
      <c r="Q564" s="1949"/>
      <c r="R564" s="1949"/>
      <c r="S564" s="1949">
        <f t="shared" ref="S564:S573" si="133">ROUND(AI546*VLOOKUP($A564,$A$199:$Q$209,12,TRUE),2)</f>
        <v>53565.599999999999</v>
      </c>
      <c r="T564" s="1949"/>
      <c r="U564" s="1949"/>
      <c r="V564" s="1949"/>
    </row>
    <row r="565" spans="1:22" x14ac:dyDescent="0.3">
      <c r="A565" s="1938" t="s">
        <v>212</v>
      </c>
      <c r="B565" s="1938"/>
      <c r="C565" s="1938"/>
      <c r="D565" s="1938"/>
      <c r="E565" s="1938"/>
      <c r="F565" s="1938"/>
      <c r="G565" s="1949">
        <f t="shared" si="130"/>
        <v>3984.98</v>
      </c>
      <c r="H565" s="1949"/>
      <c r="I565" s="1949"/>
      <c r="J565" s="1949"/>
      <c r="K565" s="1949">
        <f t="shared" si="131"/>
        <v>9993.27</v>
      </c>
      <c r="L565" s="1949"/>
      <c r="M565" s="1949"/>
      <c r="N565" s="1949"/>
      <c r="O565" s="1949">
        <f t="shared" si="132"/>
        <v>19986.77</v>
      </c>
      <c r="P565" s="1949"/>
      <c r="Q565" s="1949"/>
      <c r="R565" s="1949"/>
      <c r="S565" s="1949">
        <f t="shared" si="133"/>
        <v>42916.160000000003</v>
      </c>
      <c r="T565" s="1949"/>
      <c r="U565" s="1949"/>
      <c r="V565" s="1949"/>
    </row>
    <row r="566" spans="1:22" x14ac:dyDescent="0.3">
      <c r="A566" s="1938" t="s">
        <v>213</v>
      </c>
      <c r="B566" s="1938"/>
      <c r="C566" s="1938"/>
      <c r="D566" s="1938"/>
      <c r="E566" s="1938"/>
      <c r="F566" s="1938"/>
      <c r="G566" s="1949">
        <f t="shared" si="130"/>
        <v>3561.93</v>
      </c>
      <c r="H566" s="1949"/>
      <c r="I566" s="1949"/>
      <c r="J566" s="1949"/>
      <c r="K566" s="1949">
        <f t="shared" si="131"/>
        <v>8932.14</v>
      </c>
      <c r="L566" s="1949"/>
      <c r="M566" s="1949"/>
      <c r="N566" s="1949"/>
      <c r="O566" s="1949">
        <f t="shared" si="132"/>
        <v>17864.37</v>
      </c>
      <c r="P566" s="1949"/>
      <c r="Q566" s="1949"/>
      <c r="R566" s="1949"/>
      <c r="S566" s="1949">
        <f t="shared" si="133"/>
        <v>38359.08</v>
      </c>
      <c r="T566" s="1949"/>
      <c r="U566" s="1949"/>
      <c r="V566" s="1949"/>
    </row>
    <row r="567" spans="1:22" x14ac:dyDescent="0.3">
      <c r="A567" s="1938" t="s">
        <v>214</v>
      </c>
      <c r="B567" s="1938"/>
      <c r="C567" s="1938"/>
      <c r="D567" s="1938"/>
      <c r="E567" s="1938"/>
      <c r="F567" s="1938"/>
      <c r="G567" s="1949">
        <f t="shared" si="130"/>
        <v>3870.09</v>
      </c>
      <c r="H567" s="1949"/>
      <c r="I567" s="1949"/>
      <c r="J567" s="1949"/>
      <c r="K567" s="1949">
        <f t="shared" si="131"/>
        <v>9704.8799999999992</v>
      </c>
      <c r="L567" s="1949"/>
      <c r="M567" s="1949"/>
      <c r="N567" s="1949"/>
      <c r="O567" s="1949">
        <f t="shared" si="132"/>
        <v>19409.849999999999</v>
      </c>
      <c r="P567" s="1949"/>
      <c r="Q567" s="1949"/>
      <c r="R567" s="1949"/>
      <c r="S567" s="1949">
        <f t="shared" si="133"/>
        <v>41677.56</v>
      </c>
      <c r="T567" s="1949"/>
      <c r="U567" s="1949"/>
      <c r="V567" s="1949"/>
    </row>
    <row r="568" spans="1:22" x14ac:dyDescent="0.3">
      <c r="A568" s="1938" t="s">
        <v>215</v>
      </c>
      <c r="B568" s="1938"/>
      <c r="C568" s="1938"/>
      <c r="D568" s="1938"/>
      <c r="E568" s="1938"/>
      <c r="F568" s="1938"/>
      <c r="G568" s="1949">
        <f t="shared" si="130"/>
        <v>4136.7</v>
      </c>
      <c r="H568" s="1949"/>
      <c r="I568" s="1949"/>
      <c r="J568" s="1949"/>
      <c r="K568" s="1949">
        <f t="shared" si="131"/>
        <v>10373.5</v>
      </c>
      <c r="L568" s="1949"/>
      <c r="M568" s="1949"/>
      <c r="N568" s="1949"/>
      <c r="O568" s="1949">
        <f t="shared" si="132"/>
        <v>20747</v>
      </c>
      <c r="P568" s="1949"/>
      <c r="Q568" s="1949"/>
      <c r="R568" s="1949"/>
      <c r="S568" s="1949">
        <f t="shared" si="133"/>
        <v>44548.800000000003</v>
      </c>
      <c r="T568" s="1949"/>
      <c r="U568" s="1949"/>
      <c r="V568" s="1949"/>
    </row>
    <row r="569" spans="1:22" x14ac:dyDescent="0.3">
      <c r="A569" s="1938" t="s">
        <v>216</v>
      </c>
      <c r="B569" s="1938"/>
      <c r="C569" s="1938"/>
      <c r="D569" s="1938"/>
      <c r="E569" s="1938"/>
      <c r="F569" s="1938"/>
      <c r="G569" s="1949">
        <f t="shared" si="130"/>
        <v>3499.79</v>
      </c>
      <c r="H569" s="1949"/>
      <c r="I569" s="1949"/>
      <c r="J569" s="1949"/>
      <c r="K569" s="1949">
        <f t="shared" si="131"/>
        <v>8776.25</v>
      </c>
      <c r="L569" s="1949"/>
      <c r="M569" s="1949"/>
      <c r="N569" s="1949"/>
      <c r="O569" s="1949">
        <f t="shared" si="132"/>
        <v>17552.5</v>
      </c>
      <c r="P569" s="1949"/>
      <c r="Q569" s="1949"/>
      <c r="R569" s="1949"/>
      <c r="S569" s="1949">
        <f t="shared" si="133"/>
        <v>37689.17</v>
      </c>
      <c r="T569" s="1949"/>
      <c r="U569" s="1949"/>
      <c r="V569" s="1949"/>
    </row>
    <row r="570" spans="1:22" x14ac:dyDescent="0.3">
      <c r="A570" s="1938" t="s">
        <v>47</v>
      </c>
      <c r="B570" s="1938"/>
      <c r="C570" s="1938"/>
      <c r="D570" s="1938"/>
      <c r="E570" s="1938"/>
      <c r="F570" s="1938"/>
      <c r="G570" s="1949">
        <f t="shared" si="130"/>
        <v>3981</v>
      </c>
      <c r="H570" s="1949"/>
      <c r="I570" s="1949"/>
      <c r="J570" s="1949"/>
      <c r="K570" s="1949">
        <f t="shared" si="131"/>
        <v>9983.2000000000007</v>
      </c>
      <c r="L570" s="1949"/>
      <c r="M570" s="1949"/>
      <c r="N570" s="1949"/>
      <c r="O570" s="1949">
        <f t="shared" si="132"/>
        <v>19966.2</v>
      </c>
      <c r="P570" s="1949"/>
      <c r="Q570" s="1949"/>
      <c r="R570" s="1949"/>
      <c r="S570" s="1949">
        <f t="shared" si="133"/>
        <v>42872.2</v>
      </c>
      <c r="T570" s="1949"/>
      <c r="U570" s="1949"/>
      <c r="V570" s="1949"/>
    </row>
    <row r="571" spans="1:22" x14ac:dyDescent="0.3">
      <c r="A571" s="1938" t="s">
        <v>217</v>
      </c>
      <c r="B571" s="1938"/>
      <c r="C571" s="1938"/>
      <c r="D571" s="1938"/>
      <c r="E571" s="1938"/>
      <c r="F571" s="1938"/>
      <c r="G571" s="1949">
        <f t="shared" si="130"/>
        <v>4120.76</v>
      </c>
      <c r="H571" s="1949"/>
      <c r="I571" s="1949"/>
      <c r="J571" s="1949"/>
      <c r="K571" s="1949">
        <f t="shared" si="131"/>
        <v>10333.82</v>
      </c>
      <c r="L571" s="1949"/>
      <c r="M571" s="1949"/>
      <c r="N571" s="1949"/>
      <c r="O571" s="1949">
        <f t="shared" si="132"/>
        <v>20667.5</v>
      </c>
      <c r="P571" s="1949"/>
      <c r="Q571" s="1949"/>
      <c r="R571" s="1949"/>
      <c r="S571" s="1949">
        <f t="shared" si="133"/>
        <v>44378.18</v>
      </c>
      <c r="T571" s="1949"/>
      <c r="U571" s="1949"/>
      <c r="V571" s="1949"/>
    </row>
    <row r="572" spans="1:22" x14ac:dyDescent="0.3">
      <c r="A572" s="1938" t="s">
        <v>218</v>
      </c>
      <c r="B572" s="1938"/>
      <c r="C572" s="1938"/>
      <c r="D572" s="1938"/>
      <c r="E572" s="1938"/>
      <c r="F572" s="1938"/>
      <c r="G572" s="1949">
        <f t="shared" si="130"/>
        <v>3793.01</v>
      </c>
      <c r="H572" s="1949"/>
      <c r="I572" s="1949"/>
      <c r="J572" s="1949"/>
      <c r="K572" s="1949">
        <f t="shared" si="131"/>
        <v>9511.84</v>
      </c>
      <c r="L572" s="1949"/>
      <c r="M572" s="1949"/>
      <c r="N572" s="1949"/>
      <c r="O572" s="1949">
        <f t="shared" si="132"/>
        <v>19023.68</v>
      </c>
      <c r="P572" s="1949"/>
      <c r="Q572" s="1949"/>
      <c r="R572" s="1949"/>
      <c r="S572" s="1949">
        <f t="shared" si="133"/>
        <v>40848.47</v>
      </c>
      <c r="T572" s="1949"/>
      <c r="U572" s="1949"/>
      <c r="V572" s="1949"/>
    </row>
    <row r="573" spans="1:22" x14ac:dyDescent="0.3">
      <c r="A573" s="1938" t="s">
        <v>219</v>
      </c>
      <c r="B573" s="1938"/>
      <c r="C573" s="1938"/>
      <c r="D573" s="1938"/>
      <c r="E573" s="1938"/>
      <c r="F573" s="1938"/>
      <c r="G573" s="1949">
        <f t="shared" si="130"/>
        <v>3177.68</v>
      </c>
      <c r="H573" s="1949"/>
      <c r="I573" s="1949"/>
      <c r="J573" s="1949"/>
      <c r="K573" s="1949">
        <f t="shared" si="131"/>
        <v>7968.4</v>
      </c>
      <c r="L573" s="1949"/>
      <c r="M573" s="1949"/>
      <c r="N573" s="1949"/>
      <c r="O573" s="1949">
        <f t="shared" si="132"/>
        <v>15936.8</v>
      </c>
      <c r="P573" s="1949"/>
      <c r="Q573" s="1949"/>
      <c r="R573" s="1949"/>
      <c r="S573" s="1949">
        <f t="shared" si="133"/>
        <v>34220.339999999997</v>
      </c>
      <c r="T573" s="1949"/>
      <c r="U573" s="1949"/>
      <c r="V573" s="1949"/>
    </row>
    <row r="574" spans="1:22" x14ac:dyDescent="0.3">
      <c r="A574" s="256"/>
      <c r="B574" s="256"/>
      <c r="C574" s="256"/>
      <c r="D574" s="256"/>
      <c r="E574" s="256"/>
      <c r="F574" s="256"/>
      <c r="G574" s="257"/>
      <c r="H574" s="257"/>
      <c r="I574" s="257"/>
      <c r="J574" s="257"/>
      <c r="K574" s="257"/>
      <c r="L574" s="257"/>
      <c r="M574" s="257"/>
      <c r="N574" s="257"/>
      <c r="O574" s="257"/>
      <c r="P574" s="257"/>
      <c r="Q574" s="257"/>
      <c r="R574" s="257"/>
      <c r="S574" s="257"/>
      <c r="T574" s="257"/>
      <c r="U574" s="257"/>
      <c r="V574" s="257"/>
    </row>
    <row r="576" spans="1:22" x14ac:dyDescent="0.3">
      <c r="B576" s="231" t="s">
        <v>1779</v>
      </c>
    </row>
    <row r="578" spans="1:30" x14ac:dyDescent="0.3">
      <c r="A578" s="138" t="s">
        <v>1788</v>
      </c>
      <c r="G578" s="3"/>
      <c r="K578" s="3"/>
      <c r="AA578" s="53"/>
      <c r="AB578" s="53"/>
      <c r="AC578" s="53"/>
      <c r="AD578" s="53"/>
    </row>
    <row r="579" spans="1:30" x14ac:dyDescent="0.3">
      <c r="A579" s="1945" t="s">
        <v>46</v>
      </c>
      <c r="B579" s="1945"/>
      <c r="C579" s="1945"/>
      <c r="D579" s="1945"/>
      <c r="E579" s="1945"/>
      <c r="F579" s="1945"/>
      <c r="G579" s="1947" t="s">
        <v>2777</v>
      </c>
      <c r="H579" s="1947"/>
      <c r="I579" s="1947"/>
      <c r="J579" s="1947"/>
      <c r="K579" s="1947"/>
      <c r="L579" s="1947"/>
      <c r="M579" s="1947"/>
      <c r="N579" s="1947"/>
      <c r="O579" s="1947"/>
      <c r="P579" s="1947"/>
      <c r="Q579" s="1947"/>
      <c r="R579" s="1947"/>
      <c r="S579" s="1948" t="s">
        <v>2778</v>
      </c>
      <c r="T579" s="1948"/>
      <c r="U579" s="1948"/>
      <c r="V579" s="1948"/>
      <c r="W579" s="1948"/>
      <c r="X579" s="1948"/>
      <c r="Y579" s="1948"/>
      <c r="Z579" s="1948"/>
      <c r="AA579" s="1948"/>
      <c r="AB579" s="1948"/>
      <c r="AC579" s="1948"/>
      <c r="AD579" s="1948"/>
    </row>
    <row r="580" spans="1:30" ht="14.4" customHeight="1" x14ac:dyDescent="0.3">
      <c r="A580" s="1938" t="s">
        <v>1796</v>
      </c>
      <c r="B580" s="1938"/>
      <c r="C580" s="1938"/>
      <c r="D580" s="1938"/>
      <c r="E580" s="1938"/>
      <c r="F580" s="1938"/>
      <c r="G580" s="1031">
        <f t="shared" ref="G580:G590" si="134">ROUND(($U$99-$K$131)*$Q$73*VLOOKUP($A580,$N$123:$AG$133,9,TRUE)*VLOOKUP($A580,$N$146:$AG$156,5,TRUE)*$Q$78,3)</f>
        <v>7.0000000000000001E-3</v>
      </c>
      <c r="H580" s="1031"/>
      <c r="I580" s="1031"/>
      <c r="J580" s="1031"/>
      <c r="K580" s="1031"/>
      <c r="L580" s="1031"/>
      <c r="M580" s="1031"/>
      <c r="N580" s="1031"/>
      <c r="O580" s="1031"/>
      <c r="P580" s="1031"/>
      <c r="Q580" s="1031"/>
      <c r="R580" s="1031"/>
      <c r="S580" s="1944">
        <f t="shared" ref="S580:S590" si="135">ROUND(($U$99-$K$131)*$Q$73*VLOOKUP($A580,$A$167:$Q$177,8,TRUE)*VLOOKUP($A580,$N$146:$AG$156,9,TRUE)*$Q$78,2)</f>
        <v>35.21</v>
      </c>
      <c r="T580" s="1944"/>
      <c r="U580" s="1944"/>
      <c r="V580" s="1944"/>
      <c r="W580" s="1944"/>
      <c r="X580" s="1944"/>
      <c r="Y580" s="1944"/>
      <c r="Z580" s="1944"/>
      <c r="AA580" s="1944"/>
      <c r="AB580" s="1944"/>
      <c r="AC580" s="1944"/>
      <c r="AD580" s="1944"/>
    </row>
    <row r="581" spans="1:30" x14ac:dyDescent="0.3">
      <c r="A581" s="1938" t="s">
        <v>211</v>
      </c>
      <c r="B581" s="1938"/>
      <c r="C581" s="1938"/>
      <c r="D581" s="1938"/>
      <c r="E581" s="1938"/>
      <c r="F581" s="1938"/>
      <c r="G581" s="1943">
        <f t="shared" si="134"/>
        <v>4.0000000000000001E-3</v>
      </c>
      <c r="H581" s="1943"/>
      <c r="I581" s="1943"/>
      <c r="J581" s="1943"/>
      <c r="K581" s="1943"/>
      <c r="L581" s="1943"/>
      <c r="M581" s="1943"/>
      <c r="N581" s="1943"/>
      <c r="O581" s="1943"/>
      <c r="P581" s="1943"/>
      <c r="Q581" s="1943"/>
      <c r="R581" s="1943"/>
      <c r="S581" s="1944">
        <f t="shared" si="135"/>
        <v>125.06</v>
      </c>
      <c r="T581" s="1944"/>
      <c r="U581" s="1944"/>
      <c r="V581" s="1944"/>
      <c r="W581" s="1944"/>
      <c r="X581" s="1944"/>
      <c r="Y581" s="1944"/>
      <c r="Z581" s="1944"/>
      <c r="AA581" s="1944"/>
      <c r="AB581" s="1944"/>
      <c r="AC581" s="1944"/>
      <c r="AD581" s="1944"/>
    </row>
    <row r="582" spans="1:30" x14ac:dyDescent="0.3">
      <c r="A582" s="1938" t="s">
        <v>212</v>
      </c>
      <c r="B582" s="1938"/>
      <c r="C582" s="1938"/>
      <c r="D582" s="1938"/>
      <c r="E582" s="1938"/>
      <c r="F582" s="1938"/>
      <c r="G582" s="1943">
        <f t="shared" si="134"/>
        <v>6.0000000000000001E-3</v>
      </c>
      <c r="H582" s="1943"/>
      <c r="I582" s="1943"/>
      <c r="J582" s="1943"/>
      <c r="K582" s="1943"/>
      <c r="L582" s="1943"/>
      <c r="M582" s="1943"/>
      <c r="N582" s="1943"/>
      <c r="O582" s="1943"/>
      <c r="P582" s="1943"/>
      <c r="Q582" s="1943"/>
      <c r="R582" s="1943"/>
      <c r="S582" s="1944">
        <f t="shared" si="135"/>
        <v>31.87</v>
      </c>
      <c r="T582" s="1944"/>
      <c r="U582" s="1944"/>
      <c r="V582" s="1944"/>
      <c r="W582" s="1944"/>
      <c r="X582" s="1944"/>
      <c r="Y582" s="1944"/>
      <c r="Z582" s="1944"/>
      <c r="AA582" s="1944"/>
      <c r="AB582" s="1944"/>
      <c r="AC582" s="1944"/>
      <c r="AD582" s="1944"/>
    </row>
    <row r="583" spans="1:30" x14ac:dyDescent="0.3">
      <c r="A583" s="1938" t="s">
        <v>213</v>
      </c>
      <c r="B583" s="1938"/>
      <c r="C583" s="1938"/>
      <c r="D583" s="1938"/>
      <c r="E583" s="1938"/>
      <c r="F583" s="1938"/>
      <c r="G583" s="1943">
        <f t="shared" si="134"/>
        <v>1.2999999999999999E-2</v>
      </c>
      <c r="H583" s="1943"/>
      <c r="I583" s="1943"/>
      <c r="J583" s="1943"/>
      <c r="K583" s="1943"/>
      <c r="L583" s="1943"/>
      <c r="M583" s="1943"/>
      <c r="N583" s="1943"/>
      <c r="O583" s="1943"/>
      <c r="P583" s="1943"/>
      <c r="Q583" s="1943"/>
      <c r="R583" s="1943"/>
      <c r="S583" s="1944">
        <f t="shared" si="135"/>
        <v>95.07</v>
      </c>
      <c r="T583" s="1944"/>
      <c r="U583" s="1944"/>
      <c r="V583" s="1944"/>
      <c r="W583" s="1944"/>
      <c r="X583" s="1944"/>
      <c r="Y583" s="1944"/>
      <c r="Z583" s="1944"/>
      <c r="AA583" s="1944"/>
      <c r="AB583" s="1944"/>
      <c r="AC583" s="1944"/>
      <c r="AD583" s="1944"/>
    </row>
    <row r="584" spans="1:30" x14ac:dyDescent="0.3">
      <c r="A584" s="1938" t="s">
        <v>214</v>
      </c>
      <c r="B584" s="1938"/>
      <c r="C584" s="1938"/>
      <c r="D584" s="1938"/>
      <c r="E584" s="1938"/>
      <c r="F584" s="1938"/>
      <c r="G584" s="1943">
        <f t="shared" si="134"/>
        <v>1.4E-2</v>
      </c>
      <c r="H584" s="1943"/>
      <c r="I584" s="1943"/>
      <c r="J584" s="1943"/>
      <c r="K584" s="1943"/>
      <c r="L584" s="1943"/>
      <c r="M584" s="1943"/>
      <c r="N584" s="1943"/>
      <c r="O584" s="1943"/>
      <c r="P584" s="1943"/>
      <c r="Q584" s="1943"/>
      <c r="R584" s="1943"/>
      <c r="S584" s="1944">
        <f t="shared" si="135"/>
        <v>104.19</v>
      </c>
      <c r="T584" s="1944"/>
      <c r="U584" s="1944"/>
      <c r="V584" s="1944"/>
      <c r="W584" s="1944"/>
      <c r="X584" s="1944"/>
      <c r="Y584" s="1944"/>
      <c r="Z584" s="1944"/>
      <c r="AA584" s="1944"/>
      <c r="AB584" s="1944"/>
      <c r="AC584" s="1944"/>
      <c r="AD584" s="1944"/>
    </row>
    <row r="585" spans="1:30" x14ac:dyDescent="0.3">
      <c r="A585" s="1938" t="s">
        <v>215</v>
      </c>
      <c r="B585" s="1938"/>
      <c r="C585" s="1938"/>
      <c r="D585" s="1938"/>
      <c r="E585" s="1938"/>
      <c r="F585" s="1938"/>
      <c r="G585" s="1943">
        <f t="shared" si="134"/>
        <v>6.0000000000000001E-3</v>
      </c>
      <c r="H585" s="1943"/>
      <c r="I585" s="1943"/>
      <c r="J585" s="1943"/>
      <c r="K585" s="1943"/>
      <c r="L585" s="1943"/>
      <c r="M585" s="1943"/>
      <c r="N585" s="1943"/>
      <c r="O585" s="1943"/>
      <c r="P585" s="1943"/>
      <c r="Q585" s="1943"/>
      <c r="R585" s="1943"/>
      <c r="S585" s="1944">
        <f t="shared" si="135"/>
        <v>30.16</v>
      </c>
      <c r="T585" s="1944"/>
      <c r="U585" s="1944"/>
      <c r="V585" s="1944"/>
      <c r="W585" s="1944"/>
      <c r="X585" s="1944"/>
      <c r="Y585" s="1944"/>
      <c r="Z585" s="1944"/>
      <c r="AA585" s="1944"/>
      <c r="AB585" s="1944"/>
      <c r="AC585" s="1944"/>
      <c r="AD585" s="1944"/>
    </row>
    <row r="586" spans="1:30" x14ac:dyDescent="0.3">
      <c r="A586" s="1938" t="s">
        <v>216</v>
      </c>
      <c r="B586" s="1938"/>
      <c r="C586" s="1938"/>
      <c r="D586" s="1938"/>
      <c r="E586" s="1938"/>
      <c r="F586" s="1938"/>
      <c r="G586" s="1943">
        <f t="shared" si="134"/>
        <v>1.0999999999999999E-2</v>
      </c>
      <c r="H586" s="1943"/>
      <c r="I586" s="1943"/>
      <c r="J586" s="1943"/>
      <c r="K586" s="1943"/>
      <c r="L586" s="1943"/>
      <c r="M586" s="1943"/>
      <c r="N586" s="1943"/>
      <c r="O586" s="1943"/>
      <c r="P586" s="1943"/>
      <c r="Q586" s="1943"/>
      <c r="R586" s="1943"/>
      <c r="S586" s="1944">
        <f t="shared" si="135"/>
        <v>40.89</v>
      </c>
      <c r="T586" s="1944"/>
      <c r="U586" s="1944"/>
      <c r="V586" s="1944"/>
      <c r="W586" s="1944"/>
      <c r="X586" s="1944"/>
      <c r="Y586" s="1944"/>
      <c r="Z586" s="1944"/>
      <c r="AA586" s="1944"/>
      <c r="AB586" s="1944"/>
      <c r="AC586" s="1944"/>
      <c r="AD586" s="1944"/>
    </row>
    <row r="587" spans="1:30" x14ac:dyDescent="0.3">
      <c r="A587" s="1938" t="s">
        <v>47</v>
      </c>
      <c r="B587" s="1938"/>
      <c r="C587" s="1938"/>
      <c r="D587" s="1938"/>
      <c r="E587" s="1938"/>
      <c r="F587" s="1938"/>
      <c r="G587" s="1943">
        <f t="shared" si="134"/>
        <v>4.0000000000000001E-3</v>
      </c>
      <c r="H587" s="1943"/>
      <c r="I587" s="1943"/>
      <c r="J587" s="1943"/>
      <c r="K587" s="1943"/>
      <c r="L587" s="1943"/>
      <c r="M587" s="1943"/>
      <c r="N587" s="1943"/>
      <c r="O587" s="1943"/>
      <c r="P587" s="1943"/>
      <c r="Q587" s="1943"/>
      <c r="R587" s="1943"/>
      <c r="S587" s="1944">
        <f t="shared" si="135"/>
        <v>37.869999999999997</v>
      </c>
      <c r="T587" s="1944"/>
      <c r="U587" s="1944"/>
      <c r="V587" s="1944"/>
      <c r="W587" s="1944"/>
      <c r="X587" s="1944"/>
      <c r="Y587" s="1944"/>
      <c r="Z587" s="1944"/>
      <c r="AA587" s="1944"/>
      <c r="AB587" s="1944"/>
      <c r="AC587" s="1944"/>
      <c r="AD587" s="1944"/>
    </row>
    <row r="588" spans="1:30" x14ac:dyDescent="0.3">
      <c r="A588" s="1938" t="s">
        <v>217</v>
      </c>
      <c r="B588" s="1938"/>
      <c r="C588" s="1938"/>
      <c r="D588" s="1938"/>
      <c r="E588" s="1938"/>
      <c r="F588" s="1938"/>
      <c r="G588" s="1943">
        <f t="shared" si="134"/>
        <v>1.0999999999999999E-2</v>
      </c>
      <c r="H588" s="1943"/>
      <c r="I588" s="1943"/>
      <c r="J588" s="1943"/>
      <c r="K588" s="1943"/>
      <c r="L588" s="1943"/>
      <c r="M588" s="1943"/>
      <c r="N588" s="1943"/>
      <c r="O588" s="1943"/>
      <c r="P588" s="1943"/>
      <c r="Q588" s="1943"/>
      <c r="R588" s="1943"/>
      <c r="S588" s="1944">
        <f t="shared" si="135"/>
        <v>80.61</v>
      </c>
      <c r="T588" s="1944"/>
      <c r="U588" s="1944"/>
      <c r="V588" s="1944"/>
      <c r="W588" s="1944"/>
      <c r="X588" s="1944"/>
      <c r="Y588" s="1944"/>
      <c r="Z588" s="1944"/>
      <c r="AA588" s="1944"/>
      <c r="AB588" s="1944"/>
      <c r="AC588" s="1944"/>
      <c r="AD588" s="1944"/>
    </row>
    <row r="589" spans="1:30" x14ac:dyDescent="0.3">
      <c r="A589" s="1938" t="s">
        <v>218</v>
      </c>
      <c r="B589" s="1938"/>
      <c r="C589" s="1938"/>
      <c r="D589" s="1938"/>
      <c r="E589" s="1938"/>
      <c r="F589" s="1938"/>
      <c r="G589" s="1943">
        <f t="shared" si="134"/>
        <v>8.0000000000000002E-3</v>
      </c>
      <c r="H589" s="1943"/>
      <c r="I589" s="1943"/>
      <c r="J589" s="1943"/>
      <c r="K589" s="1943"/>
      <c r="L589" s="1943"/>
      <c r="M589" s="1943"/>
      <c r="N589" s="1943"/>
      <c r="O589" s="1943"/>
      <c r="P589" s="1943"/>
      <c r="Q589" s="1943"/>
      <c r="R589" s="1943"/>
      <c r="S589" s="1944">
        <f t="shared" si="135"/>
        <v>45.85</v>
      </c>
      <c r="T589" s="1944"/>
      <c r="U589" s="1944"/>
      <c r="V589" s="1944"/>
      <c r="W589" s="1944"/>
      <c r="X589" s="1944"/>
      <c r="Y589" s="1944"/>
      <c r="Z589" s="1944"/>
      <c r="AA589" s="1944"/>
      <c r="AB589" s="1944"/>
      <c r="AC589" s="1944"/>
      <c r="AD589" s="1944"/>
    </row>
    <row r="590" spans="1:30" x14ac:dyDescent="0.3">
      <c r="A590" s="1938" t="s">
        <v>219</v>
      </c>
      <c r="B590" s="1938"/>
      <c r="C590" s="1938"/>
      <c r="D590" s="1938"/>
      <c r="E590" s="1938"/>
      <c r="F590" s="1938"/>
      <c r="G590" s="1943">
        <f t="shared" si="134"/>
        <v>1E-3</v>
      </c>
      <c r="H590" s="1943"/>
      <c r="I590" s="1943"/>
      <c r="J590" s="1943"/>
      <c r="K590" s="1943"/>
      <c r="L590" s="1943"/>
      <c r="M590" s="1943"/>
      <c r="N590" s="1943"/>
      <c r="O590" s="1943"/>
      <c r="P590" s="1943"/>
      <c r="Q590" s="1943"/>
      <c r="R590" s="1943"/>
      <c r="S590" s="1944">
        <f t="shared" si="135"/>
        <v>29.05</v>
      </c>
      <c r="T590" s="1944"/>
      <c r="U590" s="1944"/>
      <c r="V590" s="1944"/>
      <c r="W590" s="1944"/>
      <c r="X590" s="1944"/>
      <c r="Y590" s="1944"/>
      <c r="Z590" s="1944"/>
      <c r="AA590" s="1944"/>
      <c r="AB590" s="1944"/>
      <c r="AC590" s="1944"/>
      <c r="AD590" s="1944"/>
    </row>
    <row r="591" spans="1:30" x14ac:dyDescent="0.3">
      <c r="A591" s="116"/>
      <c r="B591" s="116"/>
      <c r="C591" s="116"/>
      <c r="D591" s="116"/>
      <c r="E591" s="116"/>
      <c r="F591" s="116"/>
      <c r="G591" s="165"/>
      <c r="H591" s="165"/>
      <c r="I591" s="165"/>
      <c r="J591" s="165"/>
      <c r="K591" s="165"/>
      <c r="L591" s="165"/>
      <c r="M591" s="165"/>
      <c r="N591" s="165"/>
      <c r="O591" s="165"/>
      <c r="P591" s="165"/>
      <c r="Q591" s="165"/>
      <c r="R591" s="165"/>
      <c r="S591" s="251"/>
      <c r="T591" s="251"/>
      <c r="U591" s="251"/>
      <c r="V591" s="251"/>
      <c r="W591" s="251"/>
      <c r="X591" s="251"/>
      <c r="Y591" s="251"/>
      <c r="Z591" s="251"/>
      <c r="AA591" s="251"/>
      <c r="AB591" s="251"/>
      <c r="AC591" s="251"/>
      <c r="AD591" s="251"/>
    </row>
    <row r="592" spans="1:30" x14ac:dyDescent="0.3">
      <c r="B592" s="231" t="s">
        <v>1780</v>
      </c>
      <c r="C592" s="147"/>
      <c r="G592" s="136"/>
      <c r="K592" s="136"/>
      <c r="O592" s="136"/>
      <c r="S592" s="136"/>
      <c r="AA592" s="136"/>
    </row>
    <row r="593" spans="1:37" x14ac:dyDescent="0.3">
      <c r="A593" s="245"/>
      <c r="B593" s="147"/>
      <c r="C593" s="147"/>
      <c r="G593" s="136"/>
      <c r="K593" s="136"/>
      <c r="O593" s="136"/>
      <c r="S593" s="136"/>
      <c r="AA593" s="136"/>
    </row>
    <row r="594" spans="1:37" x14ac:dyDescent="0.3">
      <c r="A594" s="138" t="s">
        <v>2536</v>
      </c>
      <c r="G594" s="3"/>
      <c r="K594" s="3"/>
      <c r="AA594" s="53"/>
      <c r="AB594" s="53"/>
      <c r="AC594" s="53"/>
      <c r="AD594" s="53"/>
    </row>
    <row r="595" spans="1:37" x14ac:dyDescent="0.3">
      <c r="A595" s="1945" t="s">
        <v>46</v>
      </c>
      <c r="B595" s="1945"/>
      <c r="C595" s="1945"/>
      <c r="D595" s="1945"/>
      <c r="E595" s="1945"/>
      <c r="F595" s="1945"/>
      <c r="G595" s="1946" t="s">
        <v>1745</v>
      </c>
      <c r="H595" s="1946"/>
      <c r="I595" s="1946"/>
      <c r="J595" s="1946"/>
      <c r="K595" s="1946"/>
      <c r="L595" s="1946"/>
      <c r="M595" s="1946"/>
      <c r="N595" s="1946"/>
      <c r="O595" s="1946"/>
      <c r="P595" s="1946"/>
      <c r="Q595" s="1946"/>
      <c r="R595" s="1946"/>
      <c r="U595" s="136"/>
      <c r="Y595" s="136"/>
      <c r="AA595" s="10"/>
      <c r="AB595" s="10"/>
      <c r="AC595" s="10"/>
      <c r="AD595" s="10"/>
    </row>
    <row r="596" spans="1:37" ht="14.4" customHeight="1" x14ac:dyDescent="0.3">
      <c r="A596" s="1938" t="s">
        <v>1796</v>
      </c>
      <c r="B596" s="1938"/>
      <c r="C596" s="1938"/>
      <c r="D596" s="1938"/>
      <c r="E596" s="1938"/>
      <c r="F596" s="1938"/>
      <c r="G596" s="1942">
        <f t="shared" ref="G596:G606" si="136">ROUND(S580*VLOOKUP($A596,$A$199:$Q$209,8,TRUE),2)</f>
        <v>281.68</v>
      </c>
      <c r="H596" s="1942"/>
      <c r="I596" s="1942"/>
      <c r="J596" s="1942"/>
      <c r="K596" s="1942"/>
      <c r="L596" s="1942"/>
      <c r="M596" s="1942"/>
      <c r="N596" s="1942"/>
      <c r="O596" s="1942"/>
      <c r="P596" s="1942"/>
      <c r="Q596" s="1942"/>
      <c r="R596" s="1942"/>
      <c r="U596" s="136"/>
      <c r="Y596" s="136"/>
      <c r="AA596" s="10"/>
      <c r="AB596" s="10"/>
      <c r="AC596" s="10"/>
      <c r="AD596" s="10"/>
    </row>
    <row r="597" spans="1:37" x14ac:dyDescent="0.3">
      <c r="A597" s="1938" t="s">
        <v>211</v>
      </c>
      <c r="B597" s="1938"/>
      <c r="C597" s="1938"/>
      <c r="D597" s="1938"/>
      <c r="E597" s="1938"/>
      <c r="F597" s="1938"/>
      <c r="G597" s="1942">
        <f t="shared" si="136"/>
        <v>375.18</v>
      </c>
      <c r="H597" s="1942"/>
      <c r="I597" s="1942"/>
      <c r="J597" s="1942"/>
      <c r="K597" s="1942"/>
      <c r="L597" s="1942"/>
      <c r="M597" s="1942"/>
      <c r="N597" s="1942"/>
      <c r="O597" s="1942"/>
      <c r="P597" s="1942"/>
      <c r="Q597" s="1942"/>
      <c r="R597" s="1942"/>
    </row>
    <row r="598" spans="1:37" x14ac:dyDescent="0.3">
      <c r="A598" s="1938" t="s">
        <v>212</v>
      </c>
      <c r="B598" s="1938"/>
      <c r="C598" s="1938"/>
      <c r="D598" s="1938"/>
      <c r="E598" s="1938"/>
      <c r="F598" s="1938"/>
      <c r="G598" s="1942">
        <f t="shared" si="136"/>
        <v>318.7</v>
      </c>
      <c r="H598" s="1942"/>
      <c r="I598" s="1942"/>
      <c r="J598" s="1942"/>
      <c r="K598" s="1942"/>
      <c r="L598" s="1942"/>
      <c r="M598" s="1942"/>
      <c r="N598" s="1942"/>
      <c r="O598" s="1942"/>
      <c r="P598" s="1942"/>
      <c r="Q598" s="1942"/>
      <c r="R598" s="1942"/>
    </row>
    <row r="599" spans="1:37" x14ac:dyDescent="0.3">
      <c r="A599" s="1938" t="s">
        <v>213</v>
      </c>
      <c r="B599" s="1938"/>
      <c r="C599" s="1938"/>
      <c r="D599" s="1938"/>
      <c r="E599" s="1938"/>
      <c r="F599" s="1938"/>
      <c r="G599" s="1942">
        <f t="shared" si="136"/>
        <v>285.20999999999998</v>
      </c>
      <c r="H599" s="1942"/>
      <c r="I599" s="1942"/>
      <c r="J599" s="1942"/>
      <c r="K599" s="1942"/>
      <c r="L599" s="1942"/>
      <c r="M599" s="1942"/>
      <c r="N599" s="1942"/>
      <c r="O599" s="1942"/>
      <c r="P599" s="1942"/>
      <c r="Q599" s="1942"/>
      <c r="R599" s="1942"/>
    </row>
    <row r="600" spans="1:37" x14ac:dyDescent="0.3">
      <c r="A600" s="1938" t="s">
        <v>214</v>
      </c>
      <c r="B600" s="1938"/>
      <c r="C600" s="1938"/>
      <c r="D600" s="1938"/>
      <c r="E600" s="1938"/>
      <c r="F600" s="1938"/>
      <c r="G600" s="1942">
        <f t="shared" si="136"/>
        <v>312.57</v>
      </c>
      <c r="H600" s="1942"/>
      <c r="I600" s="1942"/>
      <c r="J600" s="1942"/>
      <c r="K600" s="1942"/>
      <c r="L600" s="1942"/>
      <c r="M600" s="1942"/>
      <c r="N600" s="1942"/>
      <c r="O600" s="1942"/>
      <c r="P600" s="1942"/>
      <c r="Q600" s="1942"/>
      <c r="R600" s="1942"/>
    </row>
    <row r="601" spans="1:37" x14ac:dyDescent="0.3">
      <c r="A601" s="1938" t="s">
        <v>215</v>
      </c>
      <c r="B601" s="1938"/>
      <c r="C601" s="1938"/>
      <c r="D601" s="1938"/>
      <c r="E601" s="1938"/>
      <c r="F601" s="1938"/>
      <c r="G601" s="1942">
        <f t="shared" si="136"/>
        <v>361.92</v>
      </c>
      <c r="H601" s="1942"/>
      <c r="I601" s="1942"/>
      <c r="J601" s="1942"/>
      <c r="K601" s="1942"/>
      <c r="L601" s="1942"/>
      <c r="M601" s="1942"/>
      <c r="N601" s="1942"/>
      <c r="O601" s="1942"/>
      <c r="P601" s="1942"/>
      <c r="Q601" s="1942"/>
      <c r="R601" s="1942"/>
    </row>
    <row r="602" spans="1:37" x14ac:dyDescent="0.3">
      <c r="A602" s="1938" t="s">
        <v>216</v>
      </c>
      <c r="B602" s="1938"/>
      <c r="C602" s="1938"/>
      <c r="D602" s="1938"/>
      <c r="E602" s="1938"/>
      <c r="F602" s="1938"/>
      <c r="G602" s="1942">
        <f t="shared" si="136"/>
        <v>286.23</v>
      </c>
      <c r="H602" s="1942"/>
      <c r="I602" s="1942"/>
      <c r="J602" s="1942"/>
      <c r="K602" s="1942"/>
      <c r="L602" s="1942"/>
      <c r="M602" s="1942"/>
      <c r="N602" s="1942"/>
      <c r="O602" s="1942"/>
      <c r="P602" s="1942"/>
      <c r="Q602" s="1942"/>
      <c r="R602" s="1942"/>
    </row>
    <row r="603" spans="1:37" x14ac:dyDescent="0.3">
      <c r="A603" s="1938" t="s">
        <v>47</v>
      </c>
      <c r="B603" s="1938"/>
      <c r="C603" s="1938"/>
      <c r="D603" s="1938"/>
      <c r="E603" s="1938"/>
      <c r="F603" s="1938"/>
      <c r="G603" s="1942">
        <f t="shared" si="136"/>
        <v>302.95999999999998</v>
      </c>
      <c r="H603" s="1942"/>
      <c r="I603" s="1942"/>
      <c r="J603" s="1942"/>
      <c r="K603" s="1942"/>
      <c r="L603" s="1942"/>
      <c r="M603" s="1942"/>
      <c r="N603" s="1942"/>
      <c r="O603" s="1942"/>
      <c r="P603" s="1942"/>
      <c r="Q603" s="1942"/>
      <c r="R603" s="1942"/>
    </row>
    <row r="604" spans="1:37" x14ac:dyDescent="0.3">
      <c r="A604" s="1938" t="s">
        <v>217</v>
      </c>
      <c r="B604" s="1938"/>
      <c r="C604" s="1938"/>
      <c r="D604" s="1938"/>
      <c r="E604" s="1938"/>
      <c r="F604" s="1938"/>
      <c r="G604" s="1942">
        <f t="shared" si="136"/>
        <v>322.44</v>
      </c>
      <c r="H604" s="1942"/>
      <c r="I604" s="1942"/>
      <c r="J604" s="1942"/>
      <c r="K604" s="1942"/>
      <c r="L604" s="1942"/>
      <c r="M604" s="1942"/>
      <c r="N604" s="1942"/>
      <c r="O604" s="1942"/>
      <c r="P604" s="1942"/>
      <c r="Q604" s="1942"/>
      <c r="R604" s="1942"/>
    </row>
    <row r="605" spans="1:37" x14ac:dyDescent="0.3">
      <c r="A605" s="1938" t="s">
        <v>218</v>
      </c>
      <c r="B605" s="1938"/>
      <c r="C605" s="1938"/>
      <c r="D605" s="1938"/>
      <c r="E605" s="1938"/>
      <c r="F605" s="1938"/>
      <c r="G605" s="1942">
        <f t="shared" si="136"/>
        <v>275.10000000000002</v>
      </c>
      <c r="H605" s="1942"/>
      <c r="I605" s="1942"/>
      <c r="J605" s="1942"/>
      <c r="K605" s="1942"/>
      <c r="L605" s="1942"/>
      <c r="M605" s="1942"/>
      <c r="N605" s="1942"/>
      <c r="O605" s="1942"/>
      <c r="P605" s="1942"/>
      <c r="Q605" s="1942"/>
      <c r="R605" s="1942"/>
    </row>
    <row r="606" spans="1:37" x14ac:dyDescent="0.3">
      <c r="A606" s="1938" t="s">
        <v>219</v>
      </c>
      <c r="B606" s="1938"/>
      <c r="C606" s="1938"/>
      <c r="D606" s="1938"/>
      <c r="E606" s="1938"/>
      <c r="F606" s="1938"/>
      <c r="G606" s="1942">
        <f t="shared" si="136"/>
        <v>261.45</v>
      </c>
      <c r="H606" s="1942"/>
      <c r="I606" s="1942"/>
      <c r="J606" s="1942"/>
      <c r="K606" s="1942"/>
      <c r="L606" s="1942"/>
      <c r="M606" s="1942"/>
      <c r="N606" s="1942"/>
      <c r="O606" s="1942"/>
      <c r="P606" s="1942"/>
      <c r="Q606" s="1942"/>
      <c r="R606" s="1942"/>
    </row>
    <row r="608" spans="1:37" x14ac:dyDescent="0.3">
      <c r="A608" s="245"/>
      <c r="B608" s="231" t="s">
        <v>1781</v>
      </c>
      <c r="C608" s="147"/>
      <c r="G608" s="136"/>
      <c r="K608" s="136"/>
      <c r="O608" s="136"/>
      <c r="S608" s="136"/>
      <c r="AA608" s="136"/>
      <c r="AG608" s="136"/>
      <c r="AK608" s="136"/>
    </row>
    <row r="609" spans="1:38" x14ac:dyDescent="0.3">
      <c r="A609" s="245"/>
      <c r="B609" s="147"/>
      <c r="C609" s="147"/>
      <c r="G609" s="136"/>
      <c r="K609" s="136"/>
      <c r="O609" s="136"/>
      <c r="S609" s="136"/>
      <c r="AA609" s="136"/>
      <c r="AG609" s="136"/>
      <c r="AK609" s="136"/>
    </row>
    <row r="610" spans="1:38" x14ac:dyDescent="0.3">
      <c r="A610" s="610" t="s">
        <v>4604</v>
      </c>
      <c r="B610" s="139"/>
      <c r="C610" s="139"/>
      <c r="D610" s="139"/>
      <c r="E610" s="139"/>
      <c r="F610" s="139"/>
      <c r="G610" s="141"/>
      <c r="H610" s="141"/>
      <c r="I610" s="141"/>
      <c r="J610" s="141"/>
      <c r="K610" s="141"/>
      <c r="L610" s="141"/>
      <c r="M610" s="141"/>
      <c r="N610" s="141"/>
      <c r="O610" s="141"/>
      <c r="P610" s="141"/>
      <c r="Q610" s="141"/>
      <c r="R610" s="141"/>
      <c r="S610" s="141"/>
      <c r="T610" s="141"/>
      <c r="U610" s="141"/>
      <c r="V610" s="141"/>
      <c r="W610" s="141"/>
      <c r="X610" s="141"/>
      <c r="Y610" s="141"/>
      <c r="Z610" s="141"/>
      <c r="AA610" s="141"/>
      <c r="AB610" s="141"/>
      <c r="AC610" s="141"/>
      <c r="AD610" s="141"/>
      <c r="AE610" s="141"/>
      <c r="AF610" s="141"/>
      <c r="AG610" s="141"/>
      <c r="AH610" s="141"/>
      <c r="AI610" s="53"/>
      <c r="AJ610" s="53"/>
      <c r="AK610" s="53"/>
      <c r="AL610" s="53"/>
    </row>
    <row r="611" spans="1:38" x14ac:dyDescent="0.3">
      <c r="A611" s="53"/>
      <c r="B611" s="53"/>
      <c r="C611" s="53"/>
      <c r="D611" s="53"/>
      <c r="E611" s="53"/>
      <c r="F611" s="53"/>
      <c r="G611" s="1865" t="s">
        <v>2783</v>
      </c>
      <c r="H611" s="1866"/>
      <c r="I611" s="1866"/>
      <c r="J611" s="1866"/>
      <c r="K611" s="1866"/>
      <c r="L611" s="1866"/>
      <c r="M611" s="1866"/>
      <c r="N611" s="1866"/>
      <c r="O611" s="1866"/>
      <c r="P611" s="1866"/>
      <c r="Q611" s="1866"/>
      <c r="R611" s="1866"/>
      <c r="S611" s="1866"/>
      <c r="T611" s="1866"/>
      <c r="U611" s="1866"/>
      <c r="V611" s="1867" t="s">
        <v>2784</v>
      </c>
      <c r="W611" s="1868"/>
      <c r="X611" s="1868"/>
      <c r="Y611" s="1868"/>
      <c r="Z611" s="1868"/>
      <c r="AA611" s="1868"/>
      <c r="AB611" s="1868"/>
      <c r="AC611" s="1868"/>
      <c r="AD611" s="1868"/>
      <c r="AE611" s="1868"/>
      <c r="AF611" s="1868"/>
      <c r="AG611" s="1868"/>
      <c r="AH611" s="1868"/>
      <c r="AI611" s="1868"/>
      <c r="AJ611" s="1869"/>
    </row>
    <row r="612" spans="1:38" ht="29.1" customHeight="1" x14ac:dyDescent="0.3">
      <c r="A612" s="1069" t="s">
        <v>46</v>
      </c>
      <c r="B612" s="1069"/>
      <c r="C612" s="1069"/>
      <c r="D612" s="1069"/>
      <c r="E612" s="1069"/>
      <c r="F612" s="1069"/>
      <c r="G612" s="1914" t="s">
        <v>255</v>
      </c>
      <c r="H612" s="1915"/>
      <c r="I612" s="1916"/>
      <c r="J612" s="1917" t="s">
        <v>259</v>
      </c>
      <c r="K612" s="1918"/>
      <c r="L612" s="1919"/>
      <c r="M612" s="1914" t="s">
        <v>260</v>
      </c>
      <c r="N612" s="1915"/>
      <c r="O612" s="1916"/>
      <c r="P612" s="1917" t="s">
        <v>263</v>
      </c>
      <c r="Q612" s="1918"/>
      <c r="R612" s="1919"/>
      <c r="S612" s="1920" t="s">
        <v>1789</v>
      </c>
      <c r="T612" s="1921"/>
      <c r="U612" s="1922"/>
      <c r="V612" s="1917" t="s">
        <v>255</v>
      </c>
      <c r="W612" s="1918"/>
      <c r="X612" s="1919"/>
      <c r="Y612" s="1914" t="s">
        <v>259</v>
      </c>
      <c r="Z612" s="1915"/>
      <c r="AA612" s="1916"/>
      <c r="AB612" s="1917" t="s">
        <v>260</v>
      </c>
      <c r="AC612" s="1918"/>
      <c r="AD612" s="1919"/>
      <c r="AE612" s="1914" t="s">
        <v>263</v>
      </c>
      <c r="AF612" s="1915"/>
      <c r="AG612" s="1916"/>
      <c r="AH612" s="1923" t="s">
        <v>1789</v>
      </c>
      <c r="AI612" s="1924"/>
      <c r="AJ612" s="1925"/>
    </row>
    <row r="613" spans="1:38" x14ac:dyDescent="0.3">
      <c r="A613" s="1938" t="s">
        <v>1796</v>
      </c>
      <c r="B613" s="1938"/>
      <c r="C613" s="1938"/>
      <c r="D613" s="1938"/>
      <c r="E613" s="1938"/>
      <c r="F613" s="1938"/>
      <c r="G613" s="1833">
        <f t="shared" ref="G613:G623" si="137">ROUND(($U$100-$K$132)*$Q$73*VLOOKUP($A613,$N$123:$AG$133,9,TRUE)*VLOOKUP($A613,$N$146:$AG$156,5,TRUE)*$Q$78,3)</f>
        <v>1.7000000000000001E-2</v>
      </c>
      <c r="H613" s="1834"/>
      <c r="I613" s="1835"/>
      <c r="J613" s="1833">
        <f t="shared" ref="J613:J623" si="138">ROUND(($U$101-$K$133)*$Q$73*VLOOKUP($A613,$N$123:$AG$133,9,TRUE)*VLOOKUP($A613,$N$146:$AG$156,5,TRUE)*$Q$78,3)</f>
        <v>1.2E-2</v>
      </c>
      <c r="K613" s="1834"/>
      <c r="L613" s="1835"/>
      <c r="M613" s="1833">
        <f t="shared" ref="M613:M623" si="139">ROUND(($U$102-$K$134)*$Q$73*VLOOKUP($A613,$N$123:$AG$133,9,TRUE)*VLOOKUP($A613,$N$146:$AG$156,5,TRUE)*$Q$78,3)</f>
        <v>1.7999999999999999E-2</v>
      </c>
      <c r="N613" s="1834"/>
      <c r="O613" s="1835"/>
      <c r="P613" s="1833">
        <f t="shared" ref="P613:P623" si="140">ROUND(($U$103-$K$135)*$Q$73*VLOOKUP($A613,$N$123:$AG$133,9,TRUE)*VLOOKUP($A613,$N$146:$AG$156,5,TRUE)*$Q$78,3)</f>
        <v>1.7999999999999999E-2</v>
      </c>
      <c r="Q613" s="1834"/>
      <c r="R613" s="1835"/>
      <c r="S613" s="1833">
        <f t="shared" ref="S613:S623" si="141">ROUND(($U$98-$K$130)*$Q$73*VLOOKUP($A613,$N$123:$AG$133,9,TRUE)*VLOOKUP($A613,$N$146:$AG$156,5,TRUE)*$Q$78,3)</f>
        <v>1.4E-2</v>
      </c>
      <c r="T613" s="1834"/>
      <c r="U613" s="1835"/>
      <c r="V613" s="1840">
        <f t="shared" ref="V613:V623" si="142">ROUND(($U$100-$K$132)*$Q$73*VLOOKUP($A613,$A$167:$Q$177,8,TRUE)*VLOOKUP($A613,$N$146:$AG$156,9,TRUE)*$Q$78,2)</f>
        <v>91.16</v>
      </c>
      <c r="W613" s="1841"/>
      <c r="X613" s="1842"/>
      <c r="Y613" s="1840">
        <f t="shared" ref="Y613:Y623" si="143">ROUND(($U$101-$K$133)*$Q$73*VLOOKUP($A613,$A$167:$Q$177,8,TRUE)*VLOOKUP($A613,$N$146:$AG$156,9,TRUE)*$Q$78,2)</f>
        <v>65.27</v>
      </c>
      <c r="Z613" s="1841"/>
      <c r="AA613" s="1842"/>
      <c r="AB613" s="1840">
        <f t="shared" ref="AB613:AB623" si="144">ROUND(($U$102-$K$134)*$Q$73*VLOOKUP($A613,$A$167:$Q$177,8,TRUE)*VLOOKUP($A613,$N$146:$AG$156,9,TRUE)*$Q$78,2)</f>
        <v>97.72</v>
      </c>
      <c r="AC613" s="1841"/>
      <c r="AD613" s="1842"/>
      <c r="AE613" s="1875">
        <f t="shared" ref="AE613:AE623" si="145">ROUND(($U$103-$K$135)*$Q$73*VLOOKUP($A613,$A$167:$Q$177,8,TRUE)*VLOOKUP($A613,$N$146:$AG$156,9,TRUE)*$Q$78,2)</f>
        <v>95.28</v>
      </c>
      <c r="AF613" s="1876"/>
      <c r="AG613" s="1877"/>
      <c r="AH613" s="1875">
        <f t="shared" ref="AH613:AH623" si="146">ROUND(($U$98-$K$130)*$Q$73*VLOOKUP($A613,$A$167:$Q$177,8,TRUE)*VLOOKUP($A613,$N$146:$AG$156,9,TRUE)*$Q$78,2)</f>
        <v>76.52</v>
      </c>
      <c r="AI613" s="1876"/>
      <c r="AJ613" s="1877"/>
    </row>
    <row r="614" spans="1:38" x14ac:dyDescent="0.3">
      <c r="A614" s="1938" t="s">
        <v>211</v>
      </c>
      <c r="B614" s="1938"/>
      <c r="C614" s="1938"/>
      <c r="D614" s="1938"/>
      <c r="E614" s="1938"/>
      <c r="F614" s="1938"/>
      <c r="G614" s="1833">
        <f t="shared" si="137"/>
        <v>1.0999999999999999E-2</v>
      </c>
      <c r="H614" s="1834"/>
      <c r="I614" s="1835"/>
      <c r="J614" s="1833">
        <f t="shared" si="138"/>
        <v>8.0000000000000002E-3</v>
      </c>
      <c r="K614" s="1834"/>
      <c r="L614" s="1835"/>
      <c r="M614" s="1833">
        <f t="shared" si="139"/>
        <v>1.2E-2</v>
      </c>
      <c r="N614" s="1834"/>
      <c r="O614" s="1835"/>
      <c r="P614" s="1833">
        <f t="shared" si="140"/>
        <v>1.2E-2</v>
      </c>
      <c r="Q614" s="1834"/>
      <c r="R614" s="1835"/>
      <c r="S614" s="1833">
        <f t="shared" si="141"/>
        <v>8.9999999999999993E-3</v>
      </c>
      <c r="T614" s="1834"/>
      <c r="U614" s="1835"/>
      <c r="V614" s="1840">
        <f t="shared" si="142"/>
        <v>323.73</v>
      </c>
      <c r="W614" s="1841"/>
      <c r="X614" s="1842"/>
      <c r="Y614" s="1840">
        <f t="shared" si="143"/>
        <v>231.79</v>
      </c>
      <c r="Z614" s="1841"/>
      <c r="AA614" s="1842"/>
      <c r="AB614" s="1840">
        <f t="shared" si="144"/>
        <v>347.02</v>
      </c>
      <c r="AC614" s="1841"/>
      <c r="AD614" s="1842"/>
      <c r="AE614" s="1875">
        <f t="shared" si="145"/>
        <v>338.35</v>
      </c>
      <c r="AF614" s="1876"/>
      <c r="AG614" s="1877"/>
      <c r="AH614" s="1875">
        <f t="shared" si="146"/>
        <v>271.75</v>
      </c>
      <c r="AI614" s="1876"/>
      <c r="AJ614" s="1877"/>
    </row>
    <row r="615" spans="1:38" x14ac:dyDescent="0.3">
      <c r="A615" s="1938" t="s">
        <v>212</v>
      </c>
      <c r="B615" s="1938"/>
      <c r="C615" s="1938"/>
      <c r="D615" s="1938"/>
      <c r="E615" s="1938"/>
      <c r="F615" s="1938"/>
      <c r="G615" s="1833">
        <f t="shared" si="137"/>
        <v>1.6E-2</v>
      </c>
      <c r="H615" s="1834"/>
      <c r="I615" s="1835"/>
      <c r="J615" s="1833">
        <f t="shared" si="138"/>
        <v>1.0999999999999999E-2</v>
      </c>
      <c r="K615" s="1834"/>
      <c r="L615" s="1835"/>
      <c r="M615" s="1833">
        <f t="shared" si="139"/>
        <v>1.7000000000000001E-2</v>
      </c>
      <c r="N615" s="1834"/>
      <c r="O615" s="1835"/>
      <c r="P615" s="1833">
        <f t="shared" si="140"/>
        <v>1.7000000000000001E-2</v>
      </c>
      <c r="Q615" s="1834"/>
      <c r="R615" s="1835"/>
      <c r="S615" s="1833">
        <f t="shared" si="141"/>
        <v>1.2999999999999999E-2</v>
      </c>
      <c r="T615" s="1834"/>
      <c r="U615" s="1835"/>
      <c r="V615" s="1840">
        <f t="shared" si="142"/>
        <v>82.5</v>
      </c>
      <c r="W615" s="1841"/>
      <c r="X615" s="1842"/>
      <c r="Y615" s="1840">
        <f t="shared" si="143"/>
        <v>59.07</v>
      </c>
      <c r="Z615" s="1841"/>
      <c r="AA615" s="1842"/>
      <c r="AB615" s="1840">
        <f t="shared" si="144"/>
        <v>88.44</v>
      </c>
      <c r="AC615" s="1841"/>
      <c r="AD615" s="1842"/>
      <c r="AE615" s="1875">
        <f t="shared" si="145"/>
        <v>86.23</v>
      </c>
      <c r="AF615" s="1876"/>
      <c r="AG615" s="1877"/>
      <c r="AH615" s="1875">
        <f t="shared" si="146"/>
        <v>69.25</v>
      </c>
      <c r="AI615" s="1876"/>
      <c r="AJ615" s="1877"/>
    </row>
    <row r="616" spans="1:38" x14ac:dyDescent="0.3">
      <c r="A616" s="1938" t="s">
        <v>213</v>
      </c>
      <c r="B616" s="1938"/>
      <c r="C616" s="1938"/>
      <c r="D616" s="1938"/>
      <c r="E616" s="1938"/>
      <c r="F616" s="1938"/>
      <c r="G616" s="1833">
        <f t="shared" si="137"/>
        <v>3.4000000000000002E-2</v>
      </c>
      <c r="H616" s="1834"/>
      <c r="I616" s="1835"/>
      <c r="J616" s="1833">
        <f t="shared" si="138"/>
        <v>2.5000000000000001E-2</v>
      </c>
      <c r="K616" s="1834"/>
      <c r="L616" s="1835"/>
      <c r="M616" s="1833">
        <f t="shared" si="139"/>
        <v>3.6999999999999998E-2</v>
      </c>
      <c r="N616" s="1834"/>
      <c r="O616" s="1835"/>
      <c r="P616" s="1833">
        <f t="shared" si="140"/>
        <v>3.5999999999999997E-2</v>
      </c>
      <c r="Q616" s="1834"/>
      <c r="R616" s="1835"/>
      <c r="S616" s="1833">
        <f t="shared" si="141"/>
        <v>2.9000000000000001E-2</v>
      </c>
      <c r="T616" s="1834"/>
      <c r="U616" s="1835"/>
      <c r="V616" s="1840">
        <f t="shared" si="142"/>
        <v>246.12</v>
      </c>
      <c r="W616" s="1841"/>
      <c r="X616" s="1842"/>
      <c r="Y616" s="1840">
        <f t="shared" si="143"/>
        <v>176.22</v>
      </c>
      <c r="Z616" s="1841"/>
      <c r="AA616" s="1842"/>
      <c r="AB616" s="1840">
        <f t="shared" si="144"/>
        <v>263.82</v>
      </c>
      <c r="AC616" s="1841"/>
      <c r="AD616" s="1842"/>
      <c r="AE616" s="1875">
        <f t="shared" si="145"/>
        <v>257.23</v>
      </c>
      <c r="AF616" s="1876"/>
      <c r="AG616" s="1877"/>
      <c r="AH616" s="1875">
        <f t="shared" si="146"/>
        <v>206.6</v>
      </c>
      <c r="AI616" s="1876"/>
      <c r="AJ616" s="1877"/>
    </row>
    <row r="617" spans="1:38" x14ac:dyDescent="0.3">
      <c r="A617" s="1938" t="s">
        <v>214</v>
      </c>
      <c r="B617" s="1938"/>
      <c r="C617" s="1938"/>
      <c r="D617" s="1938"/>
      <c r="E617" s="1938"/>
      <c r="F617" s="1938"/>
      <c r="G617" s="1833">
        <f t="shared" si="137"/>
        <v>3.5999999999999997E-2</v>
      </c>
      <c r="H617" s="1834"/>
      <c r="I617" s="1835"/>
      <c r="J617" s="1833">
        <f t="shared" si="138"/>
        <v>2.5999999999999999E-2</v>
      </c>
      <c r="K617" s="1834"/>
      <c r="L617" s="1835"/>
      <c r="M617" s="1833">
        <f t="shared" si="139"/>
        <v>3.7999999999999999E-2</v>
      </c>
      <c r="N617" s="1834"/>
      <c r="O617" s="1835"/>
      <c r="P617" s="1833">
        <f t="shared" si="140"/>
        <v>3.6999999999999998E-2</v>
      </c>
      <c r="Q617" s="1834"/>
      <c r="R617" s="1835"/>
      <c r="S617" s="1833">
        <f t="shared" si="141"/>
        <v>0.03</v>
      </c>
      <c r="T617" s="1834"/>
      <c r="U617" s="1835"/>
      <c r="V617" s="1840">
        <f t="shared" si="142"/>
        <v>269.72000000000003</v>
      </c>
      <c r="W617" s="1841"/>
      <c r="X617" s="1842"/>
      <c r="Y617" s="1840">
        <f t="shared" si="143"/>
        <v>193.12</v>
      </c>
      <c r="Z617" s="1841"/>
      <c r="AA617" s="1842"/>
      <c r="AB617" s="1840">
        <f t="shared" si="144"/>
        <v>289.13</v>
      </c>
      <c r="AC617" s="1841"/>
      <c r="AD617" s="1842"/>
      <c r="AE617" s="1875">
        <f t="shared" si="145"/>
        <v>281.89999999999998</v>
      </c>
      <c r="AF617" s="1876"/>
      <c r="AG617" s="1877"/>
      <c r="AH617" s="1875">
        <f t="shared" si="146"/>
        <v>226.42</v>
      </c>
      <c r="AI617" s="1876"/>
      <c r="AJ617" s="1877"/>
    </row>
    <row r="618" spans="1:38" x14ac:dyDescent="0.3">
      <c r="A618" s="1938" t="s">
        <v>215</v>
      </c>
      <c r="B618" s="1938"/>
      <c r="C618" s="1938"/>
      <c r="D618" s="1938"/>
      <c r="E618" s="1938"/>
      <c r="F618" s="1938"/>
      <c r="G618" s="1833">
        <f t="shared" si="137"/>
        <v>1.4999999999999999E-2</v>
      </c>
      <c r="H618" s="1834"/>
      <c r="I618" s="1835"/>
      <c r="J618" s="1833">
        <f t="shared" si="138"/>
        <v>0.01</v>
      </c>
      <c r="K618" s="1834"/>
      <c r="L618" s="1835"/>
      <c r="M618" s="1833">
        <f t="shared" si="139"/>
        <v>1.6E-2</v>
      </c>
      <c r="N618" s="1834"/>
      <c r="O618" s="1835"/>
      <c r="P618" s="1833">
        <f t="shared" si="140"/>
        <v>1.4999999999999999E-2</v>
      </c>
      <c r="Q618" s="1834"/>
      <c r="R618" s="1835"/>
      <c r="S618" s="1833">
        <f t="shared" si="141"/>
        <v>1.2E-2</v>
      </c>
      <c r="T618" s="1834"/>
      <c r="U618" s="1835"/>
      <c r="V618" s="1840">
        <f t="shared" si="142"/>
        <v>78.069999999999993</v>
      </c>
      <c r="W618" s="1841"/>
      <c r="X618" s="1842"/>
      <c r="Y618" s="1840">
        <f t="shared" si="143"/>
        <v>55.9</v>
      </c>
      <c r="Z618" s="1841"/>
      <c r="AA618" s="1842"/>
      <c r="AB618" s="1840">
        <f t="shared" si="144"/>
        <v>83.69</v>
      </c>
      <c r="AC618" s="1841"/>
      <c r="AD618" s="1842"/>
      <c r="AE618" s="1875">
        <f t="shared" si="145"/>
        <v>81.599999999999994</v>
      </c>
      <c r="AF618" s="1876"/>
      <c r="AG618" s="1877"/>
      <c r="AH618" s="1875">
        <f t="shared" si="146"/>
        <v>65.53</v>
      </c>
      <c r="AI618" s="1876"/>
      <c r="AJ618" s="1877"/>
    </row>
    <row r="619" spans="1:38" x14ac:dyDescent="0.3">
      <c r="A619" s="1938" t="s">
        <v>216</v>
      </c>
      <c r="B619" s="1938"/>
      <c r="C619" s="1938"/>
      <c r="D619" s="1938"/>
      <c r="E619" s="1938"/>
      <c r="F619" s="1938"/>
      <c r="G619" s="1833">
        <f t="shared" si="137"/>
        <v>2.8000000000000001E-2</v>
      </c>
      <c r="H619" s="1834"/>
      <c r="I619" s="1835"/>
      <c r="J619" s="1833">
        <f t="shared" si="138"/>
        <v>0.02</v>
      </c>
      <c r="K619" s="1834"/>
      <c r="L619" s="1835"/>
      <c r="M619" s="1833">
        <f t="shared" si="139"/>
        <v>0.03</v>
      </c>
      <c r="N619" s="1834"/>
      <c r="O619" s="1835"/>
      <c r="P619" s="1833">
        <f t="shared" si="140"/>
        <v>2.9000000000000001E-2</v>
      </c>
      <c r="Q619" s="1834"/>
      <c r="R619" s="1835"/>
      <c r="S619" s="1833">
        <f t="shared" si="141"/>
        <v>2.3E-2</v>
      </c>
      <c r="T619" s="1834"/>
      <c r="U619" s="1835"/>
      <c r="V619" s="1840">
        <f t="shared" si="142"/>
        <v>105.85</v>
      </c>
      <c r="W619" s="1841"/>
      <c r="X619" s="1842"/>
      <c r="Y619" s="1840">
        <f t="shared" si="143"/>
        <v>75.790000000000006</v>
      </c>
      <c r="Z619" s="1841"/>
      <c r="AA619" s="1842"/>
      <c r="AB619" s="1840">
        <f t="shared" si="144"/>
        <v>113.46</v>
      </c>
      <c r="AC619" s="1841"/>
      <c r="AD619" s="1842"/>
      <c r="AE619" s="1875">
        <f t="shared" si="145"/>
        <v>110.63</v>
      </c>
      <c r="AF619" s="1876"/>
      <c r="AG619" s="1877"/>
      <c r="AH619" s="1875">
        <f t="shared" si="146"/>
        <v>88.85</v>
      </c>
      <c r="AI619" s="1876"/>
      <c r="AJ619" s="1877"/>
    </row>
    <row r="620" spans="1:38" x14ac:dyDescent="0.3">
      <c r="A620" s="1938" t="s">
        <v>47</v>
      </c>
      <c r="B620" s="1938"/>
      <c r="C620" s="1938"/>
      <c r="D620" s="1938"/>
      <c r="E620" s="1938"/>
      <c r="F620" s="1938"/>
      <c r="G620" s="1833">
        <f t="shared" si="137"/>
        <v>0.01</v>
      </c>
      <c r="H620" s="1834"/>
      <c r="I620" s="1835"/>
      <c r="J620" s="1833">
        <f t="shared" si="138"/>
        <v>7.0000000000000001E-3</v>
      </c>
      <c r="K620" s="1834"/>
      <c r="L620" s="1835"/>
      <c r="M620" s="1833">
        <f t="shared" si="139"/>
        <v>1.0999999999999999E-2</v>
      </c>
      <c r="N620" s="1834"/>
      <c r="O620" s="1835"/>
      <c r="P620" s="1833">
        <f t="shared" si="140"/>
        <v>1.0999999999999999E-2</v>
      </c>
      <c r="Q620" s="1834"/>
      <c r="R620" s="1835"/>
      <c r="S620" s="1833">
        <f t="shared" si="141"/>
        <v>8.9999999999999993E-3</v>
      </c>
      <c r="T620" s="1834"/>
      <c r="U620" s="1835"/>
      <c r="V620" s="1840">
        <f t="shared" si="142"/>
        <v>98.03</v>
      </c>
      <c r="W620" s="1841"/>
      <c r="X620" s="1842"/>
      <c r="Y620" s="1840">
        <f t="shared" si="143"/>
        <v>70.19</v>
      </c>
      <c r="Z620" s="1841"/>
      <c r="AA620" s="1842"/>
      <c r="AB620" s="1840">
        <f t="shared" si="144"/>
        <v>105.09</v>
      </c>
      <c r="AC620" s="1841"/>
      <c r="AD620" s="1842"/>
      <c r="AE620" s="1875">
        <f t="shared" si="145"/>
        <v>102.46</v>
      </c>
      <c r="AF620" s="1876"/>
      <c r="AG620" s="1877"/>
      <c r="AH620" s="1875">
        <f t="shared" si="146"/>
        <v>82.29</v>
      </c>
      <c r="AI620" s="1876"/>
      <c r="AJ620" s="1877"/>
    </row>
    <row r="621" spans="1:38" x14ac:dyDescent="0.3">
      <c r="A621" s="1938" t="s">
        <v>217</v>
      </c>
      <c r="B621" s="1938"/>
      <c r="C621" s="1938"/>
      <c r="D621" s="1938"/>
      <c r="E621" s="1938"/>
      <c r="F621" s="1938"/>
      <c r="G621" s="1833">
        <f t="shared" si="137"/>
        <v>2.8000000000000001E-2</v>
      </c>
      <c r="H621" s="1834"/>
      <c r="I621" s="1835"/>
      <c r="J621" s="1833">
        <f t="shared" si="138"/>
        <v>0.02</v>
      </c>
      <c r="K621" s="1834"/>
      <c r="L621" s="1835"/>
      <c r="M621" s="1833">
        <f t="shared" si="139"/>
        <v>0.03</v>
      </c>
      <c r="N621" s="1834"/>
      <c r="O621" s="1835"/>
      <c r="P621" s="1833">
        <f t="shared" si="140"/>
        <v>2.9000000000000001E-2</v>
      </c>
      <c r="Q621" s="1834"/>
      <c r="R621" s="1835"/>
      <c r="S621" s="1833">
        <f t="shared" si="141"/>
        <v>2.3E-2</v>
      </c>
      <c r="T621" s="1834"/>
      <c r="U621" s="1835"/>
      <c r="V621" s="1840">
        <f t="shared" si="142"/>
        <v>208.67</v>
      </c>
      <c r="W621" s="1841"/>
      <c r="X621" s="1842"/>
      <c r="Y621" s="1840">
        <f t="shared" si="143"/>
        <v>149.4</v>
      </c>
      <c r="Z621" s="1841"/>
      <c r="AA621" s="1842"/>
      <c r="AB621" s="1840">
        <f t="shared" si="144"/>
        <v>223.68</v>
      </c>
      <c r="AC621" s="1841"/>
      <c r="AD621" s="1842"/>
      <c r="AE621" s="1875">
        <f t="shared" si="145"/>
        <v>218.09</v>
      </c>
      <c r="AF621" s="1876"/>
      <c r="AG621" s="1877"/>
      <c r="AH621" s="1875">
        <f t="shared" si="146"/>
        <v>175.16</v>
      </c>
      <c r="AI621" s="1876"/>
      <c r="AJ621" s="1877"/>
    </row>
    <row r="622" spans="1:38" x14ac:dyDescent="0.3">
      <c r="A622" s="1938" t="s">
        <v>218</v>
      </c>
      <c r="B622" s="1938"/>
      <c r="C622" s="1938"/>
      <c r="D622" s="1938"/>
      <c r="E622" s="1938"/>
      <c r="F622" s="1938"/>
      <c r="G622" s="1833">
        <f t="shared" si="137"/>
        <v>0.02</v>
      </c>
      <c r="H622" s="1834"/>
      <c r="I622" s="1835"/>
      <c r="J622" s="1833">
        <f t="shared" si="138"/>
        <v>1.4E-2</v>
      </c>
      <c r="K622" s="1834"/>
      <c r="L622" s="1835"/>
      <c r="M622" s="1833">
        <f t="shared" si="139"/>
        <v>2.1000000000000001E-2</v>
      </c>
      <c r="N622" s="1834"/>
      <c r="O622" s="1835"/>
      <c r="P622" s="1833">
        <f t="shared" si="140"/>
        <v>0.02</v>
      </c>
      <c r="Q622" s="1834"/>
      <c r="R622" s="1835"/>
      <c r="S622" s="1833">
        <f t="shared" si="141"/>
        <v>1.6E-2</v>
      </c>
      <c r="T622" s="1834"/>
      <c r="U622" s="1835"/>
      <c r="V622" s="1840">
        <f t="shared" si="142"/>
        <v>118.69</v>
      </c>
      <c r="W622" s="1841"/>
      <c r="X622" s="1842"/>
      <c r="Y622" s="1840">
        <f t="shared" si="143"/>
        <v>84.98</v>
      </c>
      <c r="Z622" s="1841"/>
      <c r="AA622" s="1842"/>
      <c r="AB622" s="1840">
        <f t="shared" si="144"/>
        <v>127.23</v>
      </c>
      <c r="AC622" s="1841"/>
      <c r="AD622" s="1842"/>
      <c r="AE622" s="1875">
        <f t="shared" si="145"/>
        <v>124.05</v>
      </c>
      <c r="AF622" s="1876"/>
      <c r="AG622" s="1877"/>
      <c r="AH622" s="1875">
        <f t="shared" si="146"/>
        <v>99.63</v>
      </c>
      <c r="AI622" s="1876"/>
      <c r="AJ622" s="1877"/>
    </row>
    <row r="623" spans="1:38" x14ac:dyDescent="0.3">
      <c r="A623" s="1938" t="s">
        <v>219</v>
      </c>
      <c r="B623" s="1938"/>
      <c r="C623" s="1938"/>
      <c r="D623" s="1938"/>
      <c r="E623" s="1938"/>
      <c r="F623" s="1938"/>
      <c r="G623" s="1833">
        <f t="shared" si="137"/>
        <v>4.0000000000000001E-3</v>
      </c>
      <c r="H623" s="1834"/>
      <c r="I623" s="1835"/>
      <c r="J623" s="1833">
        <f t="shared" si="138"/>
        <v>3.0000000000000001E-3</v>
      </c>
      <c r="K623" s="1834"/>
      <c r="L623" s="1835"/>
      <c r="M623" s="1833">
        <f t="shared" si="139"/>
        <v>4.0000000000000001E-3</v>
      </c>
      <c r="N623" s="1834"/>
      <c r="O623" s="1835"/>
      <c r="P623" s="1833">
        <f t="shared" si="140"/>
        <v>4.0000000000000001E-3</v>
      </c>
      <c r="Q623" s="1834"/>
      <c r="R623" s="1835"/>
      <c r="S623" s="1833">
        <f t="shared" si="141"/>
        <v>3.0000000000000001E-3</v>
      </c>
      <c r="T623" s="1834"/>
      <c r="U623" s="1835"/>
      <c r="V623" s="1840">
        <f t="shared" si="142"/>
        <v>75.209999999999994</v>
      </c>
      <c r="W623" s="1841"/>
      <c r="X623" s="1842"/>
      <c r="Y623" s="1840">
        <f t="shared" si="143"/>
        <v>53.85</v>
      </c>
      <c r="Z623" s="1841"/>
      <c r="AA623" s="1842"/>
      <c r="AB623" s="1840">
        <f t="shared" si="144"/>
        <v>80.62</v>
      </c>
      <c r="AC623" s="1841"/>
      <c r="AD623" s="1842"/>
      <c r="AE623" s="1875">
        <f t="shared" si="145"/>
        <v>78.599999999999994</v>
      </c>
      <c r="AF623" s="1876"/>
      <c r="AG623" s="1877"/>
      <c r="AH623" s="1875">
        <f t="shared" si="146"/>
        <v>63.13</v>
      </c>
      <c r="AI623" s="1876"/>
      <c r="AJ623" s="1877"/>
    </row>
    <row r="624" spans="1:38" x14ac:dyDescent="0.3">
      <c r="A624" s="147"/>
      <c r="B624" s="147"/>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row>
    <row r="625" spans="1:38" x14ac:dyDescent="0.3">
      <c r="A625" s="610" t="s">
        <v>4605</v>
      </c>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c r="AG625" s="139"/>
      <c r="AH625" s="139"/>
      <c r="AI625" s="53"/>
      <c r="AJ625" s="53"/>
      <c r="AK625" s="53"/>
      <c r="AL625" s="53"/>
    </row>
    <row r="626" spans="1:38" x14ac:dyDescent="0.3">
      <c r="A626" s="53"/>
      <c r="B626" s="53"/>
      <c r="C626" s="53"/>
      <c r="D626" s="53"/>
      <c r="E626" s="53"/>
      <c r="F626" s="53"/>
      <c r="G626" s="1870" t="s">
        <v>2777</v>
      </c>
      <c r="H626" s="1871"/>
      <c r="I626" s="1871"/>
      <c r="J626" s="1871"/>
      <c r="K626" s="1871"/>
      <c r="L626" s="1871"/>
      <c r="M626" s="1871"/>
      <c r="N626" s="1871"/>
      <c r="O626" s="1871"/>
      <c r="P626" s="1871"/>
      <c r="Q626" s="1871"/>
      <c r="R626" s="1871"/>
      <c r="S626" s="1871"/>
      <c r="T626" s="1871"/>
      <c r="U626" s="1871"/>
      <c r="V626" s="1872" t="s">
        <v>2779</v>
      </c>
      <c r="W626" s="1873"/>
      <c r="X626" s="1873"/>
      <c r="Y626" s="1873"/>
      <c r="Z626" s="1873"/>
      <c r="AA626" s="1873"/>
      <c r="AB626" s="1873"/>
      <c r="AC626" s="1873"/>
      <c r="AD626" s="1873"/>
      <c r="AE626" s="1873"/>
      <c r="AF626" s="1873"/>
      <c r="AG626" s="1873"/>
      <c r="AH626" s="1873"/>
      <c r="AI626" s="1873"/>
      <c r="AJ626" s="1874"/>
    </row>
    <row r="627" spans="1:38" ht="33.6" customHeight="1" x14ac:dyDescent="0.3">
      <c r="A627" s="1069" t="s">
        <v>46</v>
      </c>
      <c r="B627" s="1069"/>
      <c r="C627" s="1069"/>
      <c r="D627" s="1069"/>
      <c r="E627" s="1069"/>
      <c r="F627" s="1069"/>
      <c r="G627" s="1929" t="s">
        <v>255</v>
      </c>
      <c r="H627" s="1930"/>
      <c r="I627" s="1931"/>
      <c r="J627" s="1884" t="s">
        <v>259</v>
      </c>
      <c r="K627" s="1885"/>
      <c r="L627" s="1886"/>
      <c r="M627" s="1929" t="s">
        <v>260</v>
      </c>
      <c r="N627" s="1930"/>
      <c r="O627" s="1931"/>
      <c r="P627" s="1884" t="s">
        <v>263</v>
      </c>
      <c r="Q627" s="1885"/>
      <c r="R627" s="1886"/>
      <c r="S627" s="1926" t="s">
        <v>1789</v>
      </c>
      <c r="T627" s="1927"/>
      <c r="U627" s="1928"/>
      <c r="V627" s="1884" t="s">
        <v>255</v>
      </c>
      <c r="W627" s="1885"/>
      <c r="X627" s="1886"/>
      <c r="Y627" s="1929" t="s">
        <v>259</v>
      </c>
      <c r="Z627" s="1930"/>
      <c r="AA627" s="1931"/>
      <c r="AB627" s="1884" t="s">
        <v>260</v>
      </c>
      <c r="AC627" s="1885"/>
      <c r="AD627" s="1886"/>
      <c r="AE627" s="1929" t="s">
        <v>263</v>
      </c>
      <c r="AF627" s="1930"/>
      <c r="AG627" s="1931"/>
      <c r="AH627" s="1932" t="s">
        <v>1789</v>
      </c>
      <c r="AI627" s="1933"/>
      <c r="AJ627" s="1934"/>
    </row>
    <row r="628" spans="1:38" x14ac:dyDescent="0.3">
      <c r="A628" s="1938" t="s">
        <v>1796</v>
      </c>
      <c r="B628" s="1938"/>
      <c r="C628" s="1938"/>
      <c r="D628" s="1938"/>
      <c r="E628" s="1938"/>
      <c r="F628" s="1938"/>
      <c r="G628" s="1833">
        <f t="shared" ref="G628:G638" si="147">ROUND(($AG$100-$K$132)*$Q$73*VLOOKUP($A628,$N$123:$AG$133,9,TRUE)*VLOOKUP($A628,$N$146:$AG$156,5,TRUE)*$Q$78,3)</f>
        <v>2E-3</v>
      </c>
      <c r="H628" s="1834"/>
      <c r="I628" s="1835"/>
      <c r="J628" s="1833">
        <f t="shared" ref="J628:J638" si="148">ROUND(($AG$101-$K$133)*$Q$73*VLOOKUP($A628,$N$123:$AG$133,9,TRUE)*VLOOKUP($A628,$N$146:$AG$156,5,TRUE)*$Q$78,3)</f>
        <v>2E-3</v>
      </c>
      <c r="K628" s="1834"/>
      <c r="L628" s="1835"/>
      <c r="M628" s="1833">
        <f t="shared" ref="M628:M638" si="149">ROUND(($AG$102-$K$134)*$Q$73*VLOOKUP($A628,$N$123:$AG$133,9,TRUE)*VLOOKUP($A628,$N$146:$AG$156,5,TRUE)*$Q$78,3)</f>
        <v>3.0000000000000001E-3</v>
      </c>
      <c r="N628" s="1834"/>
      <c r="O628" s="1835"/>
      <c r="P628" s="1833">
        <f t="shared" ref="P628:P638" si="150">ROUND(($AG$103-$K$135)*$Q$73*VLOOKUP($A628,$N$123:$AG$133,9,TRUE)*VLOOKUP($A628,$N$146:$AG$156,5,TRUE)*$Q$78,3)</f>
        <v>4.0000000000000001E-3</v>
      </c>
      <c r="Q628" s="1834"/>
      <c r="R628" s="1835"/>
      <c r="S628" s="1833">
        <f t="shared" ref="S628:S638" si="151">ROUND(($AG$98-$K$130)*$Q$73*VLOOKUP($A628,$N$123:$AG$133,9,TRUE)*VLOOKUP($A628,$N$146:$AG$156,5,TRUE)*$Q$78,3)</f>
        <v>5.0000000000000001E-3</v>
      </c>
      <c r="T628" s="1834"/>
      <c r="U628" s="1835"/>
      <c r="V628" s="1840">
        <f t="shared" ref="V628:V638" si="152">ROUND(($AG$100-$K$132)*$Q$73*VLOOKUP($A628,$A$167:$Q$177,8,TRUE)*VLOOKUP($A628,$N$146:$AG$156,9,TRUE)*$Q$78,2)</f>
        <v>12.08</v>
      </c>
      <c r="W628" s="1841"/>
      <c r="X628" s="1842"/>
      <c r="Y628" s="1840">
        <f t="shared" ref="Y628:Y638" si="153">ROUND(($AG$101-$K$133)*$Q$73*VLOOKUP($A628,$A$167:$Q$177,8,TRUE)*VLOOKUP($A628,$N$146:$AG$156,9,TRUE)*$Q$78,2)</f>
        <v>10.52</v>
      </c>
      <c r="Z628" s="1841"/>
      <c r="AA628" s="1842"/>
      <c r="AB628" s="1840">
        <f t="shared" ref="AB628:AB638" si="154">ROUND(($AG$102-$K$134)*$Q$73*VLOOKUP($A628,$A$167:$Q$177,8,TRUE)*VLOOKUP($A628,$N$146:$AG$156,9,TRUE)*$Q$78,2)</f>
        <v>16.61</v>
      </c>
      <c r="AC628" s="1841"/>
      <c r="AD628" s="1842"/>
      <c r="AE628" s="1875">
        <f t="shared" ref="AE628:AE638" si="155">ROUND(($AG$103-$K$135)*$Q$73*VLOOKUP($A628,$A$167:$Q$177,8,TRUE)*VLOOKUP($A628,$N$146:$AG$156,9,TRUE)*$Q$78,2)</f>
        <v>22.28</v>
      </c>
      <c r="AF628" s="1876"/>
      <c r="AG628" s="1877"/>
      <c r="AH628" s="1875">
        <f t="shared" ref="AH628:AH638" si="156">ROUND(($AG$98-$K$130)*$Q$73*VLOOKUP($A628,$A$167:$Q$177,8,TRUE)*VLOOKUP($A628,$N$146:$AG$156,9,TRUE)*$Q$78,2)</f>
        <v>28.79</v>
      </c>
      <c r="AI628" s="1876"/>
      <c r="AJ628" s="1877"/>
    </row>
    <row r="629" spans="1:38" x14ac:dyDescent="0.3">
      <c r="A629" s="1938" t="s">
        <v>211</v>
      </c>
      <c r="B629" s="1938"/>
      <c r="C629" s="1938"/>
      <c r="D629" s="1938"/>
      <c r="E629" s="1938"/>
      <c r="F629" s="1938"/>
      <c r="G629" s="1833">
        <f t="shared" si="147"/>
        <v>1E-3</v>
      </c>
      <c r="H629" s="1834"/>
      <c r="I629" s="1835"/>
      <c r="J629" s="1833">
        <f t="shared" si="148"/>
        <v>1E-3</v>
      </c>
      <c r="K629" s="1834"/>
      <c r="L629" s="1835"/>
      <c r="M629" s="1833">
        <f t="shared" si="149"/>
        <v>2E-3</v>
      </c>
      <c r="N629" s="1834"/>
      <c r="O629" s="1835"/>
      <c r="P629" s="1833">
        <f t="shared" si="150"/>
        <v>3.0000000000000001E-3</v>
      </c>
      <c r="Q629" s="1834"/>
      <c r="R629" s="1835"/>
      <c r="S629" s="1833">
        <f t="shared" si="151"/>
        <v>4.0000000000000001E-3</v>
      </c>
      <c r="T629" s="1834"/>
      <c r="U629" s="1835"/>
      <c r="V629" s="1840">
        <f t="shared" si="152"/>
        <v>42.91</v>
      </c>
      <c r="W629" s="1841"/>
      <c r="X629" s="1842"/>
      <c r="Y629" s="1840">
        <f t="shared" si="153"/>
        <v>37.369999999999997</v>
      </c>
      <c r="Z629" s="1841"/>
      <c r="AA629" s="1842"/>
      <c r="AB629" s="1840">
        <f t="shared" si="154"/>
        <v>59</v>
      </c>
      <c r="AC629" s="1841"/>
      <c r="AD629" s="1842"/>
      <c r="AE629" s="1875">
        <f t="shared" si="155"/>
        <v>79.13</v>
      </c>
      <c r="AF629" s="1876"/>
      <c r="AG629" s="1877"/>
      <c r="AH629" s="1875">
        <f t="shared" si="156"/>
        <v>102.25</v>
      </c>
      <c r="AI629" s="1876"/>
      <c r="AJ629" s="1877"/>
    </row>
    <row r="630" spans="1:38" x14ac:dyDescent="0.3">
      <c r="A630" s="1938" t="s">
        <v>212</v>
      </c>
      <c r="B630" s="1938"/>
      <c r="C630" s="1938"/>
      <c r="D630" s="1938"/>
      <c r="E630" s="1938"/>
      <c r="F630" s="1938"/>
      <c r="G630" s="1833">
        <f t="shared" si="147"/>
        <v>2E-3</v>
      </c>
      <c r="H630" s="1834"/>
      <c r="I630" s="1835"/>
      <c r="J630" s="1833">
        <f t="shared" si="148"/>
        <v>2E-3</v>
      </c>
      <c r="K630" s="1834"/>
      <c r="L630" s="1835"/>
      <c r="M630" s="1833">
        <f t="shared" si="149"/>
        <v>3.0000000000000001E-3</v>
      </c>
      <c r="N630" s="1834"/>
      <c r="O630" s="1835"/>
      <c r="P630" s="1833">
        <f t="shared" si="150"/>
        <v>4.0000000000000001E-3</v>
      </c>
      <c r="Q630" s="1834"/>
      <c r="R630" s="1835"/>
      <c r="S630" s="1833">
        <f t="shared" si="151"/>
        <v>5.0000000000000001E-3</v>
      </c>
      <c r="T630" s="1834"/>
      <c r="U630" s="1835"/>
      <c r="V630" s="1840">
        <f t="shared" si="152"/>
        <v>10.93</v>
      </c>
      <c r="W630" s="1841"/>
      <c r="X630" s="1842"/>
      <c r="Y630" s="1840">
        <f t="shared" si="153"/>
        <v>9.52</v>
      </c>
      <c r="Z630" s="1841"/>
      <c r="AA630" s="1842"/>
      <c r="AB630" s="1840">
        <f t="shared" si="154"/>
        <v>15.04</v>
      </c>
      <c r="AC630" s="1841"/>
      <c r="AD630" s="1842"/>
      <c r="AE630" s="1875">
        <f t="shared" si="155"/>
        <v>20.170000000000002</v>
      </c>
      <c r="AF630" s="1876"/>
      <c r="AG630" s="1877"/>
      <c r="AH630" s="1875">
        <f t="shared" si="156"/>
        <v>26.06</v>
      </c>
      <c r="AI630" s="1876"/>
      <c r="AJ630" s="1877"/>
    </row>
    <row r="631" spans="1:38" x14ac:dyDescent="0.3">
      <c r="A631" s="1938" t="s">
        <v>213</v>
      </c>
      <c r="B631" s="1938"/>
      <c r="C631" s="1938"/>
      <c r="D631" s="1938"/>
      <c r="E631" s="1938"/>
      <c r="F631" s="1938"/>
      <c r="G631" s="1833">
        <f t="shared" si="147"/>
        <v>5.0000000000000001E-3</v>
      </c>
      <c r="H631" s="1834"/>
      <c r="I631" s="1835"/>
      <c r="J631" s="1833">
        <f t="shared" si="148"/>
        <v>4.0000000000000001E-3</v>
      </c>
      <c r="K631" s="1834"/>
      <c r="L631" s="1835"/>
      <c r="M631" s="1833">
        <f t="shared" si="149"/>
        <v>6.0000000000000001E-3</v>
      </c>
      <c r="N631" s="1834"/>
      <c r="O631" s="1835"/>
      <c r="P631" s="1833">
        <f t="shared" si="150"/>
        <v>8.0000000000000002E-3</v>
      </c>
      <c r="Q631" s="1834"/>
      <c r="R631" s="1835"/>
      <c r="S631" s="1833">
        <f t="shared" si="151"/>
        <v>1.0999999999999999E-2</v>
      </c>
      <c r="T631" s="1834"/>
      <c r="U631" s="1835"/>
      <c r="V631" s="1840">
        <f t="shared" si="152"/>
        <v>32.619999999999997</v>
      </c>
      <c r="W631" s="1841"/>
      <c r="X631" s="1842"/>
      <c r="Y631" s="1840">
        <f t="shared" si="153"/>
        <v>28.41</v>
      </c>
      <c r="Z631" s="1841"/>
      <c r="AA631" s="1842"/>
      <c r="AB631" s="1840">
        <f t="shared" si="154"/>
        <v>44.85</v>
      </c>
      <c r="AC631" s="1841"/>
      <c r="AD631" s="1842"/>
      <c r="AE631" s="1875">
        <f t="shared" si="155"/>
        <v>60.16</v>
      </c>
      <c r="AF631" s="1876"/>
      <c r="AG631" s="1877"/>
      <c r="AH631" s="1875">
        <f t="shared" si="156"/>
        <v>77.73</v>
      </c>
      <c r="AI631" s="1876"/>
      <c r="AJ631" s="1877"/>
    </row>
    <row r="632" spans="1:38" x14ac:dyDescent="0.3">
      <c r="A632" s="1938" t="s">
        <v>214</v>
      </c>
      <c r="B632" s="1938"/>
      <c r="C632" s="1938"/>
      <c r="D632" s="1938"/>
      <c r="E632" s="1938"/>
      <c r="F632" s="1938"/>
      <c r="G632" s="1833">
        <f t="shared" si="147"/>
        <v>5.0000000000000001E-3</v>
      </c>
      <c r="H632" s="1834"/>
      <c r="I632" s="1835"/>
      <c r="J632" s="1833">
        <f t="shared" si="148"/>
        <v>4.0000000000000001E-3</v>
      </c>
      <c r="K632" s="1834"/>
      <c r="L632" s="1835"/>
      <c r="M632" s="1833">
        <f t="shared" si="149"/>
        <v>7.0000000000000001E-3</v>
      </c>
      <c r="N632" s="1834"/>
      <c r="O632" s="1835"/>
      <c r="P632" s="1833">
        <f t="shared" si="150"/>
        <v>8.9999999999999993E-3</v>
      </c>
      <c r="Q632" s="1834"/>
      <c r="R632" s="1835"/>
      <c r="S632" s="1833">
        <f t="shared" si="151"/>
        <v>1.0999999999999999E-2</v>
      </c>
      <c r="T632" s="1834"/>
      <c r="U632" s="1835"/>
      <c r="V632" s="1840">
        <f t="shared" si="152"/>
        <v>35.75</v>
      </c>
      <c r="W632" s="1841"/>
      <c r="X632" s="1842"/>
      <c r="Y632" s="1840">
        <f t="shared" si="153"/>
        <v>31.14</v>
      </c>
      <c r="Z632" s="1841"/>
      <c r="AA632" s="1842"/>
      <c r="AB632" s="1840">
        <f t="shared" si="154"/>
        <v>49.16</v>
      </c>
      <c r="AC632" s="1841"/>
      <c r="AD632" s="1842"/>
      <c r="AE632" s="1875">
        <f t="shared" si="155"/>
        <v>65.930000000000007</v>
      </c>
      <c r="AF632" s="1876"/>
      <c r="AG632" s="1877"/>
      <c r="AH632" s="1875">
        <f t="shared" si="156"/>
        <v>85.19</v>
      </c>
      <c r="AI632" s="1876"/>
      <c r="AJ632" s="1877"/>
    </row>
    <row r="633" spans="1:38" x14ac:dyDescent="0.3">
      <c r="A633" s="1938" t="s">
        <v>215</v>
      </c>
      <c r="B633" s="1938"/>
      <c r="C633" s="1938"/>
      <c r="D633" s="1938"/>
      <c r="E633" s="1938"/>
      <c r="F633" s="1938"/>
      <c r="G633" s="1833">
        <f t="shared" si="147"/>
        <v>2E-3</v>
      </c>
      <c r="H633" s="1834"/>
      <c r="I633" s="1835"/>
      <c r="J633" s="1833">
        <f t="shared" si="148"/>
        <v>2E-3</v>
      </c>
      <c r="K633" s="1834"/>
      <c r="L633" s="1835"/>
      <c r="M633" s="1833">
        <f t="shared" si="149"/>
        <v>3.0000000000000001E-3</v>
      </c>
      <c r="N633" s="1834"/>
      <c r="O633" s="1835"/>
      <c r="P633" s="1833">
        <f t="shared" si="150"/>
        <v>4.0000000000000001E-3</v>
      </c>
      <c r="Q633" s="1834"/>
      <c r="R633" s="1835"/>
      <c r="S633" s="1833">
        <f t="shared" si="151"/>
        <v>5.0000000000000001E-3</v>
      </c>
      <c r="T633" s="1834"/>
      <c r="U633" s="1835"/>
      <c r="V633" s="1840">
        <f t="shared" si="152"/>
        <v>10.35</v>
      </c>
      <c r="W633" s="1841"/>
      <c r="X633" s="1842"/>
      <c r="Y633" s="1840">
        <f t="shared" si="153"/>
        <v>9.01</v>
      </c>
      <c r="Z633" s="1841"/>
      <c r="AA633" s="1842"/>
      <c r="AB633" s="1840">
        <f t="shared" si="154"/>
        <v>14.23</v>
      </c>
      <c r="AC633" s="1841"/>
      <c r="AD633" s="1842"/>
      <c r="AE633" s="1875">
        <f t="shared" si="155"/>
        <v>19.079999999999998</v>
      </c>
      <c r="AF633" s="1876"/>
      <c r="AG633" s="1877"/>
      <c r="AH633" s="1875">
        <f t="shared" si="156"/>
        <v>24.66</v>
      </c>
      <c r="AI633" s="1876"/>
      <c r="AJ633" s="1877"/>
    </row>
    <row r="634" spans="1:38" x14ac:dyDescent="0.3">
      <c r="A634" s="1938" t="s">
        <v>216</v>
      </c>
      <c r="B634" s="1938"/>
      <c r="C634" s="1938"/>
      <c r="D634" s="1938"/>
      <c r="E634" s="1938"/>
      <c r="F634" s="1938"/>
      <c r="G634" s="1833">
        <f t="shared" si="147"/>
        <v>4.0000000000000001E-3</v>
      </c>
      <c r="H634" s="1834"/>
      <c r="I634" s="1835"/>
      <c r="J634" s="1833">
        <f t="shared" si="148"/>
        <v>3.0000000000000001E-3</v>
      </c>
      <c r="K634" s="1834"/>
      <c r="L634" s="1835"/>
      <c r="M634" s="1833">
        <f t="shared" si="149"/>
        <v>5.0000000000000001E-3</v>
      </c>
      <c r="N634" s="1834"/>
      <c r="O634" s="1835"/>
      <c r="P634" s="1833">
        <f t="shared" si="150"/>
        <v>7.0000000000000001E-3</v>
      </c>
      <c r="Q634" s="1834"/>
      <c r="R634" s="1835"/>
      <c r="S634" s="1833">
        <f t="shared" si="151"/>
        <v>8.9999999999999993E-3</v>
      </c>
      <c r="T634" s="1834"/>
      <c r="U634" s="1835"/>
      <c r="V634" s="1840">
        <f t="shared" si="152"/>
        <v>14.03</v>
      </c>
      <c r="W634" s="1841"/>
      <c r="X634" s="1842"/>
      <c r="Y634" s="1840">
        <f t="shared" si="153"/>
        <v>12.22</v>
      </c>
      <c r="Z634" s="1841"/>
      <c r="AA634" s="1842"/>
      <c r="AB634" s="1840">
        <f t="shared" si="154"/>
        <v>19.29</v>
      </c>
      <c r="AC634" s="1841"/>
      <c r="AD634" s="1842"/>
      <c r="AE634" s="1875">
        <f t="shared" si="155"/>
        <v>25.87</v>
      </c>
      <c r="AF634" s="1876"/>
      <c r="AG634" s="1877"/>
      <c r="AH634" s="1875">
        <f t="shared" si="156"/>
        <v>33.43</v>
      </c>
      <c r="AI634" s="1876"/>
      <c r="AJ634" s="1877"/>
    </row>
    <row r="635" spans="1:38" x14ac:dyDescent="0.3">
      <c r="A635" s="1938" t="s">
        <v>47</v>
      </c>
      <c r="B635" s="1938"/>
      <c r="C635" s="1938"/>
      <c r="D635" s="1938"/>
      <c r="E635" s="1938"/>
      <c r="F635" s="1938"/>
      <c r="G635" s="1833">
        <f t="shared" si="147"/>
        <v>1E-3</v>
      </c>
      <c r="H635" s="1834"/>
      <c r="I635" s="1835"/>
      <c r="J635" s="1833">
        <f t="shared" si="148"/>
        <v>1E-3</v>
      </c>
      <c r="K635" s="1834"/>
      <c r="L635" s="1835"/>
      <c r="M635" s="1833">
        <f t="shared" si="149"/>
        <v>2E-3</v>
      </c>
      <c r="N635" s="1834"/>
      <c r="O635" s="1835"/>
      <c r="P635" s="1833">
        <f t="shared" si="150"/>
        <v>3.0000000000000001E-3</v>
      </c>
      <c r="Q635" s="1834"/>
      <c r="R635" s="1835"/>
      <c r="S635" s="1833">
        <f t="shared" si="151"/>
        <v>3.0000000000000001E-3</v>
      </c>
      <c r="T635" s="1834"/>
      <c r="U635" s="1835"/>
      <c r="V635" s="1840">
        <f t="shared" si="152"/>
        <v>12.99</v>
      </c>
      <c r="W635" s="1841"/>
      <c r="X635" s="1842"/>
      <c r="Y635" s="1840">
        <f t="shared" si="153"/>
        <v>11.32</v>
      </c>
      <c r="Z635" s="1841"/>
      <c r="AA635" s="1842"/>
      <c r="AB635" s="1840">
        <f t="shared" si="154"/>
        <v>17.87</v>
      </c>
      <c r="AC635" s="1841"/>
      <c r="AD635" s="1842"/>
      <c r="AE635" s="1875">
        <f t="shared" si="155"/>
        <v>23.96</v>
      </c>
      <c r="AF635" s="1876"/>
      <c r="AG635" s="1877"/>
      <c r="AH635" s="1875">
        <f t="shared" si="156"/>
        <v>30.96</v>
      </c>
      <c r="AI635" s="1876"/>
      <c r="AJ635" s="1877"/>
    </row>
    <row r="636" spans="1:38" x14ac:dyDescent="0.3">
      <c r="A636" s="1938" t="s">
        <v>217</v>
      </c>
      <c r="B636" s="1938"/>
      <c r="C636" s="1938"/>
      <c r="D636" s="1938"/>
      <c r="E636" s="1938"/>
      <c r="F636" s="1938"/>
      <c r="G636" s="1833">
        <f t="shared" si="147"/>
        <v>4.0000000000000001E-3</v>
      </c>
      <c r="H636" s="1834"/>
      <c r="I636" s="1835"/>
      <c r="J636" s="1833">
        <f t="shared" si="148"/>
        <v>3.0000000000000001E-3</v>
      </c>
      <c r="K636" s="1834"/>
      <c r="L636" s="1835"/>
      <c r="M636" s="1833">
        <f t="shared" si="149"/>
        <v>5.0000000000000001E-3</v>
      </c>
      <c r="N636" s="1834"/>
      <c r="O636" s="1835"/>
      <c r="P636" s="1833">
        <f t="shared" si="150"/>
        <v>7.0000000000000001E-3</v>
      </c>
      <c r="Q636" s="1834"/>
      <c r="R636" s="1835"/>
      <c r="S636" s="1833">
        <f t="shared" si="151"/>
        <v>8.9999999999999993E-3</v>
      </c>
      <c r="T636" s="1834"/>
      <c r="U636" s="1835"/>
      <c r="V636" s="1840">
        <f t="shared" si="152"/>
        <v>27.66</v>
      </c>
      <c r="W636" s="1841"/>
      <c r="X636" s="1842"/>
      <c r="Y636" s="1840">
        <f t="shared" si="153"/>
        <v>24.09</v>
      </c>
      <c r="Z636" s="1841"/>
      <c r="AA636" s="1842"/>
      <c r="AB636" s="1840">
        <f t="shared" si="154"/>
        <v>38.03</v>
      </c>
      <c r="AC636" s="1841"/>
      <c r="AD636" s="1842"/>
      <c r="AE636" s="1875">
        <f t="shared" si="155"/>
        <v>51</v>
      </c>
      <c r="AF636" s="1876"/>
      <c r="AG636" s="1877"/>
      <c r="AH636" s="1875">
        <f t="shared" si="156"/>
        <v>65.91</v>
      </c>
      <c r="AI636" s="1876"/>
      <c r="AJ636" s="1877"/>
    </row>
    <row r="637" spans="1:38" x14ac:dyDescent="0.3">
      <c r="A637" s="1938" t="s">
        <v>218</v>
      </c>
      <c r="B637" s="1938"/>
      <c r="C637" s="1938"/>
      <c r="D637" s="1938"/>
      <c r="E637" s="1938"/>
      <c r="F637" s="1938"/>
      <c r="G637" s="1833">
        <f t="shared" si="147"/>
        <v>3.0000000000000001E-3</v>
      </c>
      <c r="H637" s="1834"/>
      <c r="I637" s="1835"/>
      <c r="J637" s="1833">
        <f t="shared" si="148"/>
        <v>2E-3</v>
      </c>
      <c r="K637" s="1834"/>
      <c r="L637" s="1835"/>
      <c r="M637" s="1833">
        <f t="shared" si="149"/>
        <v>4.0000000000000001E-3</v>
      </c>
      <c r="N637" s="1834"/>
      <c r="O637" s="1835"/>
      <c r="P637" s="1833">
        <f t="shared" si="150"/>
        <v>5.0000000000000001E-3</v>
      </c>
      <c r="Q637" s="1834"/>
      <c r="R637" s="1835"/>
      <c r="S637" s="1833">
        <f t="shared" si="151"/>
        <v>6.0000000000000001E-3</v>
      </c>
      <c r="T637" s="1834"/>
      <c r="U637" s="1835"/>
      <c r="V637" s="1840">
        <f t="shared" si="152"/>
        <v>15.73</v>
      </c>
      <c r="W637" s="1841"/>
      <c r="X637" s="1842"/>
      <c r="Y637" s="1840">
        <f t="shared" si="153"/>
        <v>13.7</v>
      </c>
      <c r="Z637" s="1841"/>
      <c r="AA637" s="1842"/>
      <c r="AB637" s="1840">
        <f t="shared" si="154"/>
        <v>21.63</v>
      </c>
      <c r="AC637" s="1841"/>
      <c r="AD637" s="1842"/>
      <c r="AE637" s="1875">
        <f t="shared" si="155"/>
        <v>29.01</v>
      </c>
      <c r="AF637" s="1876"/>
      <c r="AG637" s="1877"/>
      <c r="AH637" s="1875">
        <f t="shared" si="156"/>
        <v>37.49</v>
      </c>
      <c r="AI637" s="1876"/>
      <c r="AJ637" s="1877"/>
    </row>
    <row r="638" spans="1:38" x14ac:dyDescent="0.3">
      <c r="A638" s="1938" t="s">
        <v>219</v>
      </c>
      <c r="B638" s="1938"/>
      <c r="C638" s="1938"/>
      <c r="D638" s="1938"/>
      <c r="E638" s="1938"/>
      <c r="F638" s="1938"/>
      <c r="G638" s="1833">
        <f t="shared" si="147"/>
        <v>0</v>
      </c>
      <c r="H638" s="1834"/>
      <c r="I638" s="1835"/>
      <c r="J638" s="1833">
        <f t="shared" si="148"/>
        <v>0</v>
      </c>
      <c r="K638" s="1834"/>
      <c r="L638" s="1835"/>
      <c r="M638" s="1833">
        <f t="shared" si="149"/>
        <v>1E-3</v>
      </c>
      <c r="N638" s="1834"/>
      <c r="O638" s="1835"/>
      <c r="P638" s="1833">
        <f t="shared" si="150"/>
        <v>1E-3</v>
      </c>
      <c r="Q638" s="1834"/>
      <c r="R638" s="1835"/>
      <c r="S638" s="1833">
        <f t="shared" si="151"/>
        <v>1E-3</v>
      </c>
      <c r="T638" s="1834"/>
      <c r="U638" s="1835"/>
      <c r="V638" s="1840">
        <f t="shared" si="152"/>
        <v>9.9700000000000006</v>
      </c>
      <c r="W638" s="1841"/>
      <c r="X638" s="1842"/>
      <c r="Y638" s="1840">
        <f t="shared" si="153"/>
        <v>8.68</v>
      </c>
      <c r="Z638" s="1841"/>
      <c r="AA638" s="1842"/>
      <c r="AB638" s="1840">
        <f t="shared" si="154"/>
        <v>13.71</v>
      </c>
      <c r="AC638" s="1841"/>
      <c r="AD638" s="1842"/>
      <c r="AE638" s="1875">
        <f t="shared" si="155"/>
        <v>18.38</v>
      </c>
      <c r="AF638" s="1876"/>
      <c r="AG638" s="1877"/>
      <c r="AH638" s="1875">
        <f t="shared" si="156"/>
        <v>23.75</v>
      </c>
      <c r="AI638" s="1876"/>
      <c r="AJ638" s="1877"/>
    </row>
    <row r="639" spans="1:38" x14ac:dyDescent="0.3">
      <c r="A639" s="147"/>
      <c r="B639" s="147"/>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row>
    <row r="640" spans="1:38" x14ac:dyDescent="0.3">
      <c r="A640" s="245"/>
      <c r="B640" s="231" t="s">
        <v>1782</v>
      </c>
      <c r="C640" s="147"/>
      <c r="G640" s="136"/>
      <c r="K640" s="136"/>
      <c r="O640" s="136"/>
      <c r="S640" s="136"/>
      <c r="AA640" s="136"/>
      <c r="AG640" s="136"/>
      <c r="AK640" s="136"/>
    </row>
    <row r="641" spans="1:49" x14ac:dyDescent="0.3">
      <c r="A641" s="245"/>
      <c r="B641" s="147"/>
      <c r="C641" s="147"/>
      <c r="G641" s="136"/>
      <c r="K641" s="136"/>
      <c r="O641" s="136"/>
      <c r="S641" s="136"/>
      <c r="AA641" s="136"/>
      <c r="AG641" s="136"/>
      <c r="AK641" s="136"/>
    </row>
    <row r="642" spans="1:49" x14ac:dyDescent="0.3">
      <c r="A642" s="610" t="s">
        <v>4606</v>
      </c>
      <c r="B642" s="610"/>
      <c r="C642" s="610"/>
      <c r="D642" s="610"/>
      <c r="E642" s="610"/>
      <c r="F642" s="610"/>
      <c r="G642" s="611"/>
      <c r="H642" s="611"/>
      <c r="I642" s="611"/>
      <c r="J642" s="611"/>
      <c r="K642" s="611"/>
      <c r="L642" s="611"/>
      <c r="M642" s="611"/>
      <c r="N642" s="611"/>
      <c r="O642" s="611"/>
      <c r="P642" s="611"/>
      <c r="Q642" s="611"/>
      <c r="R642" s="611"/>
      <c r="S642" s="611"/>
      <c r="T642" s="611"/>
      <c r="U642" s="611"/>
      <c r="V642" s="611"/>
      <c r="W642" s="611"/>
      <c r="X642" s="611"/>
      <c r="Y642" s="611"/>
      <c r="Z642" s="611"/>
      <c r="AA642" s="611"/>
      <c r="AB642" s="611"/>
      <c r="AC642" s="611"/>
      <c r="AD642" s="611"/>
      <c r="AE642" s="611"/>
      <c r="AF642" s="611"/>
      <c r="AG642" s="611"/>
      <c r="AH642" s="611"/>
      <c r="AI642" s="64"/>
      <c r="AJ642" s="64"/>
      <c r="AK642" s="53"/>
      <c r="AL642" s="53"/>
    </row>
    <row r="643" spans="1:49" x14ac:dyDescent="0.3">
      <c r="A643" s="64"/>
      <c r="B643" s="64"/>
      <c r="C643" s="64"/>
      <c r="D643" s="64"/>
      <c r="E643" s="64"/>
      <c r="F643" s="64"/>
      <c r="G643" s="1935" t="s">
        <v>1745</v>
      </c>
      <c r="H643" s="1936"/>
      <c r="I643" s="1936"/>
      <c r="J643" s="1936"/>
      <c r="K643" s="1936"/>
      <c r="L643" s="1936"/>
      <c r="M643" s="1936"/>
      <c r="N643" s="1936"/>
      <c r="O643" s="1936"/>
      <c r="P643" s="1936"/>
      <c r="Q643" s="1936"/>
      <c r="R643" s="1936"/>
      <c r="S643" s="1936"/>
      <c r="T643" s="1936"/>
      <c r="U643" s="1936"/>
      <c r="V643" s="1936"/>
      <c r="W643" s="1936"/>
      <c r="X643" s="1936"/>
      <c r="Y643" s="1936"/>
      <c r="Z643" s="1936"/>
      <c r="AA643" s="1936"/>
      <c r="AB643" s="1936"/>
      <c r="AC643" s="1936"/>
      <c r="AD643" s="1936"/>
      <c r="AE643" s="1936"/>
      <c r="AF643" s="1936"/>
      <c r="AG643" s="1936"/>
      <c r="AH643" s="1936"/>
      <c r="AI643" s="1936"/>
      <c r="AJ643" s="1937"/>
    </row>
    <row r="644" spans="1:49" x14ac:dyDescent="0.3">
      <c r="A644" s="1843" t="s">
        <v>46</v>
      </c>
      <c r="B644" s="1844"/>
      <c r="C644" s="1844"/>
      <c r="D644" s="1844"/>
      <c r="E644" s="1844"/>
      <c r="F644" s="1845"/>
      <c r="G644" s="1908" t="s">
        <v>255</v>
      </c>
      <c r="H644" s="1909"/>
      <c r="I644" s="1909"/>
      <c r="J644" s="1909"/>
      <c r="K644" s="1909"/>
      <c r="L644" s="1910"/>
      <c r="M644" s="1911" t="s">
        <v>259</v>
      </c>
      <c r="N644" s="1912"/>
      <c r="O644" s="1912"/>
      <c r="P644" s="1912"/>
      <c r="Q644" s="1912"/>
      <c r="R644" s="1913"/>
      <c r="S644" s="1908" t="s">
        <v>260</v>
      </c>
      <c r="T644" s="1909"/>
      <c r="U644" s="1909"/>
      <c r="V644" s="1909"/>
      <c r="W644" s="1909"/>
      <c r="X644" s="1910"/>
      <c r="Y644" s="1911" t="s">
        <v>263</v>
      </c>
      <c r="Z644" s="1912"/>
      <c r="AA644" s="1912"/>
      <c r="AB644" s="1912"/>
      <c r="AC644" s="1912"/>
      <c r="AD644" s="1913"/>
      <c r="AE644" s="1908" t="s">
        <v>1789</v>
      </c>
      <c r="AF644" s="1909"/>
      <c r="AG644" s="1909"/>
      <c r="AH644" s="1909"/>
      <c r="AI644" s="1909"/>
      <c r="AJ644" s="1910"/>
    </row>
    <row r="645" spans="1:49" x14ac:dyDescent="0.3">
      <c r="A645" s="1846"/>
      <c r="B645" s="1847"/>
      <c r="C645" s="1847"/>
      <c r="D645" s="1847"/>
      <c r="E645" s="1847"/>
      <c r="F645" s="1848"/>
      <c r="G645" s="1838" t="s">
        <v>3422</v>
      </c>
      <c r="H645" s="1838"/>
      <c r="I645" s="1838"/>
      <c r="J645" s="1838" t="s">
        <v>3423</v>
      </c>
      <c r="K645" s="1838"/>
      <c r="L645" s="1838"/>
      <c r="M645" s="1839" t="s">
        <v>3422</v>
      </c>
      <c r="N645" s="1839"/>
      <c r="O645" s="1839"/>
      <c r="P645" s="1839" t="s">
        <v>3423</v>
      </c>
      <c r="Q645" s="1839"/>
      <c r="R645" s="1839"/>
      <c r="S645" s="1838" t="s">
        <v>3422</v>
      </c>
      <c r="T645" s="1838"/>
      <c r="U645" s="1838"/>
      <c r="V645" s="1838" t="s">
        <v>3423</v>
      </c>
      <c r="W645" s="1838"/>
      <c r="X645" s="1838"/>
      <c r="Y645" s="1839" t="s">
        <v>3422</v>
      </c>
      <c r="Z645" s="1839"/>
      <c r="AA645" s="1839"/>
      <c r="AB645" s="1839" t="s">
        <v>3423</v>
      </c>
      <c r="AC645" s="1839"/>
      <c r="AD645" s="1839"/>
      <c r="AE645" s="1838" t="s">
        <v>3422</v>
      </c>
      <c r="AF645" s="1838"/>
      <c r="AG645" s="1838"/>
      <c r="AH645" s="1838" t="s">
        <v>3423</v>
      </c>
      <c r="AI645" s="1838"/>
      <c r="AJ645" s="1838"/>
    </row>
    <row r="646" spans="1:49" x14ac:dyDescent="0.3">
      <c r="A646" s="1939" t="s">
        <v>1796</v>
      </c>
      <c r="B646" s="1940"/>
      <c r="C646" s="1940"/>
      <c r="D646" s="1940"/>
      <c r="E646" s="1940"/>
      <c r="F646" s="1941"/>
      <c r="G646" s="1836">
        <f t="shared" ref="G646:G656" si="157">ROUND(V613*VLOOKUP($A646,$A$183:$AF$193,25,TRUE)+V628*(VLOOKUP($A646,$A$199:$Q$209,8,TRUE)-VLOOKUP($A646,$A$183:$AF$193,25,TRUE)),2)</f>
        <v>254.8</v>
      </c>
      <c r="H646" s="1836"/>
      <c r="I646" s="1836"/>
      <c r="J646" s="1836">
        <f>ROUND(V613*VLOOKUP($A646,$A$183:$AF$193,27,TRUE)+V628*(VLOOKUP($A646,$A$199:$Q$209,8,TRUE)-VLOOKUP($A646,$A$183:$AF$193,27,TRUE)),2)</f>
        <v>254.8</v>
      </c>
      <c r="K646" s="1836"/>
      <c r="L646" s="1836"/>
      <c r="M646" s="1836">
        <f t="shared" ref="M646:M656" si="158">ROUND(Y613*VLOOKUP($A646,$A$183:$AF$193,25,TRUE)+Y628*(VLOOKUP($A646,$A$199:$Q$209,8,TRUE)-VLOOKUP($A646,$A$183:$AF$193,25,TRUE)),2)</f>
        <v>193.66</v>
      </c>
      <c r="N646" s="1836"/>
      <c r="O646" s="1836"/>
      <c r="P646" s="1836">
        <f>ROUND(Y613*VLOOKUP($A646,$A$183:$AF$193,27,TRUE)+Y628*(VLOOKUP($A646,$A$199:$Q$209,8,TRUE)-VLOOKUP($A646,$A$183:$AF$193,27,TRUE)),2)</f>
        <v>193.66</v>
      </c>
      <c r="Q646" s="1836"/>
      <c r="R646" s="1836"/>
      <c r="S646" s="1836">
        <f t="shared" ref="S646:S656" si="159">ROUND(AB613*VLOOKUP($A646,$A$183:$AF$193,25,TRUE)+AB628*(VLOOKUP($A646,$A$199:$Q$209,8,TRUE)-VLOOKUP($A646,$A$183:$AF$193,25,TRUE)),2)</f>
        <v>295.10000000000002</v>
      </c>
      <c r="T646" s="1836"/>
      <c r="U646" s="1836"/>
      <c r="V646" s="1836">
        <f>ROUND(AB613*VLOOKUP($A646,$A$183:$AF$193,27,TRUE)+AB628*(VLOOKUP($A646,$A$199:$Q$209,8,TRUE)-VLOOKUP($A646,$A$183:$AF$193,27,TRUE)),2)</f>
        <v>295.10000000000002</v>
      </c>
      <c r="W646" s="1836"/>
      <c r="X646" s="1836"/>
      <c r="Y646" s="1836">
        <f t="shared" ref="Y646:Y656" si="160">ROUND(AE613*VLOOKUP($A646,$A$183:$AF$193,25,TRUE)+AE628*(VLOOKUP($A646,$A$199:$Q$209,8,TRUE)-VLOOKUP($A646,$A$183:$AF$193,25,TRUE)),2)</f>
        <v>324.24</v>
      </c>
      <c r="Z646" s="1836"/>
      <c r="AA646" s="1836"/>
      <c r="AB646" s="1836">
        <f>ROUND(AE613*VLOOKUP($A646,$A$183:$AF$193,27,TRUE)+AE628*(VLOOKUP($A646,$A$199:$Q$209,8,TRUE)-VLOOKUP($A646,$A$183:$AF$193,27,TRUE)),2)</f>
        <v>324.24</v>
      </c>
      <c r="AC646" s="1836"/>
      <c r="AD646" s="1836"/>
      <c r="AE646" s="1836">
        <f t="shared" ref="AE646:AE656" si="161">ROUND(AH613*VLOOKUP($A646,$A$183:$AF$193,17,TRUE)+AH628*(VLOOKUP($A646,$A$199:$Q$209,8,TRUE)-VLOOKUP($A646,$A$183:$AF$193,17,TRUE)),2)</f>
        <v>325.77999999999997</v>
      </c>
      <c r="AF646" s="1836"/>
      <c r="AG646" s="1836"/>
      <c r="AH646" s="1836">
        <f>ROUND(AH613*VLOOKUP($A646,$A$183:$AF$193,19,TRUE)+AH628*(VLOOKUP($A646,$A$199:$Q$209,8,TRUE)-VLOOKUP($A646,$A$183:$AF$193,19,TRUE)),2)</f>
        <v>278.05</v>
      </c>
      <c r="AI646" s="1836"/>
      <c r="AJ646" s="1836"/>
      <c r="AR646" s="249"/>
      <c r="AS646" s="249"/>
      <c r="AT646" s="249"/>
      <c r="AU646" s="249"/>
      <c r="AV646" s="249"/>
      <c r="AW646" s="249"/>
    </row>
    <row r="647" spans="1:49" x14ac:dyDescent="0.3">
      <c r="A647" s="1939" t="s">
        <v>211</v>
      </c>
      <c r="B647" s="1940"/>
      <c r="C647" s="1940"/>
      <c r="D647" s="1940"/>
      <c r="E647" s="1940"/>
      <c r="F647" s="1941"/>
      <c r="G647" s="1836">
        <f t="shared" si="157"/>
        <v>690.37</v>
      </c>
      <c r="H647" s="1836"/>
      <c r="I647" s="1836"/>
      <c r="J647" s="1836">
        <f t="shared" ref="J647:J656" si="162">ROUND(V614*VLOOKUP($A647,$A$183:$AF$193,27,TRUE)+V629*(VLOOKUP($A647,$A$199:$Q$209,8,TRUE)-VLOOKUP($A647,$A$183:$AF$193,27,TRUE)),2)</f>
        <v>409.55</v>
      </c>
      <c r="K647" s="1836"/>
      <c r="L647" s="1836"/>
      <c r="M647" s="1836">
        <f t="shared" si="158"/>
        <v>500.95</v>
      </c>
      <c r="N647" s="1836"/>
      <c r="O647" s="1836"/>
      <c r="P647" s="1836">
        <f t="shared" ref="P647:P656" si="163">ROUND(Y614*VLOOKUP($A647,$A$183:$AF$193,27,TRUE)+Y629*(VLOOKUP($A647,$A$199:$Q$209,8,TRUE)-VLOOKUP($A647,$A$183:$AF$193,27,TRUE)),2)</f>
        <v>306.52999999999997</v>
      </c>
      <c r="Q647" s="1836"/>
      <c r="R647" s="1836"/>
      <c r="S647" s="1836">
        <f t="shared" si="159"/>
        <v>753.04</v>
      </c>
      <c r="T647" s="1836"/>
      <c r="U647" s="1836"/>
      <c r="V647" s="1836">
        <f t="shared" ref="V647:V656" si="164">ROUND(AB614*VLOOKUP($A647,$A$183:$AF$193,27,TRUE)+AB629*(VLOOKUP($A647,$A$199:$Q$209,8,TRUE)-VLOOKUP($A647,$A$183:$AF$193,27,TRUE)),2)</f>
        <v>465.02</v>
      </c>
      <c r="W647" s="1836"/>
      <c r="X647" s="1836"/>
      <c r="Y647" s="1836">
        <f t="shared" si="160"/>
        <v>755.83</v>
      </c>
      <c r="Z647" s="1836"/>
      <c r="AA647" s="1836"/>
      <c r="AB647" s="1836">
        <f t="shared" ref="AB647:AB656" si="165">ROUND(AE614*VLOOKUP($A647,$A$183:$AF$193,27,TRUE)+AE629*(VLOOKUP($A647,$A$199:$Q$209,8,TRUE)-VLOOKUP($A647,$A$183:$AF$193,27,TRUE)),2)</f>
        <v>496.61</v>
      </c>
      <c r="AC647" s="1836"/>
      <c r="AD647" s="1836"/>
      <c r="AE647" s="1836">
        <f t="shared" si="161"/>
        <v>645.75</v>
      </c>
      <c r="AF647" s="1836"/>
      <c r="AG647" s="1836"/>
      <c r="AH647" s="1836">
        <f t="shared" ref="AH647:AH656" si="166">ROUND(AH614*VLOOKUP($A647,$A$183:$AF$193,19,TRUE)+AH629*(VLOOKUP($A647,$A$199:$Q$209,8,TRUE)-VLOOKUP($A647,$A$183:$AF$193,19,TRUE)),2)</f>
        <v>476.25</v>
      </c>
      <c r="AI647" s="1836"/>
      <c r="AJ647" s="1836"/>
      <c r="AR647" s="249"/>
      <c r="AS647" s="249"/>
      <c r="AT647" s="249"/>
      <c r="AU647" s="249"/>
      <c r="AV647" s="249"/>
      <c r="AW647" s="249"/>
    </row>
    <row r="648" spans="1:49" x14ac:dyDescent="0.3">
      <c r="A648" s="1939" t="s">
        <v>212</v>
      </c>
      <c r="B648" s="1940"/>
      <c r="C648" s="1940"/>
      <c r="D648" s="1940"/>
      <c r="E648" s="1940"/>
      <c r="F648" s="1941"/>
      <c r="G648" s="1836">
        <f t="shared" si="157"/>
        <v>324.01</v>
      </c>
      <c r="H648" s="1836"/>
      <c r="I648" s="1836"/>
      <c r="J648" s="1836">
        <f t="shared" si="162"/>
        <v>324.01</v>
      </c>
      <c r="K648" s="1836"/>
      <c r="L648" s="1836"/>
      <c r="M648" s="1836">
        <f t="shared" si="158"/>
        <v>243.85</v>
      </c>
      <c r="N648" s="1836"/>
      <c r="O648" s="1836"/>
      <c r="P648" s="1836">
        <f t="shared" si="163"/>
        <v>243.85</v>
      </c>
      <c r="Q648" s="1836"/>
      <c r="R648" s="1836"/>
      <c r="S648" s="1836">
        <f t="shared" si="159"/>
        <v>370.6</v>
      </c>
      <c r="T648" s="1836"/>
      <c r="U648" s="1836"/>
      <c r="V648" s="1836">
        <f t="shared" si="164"/>
        <v>370.6</v>
      </c>
      <c r="W648" s="1836"/>
      <c r="X648" s="1836"/>
      <c r="Y648" s="1836">
        <f t="shared" si="160"/>
        <v>399.88</v>
      </c>
      <c r="Z648" s="1836"/>
      <c r="AA648" s="1836"/>
      <c r="AB648" s="1836">
        <f t="shared" si="165"/>
        <v>399.88</v>
      </c>
      <c r="AC648" s="1836"/>
      <c r="AD648" s="1836"/>
      <c r="AE648" s="1836">
        <f t="shared" si="161"/>
        <v>346.98</v>
      </c>
      <c r="AF648" s="1836"/>
      <c r="AG648" s="1836"/>
      <c r="AH648" s="1836">
        <f t="shared" si="166"/>
        <v>346.98</v>
      </c>
      <c r="AI648" s="1836"/>
      <c r="AJ648" s="1836"/>
      <c r="AR648" s="249"/>
      <c r="AS648" s="249"/>
      <c r="AT648" s="249"/>
      <c r="AU648" s="249"/>
      <c r="AV648" s="249"/>
      <c r="AW648" s="249"/>
    </row>
    <row r="649" spans="1:49" x14ac:dyDescent="0.3">
      <c r="A649" s="1939" t="s">
        <v>213</v>
      </c>
      <c r="B649" s="1940"/>
      <c r="C649" s="1940"/>
      <c r="D649" s="1940"/>
      <c r="E649" s="1940"/>
      <c r="F649" s="1941"/>
      <c r="G649" s="1836">
        <f t="shared" si="157"/>
        <v>524.86</v>
      </c>
      <c r="H649" s="1836"/>
      <c r="I649" s="1836"/>
      <c r="J649" s="1836">
        <f t="shared" si="162"/>
        <v>311.36</v>
      </c>
      <c r="K649" s="1836"/>
      <c r="L649" s="1836"/>
      <c r="M649" s="1836">
        <f t="shared" si="158"/>
        <v>380.85</v>
      </c>
      <c r="N649" s="1836"/>
      <c r="O649" s="1836"/>
      <c r="P649" s="1836">
        <f t="shared" si="163"/>
        <v>233.04</v>
      </c>
      <c r="Q649" s="1836"/>
      <c r="R649" s="1836"/>
      <c r="S649" s="1836">
        <f t="shared" si="159"/>
        <v>572.49</v>
      </c>
      <c r="T649" s="1836"/>
      <c r="U649" s="1836"/>
      <c r="V649" s="1836">
        <f t="shared" si="164"/>
        <v>353.52</v>
      </c>
      <c r="W649" s="1836"/>
      <c r="X649" s="1836"/>
      <c r="Y649" s="1836">
        <f t="shared" si="160"/>
        <v>574.62</v>
      </c>
      <c r="Z649" s="1836"/>
      <c r="AA649" s="1836"/>
      <c r="AB649" s="1836">
        <f t="shared" si="165"/>
        <v>377.55</v>
      </c>
      <c r="AC649" s="1836"/>
      <c r="AD649" s="1836"/>
      <c r="AE649" s="1836">
        <f t="shared" si="161"/>
        <v>490.93</v>
      </c>
      <c r="AF649" s="1836"/>
      <c r="AG649" s="1836"/>
      <c r="AH649" s="1836">
        <f t="shared" si="166"/>
        <v>362.06</v>
      </c>
      <c r="AI649" s="1836"/>
      <c r="AJ649" s="1836"/>
      <c r="AR649" s="249"/>
      <c r="AS649" s="249"/>
      <c r="AT649" s="249"/>
      <c r="AU649" s="249"/>
      <c r="AV649" s="249"/>
      <c r="AW649" s="249"/>
    </row>
    <row r="650" spans="1:49" x14ac:dyDescent="0.3">
      <c r="A650" s="1939" t="s">
        <v>214</v>
      </c>
      <c r="B650" s="1940"/>
      <c r="C650" s="1940"/>
      <c r="D650" s="1940"/>
      <c r="E650" s="1940"/>
      <c r="F650" s="1941"/>
      <c r="G650" s="1836">
        <f t="shared" si="157"/>
        <v>575.19000000000005</v>
      </c>
      <c r="H650" s="1836"/>
      <c r="I650" s="1836"/>
      <c r="J650" s="1836">
        <f t="shared" si="162"/>
        <v>341.22</v>
      </c>
      <c r="K650" s="1836"/>
      <c r="L650" s="1836"/>
      <c r="M650" s="1836">
        <f t="shared" si="158"/>
        <v>417.38</v>
      </c>
      <c r="N650" s="1836"/>
      <c r="O650" s="1836"/>
      <c r="P650" s="1836">
        <f t="shared" si="163"/>
        <v>255.4</v>
      </c>
      <c r="Q650" s="1836"/>
      <c r="R650" s="1836"/>
      <c r="S650" s="1836">
        <f t="shared" si="159"/>
        <v>627.41999999999996</v>
      </c>
      <c r="T650" s="1836"/>
      <c r="U650" s="1836"/>
      <c r="V650" s="1836">
        <f t="shared" si="164"/>
        <v>387.45</v>
      </c>
      <c r="W650" s="1836"/>
      <c r="X650" s="1836"/>
      <c r="Y650" s="1836">
        <f t="shared" si="160"/>
        <v>629.73</v>
      </c>
      <c r="Z650" s="1836"/>
      <c r="AA650" s="1836"/>
      <c r="AB650" s="1836">
        <f t="shared" si="165"/>
        <v>413.76</v>
      </c>
      <c r="AC650" s="1836"/>
      <c r="AD650" s="1836"/>
      <c r="AE650" s="1836">
        <f t="shared" si="161"/>
        <v>538.03</v>
      </c>
      <c r="AF650" s="1836"/>
      <c r="AG650" s="1836"/>
      <c r="AH650" s="1836">
        <f t="shared" si="166"/>
        <v>396.8</v>
      </c>
      <c r="AI650" s="1836"/>
      <c r="AJ650" s="1836"/>
    </row>
    <row r="651" spans="1:49" x14ac:dyDescent="0.3">
      <c r="A651" s="1939" t="s">
        <v>215</v>
      </c>
      <c r="B651" s="1940"/>
      <c r="C651" s="1940"/>
      <c r="D651" s="1940"/>
      <c r="E651" s="1940"/>
      <c r="F651" s="1941"/>
      <c r="G651" s="1836">
        <f t="shared" si="157"/>
        <v>327.36</v>
      </c>
      <c r="H651" s="1836"/>
      <c r="I651" s="1836"/>
      <c r="J651" s="1836">
        <f t="shared" si="162"/>
        <v>327.36</v>
      </c>
      <c r="K651" s="1836"/>
      <c r="L651" s="1836"/>
      <c r="M651" s="1836">
        <f t="shared" si="158"/>
        <v>248.79</v>
      </c>
      <c r="N651" s="1836"/>
      <c r="O651" s="1836"/>
      <c r="P651" s="1836">
        <f t="shared" si="163"/>
        <v>248.79</v>
      </c>
      <c r="Q651" s="1836"/>
      <c r="R651" s="1836"/>
      <c r="S651" s="1836">
        <f t="shared" si="159"/>
        <v>379.14</v>
      </c>
      <c r="T651" s="1836"/>
      <c r="U651" s="1836"/>
      <c r="V651" s="1836">
        <f t="shared" si="164"/>
        <v>379.14</v>
      </c>
      <c r="W651" s="1836"/>
      <c r="X651" s="1836"/>
      <c r="Y651" s="1836">
        <f t="shared" si="160"/>
        <v>416.52</v>
      </c>
      <c r="Z651" s="1836"/>
      <c r="AA651" s="1836"/>
      <c r="AB651" s="1836">
        <f t="shared" si="165"/>
        <v>416.52</v>
      </c>
      <c r="AC651" s="1836"/>
      <c r="AD651" s="1836"/>
      <c r="AE651" s="1836">
        <f t="shared" si="161"/>
        <v>377.66</v>
      </c>
      <c r="AF651" s="1836"/>
      <c r="AG651" s="1836"/>
      <c r="AH651" s="1836">
        <f t="shared" si="166"/>
        <v>377.66</v>
      </c>
      <c r="AI651" s="1836"/>
      <c r="AJ651" s="1836"/>
    </row>
    <row r="652" spans="1:49" x14ac:dyDescent="0.3">
      <c r="A652" s="1939" t="s">
        <v>216</v>
      </c>
      <c r="B652" s="1940"/>
      <c r="C652" s="1940"/>
      <c r="D652" s="1940"/>
      <c r="E652" s="1940"/>
      <c r="F652" s="1941"/>
      <c r="G652" s="1836">
        <f t="shared" si="157"/>
        <v>281.85000000000002</v>
      </c>
      <c r="H652" s="1836"/>
      <c r="I652" s="1836"/>
      <c r="J652" s="1836">
        <f t="shared" si="162"/>
        <v>281.85000000000002</v>
      </c>
      <c r="K652" s="1836"/>
      <c r="L652" s="1836"/>
      <c r="M652" s="1836">
        <f t="shared" si="158"/>
        <v>212.68</v>
      </c>
      <c r="N652" s="1836"/>
      <c r="O652" s="1836"/>
      <c r="P652" s="1836">
        <f t="shared" si="163"/>
        <v>212.68</v>
      </c>
      <c r="Q652" s="1836"/>
      <c r="R652" s="1836"/>
      <c r="S652" s="1836">
        <f t="shared" si="159"/>
        <v>323.37</v>
      </c>
      <c r="T652" s="1836"/>
      <c r="U652" s="1836"/>
      <c r="V652" s="1836">
        <f t="shared" si="164"/>
        <v>323.37</v>
      </c>
      <c r="W652" s="1836"/>
      <c r="X652" s="1836"/>
      <c r="Y652" s="1836">
        <f t="shared" si="160"/>
        <v>350.61</v>
      </c>
      <c r="Z652" s="1836"/>
      <c r="AA652" s="1836"/>
      <c r="AB652" s="1836">
        <f t="shared" si="165"/>
        <v>350.61</v>
      </c>
      <c r="AC652" s="1836"/>
      <c r="AD652" s="1836"/>
      <c r="AE652" s="1836">
        <f t="shared" si="161"/>
        <v>344.85</v>
      </c>
      <c r="AF652" s="1836"/>
      <c r="AG652" s="1836"/>
      <c r="AH652" s="1836">
        <f t="shared" si="166"/>
        <v>289.43</v>
      </c>
      <c r="AI652" s="1836"/>
      <c r="AJ652" s="1836"/>
    </row>
    <row r="653" spans="1:49" x14ac:dyDescent="0.3">
      <c r="A653" s="1939" t="s">
        <v>47</v>
      </c>
      <c r="B653" s="1940"/>
      <c r="C653" s="1940"/>
      <c r="D653" s="1940"/>
      <c r="E653" s="1940"/>
      <c r="F653" s="1941"/>
      <c r="G653" s="1836">
        <f t="shared" si="157"/>
        <v>274</v>
      </c>
      <c r="H653" s="1836"/>
      <c r="I653" s="1836"/>
      <c r="J653" s="1836">
        <f t="shared" si="162"/>
        <v>274</v>
      </c>
      <c r="K653" s="1836"/>
      <c r="L653" s="1836"/>
      <c r="M653" s="1836">
        <f t="shared" si="158"/>
        <v>208.3</v>
      </c>
      <c r="N653" s="1836"/>
      <c r="O653" s="1836"/>
      <c r="P653" s="1836">
        <f t="shared" si="163"/>
        <v>208.3</v>
      </c>
      <c r="Q653" s="1836"/>
      <c r="R653" s="1836"/>
      <c r="S653" s="1836">
        <f t="shared" si="159"/>
        <v>317.39999999999998</v>
      </c>
      <c r="T653" s="1836"/>
      <c r="U653" s="1836"/>
      <c r="V653" s="1836">
        <f t="shared" si="164"/>
        <v>317.39999999999998</v>
      </c>
      <c r="W653" s="1836"/>
      <c r="X653" s="1836"/>
      <c r="Y653" s="1836">
        <f t="shared" si="160"/>
        <v>348.68</v>
      </c>
      <c r="Z653" s="1836"/>
      <c r="AA653" s="1836"/>
      <c r="AB653" s="1836">
        <f t="shared" si="165"/>
        <v>348.68</v>
      </c>
      <c r="AC653" s="1836"/>
      <c r="AD653" s="1836"/>
      <c r="AE653" s="1836">
        <f t="shared" si="161"/>
        <v>350.34</v>
      </c>
      <c r="AF653" s="1836"/>
      <c r="AG653" s="1836"/>
      <c r="AH653" s="1836">
        <f t="shared" si="166"/>
        <v>350.34</v>
      </c>
      <c r="AI653" s="1836"/>
      <c r="AJ653" s="1836"/>
    </row>
    <row r="654" spans="1:49" x14ac:dyDescent="0.3">
      <c r="A654" s="1939" t="s">
        <v>217</v>
      </c>
      <c r="B654" s="1940"/>
      <c r="C654" s="1940"/>
      <c r="D654" s="1940"/>
      <c r="E654" s="1940"/>
      <c r="F654" s="1941"/>
      <c r="G654" s="1836">
        <f t="shared" si="157"/>
        <v>472.66</v>
      </c>
      <c r="H654" s="1836"/>
      <c r="I654" s="1836"/>
      <c r="J654" s="1836">
        <f t="shared" si="162"/>
        <v>291.64999999999998</v>
      </c>
      <c r="K654" s="1836"/>
      <c r="L654" s="1836"/>
      <c r="M654" s="1836">
        <f t="shared" si="158"/>
        <v>346.98</v>
      </c>
      <c r="N654" s="1836"/>
      <c r="O654" s="1836"/>
      <c r="P654" s="1836">
        <f t="shared" si="163"/>
        <v>221.67</v>
      </c>
      <c r="Q654" s="1836"/>
      <c r="R654" s="1836"/>
      <c r="S654" s="1836">
        <f t="shared" si="159"/>
        <v>523.41999999999996</v>
      </c>
      <c r="T654" s="1836"/>
      <c r="U654" s="1836"/>
      <c r="V654" s="1836">
        <f t="shared" si="164"/>
        <v>337.77</v>
      </c>
      <c r="W654" s="1836"/>
      <c r="X654" s="1836"/>
      <c r="Y654" s="1836">
        <f t="shared" si="160"/>
        <v>538.17999999999995</v>
      </c>
      <c r="Z654" s="1836"/>
      <c r="AA654" s="1836"/>
      <c r="AB654" s="1836">
        <f t="shared" si="165"/>
        <v>371.09</v>
      </c>
      <c r="AC654" s="1836"/>
      <c r="AD654" s="1836"/>
      <c r="AE654" s="1836">
        <f t="shared" si="161"/>
        <v>482.14</v>
      </c>
      <c r="AF654" s="1836"/>
      <c r="AG654" s="1836"/>
      <c r="AH654" s="1836">
        <f t="shared" si="166"/>
        <v>372.89</v>
      </c>
      <c r="AI654" s="1836"/>
      <c r="AJ654" s="1836"/>
    </row>
    <row r="655" spans="1:49" x14ac:dyDescent="0.3">
      <c r="A655" s="1939" t="s">
        <v>218</v>
      </c>
      <c r="B655" s="1940"/>
      <c r="C655" s="1940"/>
      <c r="D655" s="1940"/>
      <c r="E655" s="1940"/>
      <c r="F655" s="1941"/>
      <c r="G655" s="1836">
        <f t="shared" si="157"/>
        <v>300.3</v>
      </c>
      <c r="H655" s="1836"/>
      <c r="I655" s="1836"/>
      <c r="J655" s="1836">
        <f t="shared" si="162"/>
        <v>300.3</v>
      </c>
      <c r="K655" s="1836"/>
      <c r="L655" s="1836"/>
      <c r="M655" s="1836">
        <f t="shared" si="158"/>
        <v>224.76</v>
      </c>
      <c r="N655" s="1836"/>
      <c r="O655" s="1836"/>
      <c r="P655" s="1836">
        <f t="shared" si="163"/>
        <v>224.76</v>
      </c>
      <c r="Q655" s="1836"/>
      <c r="R655" s="1836"/>
      <c r="S655" s="1836">
        <f t="shared" si="159"/>
        <v>340.98</v>
      </c>
      <c r="T655" s="1836"/>
      <c r="U655" s="1836"/>
      <c r="V655" s="1836">
        <f t="shared" si="164"/>
        <v>340.98</v>
      </c>
      <c r="W655" s="1836"/>
      <c r="X655" s="1836"/>
      <c r="Y655" s="1836">
        <f t="shared" si="160"/>
        <v>364.14</v>
      </c>
      <c r="Z655" s="1836"/>
      <c r="AA655" s="1836"/>
      <c r="AB655" s="1836">
        <f t="shared" si="165"/>
        <v>364.14</v>
      </c>
      <c r="AC655" s="1836"/>
      <c r="AD655" s="1836"/>
      <c r="AE655" s="1836">
        <f t="shared" si="161"/>
        <v>349.22</v>
      </c>
      <c r="AF655" s="1836"/>
      <c r="AG655" s="1836"/>
      <c r="AH655" s="1836">
        <f t="shared" si="166"/>
        <v>287.08</v>
      </c>
      <c r="AI655" s="1836"/>
      <c r="AJ655" s="1836"/>
    </row>
    <row r="656" spans="1:49" x14ac:dyDescent="0.3">
      <c r="A656" s="1939" t="s">
        <v>219</v>
      </c>
      <c r="B656" s="1940"/>
      <c r="C656" s="1940"/>
      <c r="D656" s="1940"/>
      <c r="E656" s="1940"/>
      <c r="F656" s="1941"/>
      <c r="G656" s="1836">
        <f t="shared" si="157"/>
        <v>220.21</v>
      </c>
      <c r="H656" s="1836"/>
      <c r="I656" s="1836"/>
      <c r="J656" s="1836">
        <f t="shared" si="162"/>
        <v>220.21</v>
      </c>
      <c r="K656" s="1836"/>
      <c r="L656" s="1836"/>
      <c r="M656" s="1836">
        <f t="shared" si="158"/>
        <v>168.46</v>
      </c>
      <c r="N656" s="1836"/>
      <c r="O656" s="1836"/>
      <c r="P656" s="1836">
        <f t="shared" si="163"/>
        <v>168.46</v>
      </c>
      <c r="Q656" s="1836"/>
      <c r="R656" s="1836"/>
      <c r="S656" s="1836">
        <f t="shared" si="159"/>
        <v>257.20999999999998</v>
      </c>
      <c r="T656" s="1836"/>
      <c r="U656" s="1836"/>
      <c r="V656" s="1836">
        <f t="shared" si="164"/>
        <v>257.20999999999998</v>
      </c>
      <c r="W656" s="1836"/>
      <c r="X656" s="1836"/>
      <c r="Y656" s="1836">
        <f t="shared" si="160"/>
        <v>285.86</v>
      </c>
      <c r="Z656" s="1836"/>
      <c r="AA656" s="1836"/>
      <c r="AB656" s="1836">
        <f t="shared" si="165"/>
        <v>285.86</v>
      </c>
      <c r="AC656" s="1836"/>
      <c r="AD656" s="1836"/>
      <c r="AE656" s="1836">
        <f t="shared" si="161"/>
        <v>292.51</v>
      </c>
      <c r="AF656" s="1836"/>
      <c r="AG656" s="1836"/>
      <c r="AH656" s="1836">
        <f t="shared" si="166"/>
        <v>292.51</v>
      </c>
      <c r="AI656" s="1836"/>
      <c r="AJ656" s="1836"/>
    </row>
    <row r="657" spans="1:38" x14ac:dyDescent="0.3">
      <c r="A657" s="612"/>
      <c r="B657" s="612"/>
      <c r="C657" s="613"/>
      <c r="D657" s="613"/>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613"/>
      <c r="AD657" s="613"/>
      <c r="AE657" s="613"/>
      <c r="AF657" s="613"/>
      <c r="AG657" s="613"/>
      <c r="AH657" s="613"/>
      <c r="AI657" s="613"/>
      <c r="AJ657" s="613"/>
      <c r="AK657" s="154"/>
      <c r="AL657" s="154"/>
    </row>
    <row r="658" spans="1:38" x14ac:dyDescent="0.3">
      <c r="A658" s="610" t="s">
        <v>4607</v>
      </c>
      <c r="B658" s="610"/>
      <c r="C658" s="610"/>
      <c r="D658" s="610"/>
      <c r="E658" s="610"/>
      <c r="F658" s="610"/>
      <c r="G658" s="610"/>
      <c r="H658" s="610"/>
      <c r="I658" s="610"/>
      <c r="J658" s="610"/>
      <c r="K658" s="610"/>
      <c r="L658" s="610"/>
      <c r="M658" s="610"/>
      <c r="N658" s="610"/>
      <c r="O658" s="610"/>
      <c r="P658" s="610"/>
      <c r="Q658" s="610"/>
      <c r="R658" s="610"/>
      <c r="S658" s="610"/>
      <c r="T658" s="610"/>
      <c r="U658" s="610"/>
      <c r="V658" s="610"/>
      <c r="W658" s="610"/>
      <c r="X658" s="610"/>
      <c r="Y658" s="610"/>
      <c r="Z658" s="610"/>
      <c r="AA658" s="610"/>
      <c r="AB658" s="610"/>
      <c r="AC658" s="610"/>
      <c r="AD658" s="610"/>
      <c r="AE658" s="610"/>
      <c r="AF658" s="610"/>
      <c r="AG658" s="610"/>
      <c r="AH658" s="610"/>
      <c r="AI658" s="64"/>
      <c r="AJ658" s="64"/>
      <c r="AK658" s="53"/>
      <c r="AL658" s="53"/>
    </row>
    <row r="659" spans="1:38" x14ac:dyDescent="0.3">
      <c r="A659" s="53"/>
      <c r="B659" s="53"/>
      <c r="C659" s="53"/>
      <c r="D659" s="53"/>
      <c r="E659" s="53"/>
      <c r="F659" s="53"/>
      <c r="G659" s="1905" t="s">
        <v>1745</v>
      </c>
      <c r="H659" s="1906"/>
      <c r="I659" s="1906"/>
      <c r="J659" s="1906"/>
      <c r="K659" s="1906"/>
      <c r="L659" s="1906"/>
      <c r="M659" s="1906"/>
      <c r="N659" s="1906"/>
      <c r="O659" s="1906"/>
      <c r="P659" s="1906"/>
      <c r="Q659" s="1906"/>
      <c r="R659" s="1906"/>
      <c r="S659" s="1906"/>
      <c r="T659" s="1906"/>
      <c r="U659" s="1906"/>
      <c r="V659" s="1906"/>
      <c r="W659" s="1906"/>
      <c r="X659" s="1906"/>
      <c r="Y659" s="1906"/>
      <c r="Z659" s="1906"/>
      <c r="AA659" s="1906"/>
      <c r="AB659" s="1906"/>
      <c r="AC659" s="1906"/>
      <c r="AD659" s="1906"/>
      <c r="AE659" s="1906"/>
      <c r="AF659" s="1906"/>
      <c r="AG659" s="1906"/>
      <c r="AH659" s="1906"/>
      <c r="AI659" s="1906"/>
      <c r="AJ659" s="1907"/>
    </row>
    <row r="660" spans="1:38" x14ac:dyDescent="0.3">
      <c r="A660" s="1069" t="s">
        <v>46</v>
      </c>
      <c r="B660" s="1069"/>
      <c r="C660" s="1069"/>
      <c r="D660" s="1069"/>
      <c r="E660" s="1069"/>
      <c r="F660" s="1069"/>
      <c r="G660" s="1878" t="s">
        <v>255</v>
      </c>
      <c r="H660" s="1879"/>
      <c r="I660" s="1879"/>
      <c r="J660" s="1879"/>
      <c r="K660" s="1879"/>
      <c r="L660" s="1880"/>
      <c r="M660" s="1881" t="s">
        <v>259</v>
      </c>
      <c r="N660" s="1882"/>
      <c r="O660" s="1882"/>
      <c r="P660" s="1882"/>
      <c r="Q660" s="1882"/>
      <c r="R660" s="1883"/>
      <c r="S660" s="1878" t="s">
        <v>260</v>
      </c>
      <c r="T660" s="1879"/>
      <c r="U660" s="1879"/>
      <c r="V660" s="1879"/>
      <c r="W660" s="1879"/>
      <c r="X660" s="1880"/>
      <c r="Y660" s="1881" t="s">
        <v>263</v>
      </c>
      <c r="Z660" s="1882"/>
      <c r="AA660" s="1882"/>
      <c r="AB660" s="1882"/>
      <c r="AC660" s="1882"/>
      <c r="AD660" s="1883"/>
      <c r="AE660" s="1878" t="s">
        <v>1789</v>
      </c>
      <c r="AF660" s="1879"/>
      <c r="AG660" s="1879"/>
      <c r="AH660" s="1879"/>
      <c r="AI660" s="1879"/>
      <c r="AJ660" s="1880"/>
    </row>
    <row r="661" spans="1:38" x14ac:dyDescent="0.3">
      <c r="A661" s="1938" t="s">
        <v>1796</v>
      </c>
      <c r="B661" s="1938"/>
      <c r="C661" s="1938"/>
      <c r="D661" s="1938"/>
      <c r="E661" s="1938"/>
      <c r="F661" s="1938"/>
      <c r="G661" s="1833">
        <f t="shared" ref="G661:G671" si="167">ROUND(V628*VLOOKUP($A661,$A$199:$Q$209,8,TRUE),2)</f>
        <v>96.64</v>
      </c>
      <c r="H661" s="1834"/>
      <c r="I661" s="1834"/>
      <c r="J661" s="1834"/>
      <c r="K661" s="1834"/>
      <c r="L661" s="1835"/>
      <c r="M661" s="1833">
        <f t="shared" ref="M661:M671" si="168">ROUND(Y628*VLOOKUP($A661,$A$199:$Q$209,8,TRUE),2)</f>
        <v>84.16</v>
      </c>
      <c r="N661" s="1834"/>
      <c r="O661" s="1834"/>
      <c r="P661" s="1834"/>
      <c r="Q661" s="1834"/>
      <c r="R661" s="1835"/>
      <c r="S661" s="1833">
        <f t="shared" ref="S661:S671" si="169">ROUND(AB628*VLOOKUP($A661,$A$199:$Q$209,8,TRUE),2)</f>
        <v>132.88</v>
      </c>
      <c r="T661" s="1834"/>
      <c r="U661" s="1834"/>
      <c r="V661" s="1834"/>
      <c r="W661" s="1834"/>
      <c r="X661" s="1835"/>
      <c r="Y661" s="1833">
        <f t="shared" ref="Y661:Y671" si="170">ROUND(AE628*VLOOKUP($A661,$A$199:$Q$209,8,TRUE),2)</f>
        <v>178.24</v>
      </c>
      <c r="Z661" s="1834"/>
      <c r="AA661" s="1834"/>
      <c r="AB661" s="1834"/>
      <c r="AC661" s="1834"/>
      <c r="AD661" s="1835"/>
      <c r="AE661" s="1043">
        <f t="shared" ref="AE661:AE671" si="171">ROUND(AH628*VLOOKUP($A661,$A$199:$Q$209,8,TRUE),2)</f>
        <v>230.32</v>
      </c>
      <c r="AF661" s="1044"/>
      <c r="AG661" s="1044"/>
      <c r="AH661" s="1044"/>
      <c r="AI661" s="1044"/>
      <c r="AJ661" s="1045"/>
    </row>
    <row r="662" spans="1:38" x14ac:dyDescent="0.3">
      <c r="A662" s="1938" t="s">
        <v>211</v>
      </c>
      <c r="B662" s="1938"/>
      <c r="C662" s="1938"/>
      <c r="D662" s="1938"/>
      <c r="E662" s="1938"/>
      <c r="F662" s="1938"/>
      <c r="G662" s="1833">
        <f t="shared" si="167"/>
        <v>128.72999999999999</v>
      </c>
      <c r="H662" s="1834"/>
      <c r="I662" s="1834"/>
      <c r="J662" s="1834"/>
      <c r="K662" s="1834"/>
      <c r="L662" s="1835"/>
      <c r="M662" s="1833">
        <f t="shared" si="168"/>
        <v>112.11</v>
      </c>
      <c r="N662" s="1834"/>
      <c r="O662" s="1834"/>
      <c r="P662" s="1834"/>
      <c r="Q662" s="1834"/>
      <c r="R662" s="1835"/>
      <c r="S662" s="1833">
        <f t="shared" si="169"/>
        <v>177</v>
      </c>
      <c r="T662" s="1834"/>
      <c r="U662" s="1834"/>
      <c r="V662" s="1834"/>
      <c r="W662" s="1834"/>
      <c r="X662" s="1835"/>
      <c r="Y662" s="1833">
        <f t="shared" si="170"/>
        <v>237.39</v>
      </c>
      <c r="Z662" s="1834"/>
      <c r="AA662" s="1834"/>
      <c r="AB662" s="1834"/>
      <c r="AC662" s="1834"/>
      <c r="AD662" s="1835"/>
      <c r="AE662" s="1043">
        <f t="shared" si="171"/>
        <v>306.75</v>
      </c>
      <c r="AF662" s="1044"/>
      <c r="AG662" s="1044"/>
      <c r="AH662" s="1044"/>
      <c r="AI662" s="1044"/>
      <c r="AJ662" s="1045"/>
    </row>
    <row r="663" spans="1:38" x14ac:dyDescent="0.3">
      <c r="A663" s="1938" t="s">
        <v>212</v>
      </c>
      <c r="B663" s="1938"/>
      <c r="C663" s="1938"/>
      <c r="D663" s="1938"/>
      <c r="E663" s="1938"/>
      <c r="F663" s="1938"/>
      <c r="G663" s="1833">
        <f t="shared" si="167"/>
        <v>109.3</v>
      </c>
      <c r="H663" s="1834"/>
      <c r="I663" s="1834"/>
      <c r="J663" s="1834"/>
      <c r="K663" s="1834"/>
      <c r="L663" s="1835"/>
      <c r="M663" s="1833">
        <f t="shared" si="168"/>
        <v>95.2</v>
      </c>
      <c r="N663" s="1834"/>
      <c r="O663" s="1834"/>
      <c r="P663" s="1834"/>
      <c r="Q663" s="1834"/>
      <c r="R663" s="1835"/>
      <c r="S663" s="1833">
        <f t="shared" si="169"/>
        <v>150.4</v>
      </c>
      <c r="T663" s="1834"/>
      <c r="U663" s="1834"/>
      <c r="V663" s="1834"/>
      <c r="W663" s="1834"/>
      <c r="X663" s="1835"/>
      <c r="Y663" s="1833">
        <f t="shared" si="170"/>
        <v>201.7</v>
      </c>
      <c r="Z663" s="1834"/>
      <c r="AA663" s="1834"/>
      <c r="AB663" s="1834"/>
      <c r="AC663" s="1834"/>
      <c r="AD663" s="1835"/>
      <c r="AE663" s="1043">
        <f t="shared" si="171"/>
        <v>260.60000000000002</v>
      </c>
      <c r="AF663" s="1044"/>
      <c r="AG663" s="1044"/>
      <c r="AH663" s="1044"/>
      <c r="AI663" s="1044"/>
      <c r="AJ663" s="1045"/>
    </row>
    <row r="664" spans="1:38" x14ac:dyDescent="0.3">
      <c r="A664" s="1938" t="s">
        <v>213</v>
      </c>
      <c r="B664" s="1938"/>
      <c r="C664" s="1938"/>
      <c r="D664" s="1938"/>
      <c r="E664" s="1938"/>
      <c r="F664" s="1938"/>
      <c r="G664" s="1833">
        <f t="shared" si="167"/>
        <v>97.86</v>
      </c>
      <c r="H664" s="1834"/>
      <c r="I664" s="1834"/>
      <c r="J664" s="1834"/>
      <c r="K664" s="1834"/>
      <c r="L664" s="1835"/>
      <c r="M664" s="1833">
        <f t="shared" si="168"/>
        <v>85.23</v>
      </c>
      <c r="N664" s="1834"/>
      <c r="O664" s="1834"/>
      <c r="P664" s="1834"/>
      <c r="Q664" s="1834"/>
      <c r="R664" s="1835"/>
      <c r="S664" s="1833">
        <f t="shared" si="169"/>
        <v>134.55000000000001</v>
      </c>
      <c r="T664" s="1834"/>
      <c r="U664" s="1834"/>
      <c r="V664" s="1834"/>
      <c r="W664" s="1834"/>
      <c r="X664" s="1835"/>
      <c r="Y664" s="1833">
        <f t="shared" si="170"/>
        <v>180.48</v>
      </c>
      <c r="Z664" s="1834"/>
      <c r="AA664" s="1834"/>
      <c r="AB664" s="1834"/>
      <c r="AC664" s="1834"/>
      <c r="AD664" s="1835"/>
      <c r="AE664" s="1043">
        <f t="shared" si="171"/>
        <v>233.19</v>
      </c>
      <c r="AF664" s="1044"/>
      <c r="AG664" s="1044"/>
      <c r="AH664" s="1044"/>
      <c r="AI664" s="1044"/>
      <c r="AJ664" s="1045"/>
    </row>
    <row r="665" spans="1:38" x14ac:dyDescent="0.3">
      <c r="A665" s="1938" t="s">
        <v>214</v>
      </c>
      <c r="B665" s="1938"/>
      <c r="C665" s="1938"/>
      <c r="D665" s="1938"/>
      <c r="E665" s="1938"/>
      <c r="F665" s="1938"/>
      <c r="G665" s="1833">
        <f t="shared" si="167"/>
        <v>107.25</v>
      </c>
      <c r="H665" s="1834"/>
      <c r="I665" s="1834"/>
      <c r="J665" s="1834"/>
      <c r="K665" s="1834"/>
      <c r="L665" s="1835"/>
      <c r="M665" s="1833">
        <f t="shared" si="168"/>
        <v>93.42</v>
      </c>
      <c r="N665" s="1834"/>
      <c r="O665" s="1834"/>
      <c r="P665" s="1834"/>
      <c r="Q665" s="1834"/>
      <c r="R665" s="1835"/>
      <c r="S665" s="1833">
        <f t="shared" si="169"/>
        <v>147.47999999999999</v>
      </c>
      <c r="T665" s="1834"/>
      <c r="U665" s="1834"/>
      <c r="V665" s="1834"/>
      <c r="W665" s="1834"/>
      <c r="X665" s="1835"/>
      <c r="Y665" s="1833">
        <f t="shared" si="170"/>
        <v>197.79</v>
      </c>
      <c r="Z665" s="1834"/>
      <c r="AA665" s="1834"/>
      <c r="AB665" s="1834"/>
      <c r="AC665" s="1834"/>
      <c r="AD665" s="1835"/>
      <c r="AE665" s="1043">
        <f t="shared" si="171"/>
        <v>255.57</v>
      </c>
      <c r="AF665" s="1044"/>
      <c r="AG665" s="1044"/>
      <c r="AH665" s="1044"/>
      <c r="AI665" s="1044"/>
      <c r="AJ665" s="1045"/>
    </row>
    <row r="666" spans="1:38" x14ac:dyDescent="0.3">
      <c r="A666" s="1938" t="s">
        <v>215</v>
      </c>
      <c r="B666" s="1938"/>
      <c r="C666" s="1938"/>
      <c r="D666" s="1938"/>
      <c r="E666" s="1938"/>
      <c r="F666" s="1938"/>
      <c r="G666" s="1833">
        <f t="shared" si="167"/>
        <v>124.2</v>
      </c>
      <c r="H666" s="1834"/>
      <c r="I666" s="1834"/>
      <c r="J666" s="1834"/>
      <c r="K666" s="1834"/>
      <c r="L666" s="1835"/>
      <c r="M666" s="1833">
        <f t="shared" si="168"/>
        <v>108.12</v>
      </c>
      <c r="N666" s="1834"/>
      <c r="O666" s="1834"/>
      <c r="P666" s="1834"/>
      <c r="Q666" s="1834"/>
      <c r="R666" s="1835"/>
      <c r="S666" s="1833">
        <f t="shared" si="169"/>
        <v>170.76</v>
      </c>
      <c r="T666" s="1834"/>
      <c r="U666" s="1834"/>
      <c r="V666" s="1834"/>
      <c r="W666" s="1834"/>
      <c r="X666" s="1835"/>
      <c r="Y666" s="1833">
        <f t="shared" si="170"/>
        <v>228.96</v>
      </c>
      <c r="Z666" s="1834"/>
      <c r="AA666" s="1834"/>
      <c r="AB666" s="1834"/>
      <c r="AC666" s="1834"/>
      <c r="AD666" s="1835"/>
      <c r="AE666" s="1043">
        <f t="shared" si="171"/>
        <v>295.92</v>
      </c>
      <c r="AF666" s="1044"/>
      <c r="AG666" s="1044"/>
      <c r="AH666" s="1044"/>
      <c r="AI666" s="1044"/>
      <c r="AJ666" s="1045"/>
    </row>
    <row r="667" spans="1:38" x14ac:dyDescent="0.3">
      <c r="A667" s="1938" t="s">
        <v>216</v>
      </c>
      <c r="B667" s="1938"/>
      <c r="C667" s="1938"/>
      <c r="D667" s="1938"/>
      <c r="E667" s="1938"/>
      <c r="F667" s="1938"/>
      <c r="G667" s="1833">
        <f t="shared" si="167"/>
        <v>98.21</v>
      </c>
      <c r="H667" s="1834"/>
      <c r="I667" s="1834"/>
      <c r="J667" s="1834"/>
      <c r="K667" s="1834"/>
      <c r="L667" s="1835"/>
      <c r="M667" s="1833">
        <f t="shared" si="168"/>
        <v>85.54</v>
      </c>
      <c r="N667" s="1834"/>
      <c r="O667" s="1834"/>
      <c r="P667" s="1834"/>
      <c r="Q667" s="1834"/>
      <c r="R667" s="1835"/>
      <c r="S667" s="1833">
        <f t="shared" si="169"/>
        <v>135.03</v>
      </c>
      <c r="T667" s="1834"/>
      <c r="U667" s="1834"/>
      <c r="V667" s="1834"/>
      <c r="W667" s="1834"/>
      <c r="X667" s="1835"/>
      <c r="Y667" s="1833">
        <f t="shared" si="170"/>
        <v>181.09</v>
      </c>
      <c r="Z667" s="1834"/>
      <c r="AA667" s="1834"/>
      <c r="AB667" s="1834"/>
      <c r="AC667" s="1834"/>
      <c r="AD667" s="1835"/>
      <c r="AE667" s="1043">
        <f t="shared" si="171"/>
        <v>234.01</v>
      </c>
      <c r="AF667" s="1044"/>
      <c r="AG667" s="1044"/>
      <c r="AH667" s="1044"/>
      <c r="AI667" s="1044"/>
      <c r="AJ667" s="1045"/>
    </row>
    <row r="668" spans="1:38" x14ac:dyDescent="0.3">
      <c r="A668" s="1938" t="s">
        <v>47</v>
      </c>
      <c r="B668" s="1938"/>
      <c r="C668" s="1938"/>
      <c r="D668" s="1938"/>
      <c r="E668" s="1938"/>
      <c r="F668" s="1938"/>
      <c r="G668" s="1833">
        <f t="shared" si="167"/>
        <v>103.92</v>
      </c>
      <c r="H668" s="1834"/>
      <c r="I668" s="1834"/>
      <c r="J668" s="1834"/>
      <c r="K668" s="1834"/>
      <c r="L668" s="1835"/>
      <c r="M668" s="1833">
        <f t="shared" si="168"/>
        <v>90.56</v>
      </c>
      <c r="N668" s="1834"/>
      <c r="O668" s="1834"/>
      <c r="P668" s="1834"/>
      <c r="Q668" s="1834"/>
      <c r="R668" s="1835"/>
      <c r="S668" s="1833">
        <f t="shared" si="169"/>
        <v>142.96</v>
      </c>
      <c r="T668" s="1834"/>
      <c r="U668" s="1834"/>
      <c r="V668" s="1834"/>
      <c r="W668" s="1834"/>
      <c r="X668" s="1835"/>
      <c r="Y668" s="1833">
        <f t="shared" si="170"/>
        <v>191.68</v>
      </c>
      <c r="Z668" s="1834"/>
      <c r="AA668" s="1834"/>
      <c r="AB668" s="1834"/>
      <c r="AC668" s="1834"/>
      <c r="AD668" s="1835"/>
      <c r="AE668" s="1043">
        <f t="shared" si="171"/>
        <v>247.68</v>
      </c>
      <c r="AF668" s="1044"/>
      <c r="AG668" s="1044"/>
      <c r="AH668" s="1044"/>
      <c r="AI668" s="1044"/>
      <c r="AJ668" s="1045"/>
    </row>
    <row r="669" spans="1:38" x14ac:dyDescent="0.3">
      <c r="A669" s="1938" t="s">
        <v>217</v>
      </c>
      <c r="B669" s="1938"/>
      <c r="C669" s="1938"/>
      <c r="D669" s="1938"/>
      <c r="E669" s="1938"/>
      <c r="F669" s="1938"/>
      <c r="G669" s="1833">
        <f t="shared" si="167"/>
        <v>110.64</v>
      </c>
      <c r="H669" s="1834"/>
      <c r="I669" s="1834"/>
      <c r="J669" s="1834"/>
      <c r="K669" s="1834"/>
      <c r="L669" s="1835"/>
      <c r="M669" s="1833">
        <f t="shared" si="168"/>
        <v>96.36</v>
      </c>
      <c r="N669" s="1834"/>
      <c r="O669" s="1834"/>
      <c r="P669" s="1834"/>
      <c r="Q669" s="1834"/>
      <c r="R669" s="1835"/>
      <c r="S669" s="1833">
        <f t="shared" si="169"/>
        <v>152.12</v>
      </c>
      <c r="T669" s="1834"/>
      <c r="U669" s="1834"/>
      <c r="V669" s="1834"/>
      <c r="W669" s="1834"/>
      <c r="X669" s="1835"/>
      <c r="Y669" s="1833">
        <f t="shared" si="170"/>
        <v>204</v>
      </c>
      <c r="Z669" s="1834"/>
      <c r="AA669" s="1834"/>
      <c r="AB669" s="1834"/>
      <c r="AC669" s="1834"/>
      <c r="AD669" s="1835"/>
      <c r="AE669" s="1043">
        <f t="shared" si="171"/>
        <v>263.64</v>
      </c>
      <c r="AF669" s="1044"/>
      <c r="AG669" s="1044"/>
      <c r="AH669" s="1044"/>
      <c r="AI669" s="1044"/>
      <c r="AJ669" s="1045"/>
    </row>
    <row r="670" spans="1:38" x14ac:dyDescent="0.3">
      <c r="A670" s="1938" t="s">
        <v>218</v>
      </c>
      <c r="B670" s="1938"/>
      <c r="C670" s="1938"/>
      <c r="D670" s="1938"/>
      <c r="E670" s="1938"/>
      <c r="F670" s="1938"/>
      <c r="G670" s="1833">
        <f t="shared" si="167"/>
        <v>94.38</v>
      </c>
      <c r="H670" s="1834"/>
      <c r="I670" s="1834"/>
      <c r="J670" s="1834"/>
      <c r="K670" s="1834"/>
      <c r="L670" s="1835"/>
      <c r="M670" s="1833">
        <f t="shared" si="168"/>
        <v>82.2</v>
      </c>
      <c r="N670" s="1834"/>
      <c r="O670" s="1834"/>
      <c r="P670" s="1834"/>
      <c r="Q670" s="1834"/>
      <c r="R670" s="1835"/>
      <c r="S670" s="1833">
        <f t="shared" si="169"/>
        <v>129.78</v>
      </c>
      <c r="T670" s="1834"/>
      <c r="U670" s="1834"/>
      <c r="V670" s="1834"/>
      <c r="W670" s="1834"/>
      <c r="X670" s="1835"/>
      <c r="Y670" s="1833">
        <f t="shared" si="170"/>
        <v>174.06</v>
      </c>
      <c r="Z670" s="1834"/>
      <c r="AA670" s="1834"/>
      <c r="AB670" s="1834"/>
      <c r="AC670" s="1834"/>
      <c r="AD670" s="1835"/>
      <c r="AE670" s="1043">
        <f t="shared" si="171"/>
        <v>224.94</v>
      </c>
      <c r="AF670" s="1044"/>
      <c r="AG670" s="1044"/>
      <c r="AH670" s="1044"/>
      <c r="AI670" s="1044"/>
      <c r="AJ670" s="1045"/>
    </row>
    <row r="671" spans="1:38" x14ac:dyDescent="0.3">
      <c r="A671" s="1938" t="s">
        <v>219</v>
      </c>
      <c r="B671" s="1938"/>
      <c r="C671" s="1938"/>
      <c r="D671" s="1938"/>
      <c r="E671" s="1938"/>
      <c r="F671" s="1938"/>
      <c r="G671" s="1833">
        <f t="shared" si="167"/>
        <v>89.73</v>
      </c>
      <c r="H671" s="1834"/>
      <c r="I671" s="1834"/>
      <c r="J671" s="1834"/>
      <c r="K671" s="1834"/>
      <c r="L671" s="1835"/>
      <c r="M671" s="1833">
        <f t="shared" si="168"/>
        <v>78.12</v>
      </c>
      <c r="N671" s="1834"/>
      <c r="O671" s="1834"/>
      <c r="P671" s="1834"/>
      <c r="Q671" s="1834"/>
      <c r="R671" s="1835"/>
      <c r="S671" s="1833">
        <f t="shared" si="169"/>
        <v>123.39</v>
      </c>
      <c r="T671" s="1834"/>
      <c r="U671" s="1834"/>
      <c r="V671" s="1834"/>
      <c r="W671" s="1834"/>
      <c r="X671" s="1835"/>
      <c r="Y671" s="1833">
        <f t="shared" si="170"/>
        <v>165.42</v>
      </c>
      <c r="Z671" s="1834"/>
      <c r="AA671" s="1834"/>
      <c r="AB671" s="1834"/>
      <c r="AC671" s="1834"/>
      <c r="AD671" s="1835"/>
      <c r="AE671" s="1043">
        <f t="shared" si="171"/>
        <v>213.75</v>
      </c>
      <c r="AF671" s="1044"/>
      <c r="AG671" s="1044"/>
      <c r="AH671" s="1044"/>
      <c r="AI671" s="1044"/>
      <c r="AJ671" s="1045"/>
    </row>
    <row r="672" spans="1:38" x14ac:dyDescent="0.3">
      <c r="A672" s="147"/>
      <c r="B672" s="147"/>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row>
    <row r="673" spans="1:32" x14ac:dyDescent="0.3">
      <c r="A673" s="1141" t="s">
        <v>1514</v>
      </c>
      <c r="B673" s="1141"/>
      <c r="C673" s="1141"/>
      <c r="D673" s="1141"/>
      <c r="E673" s="1141"/>
      <c r="F673" s="1141"/>
      <c r="G673" s="1141"/>
      <c r="H673" s="1141"/>
      <c r="I673" s="1141"/>
      <c r="J673" s="1141"/>
      <c r="K673" s="1141"/>
      <c r="L673" s="1141"/>
      <c r="M673" s="1141"/>
      <c r="N673" s="1141"/>
      <c r="O673" s="1141"/>
      <c r="P673" s="1141"/>
      <c r="Q673" s="1141"/>
      <c r="R673" s="1141"/>
      <c r="S673" s="1141"/>
      <c r="T673" s="1141"/>
      <c r="U673" s="1141"/>
      <c r="V673" s="1141"/>
      <c r="W673" s="1141"/>
      <c r="X673" s="1141"/>
      <c r="Y673" s="1141"/>
      <c r="Z673" s="1141"/>
      <c r="AA673" s="1141"/>
      <c r="AB673" s="1141"/>
      <c r="AC673" s="1141"/>
      <c r="AD673" s="1141"/>
      <c r="AE673" s="1141"/>
      <c r="AF673" s="1141"/>
    </row>
    <row r="675" spans="1:32" ht="35.1" customHeight="1" x14ac:dyDescent="0.3">
      <c r="A675" s="368" t="s">
        <v>803</v>
      </c>
      <c r="B675" s="884" t="s">
        <v>1831</v>
      </c>
      <c r="C675" s="884"/>
      <c r="D675" s="884"/>
      <c r="E675" s="884"/>
      <c r="F675" s="884"/>
      <c r="G675" s="884"/>
      <c r="H675" s="884"/>
      <c r="I675" s="884"/>
      <c r="J675" s="884"/>
      <c r="K675" s="884"/>
      <c r="L675" s="884"/>
      <c r="M675" s="884"/>
      <c r="N675" s="884"/>
      <c r="O675" s="884"/>
      <c r="P675" s="884"/>
      <c r="Q675" s="884"/>
      <c r="R675" s="884"/>
      <c r="S675" s="884"/>
      <c r="T675" s="884"/>
      <c r="U675" s="884"/>
      <c r="V675" s="884"/>
      <c r="W675" s="884"/>
      <c r="X675" s="884"/>
      <c r="Y675" s="884"/>
      <c r="Z675" s="884"/>
      <c r="AA675" s="884"/>
      <c r="AB675" s="884"/>
      <c r="AC675" s="884"/>
      <c r="AD675" s="884"/>
      <c r="AE675" s="884"/>
      <c r="AF675" s="884"/>
    </row>
    <row r="676" spans="1:32" ht="33" customHeight="1" x14ac:dyDescent="0.3">
      <c r="A676" s="368" t="s">
        <v>803</v>
      </c>
      <c r="B676" s="884" t="s">
        <v>1833</v>
      </c>
      <c r="C676" s="884"/>
      <c r="D676" s="884"/>
      <c r="E676" s="884"/>
      <c r="F676" s="884"/>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884"/>
      <c r="AF676" s="884"/>
    </row>
    <row r="677" spans="1:32" ht="51.6" customHeight="1" x14ac:dyDescent="0.3">
      <c r="A677" s="368" t="s">
        <v>803</v>
      </c>
      <c r="B677" s="884" t="s">
        <v>1840</v>
      </c>
      <c r="C677" s="884"/>
      <c r="D677" s="884"/>
      <c r="E677" s="884"/>
      <c r="F677" s="884"/>
      <c r="G677" s="884"/>
      <c r="H677" s="884"/>
      <c r="I677" s="884"/>
      <c r="J677" s="884"/>
      <c r="K677" s="884"/>
      <c r="L677" s="884"/>
      <c r="M677" s="884"/>
      <c r="N677" s="884"/>
      <c r="O677" s="884"/>
      <c r="P677" s="884"/>
      <c r="Q677" s="884"/>
      <c r="R677" s="884"/>
      <c r="S677" s="884"/>
      <c r="T677" s="884"/>
      <c r="U677" s="884"/>
      <c r="V677" s="884"/>
      <c r="W677" s="884"/>
      <c r="X677" s="884"/>
      <c r="Y677" s="884"/>
      <c r="Z677" s="884"/>
      <c r="AA677" s="884"/>
      <c r="AB677" s="884"/>
      <c r="AC677" s="884"/>
      <c r="AD677" s="884"/>
      <c r="AE677" s="884"/>
      <c r="AF677" s="884"/>
    </row>
    <row r="678" spans="1:32" ht="30" customHeight="1" x14ac:dyDescent="0.3">
      <c r="A678" s="368" t="s">
        <v>803</v>
      </c>
      <c r="B678" s="884" t="s">
        <v>6619</v>
      </c>
      <c r="C678" s="884"/>
      <c r="D678" s="884"/>
      <c r="E678" s="884"/>
      <c r="F678" s="884"/>
      <c r="G678" s="884"/>
      <c r="H678" s="884"/>
      <c r="I678" s="884"/>
      <c r="J678" s="884"/>
      <c r="K678" s="884"/>
      <c r="L678" s="884"/>
      <c r="M678" s="884"/>
      <c r="N678" s="884"/>
      <c r="O678" s="884"/>
      <c r="P678" s="884"/>
      <c r="Q678" s="884"/>
      <c r="R678" s="884"/>
      <c r="S678" s="884"/>
      <c r="T678" s="884"/>
      <c r="U678" s="884"/>
      <c r="V678" s="884"/>
      <c r="W678" s="884"/>
      <c r="X678" s="884"/>
      <c r="Y678" s="884"/>
      <c r="Z678" s="884"/>
      <c r="AA678" s="884"/>
      <c r="AB678" s="884"/>
      <c r="AC678" s="884"/>
      <c r="AD678" s="884"/>
      <c r="AE678" s="884"/>
      <c r="AF678" s="884"/>
    </row>
    <row r="679" spans="1:32" x14ac:dyDescent="0.3">
      <c r="A679" s="368" t="s">
        <v>803</v>
      </c>
      <c r="B679" s="884" t="s">
        <v>5770</v>
      </c>
      <c r="C679" s="884"/>
      <c r="D679" s="884"/>
      <c r="E679" s="884"/>
      <c r="F679" s="884"/>
      <c r="G679" s="884"/>
      <c r="H679" s="884"/>
      <c r="I679" s="884"/>
      <c r="J679" s="884"/>
      <c r="K679" s="884"/>
      <c r="L679" s="884"/>
      <c r="M679" s="884"/>
      <c r="N679" s="884"/>
      <c r="O679" s="884"/>
      <c r="P679" s="884"/>
      <c r="Q679" s="884"/>
      <c r="R679" s="884"/>
      <c r="S679" s="884"/>
      <c r="T679" s="884"/>
      <c r="U679" s="884"/>
      <c r="V679" s="884"/>
      <c r="W679" s="884"/>
      <c r="X679" s="884"/>
      <c r="Y679" s="884"/>
      <c r="Z679" s="884"/>
      <c r="AA679" s="884"/>
      <c r="AB679" s="884"/>
      <c r="AC679" s="884"/>
      <c r="AD679" s="884"/>
      <c r="AE679" s="884"/>
      <c r="AF679" s="884"/>
    </row>
    <row r="680" spans="1:32" x14ac:dyDescent="0.3">
      <c r="A680" s="370" t="s">
        <v>803</v>
      </c>
      <c r="B680" s="884" t="s">
        <v>5772</v>
      </c>
      <c r="C680" s="884"/>
      <c r="D680" s="884"/>
      <c r="E680" s="884"/>
      <c r="F680" s="884"/>
      <c r="G680" s="884"/>
      <c r="H680" s="884"/>
      <c r="I680" s="884"/>
      <c r="J680" s="884"/>
      <c r="K680" s="884"/>
      <c r="L680" s="884"/>
      <c r="M680" s="884"/>
      <c r="N680" s="884"/>
      <c r="O680" s="884"/>
      <c r="P680" s="884"/>
      <c r="Q680" s="884"/>
      <c r="R680" s="884"/>
      <c r="S680" s="884"/>
      <c r="T680" s="884"/>
      <c r="U680" s="884"/>
      <c r="V680" s="884"/>
      <c r="W680" s="884"/>
      <c r="X680" s="884"/>
      <c r="Y680" s="884"/>
      <c r="Z680" s="884"/>
      <c r="AA680" s="884"/>
      <c r="AB680" s="884"/>
      <c r="AC680" s="884"/>
      <c r="AD680" s="884"/>
      <c r="AE680" s="884"/>
      <c r="AF680" s="884"/>
    </row>
    <row r="681" spans="1:32" x14ac:dyDescent="0.3">
      <c r="A681" s="368" t="s">
        <v>803</v>
      </c>
      <c r="B681" s="884" t="s">
        <v>5687</v>
      </c>
      <c r="C681" s="884"/>
      <c r="D681" s="884"/>
      <c r="E681" s="884"/>
      <c r="F681" s="884"/>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884"/>
      <c r="AF681" s="884"/>
    </row>
    <row r="682" spans="1:32" ht="67.5" customHeight="1" x14ac:dyDescent="0.3">
      <c r="A682" s="368" t="s">
        <v>803</v>
      </c>
      <c r="B682" s="884" t="s">
        <v>2816</v>
      </c>
      <c r="C682" s="884"/>
      <c r="D682" s="884"/>
      <c r="E682" s="884"/>
      <c r="F682" s="884"/>
      <c r="G682" s="884"/>
      <c r="H682" s="884"/>
      <c r="I682" s="884"/>
      <c r="J682" s="884"/>
      <c r="K682" s="884"/>
      <c r="L682" s="884"/>
      <c r="M682" s="884"/>
      <c r="N682" s="884"/>
      <c r="O682" s="884"/>
      <c r="P682" s="884"/>
      <c r="Q682" s="884"/>
      <c r="R682" s="884"/>
      <c r="S682" s="884"/>
      <c r="T682" s="884"/>
      <c r="U682" s="884"/>
      <c r="V682" s="884"/>
      <c r="W682" s="884"/>
      <c r="X682" s="884"/>
      <c r="Y682" s="884"/>
      <c r="Z682" s="884"/>
      <c r="AA682" s="884"/>
      <c r="AB682" s="884"/>
      <c r="AC682" s="884"/>
      <c r="AD682" s="884"/>
      <c r="AE682" s="884"/>
      <c r="AF682" s="884"/>
    </row>
    <row r="683" spans="1:32" ht="18.75" customHeight="1" x14ac:dyDescent="0.3">
      <c r="A683" s="368" t="s">
        <v>803</v>
      </c>
      <c r="B683" s="884" t="s">
        <v>1567</v>
      </c>
      <c r="C683" s="884"/>
      <c r="D683" s="884"/>
      <c r="E683" s="884"/>
      <c r="F683" s="884"/>
      <c r="G683" s="884"/>
      <c r="H683" s="884"/>
      <c r="I683" s="884"/>
      <c r="J683" s="884"/>
      <c r="K683" s="884"/>
      <c r="L683" s="884"/>
      <c r="M683" s="884"/>
      <c r="N683" s="884"/>
      <c r="O683" s="884"/>
      <c r="P683" s="884"/>
      <c r="Q683" s="884"/>
      <c r="R683" s="884"/>
      <c r="S683" s="884"/>
      <c r="T683" s="884"/>
      <c r="U683" s="884"/>
      <c r="V683" s="884"/>
      <c r="W683" s="884"/>
      <c r="X683" s="884"/>
      <c r="Y683" s="884"/>
      <c r="Z683" s="884"/>
      <c r="AA683" s="884"/>
      <c r="AB683" s="884"/>
      <c r="AC683" s="884"/>
      <c r="AD683" s="884"/>
      <c r="AE683" s="884"/>
      <c r="AF683" s="884"/>
    </row>
    <row r="684" spans="1:32" ht="63.75" customHeight="1" x14ac:dyDescent="0.3">
      <c r="A684" s="368" t="s">
        <v>803</v>
      </c>
      <c r="B684" s="884" t="s">
        <v>1839</v>
      </c>
      <c r="C684" s="884"/>
      <c r="D684" s="884"/>
      <c r="E684" s="884"/>
      <c r="F684" s="884"/>
      <c r="G684" s="884"/>
      <c r="H684" s="884"/>
      <c r="I684" s="884"/>
      <c r="J684" s="884"/>
      <c r="K684" s="884"/>
      <c r="L684" s="884"/>
      <c r="M684" s="884"/>
      <c r="N684" s="884"/>
      <c r="O684" s="884"/>
      <c r="P684" s="884"/>
      <c r="Q684" s="884"/>
      <c r="R684" s="884"/>
      <c r="S684" s="884"/>
      <c r="T684" s="884"/>
      <c r="U684" s="884"/>
      <c r="V684" s="884"/>
      <c r="W684" s="884"/>
      <c r="X684" s="884"/>
      <c r="Y684" s="884"/>
      <c r="Z684" s="884"/>
      <c r="AA684" s="884"/>
      <c r="AB684" s="884"/>
      <c r="AC684" s="884"/>
      <c r="AD684" s="884"/>
      <c r="AE684" s="884"/>
      <c r="AF684" s="884"/>
    </row>
    <row r="685" spans="1:32" ht="36.9" customHeight="1" x14ac:dyDescent="0.3">
      <c r="A685" s="368" t="s">
        <v>803</v>
      </c>
      <c r="B685" s="884" t="s">
        <v>1838</v>
      </c>
      <c r="C685" s="884"/>
      <c r="D685" s="884"/>
      <c r="E685" s="884"/>
      <c r="F685" s="884"/>
      <c r="G685" s="884"/>
      <c r="H685" s="884"/>
      <c r="I685" s="884"/>
      <c r="J685" s="884"/>
      <c r="K685" s="884"/>
      <c r="L685" s="884"/>
      <c r="M685" s="884"/>
      <c r="N685" s="884"/>
      <c r="O685" s="884"/>
      <c r="P685" s="884"/>
      <c r="Q685" s="884"/>
      <c r="R685" s="884"/>
      <c r="S685" s="884"/>
      <c r="T685" s="884"/>
      <c r="U685" s="884"/>
      <c r="V685" s="884"/>
      <c r="W685" s="884"/>
      <c r="X685" s="884"/>
      <c r="Y685" s="884"/>
      <c r="Z685" s="884"/>
      <c r="AA685" s="884"/>
      <c r="AB685" s="884"/>
      <c r="AC685" s="884"/>
      <c r="AD685" s="884"/>
      <c r="AE685" s="884"/>
      <c r="AF685" s="884"/>
    </row>
    <row r="686" spans="1:32" ht="50.1" customHeight="1" x14ac:dyDescent="0.3">
      <c r="A686" s="368" t="s">
        <v>803</v>
      </c>
      <c r="B686" s="884" t="s">
        <v>1835</v>
      </c>
      <c r="C686" s="884"/>
      <c r="D686" s="884"/>
      <c r="E686" s="884"/>
      <c r="F686" s="884"/>
      <c r="G686" s="884"/>
      <c r="H686" s="884"/>
      <c r="I686" s="884"/>
      <c r="J686" s="884"/>
      <c r="K686" s="884"/>
      <c r="L686" s="884"/>
      <c r="M686" s="884"/>
      <c r="N686" s="884"/>
      <c r="O686" s="884"/>
      <c r="P686" s="884"/>
      <c r="Q686" s="884"/>
      <c r="R686" s="884"/>
      <c r="S686" s="884"/>
      <c r="T686" s="884"/>
      <c r="U686" s="884"/>
      <c r="V686" s="884"/>
      <c r="W686" s="884"/>
      <c r="X686" s="884"/>
      <c r="Y686" s="884"/>
      <c r="Z686" s="884"/>
      <c r="AA686" s="884"/>
      <c r="AB686" s="884"/>
      <c r="AC686" s="884"/>
      <c r="AD686" s="884"/>
      <c r="AE686" s="884"/>
      <c r="AF686" s="884"/>
    </row>
    <row r="687" spans="1:32" ht="51" customHeight="1" x14ac:dyDescent="0.3">
      <c r="A687" s="368" t="s">
        <v>803</v>
      </c>
      <c r="B687" s="884" t="s">
        <v>1837</v>
      </c>
      <c r="C687" s="884"/>
      <c r="D687" s="884"/>
      <c r="E687" s="884"/>
      <c r="F687" s="884"/>
      <c r="G687" s="884"/>
      <c r="H687" s="884"/>
      <c r="I687" s="884"/>
      <c r="J687" s="884"/>
      <c r="K687" s="884"/>
      <c r="L687" s="884"/>
      <c r="M687" s="884"/>
      <c r="N687" s="884"/>
      <c r="O687" s="884"/>
      <c r="P687" s="884"/>
      <c r="Q687" s="884"/>
      <c r="R687" s="884"/>
      <c r="S687" s="884"/>
      <c r="T687" s="884"/>
      <c r="U687" s="884"/>
      <c r="V687" s="884"/>
      <c r="W687" s="884"/>
      <c r="X687" s="884"/>
      <c r="Y687" s="884"/>
      <c r="Z687" s="884"/>
      <c r="AA687" s="884"/>
      <c r="AB687" s="884"/>
      <c r="AC687" s="884"/>
      <c r="AD687" s="884"/>
      <c r="AE687" s="884"/>
      <c r="AF687" s="884"/>
    </row>
    <row r="688" spans="1:32" ht="30.6" customHeight="1" x14ac:dyDescent="0.3">
      <c r="A688" s="368" t="s">
        <v>803</v>
      </c>
      <c r="B688" s="884" t="s">
        <v>1827</v>
      </c>
      <c r="C688" s="884"/>
      <c r="D688" s="884"/>
      <c r="E688" s="884"/>
      <c r="F688" s="884"/>
      <c r="G688" s="884"/>
      <c r="H688" s="884"/>
      <c r="I688" s="884"/>
      <c r="J688" s="884"/>
      <c r="K688" s="884"/>
      <c r="L688" s="884"/>
      <c r="M688" s="884"/>
      <c r="N688" s="884"/>
      <c r="O688" s="884"/>
      <c r="P688" s="884"/>
      <c r="Q688" s="884"/>
      <c r="R688" s="884"/>
      <c r="S688" s="884"/>
      <c r="T688" s="884"/>
      <c r="U688" s="884"/>
      <c r="V688" s="884"/>
      <c r="W688" s="884"/>
      <c r="X688" s="884"/>
      <c r="Y688" s="884"/>
      <c r="Z688" s="884"/>
      <c r="AA688" s="884"/>
      <c r="AB688" s="884"/>
      <c r="AC688" s="884"/>
      <c r="AD688" s="884"/>
      <c r="AE688" s="884"/>
      <c r="AF688" s="884"/>
    </row>
    <row r="689" spans="1:32" x14ac:dyDescent="0.3">
      <c r="A689" s="368" t="s">
        <v>803</v>
      </c>
      <c r="B689" s="884" t="s">
        <v>1834</v>
      </c>
      <c r="C689" s="884"/>
      <c r="D689" s="884"/>
      <c r="E689" s="884"/>
      <c r="F689" s="884"/>
      <c r="G689" s="884"/>
      <c r="H689" s="884"/>
      <c r="I689" s="884"/>
      <c r="J689" s="884"/>
      <c r="K689" s="884"/>
      <c r="L689" s="884"/>
      <c r="M689" s="884"/>
      <c r="N689" s="884"/>
      <c r="O689" s="884"/>
      <c r="P689" s="884"/>
      <c r="Q689" s="884"/>
      <c r="R689" s="884"/>
      <c r="S689" s="884"/>
      <c r="T689" s="884"/>
      <c r="U689" s="884"/>
      <c r="V689" s="884"/>
      <c r="W689" s="884"/>
      <c r="X689" s="884"/>
      <c r="Y689" s="884"/>
      <c r="Z689" s="884"/>
      <c r="AA689" s="884"/>
      <c r="AB689" s="884"/>
      <c r="AC689" s="884"/>
      <c r="AD689" s="884"/>
      <c r="AE689" s="884"/>
      <c r="AF689" s="884"/>
    </row>
    <row r="690" spans="1:32" ht="64.5" customHeight="1" x14ac:dyDescent="0.3">
      <c r="A690" s="368" t="s">
        <v>803</v>
      </c>
      <c r="B690" s="884" t="s">
        <v>2817</v>
      </c>
      <c r="C690" s="884"/>
      <c r="D690" s="884"/>
      <c r="E690" s="884"/>
      <c r="F690" s="884"/>
      <c r="G690" s="884"/>
      <c r="H690" s="884"/>
      <c r="I690" s="884"/>
      <c r="J690" s="884"/>
      <c r="K690" s="884"/>
      <c r="L690" s="884"/>
      <c r="M690" s="884"/>
      <c r="N690" s="884"/>
      <c r="O690" s="884"/>
      <c r="P690" s="884"/>
      <c r="Q690" s="884"/>
      <c r="R690" s="884"/>
      <c r="S690" s="884"/>
      <c r="T690" s="884"/>
      <c r="U690" s="884"/>
      <c r="V690" s="884"/>
      <c r="W690" s="884"/>
      <c r="X690" s="884"/>
      <c r="Y690" s="884"/>
      <c r="Z690" s="884"/>
      <c r="AA690" s="884"/>
      <c r="AB690" s="884"/>
      <c r="AC690" s="884"/>
      <c r="AD690" s="884"/>
      <c r="AE690" s="884"/>
      <c r="AF690" s="884"/>
    </row>
    <row r="691" spans="1:32" ht="30.6" customHeight="1" x14ac:dyDescent="0.3">
      <c r="A691" s="368" t="s">
        <v>803</v>
      </c>
      <c r="B691" s="884" t="s">
        <v>1830</v>
      </c>
      <c r="C691" s="884"/>
      <c r="D691" s="884"/>
      <c r="E691" s="884"/>
      <c r="F691" s="884"/>
      <c r="G691" s="884"/>
      <c r="H691" s="884"/>
      <c r="I691" s="884"/>
      <c r="J691" s="884"/>
      <c r="K691" s="884"/>
      <c r="L691" s="884"/>
      <c r="M691" s="884"/>
      <c r="N691" s="884"/>
      <c r="O691" s="884"/>
      <c r="P691" s="884"/>
      <c r="Q691" s="884"/>
      <c r="R691" s="884"/>
      <c r="S691" s="884"/>
      <c r="T691" s="884"/>
      <c r="U691" s="884"/>
      <c r="V691" s="884"/>
      <c r="W691" s="884"/>
      <c r="X691" s="884"/>
      <c r="Y691" s="884"/>
      <c r="Z691" s="884"/>
      <c r="AA691" s="884"/>
      <c r="AB691" s="884"/>
      <c r="AC691" s="884"/>
      <c r="AD691" s="884"/>
      <c r="AE691" s="884"/>
      <c r="AF691" s="884"/>
    </row>
    <row r="692" spans="1:32" ht="49.5" customHeight="1" x14ac:dyDescent="0.3">
      <c r="A692" s="368" t="s">
        <v>803</v>
      </c>
      <c r="B692" s="884" t="s">
        <v>1843</v>
      </c>
      <c r="C692" s="884"/>
      <c r="D692" s="884"/>
      <c r="E692" s="884"/>
      <c r="F692" s="884"/>
      <c r="G692" s="884"/>
      <c r="H692" s="884"/>
      <c r="I692" s="884"/>
      <c r="J692" s="884"/>
      <c r="K692" s="884"/>
      <c r="L692" s="884"/>
      <c r="M692" s="884"/>
      <c r="N692" s="884"/>
      <c r="O692" s="884"/>
      <c r="P692" s="884"/>
      <c r="Q692" s="884"/>
      <c r="R692" s="884"/>
      <c r="S692" s="884"/>
      <c r="T692" s="884"/>
      <c r="U692" s="884"/>
      <c r="V692" s="884"/>
      <c r="W692" s="884"/>
      <c r="X692" s="884"/>
      <c r="Y692" s="884"/>
      <c r="Z692" s="884"/>
      <c r="AA692" s="884"/>
      <c r="AB692" s="884"/>
      <c r="AC692" s="884"/>
      <c r="AD692" s="884"/>
      <c r="AE692" s="884"/>
      <c r="AF692" s="884"/>
    </row>
    <row r="693" spans="1:32" x14ac:dyDescent="0.3">
      <c r="A693" s="368" t="s">
        <v>803</v>
      </c>
      <c r="B693" s="884" t="s">
        <v>1570</v>
      </c>
      <c r="C693" s="884"/>
      <c r="D693" s="884"/>
      <c r="E693" s="884"/>
      <c r="F693" s="884"/>
      <c r="G693" s="884"/>
      <c r="H693" s="884"/>
      <c r="I693" s="884"/>
      <c r="J693" s="884"/>
      <c r="K693" s="884"/>
      <c r="L693" s="884"/>
      <c r="M693" s="884"/>
      <c r="N693" s="884"/>
      <c r="O693" s="884"/>
      <c r="P693" s="884"/>
      <c r="Q693" s="884"/>
      <c r="R693" s="884"/>
      <c r="S693" s="884"/>
      <c r="T693" s="884"/>
      <c r="U693" s="884"/>
      <c r="V693" s="884"/>
      <c r="W693" s="884"/>
      <c r="X693" s="884"/>
      <c r="Y693" s="884"/>
      <c r="Z693" s="884"/>
      <c r="AA693" s="884"/>
      <c r="AB693" s="884"/>
      <c r="AC693" s="884"/>
      <c r="AD693" s="884"/>
      <c r="AE693" s="884"/>
      <c r="AF693" s="884"/>
    </row>
    <row r="694" spans="1:32" x14ac:dyDescent="0.3">
      <c r="A694" s="368" t="s">
        <v>803</v>
      </c>
      <c r="B694" s="884" t="s">
        <v>2818</v>
      </c>
      <c r="C694" s="884"/>
      <c r="D694" s="884"/>
      <c r="E694" s="884"/>
      <c r="F694" s="884"/>
      <c r="G694" s="884"/>
      <c r="H694" s="884"/>
      <c r="I694" s="884"/>
      <c r="J694" s="884"/>
      <c r="K694" s="884"/>
      <c r="L694" s="884"/>
      <c r="M694" s="884"/>
      <c r="N694" s="884"/>
      <c r="O694" s="884"/>
      <c r="P694" s="884"/>
      <c r="Q694" s="884"/>
      <c r="R694" s="884"/>
      <c r="S694" s="884"/>
      <c r="T694" s="884"/>
      <c r="U694" s="884"/>
      <c r="V694" s="884"/>
      <c r="W694" s="884"/>
      <c r="X694" s="884"/>
      <c r="Y694" s="884"/>
      <c r="Z694" s="884"/>
      <c r="AA694" s="884"/>
      <c r="AB694" s="884"/>
      <c r="AC694" s="884"/>
      <c r="AD694" s="884"/>
      <c r="AE694" s="884"/>
      <c r="AF694" s="884"/>
    </row>
    <row r="695" spans="1:32" ht="48.75" customHeight="1" x14ac:dyDescent="0.3">
      <c r="A695" s="368" t="s">
        <v>803</v>
      </c>
      <c r="B695" s="884" t="s">
        <v>1943</v>
      </c>
      <c r="C695" s="884"/>
      <c r="D695" s="884"/>
      <c r="E695" s="884"/>
      <c r="F695" s="884"/>
      <c r="G695" s="884"/>
      <c r="H695" s="884"/>
      <c r="I695" s="884"/>
      <c r="J695" s="884"/>
      <c r="K695" s="884"/>
      <c r="L695" s="884"/>
      <c r="M695" s="884"/>
      <c r="N695" s="884"/>
      <c r="O695" s="884"/>
      <c r="P695" s="884"/>
      <c r="Q695" s="884"/>
      <c r="R695" s="884"/>
      <c r="S695" s="884"/>
      <c r="T695" s="884"/>
      <c r="U695" s="884"/>
      <c r="V695" s="884"/>
      <c r="W695" s="884"/>
      <c r="X695" s="884"/>
      <c r="Y695" s="884"/>
      <c r="Z695" s="884"/>
      <c r="AA695" s="884"/>
      <c r="AB695" s="884"/>
      <c r="AC695" s="884"/>
      <c r="AD695" s="884"/>
      <c r="AE695" s="884"/>
      <c r="AF695" s="884"/>
    </row>
    <row r="696" spans="1:32" x14ac:dyDescent="0.3">
      <c r="A696" s="368" t="s">
        <v>803</v>
      </c>
      <c r="B696" s="884" t="s">
        <v>1832</v>
      </c>
      <c r="C696" s="884"/>
      <c r="D696" s="884"/>
      <c r="E696" s="884"/>
      <c r="F696" s="884"/>
      <c r="G696" s="884"/>
      <c r="H696" s="884"/>
      <c r="I696" s="884"/>
      <c r="J696" s="884"/>
      <c r="K696" s="884"/>
      <c r="L696" s="884"/>
      <c r="M696" s="884"/>
      <c r="N696" s="884"/>
      <c r="O696" s="884"/>
      <c r="P696" s="884"/>
      <c r="Q696" s="884"/>
      <c r="R696" s="884"/>
      <c r="S696" s="884"/>
      <c r="T696" s="884"/>
      <c r="U696" s="884"/>
      <c r="V696" s="884"/>
      <c r="W696" s="884"/>
      <c r="X696" s="884"/>
      <c r="Y696" s="884"/>
      <c r="Z696" s="884"/>
      <c r="AA696" s="884"/>
      <c r="AB696" s="884"/>
      <c r="AC696" s="884"/>
      <c r="AD696" s="884"/>
      <c r="AE696" s="884"/>
      <c r="AF696" s="884"/>
    </row>
    <row r="697" spans="1:32" ht="30.6" customHeight="1" x14ac:dyDescent="0.3">
      <c r="A697" s="368" t="s">
        <v>803</v>
      </c>
      <c r="B697" s="884" t="s">
        <v>1828</v>
      </c>
      <c r="C697" s="884"/>
      <c r="D697" s="884"/>
      <c r="E697" s="884"/>
      <c r="F697" s="884"/>
      <c r="G697" s="884"/>
      <c r="H697" s="884"/>
      <c r="I697" s="884"/>
      <c r="J697" s="884"/>
      <c r="K697" s="884"/>
      <c r="L697" s="884"/>
      <c r="M697" s="884"/>
      <c r="N697" s="884"/>
      <c r="O697" s="884"/>
      <c r="P697" s="884"/>
      <c r="Q697" s="884"/>
      <c r="R697" s="884"/>
      <c r="S697" s="884"/>
      <c r="T697" s="884"/>
      <c r="U697" s="884"/>
      <c r="V697" s="884"/>
      <c r="W697" s="884"/>
      <c r="X697" s="884"/>
      <c r="Y697" s="884"/>
      <c r="Z697" s="884"/>
      <c r="AA697" s="884"/>
      <c r="AB697" s="884"/>
      <c r="AC697" s="884"/>
      <c r="AD697" s="884"/>
      <c r="AE697" s="884"/>
      <c r="AF697" s="884"/>
    </row>
    <row r="698" spans="1:32" ht="61.5" customHeight="1" x14ac:dyDescent="0.3">
      <c r="A698" s="368" t="s">
        <v>803</v>
      </c>
      <c r="B698" s="884" t="s">
        <v>1836</v>
      </c>
      <c r="C698" s="884"/>
      <c r="D698" s="884"/>
      <c r="E698" s="884"/>
      <c r="F698" s="884"/>
      <c r="G698" s="884"/>
      <c r="H698" s="884"/>
      <c r="I698" s="884"/>
      <c r="J698" s="884"/>
      <c r="K698" s="884"/>
      <c r="L698" s="884"/>
      <c r="M698" s="884"/>
      <c r="N698" s="884"/>
      <c r="O698" s="884"/>
      <c r="P698" s="884"/>
      <c r="Q698" s="884"/>
      <c r="R698" s="884"/>
      <c r="S698" s="884"/>
      <c r="T698" s="884"/>
      <c r="U698" s="884"/>
      <c r="V698" s="884"/>
      <c r="W698" s="884"/>
      <c r="X698" s="884"/>
      <c r="Y698" s="884"/>
      <c r="Z698" s="884"/>
      <c r="AA698" s="884"/>
      <c r="AB698" s="884"/>
      <c r="AC698" s="884"/>
      <c r="AD698" s="884"/>
      <c r="AE698" s="884"/>
      <c r="AF698" s="884"/>
    </row>
    <row r="699" spans="1:32" ht="50.1" customHeight="1" x14ac:dyDescent="0.3">
      <c r="A699" s="368" t="s">
        <v>803</v>
      </c>
      <c r="B699" s="884" t="s">
        <v>1841</v>
      </c>
      <c r="C699" s="884"/>
      <c r="D699" s="884"/>
      <c r="E699" s="884"/>
      <c r="F699" s="884"/>
      <c r="G699" s="884"/>
      <c r="H699" s="884"/>
      <c r="I699" s="884"/>
      <c r="J699" s="884"/>
      <c r="K699" s="884"/>
      <c r="L699" s="884"/>
      <c r="M699" s="884"/>
      <c r="N699" s="884"/>
      <c r="O699" s="884"/>
      <c r="P699" s="884"/>
      <c r="Q699" s="884"/>
      <c r="R699" s="884"/>
      <c r="S699" s="884"/>
      <c r="T699" s="884"/>
      <c r="U699" s="884"/>
      <c r="V699" s="884"/>
      <c r="W699" s="884"/>
      <c r="X699" s="884"/>
      <c r="Y699" s="884"/>
      <c r="Z699" s="884"/>
      <c r="AA699" s="884"/>
      <c r="AB699" s="884"/>
      <c r="AC699" s="884"/>
      <c r="AD699" s="884"/>
      <c r="AE699" s="884"/>
      <c r="AF699" s="884"/>
    </row>
  </sheetData>
  <sheetProtection algorithmName="SHA-512" hashValue="75ADm5/itg3flbVXBfRL2mfDf3lRCnZJKS8oCGxgPvTpCawMexOeE7qcYcQJVN4vi3Ij+iG2pcbaftwK3ygVMA==" saltValue="briVYdMmnN0YRMIBkDUWgg==" spinCount="100000" sheet="1" objects="1" scenarios="1"/>
  <mergeCells count="3401">
    <mergeCell ref="B678:AF678"/>
    <mergeCell ref="G525:AD525"/>
    <mergeCell ref="O526:R526"/>
    <mergeCell ref="S526:V526"/>
    <mergeCell ref="O527:R527"/>
    <mergeCell ref="S527:V527"/>
    <mergeCell ref="O528:R528"/>
    <mergeCell ref="S528:V528"/>
    <mergeCell ref="O529:R529"/>
    <mergeCell ref="S529:V529"/>
    <mergeCell ref="O530:R530"/>
    <mergeCell ref="S530:V530"/>
    <mergeCell ref="O531:R531"/>
    <mergeCell ref="S531:V531"/>
    <mergeCell ref="O532:R532"/>
    <mergeCell ref="S532:V532"/>
    <mergeCell ref="O533:R533"/>
    <mergeCell ref="S533:V533"/>
    <mergeCell ref="A555:F555"/>
    <mergeCell ref="G555:J555"/>
    <mergeCell ref="K555:N555"/>
    <mergeCell ref="O555:R555"/>
    <mergeCell ref="S555:V555"/>
    <mergeCell ref="W555:Z555"/>
    <mergeCell ref="W552:Z552"/>
    <mergeCell ref="AA552:AD552"/>
    <mergeCell ref="O519:R519"/>
    <mergeCell ref="S519:V519"/>
    <mergeCell ref="AM509:AP509"/>
    <mergeCell ref="AQ509:AT509"/>
    <mergeCell ref="AM510:AP510"/>
    <mergeCell ref="AQ510:AT510"/>
    <mergeCell ref="AM511:AP511"/>
    <mergeCell ref="AQ511:AT511"/>
    <mergeCell ref="AM512:AP512"/>
    <mergeCell ref="AQ512:AT512"/>
    <mergeCell ref="AM513:AP513"/>
    <mergeCell ref="AQ513:AT513"/>
    <mergeCell ref="AM514:AP514"/>
    <mergeCell ref="AQ514:AT514"/>
    <mergeCell ref="AM515:AP515"/>
    <mergeCell ref="AQ515:AT515"/>
    <mergeCell ref="AM516:AP516"/>
    <mergeCell ref="AQ516:AT516"/>
    <mergeCell ref="AM517:AP517"/>
    <mergeCell ref="AQ517:AT517"/>
    <mergeCell ref="AM518:AP518"/>
    <mergeCell ref="AQ518:AT518"/>
    <mergeCell ref="AM519:AP519"/>
    <mergeCell ref="AQ519:AT519"/>
    <mergeCell ref="O510:R510"/>
    <mergeCell ref="S510:V510"/>
    <mergeCell ref="O511:R511"/>
    <mergeCell ref="S511:V511"/>
    <mergeCell ref="O512:R512"/>
    <mergeCell ref="S512:V512"/>
    <mergeCell ref="O513:R513"/>
    <mergeCell ref="S513:V513"/>
    <mergeCell ref="O514:R514"/>
    <mergeCell ref="S514:V514"/>
    <mergeCell ref="O515:R515"/>
    <mergeCell ref="S515:V515"/>
    <mergeCell ref="O516:R516"/>
    <mergeCell ref="S516:V516"/>
    <mergeCell ref="O517:R517"/>
    <mergeCell ref="S517:V517"/>
    <mergeCell ref="O518:R518"/>
    <mergeCell ref="S518:V518"/>
    <mergeCell ref="A112:F112"/>
    <mergeCell ref="G112:L112"/>
    <mergeCell ref="M112:N112"/>
    <mergeCell ref="O112:T112"/>
    <mergeCell ref="U112:V112"/>
    <mergeCell ref="W112:AA112"/>
    <mergeCell ref="AB112:AC112"/>
    <mergeCell ref="A421:F421"/>
    <mergeCell ref="G421:J421"/>
    <mergeCell ref="K421:N421"/>
    <mergeCell ref="O421:R421"/>
    <mergeCell ref="S421:V421"/>
    <mergeCell ref="W421:Z421"/>
    <mergeCell ref="AA421:AD421"/>
    <mergeCell ref="A417:F417"/>
    <mergeCell ref="G417:J417"/>
    <mergeCell ref="K417:N417"/>
    <mergeCell ref="O417:R417"/>
    <mergeCell ref="S417:V417"/>
    <mergeCell ref="W417:Z417"/>
    <mergeCell ref="AA417:AD417"/>
    <mergeCell ref="K376:N376"/>
    <mergeCell ref="AD112:AF112"/>
    <mergeCell ref="AG112:AH112"/>
    <mergeCell ref="AI112:AJ112"/>
    <mergeCell ref="AK112:AO112"/>
    <mergeCell ref="A144:F144"/>
    <mergeCell ref="G144:H144"/>
    <mergeCell ref="I144:J144"/>
    <mergeCell ref="K144:L144"/>
    <mergeCell ref="R143:Y144"/>
    <mergeCell ref="Z143:AG144"/>
    <mergeCell ref="A210:Q210"/>
    <mergeCell ref="B695:AF695"/>
    <mergeCell ref="B698:AF698"/>
    <mergeCell ref="B699:AF699"/>
    <mergeCell ref="A673:AF673"/>
    <mergeCell ref="B675:AF675"/>
    <mergeCell ref="B676:AF676"/>
    <mergeCell ref="B677:AF677"/>
    <mergeCell ref="B682:AF682"/>
    <mergeCell ref="B683:AF683"/>
    <mergeCell ref="B684:AF684"/>
    <mergeCell ref="B685:AF685"/>
    <mergeCell ref="B686:AF686"/>
    <mergeCell ref="B687:AF687"/>
    <mergeCell ref="B688:AF688"/>
    <mergeCell ref="B689:AF689"/>
    <mergeCell ref="B691:AF691"/>
    <mergeCell ref="B693:AF693"/>
    <mergeCell ref="B694:AF694"/>
    <mergeCell ref="B696:AF696"/>
    <mergeCell ref="B697:AF697"/>
    <mergeCell ref="B692:AF692"/>
    <mergeCell ref="B690:AF690"/>
    <mergeCell ref="B681:AF681"/>
    <mergeCell ref="A425:F425"/>
    <mergeCell ref="G425:J425"/>
    <mergeCell ref="K425:N425"/>
    <mergeCell ref="O425:R425"/>
    <mergeCell ref="S425:V425"/>
    <mergeCell ref="W425:Z425"/>
    <mergeCell ref="AA425:AD425"/>
    <mergeCell ref="AE425:AH425"/>
    <mergeCell ref="AI425:AL425"/>
    <mergeCell ref="A423:F423"/>
    <mergeCell ref="G423:J423"/>
    <mergeCell ref="K423:N423"/>
    <mergeCell ref="O423:R423"/>
    <mergeCell ref="S423:V423"/>
    <mergeCell ref="W423:Z423"/>
    <mergeCell ref="AA423:AD423"/>
    <mergeCell ref="AE423:AH423"/>
    <mergeCell ref="AI423:AL423"/>
    <mergeCell ref="A424:F424"/>
    <mergeCell ref="G424:J424"/>
    <mergeCell ref="K424:N424"/>
    <mergeCell ref="O424:R424"/>
    <mergeCell ref="S424:V424"/>
    <mergeCell ref="W424:Z424"/>
    <mergeCell ref="AA424:AD424"/>
    <mergeCell ref="AE424:AH424"/>
    <mergeCell ref="AI424:AL424"/>
    <mergeCell ref="AA555:AD555"/>
    <mergeCell ref="AE555:AH555"/>
    <mergeCell ref="AI555:AL555"/>
    <mergeCell ref="AE421:AH421"/>
    <mergeCell ref="AI421:AL421"/>
    <mergeCell ref="A422:F422"/>
    <mergeCell ref="G422:J422"/>
    <mergeCell ref="K422:N422"/>
    <mergeCell ref="O422:R422"/>
    <mergeCell ref="S422:V422"/>
    <mergeCell ref="W422:Z422"/>
    <mergeCell ref="AA422:AD422"/>
    <mergeCell ref="AE422:AH422"/>
    <mergeCell ref="AI422:AL422"/>
    <mergeCell ref="A419:F419"/>
    <mergeCell ref="G419:J419"/>
    <mergeCell ref="K419:N419"/>
    <mergeCell ref="O419:R419"/>
    <mergeCell ref="S419:V419"/>
    <mergeCell ref="W419:Z419"/>
    <mergeCell ref="AA419:AD419"/>
    <mergeCell ref="AE419:AH419"/>
    <mergeCell ref="AI419:AL419"/>
    <mergeCell ref="A420:F420"/>
    <mergeCell ref="G420:J420"/>
    <mergeCell ref="K420:N420"/>
    <mergeCell ref="O420:R420"/>
    <mergeCell ref="S420:V420"/>
    <mergeCell ref="W420:Z420"/>
    <mergeCell ref="AA420:AD420"/>
    <mergeCell ref="AE420:AH420"/>
    <mergeCell ref="AI420:AL420"/>
    <mergeCell ref="AE417:AH417"/>
    <mergeCell ref="AI417:AL417"/>
    <mergeCell ref="A418:F418"/>
    <mergeCell ref="G418:J418"/>
    <mergeCell ref="K418:N418"/>
    <mergeCell ref="O418:R418"/>
    <mergeCell ref="S418:V418"/>
    <mergeCell ref="W418:Z418"/>
    <mergeCell ref="AA418:AD418"/>
    <mergeCell ref="AE418:AH418"/>
    <mergeCell ref="AI418:AL418"/>
    <mergeCell ref="G415:J415"/>
    <mergeCell ref="K415:N415"/>
    <mergeCell ref="O415:R415"/>
    <mergeCell ref="S415:V415"/>
    <mergeCell ref="W415:Z415"/>
    <mergeCell ref="AA415:AD415"/>
    <mergeCell ref="AE415:AH415"/>
    <mergeCell ref="AI415:AL415"/>
    <mergeCell ref="A416:F416"/>
    <mergeCell ref="G416:J416"/>
    <mergeCell ref="K416:N416"/>
    <mergeCell ref="O416:R416"/>
    <mergeCell ref="S416:V416"/>
    <mergeCell ref="W416:Z416"/>
    <mergeCell ref="AA416:AD416"/>
    <mergeCell ref="AE416:AH416"/>
    <mergeCell ref="AI416:AL416"/>
    <mergeCell ref="O376:R376"/>
    <mergeCell ref="G381:AL381"/>
    <mergeCell ref="G331:N331"/>
    <mergeCell ref="O331:V331"/>
    <mergeCell ref="W331:AD331"/>
    <mergeCell ref="AE331:AL331"/>
    <mergeCell ref="G330:AL330"/>
    <mergeCell ref="G314:AL314"/>
    <mergeCell ref="G315:N315"/>
    <mergeCell ref="O315:V315"/>
    <mergeCell ref="W315:AD315"/>
    <mergeCell ref="AE315:AL315"/>
    <mergeCell ref="A373:F373"/>
    <mergeCell ref="G373:J373"/>
    <mergeCell ref="K373:N373"/>
    <mergeCell ref="O373:R373"/>
    <mergeCell ref="A374:F374"/>
    <mergeCell ref="G374:J374"/>
    <mergeCell ref="K374:N374"/>
    <mergeCell ref="O374:R374"/>
    <mergeCell ref="A375:F375"/>
    <mergeCell ref="G375:J375"/>
    <mergeCell ref="K375:N375"/>
    <mergeCell ref="O375:R375"/>
    <mergeCell ref="A370:F370"/>
    <mergeCell ref="G370:J370"/>
    <mergeCell ref="K370:N370"/>
    <mergeCell ref="O370:R370"/>
    <mergeCell ref="A371:F371"/>
    <mergeCell ref="A342:F342"/>
    <mergeCell ref="G364:R364"/>
    <mergeCell ref="A365:F365"/>
    <mergeCell ref="G365:J365"/>
    <mergeCell ref="K365:N365"/>
    <mergeCell ref="O365:R365"/>
    <mergeCell ref="A340:F340"/>
    <mergeCell ref="A341:F341"/>
    <mergeCell ref="G371:J371"/>
    <mergeCell ref="K371:N371"/>
    <mergeCell ref="O371:R371"/>
    <mergeCell ref="A372:F372"/>
    <mergeCell ref="G372:J372"/>
    <mergeCell ref="K372:N372"/>
    <mergeCell ref="O372:R372"/>
    <mergeCell ref="G367:J367"/>
    <mergeCell ref="K367:N367"/>
    <mergeCell ref="O367:R367"/>
    <mergeCell ref="A368:F368"/>
    <mergeCell ref="G368:J368"/>
    <mergeCell ref="K368:N368"/>
    <mergeCell ref="O368:R368"/>
    <mergeCell ref="A369:F369"/>
    <mergeCell ref="G369:J369"/>
    <mergeCell ref="K369:N369"/>
    <mergeCell ref="O369:R369"/>
    <mergeCell ref="G340:N340"/>
    <mergeCell ref="O340:V340"/>
    <mergeCell ref="A336:F336"/>
    <mergeCell ref="A337:F337"/>
    <mergeCell ref="G336:N336"/>
    <mergeCell ref="O336:V336"/>
    <mergeCell ref="W336:AD336"/>
    <mergeCell ref="AE336:AL336"/>
    <mergeCell ref="G337:N337"/>
    <mergeCell ref="O337:V337"/>
    <mergeCell ref="W337:AD337"/>
    <mergeCell ref="AE337:AL337"/>
    <mergeCell ref="A338:F338"/>
    <mergeCell ref="A339:F339"/>
    <mergeCell ref="G338:N338"/>
    <mergeCell ref="O338:V338"/>
    <mergeCell ref="W338:AD338"/>
    <mergeCell ref="AE338:AL338"/>
    <mergeCell ref="G339:N339"/>
    <mergeCell ref="O339:V339"/>
    <mergeCell ref="W339:AD339"/>
    <mergeCell ref="AE339:AL339"/>
    <mergeCell ref="A332:F332"/>
    <mergeCell ref="A333:F333"/>
    <mergeCell ref="G332:N332"/>
    <mergeCell ref="O332:V332"/>
    <mergeCell ref="W332:AD332"/>
    <mergeCell ref="AE332:AL332"/>
    <mergeCell ref="G333:N333"/>
    <mergeCell ref="O333:V333"/>
    <mergeCell ref="W333:AD333"/>
    <mergeCell ref="AE333:AL333"/>
    <mergeCell ref="A334:F334"/>
    <mergeCell ref="A335:F335"/>
    <mergeCell ref="G334:N334"/>
    <mergeCell ref="O334:V334"/>
    <mergeCell ref="W334:AD334"/>
    <mergeCell ref="AE334:AL334"/>
    <mergeCell ref="G335:N335"/>
    <mergeCell ref="O335:V335"/>
    <mergeCell ref="W335:AD335"/>
    <mergeCell ref="AE335:AL335"/>
    <mergeCell ref="A317:F317"/>
    <mergeCell ref="A318:F318"/>
    <mergeCell ref="A319:F319"/>
    <mergeCell ref="A320:F320"/>
    <mergeCell ref="A321:F321"/>
    <mergeCell ref="A322:F322"/>
    <mergeCell ref="A323:F323"/>
    <mergeCell ref="A324:F324"/>
    <mergeCell ref="A327:F327"/>
    <mergeCell ref="A331:F331"/>
    <mergeCell ref="A325:F325"/>
    <mergeCell ref="A326:F326"/>
    <mergeCell ref="G318:J318"/>
    <mergeCell ref="K318:N318"/>
    <mergeCell ref="O318:R318"/>
    <mergeCell ref="S318:V318"/>
    <mergeCell ref="W318:Z318"/>
    <mergeCell ref="G319:J319"/>
    <mergeCell ref="K319:N319"/>
    <mergeCell ref="O319:R319"/>
    <mergeCell ref="S319:V319"/>
    <mergeCell ref="K320:N320"/>
    <mergeCell ref="O320:R320"/>
    <mergeCell ref="S320:V320"/>
    <mergeCell ref="W320:Z320"/>
    <mergeCell ref="G323:J323"/>
    <mergeCell ref="K323:N323"/>
    <mergeCell ref="O323:R323"/>
    <mergeCell ref="S323:V323"/>
    <mergeCell ref="W323:Z323"/>
    <mergeCell ref="G326:J326"/>
    <mergeCell ref="K326:N326"/>
    <mergeCell ref="A309:F309"/>
    <mergeCell ref="G309:J309"/>
    <mergeCell ref="K309:N309"/>
    <mergeCell ref="O309:R309"/>
    <mergeCell ref="S309:V309"/>
    <mergeCell ref="W309:Z309"/>
    <mergeCell ref="AA309:AD309"/>
    <mergeCell ref="AE309:AH309"/>
    <mergeCell ref="AI309:AL309"/>
    <mergeCell ref="A306:F306"/>
    <mergeCell ref="G306:J306"/>
    <mergeCell ref="K306:N306"/>
    <mergeCell ref="O306:R306"/>
    <mergeCell ref="S306:V306"/>
    <mergeCell ref="W306:Z306"/>
    <mergeCell ref="AA306:AD306"/>
    <mergeCell ref="A307:F307"/>
    <mergeCell ref="G307:J307"/>
    <mergeCell ref="K307:N307"/>
    <mergeCell ref="O307:R307"/>
    <mergeCell ref="S307:V307"/>
    <mergeCell ref="W307:Z307"/>
    <mergeCell ref="AA307:AD307"/>
    <mergeCell ref="A308:F308"/>
    <mergeCell ref="G308:J308"/>
    <mergeCell ref="K308:N308"/>
    <mergeCell ref="O308:R308"/>
    <mergeCell ref="S308:V308"/>
    <mergeCell ref="W308:Z308"/>
    <mergeCell ref="AA308:AD308"/>
    <mergeCell ref="A303:F303"/>
    <mergeCell ref="G303:J303"/>
    <mergeCell ref="K303:N303"/>
    <mergeCell ref="O303:R303"/>
    <mergeCell ref="S303:V303"/>
    <mergeCell ref="W303:Z303"/>
    <mergeCell ref="AA303:AD303"/>
    <mergeCell ref="A304:F304"/>
    <mergeCell ref="G304:J304"/>
    <mergeCell ref="K304:N304"/>
    <mergeCell ref="O304:R304"/>
    <mergeCell ref="S304:V304"/>
    <mergeCell ref="W304:Z304"/>
    <mergeCell ref="AA304:AD304"/>
    <mergeCell ref="A305:F305"/>
    <mergeCell ref="G305:J305"/>
    <mergeCell ref="K305:N305"/>
    <mergeCell ref="O305:R305"/>
    <mergeCell ref="S305:V305"/>
    <mergeCell ref="W305:Z305"/>
    <mergeCell ref="AA305:AD305"/>
    <mergeCell ref="AE303:AH303"/>
    <mergeCell ref="AI303:AL303"/>
    <mergeCell ref="AE304:AH304"/>
    <mergeCell ref="AI304:AL304"/>
    <mergeCell ref="AE305:AH305"/>
    <mergeCell ref="AI305:AL305"/>
    <mergeCell ref="AE306:AH306"/>
    <mergeCell ref="AI306:AL306"/>
    <mergeCell ref="AE307:AH307"/>
    <mergeCell ref="AI307:AL307"/>
    <mergeCell ref="AE308:AH308"/>
    <mergeCell ref="AI308:AL308"/>
    <mergeCell ref="S347:AD347"/>
    <mergeCell ref="G347:R347"/>
    <mergeCell ref="G297:N297"/>
    <mergeCell ref="O297:V297"/>
    <mergeCell ref="W297:AD297"/>
    <mergeCell ref="AE297:AL297"/>
    <mergeCell ref="O298:R298"/>
    <mergeCell ref="S298:V298"/>
    <mergeCell ref="W298:Z298"/>
    <mergeCell ref="AA298:AD298"/>
    <mergeCell ref="AE298:AH298"/>
    <mergeCell ref="AI298:AL298"/>
    <mergeCell ref="AA318:AD318"/>
    <mergeCell ref="AE318:AH318"/>
    <mergeCell ref="AI318:AL318"/>
    <mergeCell ref="W319:Z319"/>
    <mergeCell ref="AA319:AD319"/>
    <mergeCell ref="AE319:AH319"/>
    <mergeCell ref="AI319:AL319"/>
    <mergeCell ref="G320:J320"/>
    <mergeCell ref="A301:F301"/>
    <mergeCell ref="G301:J301"/>
    <mergeCell ref="K301:N301"/>
    <mergeCell ref="O301:R301"/>
    <mergeCell ref="S301:V301"/>
    <mergeCell ref="W301:Z301"/>
    <mergeCell ref="AA301:AD301"/>
    <mergeCell ref="AE301:AH301"/>
    <mergeCell ref="AI301:AL301"/>
    <mergeCell ref="A302:F302"/>
    <mergeCell ref="G302:J302"/>
    <mergeCell ref="K302:N302"/>
    <mergeCell ref="O302:R302"/>
    <mergeCell ref="S302:V302"/>
    <mergeCell ref="W302:Z302"/>
    <mergeCell ref="AA302:AD302"/>
    <mergeCell ref="AE302:AH302"/>
    <mergeCell ref="AI302:AL302"/>
    <mergeCell ref="A299:F299"/>
    <mergeCell ref="G299:J299"/>
    <mergeCell ref="K299:N299"/>
    <mergeCell ref="O299:R299"/>
    <mergeCell ref="S299:V299"/>
    <mergeCell ref="W299:Z299"/>
    <mergeCell ref="AA299:AD299"/>
    <mergeCell ref="AE299:AH299"/>
    <mergeCell ref="AI299:AL299"/>
    <mergeCell ref="A300:F300"/>
    <mergeCell ref="G300:J300"/>
    <mergeCell ref="K300:N300"/>
    <mergeCell ref="O300:R300"/>
    <mergeCell ref="S300:V300"/>
    <mergeCell ref="W300:Z300"/>
    <mergeCell ref="AA300:AD300"/>
    <mergeCell ref="AE300:AH300"/>
    <mergeCell ref="AI300:AL300"/>
    <mergeCell ref="A298:F298"/>
    <mergeCell ref="G298:J298"/>
    <mergeCell ref="K298:N298"/>
    <mergeCell ref="A263:F263"/>
    <mergeCell ref="G263:J263"/>
    <mergeCell ref="K263:N263"/>
    <mergeCell ref="O263:R263"/>
    <mergeCell ref="S263:V263"/>
    <mergeCell ref="A264:F264"/>
    <mergeCell ref="G264:J264"/>
    <mergeCell ref="K264:N264"/>
    <mergeCell ref="O264:R264"/>
    <mergeCell ref="S264:V264"/>
    <mergeCell ref="W199:Z199"/>
    <mergeCell ref="W200:Z200"/>
    <mergeCell ref="W201:Z201"/>
    <mergeCell ref="W202:Z202"/>
    <mergeCell ref="W203:Z203"/>
    <mergeCell ref="W204:Z204"/>
    <mergeCell ref="W205:Z205"/>
    <mergeCell ref="W206:Z206"/>
    <mergeCell ref="W207:Z207"/>
    <mergeCell ref="W208:Z208"/>
    <mergeCell ref="W209:Z209"/>
    <mergeCell ref="S210:Z210"/>
    <mergeCell ref="G252:V252"/>
    <mergeCell ref="A262:F262"/>
    <mergeCell ref="G262:J262"/>
    <mergeCell ref="K262:N262"/>
    <mergeCell ref="O262:R262"/>
    <mergeCell ref="S262:V262"/>
    <mergeCell ref="A207:D207"/>
    <mergeCell ref="E207:G207"/>
    <mergeCell ref="H207:K207"/>
    <mergeCell ref="L207:N207"/>
    <mergeCell ref="O207:Q207"/>
    <mergeCell ref="A208:D208"/>
    <mergeCell ref="E208:G208"/>
    <mergeCell ref="H208:K208"/>
    <mergeCell ref="L208:N208"/>
    <mergeCell ref="O208:Q208"/>
    <mergeCell ref="A209:D209"/>
    <mergeCell ref="E209:G209"/>
    <mergeCell ref="H209:K209"/>
    <mergeCell ref="L209:N209"/>
    <mergeCell ref="O209:Q209"/>
    <mergeCell ref="S198:V198"/>
    <mergeCell ref="S199:V199"/>
    <mergeCell ref="S200:V200"/>
    <mergeCell ref="S201:V201"/>
    <mergeCell ref="S202:V202"/>
    <mergeCell ref="S203:V203"/>
    <mergeCell ref="S204:V204"/>
    <mergeCell ref="S205:V205"/>
    <mergeCell ref="S206:V206"/>
    <mergeCell ref="S207:V207"/>
    <mergeCell ref="S208:V208"/>
    <mergeCell ref="S209:V209"/>
    <mergeCell ref="A203:D203"/>
    <mergeCell ref="E203:G203"/>
    <mergeCell ref="H203:K203"/>
    <mergeCell ref="L203:N203"/>
    <mergeCell ref="O203:Q203"/>
    <mergeCell ref="A204:D204"/>
    <mergeCell ref="E204:G204"/>
    <mergeCell ref="H204:K204"/>
    <mergeCell ref="L204:N204"/>
    <mergeCell ref="O204:Q204"/>
    <mergeCell ref="A205:D205"/>
    <mergeCell ref="E205:G205"/>
    <mergeCell ref="H205:K205"/>
    <mergeCell ref="L205:N205"/>
    <mergeCell ref="O205:Q205"/>
    <mergeCell ref="A206:D206"/>
    <mergeCell ref="E206:G206"/>
    <mergeCell ref="H206:K206"/>
    <mergeCell ref="L206:N206"/>
    <mergeCell ref="O206:Q206"/>
    <mergeCell ref="A199:D199"/>
    <mergeCell ref="E199:G199"/>
    <mergeCell ref="H199:K199"/>
    <mergeCell ref="L199:N199"/>
    <mergeCell ref="O199:Q199"/>
    <mergeCell ref="A200:D200"/>
    <mergeCell ref="E200:G200"/>
    <mergeCell ref="H200:K200"/>
    <mergeCell ref="L200:N200"/>
    <mergeCell ref="O200:Q200"/>
    <mergeCell ref="A201:D201"/>
    <mergeCell ref="E201:G201"/>
    <mergeCell ref="H201:K201"/>
    <mergeCell ref="L201:N201"/>
    <mergeCell ref="O201:Q201"/>
    <mergeCell ref="A202:D202"/>
    <mergeCell ref="E202:G202"/>
    <mergeCell ref="H202:K202"/>
    <mergeCell ref="L202:N202"/>
    <mergeCell ref="O202:Q202"/>
    <mergeCell ref="H166:K166"/>
    <mergeCell ref="H167:K167"/>
    <mergeCell ref="H168:K168"/>
    <mergeCell ref="H169:K169"/>
    <mergeCell ref="H170:K170"/>
    <mergeCell ref="H171:K171"/>
    <mergeCell ref="H172:K172"/>
    <mergeCell ref="H173:K173"/>
    <mergeCell ref="H174:K174"/>
    <mergeCell ref="H175:K175"/>
    <mergeCell ref="H176:K176"/>
    <mergeCell ref="H177:K177"/>
    <mergeCell ref="A194:AF194"/>
    <mergeCell ref="A198:D198"/>
    <mergeCell ref="E198:G198"/>
    <mergeCell ref="H198:K198"/>
    <mergeCell ref="L198:N198"/>
    <mergeCell ref="O198:Q198"/>
    <mergeCell ref="W198:Z198"/>
    <mergeCell ref="U191:X191"/>
    <mergeCell ref="AC191:AF191"/>
    <mergeCell ref="E192:H192"/>
    <mergeCell ref="I192:L192"/>
    <mergeCell ref="U192:X192"/>
    <mergeCell ref="AC192:AF192"/>
    <mergeCell ref="A178:Q178"/>
    <mergeCell ref="AC185:AF185"/>
    <mergeCell ref="E186:H186"/>
    <mergeCell ref="I186:L186"/>
    <mergeCell ref="U186:X186"/>
    <mergeCell ref="AC186:AF186"/>
    <mergeCell ref="E187:H187"/>
    <mergeCell ref="I187:L187"/>
    <mergeCell ref="U187:X187"/>
    <mergeCell ref="AC187:AF187"/>
    <mergeCell ref="U193:X193"/>
    <mergeCell ref="AC193:AF193"/>
    <mergeCell ref="U188:X188"/>
    <mergeCell ref="AC188:AF188"/>
    <mergeCell ref="E189:H189"/>
    <mergeCell ref="I189:L189"/>
    <mergeCell ref="U189:X189"/>
    <mergeCell ref="AC189:AF189"/>
    <mergeCell ref="E190:H190"/>
    <mergeCell ref="I190:L190"/>
    <mergeCell ref="U190:X190"/>
    <mergeCell ref="AC190:AF190"/>
    <mergeCell ref="M188:N188"/>
    <mergeCell ref="O188:P188"/>
    <mergeCell ref="Q188:R188"/>
    <mergeCell ref="S188:T188"/>
    <mergeCell ref="Y188:Z188"/>
    <mergeCell ref="AA188:AB188"/>
    <mergeCell ref="M189:N189"/>
    <mergeCell ref="O189:P189"/>
    <mergeCell ref="Q189:R189"/>
    <mergeCell ref="S189:T189"/>
    <mergeCell ref="Y189:Z189"/>
    <mergeCell ref="AA189:AB189"/>
    <mergeCell ref="Q190:R190"/>
    <mergeCell ref="S190:T190"/>
    <mergeCell ref="Y190:Z190"/>
    <mergeCell ref="Q181:T181"/>
    <mergeCell ref="Y181:AB181"/>
    <mergeCell ref="E183:H183"/>
    <mergeCell ref="I183:L183"/>
    <mergeCell ref="U183:X183"/>
    <mergeCell ref="AC183:AF183"/>
    <mergeCell ref="E184:H184"/>
    <mergeCell ref="I184:L184"/>
    <mergeCell ref="U184:X184"/>
    <mergeCell ref="AC184:AF184"/>
    <mergeCell ref="U181:X182"/>
    <mergeCell ref="AC181:AF182"/>
    <mergeCell ref="Q182:R182"/>
    <mergeCell ref="S182:T182"/>
    <mergeCell ref="Y182:Z182"/>
    <mergeCell ref="AA182:AB182"/>
    <mergeCell ref="M183:N183"/>
    <mergeCell ref="O183:P183"/>
    <mergeCell ref="Q183:R183"/>
    <mergeCell ref="S183:T183"/>
    <mergeCell ref="Y183:Z183"/>
    <mergeCell ref="AA183:AB183"/>
    <mergeCell ref="M184:N184"/>
    <mergeCell ref="O184:P184"/>
    <mergeCell ref="Q184:R184"/>
    <mergeCell ref="S184:T184"/>
    <mergeCell ref="Y184:Z184"/>
    <mergeCell ref="AA184:AB184"/>
    <mergeCell ref="A183:D183"/>
    <mergeCell ref="A184:D184"/>
    <mergeCell ref="A185:D185"/>
    <mergeCell ref="A186:D186"/>
    <mergeCell ref="A187:D187"/>
    <mergeCell ref="A188:D188"/>
    <mergeCell ref="A189:D189"/>
    <mergeCell ref="A190:D190"/>
    <mergeCell ref="A191:D191"/>
    <mergeCell ref="A192:D192"/>
    <mergeCell ref="A193:D193"/>
    <mergeCell ref="M181:P181"/>
    <mergeCell ref="E185:H185"/>
    <mergeCell ref="I185:L185"/>
    <mergeCell ref="E188:H188"/>
    <mergeCell ref="I188:L188"/>
    <mergeCell ref="E191:H191"/>
    <mergeCell ref="I191:L191"/>
    <mergeCell ref="E193:H193"/>
    <mergeCell ref="I193:L193"/>
    <mergeCell ref="A181:D182"/>
    <mergeCell ref="E181:H182"/>
    <mergeCell ref="I181:L182"/>
    <mergeCell ref="M182:N182"/>
    <mergeCell ref="O182:P182"/>
    <mergeCell ref="M185:N185"/>
    <mergeCell ref="O185:P185"/>
    <mergeCell ref="M190:N190"/>
    <mergeCell ref="O190:P190"/>
    <mergeCell ref="O176:Q176"/>
    <mergeCell ref="A177:D177"/>
    <mergeCell ref="L177:N177"/>
    <mergeCell ref="O177:Q177"/>
    <mergeCell ref="L166:N166"/>
    <mergeCell ref="O166:Q166"/>
    <mergeCell ref="E166:G166"/>
    <mergeCell ref="E167:G167"/>
    <mergeCell ref="E168:G168"/>
    <mergeCell ref="E169:G169"/>
    <mergeCell ref="E170:G170"/>
    <mergeCell ref="E171:G171"/>
    <mergeCell ref="E172:G172"/>
    <mergeCell ref="E173:G173"/>
    <mergeCell ref="E174:G174"/>
    <mergeCell ref="E175:G175"/>
    <mergeCell ref="E176:G176"/>
    <mergeCell ref="E177:G177"/>
    <mergeCell ref="A171:D171"/>
    <mergeCell ref="L171:N171"/>
    <mergeCell ref="O171:Q171"/>
    <mergeCell ref="A172:D172"/>
    <mergeCell ref="L172:N172"/>
    <mergeCell ref="O172:Q172"/>
    <mergeCell ref="A173:D173"/>
    <mergeCell ref="L173:N173"/>
    <mergeCell ref="O173:Q173"/>
    <mergeCell ref="A174:D174"/>
    <mergeCell ref="L174:N174"/>
    <mergeCell ref="O174:Q174"/>
    <mergeCell ref="A175:D175"/>
    <mergeCell ref="L175:N175"/>
    <mergeCell ref="O175:Q175"/>
    <mergeCell ref="A166:D166"/>
    <mergeCell ref="A167:D167"/>
    <mergeCell ref="L167:N167"/>
    <mergeCell ref="O167:Q167"/>
    <mergeCell ref="A168:D168"/>
    <mergeCell ref="L168:N168"/>
    <mergeCell ref="O168:Q168"/>
    <mergeCell ref="A169:D169"/>
    <mergeCell ref="L169:N169"/>
    <mergeCell ref="O169:Q169"/>
    <mergeCell ref="A170:D170"/>
    <mergeCell ref="L170:N170"/>
    <mergeCell ref="O170:Q170"/>
    <mergeCell ref="AA551:AD551"/>
    <mergeCell ref="AE551:AH551"/>
    <mergeCell ref="AE548:AH548"/>
    <mergeCell ref="G543:V543"/>
    <mergeCell ref="W543:AL543"/>
    <mergeCell ref="W408:Z408"/>
    <mergeCell ref="AA408:AD408"/>
    <mergeCell ref="AE408:AH408"/>
    <mergeCell ref="AI408:AL408"/>
    <mergeCell ref="AE407:AH407"/>
    <mergeCell ref="AI407:AL407"/>
    <mergeCell ref="A408:F408"/>
    <mergeCell ref="G408:J408"/>
    <mergeCell ref="A176:D176"/>
    <mergeCell ref="L176:N176"/>
    <mergeCell ref="AI549:AL549"/>
    <mergeCell ref="A550:F550"/>
    <mergeCell ref="G550:J550"/>
    <mergeCell ref="AI553:AL553"/>
    <mergeCell ref="A554:F554"/>
    <mergeCell ref="G554:J554"/>
    <mergeCell ref="K554:N554"/>
    <mergeCell ref="O554:R554"/>
    <mergeCell ref="S554:V554"/>
    <mergeCell ref="W554:Z554"/>
    <mergeCell ref="AA554:AD554"/>
    <mergeCell ref="AE554:AH554"/>
    <mergeCell ref="AI554:AL554"/>
    <mergeCell ref="AA548:AD548"/>
    <mergeCell ref="A547:F547"/>
    <mergeCell ref="G547:J547"/>
    <mergeCell ref="K547:N547"/>
    <mergeCell ref="O547:R547"/>
    <mergeCell ref="O544:R544"/>
    <mergeCell ref="S544:V544"/>
    <mergeCell ref="K550:N550"/>
    <mergeCell ref="AE552:AH552"/>
    <mergeCell ref="AI552:AL552"/>
    <mergeCell ref="A553:F553"/>
    <mergeCell ref="G553:J553"/>
    <mergeCell ref="K553:N553"/>
    <mergeCell ref="O553:R553"/>
    <mergeCell ref="S553:V553"/>
    <mergeCell ref="W553:Z553"/>
    <mergeCell ref="AA553:AD553"/>
    <mergeCell ref="AE553:AH553"/>
    <mergeCell ref="AI551:AL551"/>
    <mergeCell ref="A552:F552"/>
    <mergeCell ref="G552:J552"/>
    <mergeCell ref="K552:N552"/>
    <mergeCell ref="W551:Z551"/>
    <mergeCell ref="W537:Z537"/>
    <mergeCell ref="AA537:AD537"/>
    <mergeCell ref="A534:F534"/>
    <mergeCell ref="G534:J534"/>
    <mergeCell ref="K534:N534"/>
    <mergeCell ref="W534:Z534"/>
    <mergeCell ref="W529:Z529"/>
    <mergeCell ref="AA529:AD529"/>
    <mergeCell ref="W550:Z550"/>
    <mergeCell ref="AA550:AD550"/>
    <mergeCell ref="K545:N545"/>
    <mergeCell ref="O545:R545"/>
    <mergeCell ref="S545:V545"/>
    <mergeCell ref="W545:Z545"/>
    <mergeCell ref="AA545:AD545"/>
    <mergeCell ref="G537:J537"/>
    <mergeCell ref="K537:N537"/>
    <mergeCell ref="A533:F533"/>
    <mergeCell ref="G533:J533"/>
    <mergeCell ref="K533:N533"/>
    <mergeCell ref="W533:Z533"/>
    <mergeCell ref="AA533:AD533"/>
    <mergeCell ref="O534:R534"/>
    <mergeCell ref="S534:V534"/>
    <mergeCell ref="K529:N529"/>
    <mergeCell ref="O535:R535"/>
    <mergeCell ref="S535:V535"/>
    <mergeCell ref="O536:R536"/>
    <mergeCell ref="S536:V536"/>
    <mergeCell ref="O537:R537"/>
    <mergeCell ref="S537:V537"/>
    <mergeCell ref="AE550:AH550"/>
    <mergeCell ref="AI550:AL550"/>
    <mergeCell ref="W544:Z544"/>
    <mergeCell ref="AA544:AD544"/>
    <mergeCell ref="AI548:AL548"/>
    <mergeCell ref="A549:F549"/>
    <mergeCell ref="G549:J549"/>
    <mergeCell ref="K549:N549"/>
    <mergeCell ref="O549:R549"/>
    <mergeCell ref="S549:V549"/>
    <mergeCell ref="W549:Z549"/>
    <mergeCell ref="AA549:AD549"/>
    <mergeCell ref="AE549:AH549"/>
    <mergeCell ref="AA547:AD547"/>
    <mergeCell ref="AE547:AH547"/>
    <mergeCell ref="AI547:AL547"/>
    <mergeCell ref="A548:F548"/>
    <mergeCell ref="G548:J548"/>
    <mergeCell ref="K548:N548"/>
    <mergeCell ref="O548:R548"/>
    <mergeCell ref="S548:V548"/>
    <mergeCell ref="W548:Z548"/>
    <mergeCell ref="AI545:AL545"/>
    <mergeCell ref="A546:F546"/>
    <mergeCell ref="W546:Z546"/>
    <mergeCell ref="AA546:AD546"/>
    <mergeCell ref="AE546:AH546"/>
    <mergeCell ref="AI546:AL546"/>
    <mergeCell ref="AE544:AH544"/>
    <mergeCell ref="AI544:AL544"/>
    <mergeCell ref="A545:F545"/>
    <mergeCell ref="G545:J545"/>
    <mergeCell ref="AE545:AH545"/>
    <mergeCell ref="A544:F544"/>
    <mergeCell ref="W547:Z547"/>
    <mergeCell ref="A520:B520"/>
    <mergeCell ref="C520:AD520"/>
    <mergeCell ref="A519:F519"/>
    <mergeCell ref="G519:J519"/>
    <mergeCell ref="K519:N519"/>
    <mergeCell ref="W519:Z519"/>
    <mergeCell ref="AA519:AD519"/>
    <mergeCell ref="AE519:AH519"/>
    <mergeCell ref="AI519:AL519"/>
    <mergeCell ref="AA534:AD534"/>
    <mergeCell ref="A535:F535"/>
    <mergeCell ref="G535:J535"/>
    <mergeCell ref="K535:N535"/>
    <mergeCell ref="W535:Z535"/>
    <mergeCell ref="G544:J544"/>
    <mergeCell ref="K544:N544"/>
    <mergeCell ref="A536:F536"/>
    <mergeCell ref="G536:J536"/>
    <mergeCell ref="K536:N536"/>
    <mergeCell ref="A529:F529"/>
    <mergeCell ref="A527:F527"/>
    <mergeCell ref="G527:J527"/>
    <mergeCell ref="K527:N527"/>
    <mergeCell ref="W527:Z527"/>
    <mergeCell ref="AA527:AD527"/>
    <mergeCell ref="AA535:AD535"/>
    <mergeCell ref="W536:Z536"/>
    <mergeCell ref="AA536:AD536"/>
    <mergeCell ref="A537:F537"/>
    <mergeCell ref="AA516:AD516"/>
    <mergeCell ref="A515:F515"/>
    <mergeCell ref="G515:J515"/>
    <mergeCell ref="K515:N515"/>
    <mergeCell ref="W515:Z515"/>
    <mergeCell ref="AA515:AD515"/>
    <mergeCell ref="AE515:AH515"/>
    <mergeCell ref="A531:F531"/>
    <mergeCell ref="G531:J531"/>
    <mergeCell ref="K531:N531"/>
    <mergeCell ref="W531:Z531"/>
    <mergeCell ref="AA531:AD531"/>
    <mergeCell ref="A530:F530"/>
    <mergeCell ref="G530:J530"/>
    <mergeCell ref="K530:N530"/>
    <mergeCell ref="W530:Z530"/>
    <mergeCell ref="AA530:AD530"/>
    <mergeCell ref="AA518:AD518"/>
    <mergeCell ref="A517:F517"/>
    <mergeCell ref="G517:J517"/>
    <mergeCell ref="K517:N517"/>
    <mergeCell ref="W517:Z517"/>
    <mergeCell ref="A528:F528"/>
    <mergeCell ref="G528:J528"/>
    <mergeCell ref="K528:N528"/>
    <mergeCell ref="W528:Z528"/>
    <mergeCell ref="AA528:AD528"/>
    <mergeCell ref="A518:F518"/>
    <mergeCell ref="G518:J518"/>
    <mergeCell ref="K518:N518"/>
    <mergeCell ref="W518:Z518"/>
    <mergeCell ref="G529:J529"/>
    <mergeCell ref="AE518:AH518"/>
    <mergeCell ref="AI518:AL518"/>
    <mergeCell ref="A532:F532"/>
    <mergeCell ref="G532:J532"/>
    <mergeCell ref="K532:N532"/>
    <mergeCell ref="W532:Z532"/>
    <mergeCell ref="AA532:AD532"/>
    <mergeCell ref="AU517:AX517"/>
    <mergeCell ref="AY517:BB517"/>
    <mergeCell ref="A514:F514"/>
    <mergeCell ref="K514:N514"/>
    <mergeCell ref="W514:Z514"/>
    <mergeCell ref="AA514:AD514"/>
    <mergeCell ref="AU516:AX516"/>
    <mergeCell ref="A526:F526"/>
    <mergeCell ref="G526:J526"/>
    <mergeCell ref="K526:N526"/>
    <mergeCell ref="W526:Z526"/>
    <mergeCell ref="AA526:AD526"/>
    <mergeCell ref="AY516:BB516"/>
    <mergeCell ref="AU519:AX519"/>
    <mergeCell ref="AY519:BB519"/>
    <mergeCell ref="A516:F516"/>
    <mergeCell ref="G516:J516"/>
    <mergeCell ref="K516:N516"/>
    <mergeCell ref="W516:Z516"/>
    <mergeCell ref="AE514:AH514"/>
    <mergeCell ref="AI514:AL514"/>
    <mergeCell ref="AU514:AX514"/>
    <mergeCell ref="G514:J514"/>
    <mergeCell ref="AI515:AL515"/>
    <mergeCell ref="AU518:AX518"/>
    <mergeCell ref="AY518:BB518"/>
    <mergeCell ref="AA517:AD517"/>
    <mergeCell ref="AE517:AH517"/>
    <mergeCell ref="AI517:AL517"/>
    <mergeCell ref="AE516:AH516"/>
    <mergeCell ref="AI516:AL516"/>
    <mergeCell ref="W485:Z485"/>
    <mergeCell ref="AA485:AD485"/>
    <mergeCell ref="K494:N494"/>
    <mergeCell ref="O494:R494"/>
    <mergeCell ref="S494:V494"/>
    <mergeCell ref="AU509:AX509"/>
    <mergeCell ref="AY509:BB509"/>
    <mergeCell ref="K499:N499"/>
    <mergeCell ref="O499:R499"/>
    <mergeCell ref="S499:V499"/>
    <mergeCell ref="AU515:AX515"/>
    <mergeCell ref="AY515:BB515"/>
    <mergeCell ref="AY514:BB514"/>
    <mergeCell ref="K511:N511"/>
    <mergeCell ref="W511:Z511"/>
    <mergeCell ref="AA511:AD511"/>
    <mergeCell ref="K510:N510"/>
    <mergeCell ref="W510:Z510"/>
    <mergeCell ref="AA510:AD510"/>
    <mergeCell ref="AA509:AD509"/>
    <mergeCell ref="AE509:AH509"/>
    <mergeCell ref="AI509:AL509"/>
    <mergeCell ref="AE508:AH508"/>
    <mergeCell ref="AI508:AL508"/>
    <mergeCell ref="AU508:AX508"/>
    <mergeCell ref="AY508:BB508"/>
    <mergeCell ref="A497:F497"/>
    <mergeCell ref="G497:J497"/>
    <mergeCell ref="K497:N497"/>
    <mergeCell ref="O497:R497"/>
    <mergeCell ref="S497:V497"/>
    <mergeCell ref="A492:F492"/>
    <mergeCell ref="G492:J492"/>
    <mergeCell ref="K492:N492"/>
    <mergeCell ref="K495:N495"/>
    <mergeCell ref="O495:R495"/>
    <mergeCell ref="S495:V495"/>
    <mergeCell ref="A496:F496"/>
    <mergeCell ref="O492:R492"/>
    <mergeCell ref="S492:V492"/>
    <mergeCell ref="A493:F493"/>
    <mergeCell ref="G493:J493"/>
    <mergeCell ref="K493:N493"/>
    <mergeCell ref="O493:R493"/>
    <mergeCell ref="S493:V493"/>
    <mergeCell ref="A494:F494"/>
    <mergeCell ref="G494:J494"/>
    <mergeCell ref="A508:F508"/>
    <mergeCell ref="G508:J508"/>
    <mergeCell ref="K508:N508"/>
    <mergeCell ref="A501:F501"/>
    <mergeCell ref="G501:J501"/>
    <mergeCell ref="K501:N501"/>
    <mergeCell ref="O501:R501"/>
    <mergeCell ref="S501:V501"/>
    <mergeCell ref="A502:F502"/>
    <mergeCell ref="G502:J502"/>
    <mergeCell ref="K502:N502"/>
    <mergeCell ref="O502:R502"/>
    <mergeCell ref="S502:V502"/>
    <mergeCell ref="AA508:AD508"/>
    <mergeCell ref="A503:AL503"/>
    <mergeCell ref="O508:R508"/>
    <mergeCell ref="S508:V508"/>
    <mergeCell ref="AM508:AP508"/>
    <mergeCell ref="AQ508:AT508"/>
    <mergeCell ref="G507:AD507"/>
    <mergeCell ref="AE507:BB507"/>
    <mergeCell ref="O509:R509"/>
    <mergeCell ref="S509:V509"/>
    <mergeCell ref="A498:F498"/>
    <mergeCell ref="G498:J498"/>
    <mergeCell ref="K498:N498"/>
    <mergeCell ref="O498:R498"/>
    <mergeCell ref="S498:V498"/>
    <mergeCell ref="A495:F495"/>
    <mergeCell ref="G495:J495"/>
    <mergeCell ref="AE483:AH483"/>
    <mergeCell ref="G496:J496"/>
    <mergeCell ref="K496:N496"/>
    <mergeCell ref="O496:R496"/>
    <mergeCell ref="S496:V496"/>
    <mergeCell ref="AI483:AL483"/>
    <mergeCell ref="A484:F484"/>
    <mergeCell ref="G484:J484"/>
    <mergeCell ref="K484:N484"/>
    <mergeCell ref="O484:R484"/>
    <mergeCell ref="S484:V484"/>
    <mergeCell ref="A483:F483"/>
    <mergeCell ref="G483:J483"/>
    <mergeCell ref="K483:N483"/>
    <mergeCell ref="O483:R483"/>
    <mergeCell ref="S483:V483"/>
    <mergeCell ref="W483:Z483"/>
    <mergeCell ref="AA483:AD483"/>
    <mergeCell ref="AE485:AH485"/>
    <mergeCell ref="AI485:AL485"/>
    <mergeCell ref="A485:F485"/>
    <mergeCell ref="G485:J485"/>
    <mergeCell ref="K485:N485"/>
    <mergeCell ref="O485:R485"/>
    <mergeCell ref="S485:V485"/>
    <mergeCell ref="W482:Z482"/>
    <mergeCell ref="AA482:AD482"/>
    <mergeCell ref="AE482:AH482"/>
    <mergeCell ref="AI482:AL482"/>
    <mergeCell ref="W484:Z484"/>
    <mergeCell ref="AA484:AD484"/>
    <mergeCell ref="AE484:AH484"/>
    <mergeCell ref="AI484:AL484"/>
    <mergeCell ref="AE481:AH481"/>
    <mergeCell ref="AI481:AL481"/>
    <mergeCell ref="A482:F482"/>
    <mergeCell ref="G482:J482"/>
    <mergeCell ref="K482:N482"/>
    <mergeCell ref="O482:R482"/>
    <mergeCell ref="S482:V482"/>
    <mergeCell ref="A481:F481"/>
    <mergeCell ref="G481:J481"/>
    <mergeCell ref="K481:N481"/>
    <mergeCell ref="O481:R481"/>
    <mergeCell ref="S481:V481"/>
    <mergeCell ref="W481:Z481"/>
    <mergeCell ref="AA481:AD481"/>
    <mergeCell ref="W480:Z480"/>
    <mergeCell ref="AA480:AD480"/>
    <mergeCell ref="AE480:AH480"/>
    <mergeCell ref="AI480:AL480"/>
    <mergeCell ref="AE479:AH479"/>
    <mergeCell ref="AI479:AL479"/>
    <mergeCell ref="A480:F480"/>
    <mergeCell ref="G480:J480"/>
    <mergeCell ref="K480:N480"/>
    <mergeCell ref="O480:R480"/>
    <mergeCell ref="S480:V480"/>
    <mergeCell ref="A479:F479"/>
    <mergeCell ref="G479:J479"/>
    <mergeCell ref="K479:N479"/>
    <mergeCell ref="O479:R479"/>
    <mergeCell ref="S479:V479"/>
    <mergeCell ref="W479:Z479"/>
    <mergeCell ref="AA479:AD479"/>
    <mergeCell ref="W478:Z478"/>
    <mergeCell ref="AA478:AD478"/>
    <mergeCell ref="AE478:AH478"/>
    <mergeCell ref="AI478:AL478"/>
    <mergeCell ref="AE477:AH477"/>
    <mergeCell ref="AI477:AL477"/>
    <mergeCell ref="A478:F478"/>
    <mergeCell ref="G478:J478"/>
    <mergeCell ref="K478:N478"/>
    <mergeCell ref="O478:R478"/>
    <mergeCell ref="S478:V478"/>
    <mergeCell ref="A477:F477"/>
    <mergeCell ref="G477:J477"/>
    <mergeCell ref="K477:N477"/>
    <mergeCell ref="O477:R477"/>
    <mergeCell ref="S477:V477"/>
    <mergeCell ref="W477:Z477"/>
    <mergeCell ref="AA477:AD477"/>
    <mergeCell ref="W476:Z476"/>
    <mergeCell ref="AA476:AD476"/>
    <mergeCell ref="AE476:AH476"/>
    <mergeCell ref="AI476:AL476"/>
    <mergeCell ref="AE475:AH475"/>
    <mergeCell ref="AI475:AL475"/>
    <mergeCell ref="A476:F476"/>
    <mergeCell ref="G476:J476"/>
    <mergeCell ref="K476:N476"/>
    <mergeCell ref="O476:R476"/>
    <mergeCell ref="S476:V476"/>
    <mergeCell ref="A475:F475"/>
    <mergeCell ref="G475:J475"/>
    <mergeCell ref="K475:N475"/>
    <mergeCell ref="O475:R475"/>
    <mergeCell ref="S475:V475"/>
    <mergeCell ref="W475:Z475"/>
    <mergeCell ref="AA475:AD475"/>
    <mergeCell ref="AA474:AD474"/>
    <mergeCell ref="AE474:AH474"/>
    <mergeCell ref="AI474:AL474"/>
    <mergeCell ref="A474:F474"/>
    <mergeCell ref="G474:J474"/>
    <mergeCell ref="K474:N474"/>
    <mergeCell ref="O474:R474"/>
    <mergeCell ref="S474:V474"/>
    <mergeCell ref="K408:N408"/>
    <mergeCell ref="O408:R408"/>
    <mergeCell ref="S408:V408"/>
    <mergeCell ref="G413:AL413"/>
    <mergeCell ref="A414:F414"/>
    <mergeCell ref="G414:J414"/>
    <mergeCell ref="K414:N414"/>
    <mergeCell ref="O414:R414"/>
    <mergeCell ref="S414:V414"/>
    <mergeCell ref="W414:Z414"/>
    <mergeCell ref="G430:AL430"/>
    <mergeCell ref="A431:F431"/>
    <mergeCell ref="G431:J431"/>
    <mergeCell ref="K431:N431"/>
    <mergeCell ref="O431:R431"/>
    <mergeCell ref="S431:V431"/>
    <mergeCell ref="W431:Z431"/>
    <mergeCell ref="AA431:AD431"/>
    <mergeCell ref="AE431:AH431"/>
    <mergeCell ref="AI431:AL431"/>
    <mergeCell ref="A432:F432"/>
    <mergeCell ref="G432:J432"/>
    <mergeCell ref="K432:N432"/>
    <mergeCell ref="A415:F415"/>
    <mergeCell ref="A407:F407"/>
    <mergeCell ref="G407:J407"/>
    <mergeCell ref="K407:N407"/>
    <mergeCell ref="O407:R407"/>
    <mergeCell ref="S407:V407"/>
    <mergeCell ref="W407:Z407"/>
    <mergeCell ref="AA407:AD407"/>
    <mergeCell ref="AA414:AD414"/>
    <mergeCell ref="AE414:AH414"/>
    <mergeCell ref="AI414:AL414"/>
    <mergeCell ref="W406:Z406"/>
    <mergeCell ref="AA406:AD406"/>
    <mergeCell ref="AE406:AH406"/>
    <mergeCell ref="AI406:AL406"/>
    <mergeCell ref="AE405:AH405"/>
    <mergeCell ref="AI405:AL405"/>
    <mergeCell ref="A406:F406"/>
    <mergeCell ref="G406:J406"/>
    <mergeCell ref="K406:N406"/>
    <mergeCell ref="O406:R406"/>
    <mergeCell ref="S406:V406"/>
    <mergeCell ref="A405:F405"/>
    <mergeCell ref="G405:J405"/>
    <mergeCell ref="K405:N405"/>
    <mergeCell ref="O405:R405"/>
    <mergeCell ref="S405:V405"/>
    <mergeCell ref="W405:Z405"/>
    <mergeCell ref="AA405:AD405"/>
    <mergeCell ref="W404:Z404"/>
    <mergeCell ref="AA404:AD404"/>
    <mergeCell ref="AE404:AH404"/>
    <mergeCell ref="AI404:AL404"/>
    <mergeCell ref="AE403:AH403"/>
    <mergeCell ref="AI403:AL403"/>
    <mergeCell ref="A404:F404"/>
    <mergeCell ref="G404:J404"/>
    <mergeCell ref="K404:N404"/>
    <mergeCell ref="O404:R404"/>
    <mergeCell ref="S404:V404"/>
    <mergeCell ref="A403:F403"/>
    <mergeCell ref="G403:J403"/>
    <mergeCell ref="K403:N403"/>
    <mergeCell ref="O403:R403"/>
    <mergeCell ref="S403:V403"/>
    <mergeCell ref="W403:Z403"/>
    <mergeCell ref="AA403:AD403"/>
    <mergeCell ref="W402:Z402"/>
    <mergeCell ref="AA402:AD402"/>
    <mergeCell ref="AE402:AH402"/>
    <mergeCell ref="AI402:AL402"/>
    <mergeCell ref="AE401:AH401"/>
    <mergeCell ref="AI401:AL401"/>
    <mergeCell ref="A402:F402"/>
    <mergeCell ref="G402:J402"/>
    <mergeCell ref="K402:N402"/>
    <mergeCell ref="O402:R402"/>
    <mergeCell ref="S402:V402"/>
    <mergeCell ref="A401:F401"/>
    <mergeCell ref="G401:J401"/>
    <mergeCell ref="K401:N401"/>
    <mergeCell ref="O401:R401"/>
    <mergeCell ref="S401:V401"/>
    <mergeCell ref="W401:Z401"/>
    <mergeCell ref="AA401:AD401"/>
    <mergeCell ref="W400:Z400"/>
    <mergeCell ref="AA400:AD400"/>
    <mergeCell ref="AE400:AH400"/>
    <mergeCell ref="AI400:AL400"/>
    <mergeCell ref="AE399:AH399"/>
    <mergeCell ref="AI399:AL399"/>
    <mergeCell ref="A400:F400"/>
    <mergeCell ref="G400:J400"/>
    <mergeCell ref="K400:N400"/>
    <mergeCell ref="O400:R400"/>
    <mergeCell ref="S400:V400"/>
    <mergeCell ref="A399:F399"/>
    <mergeCell ref="G399:J399"/>
    <mergeCell ref="K399:N399"/>
    <mergeCell ref="O399:R399"/>
    <mergeCell ref="S399:V399"/>
    <mergeCell ref="W399:Z399"/>
    <mergeCell ref="AA399:AD399"/>
    <mergeCell ref="W398:Z398"/>
    <mergeCell ref="AA398:AD398"/>
    <mergeCell ref="AE398:AH398"/>
    <mergeCell ref="AI398:AL398"/>
    <mergeCell ref="A398:F398"/>
    <mergeCell ref="G398:J398"/>
    <mergeCell ref="K398:N398"/>
    <mergeCell ref="O398:R398"/>
    <mergeCell ref="S398:V398"/>
    <mergeCell ref="W397:Z397"/>
    <mergeCell ref="AA397:AD397"/>
    <mergeCell ref="AE397:AH397"/>
    <mergeCell ref="AI397:AL397"/>
    <mergeCell ref="A397:F397"/>
    <mergeCell ref="G397:J397"/>
    <mergeCell ref="K397:N397"/>
    <mergeCell ref="O397:R397"/>
    <mergeCell ref="S397:V397"/>
    <mergeCell ref="W393:Z393"/>
    <mergeCell ref="AA393:AD393"/>
    <mergeCell ref="AE393:AH393"/>
    <mergeCell ref="AI393:AL393"/>
    <mergeCell ref="G396:AL396"/>
    <mergeCell ref="AE392:AH392"/>
    <mergeCell ref="AI392:AL392"/>
    <mergeCell ref="A393:F393"/>
    <mergeCell ref="G393:J393"/>
    <mergeCell ref="K393:N393"/>
    <mergeCell ref="O393:R393"/>
    <mergeCell ref="S393:V393"/>
    <mergeCell ref="A392:F392"/>
    <mergeCell ref="G392:J392"/>
    <mergeCell ref="K392:N392"/>
    <mergeCell ref="O392:R392"/>
    <mergeCell ref="S392:V392"/>
    <mergeCell ref="W392:Z392"/>
    <mergeCell ref="AA392:AD392"/>
    <mergeCell ref="W391:Z391"/>
    <mergeCell ref="AA391:AD391"/>
    <mergeCell ref="AE391:AH391"/>
    <mergeCell ref="AI391:AL391"/>
    <mergeCell ref="AE390:AH390"/>
    <mergeCell ref="AI390:AL390"/>
    <mergeCell ref="A391:F391"/>
    <mergeCell ref="G391:J391"/>
    <mergeCell ref="K391:N391"/>
    <mergeCell ref="O391:R391"/>
    <mergeCell ref="S391:V391"/>
    <mergeCell ref="A390:F390"/>
    <mergeCell ref="G390:J390"/>
    <mergeCell ref="K390:N390"/>
    <mergeCell ref="O390:R390"/>
    <mergeCell ref="S390:V390"/>
    <mergeCell ref="W390:Z390"/>
    <mergeCell ref="AA390:AD390"/>
    <mergeCell ref="W389:Z389"/>
    <mergeCell ref="AA389:AD389"/>
    <mergeCell ref="AE389:AH389"/>
    <mergeCell ref="AI389:AL389"/>
    <mergeCell ref="AE388:AH388"/>
    <mergeCell ref="AI388:AL388"/>
    <mergeCell ref="A389:F389"/>
    <mergeCell ref="G389:J389"/>
    <mergeCell ref="K389:N389"/>
    <mergeCell ref="O389:R389"/>
    <mergeCell ref="S389:V389"/>
    <mergeCell ref="A388:F388"/>
    <mergeCell ref="G388:J388"/>
    <mergeCell ref="K388:N388"/>
    <mergeCell ref="O388:R388"/>
    <mergeCell ref="S388:V388"/>
    <mergeCell ref="W388:Z388"/>
    <mergeCell ref="AA388:AD388"/>
    <mergeCell ref="W387:Z387"/>
    <mergeCell ref="AA387:AD387"/>
    <mergeCell ref="AE387:AH387"/>
    <mergeCell ref="AI387:AL387"/>
    <mergeCell ref="AE386:AH386"/>
    <mergeCell ref="AI386:AL386"/>
    <mergeCell ref="A387:F387"/>
    <mergeCell ref="G387:J387"/>
    <mergeCell ref="K387:N387"/>
    <mergeCell ref="O387:R387"/>
    <mergeCell ref="S387:V387"/>
    <mergeCell ref="A386:F386"/>
    <mergeCell ref="G386:J386"/>
    <mergeCell ref="K386:N386"/>
    <mergeCell ref="O386:R386"/>
    <mergeCell ref="S386:V386"/>
    <mergeCell ref="W386:Z386"/>
    <mergeCell ref="AA386:AD386"/>
    <mergeCell ref="W385:Z385"/>
    <mergeCell ref="AA385:AD385"/>
    <mergeCell ref="AE385:AH385"/>
    <mergeCell ref="AI385:AL385"/>
    <mergeCell ref="AE384:AH384"/>
    <mergeCell ref="AI384:AL384"/>
    <mergeCell ref="A385:F385"/>
    <mergeCell ref="G385:J385"/>
    <mergeCell ref="K385:N385"/>
    <mergeCell ref="O385:R385"/>
    <mergeCell ref="S385:V385"/>
    <mergeCell ref="A384:F384"/>
    <mergeCell ref="G384:J384"/>
    <mergeCell ref="K384:N384"/>
    <mergeCell ref="O384:R384"/>
    <mergeCell ref="S384:V384"/>
    <mergeCell ref="W384:Z384"/>
    <mergeCell ref="AA384:AD384"/>
    <mergeCell ref="W383:Z383"/>
    <mergeCell ref="AA383:AD383"/>
    <mergeCell ref="AE383:AH383"/>
    <mergeCell ref="AI383:AL383"/>
    <mergeCell ref="A383:F383"/>
    <mergeCell ref="G383:J383"/>
    <mergeCell ref="K383:N383"/>
    <mergeCell ref="O383:R383"/>
    <mergeCell ref="S383:V383"/>
    <mergeCell ref="W382:Z382"/>
    <mergeCell ref="AA382:AD382"/>
    <mergeCell ref="AE382:AH382"/>
    <mergeCell ref="AI382:AL382"/>
    <mergeCell ref="AA359:AD359"/>
    <mergeCell ref="A382:F382"/>
    <mergeCell ref="G382:J382"/>
    <mergeCell ref="K382:N382"/>
    <mergeCell ref="O382:R382"/>
    <mergeCell ref="S382:V382"/>
    <mergeCell ref="A359:F359"/>
    <mergeCell ref="G359:J359"/>
    <mergeCell ref="K359:N359"/>
    <mergeCell ref="O359:R359"/>
    <mergeCell ref="S359:V359"/>
    <mergeCell ref="W359:Z359"/>
    <mergeCell ref="A366:F366"/>
    <mergeCell ref="G366:J366"/>
    <mergeCell ref="K366:N366"/>
    <mergeCell ref="O366:R366"/>
    <mergeCell ref="A367:F367"/>
    <mergeCell ref="A376:F376"/>
    <mergeCell ref="G376:J376"/>
    <mergeCell ref="AA357:AD357"/>
    <mergeCell ref="A358:F358"/>
    <mergeCell ref="G358:J358"/>
    <mergeCell ref="K358:N358"/>
    <mergeCell ref="O358:R358"/>
    <mergeCell ref="S358:V358"/>
    <mergeCell ref="W358:Z358"/>
    <mergeCell ref="AA358:AD358"/>
    <mergeCell ref="A357:F357"/>
    <mergeCell ref="G357:J357"/>
    <mergeCell ref="K357:N357"/>
    <mergeCell ref="O357:R357"/>
    <mergeCell ref="S357:V357"/>
    <mergeCell ref="W357:Z357"/>
    <mergeCell ref="AA355:AD355"/>
    <mergeCell ref="A356:F356"/>
    <mergeCell ref="G356:J356"/>
    <mergeCell ref="K356:N356"/>
    <mergeCell ref="O356:R356"/>
    <mergeCell ref="S356:V356"/>
    <mergeCell ref="W356:Z356"/>
    <mergeCell ref="AA356:AD356"/>
    <mergeCell ref="A355:F355"/>
    <mergeCell ref="G355:J355"/>
    <mergeCell ref="K355:N355"/>
    <mergeCell ref="O355:R355"/>
    <mergeCell ref="S355:V355"/>
    <mergeCell ref="W355:Z355"/>
    <mergeCell ref="AA353:AD353"/>
    <mergeCell ref="A354:F354"/>
    <mergeCell ref="G354:J354"/>
    <mergeCell ref="K354:N354"/>
    <mergeCell ref="O354:R354"/>
    <mergeCell ref="S354:V354"/>
    <mergeCell ref="W354:Z354"/>
    <mergeCell ref="AA354:AD354"/>
    <mergeCell ref="A353:F353"/>
    <mergeCell ref="G353:J353"/>
    <mergeCell ref="K353:N353"/>
    <mergeCell ref="O353:R353"/>
    <mergeCell ref="S353:V353"/>
    <mergeCell ref="W353:Z353"/>
    <mergeCell ref="AA351:AD351"/>
    <mergeCell ref="A352:F352"/>
    <mergeCell ref="G352:J352"/>
    <mergeCell ref="K352:N352"/>
    <mergeCell ref="O352:R352"/>
    <mergeCell ref="S352:V352"/>
    <mergeCell ref="W352:Z352"/>
    <mergeCell ref="AA352:AD352"/>
    <mergeCell ref="A351:F351"/>
    <mergeCell ref="G351:J351"/>
    <mergeCell ref="K351:N351"/>
    <mergeCell ref="O351:R351"/>
    <mergeCell ref="S351:V351"/>
    <mergeCell ref="W351:Z351"/>
    <mergeCell ref="AA349:AD349"/>
    <mergeCell ref="A350:F350"/>
    <mergeCell ref="G350:J350"/>
    <mergeCell ref="K350:N350"/>
    <mergeCell ref="O350:R350"/>
    <mergeCell ref="S350:V350"/>
    <mergeCell ref="W350:Z350"/>
    <mergeCell ref="AA350:AD350"/>
    <mergeCell ref="A349:F349"/>
    <mergeCell ref="G349:J349"/>
    <mergeCell ref="K349:N349"/>
    <mergeCell ref="O349:R349"/>
    <mergeCell ref="S349:V349"/>
    <mergeCell ref="W349:Z349"/>
    <mergeCell ref="A348:F348"/>
    <mergeCell ref="G348:J348"/>
    <mergeCell ref="K348:N348"/>
    <mergeCell ref="O348:R348"/>
    <mergeCell ref="S348:V348"/>
    <mergeCell ref="W348:Z348"/>
    <mergeCell ref="AA348:AD348"/>
    <mergeCell ref="G270:R270"/>
    <mergeCell ref="S270:AD270"/>
    <mergeCell ref="A271:F271"/>
    <mergeCell ref="G271:R271"/>
    <mergeCell ref="S271:AD271"/>
    <mergeCell ref="AI293:AL293"/>
    <mergeCell ref="A294:F294"/>
    <mergeCell ref="G294:J294"/>
    <mergeCell ref="K294:N294"/>
    <mergeCell ref="O294:R294"/>
    <mergeCell ref="S294:V294"/>
    <mergeCell ref="W294:Z294"/>
    <mergeCell ref="AA294:AD294"/>
    <mergeCell ref="AE294:AH294"/>
    <mergeCell ref="AI294:AL294"/>
    <mergeCell ref="AE292:AH292"/>
    <mergeCell ref="AI292:AL292"/>
    <mergeCell ref="A293:F293"/>
    <mergeCell ref="G293:J293"/>
    <mergeCell ref="K293:N293"/>
    <mergeCell ref="O293:R293"/>
    <mergeCell ref="S293:V293"/>
    <mergeCell ref="W293:Z293"/>
    <mergeCell ref="AA293:AD293"/>
    <mergeCell ref="AE293:AH293"/>
    <mergeCell ref="A270:F270"/>
    <mergeCell ref="A276:F276"/>
    <mergeCell ref="G276:R276"/>
    <mergeCell ref="A277:F277"/>
    <mergeCell ref="G277:R277"/>
    <mergeCell ref="AA291:AD291"/>
    <mergeCell ref="AE291:AH291"/>
    <mergeCell ref="AI291:AL291"/>
    <mergeCell ref="A292:F292"/>
    <mergeCell ref="G292:J292"/>
    <mergeCell ref="K292:N292"/>
    <mergeCell ref="O292:R292"/>
    <mergeCell ref="S292:V292"/>
    <mergeCell ref="W292:Z292"/>
    <mergeCell ref="AA292:AD292"/>
    <mergeCell ref="A291:F291"/>
    <mergeCell ref="G291:J291"/>
    <mergeCell ref="K291:N291"/>
    <mergeCell ref="O291:R291"/>
    <mergeCell ref="S291:V291"/>
    <mergeCell ref="W291:Z291"/>
    <mergeCell ref="AI289:AL289"/>
    <mergeCell ref="A290:F290"/>
    <mergeCell ref="G290:J290"/>
    <mergeCell ref="K290:N290"/>
    <mergeCell ref="O290:R290"/>
    <mergeCell ref="S290:V290"/>
    <mergeCell ref="W290:Z290"/>
    <mergeCell ref="AA290:AD290"/>
    <mergeCell ref="AE290:AH290"/>
    <mergeCell ref="AI290:AL290"/>
    <mergeCell ref="AE288:AH288"/>
    <mergeCell ref="AI288:AL288"/>
    <mergeCell ref="A289:F289"/>
    <mergeCell ref="G289:J289"/>
    <mergeCell ref="K289:N289"/>
    <mergeCell ref="O289:R289"/>
    <mergeCell ref="S289:V289"/>
    <mergeCell ref="W289:Z289"/>
    <mergeCell ref="AA289:AD289"/>
    <mergeCell ref="AE289:AH289"/>
    <mergeCell ref="AA287:AD287"/>
    <mergeCell ref="AE287:AH287"/>
    <mergeCell ref="AI287:AL287"/>
    <mergeCell ref="A288:F288"/>
    <mergeCell ref="G288:J288"/>
    <mergeCell ref="K288:N288"/>
    <mergeCell ref="O288:R288"/>
    <mergeCell ref="S288:V288"/>
    <mergeCell ref="W288:Z288"/>
    <mergeCell ref="AA288:AD288"/>
    <mergeCell ref="A287:F287"/>
    <mergeCell ref="G287:J287"/>
    <mergeCell ref="K287:N287"/>
    <mergeCell ref="O287:R287"/>
    <mergeCell ref="S287:V287"/>
    <mergeCell ref="W287:Z287"/>
    <mergeCell ref="AI285:AL285"/>
    <mergeCell ref="A286:F286"/>
    <mergeCell ref="G286:J286"/>
    <mergeCell ref="K286:N286"/>
    <mergeCell ref="O286:R286"/>
    <mergeCell ref="S286:V286"/>
    <mergeCell ref="W286:Z286"/>
    <mergeCell ref="AA286:AD286"/>
    <mergeCell ref="AE286:AH286"/>
    <mergeCell ref="AI286:AL286"/>
    <mergeCell ref="AE284:AH284"/>
    <mergeCell ref="AI284:AL284"/>
    <mergeCell ref="A285:F285"/>
    <mergeCell ref="G285:J285"/>
    <mergeCell ref="K285:N285"/>
    <mergeCell ref="O285:R285"/>
    <mergeCell ref="S285:V285"/>
    <mergeCell ref="W285:Z285"/>
    <mergeCell ref="AA285:AD285"/>
    <mergeCell ref="AE285:AH285"/>
    <mergeCell ref="AA283:AD283"/>
    <mergeCell ref="AE283:AH283"/>
    <mergeCell ref="AI283:AL283"/>
    <mergeCell ref="A284:F284"/>
    <mergeCell ref="G284:J284"/>
    <mergeCell ref="K284:N284"/>
    <mergeCell ref="O284:R284"/>
    <mergeCell ref="S284:V284"/>
    <mergeCell ref="W284:Z284"/>
    <mergeCell ref="AA284:AD284"/>
    <mergeCell ref="A283:F283"/>
    <mergeCell ref="G283:J283"/>
    <mergeCell ref="K283:N283"/>
    <mergeCell ref="O283:R283"/>
    <mergeCell ref="S283:V283"/>
    <mergeCell ref="W283:Z283"/>
    <mergeCell ref="G282:N282"/>
    <mergeCell ref="O282:V282"/>
    <mergeCell ref="W282:AD282"/>
    <mergeCell ref="AE282:AL282"/>
    <mergeCell ref="S261:V261"/>
    <mergeCell ref="O260:R260"/>
    <mergeCell ref="S260:V260"/>
    <mergeCell ref="A261:F261"/>
    <mergeCell ref="G261:J261"/>
    <mergeCell ref="K261:N261"/>
    <mergeCell ref="O261:R261"/>
    <mergeCell ref="K259:N259"/>
    <mergeCell ref="O259:R259"/>
    <mergeCell ref="S259:V259"/>
    <mergeCell ref="A260:F260"/>
    <mergeCell ref="G260:J260"/>
    <mergeCell ref="K260:N260"/>
    <mergeCell ref="A259:F259"/>
    <mergeCell ref="G259:J259"/>
    <mergeCell ref="S257:V257"/>
    <mergeCell ref="A258:F258"/>
    <mergeCell ref="G258:J258"/>
    <mergeCell ref="K258:N258"/>
    <mergeCell ref="O258:R258"/>
    <mergeCell ref="S258:V258"/>
    <mergeCell ref="O256:R256"/>
    <mergeCell ref="S256:V256"/>
    <mergeCell ref="A257:F257"/>
    <mergeCell ref="G257:J257"/>
    <mergeCell ref="K257:N257"/>
    <mergeCell ref="O257:R257"/>
    <mergeCell ref="K255:N255"/>
    <mergeCell ref="O255:R255"/>
    <mergeCell ref="S255:V255"/>
    <mergeCell ref="A256:F256"/>
    <mergeCell ref="G256:J256"/>
    <mergeCell ref="K256:N256"/>
    <mergeCell ref="A255:F255"/>
    <mergeCell ref="G255:J255"/>
    <mergeCell ref="S253:V253"/>
    <mergeCell ref="A254:F254"/>
    <mergeCell ref="G254:J254"/>
    <mergeCell ref="K254:N254"/>
    <mergeCell ref="O254:R254"/>
    <mergeCell ref="S254:V254"/>
    <mergeCell ref="A253:F253"/>
    <mergeCell ref="G253:J253"/>
    <mergeCell ref="K253:N253"/>
    <mergeCell ref="O253:R253"/>
    <mergeCell ref="AE246:AH246"/>
    <mergeCell ref="AI246:AL246"/>
    <mergeCell ref="AA245:AD245"/>
    <mergeCell ref="AE245:AH245"/>
    <mergeCell ref="AI245:AL245"/>
    <mergeCell ref="A246:F246"/>
    <mergeCell ref="G246:J246"/>
    <mergeCell ref="K246:N246"/>
    <mergeCell ref="O246:R246"/>
    <mergeCell ref="S246:V246"/>
    <mergeCell ref="W246:Z246"/>
    <mergeCell ref="AA246:AD246"/>
    <mergeCell ref="A245:F245"/>
    <mergeCell ref="G245:J245"/>
    <mergeCell ref="K245:N245"/>
    <mergeCell ref="O245:R245"/>
    <mergeCell ref="S245:V245"/>
    <mergeCell ref="W245:Z245"/>
    <mergeCell ref="AI243:AL243"/>
    <mergeCell ref="A244:F244"/>
    <mergeCell ref="G244:J244"/>
    <mergeCell ref="K244:N244"/>
    <mergeCell ref="O244:R244"/>
    <mergeCell ref="S244:V244"/>
    <mergeCell ref="W244:Z244"/>
    <mergeCell ref="AA244:AD244"/>
    <mergeCell ref="AE244:AH244"/>
    <mergeCell ref="AI244:AL244"/>
    <mergeCell ref="AE242:AH242"/>
    <mergeCell ref="AI242:AL242"/>
    <mergeCell ref="A243:F243"/>
    <mergeCell ref="G243:J243"/>
    <mergeCell ref="K243:N243"/>
    <mergeCell ref="O243:R243"/>
    <mergeCell ref="S243:V243"/>
    <mergeCell ref="W243:Z243"/>
    <mergeCell ref="AA243:AD243"/>
    <mergeCell ref="AE243:AH243"/>
    <mergeCell ref="AA241:AD241"/>
    <mergeCell ref="AE241:AH241"/>
    <mergeCell ref="AI241:AL241"/>
    <mergeCell ref="A242:F242"/>
    <mergeCell ref="G242:J242"/>
    <mergeCell ref="K242:N242"/>
    <mergeCell ref="O242:R242"/>
    <mergeCell ref="S242:V242"/>
    <mergeCell ref="W242:Z242"/>
    <mergeCell ref="AA242:AD242"/>
    <mergeCell ref="A241:F241"/>
    <mergeCell ref="G241:J241"/>
    <mergeCell ref="K241:N241"/>
    <mergeCell ref="O241:R241"/>
    <mergeCell ref="S241:V241"/>
    <mergeCell ref="W241:Z241"/>
    <mergeCell ref="AI239:AL239"/>
    <mergeCell ref="A240:F240"/>
    <mergeCell ref="G240:J240"/>
    <mergeCell ref="K240:N240"/>
    <mergeCell ref="O240:R240"/>
    <mergeCell ref="S240:V240"/>
    <mergeCell ref="W240:Z240"/>
    <mergeCell ref="AA240:AD240"/>
    <mergeCell ref="AE240:AH240"/>
    <mergeCell ref="AI240:AL240"/>
    <mergeCell ref="W235:Z235"/>
    <mergeCell ref="AA235:AD235"/>
    <mergeCell ref="AE235:AH235"/>
    <mergeCell ref="AE238:AH238"/>
    <mergeCell ref="AI238:AL238"/>
    <mergeCell ref="A239:F239"/>
    <mergeCell ref="G239:J239"/>
    <mergeCell ref="K239:N239"/>
    <mergeCell ref="O239:R239"/>
    <mergeCell ref="S239:V239"/>
    <mergeCell ref="W239:Z239"/>
    <mergeCell ref="AA239:AD239"/>
    <mergeCell ref="AE239:AH239"/>
    <mergeCell ref="AA237:AD237"/>
    <mergeCell ref="AE237:AH237"/>
    <mergeCell ref="AI237:AL237"/>
    <mergeCell ref="A238:F238"/>
    <mergeCell ref="G238:J238"/>
    <mergeCell ref="K238:N238"/>
    <mergeCell ref="O238:R238"/>
    <mergeCell ref="S238:V238"/>
    <mergeCell ref="W238:Z238"/>
    <mergeCell ref="AA238:AD238"/>
    <mergeCell ref="A237:F237"/>
    <mergeCell ref="G237:J237"/>
    <mergeCell ref="K237:N237"/>
    <mergeCell ref="O237:R237"/>
    <mergeCell ref="S237:V237"/>
    <mergeCell ref="W237:Z237"/>
    <mergeCell ref="AD130:AG130"/>
    <mergeCell ref="V131:Y131"/>
    <mergeCell ref="Z131:AC131"/>
    <mergeCell ref="K134:L134"/>
    <mergeCell ref="G135:H135"/>
    <mergeCell ref="I135:J135"/>
    <mergeCell ref="K135:L135"/>
    <mergeCell ref="G136:H136"/>
    <mergeCell ref="I136:J136"/>
    <mergeCell ref="K136:L136"/>
    <mergeCell ref="G137:H137"/>
    <mergeCell ref="I137:J137"/>
    <mergeCell ref="K137:L137"/>
    <mergeCell ref="G138:H138"/>
    <mergeCell ref="I138:J138"/>
    <mergeCell ref="AI235:AL235"/>
    <mergeCell ref="A236:F236"/>
    <mergeCell ref="G236:J236"/>
    <mergeCell ref="K236:N236"/>
    <mergeCell ref="O236:R236"/>
    <mergeCell ref="S236:V236"/>
    <mergeCell ref="W236:Z236"/>
    <mergeCell ref="AA236:AD236"/>
    <mergeCell ref="AE236:AH236"/>
    <mergeCell ref="AI236:AL236"/>
    <mergeCell ref="G234:V234"/>
    <mergeCell ref="W234:AL234"/>
    <mergeCell ref="A235:F235"/>
    <mergeCell ref="G235:J235"/>
    <mergeCell ref="K235:N235"/>
    <mergeCell ref="O235:R235"/>
    <mergeCell ref="S235:V235"/>
    <mergeCell ref="I128:J128"/>
    <mergeCell ref="K128:L128"/>
    <mergeCell ref="V127:Y127"/>
    <mergeCell ref="Z127:AC127"/>
    <mergeCell ref="AD127:AG127"/>
    <mergeCell ref="V128:Y128"/>
    <mergeCell ref="Z128:AC128"/>
    <mergeCell ref="AD128:AG128"/>
    <mergeCell ref="I122:J122"/>
    <mergeCell ref="K123:L123"/>
    <mergeCell ref="K121:L122"/>
    <mergeCell ref="K124:L124"/>
    <mergeCell ref="K125:L125"/>
    <mergeCell ref="K126:L126"/>
    <mergeCell ref="K127:L127"/>
    <mergeCell ref="A212:AF212"/>
    <mergeCell ref="I129:J129"/>
    <mergeCell ref="K129:L129"/>
    <mergeCell ref="G130:H130"/>
    <mergeCell ref="I130:J130"/>
    <mergeCell ref="K130:L130"/>
    <mergeCell ref="V129:Y129"/>
    <mergeCell ref="Z129:AC129"/>
    <mergeCell ref="AD129:AG129"/>
    <mergeCell ref="V130:Y130"/>
    <mergeCell ref="G131:H131"/>
    <mergeCell ref="I131:J131"/>
    <mergeCell ref="K131:L131"/>
    <mergeCell ref="G132:H132"/>
    <mergeCell ref="I132:J132"/>
    <mergeCell ref="K132:L132"/>
    <mergeCell ref="Z130:AC130"/>
    <mergeCell ref="U82:V82"/>
    <mergeCell ref="W82:AF82"/>
    <mergeCell ref="A83:AF83"/>
    <mergeCell ref="A84:AF84"/>
    <mergeCell ref="V123:Y123"/>
    <mergeCell ref="Z123:AC123"/>
    <mergeCell ref="AD123:AG123"/>
    <mergeCell ref="V122:Y122"/>
    <mergeCell ref="Z122:AC122"/>
    <mergeCell ref="AD122:AG122"/>
    <mergeCell ref="V124:Y124"/>
    <mergeCell ref="Z124:AC124"/>
    <mergeCell ref="AD124:AG124"/>
    <mergeCell ref="V125:Y125"/>
    <mergeCell ref="Z125:AC125"/>
    <mergeCell ref="AD125:AG125"/>
    <mergeCell ref="V126:Y126"/>
    <mergeCell ref="Z126:AC126"/>
    <mergeCell ref="AD126:AG126"/>
    <mergeCell ref="A86:AF86"/>
    <mergeCell ref="U94:V94"/>
    <mergeCell ref="U95:V95"/>
    <mergeCell ref="U96:V96"/>
    <mergeCell ref="U97:V97"/>
    <mergeCell ref="U98:V98"/>
    <mergeCell ref="U99:V99"/>
    <mergeCell ref="W91:AA91"/>
    <mergeCell ref="A108:F108"/>
    <mergeCell ref="A109:F109"/>
    <mergeCell ref="A110:F110"/>
    <mergeCell ref="A111:F111"/>
    <mergeCell ref="A113:F113"/>
    <mergeCell ref="A1:AF1"/>
    <mergeCell ref="A34:AF34"/>
    <mergeCell ref="A68:AF68"/>
    <mergeCell ref="A70:D70"/>
    <mergeCell ref="E70:P70"/>
    <mergeCell ref="Q70:T70"/>
    <mergeCell ref="U70:V70"/>
    <mergeCell ref="W70:AF70"/>
    <mergeCell ref="A71:D71"/>
    <mergeCell ref="E71:P71"/>
    <mergeCell ref="Q71:T71"/>
    <mergeCell ref="U71:V71"/>
    <mergeCell ref="W71:AF71"/>
    <mergeCell ref="A69:D69"/>
    <mergeCell ref="E69:P69"/>
    <mergeCell ref="Q69:T69"/>
    <mergeCell ref="U69:V69"/>
    <mergeCell ref="W69:AF69"/>
    <mergeCell ref="A3:AF3"/>
    <mergeCell ref="B5:AF5"/>
    <mergeCell ref="A7:AF7"/>
    <mergeCell ref="B9:I9"/>
    <mergeCell ref="B10:AF10"/>
    <mergeCell ref="B12:I12"/>
    <mergeCell ref="B13:AF13"/>
    <mergeCell ref="B15:AF15"/>
    <mergeCell ref="B19:I19"/>
    <mergeCell ref="B20:AF20"/>
    <mergeCell ref="B22:I22"/>
    <mergeCell ref="B27:AF27"/>
    <mergeCell ref="B32:AF32"/>
    <mergeCell ref="B17:AF17"/>
    <mergeCell ref="B23:AF23"/>
    <mergeCell ref="B25:AF25"/>
    <mergeCell ref="B29:AF29"/>
    <mergeCell ref="A72:D72"/>
    <mergeCell ref="E72:P72"/>
    <mergeCell ref="Q72:T72"/>
    <mergeCell ref="U72:V72"/>
    <mergeCell ref="W72:AF72"/>
    <mergeCell ref="A85:AF85"/>
    <mergeCell ref="A80:D80"/>
    <mergeCell ref="E80:P80"/>
    <mergeCell ref="Q80:T80"/>
    <mergeCell ref="U80:V80"/>
    <mergeCell ref="W80:AF80"/>
    <mergeCell ref="A81:D81"/>
    <mergeCell ref="E81:P81"/>
    <mergeCell ref="Q81:T81"/>
    <mergeCell ref="U81:V81"/>
    <mergeCell ref="W81:AF81"/>
    <mergeCell ref="A73:D73"/>
    <mergeCell ref="E73:P73"/>
    <mergeCell ref="Q73:T73"/>
    <mergeCell ref="U73:V73"/>
    <mergeCell ref="W73:AF73"/>
    <mergeCell ref="A78:D78"/>
    <mergeCell ref="E78:P78"/>
    <mergeCell ref="A74:D74"/>
    <mergeCell ref="E74:P74"/>
    <mergeCell ref="Q74:T74"/>
    <mergeCell ref="U74:V74"/>
    <mergeCell ref="W74:AF74"/>
    <mergeCell ref="A75:D75"/>
    <mergeCell ref="E75:P75"/>
    <mergeCell ref="Q75:T75"/>
    <mergeCell ref="U75:V75"/>
    <mergeCell ref="W75:AF75"/>
    <mergeCell ref="A76:D76"/>
    <mergeCell ref="E76:P76"/>
    <mergeCell ref="Q76:T76"/>
    <mergeCell ref="U76:V76"/>
    <mergeCell ref="W76:AF76"/>
    <mergeCell ref="A77:D77"/>
    <mergeCell ref="E77:P77"/>
    <mergeCell ref="Q77:T77"/>
    <mergeCell ref="U77:V77"/>
    <mergeCell ref="W77:AF77"/>
    <mergeCell ref="Q78:T78"/>
    <mergeCell ref="U78:V78"/>
    <mergeCell ref="W78:AF78"/>
    <mergeCell ref="A79:D79"/>
    <mergeCell ref="E79:P79"/>
    <mergeCell ref="Q79:T79"/>
    <mergeCell ref="U79:V79"/>
    <mergeCell ref="W79:AF79"/>
    <mergeCell ref="A82:D82"/>
    <mergeCell ref="E82:P82"/>
    <mergeCell ref="Q82:T82"/>
    <mergeCell ref="O97:T97"/>
    <mergeCell ref="O98:T98"/>
    <mergeCell ref="O99:T99"/>
    <mergeCell ref="G94:L94"/>
    <mergeCell ref="G95:L95"/>
    <mergeCell ref="G96:L96"/>
    <mergeCell ref="O94:T94"/>
    <mergeCell ref="O95:T95"/>
    <mergeCell ref="O96:T96"/>
    <mergeCell ref="W94:AA94"/>
    <mergeCell ref="W95:AA95"/>
    <mergeCell ref="G93:L93"/>
    <mergeCell ref="O91:T91"/>
    <mergeCell ref="O92:T92"/>
    <mergeCell ref="O93:T93"/>
    <mergeCell ref="W92:AA92"/>
    <mergeCell ref="W93:AA93"/>
    <mergeCell ref="W96:AA96"/>
    <mergeCell ref="W97:AA97"/>
    <mergeCell ref="W98:AA98"/>
    <mergeCell ref="W99:AA99"/>
    <mergeCell ref="U91:V91"/>
    <mergeCell ref="U92:V92"/>
    <mergeCell ref="U93:V93"/>
    <mergeCell ref="A114:F114"/>
    <mergeCell ref="A115:F115"/>
    <mergeCell ref="A116:F116"/>
    <mergeCell ref="A117:F117"/>
    <mergeCell ref="G92:L92"/>
    <mergeCell ref="G91:L91"/>
    <mergeCell ref="A91:F91"/>
    <mergeCell ref="G113:L113"/>
    <mergeCell ref="G114:L114"/>
    <mergeCell ref="O113:T113"/>
    <mergeCell ref="O114:T114"/>
    <mergeCell ref="W113:AA113"/>
    <mergeCell ref="W114:AA114"/>
    <mergeCell ref="G109:L109"/>
    <mergeCell ref="G110:L110"/>
    <mergeCell ref="G111:L111"/>
    <mergeCell ref="O109:T109"/>
    <mergeCell ref="O110:T110"/>
    <mergeCell ref="O111:T111"/>
    <mergeCell ref="G106:L106"/>
    <mergeCell ref="G107:L107"/>
    <mergeCell ref="G108:L108"/>
    <mergeCell ref="O106:T106"/>
    <mergeCell ref="O107:T107"/>
    <mergeCell ref="O108:T108"/>
    <mergeCell ref="G103:L103"/>
    <mergeCell ref="G104:L104"/>
    <mergeCell ref="G102:L102"/>
    <mergeCell ref="A92:F92"/>
    <mergeCell ref="A93:F93"/>
    <mergeCell ref="A94:F94"/>
    <mergeCell ref="A95:F95"/>
    <mergeCell ref="A96:F96"/>
    <mergeCell ref="A97:F97"/>
    <mergeCell ref="A98:F98"/>
    <mergeCell ref="A99:F99"/>
    <mergeCell ref="A100:F100"/>
    <mergeCell ref="A101:F101"/>
    <mergeCell ref="A102:F102"/>
    <mergeCell ref="A103:F103"/>
    <mergeCell ref="A104:F104"/>
    <mergeCell ref="A105:F105"/>
    <mergeCell ref="A106:F106"/>
    <mergeCell ref="A107:F107"/>
    <mergeCell ref="G105:L105"/>
    <mergeCell ref="G97:L97"/>
    <mergeCell ref="G98:L98"/>
    <mergeCell ref="G99:L99"/>
    <mergeCell ref="O100:T100"/>
    <mergeCell ref="G115:L115"/>
    <mergeCell ref="G116:L116"/>
    <mergeCell ref="G117:L117"/>
    <mergeCell ref="M92:N92"/>
    <mergeCell ref="M91:N91"/>
    <mergeCell ref="M93:N93"/>
    <mergeCell ref="M94:N94"/>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3:N113"/>
    <mergeCell ref="M114:N114"/>
    <mergeCell ref="M115:N115"/>
    <mergeCell ref="M116:N116"/>
    <mergeCell ref="M117:N117"/>
    <mergeCell ref="G100:L100"/>
    <mergeCell ref="G101:L101"/>
    <mergeCell ref="U100:V100"/>
    <mergeCell ref="U101:V101"/>
    <mergeCell ref="U102:V102"/>
    <mergeCell ref="U103:V103"/>
    <mergeCell ref="U104:V104"/>
    <mergeCell ref="U105:V105"/>
    <mergeCell ref="U106:V106"/>
    <mergeCell ref="U107:V107"/>
    <mergeCell ref="W103:AA103"/>
    <mergeCell ref="W104:AA104"/>
    <mergeCell ref="W105:AA105"/>
    <mergeCell ref="W106:AA106"/>
    <mergeCell ref="W107:AA107"/>
    <mergeCell ref="W108:AA108"/>
    <mergeCell ref="W109:AA109"/>
    <mergeCell ref="W110:AA110"/>
    <mergeCell ref="W111:AA111"/>
    <mergeCell ref="W100:AA100"/>
    <mergeCell ref="W102:AA102"/>
    <mergeCell ref="O115:T115"/>
    <mergeCell ref="O101:T101"/>
    <mergeCell ref="O102:T102"/>
    <mergeCell ref="AD104:AF104"/>
    <mergeCell ref="AD105:AF105"/>
    <mergeCell ref="W115:AA115"/>
    <mergeCell ref="O116:T116"/>
    <mergeCell ref="O117:T117"/>
    <mergeCell ref="U108:V108"/>
    <mergeCell ref="U109:V109"/>
    <mergeCell ref="U110:V110"/>
    <mergeCell ref="U111:V111"/>
    <mergeCell ref="U113:V113"/>
    <mergeCell ref="U114:V114"/>
    <mergeCell ref="U115:V115"/>
    <mergeCell ref="U116:V116"/>
    <mergeCell ref="U117:V117"/>
    <mergeCell ref="O103:T103"/>
    <mergeCell ref="O104:T104"/>
    <mergeCell ref="O105:T105"/>
    <mergeCell ref="W116:AA116"/>
    <mergeCell ref="W117:AA117"/>
    <mergeCell ref="AB108:AC108"/>
    <mergeCell ref="AB109:AC109"/>
    <mergeCell ref="AB110:AC110"/>
    <mergeCell ref="AB111:AC111"/>
    <mergeCell ref="AB113:AC113"/>
    <mergeCell ref="AB114:AC114"/>
    <mergeCell ref="AB115:AC115"/>
    <mergeCell ref="AB116:AC116"/>
    <mergeCell ref="AB117:AC117"/>
    <mergeCell ref="W101:AA101"/>
    <mergeCell ref="AB92:AC92"/>
    <mergeCell ref="AB93:AC93"/>
    <mergeCell ref="AB94:AC94"/>
    <mergeCell ref="AB95:AC95"/>
    <mergeCell ref="AB91:AC91"/>
    <mergeCell ref="AB96:AC96"/>
    <mergeCell ref="AB97:AC97"/>
    <mergeCell ref="AB98:AC98"/>
    <mergeCell ref="AB99:AC99"/>
    <mergeCell ref="AB100:AC100"/>
    <mergeCell ref="AB101:AC101"/>
    <mergeCell ref="AB102:AC102"/>
    <mergeCell ref="AB103:AC103"/>
    <mergeCell ref="AB104:AC104"/>
    <mergeCell ref="AB105:AC105"/>
    <mergeCell ref="AB106:AC106"/>
    <mergeCell ref="AB107:AC107"/>
    <mergeCell ref="AD117:AF117"/>
    <mergeCell ref="AG91:AH91"/>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D91:AF91"/>
    <mergeCell ref="AD92:AF92"/>
    <mergeCell ref="AD93:AF93"/>
    <mergeCell ref="AD94:AF94"/>
    <mergeCell ref="AD95:AF95"/>
    <mergeCell ref="AD96:AF96"/>
    <mergeCell ref="AD97:AF97"/>
    <mergeCell ref="AD98:AF98"/>
    <mergeCell ref="AD99:AF99"/>
    <mergeCell ref="AD100:AF100"/>
    <mergeCell ref="AG117:AH117"/>
    <mergeCell ref="AI91:AJ91"/>
    <mergeCell ref="AI92:AJ92"/>
    <mergeCell ref="AI93:AJ93"/>
    <mergeCell ref="AI94:AJ94"/>
    <mergeCell ref="AI95:AJ95"/>
    <mergeCell ref="AI96:AJ96"/>
    <mergeCell ref="AI97:AJ97"/>
    <mergeCell ref="AI98:AJ98"/>
    <mergeCell ref="AI99:AJ99"/>
    <mergeCell ref="AI100:AJ100"/>
    <mergeCell ref="AI101:AJ101"/>
    <mergeCell ref="AI102:AJ102"/>
    <mergeCell ref="AI103:AJ103"/>
    <mergeCell ref="AI104:AJ104"/>
    <mergeCell ref="AI105:AJ105"/>
    <mergeCell ref="AI106:AJ106"/>
    <mergeCell ref="AI107:AJ107"/>
    <mergeCell ref="AI108:AJ108"/>
    <mergeCell ref="AI109:AJ109"/>
    <mergeCell ref="AI110:AJ110"/>
    <mergeCell ref="AI111:AJ111"/>
    <mergeCell ref="AI113:AJ113"/>
    <mergeCell ref="AI114:AJ114"/>
    <mergeCell ref="AI115:AJ115"/>
    <mergeCell ref="AI116:AJ116"/>
    <mergeCell ref="AI117:AJ117"/>
    <mergeCell ref="AG113:AH113"/>
    <mergeCell ref="AG114:AH114"/>
    <mergeCell ref="AK117:AO117"/>
    <mergeCell ref="AK91:AO91"/>
    <mergeCell ref="AK92:AO92"/>
    <mergeCell ref="AK93:AO93"/>
    <mergeCell ref="AK94:AO94"/>
    <mergeCell ref="AK95:AO95"/>
    <mergeCell ref="AK96:AO96"/>
    <mergeCell ref="AK97:AO97"/>
    <mergeCell ref="AK98:AO98"/>
    <mergeCell ref="AK99:AO99"/>
    <mergeCell ref="AK100:AO100"/>
    <mergeCell ref="AK101:AO101"/>
    <mergeCell ref="AK102:AO102"/>
    <mergeCell ref="AK103:AO103"/>
    <mergeCell ref="AK104:AO104"/>
    <mergeCell ref="AK105:AO105"/>
    <mergeCell ref="AK106:AO106"/>
    <mergeCell ref="AK107:AO107"/>
    <mergeCell ref="G90:N90"/>
    <mergeCell ref="O90:V90"/>
    <mergeCell ref="W90:AC90"/>
    <mergeCell ref="AD90:AH90"/>
    <mergeCell ref="AK89:AO90"/>
    <mergeCell ref="AI89:AJ90"/>
    <mergeCell ref="A89:F90"/>
    <mergeCell ref="G89:V89"/>
    <mergeCell ref="W89:AH89"/>
    <mergeCell ref="AK108:AO108"/>
    <mergeCell ref="AK109:AO109"/>
    <mergeCell ref="AK110:AO110"/>
    <mergeCell ref="AK111:AO111"/>
    <mergeCell ref="AK113:AO113"/>
    <mergeCell ref="AK114:AO114"/>
    <mergeCell ref="AK115:AO115"/>
    <mergeCell ref="AK116:AO116"/>
    <mergeCell ref="AG115:AH115"/>
    <mergeCell ref="AG116:AH116"/>
    <mergeCell ref="AD106:AF106"/>
    <mergeCell ref="AD107:AF107"/>
    <mergeCell ref="AD108:AF108"/>
    <mergeCell ref="AD109:AF109"/>
    <mergeCell ref="AD110:AF110"/>
    <mergeCell ref="AD111:AF111"/>
    <mergeCell ref="AD113:AF113"/>
    <mergeCell ref="AD114:AF114"/>
    <mergeCell ref="AD115:AF115"/>
    <mergeCell ref="AD116:AF116"/>
    <mergeCell ref="AD101:AF101"/>
    <mergeCell ref="AD102:AF102"/>
    <mergeCell ref="AD103:AF103"/>
    <mergeCell ref="G128:H128"/>
    <mergeCell ref="A121:F121"/>
    <mergeCell ref="A122:F122"/>
    <mergeCell ref="A123:F123"/>
    <mergeCell ref="A124:F124"/>
    <mergeCell ref="A125:F125"/>
    <mergeCell ref="A126:F126"/>
    <mergeCell ref="A127:F127"/>
    <mergeCell ref="A128:F128"/>
    <mergeCell ref="A129:F129"/>
    <mergeCell ref="A130:F130"/>
    <mergeCell ref="A131:F131"/>
    <mergeCell ref="A132:F132"/>
    <mergeCell ref="A133:F133"/>
    <mergeCell ref="A134:F134"/>
    <mergeCell ref="A135:F135"/>
    <mergeCell ref="A136:F136"/>
    <mergeCell ref="G129:H129"/>
    <mergeCell ref="G122:H122"/>
    <mergeCell ref="G121:J121"/>
    <mergeCell ref="G123:H123"/>
    <mergeCell ref="I123:J123"/>
    <mergeCell ref="G124:H124"/>
    <mergeCell ref="I124:J124"/>
    <mergeCell ref="G125:H125"/>
    <mergeCell ref="I125:J125"/>
    <mergeCell ref="G126:H126"/>
    <mergeCell ref="I126:J126"/>
    <mergeCell ref="G127:H127"/>
    <mergeCell ref="I127:J127"/>
    <mergeCell ref="G134:H134"/>
    <mergeCell ref="I134:J134"/>
    <mergeCell ref="A139:F139"/>
    <mergeCell ref="A137:F137"/>
    <mergeCell ref="A151:L151"/>
    <mergeCell ref="G139:H139"/>
    <mergeCell ref="I139:J139"/>
    <mergeCell ref="K139:L139"/>
    <mergeCell ref="G140:H140"/>
    <mergeCell ref="I140:J140"/>
    <mergeCell ref="K140:L140"/>
    <mergeCell ref="G141:H141"/>
    <mergeCell ref="I141:J141"/>
    <mergeCell ref="K141:L141"/>
    <mergeCell ref="G142:H142"/>
    <mergeCell ref="I142:J142"/>
    <mergeCell ref="K142:L142"/>
    <mergeCell ref="G143:H143"/>
    <mergeCell ref="I143:J143"/>
    <mergeCell ref="K143:L143"/>
    <mergeCell ref="G145:H145"/>
    <mergeCell ref="I145:J145"/>
    <mergeCell ref="K145:L145"/>
    <mergeCell ref="A140:F140"/>
    <mergeCell ref="A141:F141"/>
    <mergeCell ref="A142:F142"/>
    <mergeCell ref="A143:F143"/>
    <mergeCell ref="A145:F145"/>
    <mergeCell ref="A146:F146"/>
    <mergeCell ref="A147:F147"/>
    <mergeCell ref="A148:F148"/>
    <mergeCell ref="A149:F149"/>
    <mergeCell ref="N132:Q132"/>
    <mergeCell ref="R123:U123"/>
    <mergeCell ref="R122:U122"/>
    <mergeCell ref="R124:U124"/>
    <mergeCell ref="R125:U125"/>
    <mergeCell ref="R126:U126"/>
    <mergeCell ref="R127:U127"/>
    <mergeCell ref="R128:U128"/>
    <mergeCell ref="R129:U129"/>
    <mergeCell ref="R130:U130"/>
    <mergeCell ref="R131:U131"/>
    <mergeCell ref="N150:Q150"/>
    <mergeCell ref="R150:U150"/>
    <mergeCell ref="N141:AG142"/>
    <mergeCell ref="G147:H147"/>
    <mergeCell ref="I147:J147"/>
    <mergeCell ref="K147:L147"/>
    <mergeCell ref="G148:H148"/>
    <mergeCell ref="I148:J148"/>
    <mergeCell ref="K148:L148"/>
    <mergeCell ref="G149:H149"/>
    <mergeCell ref="I149:J149"/>
    <mergeCell ref="K149:L149"/>
    <mergeCell ref="G146:H146"/>
    <mergeCell ref="I146:J146"/>
    <mergeCell ref="K146:L146"/>
    <mergeCell ref="A150:L150"/>
    <mergeCell ref="G133:H133"/>
    <mergeCell ref="I133:J133"/>
    <mergeCell ref="K133:L133"/>
    <mergeCell ref="K138:L138"/>
    <mergeCell ref="A138:F138"/>
    <mergeCell ref="Z153:AC153"/>
    <mergeCell ref="AD153:AG153"/>
    <mergeCell ref="A154:L154"/>
    <mergeCell ref="AD131:AG131"/>
    <mergeCell ref="R132:U132"/>
    <mergeCell ref="V132:Y132"/>
    <mergeCell ref="Z132:AC132"/>
    <mergeCell ref="AD132:AG132"/>
    <mergeCell ref="N133:Q133"/>
    <mergeCell ref="R133:U133"/>
    <mergeCell ref="V133:Y133"/>
    <mergeCell ref="Z133:AC133"/>
    <mergeCell ref="AD133:AG133"/>
    <mergeCell ref="N134:AG134"/>
    <mergeCell ref="N120:AG121"/>
    <mergeCell ref="N135:AG135"/>
    <mergeCell ref="O136:AG136"/>
    <mergeCell ref="O137:AG137"/>
    <mergeCell ref="O138:AG138"/>
    <mergeCell ref="N139:AG139"/>
    <mergeCell ref="A152:L152"/>
    <mergeCell ref="A153:L153"/>
    <mergeCell ref="N122:Q122"/>
    <mergeCell ref="N123:Q123"/>
    <mergeCell ref="N124:Q124"/>
    <mergeCell ref="N125:Q125"/>
    <mergeCell ref="N126:Q126"/>
    <mergeCell ref="N127:Q127"/>
    <mergeCell ref="N128:Q128"/>
    <mergeCell ref="N129:Q129"/>
    <mergeCell ref="N130:Q130"/>
    <mergeCell ref="N131:Q131"/>
    <mergeCell ref="AD154:AG154"/>
    <mergeCell ref="N155:Q155"/>
    <mergeCell ref="R155:U155"/>
    <mergeCell ref="V155:Y155"/>
    <mergeCell ref="Z155:AC155"/>
    <mergeCell ref="AD155:AG155"/>
    <mergeCell ref="AD149:AG149"/>
    <mergeCell ref="Z149:AC149"/>
    <mergeCell ref="V149:Y149"/>
    <mergeCell ref="R149:U149"/>
    <mergeCell ref="N149:Q149"/>
    <mergeCell ref="AD148:AG148"/>
    <mergeCell ref="Z148:AC148"/>
    <mergeCell ref="V148:Y148"/>
    <mergeCell ref="R148:U148"/>
    <mergeCell ref="N148:Q148"/>
    <mergeCell ref="V150:Y150"/>
    <mergeCell ref="Z150:AC150"/>
    <mergeCell ref="AD150:AG150"/>
    <mergeCell ref="N151:Q151"/>
    <mergeCell ref="R151:U151"/>
    <mergeCell ref="V151:Y151"/>
    <mergeCell ref="Z151:AC151"/>
    <mergeCell ref="AD151:AG151"/>
    <mergeCell ref="N152:Q152"/>
    <mergeCell ref="R152:U152"/>
    <mergeCell ref="V152:Y152"/>
    <mergeCell ref="Z152:AC152"/>
    <mergeCell ref="AD152:AG152"/>
    <mergeCell ref="N153:Q153"/>
    <mergeCell ref="R153:U153"/>
    <mergeCell ref="V153:Y153"/>
    <mergeCell ref="N156:Q156"/>
    <mergeCell ref="R156:U156"/>
    <mergeCell ref="V156:Y156"/>
    <mergeCell ref="Z156:AC156"/>
    <mergeCell ref="AD156:AG156"/>
    <mergeCell ref="N143:Q145"/>
    <mergeCell ref="N163:AG163"/>
    <mergeCell ref="N157:AG157"/>
    <mergeCell ref="N158:AG158"/>
    <mergeCell ref="O159:AG159"/>
    <mergeCell ref="O160:AG160"/>
    <mergeCell ref="O161:AG161"/>
    <mergeCell ref="O162:AG162"/>
    <mergeCell ref="A155:L155"/>
    <mergeCell ref="AD147:AG147"/>
    <mergeCell ref="Z147:AC147"/>
    <mergeCell ref="V147:Y147"/>
    <mergeCell ref="R147:U147"/>
    <mergeCell ref="N147:Q147"/>
    <mergeCell ref="AD146:AG146"/>
    <mergeCell ref="Z146:AC146"/>
    <mergeCell ref="V146:Y146"/>
    <mergeCell ref="R146:U146"/>
    <mergeCell ref="N146:Q146"/>
    <mergeCell ref="AD145:AG145"/>
    <mergeCell ref="Z145:AC145"/>
    <mergeCell ref="V145:Y145"/>
    <mergeCell ref="R145:U145"/>
    <mergeCell ref="N154:Q154"/>
    <mergeCell ref="R154:U154"/>
    <mergeCell ref="V154:Y154"/>
    <mergeCell ref="Z154:AC154"/>
    <mergeCell ref="O432:R432"/>
    <mergeCell ref="S432:V432"/>
    <mergeCell ref="W432:Z432"/>
    <mergeCell ref="AA432:AD432"/>
    <mergeCell ref="AE432:AH432"/>
    <mergeCell ref="AI432:AL432"/>
    <mergeCell ref="A433:F433"/>
    <mergeCell ref="G433:J433"/>
    <mergeCell ref="K433:N433"/>
    <mergeCell ref="O433:R433"/>
    <mergeCell ref="S433:V433"/>
    <mergeCell ref="W433:Z433"/>
    <mergeCell ref="AA433:AD433"/>
    <mergeCell ref="AE433:AH433"/>
    <mergeCell ref="AI433:AL433"/>
    <mergeCell ref="A434:F434"/>
    <mergeCell ref="G434:J434"/>
    <mergeCell ref="K434:N434"/>
    <mergeCell ref="O434:R434"/>
    <mergeCell ref="S434:V434"/>
    <mergeCell ref="W434:Z434"/>
    <mergeCell ref="AA434:AD434"/>
    <mergeCell ref="AE434:AH434"/>
    <mergeCell ref="AI434:AL434"/>
    <mergeCell ref="A435:F435"/>
    <mergeCell ref="G435:J435"/>
    <mergeCell ref="K435:N435"/>
    <mergeCell ref="O435:R435"/>
    <mergeCell ref="S435:V435"/>
    <mergeCell ref="W435:Z435"/>
    <mergeCell ref="AA435:AD435"/>
    <mergeCell ref="AE435:AH435"/>
    <mergeCell ref="AI435:AL435"/>
    <mergeCell ref="A436:F436"/>
    <mergeCell ref="G436:J436"/>
    <mergeCell ref="K436:N436"/>
    <mergeCell ref="O436:R436"/>
    <mergeCell ref="S436:V436"/>
    <mergeCell ref="W436:Z436"/>
    <mergeCell ref="AA436:AD436"/>
    <mergeCell ref="AE436:AH436"/>
    <mergeCell ref="AI436:AL436"/>
    <mergeCell ref="A437:F437"/>
    <mergeCell ref="G437:J437"/>
    <mergeCell ref="K437:N437"/>
    <mergeCell ref="O437:R437"/>
    <mergeCell ref="S437:V437"/>
    <mergeCell ref="W437:Z437"/>
    <mergeCell ref="AA437:AD437"/>
    <mergeCell ref="AE437:AH437"/>
    <mergeCell ref="AI437:AL437"/>
    <mergeCell ref="A438:F438"/>
    <mergeCell ref="G438:J438"/>
    <mergeCell ref="K438:N438"/>
    <mergeCell ref="O438:R438"/>
    <mergeCell ref="S438:V438"/>
    <mergeCell ref="W438:Z438"/>
    <mergeCell ref="AA438:AD438"/>
    <mergeCell ref="AE438:AH438"/>
    <mergeCell ref="AI438:AL438"/>
    <mergeCell ref="A439:F439"/>
    <mergeCell ref="G439:J439"/>
    <mergeCell ref="K439:N439"/>
    <mergeCell ref="O439:R439"/>
    <mergeCell ref="S439:V439"/>
    <mergeCell ref="W439:Z439"/>
    <mergeCell ref="AA439:AD439"/>
    <mergeCell ref="AE439:AH439"/>
    <mergeCell ref="AI439:AL439"/>
    <mergeCell ref="A440:F440"/>
    <mergeCell ref="G440:J440"/>
    <mergeCell ref="K440:N440"/>
    <mergeCell ref="O440:R440"/>
    <mergeCell ref="S440:V440"/>
    <mergeCell ref="W440:Z440"/>
    <mergeCell ref="AA440:AD440"/>
    <mergeCell ref="AE440:AH440"/>
    <mergeCell ref="AI440:AL440"/>
    <mergeCell ref="G447:AL447"/>
    <mergeCell ref="A441:F441"/>
    <mergeCell ref="G441:J441"/>
    <mergeCell ref="K441:N441"/>
    <mergeCell ref="O441:R441"/>
    <mergeCell ref="S441:V441"/>
    <mergeCell ref="W441:Z441"/>
    <mergeCell ref="AA441:AD441"/>
    <mergeCell ref="AE441:AH441"/>
    <mergeCell ref="AI441:AL441"/>
    <mergeCell ref="A442:F442"/>
    <mergeCell ref="G442:J442"/>
    <mergeCell ref="K442:N442"/>
    <mergeCell ref="O442:R442"/>
    <mergeCell ref="S442:V442"/>
    <mergeCell ref="W442:Z442"/>
    <mergeCell ref="AA442:AD442"/>
    <mergeCell ref="AE442:AH442"/>
    <mergeCell ref="AI442:AL442"/>
    <mergeCell ref="A448:F448"/>
    <mergeCell ref="G448:J448"/>
    <mergeCell ref="K448:N448"/>
    <mergeCell ref="O448:R448"/>
    <mergeCell ref="S448:V448"/>
    <mergeCell ref="W448:Z448"/>
    <mergeCell ref="AA448:AD448"/>
    <mergeCell ref="AE448:AH448"/>
    <mergeCell ref="AI448:AL448"/>
    <mergeCell ref="A449:F449"/>
    <mergeCell ref="G449:J449"/>
    <mergeCell ref="K449:N449"/>
    <mergeCell ref="O449:R449"/>
    <mergeCell ref="S449:V449"/>
    <mergeCell ref="W449:Z449"/>
    <mergeCell ref="AA449:AD449"/>
    <mergeCell ref="AE449:AH449"/>
    <mergeCell ref="AI449:AL449"/>
    <mergeCell ref="A450:F450"/>
    <mergeCell ref="G450:J450"/>
    <mergeCell ref="K450:N450"/>
    <mergeCell ref="O450:R450"/>
    <mergeCell ref="S450:V450"/>
    <mergeCell ref="W450:Z450"/>
    <mergeCell ref="AA450:AD450"/>
    <mergeCell ref="AE450:AH450"/>
    <mergeCell ref="AI450:AL450"/>
    <mergeCell ref="A451:F451"/>
    <mergeCell ref="G451:J451"/>
    <mergeCell ref="K451:N451"/>
    <mergeCell ref="O451:R451"/>
    <mergeCell ref="S451:V451"/>
    <mergeCell ref="W451:Z451"/>
    <mergeCell ref="AA451:AD451"/>
    <mergeCell ref="AE451:AH451"/>
    <mergeCell ref="AI451:AL451"/>
    <mergeCell ref="S455:V455"/>
    <mergeCell ref="W455:Z455"/>
    <mergeCell ref="AA455:AD455"/>
    <mergeCell ref="AE455:AH455"/>
    <mergeCell ref="AI455:AL455"/>
    <mergeCell ref="A452:F452"/>
    <mergeCell ref="G452:J452"/>
    <mergeCell ref="K452:N452"/>
    <mergeCell ref="O452:R452"/>
    <mergeCell ref="S452:V452"/>
    <mergeCell ref="W452:Z452"/>
    <mergeCell ref="AA452:AD452"/>
    <mergeCell ref="AE452:AH452"/>
    <mergeCell ref="AI452:AL452"/>
    <mergeCell ref="A453:F453"/>
    <mergeCell ref="G453:J453"/>
    <mergeCell ref="K453:N453"/>
    <mergeCell ref="O453:R453"/>
    <mergeCell ref="S453:V453"/>
    <mergeCell ref="W453:Z453"/>
    <mergeCell ref="AA453:AD453"/>
    <mergeCell ref="AE453:AH453"/>
    <mergeCell ref="AI453:AL453"/>
    <mergeCell ref="A499:F499"/>
    <mergeCell ref="G499:J499"/>
    <mergeCell ref="G510:J510"/>
    <mergeCell ref="AI458:AL458"/>
    <mergeCell ref="A459:F459"/>
    <mergeCell ref="G459:J459"/>
    <mergeCell ref="K459:N459"/>
    <mergeCell ref="O459:R459"/>
    <mergeCell ref="S459:V459"/>
    <mergeCell ref="W459:Z459"/>
    <mergeCell ref="AA459:AD459"/>
    <mergeCell ref="AE459:AH459"/>
    <mergeCell ref="AI459:AL459"/>
    <mergeCell ref="A456:F456"/>
    <mergeCell ref="G456:J456"/>
    <mergeCell ref="K456:N456"/>
    <mergeCell ref="O456:R456"/>
    <mergeCell ref="S456:V456"/>
    <mergeCell ref="W456:Z456"/>
    <mergeCell ref="AA456:AD456"/>
    <mergeCell ref="AE456:AH456"/>
    <mergeCell ref="AI456:AL456"/>
    <mergeCell ref="A457:F457"/>
    <mergeCell ref="G457:J457"/>
    <mergeCell ref="K457:N457"/>
    <mergeCell ref="O457:R457"/>
    <mergeCell ref="S457:V457"/>
    <mergeCell ref="W457:Z457"/>
    <mergeCell ref="AA457:AD457"/>
    <mergeCell ref="AE457:AH457"/>
    <mergeCell ref="AI457:AL457"/>
    <mergeCell ref="W474:Z474"/>
    <mergeCell ref="A462:AL462"/>
    <mergeCell ref="A444:AL444"/>
    <mergeCell ref="A467:AL467"/>
    <mergeCell ref="A491:F491"/>
    <mergeCell ref="G491:J491"/>
    <mergeCell ref="K491:N491"/>
    <mergeCell ref="O491:R491"/>
    <mergeCell ref="S491:V491"/>
    <mergeCell ref="G473:V473"/>
    <mergeCell ref="W473:AL473"/>
    <mergeCell ref="G490:V490"/>
    <mergeCell ref="A458:F458"/>
    <mergeCell ref="G458:J458"/>
    <mergeCell ref="K458:N458"/>
    <mergeCell ref="O458:R458"/>
    <mergeCell ref="S458:V458"/>
    <mergeCell ref="W458:Z458"/>
    <mergeCell ref="AA458:AD458"/>
    <mergeCell ref="AE458:AH458"/>
    <mergeCell ref="A454:F454"/>
    <mergeCell ref="G454:J454"/>
    <mergeCell ref="K454:N454"/>
    <mergeCell ref="O454:R454"/>
    <mergeCell ref="S454:V454"/>
    <mergeCell ref="W454:Z454"/>
    <mergeCell ref="AA454:AD454"/>
    <mergeCell ref="AE454:AH454"/>
    <mergeCell ref="AI454:AL454"/>
    <mergeCell ref="A455:F455"/>
    <mergeCell ref="G455:J455"/>
    <mergeCell ref="K455:N455"/>
    <mergeCell ref="O455:R455"/>
    <mergeCell ref="A510:F510"/>
    <mergeCell ref="W508:Z508"/>
    <mergeCell ref="AU511:AX511"/>
    <mergeCell ref="AY511:BB511"/>
    <mergeCell ref="AE511:AH511"/>
    <mergeCell ref="AI511:AL511"/>
    <mergeCell ref="AE510:AH510"/>
    <mergeCell ref="AI510:AL510"/>
    <mergeCell ref="AU510:AX510"/>
    <mergeCell ref="AY510:BB510"/>
    <mergeCell ref="AU513:AX513"/>
    <mergeCell ref="AY513:BB513"/>
    <mergeCell ref="AE513:AH513"/>
    <mergeCell ref="AI513:AL513"/>
    <mergeCell ref="AE512:AH512"/>
    <mergeCell ref="AI512:AL512"/>
    <mergeCell ref="AU512:AX512"/>
    <mergeCell ref="AY512:BB512"/>
    <mergeCell ref="A513:F513"/>
    <mergeCell ref="G513:J513"/>
    <mergeCell ref="K513:N513"/>
    <mergeCell ref="W513:Z513"/>
    <mergeCell ref="AA513:AD513"/>
    <mergeCell ref="A512:F512"/>
    <mergeCell ref="G512:J512"/>
    <mergeCell ref="K512:N512"/>
    <mergeCell ref="W512:Z512"/>
    <mergeCell ref="AA512:AD512"/>
    <mergeCell ref="A509:F509"/>
    <mergeCell ref="G509:J509"/>
    <mergeCell ref="K509:N509"/>
    <mergeCell ref="W509:Z509"/>
    <mergeCell ref="A500:F500"/>
    <mergeCell ref="G500:J500"/>
    <mergeCell ref="K500:N500"/>
    <mergeCell ref="O500:R500"/>
    <mergeCell ref="S500:V500"/>
    <mergeCell ref="A511:F511"/>
    <mergeCell ref="G511:J511"/>
    <mergeCell ref="A564:F564"/>
    <mergeCell ref="G564:J564"/>
    <mergeCell ref="K564:N564"/>
    <mergeCell ref="O564:R564"/>
    <mergeCell ref="S564:V564"/>
    <mergeCell ref="A565:F565"/>
    <mergeCell ref="G565:J565"/>
    <mergeCell ref="K565:N565"/>
    <mergeCell ref="O565:R565"/>
    <mergeCell ref="S565:V565"/>
    <mergeCell ref="A538:B538"/>
    <mergeCell ref="G561:V561"/>
    <mergeCell ref="A562:F562"/>
    <mergeCell ref="G562:J562"/>
    <mergeCell ref="K562:N562"/>
    <mergeCell ref="O562:R562"/>
    <mergeCell ref="S562:V562"/>
    <mergeCell ref="A563:F563"/>
    <mergeCell ref="G546:J546"/>
    <mergeCell ref="K546:N546"/>
    <mergeCell ref="O546:R546"/>
    <mergeCell ref="S546:V546"/>
    <mergeCell ref="G563:J563"/>
    <mergeCell ref="K563:N563"/>
    <mergeCell ref="O563:R563"/>
    <mergeCell ref="S563:V563"/>
    <mergeCell ref="O550:R550"/>
    <mergeCell ref="S550:V550"/>
    <mergeCell ref="S547:V547"/>
    <mergeCell ref="A568:F568"/>
    <mergeCell ref="G568:J568"/>
    <mergeCell ref="K568:N568"/>
    <mergeCell ref="O568:R568"/>
    <mergeCell ref="S568:V568"/>
    <mergeCell ref="A569:F569"/>
    <mergeCell ref="G569:J569"/>
    <mergeCell ref="K569:N569"/>
    <mergeCell ref="O569:R569"/>
    <mergeCell ref="S569:V569"/>
    <mergeCell ref="A566:F566"/>
    <mergeCell ref="G566:J566"/>
    <mergeCell ref="K566:N566"/>
    <mergeCell ref="O566:R566"/>
    <mergeCell ref="S566:V566"/>
    <mergeCell ref="A567:F567"/>
    <mergeCell ref="G567:J567"/>
    <mergeCell ref="K567:N567"/>
    <mergeCell ref="O567:R567"/>
    <mergeCell ref="S567:V567"/>
    <mergeCell ref="O552:R552"/>
    <mergeCell ref="S552:V552"/>
    <mergeCell ref="A551:F551"/>
    <mergeCell ref="G551:J551"/>
    <mergeCell ref="K551:N551"/>
    <mergeCell ref="O551:R551"/>
    <mergeCell ref="S551:V551"/>
    <mergeCell ref="A572:F572"/>
    <mergeCell ref="G572:J572"/>
    <mergeCell ref="K572:N572"/>
    <mergeCell ref="O572:R572"/>
    <mergeCell ref="S572:V572"/>
    <mergeCell ref="A573:F573"/>
    <mergeCell ref="G573:J573"/>
    <mergeCell ref="K573:N573"/>
    <mergeCell ref="O573:R573"/>
    <mergeCell ref="S573:V573"/>
    <mergeCell ref="A570:F570"/>
    <mergeCell ref="G570:J570"/>
    <mergeCell ref="K570:N570"/>
    <mergeCell ref="O570:R570"/>
    <mergeCell ref="S570:V570"/>
    <mergeCell ref="A571:F571"/>
    <mergeCell ref="G571:J571"/>
    <mergeCell ref="K571:N571"/>
    <mergeCell ref="O571:R571"/>
    <mergeCell ref="S571:V571"/>
    <mergeCell ref="G581:R581"/>
    <mergeCell ref="S581:AD581"/>
    <mergeCell ref="G582:R582"/>
    <mergeCell ref="S582:AD582"/>
    <mergeCell ref="G583:R583"/>
    <mergeCell ref="S583:AD583"/>
    <mergeCell ref="G584:R584"/>
    <mergeCell ref="S584:AD584"/>
    <mergeCell ref="G585:R585"/>
    <mergeCell ref="S585:AD585"/>
    <mergeCell ref="G586:R586"/>
    <mergeCell ref="S586:AD586"/>
    <mergeCell ref="G587:R587"/>
    <mergeCell ref="S587:AD587"/>
    <mergeCell ref="A579:F579"/>
    <mergeCell ref="G579:R579"/>
    <mergeCell ref="S579:AD579"/>
    <mergeCell ref="G588:R588"/>
    <mergeCell ref="S588:AD588"/>
    <mergeCell ref="G589:R589"/>
    <mergeCell ref="S589:AD589"/>
    <mergeCell ref="G590:R590"/>
    <mergeCell ref="S590:AD590"/>
    <mergeCell ref="A597:F597"/>
    <mergeCell ref="A598:F598"/>
    <mergeCell ref="A599:F599"/>
    <mergeCell ref="A600:F600"/>
    <mergeCell ref="A601:F601"/>
    <mergeCell ref="A602:F602"/>
    <mergeCell ref="A603:F603"/>
    <mergeCell ref="A604:F604"/>
    <mergeCell ref="A605:F605"/>
    <mergeCell ref="A580:F580"/>
    <mergeCell ref="G580:R580"/>
    <mergeCell ref="S580:AD580"/>
    <mergeCell ref="A595:F595"/>
    <mergeCell ref="G595:R595"/>
    <mergeCell ref="A596:F596"/>
    <mergeCell ref="G596:R596"/>
    <mergeCell ref="A581:F581"/>
    <mergeCell ref="A582:F582"/>
    <mergeCell ref="A583:F583"/>
    <mergeCell ref="A584:F584"/>
    <mergeCell ref="A585:F585"/>
    <mergeCell ref="A586:F586"/>
    <mergeCell ref="A587:F587"/>
    <mergeCell ref="A588:F588"/>
    <mergeCell ref="A589:F589"/>
    <mergeCell ref="A590:F590"/>
    <mergeCell ref="P613:R613"/>
    <mergeCell ref="S613:U613"/>
    <mergeCell ref="V613:X613"/>
    <mergeCell ref="Y613:AA613"/>
    <mergeCell ref="AB613:AD613"/>
    <mergeCell ref="AE613:AG613"/>
    <mergeCell ref="AH613:AJ613"/>
    <mergeCell ref="G614:I614"/>
    <mergeCell ref="J614:L614"/>
    <mergeCell ref="M614:O614"/>
    <mergeCell ref="A606:F606"/>
    <mergeCell ref="G597:R597"/>
    <mergeCell ref="G598:R598"/>
    <mergeCell ref="G599:R599"/>
    <mergeCell ref="G600:R600"/>
    <mergeCell ref="G601:R601"/>
    <mergeCell ref="G602:R602"/>
    <mergeCell ref="G603:R603"/>
    <mergeCell ref="G604:R604"/>
    <mergeCell ref="G605:R605"/>
    <mergeCell ref="G606:R606"/>
    <mergeCell ref="P614:R614"/>
    <mergeCell ref="S614:U614"/>
    <mergeCell ref="V614:X614"/>
    <mergeCell ref="Y614:AA614"/>
    <mergeCell ref="AB614:AD614"/>
    <mergeCell ref="AE614:AG614"/>
    <mergeCell ref="AH614:AJ614"/>
    <mergeCell ref="G613:I613"/>
    <mergeCell ref="J613:L613"/>
    <mergeCell ref="M613:O613"/>
    <mergeCell ref="A614:F614"/>
    <mergeCell ref="G627:I627"/>
    <mergeCell ref="J627:L627"/>
    <mergeCell ref="M627:O627"/>
    <mergeCell ref="G615:I615"/>
    <mergeCell ref="J615:L615"/>
    <mergeCell ref="M615:O615"/>
    <mergeCell ref="G617:I617"/>
    <mergeCell ref="J617:L617"/>
    <mergeCell ref="M617:O617"/>
    <mergeCell ref="J620:L620"/>
    <mergeCell ref="M620:O620"/>
    <mergeCell ref="G628:I628"/>
    <mergeCell ref="J628:L628"/>
    <mergeCell ref="M628:O628"/>
    <mergeCell ref="A629:F629"/>
    <mergeCell ref="A630:F630"/>
    <mergeCell ref="A644:F645"/>
    <mergeCell ref="A627:F627"/>
    <mergeCell ref="A628:F628"/>
    <mergeCell ref="A622:F622"/>
    <mergeCell ref="A623:F623"/>
    <mergeCell ref="A620:F620"/>
    <mergeCell ref="A621:F621"/>
    <mergeCell ref="A618:F618"/>
    <mergeCell ref="A619:F619"/>
    <mergeCell ref="A616:F616"/>
    <mergeCell ref="A617:F617"/>
    <mergeCell ref="A615:F615"/>
    <mergeCell ref="A631:F631"/>
    <mergeCell ref="A632:F632"/>
    <mergeCell ref="G637:I637"/>
    <mergeCell ref="J637:L637"/>
    <mergeCell ref="A612:F612"/>
    <mergeCell ref="A613:F613"/>
    <mergeCell ref="G631:I631"/>
    <mergeCell ref="A670:F670"/>
    <mergeCell ref="A671:F671"/>
    <mergeCell ref="A668:F668"/>
    <mergeCell ref="A669:F669"/>
    <mergeCell ref="A666:F666"/>
    <mergeCell ref="A667:F667"/>
    <mergeCell ref="A664:F664"/>
    <mergeCell ref="A665:F665"/>
    <mergeCell ref="A662:F662"/>
    <mergeCell ref="A663:F663"/>
    <mergeCell ref="A656:F656"/>
    <mergeCell ref="A660:F660"/>
    <mergeCell ref="A661:F661"/>
    <mergeCell ref="A654:F654"/>
    <mergeCell ref="A655:F655"/>
    <mergeCell ref="A652:F652"/>
    <mergeCell ref="A653:F653"/>
    <mergeCell ref="A650:F650"/>
    <mergeCell ref="A651:F651"/>
    <mergeCell ref="A648:F648"/>
    <mergeCell ref="A649:F649"/>
    <mergeCell ref="A646:F646"/>
    <mergeCell ref="A647:F647"/>
    <mergeCell ref="A637:F637"/>
    <mergeCell ref="A638:F638"/>
    <mergeCell ref="A635:F635"/>
    <mergeCell ref="A636:F636"/>
    <mergeCell ref="A633:F633"/>
    <mergeCell ref="A634:F634"/>
    <mergeCell ref="Q216:V216"/>
    <mergeCell ref="Q217:V217"/>
    <mergeCell ref="Q218:V218"/>
    <mergeCell ref="Q219:V219"/>
    <mergeCell ref="Q220:V220"/>
    <mergeCell ref="Q221:V221"/>
    <mergeCell ref="G659:AJ659"/>
    <mergeCell ref="G644:L644"/>
    <mergeCell ref="M644:R644"/>
    <mergeCell ref="S644:X644"/>
    <mergeCell ref="Y644:AD644"/>
    <mergeCell ref="AE644:AJ644"/>
    <mergeCell ref="G612:I612"/>
    <mergeCell ref="J612:L612"/>
    <mergeCell ref="M612:O612"/>
    <mergeCell ref="P612:R612"/>
    <mergeCell ref="S612:U612"/>
    <mergeCell ref="V612:X612"/>
    <mergeCell ref="Y612:AA612"/>
    <mergeCell ref="AB612:AD612"/>
    <mergeCell ref="AE612:AG612"/>
    <mergeCell ref="AH612:AJ612"/>
    <mergeCell ref="S627:U627"/>
    <mergeCell ref="V627:X627"/>
    <mergeCell ref="Y627:AA627"/>
    <mergeCell ref="AB627:AD627"/>
    <mergeCell ref="AE627:AG627"/>
    <mergeCell ref="AH627:AJ627"/>
    <mergeCell ref="G643:AJ643"/>
    <mergeCell ref="V629:X629"/>
    <mergeCell ref="Y629:AA629"/>
    <mergeCell ref="AB629:AD629"/>
    <mergeCell ref="K219:P219"/>
    <mergeCell ref="B220:J220"/>
    <mergeCell ref="K220:P220"/>
    <mergeCell ref="B221:J221"/>
    <mergeCell ref="K221:P221"/>
    <mergeCell ref="B222:J222"/>
    <mergeCell ref="K222:P222"/>
    <mergeCell ref="B223:J223"/>
    <mergeCell ref="K223:P223"/>
    <mergeCell ref="B225:J225"/>
    <mergeCell ref="K225:V225"/>
    <mergeCell ref="W225:AF225"/>
    <mergeCell ref="B226:J226"/>
    <mergeCell ref="K226:P226"/>
    <mergeCell ref="B227:J227"/>
    <mergeCell ref="K227:P227"/>
    <mergeCell ref="Q222:V222"/>
    <mergeCell ref="Q223:V223"/>
    <mergeCell ref="Q226:V226"/>
    <mergeCell ref="W226:AA226"/>
    <mergeCell ref="AB226:AF226"/>
    <mergeCell ref="W340:AD340"/>
    <mergeCell ref="AE340:AL340"/>
    <mergeCell ref="G341:N341"/>
    <mergeCell ref="O341:V341"/>
    <mergeCell ref="W341:AD341"/>
    <mergeCell ref="AE341:AL341"/>
    <mergeCell ref="G342:N342"/>
    <mergeCell ref="O342:V342"/>
    <mergeCell ref="W342:AD342"/>
    <mergeCell ref="AE342:AL342"/>
    <mergeCell ref="G661:L661"/>
    <mergeCell ref="M661:R661"/>
    <mergeCell ref="S661:X661"/>
    <mergeCell ref="Y661:AD661"/>
    <mergeCell ref="AE661:AJ661"/>
    <mergeCell ref="G660:L660"/>
    <mergeCell ref="M660:R660"/>
    <mergeCell ref="S660:X660"/>
    <mergeCell ref="Y660:AD660"/>
    <mergeCell ref="AE660:AJ660"/>
    <mergeCell ref="P627:R627"/>
    <mergeCell ref="AE629:AG629"/>
    <mergeCell ref="AH629:AJ629"/>
    <mergeCell ref="G630:I630"/>
    <mergeCell ref="J630:L630"/>
    <mergeCell ref="M630:O630"/>
    <mergeCell ref="P630:R630"/>
    <mergeCell ref="S630:U630"/>
    <mergeCell ref="V630:X630"/>
    <mergeCell ref="Y630:AA630"/>
    <mergeCell ref="S631:U631"/>
    <mergeCell ref="V631:X631"/>
    <mergeCell ref="G633:I633"/>
    <mergeCell ref="AE663:AJ663"/>
    <mergeCell ref="G664:L664"/>
    <mergeCell ref="M664:R664"/>
    <mergeCell ref="S664:X664"/>
    <mergeCell ref="Y664:AD664"/>
    <mergeCell ref="AE664:AJ664"/>
    <mergeCell ref="G665:L665"/>
    <mergeCell ref="M665:R665"/>
    <mergeCell ref="S665:X665"/>
    <mergeCell ref="Y665:AD665"/>
    <mergeCell ref="AE665:AJ665"/>
    <mergeCell ref="J633:L633"/>
    <mergeCell ref="M633:O633"/>
    <mergeCell ref="P633:R633"/>
    <mergeCell ref="S633:U633"/>
    <mergeCell ref="V633:X633"/>
    <mergeCell ref="Y633:AA633"/>
    <mergeCell ref="AB633:AD633"/>
    <mergeCell ref="AE633:AG633"/>
    <mergeCell ref="AH633:AJ633"/>
    <mergeCell ref="G634:I634"/>
    <mergeCell ref="J634:L634"/>
    <mergeCell ref="M634:O634"/>
    <mergeCell ref="P634:R634"/>
    <mergeCell ref="S634:U634"/>
    <mergeCell ref="V634:X634"/>
    <mergeCell ref="Y634:AA634"/>
    <mergeCell ref="AB634:AD634"/>
    <mergeCell ref="AE634:AG634"/>
    <mergeCell ref="AH634:AJ634"/>
    <mergeCell ref="G635:I635"/>
    <mergeCell ref="P628:R628"/>
    <mergeCell ref="S628:U628"/>
    <mergeCell ref="V628:X628"/>
    <mergeCell ref="Y628:AA628"/>
    <mergeCell ref="AB628:AD628"/>
    <mergeCell ref="AE628:AG628"/>
    <mergeCell ref="AH628:AJ628"/>
    <mergeCell ref="G629:I629"/>
    <mergeCell ref="J629:L629"/>
    <mergeCell ref="M629:O629"/>
    <mergeCell ref="P629:R629"/>
    <mergeCell ref="S629:U629"/>
    <mergeCell ref="AB630:AD630"/>
    <mergeCell ref="AE630:AG630"/>
    <mergeCell ref="AH630:AJ630"/>
    <mergeCell ref="Y632:AA632"/>
    <mergeCell ref="AB632:AD632"/>
    <mergeCell ref="AE632:AG632"/>
    <mergeCell ref="AH632:AJ632"/>
    <mergeCell ref="J631:L631"/>
    <mergeCell ref="M631:O631"/>
    <mergeCell ref="P631:R631"/>
    <mergeCell ref="Y631:AA631"/>
    <mergeCell ref="AB631:AD631"/>
    <mergeCell ref="AE631:AG631"/>
    <mergeCell ref="AH631:AJ631"/>
    <mergeCell ref="G632:I632"/>
    <mergeCell ref="J632:L632"/>
    <mergeCell ref="M632:O632"/>
    <mergeCell ref="P632:R632"/>
    <mergeCell ref="S632:U632"/>
    <mergeCell ref="V632:X632"/>
    <mergeCell ref="J635:L635"/>
    <mergeCell ref="M635:O635"/>
    <mergeCell ref="P635:R635"/>
    <mergeCell ref="S635:U635"/>
    <mergeCell ref="V635:X635"/>
    <mergeCell ref="Y635:AA635"/>
    <mergeCell ref="AB635:AD635"/>
    <mergeCell ref="AE635:AG635"/>
    <mergeCell ref="AH635:AJ635"/>
    <mergeCell ref="G636:I636"/>
    <mergeCell ref="J636:L636"/>
    <mergeCell ref="M636:O636"/>
    <mergeCell ref="P636:R636"/>
    <mergeCell ref="S636:U636"/>
    <mergeCell ref="V636:X636"/>
    <mergeCell ref="Y636:AA636"/>
    <mergeCell ref="AB636:AD636"/>
    <mergeCell ref="AE636:AG636"/>
    <mergeCell ref="AH636:AJ636"/>
    <mergeCell ref="M637:O637"/>
    <mergeCell ref="P637:R637"/>
    <mergeCell ref="S637:U637"/>
    <mergeCell ref="V637:X637"/>
    <mergeCell ref="Y637:AA637"/>
    <mergeCell ref="AB637:AD637"/>
    <mergeCell ref="AE637:AG637"/>
    <mergeCell ref="AH637:AJ637"/>
    <mergeCell ref="G638:I638"/>
    <mergeCell ref="J638:L638"/>
    <mergeCell ref="M638:O638"/>
    <mergeCell ref="P638:R638"/>
    <mergeCell ref="S638:U638"/>
    <mergeCell ref="V638:X638"/>
    <mergeCell ref="Y638:AA638"/>
    <mergeCell ref="AB638:AD638"/>
    <mergeCell ref="AE638:AG638"/>
    <mergeCell ref="AH638:AJ638"/>
    <mergeCell ref="P615:R615"/>
    <mergeCell ref="S615:U615"/>
    <mergeCell ref="V615:X615"/>
    <mergeCell ref="Y615:AA615"/>
    <mergeCell ref="AB615:AD615"/>
    <mergeCell ref="AE615:AG615"/>
    <mergeCell ref="AH615:AJ615"/>
    <mergeCell ref="G616:I616"/>
    <mergeCell ref="J616:L616"/>
    <mergeCell ref="M616:O616"/>
    <mergeCell ref="P616:R616"/>
    <mergeCell ref="S616:U616"/>
    <mergeCell ref="V616:X616"/>
    <mergeCell ref="Y616:AA616"/>
    <mergeCell ref="AB616:AD616"/>
    <mergeCell ref="AE616:AG616"/>
    <mergeCell ref="AH616:AJ616"/>
    <mergeCell ref="AE620:AG620"/>
    <mergeCell ref="AH620:AJ620"/>
    <mergeCell ref="G621:I621"/>
    <mergeCell ref="J621:L621"/>
    <mergeCell ref="M621:O621"/>
    <mergeCell ref="P621:R621"/>
    <mergeCell ref="S621:U621"/>
    <mergeCell ref="V621:X621"/>
    <mergeCell ref="Y621:AA621"/>
    <mergeCell ref="AB621:AD621"/>
    <mergeCell ref="AE621:AG621"/>
    <mergeCell ref="AH621:AJ621"/>
    <mergeCell ref="G618:I618"/>
    <mergeCell ref="J618:L618"/>
    <mergeCell ref="M618:O618"/>
    <mergeCell ref="P618:R618"/>
    <mergeCell ref="S618:U618"/>
    <mergeCell ref="V618:X618"/>
    <mergeCell ref="Y618:AA618"/>
    <mergeCell ref="AB618:AD618"/>
    <mergeCell ref="AE618:AG618"/>
    <mergeCell ref="AH618:AJ618"/>
    <mergeCell ref="G619:I619"/>
    <mergeCell ref="J619:L619"/>
    <mergeCell ref="M619:O619"/>
    <mergeCell ref="S619:U619"/>
    <mergeCell ref="V619:X619"/>
    <mergeCell ref="Y619:AA619"/>
    <mergeCell ref="AB619:AD619"/>
    <mergeCell ref="AE619:AG619"/>
    <mergeCell ref="AH619:AJ619"/>
    <mergeCell ref="G611:U611"/>
    <mergeCell ref="V611:AJ611"/>
    <mergeCell ref="G626:U626"/>
    <mergeCell ref="V626:AJ626"/>
    <mergeCell ref="G622:I622"/>
    <mergeCell ref="J622:L622"/>
    <mergeCell ref="M622:O622"/>
    <mergeCell ref="P622:R622"/>
    <mergeCell ref="S622:U622"/>
    <mergeCell ref="V622:X622"/>
    <mergeCell ref="Y622:AA622"/>
    <mergeCell ref="AB622:AD622"/>
    <mergeCell ref="AE622:AG622"/>
    <mergeCell ref="AH622:AJ622"/>
    <mergeCell ref="G623:I623"/>
    <mergeCell ref="J623:L623"/>
    <mergeCell ref="M623:O623"/>
    <mergeCell ref="P623:R623"/>
    <mergeCell ref="S623:U623"/>
    <mergeCell ref="V623:X623"/>
    <mergeCell ref="Y623:AA623"/>
    <mergeCell ref="AB623:AD623"/>
    <mergeCell ref="AE623:AG623"/>
    <mergeCell ref="AH623:AJ623"/>
    <mergeCell ref="G620:I620"/>
    <mergeCell ref="P617:R617"/>
    <mergeCell ref="S617:U617"/>
    <mergeCell ref="V617:X617"/>
    <mergeCell ref="Y617:AA617"/>
    <mergeCell ref="AB617:AD617"/>
    <mergeCell ref="AE617:AG617"/>
    <mergeCell ref="AH617:AJ617"/>
    <mergeCell ref="Q185:R185"/>
    <mergeCell ref="S185:T185"/>
    <mergeCell ref="Y185:Z185"/>
    <mergeCell ref="AA185:AB185"/>
    <mergeCell ref="M186:N186"/>
    <mergeCell ref="O186:P186"/>
    <mergeCell ref="Q186:R186"/>
    <mergeCell ref="S186:T186"/>
    <mergeCell ref="Y186:Z186"/>
    <mergeCell ref="AA186:AB186"/>
    <mergeCell ref="M187:N187"/>
    <mergeCell ref="O187:P187"/>
    <mergeCell ref="Q187:R187"/>
    <mergeCell ref="S187:T187"/>
    <mergeCell ref="Y187:Z187"/>
    <mergeCell ref="AA187:AB187"/>
    <mergeCell ref="U185:X185"/>
    <mergeCell ref="AA190:AB190"/>
    <mergeCell ref="M191:N191"/>
    <mergeCell ref="O191:P191"/>
    <mergeCell ref="Q191:R191"/>
    <mergeCell ref="S191:T191"/>
    <mergeCell ref="Y191:Z191"/>
    <mergeCell ref="AA191:AB191"/>
    <mergeCell ref="M192:N192"/>
    <mergeCell ref="O192:P192"/>
    <mergeCell ref="Q192:R192"/>
    <mergeCell ref="S192:T192"/>
    <mergeCell ref="Y192:Z192"/>
    <mergeCell ref="AA192:AB192"/>
    <mergeCell ref="M193:N193"/>
    <mergeCell ref="O193:P193"/>
    <mergeCell ref="Q193:R193"/>
    <mergeCell ref="S193:T193"/>
    <mergeCell ref="Y193:Z193"/>
    <mergeCell ref="AA193:AB193"/>
    <mergeCell ref="A195:AF195"/>
    <mergeCell ref="A315:F316"/>
    <mergeCell ref="G316:J316"/>
    <mergeCell ref="K316:N316"/>
    <mergeCell ref="O316:R316"/>
    <mergeCell ref="S316:V316"/>
    <mergeCell ref="W316:Z316"/>
    <mergeCell ref="AA316:AD316"/>
    <mergeCell ref="AE316:AH316"/>
    <mergeCell ref="AI316:AL316"/>
    <mergeCell ref="G317:J317"/>
    <mergeCell ref="K317:N317"/>
    <mergeCell ref="O317:R317"/>
    <mergeCell ref="S317:V317"/>
    <mergeCell ref="W317:Z317"/>
    <mergeCell ref="AA317:AD317"/>
    <mergeCell ref="AE317:AH317"/>
    <mergeCell ref="AI317:AL317"/>
    <mergeCell ref="K215:V215"/>
    <mergeCell ref="B215:J215"/>
    <mergeCell ref="K224:AF224"/>
    <mergeCell ref="B224:J224"/>
    <mergeCell ref="Q227:V227"/>
    <mergeCell ref="W227:AA227"/>
    <mergeCell ref="AB227:AF227"/>
    <mergeCell ref="B216:J216"/>
    <mergeCell ref="K216:P216"/>
    <mergeCell ref="B217:J217"/>
    <mergeCell ref="K217:P217"/>
    <mergeCell ref="B218:J218"/>
    <mergeCell ref="K218:P218"/>
    <mergeCell ref="B219:J219"/>
    <mergeCell ref="AA320:AD320"/>
    <mergeCell ref="AE320:AH320"/>
    <mergeCell ref="AI320:AL320"/>
    <mergeCell ref="G321:J321"/>
    <mergeCell ref="K321:N321"/>
    <mergeCell ref="O321:R321"/>
    <mergeCell ref="S321:V321"/>
    <mergeCell ref="W321:Z321"/>
    <mergeCell ref="AA321:AD321"/>
    <mergeCell ref="AE321:AH321"/>
    <mergeCell ref="AI321:AL321"/>
    <mergeCell ref="G322:J322"/>
    <mergeCell ref="K322:N322"/>
    <mergeCell ref="O322:R322"/>
    <mergeCell ref="S322:V322"/>
    <mergeCell ref="W322:Z322"/>
    <mergeCell ref="AA322:AD322"/>
    <mergeCell ref="AE322:AH322"/>
    <mergeCell ref="AI322:AL322"/>
    <mergeCell ref="AA323:AD323"/>
    <mergeCell ref="AE323:AH323"/>
    <mergeCell ref="AI323:AL323"/>
    <mergeCell ref="G324:J324"/>
    <mergeCell ref="K324:N324"/>
    <mergeCell ref="O324:R324"/>
    <mergeCell ref="S324:V324"/>
    <mergeCell ref="W324:Z324"/>
    <mergeCell ref="AA324:AD324"/>
    <mergeCell ref="AE324:AH324"/>
    <mergeCell ref="AI324:AL324"/>
    <mergeCell ref="G325:J325"/>
    <mergeCell ref="K325:N325"/>
    <mergeCell ref="O325:R325"/>
    <mergeCell ref="S325:V325"/>
    <mergeCell ref="W325:Z325"/>
    <mergeCell ref="AA325:AD325"/>
    <mergeCell ref="AE325:AH325"/>
    <mergeCell ref="AI325:AL325"/>
    <mergeCell ref="O326:R326"/>
    <mergeCell ref="S326:V326"/>
    <mergeCell ref="W326:Z326"/>
    <mergeCell ref="AA326:AD326"/>
    <mergeCell ref="AE326:AH326"/>
    <mergeCell ref="AI326:AL326"/>
    <mergeCell ref="G327:J327"/>
    <mergeCell ref="K327:N327"/>
    <mergeCell ref="O327:R327"/>
    <mergeCell ref="S327:V327"/>
    <mergeCell ref="W327:Z327"/>
    <mergeCell ref="AA327:AD327"/>
    <mergeCell ref="AE327:AH327"/>
    <mergeCell ref="AI327:AL327"/>
    <mergeCell ref="G645:I645"/>
    <mergeCell ref="J645:L645"/>
    <mergeCell ref="M645:O645"/>
    <mergeCell ref="P645:R645"/>
    <mergeCell ref="S645:U645"/>
    <mergeCell ref="V645:X645"/>
    <mergeCell ref="Y645:AA645"/>
    <mergeCell ref="AB645:AD645"/>
    <mergeCell ref="AE645:AG645"/>
    <mergeCell ref="AH645:AJ645"/>
    <mergeCell ref="A426:AL426"/>
    <mergeCell ref="A539:AL539"/>
    <mergeCell ref="P620:R620"/>
    <mergeCell ref="S620:U620"/>
    <mergeCell ref="V620:X620"/>
    <mergeCell ref="Y620:AA620"/>
    <mergeCell ref="AB620:AD620"/>
    <mergeCell ref="P619:R619"/>
    <mergeCell ref="G646:I646"/>
    <mergeCell ref="J646:L646"/>
    <mergeCell ref="M646:O646"/>
    <mergeCell ref="P646:R646"/>
    <mergeCell ref="S646:U646"/>
    <mergeCell ref="V646:X646"/>
    <mergeCell ref="Y646:AA646"/>
    <mergeCell ref="AB646:AD646"/>
    <mergeCell ref="AE646:AG646"/>
    <mergeCell ref="AH646:AJ646"/>
    <mergeCell ref="G647:I647"/>
    <mergeCell ref="J647:L647"/>
    <mergeCell ref="M647:O647"/>
    <mergeCell ref="P647:R647"/>
    <mergeCell ref="S647:U647"/>
    <mergeCell ref="V647:X647"/>
    <mergeCell ref="Y647:AA647"/>
    <mergeCell ref="AB647:AD647"/>
    <mergeCell ref="AE647:AG647"/>
    <mergeCell ref="AH647:AJ647"/>
    <mergeCell ref="G648:I648"/>
    <mergeCell ref="J648:L648"/>
    <mergeCell ref="M648:O648"/>
    <mergeCell ref="P648:R648"/>
    <mergeCell ref="S648:U648"/>
    <mergeCell ref="V648:X648"/>
    <mergeCell ref="Y648:AA648"/>
    <mergeCell ref="AB648:AD648"/>
    <mergeCell ref="AE648:AG648"/>
    <mergeCell ref="AH648:AJ648"/>
    <mergeCell ref="G649:I649"/>
    <mergeCell ref="J649:L649"/>
    <mergeCell ref="M649:O649"/>
    <mergeCell ref="P649:R649"/>
    <mergeCell ref="S649:U649"/>
    <mergeCell ref="V649:X649"/>
    <mergeCell ref="Y649:AA649"/>
    <mergeCell ref="AB649:AD649"/>
    <mergeCell ref="AE649:AG649"/>
    <mergeCell ref="AH649:AJ649"/>
    <mergeCell ref="G650:I650"/>
    <mergeCell ref="J650:L650"/>
    <mergeCell ref="M650:O650"/>
    <mergeCell ref="P650:R650"/>
    <mergeCell ref="S650:U650"/>
    <mergeCell ref="V650:X650"/>
    <mergeCell ref="Y650:AA650"/>
    <mergeCell ref="AB650:AD650"/>
    <mergeCell ref="AE650:AG650"/>
    <mergeCell ref="AH650:AJ650"/>
    <mergeCell ref="G651:I651"/>
    <mergeCell ref="J651:L651"/>
    <mergeCell ref="M651:O651"/>
    <mergeCell ref="P651:R651"/>
    <mergeCell ref="S651:U651"/>
    <mergeCell ref="V651:X651"/>
    <mergeCell ref="Y651:AA651"/>
    <mergeCell ref="AB651:AD651"/>
    <mergeCell ref="AE651:AG651"/>
    <mergeCell ref="AH651:AJ651"/>
    <mergeCell ref="AE671:AJ671"/>
    <mergeCell ref="G652:I652"/>
    <mergeCell ref="J652:L652"/>
    <mergeCell ref="M652:O652"/>
    <mergeCell ref="P652:R652"/>
    <mergeCell ref="S652:U652"/>
    <mergeCell ref="V652:X652"/>
    <mergeCell ref="Y652:AA652"/>
    <mergeCell ref="AB652:AD652"/>
    <mergeCell ref="AE652:AG652"/>
    <mergeCell ref="AH652:AJ652"/>
    <mergeCell ref="G653:I653"/>
    <mergeCell ref="J653:L653"/>
    <mergeCell ref="M653:O653"/>
    <mergeCell ref="P653:R653"/>
    <mergeCell ref="S653:U653"/>
    <mergeCell ref="V653:X653"/>
    <mergeCell ref="Y653:AA653"/>
    <mergeCell ref="AB653:AD653"/>
    <mergeCell ref="AE653:AG653"/>
    <mergeCell ref="AH653:AJ653"/>
    <mergeCell ref="S668:X668"/>
    <mergeCell ref="Y668:AD668"/>
    <mergeCell ref="AE668:AJ668"/>
    <mergeCell ref="G669:L669"/>
    <mergeCell ref="M669:R669"/>
    <mergeCell ref="S669:X669"/>
    <mergeCell ref="M668:R668"/>
    <mergeCell ref="AE669:AJ669"/>
    <mergeCell ref="G662:L662"/>
    <mergeCell ref="M662:R662"/>
    <mergeCell ref="S662:X662"/>
    <mergeCell ref="B680:AF680"/>
    <mergeCell ref="G655:I655"/>
    <mergeCell ref="J655:L655"/>
    <mergeCell ref="M655:O655"/>
    <mergeCell ref="P655:R655"/>
    <mergeCell ref="S655:U655"/>
    <mergeCell ref="V655:X655"/>
    <mergeCell ref="Y655:AA655"/>
    <mergeCell ref="AB655:AD655"/>
    <mergeCell ref="AE655:AG655"/>
    <mergeCell ref="AH655:AJ655"/>
    <mergeCell ref="G656:I656"/>
    <mergeCell ref="J656:L656"/>
    <mergeCell ref="M656:O656"/>
    <mergeCell ref="P656:R656"/>
    <mergeCell ref="S656:U656"/>
    <mergeCell ref="V656:X656"/>
    <mergeCell ref="Y656:AA656"/>
    <mergeCell ref="AB656:AD656"/>
    <mergeCell ref="AE656:AG656"/>
    <mergeCell ref="AH656:AJ656"/>
    <mergeCell ref="Y669:AD669"/>
    <mergeCell ref="G670:L670"/>
    <mergeCell ref="M670:R670"/>
    <mergeCell ref="S670:X670"/>
    <mergeCell ref="Y670:AD670"/>
    <mergeCell ref="AE670:AJ670"/>
    <mergeCell ref="G671:L671"/>
    <mergeCell ref="M671:R671"/>
    <mergeCell ref="S671:X671"/>
    <mergeCell ref="Y671:AD671"/>
    <mergeCell ref="B679:AF679"/>
    <mergeCell ref="G667:L667"/>
    <mergeCell ref="M667:R667"/>
    <mergeCell ref="S667:X667"/>
    <mergeCell ref="Y667:AD667"/>
    <mergeCell ref="AE667:AJ667"/>
    <mergeCell ref="G668:L668"/>
    <mergeCell ref="Y662:AD662"/>
    <mergeCell ref="AE662:AJ662"/>
    <mergeCell ref="G663:L663"/>
    <mergeCell ref="M663:R663"/>
    <mergeCell ref="S663:X663"/>
    <mergeCell ref="Y663:AD663"/>
    <mergeCell ref="G654:I654"/>
    <mergeCell ref="J654:L654"/>
    <mergeCell ref="M654:O654"/>
    <mergeCell ref="P654:R654"/>
    <mergeCell ref="S654:U654"/>
    <mergeCell ref="V654:X654"/>
    <mergeCell ref="Y654:AA654"/>
    <mergeCell ref="AB654:AD654"/>
    <mergeCell ref="AE654:AG654"/>
    <mergeCell ref="AH654:AJ654"/>
    <mergeCell ref="G666:L666"/>
    <mergeCell ref="M666:R666"/>
    <mergeCell ref="S666:X666"/>
    <mergeCell ref="Y666:AD666"/>
    <mergeCell ref="AE666:AJ666"/>
  </mergeCells>
  <hyperlinks>
    <hyperlink ref="A2" location="TOC!A1" display="Return to TOC" xr:uid="{00000000-0004-0000-2A00-000000000000}"/>
    <hyperlink ref="Q216:V216" location="C_Light_General!B249" display="Lifetime Savings" xr:uid="{00000000-0004-0000-2A00-000001000000}"/>
    <hyperlink ref="K217:P217" location="C_Light_General!B267" display="First Year Savings" xr:uid="{00000000-0004-0000-2A00-000002000000}"/>
    <hyperlink ref="Q217:V217" location="C_Light_General!B273" display="Lifetime Savings" xr:uid="{00000000-0004-0000-2A00-000003000000}"/>
    <hyperlink ref="K218:P218" location="C_Light_General!B344" display="First Year Savings" xr:uid="{00000000-0004-0000-2A00-000004000000}"/>
    <hyperlink ref="Q218:V218" location="C_Light_General!B361" display="Lifetime Savings" xr:uid="{00000000-0004-0000-2A00-000005000000}"/>
    <hyperlink ref="K219:P219" location="C_Light_General!B378" display="First Year Savings" xr:uid="{00000000-0004-0000-2A00-000006000000}"/>
    <hyperlink ref="Q219:V219" location="C_Light_General!B410" display="Lifetime Savings" xr:uid="{00000000-0004-0000-2A00-000007000000}"/>
    <hyperlink ref="K220:P220" location="C_Light_General!B470" display="First Year Savings" xr:uid="{00000000-0004-0000-2A00-000008000000}"/>
    <hyperlink ref="Q220:V220" location="C_Light_General!B487" display="Lifetime Savings" xr:uid="{00000000-0004-0000-2A00-000009000000}"/>
    <hyperlink ref="K221:P221" location="C_Light_General!B504" display="First Year Savings" xr:uid="{00000000-0004-0000-2A00-00000A000000}"/>
    <hyperlink ref="Q221:V221" location="C_Light_General!B522" display="Lifetime Savings" xr:uid="{00000000-0004-0000-2A00-00000B000000}"/>
    <hyperlink ref="K222:P222" location="C_Light_General!B540" display="First Year Savings" xr:uid="{00000000-0004-0000-2A00-00000C000000}"/>
    <hyperlink ref="Q222:V222" location="C_Light_General!B558" display="Lifetime Savings" xr:uid="{00000000-0004-0000-2A00-00000D000000}"/>
    <hyperlink ref="K223:P223" location="C_Light_General!B576" display="First Year Savings" xr:uid="{00000000-0004-0000-2A00-00000E000000}"/>
    <hyperlink ref="Q223:V223" location="C_Light_General!B592" display="Lifetime Savings" xr:uid="{00000000-0004-0000-2A00-00000F000000}"/>
    <hyperlink ref="W225:AF225" location="C_Light_General!A446" display="First Year kW (Federal Standard)" xr:uid="{00000000-0004-0000-2A00-000010000000}"/>
    <hyperlink ref="K216:P216" location="C_Light_General!B231" display="First Year Savings" xr:uid="{00000000-0004-0000-2A00-000011000000}"/>
    <hyperlink ref="K225:V225" location="C_Light_General!A429" display="First Year kW (Pre-Existing)" xr:uid="{00000000-0004-0000-2A00-000012000000}"/>
    <hyperlink ref="K226:P226" location="C_Light_General!A610" display="First Year, PY20-21" xr:uid="{00000000-0004-0000-2A00-000013000000}"/>
    <hyperlink ref="Q226:V226" location="C_Light_General!A625" display="First Year, PY22+" xr:uid="{00000000-0004-0000-2A00-000014000000}"/>
    <hyperlink ref="W226:AA226" location="C_Light_General!A642" display="Lifetime, PY20-21" xr:uid="{00000000-0004-0000-2A00-000015000000}"/>
    <hyperlink ref="AB226:AF226" location="C_Light_General!A658" display="Lifetime, PY22+" xr:uid="{00000000-0004-0000-2A00-000016000000}"/>
    <hyperlink ref="K227:P227" location="C_Light_General!A281" display="First Year, PY20-21" xr:uid="{00000000-0004-0000-2A00-000017000000}"/>
    <hyperlink ref="Q227:V227" location="C_Light_General!A296" display="First Year, PY22+" xr:uid="{00000000-0004-0000-2A00-000018000000}"/>
    <hyperlink ref="W227:AA227" location="C_Light_General!A313" display="Lifetime, PY20-21" xr:uid="{00000000-0004-0000-2A00-000019000000}"/>
    <hyperlink ref="AB227:AF227" location="C_Light_General!A329" display="Lifetime, PY22+" xr:uid="{00000000-0004-0000-2A00-00001A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66" numberStoredAsText="1"/>
    <ignoredError sqref="K415:AD425 K492:N502 AE415:AH425 O492:R502 K527:N537 W527:Z537 K317:AD327 AE317:AH327 O527:V537" formula="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autoPageBreaks="0"/>
  </sheetPr>
  <dimension ref="A1:AF167"/>
  <sheetViews>
    <sheetView workbookViewId="0">
      <selection activeCell="A2" sqref="A2"/>
    </sheetView>
  </sheetViews>
  <sheetFormatPr defaultColWidth="2.6640625" defaultRowHeight="14.4" x14ac:dyDescent="0.3"/>
  <sheetData>
    <row r="1" spans="1:32" ht="18" x14ac:dyDescent="0.3">
      <c r="A1" s="1131" t="s">
        <v>5563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 customHeight="1" x14ac:dyDescent="0.3">
      <c r="A5" s="121"/>
      <c r="B5" s="889" t="s">
        <v>5684</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1:32" ht="18"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46.5" customHeight="1" x14ac:dyDescent="0.3">
      <c r="A10" s="122"/>
      <c r="B10" s="889" t="s">
        <v>5690</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77.25" customHeight="1" x14ac:dyDescent="0.3">
      <c r="A13" s="121"/>
      <c r="B13" s="1291" t="s">
        <v>5685</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A14" s="1"/>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3">
      <c r="A15" s="1"/>
      <c r="B15" s="1144" t="s">
        <v>5</v>
      </c>
      <c r="C15" s="1144"/>
      <c r="D15" s="1144"/>
      <c r="E15" s="1144"/>
      <c r="F15" s="1144"/>
      <c r="G15" s="1144"/>
      <c r="H15" s="1144"/>
      <c r="I15" s="114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142" t="s">
        <v>5564</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144" t="s">
        <v>6</v>
      </c>
      <c r="C18" s="1144"/>
      <c r="D18" s="1144"/>
      <c r="E18" s="1144"/>
      <c r="F18" s="1144"/>
      <c r="G18" s="1144"/>
      <c r="H18" s="1144"/>
      <c r="I18" s="1144"/>
      <c r="J18" s="1"/>
      <c r="K18" s="1"/>
      <c r="L18" s="1"/>
      <c r="M18" s="1"/>
      <c r="N18" s="1"/>
      <c r="O18" s="1"/>
      <c r="P18" s="1"/>
      <c r="Q18" s="1"/>
      <c r="R18" s="1"/>
      <c r="S18" s="1"/>
      <c r="T18" s="1"/>
      <c r="U18" s="1"/>
      <c r="V18" s="1"/>
      <c r="W18" s="1"/>
      <c r="X18" s="1"/>
      <c r="Y18" s="1"/>
      <c r="Z18" s="1"/>
      <c r="AA18" s="1"/>
      <c r="AB18" s="1"/>
      <c r="AC18" s="1"/>
      <c r="AD18" s="1"/>
      <c r="AE18" s="1"/>
      <c r="AF18" s="1"/>
    </row>
    <row r="19" spans="1:32" ht="46.5" customHeight="1" x14ac:dyDescent="0.3">
      <c r="A19" s="1"/>
      <c r="B19" s="889" t="s">
        <v>5688</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A20" s="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108.75" customHeight="1" x14ac:dyDescent="0.3">
      <c r="A21" s="1"/>
      <c r="B21" s="889" t="s">
        <v>5689</v>
      </c>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row>
    <row r="22" spans="1:32" x14ac:dyDescent="0.3">
      <c r="A22" s="1"/>
      <c r="B22" s="51"/>
      <c r="C22" s="51"/>
      <c r="D22" s="51"/>
      <c r="E22" s="51"/>
      <c r="F22" s="51"/>
      <c r="G22" s="51"/>
      <c r="H22" s="51"/>
      <c r="I22" s="51"/>
      <c r="J22" s="1"/>
      <c r="K22" s="1"/>
      <c r="L22" s="1"/>
      <c r="M22" s="1"/>
      <c r="N22" s="1"/>
      <c r="O22" s="1"/>
      <c r="P22" s="1"/>
      <c r="Q22" s="1"/>
      <c r="R22" s="1"/>
      <c r="S22" s="1"/>
      <c r="T22" s="1"/>
      <c r="U22" s="1"/>
      <c r="V22" s="1"/>
      <c r="W22" s="1"/>
      <c r="X22" s="1"/>
      <c r="Y22" s="1"/>
      <c r="Z22" s="1"/>
      <c r="AA22" s="1"/>
      <c r="AB22" s="1"/>
      <c r="AC22" s="1"/>
      <c r="AD22" s="1"/>
      <c r="AE22" s="1"/>
      <c r="AF22" s="1"/>
    </row>
    <row r="23" spans="1:32" x14ac:dyDescent="0.3">
      <c r="A23" s="1"/>
      <c r="B23" s="51" t="s">
        <v>13</v>
      </c>
      <c r="C23" s="51"/>
      <c r="D23" s="51"/>
      <c r="E23" s="51"/>
      <c r="F23" s="51"/>
      <c r="G23" s="51"/>
      <c r="H23" s="51"/>
      <c r="I23" s="51"/>
      <c r="J23" s="51"/>
      <c r="K23" s="1"/>
      <c r="L23" s="1"/>
      <c r="M23" s="1"/>
      <c r="N23" s="1"/>
      <c r="O23" s="1"/>
      <c r="P23" s="1"/>
      <c r="Q23" s="1"/>
      <c r="R23" s="1"/>
      <c r="S23" s="1"/>
      <c r="T23" s="1"/>
      <c r="U23" s="1"/>
      <c r="V23" s="1"/>
      <c r="W23" s="1"/>
      <c r="X23" s="1"/>
      <c r="Y23" s="1"/>
      <c r="Z23" s="1"/>
      <c r="AA23" s="1"/>
      <c r="AB23" s="1"/>
      <c r="AC23" s="1"/>
      <c r="AD23" s="1"/>
      <c r="AE23" s="1"/>
      <c r="AF23" s="1"/>
    </row>
    <row r="24" spans="1:32" ht="33.75" customHeight="1" x14ac:dyDescent="0.3">
      <c r="A24" s="1"/>
      <c r="B24" s="872" t="s">
        <v>5565</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row>
    <row r="25" spans="1:32" ht="15" customHeight="1" x14ac:dyDescent="0.3">
      <c r="A25" s="228"/>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7" spans="1:32" x14ac:dyDescent="0.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231" t="s">
        <v>2137</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row>
    <row r="29" spans="1:32" x14ac:dyDescent="0.3">
      <c r="A29" s="3"/>
      <c r="B29" s="23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3">
      <c r="A30" s="3"/>
      <c r="B30" s="231"/>
      <c r="C30" s="10" t="s">
        <v>5566</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3"/>
      <c r="B31" s="23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3">
      <c r="A32" s="3"/>
      <c r="B32" s="23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71" t="s">
        <v>1463</v>
      </c>
    </row>
    <row r="33" spans="1:32" x14ac:dyDescent="0.3">
      <c r="A33" s="3"/>
      <c r="B33" s="23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row>
    <row r="34" spans="1:32" x14ac:dyDescent="0.3">
      <c r="A34" s="3"/>
      <c r="B34" s="231"/>
      <c r="C34" s="10" t="s">
        <v>5567</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3">
      <c r="A35" s="3"/>
      <c r="B35" s="23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3">
      <c r="A36" s="3"/>
      <c r="B36" s="23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71" t="s">
        <v>1464</v>
      </c>
    </row>
    <row r="37" spans="1:32" x14ac:dyDescent="0.3">
      <c r="A37" s="3"/>
      <c r="B37" s="23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3">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3">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t="s">
        <v>1465</v>
      </c>
    </row>
    <row r="40" spans="1:32" x14ac:dyDescent="0.3">
      <c r="A40" s="3"/>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71"/>
    </row>
    <row r="41" spans="1:32" x14ac:dyDescent="0.3">
      <c r="A41" s="3"/>
      <c r="B41" s="51" t="s">
        <v>2027</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3">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row>
    <row r="43" spans="1:32" x14ac:dyDescent="0.3">
      <c r="A43" s="3"/>
      <c r="B43" s="1"/>
      <c r="C43" s="10" t="s">
        <v>5566</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3">
      <c r="A44" s="3"/>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row>
    <row r="45" spans="1:32" x14ac:dyDescent="0.3">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t="s">
        <v>1517</v>
      </c>
    </row>
    <row r="46" spans="1:32" x14ac:dyDescent="0.3">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row>
    <row r="47" spans="1:32" x14ac:dyDescent="0.3">
      <c r="A47" s="3"/>
      <c r="B47" s="1"/>
      <c r="C47" s="10" t="s">
        <v>5567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row>
    <row r="48" spans="1:32" x14ac:dyDescent="0.3">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row>
    <row r="49" spans="1:32" x14ac:dyDescent="0.3">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t="s">
        <v>1556</v>
      </c>
    </row>
    <row r="50" spans="1:32" x14ac:dyDescent="0.3">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row>
    <row r="51" spans="1:32" x14ac:dyDescent="0.3">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row>
    <row r="52" spans="1:32" x14ac:dyDescent="0.3">
      <c r="A52" s="3"/>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t="s">
        <v>1558</v>
      </c>
    </row>
    <row r="53" spans="1:32" x14ac:dyDescent="0.3">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row>
    <row r="54" spans="1:32" x14ac:dyDescent="0.3">
      <c r="A54" s="3"/>
      <c r="B54" s="51" t="s">
        <v>1811</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row>
    <row r="55" spans="1:32" x14ac:dyDescent="0.3">
      <c r="A55" s="3"/>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row>
    <row r="56" spans="1:32" x14ac:dyDescent="0.3">
      <c r="A56" s="3"/>
      <c r="B56" s="1"/>
      <c r="C56" s="10" t="s">
        <v>5566</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71"/>
    </row>
    <row r="57" spans="1:32" x14ac:dyDescent="0.3">
      <c r="A57" s="3"/>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71"/>
    </row>
    <row r="58" spans="1:32" x14ac:dyDescent="0.3">
      <c r="A58" s="3"/>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71" t="s">
        <v>1607</v>
      </c>
    </row>
    <row r="59" spans="1:32" x14ac:dyDescent="0.3">
      <c r="A59" s="3"/>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71"/>
    </row>
    <row r="60" spans="1:32" x14ac:dyDescent="0.3">
      <c r="A60" s="3"/>
      <c r="B60" s="1"/>
      <c r="C60" s="10" t="s">
        <v>5567</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71"/>
    </row>
    <row r="61" spans="1:32" x14ac:dyDescent="0.3">
      <c r="A61" s="3"/>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71"/>
    </row>
    <row r="62" spans="1:32" x14ac:dyDescent="0.3">
      <c r="A62" s="3"/>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71" t="s">
        <v>1608</v>
      </c>
    </row>
    <row r="63" spans="1:32" x14ac:dyDescent="0.3">
      <c r="A63" s="3"/>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71"/>
    </row>
    <row r="64" spans="1:32" x14ac:dyDescent="0.3">
      <c r="A64" s="10"/>
      <c r="B64" s="7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x14ac:dyDescent="0.3">
      <c r="A65" s="1141" t="s">
        <v>8</v>
      </c>
      <c r="B65" s="1141"/>
      <c r="C65" s="1141"/>
      <c r="D65" s="1141"/>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row>
    <row r="66" spans="1:32" x14ac:dyDescent="0.3">
      <c r="A66" s="1143" t="s">
        <v>9</v>
      </c>
      <c r="B66" s="1143"/>
      <c r="C66" s="1143"/>
      <c r="D66" s="1143"/>
      <c r="E66" s="1143" t="s">
        <v>3</v>
      </c>
      <c r="F66" s="1143"/>
      <c r="G66" s="1143"/>
      <c r="H66" s="1143"/>
      <c r="I66" s="1143"/>
      <c r="J66" s="1143"/>
      <c r="K66" s="1143"/>
      <c r="L66" s="1143"/>
      <c r="M66" s="1143"/>
      <c r="N66" s="1143"/>
      <c r="O66" s="1143"/>
      <c r="P66" s="1143"/>
      <c r="Q66" s="1143" t="s">
        <v>10</v>
      </c>
      <c r="R66" s="1143"/>
      <c r="S66" s="1143"/>
      <c r="T66" s="1143"/>
      <c r="U66" s="1143" t="s">
        <v>11</v>
      </c>
      <c r="V66" s="1143"/>
      <c r="W66" s="1143" t="s">
        <v>1466</v>
      </c>
      <c r="X66" s="1143"/>
      <c r="Y66" s="1143"/>
      <c r="Z66" s="1143"/>
      <c r="AA66" s="1143"/>
      <c r="AB66" s="1143"/>
      <c r="AC66" s="1143"/>
      <c r="AD66" s="1143"/>
      <c r="AE66" s="1143"/>
      <c r="AF66" s="1143"/>
    </row>
    <row r="67" spans="1:32" ht="45" customHeight="1" x14ac:dyDescent="0.3">
      <c r="A67" s="1154" t="s">
        <v>5568</v>
      </c>
      <c r="B67" s="1155" t="s">
        <v>272</v>
      </c>
      <c r="C67" s="1155" t="s">
        <v>272</v>
      </c>
      <c r="D67" s="1156" t="s">
        <v>272</v>
      </c>
      <c r="E67" s="2136" t="s">
        <v>5569</v>
      </c>
      <c r="F67" s="2136" t="s">
        <v>232</v>
      </c>
      <c r="G67" s="2136" t="s">
        <v>232</v>
      </c>
      <c r="H67" s="2136" t="s">
        <v>232</v>
      </c>
      <c r="I67" s="2136" t="s">
        <v>232</v>
      </c>
      <c r="J67" s="2136" t="s">
        <v>232</v>
      </c>
      <c r="K67" s="2136" t="s">
        <v>232</v>
      </c>
      <c r="L67" s="2136" t="s">
        <v>232</v>
      </c>
      <c r="M67" s="2136" t="s">
        <v>232</v>
      </c>
      <c r="N67" s="2136" t="s">
        <v>232</v>
      </c>
      <c r="O67" s="2136" t="s">
        <v>232</v>
      </c>
      <c r="P67" s="2136" t="s">
        <v>232</v>
      </c>
      <c r="Q67" s="2137">
        <f>ROUND(800/45,0)/1000</f>
        <v>1.7999999999999999E-2</v>
      </c>
      <c r="R67" s="2138" t="s">
        <v>229</v>
      </c>
      <c r="S67" s="2138" t="s">
        <v>229</v>
      </c>
      <c r="T67" s="2139" t="s">
        <v>229</v>
      </c>
      <c r="U67" s="1275" t="s">
        <v>18</v>
      </c>
      <c r="V67" s="1275"/>
      <c r="W67" s="1148" t="s">
        <v>5570</v>
      </c>
      <c r="X67" s="1149"/>
      <c r="Y67" s="1149"/>
      <c r="Z67" s="1149"/>
      <c r="AA67" s="1149"/>
      <c r="AB67" s="1149"/>
      <c r="AC67" s="1149"/>
      <c r="AD67" s="1149"/>
      <c r="AE67" s="1149"/>
      <c r="AF67" s="1150"/>
    </row>
    <row r="68" spans="1:32" ht="116.25" customHeight="1" x14ac:dyDescent="0.3">
      <c r="A68" s="1154" t="s">
        <v>1519</v>
      </c>
      <c r="B68" s="1155" t="s">
        <v>272</v>
      </c>
      <c r="C68" s="1155" t="s">
        <v>272</v>
      </c>
      <c r="D68" s="1156" t="s">
        <v>272</v>
      </c>
      <c r="E68" s="2136" t="s">
        <v>5571</v>
      </c>
      <c r="F68" s="2136" t="s">
        <v>232</v>
      </c>
      <c r="G68" s="2136" t="s">
        <v>232</v>
      </c>
      <c r="H68" s="2136" t="s">
        <v>232</v>
      </c>
      <c r="I68" s="2136" t="s">
        <v>232</v>
      </c>
      <c r="J68" s="2136" t="s">
        <v>232</v>
      </c>
      <c r="K68" s="2136" t="s">
        <v>232</v>
      </c>
      <c r="L68" s="2136" t="s">
        <v>232</v>
      </c>
      <c r="M68" s="2136" t="s">
        <v>232</v>
      </c>
      <c r="N68" s="2136" t="s">
        <v>232</v>
      </c>
      <c r="O68" s="2136" t="s">
        <v>232</v>
      </c>
      <c r="P68" s="2136" t="s">
        <v>232</v>
      </c>
      <c r="Q68" s="2140">
        <f>ROUND(800/(0.34*9+0.33*13+0.33*47),0)/1000</f>
        <v>3.5000000000000003E-2</v>
      </c>
      <c r="R68" s="2141"/>
      <c r="S68" s="2141"/>
      <c r="T68" s="2142"/>
      <c r="U68" s="1514" t="s">
        <v>18</v>
      </c>
      <c r="V68" s="1514"/>
      <c r="W68" s="1163" t="s">
        <v>5572</v>
      </c>
      <c r="X68" s="1164"/>
      <c r="Y68" s="1164"/>
      <c r="Z68" s="1164"/>
      <c r="AA68" s="1164"/>
      <c r="AB68" s="1164"/>
      <c r="AC68" s="1164"/>
      <c r="AD68" s="1164"/>
      <c r="AE68" s="1164"/>
      <c r="AF68" s="1165"/>
    </row>
    <row r="69" spans="1:32" ht="49.5" customHeight="1" x14ac:dyDescent="0.3">
      <c r="A69" s="1154" t="s">
        <v>1520</v>
      </c>
      <c r="B69" s="1155" t="s">
        <v>272</v>
      </c>
      <c r="C69" s="1155" t="s">
        <v>272</v>
      </c>
      <c r="D69" s="1156" t="s">
        <v>272</v>
      </c>
      <c r="E69" s="2136" t="s">
        <v>5573</v>
      </c>
      <c r="F69" s="2136" t="s">
        <v>232</v>
      </c>
      <c r="G69" s="2136" t="s">
        <v>232</v>
      </c>
      <c r="H69" s="2136" t="s">
        <v>232</v>
      </c>
      <c r="I69" s="2136" t="s">
        <v>232</v>
      </c>
      <c r="J69" s="2136" t="s">
        <v>232</v>
      </c>
      <c r="K69" s="2136" t="s">
        <v>232</v>
      </c>
      <c r="L69" s="2136" t="s">
        <v>232</v>
      </c>
      <c r="M69" s="2136" t="s">
        <v>232</v>
      </c>
      <c r="N69" s="2136" t="s">
        <v>232</v>
      </c>
      <c r="O69" s="2136" t="s">
        <v>232</v>
      </c>
      <c r="P69" s="2136" t="s">
        <v>232</v>
      </c>
      <c r="Q69" s="2137">
        <f>ROUND(800/45,0)/1000</f>
        <v>1.7999999999999999E-2</v>
      </c>
      <c r="R69" s="2138" t="s">
        <v>229</v>
      </c>
      <c r="S69" s="2138" t="s">
        <v>229</v>
      </c>
      <c r="T69" s="2139" t="s">
        <v>229</v>
      </c>
      <c r="U69" s="1275" t="s">
        <v>18</v>
      </c>
      <c r="V69" s="1275"/>
      <c r="W69" s="1148" t="s">
        <v>5570</v>
      </c>
      <c r="X69" s="1149"/>
      <c r="Y69" s="1149"/>
      <c r="Z69" s="1149"/>
      <c r="AA69" s="1149"/>
      <c r="AB69" s="1149"/>
      <c r="AC69" s="1149"/>
      <c r="AD69" s="1149"/>
      <c r="AE69" s="1149"/>
      <c r="AF69" s="1150"/>
    </row>
    <row r="70" spans="1:32" ht="49.5" customHeight="1" x14ac:dyDescent="0.3">
      <c r="A70" s="1154" t="s">
        <v>1950</v>
      </c>
      <c r="B70" s="1155" t="s">
        <v>518</v>
      </c>
      <c r="C70" s="1155" t="s">
        <v>518</v>
      </c>
      <c r="D70" s="1156" t="s">
        <v>518</v>
      </c>
      <c r="E70" s="2136" t="s">
        <v>5574</v>
      </c>
      <c r="F70" s="2136" t="s">
        <v>233</v>
      </c>
      <c r="G70" s="2136" t="s">
        <v>233</v>
      </c>
      <c r="H70" s="2136" t="s">
        <v>233</v>
      </c>
      <c r="I70" s="2136" t="s">
        <v>233</v>
      </c>
      <c r="J70" s="2136" t="s">
        <v>233</v>
      </c>
      <c r="K70" s="2136" t="s">
        <v>233</v>
      </c>
      <c r="L70" s="2136" t="s">
        <v>233</v>
      </c>
      <c r="M70" s="2136" t="s">
        <v>233</v>
      </c>
      <c r="N70" s="2136" t="s">
        <v>233</v>
      </c>
      <c r="O70" s="2136" t="s">
        <v>233</v>
      </c>
      <c r="P70" s="2136" t="s">
        <v>233</v>
      </c>
      <c r="Q70" s="2137">
        <f>ROUND(800/73,0)/1000</f>
        <v>1.0999999999999999E-2</v>
      </c>
      <c r="R70" s="2138" t="s">
        <v>229</v>
      </c>
      <c r="S70" s="2138" t="s">
        <v>229</v>
      </c>
      <c r="T70" s="2139" t="s">
        <v>229</v>
      </c>
      <c r="U70" s="1275" t="s">
        <v>18</v>
      </c>
      <c r="V70" s="1275"/>
      <c r="W70" s="1148" t="s">
        <v>5575</v>
      </c>
      <c r="X70" s="1149"/>
      <c r="Y70" s="1149"/>
      <c r="Z70" s="1149"/>
      <c r="AA70" s="1149"/>
      <c r="AB70" s="1149"/>
      <c r="AC70" s="1149"/>
      <c r="AD70" s="1149"/>
      <c r="AE70" s="1149"/>
      <c r="AF70" s="1150"/>
    </row>
    <row r="71" spans="1:32" ht="31.5" customHeight="1" x14ac:dyDescent="0.3">
      <c r="A71" s="1154" t="s">
        <v>1522</v>
      </c>
      <c r="B71" s="1155"/>
      <c r="C71" s="1155"/>
      <c r="D71" s="1156"/>
      <c r="E71" s="2136" t="s">
        <v>1845</v>
      </c>
      <c r="F71" s="2136"/>
      <c r="G71" s="2136"/>
      <c r="H71" s="2136"/>
      <c r="I71" s="2136"/>
      <c r="J71" s="2136"/>
      <c r="K71" s="2136"/>
      <c r="L71" s="2136"/>
      <c r="M71" s="2136"/>
      <c r="N71" s="2136"/>
      <c r="O71" s="2136"/>
      <c r="P71" s="2136"/>
      <c r="Q71" s="2143">
        <v>0.98</v>
      </c>
      <c r="R71" s="2144"/>
      <c r="S71" s="2144"/>
      <c r="T71" s="2145"/>
      <c r="U71" s="2146" t="s">
        <v>20</v>
      </c>
      <c r="V71" s="1275"/>
      <c r="W71" s="1148" t="s">
        <v>5576</v>
      </c>
      <c r="X71" s="1149"/>
      <c r="Y71" s="1149"/>
      <c r="Z71" s="1149"/>
      <c r="AA71" s="1149"/>
      <c r="AB71" s="1149"/>
      <c r="AC71" s="1149"/>
      <c r="AD71" s="1149"/>
      <c r="AE71" s="1149"/>
      <c r="AF71" s="1150"/>
    </row>
    <row r="72" spans="1:32" ht="77.25" customHeight="1" x14ac:dyDescent="0.3">
      <c r="A72" s="1154" t="s">
        <v>21</v>
      </c>
      <c r="B72" s="1155"/>
      <c r="C72" s="1155"/>
      <c r="D72" s="1156"/>
      <c r="E72" s="2136" t="s">
        <v>1460</v>
      </c>
      <c r="F72" s="2136"/>
      <c r="G72" s="2136"/>
      <c r="H72" s="2136"/>
      <c r="I72" s="2136"/>
      <c r="J72" s="2136"/>
      <c r="K72" s="2136"/>
      <c r="L72" s="2136"/>
      <c r="M72" s="2136"/>
      <c r="N72" s="2136"/>
      <c r="O72" s="2136"/>
      <c r="P72" s="2136"/>
      <c r="Q72" s="2137" t="s">
        <v>516</v>
      </c>
      <c r="R72" s="2138"/>
      <c r="S72" s="2138"/>
      <c r="T72" s="2139"/>
      <c r="U72" s="2146" t="s">
        <v>20</v>
      </c>
      <c r="V72" s="1275"/>
      <c r="W72" s="1148" t="s">
        <v>5577</v>
      </c>
      <c r="X72" s="1149"/>
      <c r="Y72" s="1149"/>
      <c r="Z72" s="1149"/>
      <c r="AA72" s="1149"/>
      <c r="AB72" s="1149"/>
      <c r="AC72" s="1149"/>
      <c r="AD72" s="1149"/>
      <c r="AE72" s="1149"/>
      <c r="AF72" s="1150"/>
    </row>
    <row r="73" spans="1:32" ht="60" customHeight="1" x14ac:dyDescent="0.3">
      <c r="A73" s="1154" t="s">
        <v>1528</v>
      </c>
      <c r="B73" s="1155"/>
      <c r="C73" s="1155"/>
      <c r="D73" s="1156"/>
      <c r="E73" s="2136" t="s">
        <v>1531</v>
      </c>
      <c r="F73" s="2136"/>
      <c r="G73" s="2136"/>
      <c r="H73" s="2136"/>
      <c r="I73" s="2136"/>
      <c r="J73" s="2136"/>
      <c r="K73" s="2136"/>
      <c r="L73" s="2136"/>
      <c r="M73" s="2136"/>
      <c r="N73" s="2136"/>
      <c r="O73" s="2136"/>
      <c r="P73" s="2136"/>
      <c r="Q73" s="2137" t="s">
        <v>516</v>
      </c>
      <c r="R73" s="2138"/>
      <c r="S73" s="2138"/>
      <c r="T73" s="2139"/>
      <c r="U73" s="2146" t="s">
        <v>20</v>
      </c>
      <c r="V73" s="1275"/>
      <c r="W73" s="2147" t="s">
        <v>5578</v>
      </c>
      <c r="X73" s="2148"/>
      <c r="Y73" s="2148"/>
      <c r="Z73" s="2148"/>
      <c r="AA73" s="2148"/>
      <c r="AB73" s="2148"/>
      <c r="AC73" s="2148"/>
      <c r="AD73" s="2148"/>
      <c r="AE73" s="2148"/>
      <c r="AF73" s="2149"/>
    </row>
    <row r="74" spans="1:32" ht="60" customHeight="1" x14ac:dyDescent="0.3">
      <c r="A74" s="1154" t="s">
        <v>1529</v>
      </c>
      <c r="B74" s="1155"/>
      <c r="C74" s="1155"/>
      <c r="D74" s="1156"/>
      <c r="E74" s="2136" t="s">
        <v>1530</v>
      </c>
      <c r="F74" s="2136"/>
      <c r="G74" s="2136"/>
      <c r="H74" s="2136"/>
      <c r="I74" s="2136"/>
      <c r="J74" s="2136"/>
      <c r="K74" s="2136"/>
      <c r="L74" s="2136"/>
      <c r="M74" s="2136"/>
      <c r="N74" s="2136"/>
      <c r="O74" s="2136"/>
      <c r="P74" s="2136"/>
      <c r="Q74" s="2137" t="s">
        <v>516</v>
      </c>
      <c r="R74" s="2138"/>
      <c r="S74" s="2138"/>
      <c r="T74" s="2139"/>
      <c r="U74" s="2146" t="s">
        <v>20</v>
      </c>
      <c r="V74" s="1275"/>
      <c r="W74" s="2150"/>
      <c r="X74" s="2151"/>
      <c r="Y74" s="2151"/>
      <c r="Z74" s="2151"/>
      <c r="AA74" s="2151"/>
      <c r="AB74" s="2151"/>
      <c r="AC74" s="2151"/>
      <c r="AD74" s="2151"/>
      <c r="AE74" s="2151"/>
      <c r="AF74" s="2152"/>
    </row>
    <row r="75" spans="1:32" ht="37.5" customHeight="1" x14ac:dyDescent="0.3">
      <c r="A75" s="1154" t="s">
        <v>1957</v>
      </c>
      <c r="B75" s="1155"/>
      <c r="C75" s="1155"/>
      <c r="D75" s="1156"/>
      <c r="E75" s="2136" t="s">
        <v>1596</v>
      </c>
      <c r="F75" s="2136"/>
      <c r="G75" s="2136"/>
      <c r="H75" s="2136"/>
      <c r="I75" s="2136"/>
      <c r="J75" s="2136"/>
      <c r="K75" s="2136"/>
      <c r="L75" s="2136"/>
      <c r="M75" s="2136"/>
      <c r="N75" s="2136"/>
      <c r="O75" s="2136"/>
      <c r="P75" s="2136"/>
      <c r="Q75" s="2137" t="s">
        <v>516</v>
      </c>
      <c r="R75" s="2138"/>
      <c r="S75" s="2138"/>
      <c r="T75" s="2139"/>
      <c r="U75" s="1275" t="s">
        <v>1597</v>
      </c>
      <c r="V75" s="1275"/>
      <c r="W75" s="1163" t="s">
        <v>5579</v>
      </c>
      <c r="X75" s="1164"/>
      <c r="Y75" s="1164"/>
      <c r="Z75" s="1164"/>
      <c r="AA75" s="1164"/>
      <c r="AB75" s="1164"/>
      <c r="AC75" s="1164"/>
      <c r="AD75" s="1164"/>
      <c r="AE75" s="1164"/>
      <c r="AF75" s="1165"/>
    </row>
    <row r="76" spans="1:32" ht="94.5" customHeight="1" x14ac:dyDescent="0.3">
      <c r="A76" s="1154" t="s">
        <v>1611</v>
      </c>
      <c r="B76" s="1155"/>
      <c r="C76" s="1155"/>
      <c r="D76" s="1156"/>
      <c r="E76" s="2136" t="s">
        <v>5580</v>
      </c>
      <c r="F76" s="2136"/>
      <c r="G76" s="2136"/>
      <c r="H76" s="2136"/>
      <c r="I76" s="2136"/>
      <c r="J76" s="2136"/>
      <c r="K76" s="2136"/>
      <c r="L76" s="2136"/>
      <c r="M76" s="2136"/>
      <c r="N76" s="2136"/>
      <c r="O76" s="2136"/>
      <c r="P76" s="2136"/>
      <c r="Q76" s="2153">
        <v>1</v>
      </c>
      <c r="R76" s="2154"/>
      <c r="S76" s="2154"/>
      <c r="T76" s="2155"/>
      <c r="U76" s="1275" t="s">
        <v>38</v>
      </c>
      <c r="V76" s="1275"/>
      <c r="W76" s="856" t="s">
        <v>5581</v>
      </c>
      <c r="X76" s="856"/>
      <c r="Y76" s="856"/>
      <c r="Z76" s="856"/>
      <c r="AA76" s="856"/>
      <c r="AB76" s="856"/>
      <c r="AC76" s="856"/>
      <c r="AD76" s="856"/>
      <c r="AE76" s="856"/>
      <c r="AF76" s="856"/>
    </row>
    <row r="77" spans="1:32" ht="66" customHeight="1" x14ac:dyDescent="0.3">
      <c r="A77" s="1154" t="s">
        <v>1869</v>
      </c>
      <c r="B77" s="1155" t="s">
        <v>26</v>
      </c>
      <c r="C77" s="1155" t="s">
        <v>26</v>
      </c>
      <c r="D77" s="1156" t="s">
        <v>26</v>
      </c>
      <c r="E77" s="2136" t="s">
        <v>1613</v>
      </c>
      <c r="F77" s="2136"/>
      <c r="G77" s="2136"/>
      <c r="H77" s="2136"/>
      <c r="I77" s="2136"/>
      <c r="J77" s="2136"/>
      <c r="K77" s="2136"/>
      <c r="L77" s="2136"/>
      <c r="M77" s="2136"/>
      <c r="N77" s="2136"/>
      <c r="O77" s="2136"/>
      <c r="P77" s="2136"/>
      <c r="Q77" s="2137" t="s">
        <v>516</v>
      </c>
      <c r="R77" s="2138"/>
      <c r="S77" s="2138"/>
      <c r="T77" s="2139"/>
      <c r="U77" s="1275" t="s">
        <v>38</v>
      </c>
      <c r="V77" s="1275"/>
      <c r="W77" s="856" t="s">
        <v>5582</v>
      </c>
      <c r="X77" s="856"/>
      <c r="Y77" s="856"/>
      <c r="Z77" s="856"/>
      <c r="AA77" s="856"/>
      <c r="AB77" s="856"/>
      <c r="AC77" s="856"/>
      <c r="AD77" s="856"/>
      <c r="AE77" s="856"/>
      <c r="AF77" s="856"/>
    </row>
    <row r="78" spans="1:32" ht="39.75" customHeight="1" x14ac:dyDescent="0.3">
      <c r="A78" s="1270" t="s">
        <v>5583</v>
      </c>
      <c r="B78" s="1270"/>
      <c r="C78" s="1270"/>
      <c r="D78" s="1270"/>
      <c r="E78" s="1270"/>
      <c r="F78" s="1270"/>
      <c r="G78" s="1270"/>
      <c r="H78" s="1270"/>
      <c r="I78" s="1270"/>
      <c r="J78" s="1270"/>
      <c r="K78" s="1270"/>
      <c r="L78" s="1270"/>
      <c r="M78" s="1270"/>
      <c r="N78" s="1270"/>
      <c r="O78" s="1270"/>
      <c r="P78" s="1270"/>
      <c r="Q78" s="1270"/>
      <c r="R78" s="1270"/>
      <c r="S78" s="1270"/>
      <c r="T78" s="1270"/>
      <c r="U78" s="1270"/>
      <c r="V78" s="1270"/>
      <c r="W78" s="1270"/>
      <c r="X78" s="1270"/>
      <c r="Y78" s="1270"/>
      <c r="Z78" s="1270"/>
      <c r="AA78" s="1270"/>
      <c r="AB78" s="1270"/>
      <c r="AC78" s="1270"/>
      <c r="AD78" s="1270"/>
      <c r="AE78" s="1270"/>
      <c r="AF78" s="1270"/>
    </row>
    <row r="79" spans="1:32" ht="27" customHeight="1" x14ac:dyDescent="0.3">
      <c r="A79" s="1082" t="s">
        <v>5584</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9" customHeight="1" x14ac:dyDescent="0.3">
      <c r="A80" s="1082" t="s">
        <v>5585</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25.5" customHeight="1" x14ac:dyDescent="0.3">
      <c r="A81" s="1082" t="s">
        <v>5586</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28.5" customHeight="1" x14ac:dyDescent="0.3">
      <c r="A82" s="1082" t="s">
        <v>5587</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3" spans="1:32" ht="39.75" customHeight="1" x14ac:dyDescent="0.3">
      <c r="A83" s="1082" t="s">
        <v>5588</v>
      </c>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c r="AA83" s="1082"/>
      <c r="AB83" s="1082"/>
      <c r="AC83" s="1082"/>
      <c r="AD83" s="1082"/>
      <c r="AE83" s="1082"/>
      <c r="AF83" s="1082"/>
    </row>
    <row r="85" spans="1:32" x14ac:dyDescent="0.3">
      <c r="A85" s="3" t="s">
        <v>5589</v>
      </c>
    </row>
    <row r="86" spans="1:32" ht="15.6" x14ac:dyDescent="0.3">
      <c r="A86" s="1093" t="s">
        <v>46</v>
      </c>
      <c r="B86" s="1094"/>
      <c r="C86" s="1094"/>
      <c r="D86" s="1094"/>
      <c r="E86" s="1094"/>
      <c r="F86" s="1094"/>
      <c r="G86" s="1094"/>
      <c r="H86" s="1095"/>
      <c r="I86" s="1090" t="s">
        <v>21</v>
      </c>
      <c r="J86" s="1091"/>
      <c r="K86" s="1091"/>
      <c r="L86" s="1092"/>
      <c r="M86" s="1090" t="s">
        <v>2527</v>
      </c>
      <c r="N86" s="1091"/>
      <c r="O86" s="1091"/>
      <c r="P86" s="1092"/>
      <c r="Q86" s="1090" t="s">
        <v>2528</v>
      </c>
      <c r="R86" s="1091"/>
      <c r="S86" s="1091"/>
      <c r="T86" s="1092"/>
      <c r="U86" s="1090" t="s">
        <v>5590</v>
      </c>
      <c r="V86" s="1091"/>
      <c r="W86" s="1091"/>
      <c r="X86" s="1092"/>
      <c r="Y86" s="1090" t="s">
        <v>5591</v>
      </c>
      <c r="Z86" s="1091"/>
      <c r="AA86" s="1091"/>
      <c r="AB86" s="1092"/>
    </row>
    <row r="87" spans="1:32" x14ac:dyDescent="0.3">
      <c r="A87" s="1076" t="s">
        <v>2520</v>
      </c>
      <c r="B87" s="1077"/>
      <c r="C87" s="1077"/>
      <c r="D87" s="1077"/>
      <c r="E87" s="1077"/>
      <c r="F87" s="1077"/>
      <c r="G87" s="1077"/>
      <c r="H87" s="1078"/>
      <c r="I87" s="1112">
        <f>'EFLH &amp; CF'!N28</f>
        <v>0.31</v>
      </c>
      <c r="J87" s="1113"/>
      <c r="K87" s="1113"/>
      <c r="L87" s="1113"/>
      <c r="M87" s="1079">
        <f>'Savings Factors'!I21</f>
        <v>1.25</v>
      </c>
      <c r="N87" s="1080"/>
      <c r="O87" s="1080"/>
      <c r="P87" s="1081"/>
      <c r="Q87" s="1079">
        <f>'Savings Factors'!M21</f>
        <v>1.1299999999999999</v>
      </c>
      <c r="R87" s="1080"/>
      <c r="S87" s="1080"/>
      <c r="T87" s="1081"/>
      <c r="U87" s="1103">
        <f>'EFLH &amp; CF'!N13</f>
        <v>1831</v>
      </c>
      <c r="V87" s="1104"/>
      <c r="W87" s="1104"/>
      <c r="X87" s="1105"/>
      <c r="Y87" s="1103">
        <f>ROUND(IF(50000/U87&gt;25,25,50000/U87),0)</f>
        <v>25</v>
      </c>
      <c r="Z87" s="1104"/>
      <c r="AA87" s="1104"/>
      <c r="AB87" s="1105"/>
    </row>
    <row r="88" spans="1:32" x14ac:dyDescent="0.3">
      <c r="A88" s="1076" t="s">
        <v>211</v>
      </c>
      <c r="B88" s="1077"/>
      <c r="C88" s="1077"/>
      <c r="D88" s="1077"/>
      <c r="E88" s="1077"/>
      <c r="F88" s="1077"/>
      <c r="G88" s="1077"/>
      <c r="H88" s="1078"/>
      <c r="I88" s="1112">
        <f>'EFLH &amp; CF'!N29</f>
        <v>0.2</v>
      </c>
      <c r="J88" s="1113"/>
      <c r="K88" s="1113"/>
      <c r="L88" s="1113"/>
      <c r="M88" s="1079">
        <f>'Savings Factors'!I22</f>
        <v>1.26</v>
      </c>
      <c r="N88" s="1080"/>
      <c r="O88" s="1080"/>
      <c r="P88" s="1081"/>
      <c r="Q88" s="1079">
        <f>'Savings Factors'!M22</f>
        <v>1.56</v>
      </c>
      <c r="R88" s="1080"/>
      <c r="S88" s="1080"/>
      <c r="T88" s="1081"/>
      <c r="U88" s="1103">
        <f>'EFLH &amp; CF'!N14</f>
        <v>4710</v>
      </c>
      <c r="V88" s="1104"/>
      <c r="W88" s="1104"/>
      <c r="X88" s="1105"/>
      <c r="Y88" s="1103">
        <f t="shared" ref="Y88:Y97" si="0">ROUND(IF(50000/U88&gt;25,25,50000/U88),0)</f>
        <v>11</v>
      </c>
      <c r="Z88" s="1104"/>
      <c r="AA88" s="1104"/>
      <c r="AB88" s="1105"/>
    </row>
    <row r="89" spans="1:32" x14ac:dyDescent="0.3">
      <c r="A89" s="1076" t="s">
        <v>212</v>
      </c>
      <c r="B89" s="1077"/>
      <c r="C89" s="1077"/>
      <c r="D89" s="1077"/>
      <c r="E89" s="1077"/>
      <c r="F89" s="1077"/>
      <c r="G89" s="1077"/>
      <c r="H89" s="1078"/>
      <c r="I89" s="1112">
        <f>'EFLH &amp; CF'!N30</f>
        <v>0.28000000000000003</v>
      </c>
      <c r="J89" s="1113"/>
      <c r="K89" s="1113"/>
      <c r="L89" s="1113"/>
      <c r="M89" s="1079">
        <f>'Savings Factors'!I23</f>
        <v>1.3</v>
      </c>
      <c r="N89" s="1080"/>
      <c r="O89" s="1080"/>
      <c r="P89" s="1081"/>
      <c r="Q89" s="1079">
        <f>'Savings Factors'!M23</f>
        <v>1.25</v>
      </c>
      <c r="R89" s="1080"/>
      <c r="S89" s="1080"/>
      <c r="T89" s="1081"/>
      <c r="U89" s="1103">
        <f>'EFLH &amp; CF'!N15</f>
        <v>1498</v>
      </c>
      <c r="V89" s="1104"/>
      <c r="W89" s="1104"/>
      <c r="X89" s="1105"/>
      <c r="Y89" s="1103">
        <f t="shared" si="0"/>
        <v>25</v>
      </c>
      <c r="Z89" s="1104"/>
      <c r="AA89" s="1104"/>
      <c r="AB89" s="1105"/>
    </row>
    <row r="90" spans="1:32" x14ac:dyDescent="0.3">
      <c r="A90" s="1076" t="s">
        <v>213</v>
      </c>
      <c r="B90" s="1077"/>
      <c r="C90" s="1077"/>
      <c r="D90" s="1077"/>
      <c r="E90" s="1077"/>
      <c r="F90" s="1077"/>
      <c r="G90" s="1077"/>
      <c r="H90" s="1078"/>
      <c r="I90" s="1112">
        <f>'EFLH &amp; CF'!N31</f>
        <v>0.7</v>
      </c>
      <c r="J90" s="1113"/>
      <c r="K90" s="1113"/>
      <c r="L90" s="1113"/>
      <c r="M90" s="1079">
        <f>'Savings Factors'!I24</f>
        <v>1.1100000000000001</v>
      </c>
      <c r="N90" s="1080"/>
      <c r="O90" s="1080"/>
      <c r="P90" s="1081"/>
      <c r="Q90" s="1079">
        <f>'Savings Factors'!M24</f>
        <v>1.1399999999999999</v>
      </c>
      <c r="R90" s="1080"/>
      <c r="S90" s="1080"/>
      <c r="T90" s="1081"/>
      <c r="U90" s="1103">
        <f>'EFLH &amp; CF'!N16</f>
        <v>4900</v>
      </c>
      <c r="V90" s="1104"/>
      <c r="W90" s="1104"/>
      <c r="X90" s="1105"/>
      <c r="Y90" s="1103">
        <f t="shared" si="0"/>
        <v>10</v>
      </c>
      <c r="Z90" s="1104"/>
      <c r="AA90" s="1104"/>
      <c r="AB90" s="1105"/>
    </row>
    <row r="91" spans="1:32" x14ac:dyDescent="0.3">
      <c r="A91" s="1076" t="s">
        <v>214</v>
      </c>
      <c r="B91" s="1077"/>
      <c r="C91" s="1077"/>
      <c r="D91" s="1077"/>
      <c r="E91" s="1077"/>
      <c r="F91" s="1077"/>
      <c r="G91" s="1077"/>
      <c r="H91" s="1078"/>
      <c r="I91" s="1112">
        <f>'EFLH &amp; CF'!N32</f>
        <v>0.66</v>
      </c>
      <c r="J91" s="1113"/>
      <c r="K91" s="1113"/>
      <c r="L91" s="1113"/>
      <c r="M91" s="1079">
        <f>'Savings Factors'!I25</f>
        <v>1.23</v>
      </c>
      <c r="N91" s="1080"/>
      <c r="O91" s="1080"/>
      <c r="P91" s="1081"/>
      <c r="Q91" s="1079">
        <f>'Savings Factors'!M25</f>
        <v>1.1399999999999999</v>
      </c>
      <c r="R91" s="1080"/>
      <c r="S91" s="1080"/>
      <c r="T91" s="1081"/>
      <c r="U91" s="1103">
        <f>'EFLH &amp; CF'!N17</f>
        <v>5370</v>
      </c>
      <c r="V91" s="1104"/>
      <c r="W91" s="1104"/>
      <c r="X91" s="1105"/>
      <c r="Y91" s="1103">
        <f t="shared" si="0"/>
        <v>9</v>
      </c>
      <c r="Z91" s="1104"/>
      <c r="AA91" s="1104"/>
      <c r="AB91" s="1105"/>
    </row>
    <row r="92" spans="1:32" x14ac:dyDescent="0.3">
      <c r="A92" s="1076" t="s">
        <v>215</v>
      </c>
      <c r="B92" s="1077"/>
      <c r="C92" s="1077"/>
      <c r="D92" s="1077"/>
      <c r="E92" s="1077"/>
      <c r="F92" s="1077"/>
      <c r="G92" s="1077"/>
      <c r="H92" s="1078"/>
      <c r="I92" s="1112">
        <f>'EFLH &amp; CF'!N33</f>
        <v>0.26</v>
      </c>
      <c r="J92" s="1113"/>
      <c r="K92" s="1113"/>
      <c r="L92" s="1113"/>
      <c r="M92" s="1079">
        <f>'Savings Factors'!I26</f>
        <v>1.27</v>
      </c>
      <c r="N92" s="1080"/>
      <c r="O92" s="1080"/>
      <c r="P92" s="1081"/>
      <c r="Q92" s="1079">
        <f>'Savings Factors'!M26</f>
        <v>1.38</v>
      </c>
      <c r="R92" s="1080"/>
      <c r="S92" s="1080"/>
      <c r="T92" s="1081"/>
      <c r="U92" s="1103">
        <f>'EFLH &amp; CF'!N18</f>
        <v>1284</v>
      </c>
      <c r="V92" s="1104"/>
      <c r="W92" s="1104"/>
      <c r="X92" s="1105"/>
      <c r="Y92" s="1103">
        <f t="shared" si="0"/>
        <v>25</v>
      </c>
      <c r="Z92" s="1104"/>
      <c r="AA92" s="1104"/>
      <c r="AB92" s="1105"/>
    </row>
    <row r="93" spans="1:32" x14ac:dyDescent="0.3">
      <c r="A93" s="1076" t="s">
        <v>216</v>
      </c>
      <c r="B93" s="1077"/>
      <c r="C93" s="1077"/>
      <c r="D93" s="1077"/>
      <c r="E93" s="1077"/>
      <c r="F93" s="1077"/>
      <c r="G93" s="1077"/>
      <c r="H93" s="1078"/>
      <c r="I93" s="1112">
        <f>'EFLH &amp; CF'!N34</f>
        <v>0.53</v>
      </c>
      <c r="J93" s="1113"/>
      <c r="K93" s="1113"/>
      <c r="L93" s="1113"/>
      <c r="M93" s="1079">
        <f>'Savings Factors'!I27</f>
        <v>1.19</v>
      </c>
      <c r="N93" s="1080"/>
      <c r="O93" s="1080"/>
      <c r="P93" s="1081"/>
      <c r="Q93" s="1079">
        <f>'Savings Factors'!M27</f>
        <v>1.1200000000000001</v>
      </c>
      <c r="R93" s="1080"/>
      <c r="S93" s="1080"/>
      <c r="T93" s="1081"/>
      <c r="U93" s="1103">
        <f>'EFLH &amp; CF'!N19</f>
        <v>2145</v>
      </c>
      <c r="V93" s="1104"/>
      <c r="W93" s="1104"/>
      <c r="X93" s="1105"/>
      <c r="Y93" s="1103">
        <f t="shared" si="0"/>
        <v>23</v>
      </c>
      <c r="Z93" s="1104"/>
      <c r="AA93" s="1104"/>
      <c r="AB93" s="1105"/>
    </row>
    <row r="94" spans="1:32" x14ac:dyDescent="0.3">
      <c r="A94" s="1076" t="s">
        <v>47</v>
      </c>
      <c r="B94" s="1077"/>
      <c r="C94" s="1077"/>
      <c r="D94" s="1077"/>
      <c r="E94" s="1077"/>
      <c r="F94" s="1077"/>
      <c r="G94" s="1077"/>
      <c r="H94" s="1078"/>
      <c r="I94" s="1112">
        <f>'EFLH &amp; CF'!N35</f>
        <v>0.22</v>
      </c>
      <c r="J94" s="1113"/>
      <c r="K94" s="1113"/>
      <c r="L94" s="1113"/>
      <c r="M94" s="1079">
        <f>'Savings Factors'!I28</f>
        <v>1.08</v>
      </c>
      <c r="N94" s="1080"/>
      <c r="O94" s="1080"/>
      <c r="P94" s="1081"/>
      <c r="Q94" s="1079">
        <f>'Savings Factors'!M28</f>
        <v>1.25</v>
      </c>
      <c r="R94" s="1080"/>
      <c r="S94" s="1080"/>
      <c r="T94" s="1081"/>
      <c r="U94" s="1103">
        <f>'EFLH &amp; CF'!N20</f>
        <v>1780</v>
      </c>
      <c r="V94" s="1104"/>
      <c r="W94" s="1104"/>
      <c r="X94" s="1105"/>
      <c r="Y94" s="1103">
        <f t="shared" si="0"/>
        <v>25</v>
      </c>
      <c r="Z94" s="1104"/>
      <c r="AA94" s="1104"/>
      <c r="AB94" s="1105"/>
    </row>
    <row r="95" spans="1:32" x14ac:dyDescent="0.3">
      <c r="A95" s="1076" t="s">
        <v>217</v>
      </c>
      <c r="B95" s="1077"/>
      <c r="C95" s="1077"/>
      <c r="D95" s="1077"/>
      <c r="E95" s="1077"/>
      <c r="F95" s="1077"/>
      <c r="G95" s="1077"/>
      <c r="H95" s="1078"/>
      <c r="I95" s="1112">
        <f>'EFLH &amp; CF'!N36</f>
        <v>0.52</v>
      </c>
      <c r="J95" s="1113"/>
      <c r="K95" s="1113"/>
      <c r="L95" s="1113"/>
      <c r="M95" s="1079">
        <f>'Savings Factors'!I29</f>
        <v>1.22</v>
      </c>
      <c r="N95" s="1080"/>
      <c r="O95" s="1080"/>
      <c r="P95" s="1081"/>
      <c r="Q95" s="1079">
        <f>'Savings Factors'!M29</f>
        <v>1.28</v>
      </c>
      <c r="R95" s="1080"/>
      <c r="S95" s="1080"/>
      <c r="T95" s="1081"/>
      <c r="U95" s="1103">
        <f>'EFLH &amp; CF'!N21</f>
        <v>3700</v>
      </c>
      <c r="V95" s="1104"/>
      <c r="W95" s="1104"/>
      <c r="X95" s="1105"/>
      <c r="Y95" s="1103">
        <f t="shared" si="0"/>
        <v>14</v>
      </c>
      <c r="Z95" s="1104"/>
      <c r="AA95" s="1104"/>
      <c r="AB95" s="1105"/>
    </row>
    <row r="96" spans="1:32" x14ac:dyDescent="0.3">
      <c r="A96" s="1076" t="s">
        <v>218</v>
      </c>
      <c r="B96" s="1077"/>
      <c r="C96" s="1077"/>
      <c r="D96" s="1077"/>
      <c r="E96" s="1077"/>
      <c r="F96" s="1077"/>
      <c r="G96" s="1077"/>
      <c r="H96" s="1078"/>
      <c r="I96" s="1112">
        <f>'EFLH &amp; CF'!N37</f>
        <v>0.32</v>
      </c>
      <c r="J96" s="1113"/>
      <c r="K96" s="1113"/>
      <c r="L96" s="1113"/>
      <c r="M96" s="1079">
        <f>'Savings Factors'!I30</f>
        <v>1.39</v>
      </c>
      <c r="N96" s="1080"/>
      <c r="O96" s="1080"/>
      <c r="P96" s="1081"/>
      <c r="Q96" s="1079">
        <f>'Savings Factors'!M30</f>
        <v>1.1399999999999999</v>
      </c>
      <c r="R96" s="1080"/>
      <c r="S96" s="1080"/>
      <c r="T96" s="1081"/>
      <c r="U96" s="1103">
        <f>'EFLH &amp; CF'!N22</f>
        <v>2363</v>
      </c>
      <c r="V96" s="1104"/>
      <c r="W96" s="1104"/>
      <c r="X96" s="1105"/>
      <c r="Y96" s="1103">
        <f t="shared" si="0"/>
        <v>21</v>
      </c>
      <c r="Z96" s="1104"/>
      <c r="AA96" s="1104"/>
      <c r="AB96" s="1105"/>
    </row>
    <row r="97" spans="1:32" x14ac:dyDescent="0.3">
      <c r="A97" s="1076" t="s">
        <v>219</v>
      </c>
      <c r="B97" s="1077"/>
      <c r="C97" s="1077"/>
      <c r="D97" s="1077"/>
      <c r="E97" s="1077"/>
      <c r="F97" s="1077"/>
      <c r="G97" s="1077"/>
      <c r="H97" s="1078"/>
      <c r="I97" s="1112">
        <f>'EFLH &amp; CF'!N38</f>
        <v>7.0000000000000007E-2</v>
      </c>
      <c r="J97" s="1113"/>
      <c r="K97" s="1113"/>
      <c r="L97" s="1113"/>
      <c r="M97" s="1079">
        <f>'Savings Factors'!I31</f>
        <v>1.1499999999999999</v>
      </c>
      <c r="N97" s="1080"/>
      <c r="O97" s="1080"/>
      <c r="P97" s="1081"/>
      <c r="Q97" s="1079">
        <f>'Savings Factors'!M31</f>
        <v>1.01</v>
      </c>
      <c r="R97" s="1080"/>
      <c r="S97" s="1080"/>
      <c r="T97" s="1081"/>
      <c r="U97" s="1103">
        <f>'EFLH &amp; CF'!N23</f>
        <v>1690</v>
      </c>
      <c r="V97" s="1104"/>
      <c r="W97" s="1104"/>
      <c r="X97" s="1105"/>
      <c r="Y97" s="1103">
        <f t="shared" si="0"/>
        <v>25</v>
      </c>
      <c r="Z97" s="1104"/>
      <c r="AA97" s="1104"/>
      <c r="AB97" s="1105"/>
    </row>
    <row r="99" spans="1:32" x14ac:dyDescent="0.3">
      <c r="A99" s="1141" t="s">
        <v>14</v>
      </c>
      <c r="B99" s="1141"/>
      <c r="C99" s="1141"/>
      <c r="D99" s="1141"/>
      <c r="E99" s="1141"/>
      <c r="F99" s="1141"/>
      <c r="G99" s="1141"/>
      <c r="H99" s="1141"/>
      <c r="I99" s="1141"/>
      <c r="J99" s="1141"/>
      <c r="K99" s="1141"/>
      <c r="L99" s="1141"/>
      <c r="M99" s="1141"/>
      <c r="N99" s="1141"/>
      <c r="O99" s="1141"/>
      <c r="P99" s="1141"/>
      <c r="Q99" s="1141"/>
      <c r="R99" s="1141"/>
      <c r="S99" s="1141"/>
      <c r="T99" s="1141"/>
      <c r="U99" s="1141"/>
      <c r="V99" s="1141"/>
      <c r="W99" s="1141"/>
      <c r="X99" s="1141"/>
      <c r="Y99" s="1141"/>
      <c r="Z99" s="1141"/>
      <c r="AA99" s="1141"/>
      <c r="AB99" s="1141"/>
      <c r="AC99" s="1141"/>
      <c r="AD99" s="1141"/>
      <c r="AE99" s="1141"/>
      <c r="AF99" s="1141"/>
    </row>
    <row r="100" spans="1:32" x14ac:dyDescent="0.3">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row>
    <row r="101" spans="1:32" x14ac:dyDescent="0.3">
      <c r="A101" s="57" t="s">
        <v>5592</v>
      </c>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x14ac:dyDescent="0.3">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row>
    <row r="103" spans="1:32" x14ac:dyDescent="0.3">
      <c r="A103" s="1"/>
      <c r="B103" s="232" t="s">
        <v>5593</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row>
    <row r="104" spans="1:32" ht="15" thickBot="1" x14ac:dyDescent="0.35">
      <c r="A104" s="23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row>
    <row r="105" spans="1:32" x14ac:dyDescent="0.3">
      <c r="A105" s="1252" t="s">
        <v>46</v>
      </c>
      <c r="B105" s="1253"/>
      <c r="C105" s="1253"/>
      <c r="D105" s="1253"/>
      <c r="E105" s="1253"/>
      <c r="F105" s="1253"/>
      <c r="G105" s="1253"/>
      <c r="H105" s="1253"/>
      <c r="I105" s="1278" t="s">
        <v>16</v>
      </c>
      <c r="J105" s="1278"/>
      <c r="K105" s="1278"/>
      <c r="L105" s="1278"/>
      <c r="M105" s="1278"/>
      <c r="N105" s="1278"/>
      <c r="O105" s="1278"/>
      <c r="P105" s="1278"/>
      <c r="Q105" s="1278" t="s">
        <v>17</v>
      </c>
      <c r="R105" s="1278"/>
      <c r="S105" s="1278"/>
      <c r="T105" s="1278"/>
      <c r="U105" s="1278"/>
      <c r="V105" s="1278"/>
      <c r="W105" s="1278"/>
      <c r="X105" s="2158"/>
      <c r="Y105" s="1278" t="s">
        <v>1826</v>
      </c>
      <c r="Z105" s="1278"/>
      <c r="AA105" s="1278"/>
      <c r="AB105" s="1278"/>
      <c r="AC105" s="1278"/>
      <c r="AD105" s="1278"/>
      <c r="AE105" s="1278"/>
      <c r="AF105" s="1407"/>
    </row>
    <row r="106" spans="1:32" x14ac:dyDescent="0.3">
      <c r="A106" s="1454" t="s">
        <v>1796</v>
      </c>
      <c r="B106" s="949"/>
      <c r="C106" s="949"/>
      <c r="D106" s="949"/>
      <c r="E106" s="949"/>
      <c r="F106" s="949"/>
      <c r="G106" s="949"/>
      <c r="H106" s="949"/>
      <c r="I106" s="1455">
        <f t="shared" ref="I106:I116" si="1">ROUND(($Q$67-$Q$70)*$Q$71*$I87*$M87,3)</f>
        <v>3.0000000000000001E-3</v>
      </c>
      <c r="J106" s="1455"/>
      <c r="K106" s="1455"/>
      <c r="L106" s="1455"/>
      <c r="M106" s="1455"/>
      <c r="N106" s="1455"/>
      <c r="O106" s="1455"/>
      <c r="P106" s="1455"/>
      <c r="Q106" s="1456">
        <f>ROUND(($Q$67-$Q$70)*$Q$71*$U87*$Q87,2)</f>
        <v>14.19</v>
      </c>
      <c r="R106" s="1456"/>
      <c r="S106" s="1456"/>
      <c r="T106" s="1456"/>
      <c r="U106" s="1456"/>
      <c r="V106" s="1456"/>
      <c r="W106" s="1456"/>
      <c r="X106" s="1456"/>
      <c r="Y106" s="2156">
        <f>ROUND($Q106*$Y87,2)</f>
        <v>354.75</v>
      </c>
      <c r="Z106" s="2156"/>
      <c r="AA106" s="2156"/>
      <c r="AB106" s="2156"/>
      <c r="AC106" s="2156"/>
      <c r="AD106" s="2156"/>
      <c r="AE106" s="2156"/>
      <c r="AF106" s="2157"/>
    </row>
    <row r="107" spans="1:32" x14ac:dyDescent="0.3">
      <c r="A107" s="1454" t="s">
        <v>211</v>
      </c>
      <c r="B107" s="949"/>
      <c r="C107" s="949"/>
      <c r="D107" s="949"/>
      <c r="E107" s="949"/>
      <c r="F107" s="949"/>
      <c r="G107" s="949"/>
      <c r="H107" s="949"/>
      <c r="I107" s="1455">
        <f t="shared" si="1"/>
        <v>2E-3</v>
      </c>
      <c r="J107" s="1455"/>
      <c r="K107" s="1455"/>
      <c r="L107" s="1455"/>
      <c r="M107" s="1455"/>
      <c r="N107" s="1455"/>
      <c r="O107" s="1455"/>
      <c r="P107" s="1455"/>
      <c r="Q107" s="1456">
        <f t="shared" ref="Q107:Q116" si="2">ROUND(($Q$67-$Q$70)*$Q$71*$U88*$Q88,2)</f>
        <v>50.4</v>
      </c>
      <c r="R107" s="1456"/>
      <c r="S107" s="1456"/>
      <c r="T107" s="1456"/>
      <c r="U107" s="1456"/>
      <c r="V107" s="1456"/>
      <c r="W107" s="1456"/>
      <c r="X107" s="1456"/>
      <c r="Y107" s="2156">
        <f t="shared" ref="Y107:Y116" si="3">ROUND($Q107*$Y88,2)</f>
        <v>554.4</v>
      </c>
      <c r="Z107" s="2156"/>
      <c r="AA107" s="2156"/>
      <c r="AB107" s="2156"/>
      <c r="AC107" s="2156"/>
      <c r="AD107" s="2156"/>
      <c r="AE107" s="2156"/>
      <c r="AF107" s="2157"/>
    </row>
    <row r="108" spans="1:32" x14ac:dyDescent="0.3">
      <c r="A108" s="1454" t="s">
        <v>212</v>
      </c>
      <c r="B108" s="949"/>
      <c r="C108" s="949"/>
      <c r="D108" s="949"/>
      <c r="E108" s="949"/>
      <c r="F108" s="949"/>
      <c r="G108" s="949"/>
      <c r="H108" s="949"/>
      <c r="I108" s="1455">
        <f t="shared" si="1"/>
        <v>2E-3</v>
      </c>
      <c r="J108" s="1455"/>
      <c r="K108" s="1455"/>
      <c r="L108" s="1455"/>
      <c r="M108" s="1455"/>
      <c r="N108" s="1455"/>
      <c r="O108" s="1455"/>
      <c r="P108" s="1455"/>
      <c r="Q108" s="1456">
        <f t="shared" si="2"/>
        <v>12.85</v>
      </c>
      <c r="R108" s="1456"/>
      <c r="S108" s="1456"/>
      <c r="T108" s="1456"/>
      <c r="U108" s="1456"/>
      <c r="V108" s="1456"/>
      <c r="W108" s="1456"/>
      <c r="X108" s="1456"/>
      <c r="Y108" s="2156">
        <f t="shared" si="3"/>
        <v>321.25</v>
      </c>
      <c r="Z108" s="2156"/>
      <c r="AA108" s="2156"/>
      <c r="AB108" s="2156"/>
      <c r="AC108" s="2156"/>
      <c r="AD108" s="2156"/>
      <c r="AE108" s="2156"/>
      <c r="AF108" s="2157"/>
    </row>
    <row r="109" spans="1:32" x14ac:dyDescent="0.3">
      <c r="A109" s="1454" t="s">
        <v>213</v>
      </c>
      <c r="B109" s="949"/>
      <c r="C109" s="949"/>
      <c r="D109" s="949"/>
      <c r="E109" s="949"/>
      <c r="F109" s="949"/>
      <c r="G109" s="949"/>
      <c r="H109" s="949"/>
      <c r="I109" s="1455">
        <f t="shared" si="1"/>
        <v>5.0000000000000001E-3</v>
      </c>
      <c r="J109" s="1455"/>
      <c r="K109" s="1455"/>
      <c r="L109" s="1455"/>
      <c r="M109" s="1455"/>
      <c r="N109" s="1455"/>
      <c r="O109" s="1455"/>
      <c r="P109" s="1455"/>
      <c r="Q109" s="1456">
        <f t="shared" si="2"/>
        <v>38.32</v>
      </c>
      <c r="R109" s="1456"/>
      <c r="S109" s="1456"/>
      <c r="T109" s="1456"/>
      <c r="U109" s="1456"/>
      <c r="V109" s="1456"/>
      <c r="W109" s="1456"/>
      <c r="X109" s="1456"/>
      <c r="Y109" s="2156">
        <f t="shared" si="3"/>
        <v>383.2</v>
      </c>
      <c r="Z109" s="2156"/>
      <c r="AA109" s="2156"/>
      <c r="AB109" s="2156"/>
      <c r="AC109" s="2156"/>
      <c r="AD109" s="2156"/>
      <c r="AE109" s="2156"/>
      <c r="AF109" s="2157"/>
    </row>
    <row r="110" spans="1:32" x14ac:dyDescent="0.3">
      <c r="A110" s="1454" t="s">
        <v>214</v>
      </c>
      <c r="B110" s="949"/>
      <c r="C110" s="949"/>
      <c r="D110" s="949"/>
      <c r="E110" s="949"/>
      <c r="F110" s="949"/>
      <c r="G110" s="949"/>
      <c r="H110" s="949"/>
      <c r="I110" s="1455">
        <f t="shared" si="1"/>
        <v>6.0000000000000001E-3</v>
      </c>
      <c r="J110" s="1455"/>
      <c r="K110" s="1455"/>
      <c r="L110" s="1455"/>
      <c r="M110" s="1455"/>
      <c r="N110" s="1455"/>
      <c r="O110" s="1455"/>
      <c r="P110" s="1455"/>
      <c r="Q110" s="1456">
        <f t="shared" si="2"/>
        <v>42</v>
      </c>
      <c r="R110" s="1456"/>
      <c r="S110" s="1456"/>
      <c r="T110" s="1456"/>
      <c r="U110" s="1456"/>
      <c r="V110" s="1456"/>
      <c r="W110" s="1456"/>
      <c r="X110" s="1456"/>
      <c r="Y110" s="2156">
        <f t="shared" si="3"/>
        <v>378</v>
      </c>
      <c r="Z110" s="2156"/>
      <c r="AA110" s="2156"/>
      <c r="AB110" s="2156"/>
      <c r="AC110" s="2156"/>
      <c r="AD110" s="2156"/>
      <c r="AE110" s="2156"/>
      <c r="AF110" s="2157"/>
    </row>
    <row r="111" spans="1:32" x14ac:dyDescent="0.3">
      <c r="A111" s="1454" t="s">
        <v>215</v>
      </c>
      <c r="B111" s="949"/>
      <c r="C111" s="949"/>
      <c r="D111" s="949"/>
      <c r="E111" s="949"/>
      <c r="F111" s="949"/>
      <c r="G111" s="949"/>
      <c r="H111" s="949"/>
      <c r="I111" s="1455">
        <f t="shared" si="1"/>
        <v>2E-3</v>
      </c>
      <c r="J111" s="1455"/>
      <c r="K111" s="1455"/>
      <c r="L111" s="1455"/>
      <c r="M111" s="1455"/>
      <c r="N111" s="1455"/>
      <c r="O111" s="1455"/>
      <c r="P111" s="1455"/>
      <c r="Q111" s="1456">
        <f t="shared" si="2"/>
        <v>12.16</v>
      </c>
      <c r="R111" s="1456"/>
      <c r="S111" s="1456"/>
      <c r="T111" s="1456"/>
      <c r="U111" s="1456"/>
      <c r="V111" s="1456"/>
      <c r="W111" s="1456"/>
      <c r="X111" s="1456"/>
      <c r="Y111" s="2156">
        <f t="shared" si="3"/>
        <v>304</v>
      </c>
      <c r="Z111" s="2156"/>
      <c r="AA111" s="2156"/>
      <c r="AB111" s="2156"/>
      <c r="AC111" s="2156"/>
      <c r="AD111" s="2156"/>
      <c r="AE111" s="2156"/>
      <c r="AF111" s="2157"/>
    </row>
    <row r="112" spans="1:32" x14ac:dyDescent="0.3">
      <c r="A112" s="1454" t="s">
        <v>216</v>
      </c>
      <c r="B112" s="949"/>
      <c r="C112" s="949"/>
      <c r="D112" s="949"/>
      <c r="E112" s="949"/>
      <c r="F112" s="949"/>
      <c r="G112" s="949"/>
      <c r="H112" s="949"/>
      <c r="I112" s="1455">
        <f t="shared" si="1"/>
        <v>4.0000000000000001E-3</v>
      </c>
      <c r="J112" s="1455"/>
      <c r="K112" s="1455"/>
      <c r="L112" s="1455"/>
      <c r="M112" s="1455"/>
      <c r="N112" s="1455"/>
      <c r="O112" s="1455"/>
      <c r="P112" s="1455"/>
      <c r="Q112" s="1456">
        <f t="shared" si="2"/>
        <v>16.48</v>
      </c>
      <c r="R112" s="1456"/>
      <c r="S112" s="1456"/>
      <c r="T112" s="1456"/>
      <c r="U112" s="1456"/>
      <c r="V112" s="1456"/>
      <c r="W112" s="1456"/>
      <c r="X112" s="1456"/>
      <c r="Y112" s="2156">
        <f t="shared" si="3"/>
        <v>379.04</v>
      </c>
      <c r="Z112" s="2156"/>
      <c r="AA112" s="2156"/>
      <c r="AB112" s="2156"/>
      <c r="AC112" s="2156"/>
      <c r="AD112" s="2156"/>
      <c r="AE112" s="2156"/>
      <c r="AF112" s="2157"/>
    </row>
    <row r="113" spans="1:32" x14ac:dyDescent="0.3">
      <c r="A113" s="1454" t="s">
        <v>47</v>
      </c>
      <c r="B113" s="949"/>
      <c r="C113" s="949"/>
      <c r="D113" s="949"/>
      <c r="E113" s="949"/>
      <c r="F113" s="949"/>
      <c r="G113" s="949"/>
      <c r="H113" s="949"/>
      <c r="I113" s="1455">
        <f t="shared" si="1"/>
        <v>2E-3</v>
      </c>
      <c r="J113" s="1455"/>
      <c r="K113" s="1455"/>
      <c r="L113" s="1455"/>
      <c r="M113" s="1455"/>
      <c r="N113" s="1455"/>
      <c r="O113" s="1455"/>
      <c r="P113" s="1455"/>
      <c r="Q113" s="1456">
        <f t="shared" si="2"/>
        <v>15.26</v>
      </c>
      <c r="R113" s="1456"/>
      <c r="S113" s="1456"/>
      <c r="T113" s="1456"/>
      <c r="U113" s="1456"/>
      <c r="V113" s="1456"/>
      <c r="W113" s="1456"/>
      <c r="X113" s="1456"/>
      <c r="Y113" s="2156">
        <f t="shared" si="3"/>
        <v>381.5</v>
      </c>
      <c r="Z113" s="2156"/>
      <c r="AA113" s="2156"/>
      <c r="AB113" s="2156"/>
      <c r="AC113" s="2156"/>
      <c r="AD113" s="2156"/>
      <c r="AE113" s="2156"/>
      <c r="AF113" s="2157"/>
    </row>
    <row r="114" spans="1:32" x14ac:dyDescent="0.3">
      <c r="A114" s="1454" t="s">
        <v>217</v>
      </c>
      <c r="B114" s="949"/>
      <c r="C114" s="949"/>
      <c r="D114" s="949"/>
      <c r="E114" s="949"/>
      <c r="F114" s="949"/>
      <c r="G114" s="949"/>
      <c r="H114" s="949"/>
      <c r="I114" s="1455">
        <f t="shared" si="1"/>
        <v>4.0000000000000001E-3</v>
      </c>
      <c r="J114" s="1455"/>
      <c r="K114" s="1455"/>
      <c r="L114" s="1455"/>
      <c r="M114" s="1455"/>
      <c r="N114" s="1455"/>
      <c r="O114" s="1455"/>
      <c r="P114" s="1455"/>
      <c r="Q114" s="1456">
        <f t="shared" si="2"/>
        <v>32.49</v>
      </c>
      <c r="R114" s="1456"/>
      <c r="S114" s="1456"/>
      <c r="T114" s="1456"/>
      <c r="U114" s="1456"/>
      <c r="V114" s="1456"/>
      <c r="W114" s="1456"/>
      <c r="X114" s="1456"/>
      <c r="Y114" s="2156">
        <f t="shared" si="3"/>
        <v>454.86</v>
      </c>
      <c r="Z114" s="2156"/>
      <c r="AA114" s="2156"/>
      <c r="AB114" s="2156"/>
      <c r="AC114" s="2156"/>
      <c r="AD114" s="2156"/>
      <c r="AE114" s="2156"/>
      <c r="AF114" s="2157"/>
    </row>
    <row r="115" spans="1:32" x14ac:dyDescent="0.3">
      <c r="A115" s="1454" t="s">
        <v>218</v>
      </c>
      <c r="B115" s="949"/>
      <c r="C115" s="949"/>
      <c r="D115" s="949"/>
      <c r="E115" s="949"/>
      <c r="F115" s="949"/>
      <c r="G115" s="949"/>
      <c r="H115" s="949"/>
      <c r="I115" s="1455">
        <f t="shared" si="1"/>
        <v>3.0000000000000001E-3</v>
      </c>
      <c r="J115" s="1455"/>
      <c r="K115" s="1455"/>
      <c r="L115" s="1455"/>
      <c r="M115" s="1455"/>
      <c r="N115" s="1455"/>
      <c r="O115" s="1455"/>
      <c r="P115" s="1455"/>
      <c r="Q115" s="1456">
        <f t="shared" si="2"/>
        <v>18.48</v>
      </c>
      <c r="R115" s="1456"/>
      <c r="S115" s="1456"/>
      <c r="T115" s="1456"/>
      <c r="U115" s="1456"/>
      <c r="V115" s="1456"/>
      <c r="W115" s="1456"/>
      <c r="X115" s="1456"/>
      <c r="Y115" s="2156">
        <f t="shared" si="3"/>
        <v>388.08</v>
      </c>
      <c r="Z115" s="2156"/>
      <c r="AA115" s="2156"/>
      <c r="AB115" s="2156"/>
      <c r="AC115" s="2156"/>
      <c r="AD115" s="2156"/>
      <c r="AE115" s="2156"/>
      <c r="AF115" s="2157"/>
    </row>
    <row r="116" spans="1:32" ht="15" thickBot="1" x14ac:dyDescent="0.35">
      <c r="A116" s="1247" t="s">
        <v>219</v>
      </c>
      <c r="B116" s="1248"/>
      <c r="C116" s="1248"/>
      <c r="D116" s="1248"/>
      <c r="E116" s="1248"/>
      <c r="F116" s="1248"/>
      <c r="G116" s="1248"/>
      <c r="H116" s="1248"/>
      <c r="I116" s="1414">
        <f t="shared" si="1"/>
        <v>1E-3</v>
      </c>
      <c r="J116" s="1414"/>
      <c r="K116" s="1414"/>
      <c r="L116" s="1414"/>
      <c r="M116" s="1414"/>
      <c r="N116" s="1414"/>
      <c r="O116" s="1414"/>
      <c r="P116" s="1414"/>
      <c r="Q116" s="1415">
        <f t="shared" si="2"/>
        <v>11.71</v>
      </c>
      <c r="R116" s="1415"/>
      <c r="S116" s="1415"/>
      <c r="T116" s="1415"/>
      <c r="U116" s="1415"/>
      <c r="V116" s="1415"/>
      <c r="W116" s="1415"/>
      <c r="X116" s="1415"/>
      <c r="Y116" s="2159">
        <f t="shared" si="3"/>
        <v>292.75</v>
      </c>
      <c r="Z116" s="2159"/>
      <c r="AA116" s="2159"/>
      <c r="AB116" s="2159"/>
      <c r="AC116" s="2159"/>
      <c r="AD116" s="2159"/>
      <c r="AE116" s="2159"/>
      <c r="AF116" s="2160"/>
    </row>
    <row r="118" spans="1:32" x14ac:dyDescent="0.3">
      <c r="A118" s="1"/>
      <c r="B118" s="232" t="s">
        <v>5594</v>
      </c>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row>
    <row r="119" spans="1:32"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row>
    <row r="120" spans="1:32" x14ac:dyDescent="0.3">
      <c r="A120" s="1"/>
      <c r="B120" t="s">
        <v>5595</v>
      </c>
      <c r="U120" s="1"/>
      <c r="V120" s="1"/>
      <c r="W120" s="1"/>
      <c r="X120" s="1"/>
      <c r="Y120" s="1"/>
      <c r="Z120" s="1"/>
      <c r="AA120" s="1"/>
      <c r="AB120" s="1"/>
      <c r="AC120" s="1"/>
      <c r="AD120" s="1"/>
      <c r="AE120" s="1"/>
      <c r="AF120" s="1"/>
    </row>
    <row r="121" spans="1:32" x14ac:dyDescent="0.3">
      <c r="A121" s="1"/>
      <c r="D121" s="1782">
        <v>800</v>
      </c>
      <c r="E121" s="1783"/>
      <c r="F121" s="1783"/>
      <c r="G121" s="1783"/>
      <c r="H121" s="1784"/>
      <c r="I121" t="s">
        <v>5596</v>
      </c>
      <c r="N121" s="1"/>
      <c r="O121" s="1"/>
      <c r="P121" s="1"/>
      <c r="Q121" s="1"/>
      <c r="R121" s="1"/>
      <c r="S121" s="1"/>
      <c r="T121" s="1"/>
      <c r="U121" s="1"/>
      <c r="V121" s="1"/>
      <c r="W121" s="1"/>
      <c r="X121" s="1"/>
      <c r="Y121" s="1"/>
      <c r="Z121" s="1"/>
      <c r="AA121" s="1"/>
      <c r="AB121" s="1"/>
      <c r="AC121" s="1"/>
      <c r="AD121" s="1"/>
      <c r="AE121" s="1"/>
      <c r="AF121" s="1"/>
    </row>
    <row r="122" spans="1:32" ht="15" thickBot="1" x14ac:dyDescent="0.3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row>
    <row r="123" spans="1:32" x14ac:dyDescent="0.3">
      <c r="A123" s="1252" t="s">
        <v>46</v>
      </c>
      <c r="B123" s="1253"/>
      <c r="C123" s="1253"/>
      <c r="D123" s="1253"/>
      <c r="E123" s="1253"/>
      <c r="F123" s="1253"/>
      <c r="G123" s="1253"/>
      <c r="H123" s="1253"/>
      <c r="I123" s="1278" t="s">
        <v>16</v>
      </c>
      <c r="J123" s="1278"/>
      <c r="K123" s="1278"/>
      <c r="L123" s="1278"/>
      <c r="M123" s="1278"/>
      <c r="N123" s="1278"/>
      <c r="O123" s="1278"/>
      <c r="P123" s="1278"/>
      <c r="Q123" s="1278" t="s">
        <v>17</v>
      </c>
      <c r="R123" s="1278"/>
      <c r="S123" s="1278"/>
      <c r="T123" s="1278"/>
      <c r="U123" s="1278"/>
      <c r="V123" s="1278"/>
      <c r="W123" s="1278"/>
      <c r="X123" s="2158"/>
      <c r="Y123" s="1278" t="s">
        <v>1826</v>
      </c>
      <c r="Z123" s="1278"/>
      <c r="AA123" s="1278"/>
      <c r="AB123" s="1278"/>
      <c r="AC123" s="1278"/>
      <c r="AD123" s="1278"/>
      <c r="AE123" s="1278"/>
      <c r="AF123" s="1407"/>
    </row>
    <row r="124" spans="1:32" x14ac:dyDescent="0.3">
      <c r="A124" s="1454" t="s">
        <v>1796</v>
      </c>
      <c r="B124" s="949"/>
      <c r="C124" s="949"/>
      <c r="D124" s="949"/>
      <c r="E124" s="949"/>
      <c r="F124" s="949"/>
      <c r="G124" s="949"/>
      <c r="H124" s="949"/>
      <c r="I124" s="2161">
        <f t="shared" ref="I124:I134" si="4">ROUND((ROUND($D$121/45,0)-ROUND($D$121/73,0))*$Q$71*$I87*$M87/1000,3)</f>
        <v>3.0000000000000001E-3</v>
      </c>
      <c r="J124" s="2161"/>
      <c r="K124" s="2161"/>
      <c r="L124" s="2161"/>
      <c r="M124" s="2161"/>
      <c r="N124" s="2161"/>
      <c r="O124" s="2161"/>
      <c r="P124" s="2161"/>
      <c r="Q124" s="2162">
        <f t="shared" ref="Q124:Q134" si="5">ROUND((ROUND($D$121/45,0)-ROUND($D$121/73,0))*$Q$71*$U87*$Q87/1000,2)</f>
        <v>14.19</v>
      </c>
      <c r="R124" s="2162"/>
      <c r="S124" s="2162"/>
      <c r="T124" s="2162"/>
      <c r="U124" s="2162"/>
      <c r="V124" s="2162"/>
      <c r="W124" s="2162"/>
      <c r="X124" s="2162"/>
      <c r="Y124" s="2163">
        <f t="shared" ref="Y124:Y134" si="6">ROUND($Q124*$Y87,2)</f>
        <v>354.75</v>
      </c>
      <c r="Z124" s="2163"/>
      <c r="AA124" s="2163"/>
      <c r="AB124" s="2163"/>
      <c r="AC124" s="2163"/>
      <c r="AD124" s="2163"/>
      <c r="AE124" s="2163"/>
      <c r="AF124" s="2164"/>
    </row>
    <row r="125" spans="1:32" x14ac:dyDescent="0.3">
      <c r="A125" s="1454" t="s">
        <v>211</v>
      </c>
      <c r="B125" s="949"/>
      <c r="C125" s="949"/>
      <c r="D125" s="949"/>
      <c r="E125" s="949"/>
      <c r="F125" s="949"/>
      <c r="G125" s="949"/>
      <c r="H125" s="949"/>
      <c r="I125" s="2161">
        <f t="shared" si="4"/>
        <v>2E-3</v>
      </c>
      <c r="J125" s="2161"/>
      <c r="K125" s="2161"/>
      <c r="L125" s="2161"/>
      <c r="M125" s="2161"/>
      <c r="N125" s="2161"/>
      <c r="O125" s="2161"/>
      <c r="P125" s="2161"/>
      <c r="Q125" s="2162">
        <f t="shared" si="5"/>
        <v>50.4</v>
      </c>
      <c r="R125" s="2162"/>
      <c r="S125" s="2162"/>
      <c r="T125" s="2162"/>
      <c r="U125" s="2162"/>
      <c r="V125" s="2162"/>
      <c r="W125" s="2162"/>
      <c r="X125" s="2162"/>
      <c r="Y125" s="2163">
        <f t="shared" si="6"/>
        <v>554.4</v>
      </c>
      <c r="Z125" s="2163"/>
      <c r="AA125" s="2163"/>
      <c r="AB125" s="2163"/>
      <c r="AC125" s="2163"/>
      <c r="AD125" s="2163"/>
      <c r="AE125" s="2163"/>
      <c r="AF125" s="2164"/>
    </row>
    <row r="126" spans="1:32" x14ac:dyDescent="0.3">
      <c r="A126" s="1454" t="s">
        <v>212</v>
      </c>
      <c r="B126" s="949"/>
      <c r="C126" s="949"/>
      <c r="D126" s="949"/>
      <c r="E126" s="949"/>
      <c r="F126" s="949"/>
      <c r="G126" s="949"/>
      <c r="H126" s="949"/>
      <c r="I126" s="2161">
        <f t="shared" si="4"/>
        <v>2E-3</v>
      </c>
      <c r="J126" s="2161"/>
      <c r="K126" s="2161"/>
      <c r="L126" s="2161"/>
      <c r="M126" s="2161"/>
      <c r="N126" s="2161"/>
      <c r="O126" s="2161"/>
      <c r="P126" s="2161"/>
      <c r="Q126" s="2162">
        <f t="shared" si="5"/>
        <v>12.85</v>
      </c>
      <c r="R126" s="2162"/>
      <c r="S126" s="2162"/>
      <c r="T126" s="2162"/>
      <c r="U126" s="2162"/>
      <c r="V126" s="2162"/>
      <c r="W126" s="2162"/>
      <c r="X126" s="2162"/>
      <c r="Y126" s="2163">
        <f t="shared" si="6"/>
        <v>321.25</v>
      </c>
      <c r="Z126" s="2163"/>
      <c r="AA126" s="2163"/>
      <c r="AB126" s="2163"/>
      <c r="AC126" s="2163"/>
      <c r="AD126" s="2163"/>
      <c r="AE126" s="2163"/>
      <c r="AF126" s="2164"/>
    </row>
    <row r="127" spans="1:32" x14ac:dyDescent="0.3">
      <c r="A127" s="1454" t="s">
        <v>213</v>
      </c>
      <c r="B127" s="949"/>
      <c r="C127" s="949"/>
      <c r="D127" s="949"/>
      <c r="E127" s="949"/>
      <c r="F127" s="949"/>
      <c r="G127" s="949"/>
      <c r="H127" s="949"/>
      <c r="I127" s="2161">
        <f t="shared" si="4"/>
        <v>5.0000000000000001E-3</v>
      </c>
      <c r="J127" s="2161"/>
      <c r="K127" s="2161"/>
      <c r="L127" s="2161"/>
      <c r="M127" s="2161"/>
      <c r="N127" s="2161"/>
      <c r="O127" s="2161"/>
      <c r="P127" s="2161"/>
      <c r="Q127" s="2162">
        <f t="shared" si="5"/>
        <v>38.32</v>
      </c>
      <c r="R127" s="2162"/>
      <c r="S127" s="2162"/>
      <c r="T127" s="2162"/>
      <c r="U127" s="2162"/>
      <c r="V127" s="2162"/>
      <c r="W127" s="2162"/>
      <c r="X127" s="2162"/>
      <c r="Y127" s="2163">
        <f t="shared" si="6"/>
        <v>383.2</v>
      </c>
      <c r="Z127" s="2163"/>
      <c r="AA127" s="2163"/>
      <c r="AB127" s="2163"/>
      <c r="AC127" s="2163"/>
      <c r="AD127" s="2163"/>
      <c r="AE127" s="2163"/>
      <c r="AF127" s="2164"/>
    </row>
    <row r="128" spans="1:32" x14ac:dyDescent="0.3">
      <c r="A128" s="1454" t="s">
        <v>214</v>
      </c>
      <c r="B128" s="949"/>
      <c r="C128" s="949"/>
      <c r="D128" s="949"/>
      <c r="E128" s="949"/>
      <c r="F128" s="949"/>
      <c r="G128" s="949"/>
      <c r="H128" s="949"/>
      <c r="I128" s="2161">
        <f t="shared" si="4"/>
        <v>6.0000000000000001E-3</v>
      </c>
      <c r="J128" s="2161"/>
      <c r="K128" s="2161"/>
      <c r="L128" s="2161"/>
      <c r="M128" s="2161"/>
      <c r="N128" s="2161"/>
      <c r="O128" s="2161"/>
      <c r="P128" s="2161"/>
      <c r="Q128" s="2162">
        <f t="shared" si="5"/>
        <v>42</v>
      </c>
      <c r="R128" s="2162"/>
      <c r="S128" s="2162"/>
      <c r="T128" s="2162"/>
      <c r="U128" s="2162"/>
      <c r="V128" s="2162"/>
      <c r="W128" s="2162"/>
      <c r="X128" s="2162"/>
      <c r="Y128" s="2163">
        <f t="shared" si="6"/>
        <v>378</v>
      </c>
      <c r="Z128" s="2163"/>
      <c r="AA128" s="2163"/>
      <c r="AB128" s="2163"/>
      <c r="AC128" s="2163"/>
      <c r="AD128" s="2163"/>
      <c r="AE128" s="2163"/>
      <c r="AF128" s="2164"/>
    </row>
    <row r="129" spans="1:32" x14ac:dyDescent="0.3">
      <c r="A129" s="1454" t="s">
        <v>215</v>
      </c>
      <c r="B129" s="949"/>
      <c r="C129" s="949"/>
      <c r="D129" s="949"/>
      <c r="E129" s="949"/>
      <c r="F129" s="949"/>
      <c r="G129" s="949"/>
      <c r="H129" s="949"/>
      <c r="I129" s="2161">
        <f t="shared" si="4"/>
        <v>2E-3</v>
      </c>
      <c r="J129" s="2161"/>
      <c r="K129" s="2161"/>
      <c r="L129" s="2161"/>
      <c r="M129" s="2161"/>
      <c r="N129" s="2161"/>
      <c r="O129" s="2161"/>
      <c r="P129" s="2161"/>
      <c r="Q129" s="2162">
        <f t="shared" si="5"/>
        <v>12.16</v>
      </c>
      <c r="R129" s="2162"/>
      <c r="S129" s="2162"/>
      <c r="T129" s="2162"/>
      <c r="U129" s="2162"/>
      <c r="V129" s="2162"/>
      <c r="W129" s="2162"/>
      <c r="X129" s="2162"/>
      <c r="Y129" s="2163">
        <f t="shared" si="6"/>
        <v>304</v>
      </c>
      <c r="Z129" s="2163"/>
      <c r="AA129" s="2163"/>
      <c r="AB129" s="2163"/>
      <c r="AC129" s="2163"/>
      <c r="AD129" s="2163"/>
      <c r="AE129" s="2163"/>
      <c r="AF129" s="2164"/>
    </row>
    <row r="130" spans="1:32" x14ac:dyDescent="0.3">
      <c r="A130" s="1454" t="s">
        <v>216</v>
      </c>
      <c r="B130" s="949"/>
      <c r="C130" s="949"/>
      <c r="D130" s="949"/>
      <c r="E130" s="949"/>
      <c r="F130" s="949"/>
      <c r="G130" s="949"/>
      <c r="H130" s="949"/>
      <c r="I130" s="2161">
        <f t="shared" si="4"/>
        <v>4.0000000000000001E-3</v>
      </c>
      <c r="J130" s="2161"/>
      <c r="K130" s="2161"/>
      <c r="L130" s="2161"/>
      <c r="M130" s="2161"/>
      <c r="N130" s="2161"/>
      <c r="O130" s="2161"/>
      <c r="P130" s="2161"/>
      <c r="Q130" s="2162">
        <f t="shared" si="5"/>
        <v>16.48</v>
      </c>
      <c r="R130" s="2162"/>
      <c r="S130" s="2162"/>
      <c r="T130" s="2162"/>
      <c r="U130" s="2162"/>
      <c r="V130" s="2162"/>
      <c r="W130" s="2162"/>
      <c r="X130" s="2162"/>
      <c r="Y130" s="2163">
        <f t="shared" si="6"/>
        <v>379.04</v>
      </c>
      <c r="Z130" s="2163"/>
      <c r="AA130" s="2163"/>
      <c r="AB130" s="2163"/>
      <c r="AC130" s="2163"/>
      <c r="AD130" s="2163"/>
      <c r="AE130" s="2163"/>
      <c r="AF130" s="2164"/>
    </row>
    <row r="131" spans="1:32" x14ac:dyDescent="0.3">
      <c r="A131" s="1454" t="s">
        <v>47</v>
      </c>
      <c r="B131" s="949"/>
      <c r="C131" s="949"/>
      <c r="D131" s="949"/>
      <c r="E131" s="949"/>
      <c r="F131" s="949"/>
      <c r="G131" s="949"/>
      <c r="H131" s="949"/>
      <c r="I131" s="2161">
        <f t="shared" si="4"/>
        <v>2E-3</v>
      </c>
      <c r="J131" s="2161"/>
      <c r="K131" s="2161"/>
      <c r="L131" s="2161"/>
      <c r="M131" s="2161"/>
      <c r="N131" s="2161"/>
      <c r="O131" s="2161"/>
      <c r="P131" s="2161"/>
      <c r="Q131" s="2162">
        <f t="shared" si="5"/>
        <v>15.26</v>
      </c>
      <c r="R131" s="2162"/>
      <c r="S131" s="2162"/>
      <c r="T131" s="2162"/>
      <c r="U131" s="2162"/>
      <c r="V131" s="2162"/>
      <c r="W131" s="2162"/>
      <c r="X131" s="2162"/>
      <c r="Y131" s="2163">
        <f t="shared" si="6"/>
        <v>381.5</v>
      </c>
      <c r="Z131" s="2163"/>
      <c r="AA131" s="2163"/>
      <c r="AB131" s="2163"/>
      <c r="AC131" s="2163"/>
      <c r="AD131" s="2163"/>
      <c r="AE131" s="2163"/>
      <c r="AF131" s="2164"/>
    </row>
    <row r="132" spans="1:32" x14ac:dyDescent="0.3">
      <c r="A132" s="1454" t="s">
        <v>217</v>
      </c>
      <c r="B132" s="949"/>
      <c r="C132" s="949"/>
      <c r="D132" s="949"/>
      <c r="E132" s="949"/>
      <c r="F132" s="949"/>
      <c r="G132" s="949"/>
      <c r="H132" s="949"/>
      <c r="I132" s="2161">
        <f t="shared" si="4"/>
        <v>4.0000000000000001E-3</v>
      </c>
      <c r="J132" s="2161"/>
      <c r="K132" s="2161"/>
      <c r="L132" s="2161"/>
      <c r="M132" s="2161"/>
      <c r="N132" s="2161"/>
      <c r="O132" s="2161"/>
      <c r="P132" s="2161"/>
      <c r="Q132" s="2162">
        <f t="shared" si="5"/>
        <v>32.49</v>
      </c>
      <c r="R132" s="2162"/>
      <c r="S132" s="2162"/>
      <c r="T132" s="2162"/>
      <c r="U132" s="2162"/>
      <c r="V132" s="2162"/>
      <c r="W132" s="2162"/>
      <c r="X132" s="2162"/>
      <c r="Y132" s="2163">
        <f t="shared" si="6"/>
        <v>454.86</v>
      </c>
      <c r="Z132" s="2163"/>
      <c r="AA132" s="2163"/>
      <c r="AB132" s="2163"/>
      <c r="AC132" s="2163"/>
      <c r="AD132" s="2163"/>
      <c r="AE132" s="2163"/>
      <c r="AF132" s="2164"/>
    </row>
    <row r="133" spans="1:32" x14ac:dyDescent="0.3">
      <c r="A133" s="1454" t="s">
        <v>218</v>
      </c>
      <c r="B133" s="949"/>
      <c r="C133" s="949"/>
      <c r="D133" s="949"/>
      <c r="E133" s="949"/>
      <c r="F133" s="949"/>
      <c r="G133" s="949"/>
      <c r="H133" s="949"/>
      <c r="I133" s="2161">
        <f t="shared" si="4"/>
        <v>3.0000000000000001E-3</v>
      </c>
      <c r="J133" s="2161"/>
      <c r="K133" s="2161"/>
      <c r="L133" s="2161"/>
      <c r="M133" s="2161"/>
      <c r="N133" s="2161"/>
      <c r="O133" s="2161"/>
      <c r="P133" s="2161"/>
      <c r="Q133" s="2162">
        <f t="shared" si="5"/>
        <v>18.48</v>
      </c>
      <c r="R133" s="2162"/>
      <c r="S133" s="2162"/>
      <c r="T133" s="2162"/>
      <c r="U133" s="2162"/>
      <c r="V133" s="2162"/>
      <c r="W133" s="2162"/>
      <c r="X133" s="2162"/>
      <c r="Y133" s="2163">
        <f t="shared" si="6"/>
        <v>388.08</v>
      </c>
      <c r="Z133" s="2163"/>
      <c r="AA133" s="2163"/>
      <c r="AB133" s="2163"/>
      <c r="AC133" s="2163"/>
      <c r="AD133" s="2163"/>
      <c r="AE133" s="2163"/>
      <c r="AF133" s="2164"/>
    </row>
    <row r="134" spans="1:32" ht="15" thickBot="1" x14ac:dyDescent="0.35">
      <c r="A134" s="1247" t="s">
        <v>219</v>
      </c>
      <c r="B134" s="1248"/>
      <c r="C134" s="1248"/>
      <c r="D134" s="1248"/>
      <c r="E134" s="1248"/>
      <c r="F134" s="1248"/>
      <c r="G134" s="1248"/>
      <c r="H134" s="1248"/>
      <c r="I134" s="2165">
        <f t="shared" si="4"/>
        <v>1E-3</v>
      </c>
      <c r="J134" s="2165"/>
      <c r="K134" s="2165"/>
      <c r="L134" s="2165"/>
      <c r="M134" s="2165"/>
      <c r="N134" s="2165"/>
      <c r="O134" s="2165"/>
      <c r="P134" s="2165"/>
      <c r="Q134" s="2166">
        <f t="shared" si="5"/>
        <v>11.71</v>
      </c>
      <c r="R134" s="2166"/>
      <c r="S134" s="2166"/>
      <c r="T134" s="2166"/>
      <c r="U134" s="2166"/>
      <c r="V134" s="2166"/>
      <c r="W134" s="2166"/>
      <c r="X134" s="2166"/>
      <c r="Y134" s="2167">
        <f t="shared" si="6"/>
        <v>292.75</v>
      </c>
      <c r="Z134" s="2167"/>
      <c r="AA134" s="2167"/>
      <c r="AB134" s="2167"/>
      <c r="AC134" s="2167"/>
      <c r="AD134" s="2167"/>
      <c r="AE134" s="2167"/>
      <c r="AF134" s="2168"/>
    </row>
    <row r="135" spans="1:32" x14ac:dyDescent="0.3">
      <c r="A135" s="1"/>
      <c r="B135" s="269" t="s">
        <v>5597</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x14ac:dyDescent="0.3">
      <c r="A136" s="1"/>
      <c r="B136" s="269"/>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x14ac:dyDescent="0.3">
      <c r="A137" s="57" t="s">
        <v>5598</v>
      </c>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row>
    <row r="138" spans="1:32" x14ac:dyDescent="0.3">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row>
    <row r="139" spans="1:32" x14ac:dyDescent="0.3">
      <c r="A139" s="1"/>
      <c r="B139" s="232" t="s">
        <v>5599</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 thickBot="1" x14ac:dyDescent="0.35">
      <c r="A140" s="23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x14ac:dyDescent="0.3">
      <c r="A141" s="1637" t="s">
        <v>46</v>
      </c>
      <c r="B141" s="1638"/>
      <c r="C141" s="1638"/>
      <c r="D141" s="1638"/>
      <c r="E141" s="1638"/>
      <c r="F141" s="1638"/>
      <c r="G141" s="1638"/>
      <c r="H141" s="1639"/>
      <c r="I141" s="1278" t="s">
        <v>16</v>
      </c>
      <c r="J141" s="1278"/>
      <c r="K141" s="1278"/>
      <c r="L141" s="1278"/>
      <c r="M141" s="1278"/>
      <c r="N141" s="1278"/>
      <c r="O141" s="1278"/>
      <c r="P141" s="1278"/>
      <c r="Q141" s="1278" t="s">
        <v>17</v>
      </c>
      <c r="R141" s="1278"/>
      <c r="S141" s="1278"/>
      <c r="T141" s="1278"/>
      <c r="U141" s="1278"/>
      <c r="V141" s="1278"/>
      <c r="W141" s="1278"/>
      <c r="X141" s="2158"/>
      <c r="Y141" s="2173" t="s">
        <v>1826</v>
      </c>
      <c r="Z141" s="2174"/>
      <c r="AA141" s="2174"/>
      <c r="AB141" s="2174"/>
      <c r="AC141" s="2174"/>
      <c r="AD141" s="2174"/>
      <c r="AE141" s="2174"/>
      <c r="AF141" s="2175"/>
    </row>
    <row r="142" spans="1:32" x14ac:dyDescent="0.3">
      <c r="A142" s="2172"/>
      <c r="B142" s="1017"/>
      <c r="C142" s="1017"/>
      <c r="D142" s="1017"/>
      <c r="E142" s="1017"/>
      <c r="F142" s="1017"/>
      <c r="G142" s="1017"/>
      <c r="H142" s="1018"/>
      <c r="I142" s="1085" t="s">
        <v>3630</v>
      </c>
      <c r="J142" s="1086"/>
      <c r="K142" s="1086"/>
      <c r="L142" s="1087"/>
      <c r="M142" s="1085" t="s">
        <v>3631</v>
      </c>
      <c r="N142" s="1086"/>
      <c r="O142" s="1086"/>
      <c r="P142" s="1087"/>
      <c r="Q142" s="1085" t="s">
        <v>3630</v>
      </c>
      <c r="R142" s="1086"/>
      <c r="S142" s="1086"/>
      <c r="T142" s="1087"/>
      <c r="U142" s="1085" t="s">
        <v>3631</v>
      </c>
      <c r="V142" s="1086"/>
      <c r="W142" s="1086"/>
      <c r="X142" s="1087"/>
      <c r="Y142" s="2176"/>
      <c r="Z142" s="2177"/>
      <c r="AA142" s="2177"/>
      <c r="AB142" s="2177"/>
      <c r="AC142" s="2177"/>
      <c r="AD142" s="2177"/>
      <c r="AE142" s="2177"/>
      <c r="AF142" s="2178"/>
    </row>
    <row r="143" spans="1:32" x14ac:dyDescent="0.3">
      <c r="A143" s="1454" t="s">
        <v>1796</v>
      </c>
      <c r="B143" s="949"/>
      <c r="C143" s="949"/>
      <c r="D143" s="949"/>
      <c r="E143" s="949"/>
      <c r="F143" s="949"/>
      <c r="G143" s="949"/>
      <c r="H143" s="949"/>
      <c r="I143" s="1648">
        <f>ROUND(($Q$68-$Q$70)*$Q$71*$I87*$M87,3)</f>
        <v>8.9999999999999993E-3</v>
      </c>
      <c r="J143" s="1649"/>
      <c r="K143" s="1649"/>
      <c r="L143" s="1650"/>
      <c r="M143" s="1648">
        <f>ROUND(($Q$69-$Q$70)*$Q$71*$I87*$M87,3)</f>
        <v>3.0000000000000001E-3</v>
      </c>
      <c r="N143" s="1649"/>
      <c r="O143" s="1649"/>
      <c r="P143" s="1650"/>
      <c r="Q143" s="2169">
        <f>ROUND(($Q$68-$Q$70)*$Q$71*$U87*$Q87,2)</f>
        <v>48.66</v>
      </c>
      <c r="R143" s="2170"/>
      <c r="S143" s="2170"/>
      <c r="T143" s="2171"/>
      <c r="U143" s="2169">
        <f>ROUND(($Q$69-$Q$70)*$Q$71*$U87*$Q87,2)</f>
        <v>14.19</v>
      </c>
      <c r="V143" s="2170"/>
      <c r="W143" s="2170"/>
      <c r="X143" s="2171"/>
      <c r="Y143" s="2156">
        <f>ROUND($Q143*$Q$76+$U143*($Y87-$Q$76),2)</f>
        <v>389.22</v>
      </c>
      <c r="Z143" s="2156"/>
      <c r="AA143" s="2156"/>
      <c r="AB143" s="2156"/>
      <c r="AC143" s="2156"/>
      <c r="AD143" s="2156"/>
      <c r="AE143" s="2156"/>
      <c r="AF143" s="2157"/>
    </row>
    <row r="144" spans="1:32" x14ac:dyDescent="0.3">
      <c r="A144" s="1454" t="s">
        <v>211</v>
      </c>
      <c r="B144" s="949"/>
      <c r="C144" s="949"/>
      <c r="D144" s="949"/>
      <c r="E144" s="949"/>
      <c r="F144" s="949"/>
      <c r="G144" s="949"/>
      <c r="H144" s="949"/>
      <c r="I144" s="1648">
        <f t="shared" ref="I144:I152" si="7">ROUND(($Q$68-$Q$70)*$Q$71*$I88*$M88,3)</f>
        <v>6.0000000000000001E-3</v>
      </c>
      <c r="J144" s="1649"/>
      <c r="K144" s="1649"/>
      <c r="L144" s="1650"/>
      <c r="M144" s="1648">
        <f t="shared" ref="M144:M153" si="8">ROUND(($Q$69-$Q$70)*$Q$71*$I88*$M88,3)</f>
        <v>2E-3</v>
      </c>
      <c r="N144" s="1649"/>
      <c r="O144" s="1649"/>
      <c r="P144" s="1650"/>
      <c r="Q144" s="2169">
        <f t="shared" ref="Q144:Q153" si="9">ROUND(($Q$68-$Q$70)*$Q$71*$U88*$Q88,2)</f>
        <v>172.82</v>
      </c>
      <c r="R144" s="2170"/>
      <c r="S144" s="2170"/>
      <c r="T144" s="2171"/>
      <c r="U144" s="2169">
        <f t="shared" ref="U144:U153" si="10">ROUND(($Q$69-$Q$70)*$Q$71*$U88*$Q88,2)</f>
        <v>50.4</v>
      </c>
      <c r="V144" s="2170"/>
      <c r="W144" s="2170"/>
      <c r="X144" s="2171"/>
      <c r="Y144" s="2156">
        <f t="shared" ref="Y144:Y152" si="11">ROUND($Q144*$Q$76+$U144*($Y88-$Q$76),2)</f>
        <v>676.82</v>
      </c>
      <c r="Z144" s="2156"/>
      <c r="AA144" s="2156"/>
      <c r="AB144" s="2156"/>
      <c r="AC144" s="2156"/>
      <c r="AD144" s="2156"/>
      <c r="AE144" s="2156"/>
      <c r="AF144" s="2157"/>
    </row>
    <row r="145" spans="1:32" x14ac:dyDescent="0.3">
      <c r="A145" s="1454" t="s">
        <v>212</v>
      </c>
      <c r="B145" s="949"/>
      <c r="C145" s="949"/>
      <c r="D145" s="949"/>
      <c r="E145" s="949"/>
      <c r="F145" s="949"/>
      <c r="G145" s="949"/>
      <c r="H145" s="949"/>
      <c r="I145" s="1648">
        <f t="shared" si="7"/>
        <v>8.9999999999999993E-3</v>
      </c>
      <c r="J145" s="1649"/>
      <c r="K145" s="1649"/>
      <c r="L145" s="1650"/>
      <c r="M145" s="1648">
        <f t="shared" si="8"/>
        <v>2E-3</v>
      </c>
      <c r="N145" s="1649"/>
      <c r="O145" s="1649"/>
      <c r="P145" s="1650"/>
      <c r="Q145" s="2169">
        <f t="shared" si="9"/>
        <v>44.04</v>
      </c>
      <c r="R145" s="2170"/>
      <c r="S145" s="2170"/>
      <c r="T145" s="2171"/>
      <c r="U145" s="2169">
        <f t="shared" si="10"/>
        <v>12.85</v>
      </c>
      <c r="V145" s="2170"/>
      <c r="W145" s="2170"/>
      <c r="X145" s="2171"/>
      <c r="Y145" s="2156">
        <f t="shared" si="11"/>
        <v>352.44</v>
      </c>
      <c r="Z145" s="2156"/>
      <c r="AA145" s="2156"/>
      <c r="AB145" s="2156"/>
      <c r="AC145" s="2156"/>
      <c r="AD145" s="2156"/>
      <c r="AE145" s="2156"/>
      <c r="AF145" s="2157"/>
    </row>
    <row r="146" spans="1:32" x14ac:dyDescent="0.3">
      <c r="A146" s="1454" t="s">
        <v>213</v>
      </c>
      <c r="B146" s="949"/>
      <c r="C146" s="949"/>
      <c r="D146" s="949"/>
      <c r="E146" s="949"/>
      <c r="F146" s="949"/>
      <c r="G146" s="949"/>
      <c r="H146" s="949"/>
      <c r="I146" s="1648">
        <f t="shared" si="7"/>
        <v>1.7999999999999999E-2</v>
      </c>
      <c r="J146" s="1649"/>
      <c r="K146" s="1649"/>
      <c r="L146" s="1650"/>
      <c r="M146" s="1648">
        <f t="shared" si="8"/>
        <v>5.0000000000000001E-3</v>
      </c>
      <c r="N146" s="1649"/>
      <c r="O146" s="1649"/>
      <c r="P146" s="1650"/>
      <c r="Q146" s="2169">
        <f t="shared" si="9"/>
        <v>131.38</v>
      </c>
      <c r="R146" s="2170"/>
      <c r="S146" s="2170"/>
      <c r="T146" s="2171"/>
      <c r="U146" s="2169">
        <f t="shared" si="10"/>
        <v>38.32</v>
      </c>
      <c r="V146" s="2170"/>
      <c r="W146" s="2170"/>
      <c r="X146" s="2171"/>
      <c r="Y146" s="2156">
        <f t="shared" si="11"/>
        <v>476.26</v>
      </c>
      <c r="Z146" s="2156"/>
      <c r="AA146" s="2156"/>
      <c r="AB146" s="2156"/>
      <c r="AC146" s="2156"/>
      <c r="AD146" s="2156"/>
      <c r="AE146" s="2156"/>
      <c r="AF146" s="2157"/>
    </row>
    <row r="147" spans="1:32" x14ac:dyDescent="0.3">
      <c r="A147" s="1454" t="s">
        <v>214</v>
      </c>
      <c r="B147" s="949"/>
      <c r="C147" s="949"/>
      <c r="D147" s="949"/>
      <c r="E147" s="949"/>
      <c r="F147" s="949"/>
      <c r="G147" s="949"/>
      <c r="H147" s="949"/>
      <c r="I147" s="1648">
        <f t="shared" si="7"/>
        <v>1.9E-2</v>
      </c>
      <c r="J147" s="1649"/>
      <c r="K147" s="1649"/>
      <c r="L147" s="1650"/>
      <c r="M147" s="1648">
        <f t="shared" si="8"/>
        <v>6.0000000000000001E-3</v>
      </c>
      <c r="N147" s="1649"/>
      <c r="O147" s="1649"/>
      <c r="P147" s="1650"/>
      <c r="Q147" s="2169">
        <f t="shared" si="9"/>
        <v>143.97999999999999</v>
      </c>
      <c r="R147" s="2170"/>
      <c r="S147" s="2170"/>
      <c r="T147" s="2171"/>
      <c r="U147" s="2169">
        <f t="shared" si="10"/>
        <v>42</v>
      </c>
      <c r="V147" s="2170"/>
      <c r="W147" s="2170"/>
      <c r="X147" s="2171"/>
      <c r="Y147" s="2156">
        <f t="shared" si="11"/>
        <v>479.98</v>
      </c>
      <c r="Z147" s="2156"/>
      <c r="AA147" s="2156"/>
      <c r="AB147" s="2156"/>
      <c r="AC147" s="2156"/>
      <c r="AD147" s="2156"/>
      <c r="AE147" s="2156"/>
      <c r="AF147" s="2157"/>
    </row>
    <row r="148" spans="1:32" x14ac:dyDescent="0.3">
      <c r="A148" s="1454" t="s">
        <v>215</v>
      </c>
      <c r="B148" s="949"/>
      <c r="C148" s="949"/>
      <c r="D148" s="949"/>
      <c r="E148" s="949"/>
      <c r="F148" s="949"/>
      <c r="G148" s="949"/>
      <c r="H148" s="949"/>
      <c r="I148" s="1648">
        <f t="shared" si="7"/>
        <v>8.0000000000000002E-3</v>
      </c>
      <c r="J148" s="1649"/>
      <c r="K148" s="1649"/>
      <c r="L148" s="1650"/>
      <c r="M148" s="1648">
        <f t="shared" si="8"/>
        <v>2E-3</v>
      </c>
      <c r="N148" s="1649"/>
      <c r="O148" s="1649"/>
      <c r="P148" s="1650"/>
      <c r="Q148" s="2169">
        <f t="shared" si="9"/>
        <v>41.68</v>
      </c>
      <c r="R148" s="2170"/>
      <c r="S148" s="2170"/>
      <c r="T148" s="2171"/>
      <c r="U148" s="2169">
        <f t="shared" si="10"/>
        <v>12.16</v>
      </c>
      <c r="V148" s="2170"/>
      <c r="W148" s="2170"/>
      <c r="X148" s="2171"/>
      <c r="Y148" s="2156">
        <f t="shared" si="11"/>
        <v>333.52</v>
      </c>
      <c r="Z148" s="2156"/>
      <c r="AA148" s="2156"/>
      <c r="AB148" s="2156"/>
      <c r="AC148" s="2156"/>
      <c r="AD148" s="2156"/>
      <c r="AE148" s="2156"/>
      <c r="AF148" s="2157"/>
    </row>
    <row r="149" spans="1:32" x14ac:dyDescent="0.3">
      <c r="A149" s="1454" t="s">
        <v>216</v>
      </c>
      <c r="B149" s="949"/>
      <c r="C149" s="949"/>
      <c r="D149" s="949"/>
      <c r="E149" s="949"/>
      <c r="F149" s="949"/>
      <c r="G149" s="949"/>
      <c r="H149" s="949"/>
      <c r="I149" s="1648">
        <f t="shared" si="7"/>
        <v>1.4999999999999999E-2</v>
      </c>
      <c r="J149" s="1649"/>
      <c r="K149" s="1649"/>
      <c r="L149" s="1650"/>
      <c r="M149" s="1648">
        <f t="shared" si="8"/>
        <v>4.0000000000000001E-3</v>
      </c>
      <c r="N149" s="1649"/>
      <c r="O149" s="1649"/>
      <c r="P149" s="1650"/>
      <c r="Q149" s="2169">
        <f t="shared" si="9"/>
        <v>56.5</v>
      </c>
      <c r="R149" s="2170"/>
      <c r="S149" s="2170"/>
      <c r="T149" s="2171"/>
      <c r="U149" s="2169">
        <f t="shared" si="10"/>
        <v>16.48</v>
      </c>
      <c r="V149" s="2170"/>
      <c r="W149" s="2170"/>
      <c r="X149" s="2171"/>
      <c r="Y149" s="2156">
        <f t="shared" si="11"/>
        <v>419.06</v>
      </c>
      <c r="Z149" s="2156"/>
      <c r="AA149" s="2156"/>
      <c r="AB149" s="2156"/>
      <c r="AC149" s="2156"/>
      <c r="AD149" s="2156"/>
      <c r="AE149" s="2156"/>
      <c r="AF149" s="2157"/>
    </row>
    <row r="150" spans="1:32" x14ac:dyDescent="0.3">
      <c r="A150" s="1454" t="s">
        <v>47</v>
      </c>
      <c r="B150" s="949"/>
      <c r="C150" s="949"/>
      <c r="D150" s="949"/>
      <c r="E150" s="949"/>
      <c r="F150" s="949"/>
      <c r="G150" s="949"/>
      <c r="H150" s="949"/>
      <c r="I150" s="1648">
        <f t="shared" si="7"/>
        <v>6.0000000000000001E-3</v>
      </c>
      <c r="J150" s="1649"/>
      <c r="K150" s="1649"/>
      <c r="L150" s="1650"/>
      <c r="M150" s="1648">
        <f t="shared" si="8"/>
        <v>2E-3</v>
      </c>
      <c r="N150" s="1649"/>
      <c r="O150" s="1649"/>
      <c r="P150" s="1650"/>
      <c r="Q150" s="2169">
        <f t="shared" si="9"/>
        <v>52.33</v>
      </c>
      <c r="R150" s="2170"/>
      <c r="S150" s="2170"/>
      <c r="T150" s="2171"/>
      <c r="U150" s="2169">
        <f t="shared" si="10"/>
        <v>15.26</v>
      </c>
      <c r="V150" s="2170"/>
      <c r="W150" s="2170"/>
      <c r="X150" s="2171"/>
      <c r="Y150" s="2156">
        <f t="shared" si="11"/>
        <v>418.57</v>
      </c>
      <c r="Z150" s="2156"/>
      <c r="AA150" s="2156"/>
      <c r="AB150" s="2156"/>
      <c r="AC150" s="2156"/>
      <c r="AD150" s="2156"/>
      <c r="AE150" s="2156"/>
      <c r="AF150" s="2157"/>
    </row>
    <row r="151" spans="1:32" x14ac:dyDescent="0.3">
      <c r="A151" s="1454" t="s">
        <v>217</v>
      </c>
      <c r="B151" s="949"/>
      <c r="C151" s="949"/>
      <c r="D151" s="949"/>
      <c r="E151" s="949"/>
      <c r="F151" s="949"/>
      <c r="G151" s="949"/>
      <c r="H151" s="949"/>
      <c r="I151" s="1648">
        <f t="shared" si="7"/>
        <v>1.4999999999999999E-2</v>
      </c>
      <c r="J151" s="1649"/>
      <c r="K151" s="1649"/>
      <c r="L151" s="1650"/>
      <c r="M151" s="1648">
        <f t="shared" si="8"/>
        <v>4.0000000000000001E-3</v>
      </c>
      <c r="N151" s="1649"/>
      <c r="O151" s="1649"/>
      <c r="P151" s="1650"/>
      <c r="Q151" s="2169">
        <f t="shared" si="9"/>
        <v>111.39</v>
      </c>
      <c r="R151" s="2170"/>
      <c r="S151" s="2170"/>
      <c r="T151" s="2171"/>
      <c r="U151" s="2169">
        <f t="shared" si="10"/>
        <v>32.49</v>
      </c>
      <c r="V151" s="2170"/>
      <c r="W151" s="2170"/>
      <c r="X151" s="2171"/>
      <c r="Y151" s="2156">
        <f t="shared" si="11"/>
        <v>533.76</v>
      </c>
      <c r="Z151" s="2156"/>
      <c r="AA151" s="2156"/>
      <c r="AB151" s="2156"/>
      <c r="AC151" s="2156"/>
      <c r="AD151" s="2156"/>
      <c r="AE151" s="2156"/>
      <c r="AF151" s="2157"/>
    </row>
    <row r="152" spans="1:32" x14ac:dyDescent="0.3">
      <c r="A152" s="1454" t="s">
        <v>218</v>
      </c>
      <c r="B152" s="949"/>
      <c r="C152" s="949"/>
      <c r="D152" s="949"/>
      <c r="E152" s="949"/>
      <c r="F152" s="949"/>
      <c r="G152" s="949"/>
      <c r="H152" s="949"/>
      <c r="I152" s="1648">
        <f t="shared" si="7"/>
        <v>0.01</v>
      </c>
      <c r="J152" s="1649"/>
      <c r="K152" s="1649"/>
      <c r="L152" s="1650"/>
      <c r="M152" s="1648">
        <f t="shared" si="8"/>
        <v>3.0000000000000001E-3</v>
      </c>
      <c r="N152" s="1649"/>
      <c r="O152" s="1649"/>
      <c r="P152" s="1650"/>
      <c r="Q152" s="2169">
        <f t="shared" si="9"/>
        <v>63.36</v>
      </c>
      <c r="R152" s="2170"/>
      <c r="S152" s="2170"/>
      <c r="T152" s="2171"/>
      <c r="U152" s="2169">
        <f t="shared" si="10"/>
        <v>18.48</v>
      </c>
      <c r="V152" s="2170"/>
      <c r="W152" s="2170"/>
      <c r="X152" s="2171"/>
      <c r="Y152" s="2156">
        <f t="shared" si="11"/>
        <v>432.96</v>
      </c>
      <c r="Z152" s="2156"/>
      <c r="AA152" s="2156"/>
      <c r="AB152" s="2156"/>
      <c r="AC152" s="2156"/>
      <c r="AD152" s="2156"/>
      <c r="AE152" s="2156"/>
      <c r="AF152" s="2157"/>
    </row>
    <row r="153" spans="1:32" ht="15" thickBot="1" x14ac:dyDescent="0.35">
      <c r="A153" s="1247" t="s">
        <v>219</v>
      </c>
      <c r="B153" s="1248"/>
      <c r="C153" s="1248"/>
      <c r="D153" s="1248"/>
      <c r="E153" s="1248"/>
      <c r="F153" s="1248"/>
      <c r="G153" s="1248"/>
      <c r="H153" s="1248"/>
      <c r="I153" s="1651">
        <f>ROUND(($Q$68-$Q$70)*$Q$71*$I97*$M97,3)</f>
        <v>2E-3</v>
      </c>
      <c r="J153" s="1652"/>
      <c r="K153" s="1652"/>
      <c r="L153" s="1653"/>
      <c r="M153" s="1651">
        <f t="shared" si="8"/>
        <v>1E-3</v>
      </c>
      <c r="N153" s="1652"/>
      <c r="O153" s="1652"/>
      <c r="P153" s="1653"/>
      <c r="Q153" s="2179">
        <f t="shared" si="9"/>
        <v>40.15</v>
      </c>
      <c r="R153" s="2180"/>
      <c r="S153" s="2180"/>
      <c r="T153" s="2181"/>
      <c r="U153" s="2179">
        <f t="shared" si="10"/>
        <v>11.71</v>
      </c>
      <c r="V153" s="2180"/>
      <c r="W153" s="2180"/>
      <c r="X153" s="2181"/>
      <c r="Y153" s="2159">
        <f>ROUND($Q153*$Q$76+$U153*($Y97-$Q$76),2)</f>
        <v>321.19</v>
      </c>
      <c r="Z153" s="2159"/>
      <c r="AA153" s="2159"/>
      <c r="AB153" s="2159"/>
      <c r="AC153" s="2159"/>
      <c r="AD153" s="2159"/>
      <c r="AE153" s="2159"/>
      <c r="AF153" s="2160"/>
    </row>
    <row r="155" spans="1:32" x14ac:dyDescent="0.3">
      <c r="A155" s="1"/>
      <c r="B155" s="269"/>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x14ac:dyDescent="0.3">
      <c r="A156" s="1141" t="s">
        <v>1514</v>
      </c>
      <c r="B156" s="1141"/>
      <c r="C156" s="1141"/>
      <c r="D156" s="1141"/>
      <c r="E156" s="1141"/>
      <c r="F156" s="1141"/>
      <c r="G156" s="1141"/>
      <c r="H156" s="1141"/>
      <c r="I156" s="1141"/>
      <c r="J156" s="1141"/>
      <c r="K156" s="1141"/>
      <c r="L156" s="1141"/>
      <c r="M156" s="1141"/>
      <c r="N156" s="1141"/>
      <c r="O156" s="1141"/>
      <c r="P156" s="1141"/>
      <c r="Q156" s="1141"/>
      <c r="R156" s="1141"/>
      <c r="S156" s="1141"/>
      <c r="T156" s="1141"/>
      <c r="U156" s="1141"/>
      <c r="V156" s="1141"/>
      <c r="W156" s="1141"/>
      <c r="X156" s="1141"/>
      <c r="Y156" s="1141"/>
      <c r="Z156" s="1141"/>
      <c r="AA156" s="1141"/>
      <c r="AB156" s="1141"/>
      <c r="AC156" s="1141"/>
      <c r="AD156" s="1141"/>
      <c r="AE156" s="1141"/>
      <c r="AF156" s="1141"/>
    </row>
    <row r="158" spans="1:32" ht="33.75" customHeight="1" x14ac:dyDescent="0.3">
      <c r="A158" s="370" t="s">
        <v>803</v>
      </c>
      <c r="B158" s="884" t="s">
        <v>5686</v>
      </c>
      <c r="C158" s="884"/>
      <c r="D158" s="884"/>
      <c r="E158" s="884"/>
      <c r="F158" s="884"/>
      <c r="G158" s="884"/>
      <c r="H158" s="884"/>
      <c r="I158" s="884"/>
      <c r="J158" s="884"/>
      <c r="K158" s="884"/>
      <c r="L158" s="884"/>
      <c r="M158" s="884"/>
      <c r="N158" s="884"/>
      <c r="O158" s="884"/>
      <c r="P158" s="884"/>
      <c r="Q158" s="884"/>
      <c r="R158" s="884"/>
      <c r="S158" s="884"/>
      <c r="T158" s="884"/>
      <c r="U158" s="884"/>
      <c r="V158" s="884"/>
      <c r="W158" s="884"/>
      <c r="X158" s="884"/>
      <c r="Y158" s="884"/>
      <c r="Z158" s="884"/>
      <c r="AA158" s="884"/>
      <c r="AB158" s="884"/>
      <c r="AC158" s="884"/>
      <c r="AD158" s="884"/>
      <c r="AE158" s="884"/>
      <c r="AF158" s="884"/>
    </row>
    <row r="159" spans="1:32" ht="15" customHeight="1" x14ac:dyDescent="0.3">
      <c r="A159" s="368" t="s">
        <v>803</v>
      </c>
      <c r="B159" s="884" t="s">
        <v>5687</v>
      </c>
      <c r="C159" s="884"/>
      <c r="D159" s="884"/>
      <c r="E159" s="884"/>
      <c r="F159" s="884"/>
      <c r="G159" s="884"/>
      <c r="H159" s="884"/>
      <c r="I159" s="884"/>
      <c r="J159" s="884"/>
      <c r="K159" s="884"/>
      <c r="L159" s="884"/>
      <c r="M159" s="884"/>
      <c r="N159" s="884"/>
      <c r="O159" s="884"/>
      <c r="P159" s="884"/>
      <c r="Q159" s="884"/>
      <c r="R159" s="884"/>
      <c r="S159" s="884"/>
      <c r="T159" s="884"/>
      <c r="U159" s="884"/>
      <c r="V159" s="884"/>
      <c r="W159" s="884"/>
      <c r="X159" s="884"/>
      <c r="Y159" s="884"/>
      <c r="Z159" s="884"/>
      <c r="AA159" s="884"/>
      <c r="AB159" s="884"/>
      <c r="AC159" s="884"/>
      <c r="AD159" s="884"/>
      <c r="AE159" s="884"/>
      <c r="AF159" s="884"/>
    </row>
    <row r="160" spans="1:32" ht="62.25" customHeight="1" x14ac:dyDescent="0.3">
      <c r="A160" s="368" t="s">
        <v>803</v>
      </c>
      <c r="B160" s="884" t="s">
        <v>2816</v>
      </c>
      <c r="C160" s="884"/>
      <c r="D160" s="884"/>
      <c r="E160" s="884"/>
      <c r="F160" s="884"/>
      <c r="G160" s="884"/>
      <c r="H160" s="884"/>
      <c r="I160" s="884"/>
      <c r="J160" s="884"/>
      <c r="K160" s="884"/>
      <c r="L160" s="884"/>
      <c r="M160" s="884"/>
      <c r="N160" s="884"/>
      <c r="O160" s="884"/>
      <c r="P160" s="884"/>
      <c r="Q160" s="884"/>
      <c r="R160" s="884"/>
      <c r="S160" s="884"/>
      <c r="T160" s="884"/>
      <c r="U160" s="884"/>
      <c r="V160" s="884"/>
      <c r="W160" s="884"/>
      <c r="X160" s="884"/>
      <c r="Y160" s="884"/>
      <c r="Z160" s="884"/>
      <c r="AA160" s="884"/>
      <c r="AB160" s="884"/>
      <c r="AC160" s="884"/>
      <c r="AD160" s="884"/>
      <c r="AE160" s="884"/>
      <c r="AF160" s="884"/>
    </row>
    <row r="161" spans="1:32" ht="48" customHeight="1" x14ac:dyDescent="0.3">
      <c r="A161" s="370" t="s">
        <v>803</v>
      </c>
      <c r="B161" s="884" t="s">
        <v>1840</v>
      </c>
      <c r="C161" s="884"/>
      <c r="D161" s="884"/>
      <c r="E161" s="884"/>
      <c r="F161" s="884"/>
      <c r="G161" s="884"/>
      <c r="H161" s="884"/>
      <c r="I161" s="884"/>
      <c r="J161" s="884"/>
      <c r="K161" s="884"/>
      <c r="L161" s="884"/>
      <c r="M161" s="884"/>
      <c r="N161" s="884"/>
      <c r="O161" s="884"/>
      <c r="P161" s="884"/>
      <c r="Q161" s="884"/>
      <c r="R161" s="884"/>
      <c r="S161" s="884"/>
      <c r="T161" s="884"/>
      <c r="U161" s="884"/>
      <c r="V161" s="884"/>
      <c r="W161" s="884"/>
      <c r="X161" s="884"/>
      <c r="Y161" s="884"/>
      <c r="Z161" s="884"/>
      <c r="AA161" s="884"/>
      <c r="AB161" s="884"/>
      <c r="AC161" s="884"/>
      <c r="AD161" s="884"/>
      <c r="AE161" s="884"/>
      <c r="AF161" s="884"/>
    </row>
    <row r="162" spans="1:32" ht="63" customHeight="1" x14ac:dyDescent="0.3">
      <c r="A162" s="368" t="s">
        <v>803</v>
      </c>
      <c r="B162" s="884" t="s">
        <v>5600</v>
      </c>
      <c r="C162" s="884"/>
      <c r="D162" s="884"/>
      <c r="E162" s="884"/>
      <c r="F162" s="884"/>
      <c r="G162" s="884"/>
      <c r="H162" s="884"/>
      <c r="I162" s="884"/>
      <c r="J162" s="884"/>
      <c r="K162" s="884"/>
      <c r="L162" s="884"/>
      <c r="M162" s="884"/>
      <c r="N162" s="884"/>
      <c r="O162" s="884"/>
      <c r="P162" s="884"/>
      <c r="Q162" s="884"/>
      <c r="R162" s="884"/>
      <c r="S162" s="884"/>
      <c r="T162" s="884"/>
      <c r="U162" s="884"/>
      <c r="V162" s="884"/>
      <c r="W162" s="884"/>
      <c r="X162" s="884"/>
      <c r="Y162" s="884"/>
      <c r="Z162" s="884"/>
      <c r="AA162" s="884"/>
      <c r="AB162" s="884"/>
      <c r="AC162" s="884"/>
      <c r="AD162" s="884"/>
      <c r="AE162" s="884"/>
      <c r="AF162" s="884"/>
    </row>
    <row r="163" spans="1:32" ht="34.5" customHeight="1" x14ac:dyDescent="0.3">
      <c r="A163" s="368" t="s">
        <v>803</v>
      </c>
      <c r="B163" s="884" t="s">
        <v>5601</v>
      </c>
      <c r="C163" s="884"/>
      <c r="D163" s="884"/>
      <c r="E163" s="884"/>
      <c r="F163" s="884"/>
      <c r="G163" s="884"/>
      <c r="H163" s="884"/>
      <c r="I163" s="884"/>
      <c r="J163" s="884"/>
      <c r="K163" s="884"/>
      <c r="L163" s="884"/>
      <c r="M163" s="884"/>
      <c r="N163" s="884"/>
      <c r="O163" s="884"/>
      <c r="P163" s="884"/>
      <c r="Q163" s="884"/>
      <c r="R163" s="884"/>
      <c r="S163" s="884"/>
      <c r="T163" s="884"/>
      <c r="U163" s="884"/>
      <c r="V163" s="884"/>
      <c r="W163" s="884"/>
      <c r="X163" s="884"/>
      <c r="Y163" s="884"/>
      <c r="Z163" s="884"/>
      <c r="AA163" s="884"/>
      <c r="AB163" s="884"/>
      <c r="AC163" s="884"/>
      <c r="AD163" s="884"/>
      <c r="AE163" s="884"/>
      <c r="AF163" s="884"/>
    </row>
    <row r="164" spans="1:32" ht="61.5" customHeight="1" x14ac:dyDescent="0.3">
      <c r="A164" s="368" t="s">
        <v>803</v>
      </c>
      <c r="B164" s="884" t="s">
        <v>5602</v>
      </c>
      <c r="C164" s="884"/>
      <c r="D164" s="884"/>
      <c r="E164" s="884"/>
      <c r="F164" s="884"/>
      <c r="G164" s="884"/>
      <c r="H164" s="884"/>
      <c r="I164" s="884"/>
      <c r="J164" s="884"/>
      <c r="K164" s="884"/>
      <c r="L164" s="884"/>
      <c r="M164" s="884"/>
      <c r="N164" s="884"/>
      <c r="O164" s="884"/>
      <c r="P164" s="884"/>
      <c r="Q164" s="884"/>
      <c r="R164" s="884"/>
      <c r="S164" s="884"/>
      <c r="T164" s="884"/>
      <c r="U164" s="884"/>
      <c r="V164" s="884"/>
      <c r="W164" s="884"/>
      <c r="X164" s="884"/>
      <c r="Y164" s="884"/>
      <c r="Z164" s="884"/>
      <c r="AA164" s="884"/>
      <c r="AB164" s="884"/>
      <c r="AC164" s="884"/>
      <c r="AD164" s="884"/>
      <c r="AE164" s="884"/>
      <c r="AF164" s="884"/>
    </row>
    <row r="165" spans="1:32" ht="48.75" customHeight="1" x14ac:dyDescent="0.3">
      <c r="A165" s="368" t="s">
        <v>803</v>
      </c>
      <c r="B165" s="884" t="s">
        <v>5603</v>
      </c>
      <c r="C165" s="884"/>
      <c r="D165" s="884"/>
      <c r="E165" s="884"/>
      <c r="F165" s="884"/>
      <c r="G165" s="884"/>
      <c r="H165" s="884"/>
      <c r="I165" s="884"/>
      <c r="J165" s="884"/>
      <c r="K165" s="884"/>
      <c r="L165" s="884"/>
      <c r="M165" s="884"/>
      <c r="N165" s="884"/>
      <c r="O165" s="884"/>
      <c r="P165" s="884"/>
      <c r="Q165" s="884"/>
      <c r="R165" s="884"/>
      <c r="S165" s="884"/>
      <c r="T165" s="884"/>
      <c r="U165" s="884"/>
      <c r="V165" s="884"/>
      <c r="W165" s="884"/>
      <c r="X165" s="884"/>
      <c r="Y165" s="884"/>
      <c r="Z165" s="884"/>
      <c r="AA165" s="884"/>
      <c r="AB165" s="884"/>
      <c r="AC165" s="884"/>
      <c r="AD165" s="884"/>
      <c r="AE165" s="884"/>
      <c r="AF165" s="884"/>
    </row>
    <row r="166" spans="1:32" ht="63" customHeight="1" x14ac:dyDescent="0.3">
      <c r="A166" s="368" t="s">
        <v>803</v>
      </c>
      <c r="B166" s="953" t="s">
        <v>5604</v>
      </c>
      <c r="C166" s="953"/>
      <c r="D166" s="953"/>
      <c r="E166" s="953"/>
      <c r="F166" s="953"/>
      <c r="G166" s="953"/>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row>
    <row r="167" spans="1:32" ht="49.5" customHeight="1" x14ac:dyDescent="0.3">
      <c r="A167" s="368" t="s">
        <v>803</v>
      </c>
      <c r="B167" s="884" t="s">
        <v>5605</v>
      </c>
      <c r="C167" s="884"/>
      <c r="D167" s="884"/>
      <c r="E167" s="884"/>
      <c r="F167" s="884"/>
      <c r="G167" s="884"/>
      <c r="H167" s="884"/>
      <c r="I167" s="884"/>
      <c r="J167" s="884"/>
      <c r="K167" s="884"/>
      <c r="L167" s="884"/>
      <c r="M167" s="884"/>
      <c r="N167" s="884"/>
      <c r="O167" s="884"/>
      <c r="P167" s="884"/>
      <c r="Q167" s="884"/>
      <c r="R167" s="884"/>
      <c r="S167" s="884"/>
      <c r="T167" s="884"/>
      <c r="U167" s="884"/>
      <c r="V167" s="884"/>
      <c r="W167" s="884"/>
      <c r="X167" s="884"/>
      <c r="Y167" s="884"/>
      <c r="Z167" s="884"/>
      <c r="AA167" s="884"/>
      <c r="AB167" s="884"/>
      <c r="AC167" s="884"/>
      <c r="AD167" s="884"/>
      <c r="AE167" s="884"/>
      <c r="AF167" s="884"/>
    </row>
  </sheetData>
  <sheetProtection algorithmName="SHA-512" hashValue="LFxCcMbG8fX6OBYaGlLA9oClLwV6M/oLFZbNZCLddfMxjooYL4aHyktts1F/7D7++8gJm1s2KOrd1DP3YNqIFA==" saltValue="FJ3uy1YpQpyiSA8+lUX75A==" spinCount="100000" sheet="1" objects="1" scenarios="1"/>
  <mergeCells count="336">
    <mergeCell ref="B163:AF163"/>
    <mergeCell ref="B164:AF164"/>
    <mergeCell ref="B165:AF165"/>
    <mergeCell ref="B166:AF166"/>
    <mergeCell ref="B167:AF167"/>
    <mergeCell ref="A156:AF156"/>
    <mergeCell ref="B158:AF158"/>
    <mergeCell ref="B159:AF159"/>
    <mergeCell ref="B160:AF160"/>
    <mergeCell ref="B161:AF161"/>
    <mergeCell ref="B162:AF162"/>
    <mergeCell ref="A153:H153"/>
    <mergeCell ref="I153:L153"/>
    <mergeCell ref="M153:P153"/>
    <mergeCell ref="Q153:T153"/>
    <mergeCell ref="U153:X153"/>
    <mergeCell ref="Y153:AF153"/>
    <mergeCell ref="A152:H152"/>
    <mergeCell ref="I152:L152"/>
    <mergeCell ref="M152:P152"/>
    <mergeCell ref="Q152:T152"/>
    <mergeCell ref="U152:X152"/>
    <mergeCell ref="Y152:AF152"/>
    <mergeCell ref="A151:H151"/>
    <mergeCell ref="I151:L151"/>
    <mergeCell ref="M151:P151"/>
    <mergeCell ref="Q151:T151"/>
    <mergeCell ref="U151:X151"/>
    <mergeCell ref="Y151:AF151"/>
    <mergeCell ref="A150:H150"/>
    <mergeCell ref="I150:L150"/>
    <mergeCell ref="M150:P150"/>
    <mergeCell ref="Q150:T150"/>
    <mergeCell ref="U150:X150"/>
    <mergeCell ref="Y150:AF150"/>
    <mergeCell ref="A149:H149"/>
    <mergeCell ref="I149:L149"/>
    <mergeCell ref="M149:P149"/>
    <mergeCell ref="Q149:T149"/>
    <mergeCell ref="U149:X149"/>
    <mergeCell ref="Y149:AF149"/>
    <mergeCell ref="A148:H148"/>
    <mergeCell ref="I148:L148"/>
    <mergeCell ref="M148:P148"/>
    <mergeCell ref="Q148:T148"/>
    <mergeCell ref="U148:X148"/>
    <mergeCell ref="Y148:AF148"/>
    <mergeCell ref="A147:H147"/>
    <mergeCell ref="I147:L147"/>
    <mergeCell ref="M147:P147"/>
    <mergeCell ref="Q147:T147"/>
    <mergeCell ref="U147:X147"/>
    <mergeCell ref="Y147:AF147"/>
    <mergeCell ref="A146:H146"/>
    <mergeCell ref="I146:L146"/>
    <mergeCell ref="M146:P146"/>
    <mergeCell ref="Q146:T146"/>
    <mergeCell ref="U146:X146"/>
    <mergeCell ref="Y146:AF146"/>
    <mergeCell ref="A145:H145"/>
    <mergeCell ref="I145:L145"/>
    <mergeCell ref="M145:P145"/>
    <mergeCell ref="Q145:T145"/>
    <mergeCell ref="U145:X145"/>
    <mergeCell ref="Y145:AF145"/>
    <mergeCell ref="A144:H144"/>
    <mergeCell ref="I144:L144"/>
    <mergeCell ref="M144:P144"/>
    <mergeCell ref="Q144:T144"/>
    <mergeCell ref="U144:X144"/>
    <mergeCell ref="Y144:AF144"/>
    <mergeCell ref="A143:H143"/>
    <mergeCell ref="I143:L143"/>
    <mergeCell ref="M143:P143"/>
    <mergeCell ref="Q143:T143"/>
    <mergeCell ref="U143:X143"/>
    <mergeCell ref="Y143:AF143"/>
    <mergeCell ref="A141:H142"/>
    <mergeCell ref="I141:P141"/>
    <mergeCell ref="Q141:X141"/>
    <mergeCell ref="Y141:AF142"/>
    <mergeCell ref="I142:L142"/>
    <mergeCell ref="M142:P142"/>
    <mergeCell ref="Q142:T142"/>
    <mergeCell ref="U142:X142"/>
    <mergeCell ref="A133:H133"/>
    <mergeCell ref="I133:P133"/>
    <mergeCell ref="Q133:X133"/>
    <mergeCell ref="Y133:AF133"/>
    <mergeCell ref="A134:H134"/>
    <mergeCell ref="I134:P134"/>
    <mergeCell ref="Q134:X134"/>
    <mergeCell ref="Y134:AF134"/>
    <mergeCell ref="A131:H131"/>
    <mergeCell ref="I131:P131"/>
    <mergeCell ref="Q131:X131"/>
    <mergeCell ref="Y131:AF131"/>
    <mergeCell ref="A132:H132"/>
    <mergeCell ref="I132:P132"/>
    <mergeCell ref="Q132:X132"/>
    <mergeCell ref="Y132:AF132"/>
    <mergeCell ref="A129:H129"/>
    <mergeCell ref="I129:P129"/>
    <mergeCell ref="Q129:X129"/>
    <mergeCell ref="Y129:AF129"/>
    <mergeCell ref="A130:H130"/>
    <mergeCell ref="I130:P130"/>
    <mergeCell ref="Q130:X130"/>
    <mergeCell ref="Y130:AF130"/>
    <mergeCell ref="A127:H127"/>
    <mergeCell ref="I127:P127"/>
    <mergeCell ref="Q127:X127"/>
    <mergeCell ref="Y127:AF127"/>
    <mergeCell ref="A128:H128"/>
    <mergeCell ref="I128:P128"/>
    <mergeCell ref="Q128:X128"/>
    <mergeCell ref="Y128:AF128"/>
    <mergeCell ref="A125:H125"/>
    <mergeCell ref="I125:P125"/>
    <mergeCell ref="Q125:X125"/>
    <mergeCell ref="Y125:AF125"/>
    <mergeCell ref="A126:H126"/>
    <mergeCell ref="I126:P126"/>
    <mergeCell ref="Q126:X126"/>
    <mergeCell ref="Y126:AF126"/>
    <mergeCell ref="D121:H121"/>
    <mergeCell ref="A123:H123"/>
    <mergeCell ref="I123:P123"/>
    <mergeCell ref="Q123:X123"/>
    <mergeCell ref="Y123:AF123"/>
    <mergeCell ref="A124:H124"/>
    <mergeCell ref="I124:P124"/>
    <mergeCell ref="Q124:X124"/>
    <mergeCell ref="Y124:AF124"/>
    <mergeCell ref="A115:H115"/>
    <mergeCell ref="I115:P115"/>
    <mergeCell ref="Q115:X115"/>
    <mergeCell ref="Y115:AF115"/>
    <mergeCell ref="A116:H116"/>
    <mergeCell ref="I116:P116"/>
    <mergeCell ref="Q116:X116"/>
    <mergeCell ref="Y116:AF116"/>
    <mergeCell ref="A113:H113"/>
    <mergeCell ref="I113:P113"/>
    <mergeCell ref="Q113:X113"/>
    <mergeCell ref="Y113:AF113"/>
    <mergeCell ref="A114:H114"/>
    <mergeCell ref="I114:P114"/>
    <mergeCell ref="Q114:X114"/>
    <mergeCell ref="Y114:AF114"/>
    <mergeCell ref="A111:H111"/>
    <mergeCell ref="I111:P111"/>
    <mergeCell ref="Q111:X111"/>
    <mergeCell ref="Y111:AF111"/>
    <mergeCell ref="A112:H112"/>
    <mergeCell ref="I112:P112"/>
    <mergeCell ref="Q112:X112"/>
    <mergeCell ref="Y112:AF112"/>
    <mergeCell ref="A109:H109"/>
    <mergeCell ref="I109:P109"/>
    <mergeCell ref="Q109:X109"/>
    <mergeCell ref="Y109:AF109"/>
    <mergeCell ref="A110:H110"/>
    <mergeCell ref="I110:P110"/>
    <mergeCell ref="Q110:X110"/>
    <mergeCell ref="Y110:AF110"/>
    <mergeCell ref="A107:H107"/>
    <mergeCell ref="I107:P107"/>
    <mergeCell ref="Q107:X107"/>
    <mergeCell ref="Y107:AF107"/>
    <mergeCell ref="A108:H108"/>
    <mergeCell ref="I108:P108"/>
    <mergeCell ref="Q108:X108"/>
    <mergeCell ref="Y108:AF108"/>
    <mergeCell ref="A99:AF99"/>
    <mergeCell ref="A105:H105"/>
    <mergeCell ref="I105:P105"/>
    <mergeCell ref="Q105:X105"/>
    <mergeCell ref="Y105:AF105"/>
    <mergeCell ref="A106:H106"/>
    <mergeCell ref="I106:P106"/>
    <mergeCell ref="Q106:X106"/>
    <mergeCell ref="Y106:AF106"/>
    <mergeCell ref="A97:H97"/>
    <mergeCell ref="I97:L97"/>
    <mergeCell ref="M97:P97"/>
    <mergeCell ref="Q97:T97"/>
    <mergeCell ref="U97:X97"/>
    <mergeCell ref="Y97:AB97"/>
    <mergeCell ref="A96:H96"/>
    <mergeCell ref="I96:L96"/>
    <mergeCell ref="M96:P96"/>
    <mergeCell ref="Q96:T96"/>
    <mergeCell ref="U96:X96"/>
    <mergeCell ref="Y96:AB96"/>
    <mergeCell ref="A95:H95"/>
    <mergeCell ref="I95:L95"/>
    <mergeCell ref="M95:P95"/>
    <mergeCell ref="Q95:T95"/>
    <mergeCell ref="U95:X95"/>
    <mergeCell ref="Y95:AB95"/>
    <mergeCell ref="A94:H94"/>
    <mergeCell ref="I94:L94"/>
    <mergeCell ref="M94:P94"/>
    <mergeCell ref="Q94:T94"/>
    <mergeCell ref="U94:X94"/>
    <mergeCell ref="Y94:AB94"/>
    <mergeCell ref="A93:H93"/>
    <mergeCell ref="I93:L93"/>
    <mergeCell ref="M93:P93"/>
    <mergeCell ref="Q93:T93"/>
    <mergeCell ref="U93:X93"/>
    <mergeCell ref="Y93:AB93"/>
    <mergeCell ref="A92:H92"/>
    <mergeCell ref="I92:L92"/>
    <mergeCell ref="M92:P92"/>
    <mergeCell ref="Q92:T92"/>
    <mergeCell ref="U92:X92"/>
    <mergeCell ref="Y92:AB92"/>
    <mergeCell ref="A91:H91"/>
    <mergeCell ref="I91:L91"/>
    <mergeCell ref="M91:P91"/>
    <mergeCell ref="Q91:T91"/>
    <mergeCell ref="U91:X91"/>
    <mergeCell ref="Y91:AB91"/>
    <mergeCell ref="A90:H90"/>
    <mergeCell ref="I90:L90"/>
    <mergeCell ref="M90:P90"/>
    <mergeCell ref="Q90:T90"/>
    <mergeCell ref="U90:X90"/>
    <mergeCell ref="Y90:AB90"/>
    <mergeCell ref="A89:H89"/>
    <mergeCell ref="I89:L89"/>
    <mergeCell ref="M89:P89"/>
    <mergeCell ref="Q89:T89"/>
    <mergeCell ref="U89:X89"/>
    <mergeCell ref="Y89:AB89"/>
    <mergeCell ref="A88:H88"/>
    <mergeCell ref="I88:L88"/>
    <mergeCell ref="M88:P88"/>
    <mergeCell ref="Q88:T88"/>
    <mergeCell ref="U88:X88"/>
    <mergeCell ref="Y88:AB88"/>
    <mergeCell ref="Y86:AB86"/>
    <mergeCell ref="A87:H87"/>
    <mergeCell ref="I87:L87"/>
    <mergeCell ref="M87:P87"/>
    <mergeCell ref="Q87:T87"/>
    <mergeCell ref="U87:X87"/>
    <mergeCell ref="Y87:AB87"/>
    <mergeCell ref="A79:AF79"/>
    <mergeCell ref="A80:AF80"/>
    <mergeCell ref="A81:AF81"/>
    <mergeCell ref="A82:AF82"/>
    <mergeCell ref="A83:AF83"/>
    <mergeCell ref="A86:H86"/>
    <mergeCell ref="I86:L86"/>
    <mergeCell ref="M86:P86"/>
    <mergeCell ref="Q86:T86"/>
    <mergeCell ref="U86:X86"/>
    <mergeCell ref="A77:D77"/>
    <mergeCell ref="E77:P77"/>
    <mergeCell ref="Q77:T77"/>
    <mergeCell ref="U77:V77"/>
    <mergeCell ref="W77:AF77"/>
    <mergeCell ref="A78:AF78"/>
    <mergeCell ref="A75:D75"/>
    <mergeCell ref="E75:P75"/>
    <mergeCell ref="Q75:T75"/>
    <mergeCell ref="U75:V75"/>
    <mergeCell ref="W75:AF75"/>
    <mergeCell ref="A76:D76"/>
    <mergeCell ref="E76:P76"/>
    <mergeCell ref="Q76:T76"/>
    <mergeCell ref="U76:V76"/>
    <mergeCell ref="W76:AF76"/>
    <mergeCell ref="A73:D73"/>
    <mergeCell ref="E73:P73"/>
    <mergeCell ref="Q73:T73"/>
    <mergeCell ref="U73:V73"/>
    <mergeCell ref="W73:AF74"/>
    <mergeCell ref="A74:D74"/>
    <mergeCell ref="E74:P74"/>
    <mergeCell ref="Q74:T74"/>
    <mergeCell ref="U74:V74"/>
    <mergeCell ref="A71:D71"/>
    <mergeCell ref="E71:P71"/>
    <mergeCell ref="Q71:T71"/>
    <mergeCell ref="U71:V71"/>
    <mergeCell ref="W71:AF71"/>
    <mergeCell ref="A72:D72"/>
    <mergeCell ref="E72:P72"/>
    <mergeCell ref="Q72:T72"/>
    <mergeCell ref="U72:V72"/>
    <mergeCell ref="W72:AF72"/>
    <mergeCell ref="A69:D69"/>
    <mergeCell ref="E69:P69"/>
    <mergeCell ref="Q69:T69"/>
    <mergeCell ref="U69:V69"/>
    <mergeCell ref="W69:AF69"/>
    <mergeCell ref="A70:D70"/>
    <mergeCell ref="E70:P70"/>
    <mergeCell ref="Q70:T70"/>
    <mergeCell ref="U70:V70"/>
    <mergeCell ref="W70:AF70"/>
    <mergeCell ref="A67:D67"/>
    <mergeCell ref="E67:P67"/>
    <mergeCell ref="Q67:T67"/>
    <mergeCell ref="U67:V67"/>
    <mergeCell ref="W67:AF67"/>
    <mergeCell ref="A68:D68"/>
    <mergeCell ref="E68:P68"/>
    <mergeCell ref="Q68:T68"/>
    <mergeCell ref="U68:V68"/>
    <mergeCell ref="W68:AF68"/>
    <mergeCell ref="B21:AF21"/>
    <mergeCell ref="B24:AF24"/>
    <mergeCell ref="A26:AF26"/>
    <mergeCell ref="A65:AF65"/>
    <mergeCell ref="A66:D66"/>
    <mergeCell ref="E66:P66"/>
    <mergeCell ref="Q66:T66"/>
    <mergeCell ref="U66:V66"/>
    <mergeCell ref="W66:AF66"/>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2B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52 AF58:AF62" numberStoredAsText="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5">
    <tabColor theme="4" tint="0.59999389629810485"/>
    <pageSetUpPr autoPageBreaks="0"/>
  </sheetPr>
  <dimension ref="A1:AP86"/>
  <sheetViews>
    <sheetView zoomScaleNormal="100" workbookViewId="0">
      <selection sqref="A1:AF1"/>
    </sheetView>
  </sheetViews>
  <sheetFormatPr defaultColWidth="2.6640625" defaultRowHeight="14.4" x14ac:dyDescent="0.3"/>
  <cols>
    <col min="1" max="1" width="2.6640625" style="8"/>
    <col min="2" max="3" width="2.6640625" style="8" customWidth="1"/>
    <col min="4" max="4" width="2.6640625" style="8"/>
    <col min="5" max="8" width="2.6640625" style="8" customWidth="1"/>
    <col min="9" max="9" width="2.88671875" style="8" customWidth="1"/>
    <col min="10" max="10" width="2.6640625" style="8"/>
    <col min="11" max="12" width="2.6640625" style="8" customWidth="1"/>
    <col min="13" max="14" width="2.6640625" style="8"/>
    <col min="15" max="16" width="2.6640625" style="8" customWidth="1"/>
    <col min="17" max="18" width="2.6640625" style="8"/>
    <col min="19" max="20" width="2.6640625" style="8" customWidth="1"/>
    <col min="21" max="21" width="2.6640625" style="8"/>
    <col min="22" max="24" width="2.6640625" style="8" customWidth="1"/>
    <col min="25" max="26" width="2.6640625" style="8"/>
    <col min="27" max="32" width="2.6640625" style="8" customWidth="1"/>
    <col min="33" max="34" width="2.6640625" style="8"/>
    <col min="35" max="35" width="2.6640625" style="8" customWidth="1"/>
    <col min="36" max="38" width="2.6640625" style="8"/>
    <col min="39" max="39" width="2.6640625" style="8" customWidth="1"/>
    <col min="40" max="41" width="2.6640625" style="8"/>
    <col min="42" max="43" width="2.6640625" style="8" customWidth="1"/>
    <col min="44" max="44" width="2.6640625" style="8"/>
    <col min="45" max="45" width="2.6640625" style="8" customWidth="1"/>
    <col min="46" max="46" width="2.6640625" style="8"/>
    <col min="47" max="47" width="2.6640625" style="8" customWidth="1"/>
    <col min="48" max="48" width="2.6640625" style="8"/>
    <col min="49" max="51" width="2.6640625" style="8" customWidth="1"/>
    <col min="52" max="53" width="2.6640625" style="8"/>
    <col min="54" max="54" width="2.6640625" style="8" customWidth="1"/>
    <col min="55" max="56" width="2.6640625" style="8"/>
    <col min="57" max="57" width="2.6640625" style="8" customWidth="1"/>
    <col min="58" max="60" width="2.6640625" style="8"/>
    <col min="61" max="66" width="2.6640625" style="8" customWidth="1"/>
    <col min="67" max="74" width="2.6640625" style="8"/>
    <col min="75" max="75" width="2.6640625" style="8" customWidth="1"/>
    <col min="76" max="16384" width="2.6640625" style="8"/>
  </cols>
  <sheetData>
    <row r="1" spans="1:32" s="1" customFormat="1" ht="18" x14ac:dyDescent="0.3">
      <c r="A1" s="1131" t="s">
        <v>1809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3">
      <c r="A5" s="121"/>
      <c r="B5" s="1258" t="s">
        <v>5763</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s="1" customFormat="1"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ht="14.4" customHeigh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ht="14.4" customHeigh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ht="14.4" customHeight="1" x14ac:dyDescent="0.3">
      <c r="B9" s="1144" t="s">
        <v>3</v>
      </c>
      <c r="C9" s="1144"/>
      <c r="D9" s="1144"/>
      <c r="E9" s="1144"/>
      <c r="F9" s="1144"/>
      <c r="G9" s="1144"/>
      <c r="H9" s="1144"/>
      <c r="I9" s="1144"/>
    </row>
    <row r="10" spans="1:32" s="1" customFormat="1" ht="48" customHeight="1" x14ac:dyDescent="0.3">
      <c r="A10" s="4"/>
      <c r="B10" s="872" t="s">
        <v>2959</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1" spans="1:32" s="1" customFormat="1" ht="14.4" customHeight="1" x14ac:dyDescent="0.3"/>
    <row r="12" spans="1:32" s="1" customFormat="1" ht="14.4" customHeight="1" x14ac:dyDescent="0.3">
      <c r="B12" s="1144" t="s">
        <v>4</v>
      </c>
      <c r="C12" s="1144"/>
      <c r="D12" s="1144"/>
      <c r="E12" s="1144"/>
      <c r="F12" s="1144"/>
      <c r="G12" s="1144"/>
      <c r="H12" s="1144"/>
      <c r="I12" s="1144"/>
    </row>
    <row r="13" spans="1:32" s="1" customFormat="1" ht="46.5" customHeight="1" x14ac:dyDescent="0.3">
      <c r="B13" s="872" t="s">
        <v>1823</v>
      </c>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row>
    <row r="14" spans="1:32" s="1" customFormat="1"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s="1" customFormat="1" ht="14.4" customHeight="1" x14ac:dyDescent="0.3">
      <c r="B15" s="1144" t="s">
        <v>5</v>
      </c>
      <c r="C15" s="1144"/>
      <c r="D15" s="1144"/>
      <c r="E15" s="1144"/>
      <c r="F15" s="1144"/>
      <c r="G15" s="1144"/>
      <c r="H15" s="1144"/>
      <c r="I15" s="1144"/>
    </row>
    <row r="16" spans="1:32" s="1" customFormat="1" ht="14.4" customHeight="1" x14ac:dyDescent="0.3">
      <c r="B16" s="1142" t="s">
        <v>3310</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s="1" customFormat="1" ht="14.4" customHeight="1" x14ac:dyDescent="0.3"/>
    <row r="18" spans="1:32" s="1" customFormat="1" ht="14.4" customHeight="1" x14ac:dyDescent="0.3">
      <c r="B18" s="1144" t="s">
        <v>6</v>
      </c>
      <c r="C18" s="1144"/>
      <c r="D18" s="1144"/>
      <c r="E18" s="1144"/>
      <c r="F18" s="1144"/>
      <c r="G18" s="1144"/>
      <c r="H18" s="1144"/>
      <c r="I18" s="1144"/>
    </row>
    <row r="19" spans="1:32" s="1" customFormat="1" x14ac:dyDescent="0.3">
      <c r="B19" s="872" t="s">
        <v>1810</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32" s="1" customFormat="1" x14ac:dyDescent="0.3">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row>
    <row r="21" spans="1:32" s="1" customFormat="1" ht="14.4" customHeight="1" x14ac:dyDescent="0.3">
      <c r="B21" s="51" t="s">
        <v>13</v>
      </c>
      <c r="C21" s="51"/>
      <c r="D21" s="51"/>
      <c r="E21" s="51"/>
      <c r="F21" s="51"/>
      <c r="G21" s="51"/>
      <c r="H21" s="51"/>
      <c r="I21" s="51"/>
      <c r="J21" s="51"/>
    </row>
    <row r="22" spans="1:32" s="1" customFormat="1" ht="45.75" customHeight="1" x14ac:dyDescent="0.3">
      <c r="B22" s="1258" t="s">
        <v>5773</v>
      </c>
      <c r="C22" s="1372"/>
      <c r="D22" s="1372"/>
      <c r="E22" s="1372"/>
      <c r="F22" s="1372"/>
      <c r="G22" s="1372"/>
      <c r="H22" s="1372"/>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row>
    <row r="23" spans="1:32" s="1" customFormat="1" ht="14.4" customHeight="1" x14ac:dyDescent="0.3">
      <c r="A23" s="228"/>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1:32" s="1" customFormat="1"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5" spans="1:32" s="1" customFormat="1" x14ac:dyDescent="0.3">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32" s="1" customFormat="1" x14ac:dyDescent="0.3">
      <c r="A26" s="3"/>
      <c r="B26" s="231" t="s">
        <v>2137</v>
      </c>
    </row>
    <row r="27" spans="1:32" s="1" customFormat="1" x14ac:dyDescent="0.3">
      <c r="A27" s="3"/>
    </row>
    <row r="28" spans="1:32" s="1" customFormat="1" x14ac:dyDescent="0.3">
      <c r="A28" s="3"/>
      <c r="AF28" s="71" t="s">
        <v>1463</v>
      </c>
    </row>
    <row r="29" spans="1:32" s="1" customFormat="1" x14ac:dyDescent="0.3">
      <c r="A29" s="3"/>
      <c r="AF29" s="71"/>
    </row>
    <row r="30" spans="1:32" s="1" customFormat="1" x14ac:dyDescent="0.3">
      <c r="A30" s="3"/>
      <c r="B30" s="51" t="s">
        <v>2027</v>
      </c>
    </row>
    <row r="31" spans="1:32" s="1" customFormat="1" x14ac:dyDescent="0.3">
      <c r="A31" s="3"/>
    </row>
    <row r="32" spans="1:32" s="1" customFormat="1" x14ac:dyDescent="0.3">
      <c r="A32" s="3"/>
      <c r="AF32" s="71" t="s">
        <v>1464</v>
      </c>
    </row>
    <row r="33" spans="1:32" s="1" customFormat="1" x14ac:dyDescent="0.3">
      <c r="A33" s="3"/>
    </row>
    <row r="34" spans="1:32" s="1" customFormat="1" x14ac:dyDescent="0.3">
      <c r="A34" s="3"/>
      <c r="B34" s="51" t="s">
        <v>1811</v>
      </c>
      <c r="AF34" s="71"/>
    </row>
    <row r="35" spans="1:32" s="1" customFormat="1" x14ac:dyDescent="0.3">
      <c r="A35" s="3"/>
      <c r="AF35" s="71"/>
    </row>
    <row r="36" spans="1:32" s="1" customFormat="1" x14ac:dyDescent="0.3">
      <c r="A36" s="3"/>
      <c r="AF36" s="71" t="s">
        <v>1465</v>
      </c>
    </row>
    <row r="37" spans="1:32" s="1" customFormat="1" x14ac:dyDescent="0.3">
      <c r="A37" s="3"/>
      <c r="AF37" s="71"/>
    </row>
    <row r="38" spans="1:32" s="1" customFormat="1" x14ac:dyDescent="0.3">
      <c r="A38" s="1141" t="s">
        <v>8</v>
      </c>
      <c r="B38" s="1141"/>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row>
    <row r="39" spans="1:32" s="1" customFormat="1" x14ac:dyDescent="0.3">
      <c r="A39" s="1143" t="s">
        <v>9</v>
      </c>
      <c r="B39" s="1143"/>
      <c r="C39" s="1143"/>
      <c r="D39" s="1143"/>
      <c r="E39" s="1143" t="s">
        <v>3</v>
      </c>
      <c r="F39" s="1143"/>
      <c r="G39" s="1143"/>
      <c r="H39" s="1143"/>
      <c r="I39" s="1143"/>
      <c r="J39" s="1143"/>
      <c r="K39" s="1143"/>
      <c r="L39" s="1143"/>
      <c r="M39" s="1143"/>
      <c r="N39" s="1143"/>
      <c r="O39" s="1143"/>
      <c r="P39" s="1143"/>
      <c r="Q39" s="1143" t="s">
        <v>10</v>
      </c>
      <c r="R39" s="1143"/>
      <c r="S39" s="1143"/>
      <c r="T39" s="1143"/>
      <c r="U39" s="1143" t="s">
        <v>11</v>
      </c>
      <c r="V39" s="1143"/>
      <c r="W39" s="1143" t="s">
        <v>1466</v>
      </c>
      <c r="X39" s="1143"/>
      <c r="Y39" s="1143"/>
      <c r="Z39" s="1143"/>
      <c r="AA39" s="1143"/>
      <c r="AB39" s="1143"/>
      <c r="AC39" s="1143"/>
      <c r="AD39" s="1143"/>
      <c r="AE39" s="1143"/>
      <c r="AF39" s="1143"/>
    </row>
    <row r="40" spans="1:32" s="1" customFormat="1" ht="28.95" customHeight="1" x14ac:dyDescent="0.3">
      <c r="A40" s="1154" t="s">
        <v>2028</v>
      </c>
      <c r="B40" s="1155" t="s">
        <v>272</v>
      </c>
      <c r="C40" s="1155" t="s">
        <v>272</v>
      </c>
      <c r="D40" s="1156" t="s">
        <v>272</v>
      </c>
      <c r="E40" s="2136" t="s">
        <v>832</v>
      </c>
      <c r="F40" s="2136" t="s">
        <v>232</v>
      </c>
      <c r="G40" s="2136" t="s">
        <v>232</v>
      </c>
      <c r="H40" s="2136" t="s">
        <v>232</v>
      </c>
      <c r="I40" s="2136" t="s">
        <v>232</v>
      </c>
      <c r="J40" s="2136" t="s">
        <v>232</v>
      </c>
      <c r="K40" s="2136" t="s">
        <v>232</v>
      </c>
      <c r="L40" s="2136" t="s">
        <v>232</v>
      </c>
      <c r="M40" s="2136" t="s">
        <v>232</v>
      </c>
      <c r="N40" s="2136" t="s">
        <v>232</v>
      </c>
      <c r="O40" s="2136" t="s">
        <v>232</v>
      </c>
      <c r="P40" s="2136" t="s">
        <v>232</v>
      </c>
      <c r="Q40" s="2137" t="s">
        <v>516</v>
      </c>
      <c r="R40" s="2138" t="s">
        <v>229</v>
      </c>
      <c r="S40" s="2138" t="s">
        <v>229</v>
      </c>
      <c r="T40" s="2139" t="s">
        <v>229</v>
      </c>
      <c r="U40" s="1275" t="s">
        <v>18</v>
      </c>
      <c r="V40" s="1275"/>
      <c r="W40" s="1148" t="s">
        <v>1812</v>
      </c>
      <c r="X40" s="1149"/>
      <c r="Y40" s="1149"/>
      <c r="Z40" s="1149"/>
      <c r="AA40" s="1149"/>
      <c r="AB40" s="1149"/>
      <c r="AC40" s="1149"/>
      <c r="AD40" s="1149"/>
      <c r="AE40" s="1149"/>
      <c r="AF40" s="1150"/>
    </row>
    <row r="41" spans="1:32" s="1" customFormat="1" ht="48" customHeight="1" x14ac:dyDescent="0.3">
      <c r="A41" s="1154" t="s">
        <v>1950</v>
      </c>
      <c r="B41" s="1155" t="s">
        <v>518</v>
      </c>
      <c r="C41" s="1155" t="s">
        <v>518</v>
      </c>
      <c r="D41" s="1156" t="s">
        <v>518</v>
      </c>
      <c r="E41" s="2136" t="s">
        <v>833</v>
      </c>
      <c r="F41" s="2136" t="s">
        <v>233</v>
      </c>
      <c r="G41" s="2136" t="s">
        <v>233</v>
      </c>
      <c r="H41" s="2136" t="s">
        <v>233</v>
      </c>
      <c r="I41" s="2136" t="s">
        <v>233</v>
      </c>
      <c r="J41" s="2136" t="s">
        <v>233</v>
      </c>
      <c r="K41" s="2136" t="s">
        <v>233</v>
      </c>
      <c r="L41" s="2136" t="s">
        <v>233</v>
      </c>
      <c r="M41" s="2136" t="s">
        <v>233</v>
      </c>
      <c r="N41" s="2136" t="s">
        <v>233</v>
      </c>
      <c r="O41" s="2136" t="s">
        <v>233</v>
      </c>
      <c r="P41" s="2136" t="s">
        <v>233</v>
      </c>
      <c r="Q41" s="2137" t="s">
        <v>516</v>
      </c>
      <c r="R41" s="2138"/>
      <c r="S41" s="2138"/>
      <c r="T41" s="2139"/>
      <c r="U41" s="1275" t="s">
        <v>18</v>
      </c>
      <c r="V41" s="1275"/>
      <c r="W41" s="1148" t="s">
        <v>1590</v>
      </c>
      <c r="X41" s="1149"/>
      <c r="Y41" s="1149"/>
      <c r="Z41" s="1149"/>
      <c r="AA41" s="1149"/>
      <c r="AB41" s="1149"/>
      <c r="AC41" s="1149"/>
      <c r="AD41" s="1149"/>
      <c r="AE41" s="1149"/>
      <c r="AF41" s="1150"/>
    </row>
    <row r="42" spans="1:32" s="1" customFormat="1" ht="31.5" customHeight="1" x14ac:dyDescent="0.3">
      <c r="A42" s="1154" t="s">
        <v>1522</v>
      </c>
      <c r="B42" s="1155"/>
      <c r="C42" s="1155"/>
      <c r="D42" s="1156"/>
      <c r="E42" s="2136" t="s">
        <v>1523</v>
      </c>
      <c r="F42" s="2136"/>
      <c r="G42" s="2136"/>
      <c r="H42" s="2136"/>
      <c r="I42" s="2136"/>
      <c r="J42" s="2136"/>
      <c r="K42" s="2136"/>
      <c r="L42" s="2136"/>
      <c r="M42" s="2136"/>
      <c r="N42" s="2136"/>
      <c r="O42" s="2136"/>
      <c r="P42" s="2136"/>
      <c r="Q42" s="2143">
        <v>1</v>
      </c>
      <c r="R42" s="2144"/>
      <c r="S42" s="2144"/>
      <c r="T42" s="2145"/>
      <c r="U42" s="2146" t="s">
        <v>20</v>
      </c>
      <c r="V42" s="1275"/>
      <c r="W42" s="1148" t="s">
        <v>1518</v>
      </c>
      <c r="X42" s="1149"/>
      <c r="Y42" s="1149"/>
      <c r="Z42" s="1149"/>
      <c r="AA42" s="1149"/>
      <c r="AB42" s="1149"/>
      <c r="AC42" s="1149"/>
      <c r="AD42" s="1149"/>
      <c r="AE42" s="1149"/>
      <c r="AF42" s="1150"/>
    </row>
    <row r="43" spans="1:32" s="1" customFormat="1" ht="66.75" customHeight="1" x14ac:dyDescent="0.3">
      <c r="A43" s="1154" t="s">
        <v>21</v>
      </c>
      <c r="B43" s="1155"/>
      <c r="C43" s="1155"/>
      <c r="D43" s="1156"/>
      <c r="E43" s="2136" t="s">
        <v>1460</v>
      </c>
      <c r="F43" s="2136"/>
      <c r="G43" s="2136"/>
      <c r="H43" s="2136"/>
      <c r="I43" s="2136"/>
      <c r="J43" s="2136"/>
      <c r="K43" s="2136"/>
      <c r="L43" s="2136"/>
      <c r="M43" s="2136"/>
      <c r="N43" s="2136"/>
      <c r="O43" s="2136"/>
      <c r="P43" s="2136"/>
      <c r="Q43" s="2143">
        <f>ROUND(2.47/4,2)</f>
        <v>0.62</v>
      </c>
      <c r="R43" s="2144"/>
      <c r="S43" s="2144"/>
      <c r="T43" s="2145"/>
      <c r="U43" s="2146" t="s">
        <v>20</v>
      </c>
      <c r="V43" s="1275"/>
      <c r="W43" s="1148" t="s">
        <v>1813</v>
      </c>
      <c r="X43" s="1149"/>
      <c r="Y43" s="1149"/>
      <c r="Z43" s="1149"/>
      <c r="AA43" s="1149"/>
      <c r="AB43" s="1149"/>
      <c r="AC43" s="1149"/>
      <c r="AD43" s="1149"/>
      <c r="AE43" s="1149"/>
      <c r="AF43" s="1150"/>
    </row>
    <row r="44" spans="1:32" s="1" customFormat="1" ht="28.95" customHeight="1" x14ac:dyDescent="0.3">
      <c r="A44" s="1154" t="s">
        <v>1957</v>
      </c>
      <c r="B44" s="1155"/>
      <c r="C44" s="1155"/>
      <c r="D44" s="1156"/>
      <c r="E44" s="2136" t="s">
        <v>1596</v>
      </c>
      <c r="F44" s="2136"/>
      <c r="G44" s="2136"/>
      <c r="H44" s="2136"/>
      <c r="I44" s="2136"/>
      <c r="J44" s="2136"/>
      <c r="K44" s="2136"/>
      <c r="L44" s="2136"/>
      <c r="M44" s="2136"/>
      <c r="N44" s="2136"/>
      <c r="O44" s="2136"/>
      <c r="P44" s="2136"/>
      <c r="Q44" s="2182">
        <v>4100</v>
      </c>
      <c r="R44" s="2182"/>
      <c r="S44" s="2182"/>
      <c r="T44" s="2182"/>
      <c r="U44" s="1275" t="s">
        <v>1597</v>
      </c>
      <c r="V44" s="1275"/>
      <c r="W44" s="1163" t="s">
        <v>1822</v>
      </c>
      <c r="X44" s="1164"/>
      <c r="Y44" s="1164"/>
      <c r="Z44" s="1164"/>
      <c r="AA44" s="1164"/>
      <c r="AB44" s="1164"/>
      <c r="AC44" s="1164"/>
      <c r="AD44" s="1164"/>
      <c r="AE44" s="1164"/>
      <c r="AF44" s="1165"/>
    </row>
    <row r="45" spans="1:32" s="1" customFormat="1" ht="28.95" customHeight="1" x14ac:dyDescent="0.3">
      <c r="A45" s="855" t="s">
        <v>34</v>
      </c>
      <c r="B45" s="855" t="s">
        <v>34</v>
      </c>
      <c r="C45" s="855" t="s">
        <v>34</v>
      </c>
      <c r="D45" s="855" t="s">
        <v>34</v>
      </c>
      <c r="E45" s="2136" t="s">
        <v>644</v>
      </c>
      <c r="F45" s="2136" t="s">
        <v>234</v>
      </c>
      <c r="G45" s="2136" t="s">
        <v>234</v>
      </c>
      <c r="H45" s="2136" t="s">
        <v>234</v>
      </c>
      <c r="I45" s="2136" t="s">
        <v>234</v>
      </c>
      <c r="J45" s="2136" t="s">
        <v>234</v>
      </c>
      <c r="K45" s="2136" t="s">
        <v>234</v>
      </c>
      <c r="L45" s="2136" t="s">
        <v>234</v>
      </c>
      <c r="M45" s="2136" t="s">
        <v>234</v>
      </c>
      <c r="N45" s="2136" t="s">
        <v>234</v>
      </c>
      <c r="O45" s="2136" t="s">
        <v>234</v>
      </c>
      <c r="P45" s="2136" t="s">
        <v>234</v>
      </c>
      <c r="Q45" s="2143">
        <v>1</v>
      </c>
      <c r="R45" s="2144">
        <v>1</v>
      </c>
      <c r="S45" s="2144">
        <v>1</v>
      </c>
      <c r="T45" s="2145">
        <v>1</v>
      </c>
      <c r="U45" s="1275" t="s">
        <v>20</v>
      </c>
      <c r="V45" s="1275"/>
      <c r="W45" s="855" t="s">
        <v>1527</v>
      </c>
      <c r="X45" s="855"/>
      <c r="Y45" s="855"/>
      <c r="Z45" s="855"/>
      <c r="AA45" s="855"/>
      <c r="AB45" s="855"/>
      <c r="AC45" s="855"/>
      <c r="AD45" s="855"/>
      <c r="AE45" s="855"/>
      <c r="AF45" s="855"/>
    </row>
    <row r="46" spans="1:32" s="1" customFormat="1" ht="54" customHeight="1" x14ac:dyDescent="0.3">
      <c r="A46" s="1154" t="s">
        <v>1869</v>
      </c>
      <c r="B46" s="1155" t="s">
        <v>26</v>
      </c>
      <c r="C46" s="1155" t="s">
        <v>26</v>
      </c>
      <c r="D46" s="1156" t="s">
        <v>26</v>
      </c>
      <c r="E46" s="2136" t="s">
        <v>1613</v>
      </c>
      <c r="F46" s="2136"/>
      <c r="G46" s="2136"/>
      <c r="H46" s="2136"/>
      <c r="I46" s="2136"/>
      <c r="J46" s="2136"/>
      <c r="K46" s="2136"/>
      <c r="L46" s="2136"/>
      <c r="M46" s="2136"/>
      <c r="N46" s="2136"/>
      <c r="O46" s="2136"/>
      <c r="P46" s="2136"/>
      <c r="Q46" s="1586">
        <f>ROUND(50000/$Q$44,0)</f>
        <v>12</v>
      </c>
      <c r="R46" s="1586"/>
      <c r="S46" s="1586"/>
      <c r="T46" s="1586"/>
      <c r="U46" s="1275" t="s">
        <v>38</v>
      </c>
      <c r="V46" s="1275"/>
      <c r="W46" s="856" t="s">
        <v>2943</v>
      </c>
      <c r="X46" s="856"/>
      <c r="Y46" s="856"/>
      <c r="Z46" s="856"/>
      <c r="AA46" s="856"/>
      <c r="AB46" s="856"/>
      <c r="AC46" s="856"/>
      <c r="AD46" s="856"/>
      <c r="AE46" s="856"/>
      <c r="AF46" s="856"/>
    </row>
    <row r="47" spans="1:32" s="1" customFormat="1" x14ac:dyDescent="0.3">
      <c r="A47" s="1994" t="s">
        <v>1814</v>
      </c>
      <c r="B47" s="1994"/>
      <c r="C47" s="1994"/>
      <c r="D47" s="1994"/>
      <c r="E47" s="1994"/>
      <c r="F47" s="1994"/>
      <c r="G47" s="1994"/>
      <c r="H47" s="1994"/>
      <c r="I47" s="1994"/>
      <c r="J47" s="1994"/>
      <c r="K47" s="1994"/>
      <c r="L47" s="1994"/>
      <c r="M47" s="1994"/>
      <c r="N47" s="1994"/>
      <c r="O47" s="1994"/>
      <c r="P47" s="1994"/>
      <c r="Q47" s="1994"/>
      <c r="R47" s="1994"/>
      <c r="S47" s="1994"/>
      <c r="T47" s="1994"/>
      <c r="U47" s="1994"/>
      <c r="V47" s="1994"/>
      <c r="W47" s="1994"/>
      <c r="X47" s="1994"/>
      <c r="Y47" s="1994"/>
      <c r="Z47" s="1994"/>
      <c r="AA47" s="1994"/>
      <c r="AB47" s="1994"/>
      <c r="AC47" s="1994"/>
      <c r="AD47" s="1994"/>
      <c r="AE47" s="1994"/>
      <c r="AF47" s="1994"/>
    </row>
    <row r="48" spans="1:32" s="1" customFormat="1" x14ac:dyDescent="0.3">
      <c r="A48" s="1994" t="s">
        <v>1815</v>
      </c>
      <c r="B48" s="1994"/>
      <c r="C48" s="1994"/>
      <c r="D48" s="1994"/>
      <c r="E48" s="1994"/>
      <c r="F48" s="1994"/>
      <c r="G48" s="1994"/>
      <c r="H48" s="1994"/>
      <c r="I48" s="1994"/>
      <c r="J48" s="1994"/>
      <c r="K48" s="1994"/>
      <c r="L48" s="1994"/>
      <c r="M48" s="1994"/>
      <c r="N48" s="1994"/>
      <c r="O48" s="1994"/>
      <c r="P48" s="1994"/>
      <c r="Q48" s="1994"/>
      <c r="R48" s="1994"/>
      <c r="S48" s="1994"/>
      <c r="T48" s="1994"/>
      <c r="U48" s="1994"/>
      <c r="V48" s="1994"/>
      <c r="W48" s="1994"/>
      <c r="X48" s="1994"/>
      <c r="Y48" s="1994"/>
      <c r="Z48" s="1994"/>
      <c r="AA48" s="1994"/>
      <c r="AB48" s="1994"/>
      <c r="AC48" s="1994"/>
      <c r="AD48" s="1994"/>
      <c r="AE48" s="1994"/>
      <c r="AF48" s="1994"/>
    </row>
    <row r="49" spans="1:42" x14ac:dyDescent="0.3">
      <c r="A49" s="3"/>
    </row>
    <row r="50" spans="1:42" ht="18.899999999999999" customHeight="1" x14ac:dyDescent="0.3">
      <c r="A50" s="57" t="s">
        <v>1816</v>
      </c>
      <c r="AH50" s="151"/>
    </row>
    <row r="51" spans="1:42" ht="35.25" customHeight="1" x14ac:dyDescent="0.3">
      <c r="A51" s="352" t="s">
        <v>237</v>
      </c>
      <c r="B51" s="353"/>
      <c r="C51" s="353"/>
      <c r="D51" s="353"/>
      <c r="E51" s="353"/>
      <c r="F51" s="354"/>
      <c r="G51" s="1183" t="s">
        <v>2542</v>
      </c>
      <c r="H51" s="1184"/>
      <c r="I51" s="1184"/>
      <c r="J51" s="1184"/>
      <c r="K51" s="1184"/>
      <c r="L51" s="1184"/>
      <c r="M51" s="1184"/>
      <c r="N51" s="1185"/>
      <c r="O51" s="1183" t="s">
        <v>2543</v>
      </c>
      <c r="P51" s="1184"/>
      <c r="Q51" s="1184"/>
      <c r="R51" s="1184"/>
      <c r="S51" s="1184"/>
      <c r="T51" s="1184"/>
      <c r="U51" s="1185"/>
      <c r="V51" s="1259" t="s">
        <v>1677</v>
      </c>
      <c r="W51" s="1260"/>
      <c r="X51" s="1260"/>
      <c r="Y51" s="1260"/>
      <c r="Z51" s="1421"/>
    </row>
    <row r="52" spans="1:42" ht="48" customHeight="1" x14ac:dyDescent="0.3">
      <c r="A52" s="856" t="s">
        <v>1646</v>
      </c>
      <c r="B52" s="856"/>
      <c r="C52" s="856"/>
      <c r="D52" s="856"/>
      <c r="E52" s="856"/>
      <c r="F52" s="856"/>
      <c r="G52" s="856" t="s">
        <v>2545</v>
      </c>
      <c r="H52" s="856"/>
      <c r="I52" s="856"/>
      <c r="J52" s="856"/>
      <c r="K52" s="856"/>
      <c r="L52" s="856"/>
      <c r="M52" s="2187">
        <v>9.2999999999999999E-2</v>
      </c>
      <c r="N52" s="2187"/>
      <c r="O52" s="2183" t="s">
        <v>1802</v>
      </c>
      <c r="P52" s="2184"/>
      <c r="Q52" s="2184"/>
      <c r="R52" s="2184"/>
      <c r="S52" s="2185"/>
      <c r="T52" s="2186">
        <v>2.8000000000000001E-2</v>
      </c>
      <c r="U52" s="2187"/>
      <c r="V52" s="1186" t="s">
        <v>1681</v>
      </c>
      <c r="W52" s="1186"/>
      <c r="X52" s="1186"/>
      <c r="Y52" s="1186"/>
      <c r="Z52" s="1186"/>
      <c r="AK52" s="249"/>
      <c r="AL52" s="249"/>
      <c r="AM52" s="249"/>
      <c r="AN52" s="249"/>
      <c r="AO52" s="249"/>
      <c r="AP52" s="249"/>
    </row>
    <row r="53" spans="1:42" ht="60" customHeight="1" x14ac:dyDescent="0.3">
      <c r="A53" s="856" t="s">
        <v>1647</v>
      </c>
      <c r="B53" s="856"/>
      <c r="C53" s="856"/>
      <c r="D53" s="856"/>
      <c r="E53" s="856"/>
      <c r="F53" s="856"/>
      <c r="G53" s="856" t="s">
        <v>2546</v>
      </c>
      <c r="H53" s="856"/>
      <c r="I53" s="856"/>
      <c r="J53" s="856"/>
      <c r="K53" s="856"/>
      <c r="L53" s="856"/>
      <c r="M53" s="2187">
        <v>0.24099999999999999</v>
      </c>
      <c r="N53" s="2187"/>
      <c r="O53" s="2183" t="s">
        <v>1800</v>
      </c>
      <c r="P53" s="2184"/>
      <c r="Q53" s="2184"/>
      <c r="R53" s="2184"/>
      <c r="S53" s="2185"/>
      <c r="T53" s="2186">
        <v>7.8E-2</v>
      </c>
      <c r="U53" s="2187"/>
      <c r="V53" s="1186" t="s">
        <v>1681</v>
      </c>
      <c r="W53" s="1186"/>
      <c r="X53" s="1186"/>
      <c r="Y53" s="1186"/>
      <c r="Z53" s="1186"/>
      <c r="AK53" s="249"/>
      <c r="AL53" s="249"/>
      <c r="AM53" s="249"/>
      <c r="AN53" s="249"/>
      <c r="AO53" s="249"/>
      <c r="AP53" s="249"/>
    </row>
    <row r="54" spans="1:42" ht="54.75" customHeight="1" x14ac:dyDescent="0.3">
      <c r="A54" s="856" t="s">
        <v>1648</v>
      </c>
      <c r="B54" s="856"/>
      <c r="C54" s="856"/>
      <c r="D54" s="856"/>
      <c r="E54" s="856"/>
      <c r="F54" s="856"/>
      <c r="G54" s="856" t="s">
        <v>2544</v>
      </c>
      <c r="H54" s="856"/>
      <c r="I54" s="856"/>
      <c r="J54" s="856"/>
      <c r="K54" s="856"/>
      <c r="L54" s="856"/>
      <c r="M54" s="2187">
        <v>0.496</v>
      </c>
      <c r="N54" s="2187"/>
      <c r="O54" s="2183" t="s">
        <v>1801</v>
      </c>
      <c r="P54" s="2184"/>
      <c r="Q54" s="2184"/>
      <c r="R54" s="2184"/>
      <c r="S54" s="2185"/>
      <c r="T54" s="2186">
        <v>0.17</v>
      </c>
      <c r="U54" s="2187"/>
      <c r="V54" s="1186" t="s">
        <v>1681</v>
      </c>
      <c r="W54" s="1186"/>
      <c r="X54" s="1186"/>
      <c r="Y54" s="1186"/>
      <c r="Z54" s="1186"/>
      <c r="AK54" s="249"/>
      <c r="AL54" s="249"/>
      <c r="AM54" s="249"/>
      <c r="AN54" s="249"/>
      <c r="AO54" s="249"/>
      <c r="AP54" s="249"/>
    </row>
    <row r="55" spans="1:42" ht="47.25" customHeight="1" x14ac:dyDescent="0.3">
      <c r="A55" s="856" t="s">
        <v>1649</v>
      </c>
      <c r="B55" s="856"/>
      <c r="C55" s="856"/>
      <c r="D55" s="856"/>
      <c r="E55" s="856"/>
      <c r="F55" s="856"/>
      <c r="G55" s="856" t="s">
        <v>2547</v>
      </c>
      <c r="H55" s="856"/>
      <c r="I55" s="856"/>
      <c r="J55" s="856"/>
      <c r="K55" s="856"/>
      <c r="L55" s="856"/>
      <c r="M55" s="2187">
        <v>0.97</v>
      </c>
      <c r="N55" s="2187"/>
      <c r="O55" s="2183" t="s">
        <v>1803</v>
      </c>
      <c r="P55" s="2184"/>
      <c r="Q55" s="2184"/>
      <c r="R55" s="2184"/>
      <c r="S55" s="2185"/>
      <c r="T55" s="2186">
        <v>0.27</v>
      </c>
      <c r="U55" s="2187"/>
      <c r="V55" s="1186" t="s">
        <v>1681</v>
      </c>
      <c r="W55" s="1186"/>
      <c r="X55" s="1186"/>
      <c r="Y55" s="1186"/>
      <c r="Z55" s="1186"/>
      <c r="AK55" s="249"/>
      <c r="AL55" s="249"/>
      <c r="AM55" s="249"/>
      <c r="AN55" s="249"/>
      <c r="AO55" s="249"/>
      <c r="AP55" s="249"/>
    </row>
    <row r="56" spans="1:42" x14ac:dyDescent="0.3">
      <c r="A56" s="57"/>
      <c r="AH56" s="151"/>
    </row>
    <row r="57" spans="1:42" x14ac:dyDescent="0.3">
      <c r="A57" s="1141" t="s">
        <v>14</v>
      </c>
      <c r="B57" s="1141"/>
      <c r="C57" s="1141"/>
      <c r="D57" s="1141"/>
      <c r="E57" s="1141"/>
      <c r="F57" s="1141"/>
      <c r="G57" s="1141"/>
      <c r="H57" s="1141"/>
      <c r="I57" s="1141"/>
      <c r="J57" s="1141"/>
      <c r="K57" s="1141"/>
      <c r="L57" s="1141"/>
      <c r="M57" s="1141"/>
      <c r="N57" s="1141"/>
      <c r="O57" s="1141"/>
      <c r="P57" s="1141"/>
      <c r="Q57" s="1141"/>
      <c r="R57" s="1141"/>
      <c r="S57" s="1141"/>
      <c r="T57" s="1141"/>
      <c r="U57" s="1141"/>
      <c r="V57" s="1141"/>
      <c r="W57" s="1141"/>
      <c r="X57" s="1141"/>
      <c r="Y57" s="1141"/>
      <c r="Z57" s="1141"/>
      <c r="AA57" s="1141"/>
      <c r="AB57" s="1141"/>
      <c r="AC57" s="1141"/>
      <c r="AD57" s="1141"/>
      <c r="AE57" s="1141"/>
      <c r="AF57" s="1141"/>
      <c r="AJ57" s="59"/>
    </row>
    <row r="59" spans="1:42" x14ac:dyDescent="0.3">
      <c r="B59" s="231" t="s">
        <v>1817</v>
      </c>
    </row>
    <row r="61" spans="1:42" x14ac:dyDescent="0.3">
      <c r="A61" s="139" t="s">
        <v>1821</v>
      </c>
      <c r="B61" s="139"/>
      <c r="C61" s="139"/>
      <c r="D61" s="139"/>
      <c r="E61" s="139"/>
      <c r="F61" s="139"/>
      <c r="G61" s="139"/>
      <c r="H61" s="139"/>
      <c r="I61" s="139"/>
      <c r="J61" s="139"/>
      <c r="K61" s="139"/>
      <c r="L61" s="139"/>
      <c r="M61" s="139"/>
      <c r="N61" s="139"/>
      <c r="O61" s="139"/>
      <c r="P61" s="139"/>
      <c r="Q61" s="139"/>
      <c r="R61" s="139"/>
      <c r="S61" s="1"/>
      <c r="T61" s="1"/>
      <c r="U61" s="1"/>
      <c r="V61" s="1"/>
      <c r="W61" s="139"/>
      <c r="X61" s="139"/>
      <c r="Y61" s="139"/>
      <c r="Z61" s="139"/>
      <c r="AA61" s="139"/>
      <c r="AB61" s="139"/>
      <c r="AC61" s="139"/>
      <c r="AD61" s="139"/>
      <c r="AE61" s="139"/>
      <c r="AF61" s="139"/>
      <c r="AG61" s="139"/>
      <c r="AH61" s="139"/>
      <c r="AI61" s="1"/>
      <c r="AJ61" s="1"/>
      <c r="AK61" s="1"/>
      <c r="AL61" s="1"/>
    </row>
    <row r="62" spans="1:42" x14ac:dyDescent="0.3">
      <c r="B62" s="152"/>
      <c r="C62" s="152"/>
      <c r="D62" s="152"/>
      <c r="E62" s="152"/>
      <c r="F62" s="152"/>
      <c r="G62" s="2056" t="s">
        <v>2777</v>
      </c>
      <c r="H62" s="2056"/>
      <c r="I62" s="2056"/>
      <c r="J62" s="2056"/>
      <c r="K62" s="2056"/>
      <c r="L62" s="2056"/>
      <c r="M62" s="2056"/>
      <c r="N62" s="2056"/>
      <c r="O62" s="2056"/>
      <c r="P62" s="2056"/>
      <c r="Q62" s="2056"/>
      <c r="R62" s="2056"/>
      <c r="S62" s="2056"/>
      <c r="T62" s="2056"/>
      <c r="U62" s="2056"/>
      <c r="V62" s="2056"/>
      <c r="W62" s="152"/>
      <c r="X62" s="152"/>
      <c r="Y62" s="152"/>
      <c r="Z62" s="152"/>
      <c r="AA62" s="152"/>
      <c r="AB62" s="152"/>
      <c r="AC62" s="152"/>
      <c r="AD62" s="152"/>
      <c r="AE62" s="152"/>
      <c r="AF62" s="152"/>
      <c r="AG62" s="152"/>
      <c r="AH62" s="152"/>
      <c r="AI62" s="152"/>
      <c r="AJ62" s="152"/>
      <c r="AK62" s="152"/>
      <c r="AL62" s="152"/>
    </row>
    <row r="63" spans="1:42" x14ac:dyDescent="0.3">
      <c r="A63" s="1945" t="s">
        <v>237</v>
      </c>
      <c r="B63" s="1945"/>
      <c r="C63" s="1945"/>
      <c r="D63" s="1945"/>
      <c r="E63" s="1945"/>
      <c r="F63" s="1945"/>
      <c r="G63" s="2057" t="s">
        <v>1196</v>
      </c>
      <c r="H63" s="2057"/>
      <c r="I63" s="2057"/>
      <c r="J63" s="2057"/>
      <c r="K63" s="2054" t="s">
        <v>1204</v>
      </c>
      <c r="L63" s="2054"/>
      <c r="M63" s="2054"/>
      <c r="N63" s="2054"/>
      <c r="O63" s="2057" t="s">
        <v>1205</v>
      </c>
      <c r="P63" s="2057"/>
      <c r="Q63" s="2057"/>
      <c r="R63" s="2057"/>
      <c r="S63" s="2054" t="s">
        <v>1197</v>
      </c>
      <c r="T63" s="2054"/>
      <c r="U63" s="2054"/>
      <c r="V63" s="2054"/>
      <c r="W63" s="152"/>
      <c r="X63" s="152"/>
      <c r="Y63" s="152"/>
      <c r="Z63" s="152"/>
      <c r="AA63" s="152"/>
      <c r="AB63" s="152"/>
      <c r="AC63" s="152"/>
      <c r="AD63" s="152"/>
      <c r="AE63" s="152"/>
      <c r="AF63" s="152"/>
      <c r="AG63" s="152"/>
      <c r="AH63" s="152"/>
      <c r="AI63" s="152"/>
      <c r="AJ63" s="152"/>
      <c r="AK63" s="152"/>
      <c r="AL63" s="152"/>
    </row>
    <row r="64" spans="1:42" x14ac:dyDescent="0.3">
      <c r="A64" s="1938" t="s">
        <v>252</v>
      </c>
      <c r="B64" s="1938"/>
      <c r="C64" s="1938"/>
      <c r="D64" s="1938"/>
      <c r="E64" s="1938"/>
      <c r="F64" s="1938"/>
      <c r="G64" s="1950">
        <f>ROUND(($M$52-$T$52)*$Q$42*$Q$43*$Q$45,3)</f>
        <v>0.04</v>
      </c>
      <c r="H64" s="1950"/>
      <c r="I64" s="1950"/>
      <c r="J64" s="1950"/>
      <c r="K64" s="1950">
        <f>ROUND(($M$53-$T$53)*$Q$42*$Q$43*$Q$45,3)</f>
        <v>0.10100000000000001</v>
      </c>
      <c r="L64" s="1950"/>
      <c r="M64" s="1950"/>
      <c r="N64" s="1950"/>
      <c r="O64" s="1950">
        <f>ROUND(($M$54-$T$54)*$Q$42*$Q$43*$Q$45,3)</f>
        <v>0.20200000000000001</v>
      </c>
      <c r="P64" s="1950"/>
      <c r="Q64" s="1950"/>
      <c r="R64" s="1950"/>
      <c r="S64" s="1950">
        <f>ROUND(($M$55-$T$55)*$Q$42*$Q$43*$Q$45,3)</f>
        <v>0.434</v>
      </c>
      <c r="T64" s="1950"/>
      <c r="U64" s="1950"/>
      <c r="V64" s="1950"/>
      <c r="W64" s="255"/>
      <c r="X64" s="255"/>
      <c r="Y64" s="255"/>
      <c r="Z64" s="255"/>
      <c r="AA64" s="255"/>
      <c r="AB64" s="255"/>
      <c r="AC64" s="255"/>
      <c r="AD64" s="255"/>
      <c r="AE64" s="255"/>
      <c r="AF64" s="255"/>
      <c r="AG64" s="255"/>
      <c r="AH64" s="255"/>
      <c r="AI64" s="255"/>
      <c r="AJ64" s="255"/>
      <c r="AK64" s="255"/>
      <c r="AL64" s="255"/>
    </row>
    <row r="66" spans="1:38" x14ac:dyDescent="0.3">
      <c r="A66" s="139" t="s">
        <v>1819</v>
      </c>
      <c r="B66" s="139"/>
      <c r="C66" s="139"/>
      <c r="D66" s="139"/>
      <c r="E66" s="139"/>
      <c r="F66" s="139"/>
      <c r="G66" s="139"/>
      <c r="H66" s="139"/>
      <c r="I66" s="139"/>
      <c r="J66" s="139"/>
      <c r="K66" s="139"/>
      <c r="L66" s="139"/>
      <c r="M66" s="139"/>
      <c r="N66" s="139"/>
      <c r="O66" s="139"/>
      <c r="P66" s="139"/>
      <c r="Q66" s="139"/>
      <c r="R66" s="139"/>
      <c r="S66" s="1"/>
      <c r="T66" s="1"/>
      <c r="U66" s="1"/>
      <c r="V66" s="1"/>
      <c r="W66" s="139"/>
      <c r="X66" s="139"/>
      <c r="Y66" s="139"/>
      <c r="Z66" s="139"/>
      <c r="AA66" s="139"/>
      <c r="AB66" s="139"/>
      <c r="AC66" s="139"/>
      <c r="AD66" s="139"/>
      <c r="AE66" s="139"/>
      <c r="AF66" s="139"/>
      <c r="AG66" s="139"/>
      <c r="AH66" s="139"/>
      <c r="AI66" s="1"/>
      <c r="AJ66" s="1"/>
      <c r="AK66" s="1"/>
      <c r="AL66" s="1"/>
    </row>
    <row r="67" spans="1:38" x14ac:dyDescent="0.3">
      <c r="B67" s="152"/>
      <c r="C67" s="152"/>
      <c r="D67" s="152"/>
      <c r="E67" s="152"/>
      <c r="F67" s="152"/>
      <c r="G67" s="1964" t="s">
        <v>2778</v>
      </c>
      <c r="H67" s="1964"/>
      <c r="I67" s="1964"/>
      <c r="J67" s="1964"/>
      <c r="K67" s="1964"/>
      <c r="L67" s="1964"/>
      <c r="M67" s="1964"/>
      <c r="N67" s="1964"/>
      <c r="O67" s="1964"/>
      <c r="P67" s="1964"/>
      <c r="Q67" s="1964"/>
      <c r="R67" s="1964"/>
      <c r="S67" s="1964"/>
      <c r="T67" s="1964"/>
      <c r="U67" s="1964"/>
      <c r="V67" s="1964"/>
    </row>
    <row r="68" spans="1:38" x14ac:dyDescent="0.3">
      <c r="A68" s="1945" t="s">
        <v>237</v>
      </c>
      <c r="B68" s="1945"/>
      <c r="C68" s="1945"/>
      <c r="D68" s="1945"/>
      <c r="E68" s="1945"/>
      <c r="F68" s="1945"/>
      <c r="G68" s="2057" t="s">
        <v>1196</v>
      </c>
      <c r="H68" s="2057"/>
      <c r="I68" s="2057"/>
      <c r="J68" s="2057"/>
      <c r="K68" s="2054" t="s">
        <v>1204</v>
      </c>
      <c r="L68" s="2054"/>
      <c r="M68" s="2054"/>
      <c r="N68" s="2054"/>
      <c r="O68" s="2057" t="s">
        <v>1205</v>
      </c>
      <c r="P68" s="2057"/>
      <c r="Q68" s="2057"/>
      <c r="R68" s="2057"/>
      <c r="S68" s="2054" t="s">
        <v>1197</v>
      </c>
      <c r="T68" s="2054"/>
      <c r="U68" s="2054"/>
      <c r="V68" s="2054"/>
    </row>
    <row r="69" spans="1:38" x14ac:dyDescent="0.3">
      <c r="A69" s="1938" t="s">
        <v>252</v>
      </c>
      <c r="B69" s="1938"/>
      <c r="C69" s="1938"/>
      <c r="D69" s="1938"/>
      <c r="E69" s="1938"/>
      <c r="F69" s="1938"/>
      <c r="G69" s="1949">
        <f>ROUND(($M$52-$T$52)*$Q$42*$Q$44*$Q$45,2)</f>
        <v>266.5</v>
      </c>
      <c r="H69" s="1949"/>
      <c r="I69" s="1949"/>
      <c r="J69" s="1949"/>
      <c r="K69" s="1949">
        <f>ROUND(($M$53-$T$53)*$Q$42*$Q$44*$Q$45,2)</f>
        <v>668.3</v>
      </c>
      <c r="L69" s="1949"/>
      <c r="M69" s="1949"/>
      <c r="N69" s="1949"/>
      <c r="O69" s="1949">
        <f>ROUND(($M$54-$T$54)*$Q$42*$Q$44*$Q$45,2)</f>
        <v>1336.6</v>
      </c>
      <c r="P69" s="1949"/>
      <c r="Q69" s="1949"/>
      <c r="R69" s="1949"/>
      <c r="S69" s="1949">
        <f>ROUND(($M$55-$T$55)*$Q$42*$Q$44*$Q$45,2)</f>
        <v>2870</v>
      </c>
      <c r="T69" s="1949"/>
      <c r="U69" s="1949"/>
      <c r="V69" s="1949"/>
    </row>
    <row r="71" spans="1:38" x14ac:dyDescent="0.3">
      <c r="B71" s="231" t="s">
        <v>1818</v>
      </c>
    </row>
    <row r="73" spans="1:38" x14ac:dyDescent="0.3">
      <c r="A73" s="139" t="s">
        <v>1820</v>
      </c>
      <c r="B73" s="139"/>
      <c r="C73" s="139"/>
      <c r="D73" s="139"/>
      <c r="E73" s="139"/>
      <c r="F73" s="139"/>
      <c r="G73" s="139"/>
      <c r="H73" s="139"/>
      <c r="I73" s="139"/>
      <c r="J73" s="139"/>
      <c r="K73" s="139"/>
      <c r="L73" s="139"/>
      <c r="M73" s="139"/>
      <c r="N73" s="139"/>
      <c r="O73" s="139"/>
      <c r="P73" s="139"/>
      <c r="Q73" s="139"/>
      <c r="R73" s="139"/>
      <c r="S73" s="1"/>
      <c r="T73" s="1"/>
      <c r="U73" s="1"/>
      <c r="V73" s="1"/>
      <c r="W73" s="139"/>
      <c r="X73" s="139"/>
      <c r="Y73" s="139"/>
      <c r="Z73" s="139"/>
      <c r="AA73" s="139"/>
      <c r="AB73" s="139"/>
      <c r="AC73" s="139"/>
      <c r="AD73" s="139"/>
      <c r="AE73" s="139"/>
      <c r="AF73" s="139"/>
      <c r="AG73" s="139"/>
      <c r="AH73" s="139"/>
      <c r="AI73" s="1"/>
      <c r="AJ73" s="1"/>
      <c r="AK73" s="1"/>
      <c r="AL73" s="1"/>
    </row>
    <row r="74" spans="1:38" x14ac:dyDescent="0.3">
      <c r="B74" s="152"/>
      <c r="C74" s="152"/>
      <c r="D74" s="152"/>
      <c r="E74" s="152"/>
      <c r="F74" s="152"/>
      <c r="G74" s="1952" t="s">
        <v>1745</v>
      </c>
      <c r="H74" s="1952"/>
      <c r="I74" s="1952"/>
      <c r="J74" s="1952"/>
      <c r="K74" s="1952"/>
      <c r="L74" s="1952"/>
      <c r="M74" s="1952"/>
      <c r="N74" s="1952"/>
      <c r="O74" s="1952"/>
      <c r="P74" s="1952"/>
      <c r="Q74" s="1952"/>
      <c r="R74" s="1952"/>
      <c r="S74" s="1952"/>
      <c r="T74" s="1952"/>
      <c r="U74" s="1952"/>
      <c r="V74" s="1952"/>
    </row>
    <row r="75" spans="1:38" x14ac:dyDescent="0.3">
      <c r="A75" s="1945" t="s">
        <v>237</v>
      </c>
      <c r="B75" s="1945"/>
      <c r="C75" s="1945"/>
      <c r="D75" s="1945"/>
      <c r="E75" s="1945"/>
      <c r="F75" s="1945"/>
      <c r="G75" s="1953" t="s">
        <v>1196</v>
      </c>
      <c r="H75" s="1953"/>
      <c r="I75" s="1953"/>
      <c r="J75" s="1953"/>
      <c r="K75" s="1954" t="s">
        <v>1204</v>
      </c>
      <c r="L75" s="1954"/>
      <c r="M75" s="1954"/>
      <c r="N75" s="1954"/>
      <c r="O75" s="1953" t="s">
        <v>1205</v>
      </c>
      <c r="P75" s="1953"/>
      <c r="Q75" s="1953"/>
      <c r="R75" s="1953"/>
      <c r="S75" s="1954" t="s">
        <v>1197</v>
      </c>
      <c r="T75" s="1954"/>
      <c r="U75" s="1954"/>
      <c r="V75" s="1954"/>
    </row>
    <row r="76" spans="1:38" x14ac:dyDescent="0.3">
      <c r="A76" s="1938" t="s">
        <v>252</v>
      </c>
      <c r="B76" s="1938"/>
      <c r="C76" s="1938"/>
      <c r="D76" s="1938"/>
      <c r="E76" s="1938"/>
      <c r="F76" s="1938"/>
      <c r="G76" s="1949">
        <f>ROUND(G69*$Q$46,2)</f>
        <v>3198</v>
      </c>
      <c r="H76" s="1949"/>
      <c r="I76" s="1949"/>
      <c r="J76" s="1949"/>
      <c r="K76" s="1949">
        <f t="shared" ref="K76" si="0">ROUND(K69*$Q$46,2)</f>
        <v>8019.6</v>
      </c>
      <c r="L76" s="1949"/>
      <c r="M76" s="1949"/>
      <c r="N76" s="1949"/>
      <c r="O76" s="1949">
        <f>ROUND(O69*$Q$46,2)</f>
        <v>16039.2</v>
      </c>
      <c r="P76" s="1949"/>
      <c r="Q76" s="1949"/>
      <c r="R76" s="1949"/>
      <c r="S76" s="1949">
        <f t="shared" ref="S76" si="1">ROUND(S69*$Q$46,2)</f>
        <v>34440</v>
      </c>
      <c r="T76" s="1949"/>
      <c r="U76" s="1949"/>
      <c r="V76" s="1949"/>
    </row>
    <row r="78" spans="1:38" x14ac:dyDescent="0.3">
      <c r="A78" s="1141" t="s">
        <v>1514</v>
      </c>
      <c r="B78" s="1141"/>
      <c r="C78" s="1141"/>
      <c r="D78" s="1141"/>
      <c r="E78" s="1141"/>
      <c r="F78" s="1141"/>
      <c r="G78" s="1141"/>
      <c r="H78" s="1141"/>
      <c r="I78" s="1141"/>
      <c r="J78" s="1141"/>
      <c r="K78" s="1141"/>
      <c r="L78" s="1141"/>
      <c r="M78" s="1141"/>
      <c r="N78" s="1141"/>
      <c r="O78" s="1141"/>
      <c r="P78" s="1141"/>
      <c r="Q78" s="1141"/>
      <c r="R78" s="1141"/>
      <c r="S78" s="1141"/>
      <c r="T78" s="1141"/>
      <c r="U78" s="1141"/>
      <c r="V78" s="1141"/>
      <c r="W78" s="1141"/>
      <c r="X78" s="1141"/>
      <c r="Y78" s="1141"/>
      <c r="Z78" s="1141"/>
      <c r="AA78" s="1141"/>
      <c r="AB78" s="1141"/>
      <c r="AC78" s="1141"/>
      <c r="AD78" s="1141"/>
      <c r="AE78" s="1141"/>
      <c r="AF78" s="1141"/>
    </row>
    <row r="80" spans="1:38" ht="30.9" customHeight="1" x14ac:dyDescent="0.3">
      <c r="A80" s="368" t="s">
        <v>803</v>
      </c>
      <c r="B80" s="884" t="s">
        <v>1833</v>
      </c>
      <c r="C80" s="884"/>
      <c r="D80" s="884"/>
      <c r="E80" s="884"/>
      <c r="F80" s="884"/>
      <c r="G80" s="884"/>
      <c r="H80" s="884"/>
      <c r="I80" s="884"/>
      <c r="J80" s="884"/>
      <c r="K80" s="884"/>
      <c r="L80" s="884"/>
      <c r="M80" s="884"/>
      <c r="N80" s="884"/>
      <c r="O80" s="884"/>
      <c r="P80" s="884"/>
      <c r="Q80" s="884"/>
      <c r="R80" s="884"/>
      <c r="S80" s="884"/>
      <c r="T80" s="884"/>
      <c r="U80" s="884"/>
      <c r="V80" s="884"/>
      <c r="W80" s="884"/>
      <c r="X80" s="884"/>
      <c r="Y80" s="884"/>
      <c r="Z80" s="884"/>
      <c r="AA80" s="884"/>
      <c r="AB80" s="884"/>
      <c r="AC80" s="884"/>
      <c r="AD80" s="884"/>
      <c r="AE80" s="884"/>
      <c r="AF80" s="884"/>
    </row>
    <row r="81" spans="1:32" x14ac:dyDescent="0.3">
      <c r="A81" s="370" t="s">
        <v>803</v>
      </c>
      <c r="B81" s="884" t="s">
        <v>5770</v>
      </c>
      <c r="C81" s="884"/>
      <c r="D81" s="884"/>
      <c r="E81" s="884"/>
      <c r="F81" s="884"/>
      <c r="G81" s="884"/>
      <c r="H81" s="884"/>
      <c r="I81" s="884"/>
      <c r="J81" s="884"/>
      <c r="K81" s="884"/>
      <c r="L81" s="884"/>
      <c r="M81" s="884"/>
      <c r="N81" s="884"/>
      <c r="O81" s="884"/>
      <c r="P81" s="884"/>
      <c r="Q81" s="884"/>
      <c r="R81" s="884"/>
      <c r="S81" s="884"/>
      <c r="T81" s="884"/>
      <c r="U81" s="884"/>
      <c r="V81" s="884"/>
      <c r="W81" s="884"/>
      <c r="X81" s="884"/>
      <c r="Y81" s="884"/>
      <c r="Z81" s="884"/>
      <c r="AA81" s="884"/>
      <c r="AB81" s="884"/>
      <c r="AC81" s="884"/>
      <c r="AD81" s="884"/>
      <c r="AE81" s="884"/>
      <c r="AF81" s="884"/>
    </row>
    <row r="82" spans="1:32" ht="15" customHeight="1" x14ac:dyDescent="0.3">
      <c r="A82" s="368" t="s">
        <v>803</v>
      </c>
      <c r="B82" s="884" t="s">
        <v>5687</v>
      </c>
      <c r="C82" s="884"/>
      <c r="D82" s="884"/>
      <c r="E82" s="884"/>
      <c r="F82" s="884"/>
      <c r="G82" s="884"/>
      <c r="H82" s="884"/>
      <c r="I82" s="884"/>
      <c r="J82" s="884"/>
      <c r="K82" s="884"/>
      <c r="L82" s="884"/>
      <c r="M82" s="884"/>
      <c r="N82" s="884"/>
      <c r="O82" s="884"/>
      <c r="P82" s="884"/>
      <c r="Q82" s="884"/>
      <c r="R82" s="884"/>
      <c r="S82" s="884"/>
      <c r="T82" s="884"/>
      <c r="U82" s="884"/>
      <c r="V82" s="884"/>
      <c r="W82" s="884"/>
      <c r="X82" s="884"/>
      <c r="Y82" s="884"/>
      <c r="Z82" s="884"/>
      <c r="AA82" s="884"/>
      <c r="AB82" s="884"/>
      <c r="AC82" s="884"/>
      <c r="AD82" s="884"/>
      <c r="AE82" s="884"/>
      <c r="AF82" s="884"/>
    </row>
    <row r="83" spans="1:32" ht="31.5" customHeight="1" x14ac:dyDescent="0.3">
      <c r="A83" s="368" t="s">
        <v>803</v>
      </c>
      <c r="B83" s="884" t="s">
        <v>2497</v>
      </c>
      <c r="C83" s="884"/>
      <c r="D83" s="884"/>
      <c r="E83" s="884"/>
      <c r="F83" s="884"/>
      <c r="G83" s="884"/>
      <c r="H83" s="884"/>
      <c r="I83" s="884"/>
      <c r="J83" s="884"/>
      <c r="K83" s="884"/>
      <c r="L83" s="884"/>
      <c r="M83" s="884"/>
      <c r="N83" s="884"/>
      <c r="O83" s="884"/>
      <c r="P83" s="884"/>
      <c r="Q83" s="884"/>
      <c r="R83" s="884"/>
      <c r="S83" s="884"/>
      <c r="T83" s="884"/>
      <c r="U83" s="884"/>
      <c r="V83" s="884"/>
      <c r="W83" s="884"/>
      <c r="X83" s="884"/>
      <c r="Y83" s="884"/>
      <c r="Z83" s="884"/>
      <c r="AA83" s="884"/>
      <c r="AB83" s="884"/>
      <c r="AC83" s="884"/>
      <c r="AD83" s="884"/>
      <c r="AE83" s="884"/>
      <c r="AF83" s="884"/>
    </row>
    <row r="84" spans="1:32" ht="50.25" customHeight="1" x14ac:dyDescent="0.3">
      <c r="A84" s="368" t="s">
        <v>803</v>
      </c>
      <c r="B84" s="884" t="s">
        <v>1837</v>
      </c>
      <c r="C84" s="884"/>
      <c r="D84" s="884"/>
      <c r="E84" s="884"/>
      <c r="F84" s="884"/>
      <c r="G84" s="884"/>
      <c r="H84" s="884"/>
      <c r="I84" s="884"/>
      <c r="J84" s="884"/>
      <c r="K84" s="884"/>
      <c r="L84" s="884"/>
      <c r="M84" s="884"/>
      <c r="N84" s="884"/>
      <c r="O84" s="884"/>
      <c r="P84" s="884"/>
      <c r="Q84" s="884"/>
      <c r="R84" s="884"/>
      <c r="S84" s="884"/>
      <c r="T84" s="884"/>
      <c r="U84" s="884"/>
      <c r="V84" s="884"/>
      <c r="W84" s="884"/>
      <c r="X84" s="884"/>
      <c r="Y84" s="884"/>
      <c r="Z84" s="884"/>
      <c r="AA84" s="884"/>
      <c r="AB84" s="884"/>
      <c r="AC84" s="884"/>
      <c r="AD84" s="884"/>
      <c r="AE84" s="884"/>
      <c r="AF84" s="884"/>
    </row>
    <row r="85" spans="1:32" ht="30.6" customHeight="1" x14ac:dyDescent="0.3">
      <c r="A85" s="368" t="s">
        <v>803</v>
      </c>
      <c r="B85" s="884" t="s">
        <v>1829</v>
      </c>
      <c r="C85" s="884"/>
      <c r="D85" s="884"/>
      <c r="E85" s="884"/>
      <c r="F85" s="884"/>
      <c r="G85" s="884"/>
      <c r="H85" s="884"/>
      <c r="I85" s="884"/>
      <c r="J85" s="884"/>
      <c r="K85" s="884"/>
      <c r="L85" s="884"/>
      <c r="M85" s="884"/>
      <c r="N85" s="884"/>
      <c r="O85" s="884"/>
      <c r="P85" s="884"/>
      <c r="Q85" s="884"/>
      <c r="R85" s="884"/>
      <c r="S85" s="884"/>
      <c r="T85" s="884"/>
      <c r="U85" s="884"/>
      <c r="V85" s="884"/>
      <c r="W85" s="884"/>
      <c r="X85" s="884"/>
      <c r="Y85" s="884"/>
      <c r="Z85" s="884"/>
      <c r="AA85" s="884"/>
      <c r="AB85" s="884"/>
      <c r="AC85" s="884"/>
      <c r="AD85" s="884"/>
      <c r="AE85" s="884"/>
      <c r="AF85" s="884"/>
    </row>
    <row r="86" spans="1:32" x14ac:dyDescent="0.3">
      <c r="A86" s="368" t="s">
        <v>803</v>
      </c>
      <c r="B86" s="884" t="s">
        <v>1570</v>
      </c>
      <c r="C86" s="884"/>
      <c r="D86" s="884"/>
      <c r="E86" s="884"/>
      <c r="F86" s="884"/>
      <c r="G86" s="884"/>
      <c r="H86" s="884"/>
      <c r="I86" s="884"/>
      <c r="J86" s="884"/>
      <c r="K86" s="884"/>
      <c r="L86" s="884"/>
      <c r="M86" s="884"/>
      <c r="N86" s="884"/>
      <c r="O86" s="884"/>
      <c r="P86" s="884"/>
      <c r="Q86" s="884"/>
      <c r="R86" s="884"/>
      <c r="S86" s="884"/>
      <c r="T86" s="884"/>
      <c r="U86" s="884"/>
      <c r="V86" s="884"/>
      <c r="W86" s="884"/>
      <c r="X86" s="884"/>
      <c r="Y86" s="884"/>
      <c r="Z86" s="884"/>
      <c r="AA86" s="884"/>
      <c r="AB86" s="884"/>
      <c r="AC86" s="884"/>
      <c r="AD86" s="884"/>
      <c r="AE86" s="884"/>
      <c r="AF86" s="884"/>
    </row>
  </sheetData>
  <sheetProtection algorithmName="SHA-512" hashValue="pHHPNN/hp8Lwvhk9Evx3Y67ewYH3vCVzYIG/8R5M9hqsEDRVTUc5m4f4dG1m27gFRorSTmVFMs1b4EVvEV2Eog==" saltValue="LNvmUcYaKh7wF8xxZcHIgQ==" spinCount="100000" sheet="1" objects="1" scenarios="1"/>
  <mergeCells count="126">
    <mergeCell ref="B82:AF82"/>
    <mergeCell ref="S64:V64"/>
    <mergeCell ref="K69:N69"/>
    <mergeCell ref="O69:R69"/>
    <mergeCell ref="S69:V69"/>
    <mergeCell ref="A69:F69"/>
    <mergeCell ref="A63:F63"/>
    <mergeCell ref="G63:J63"/>
    <mergeCell ref="K63:N63"/>
    <mergeCell ref="O63:R63"/>
    <mergeCell ref="S63:V63"/>
    <mergeCell ref="G67:V67"/>
    <mergeCell ref="A78:AF78"/>
    <mergeCell ref="B80:AF80"/>
    <mergeCell ref="A64:F64"/>
    <mergeCell ref="G64:J64"/>
    <mergeCell ref="K64:N64"/>
    <mergeCell ref="O64:R64"/>
    <mergeCell ref="B81:AF81"/>
    <mergeCell ref="O53:S53"/>
    <mergeCell ref="T53:U53"/>
    <mergeCell ref="V53:Z53"/>
    <mergeCell ref="T52:U52"/>
    <mergeCell ref="V52:Z52"/>
    <mergeCell ref="A53:F53"/>
    <mergeCell ref="G53:L53"/>
    <mergeCell ref="M53:N53"/>
    <mergeCell ref="A76:F76"/>
    <mergeCell ref="G76:J76"/>
    <mergeCell ref="K76:N76"/>
    <mergeCell ref="O76:R76"/>
    <mergeCell ref="S76:V76"/>
    <mergeCell ref="G74:V74"/>
    <mergeCell ref="A75:F75"/>
    <mergeCell ref="G75:J75"/>
    <mergeCell ref="K75:N75"/>
    <mergeCell ref="O75:R75"/>
    <mergeCell ref="S75:V75"/>
    <mergeCell ref="A52:F52"/>
    <mergeCell ref="G52:L52"/>
    <mergeCell ref="M52:N52"/>
    <mergeCell ref="O52:S52"/>
    <mergeCell ref="B86:AF86"/>
    <mergeCell ref="A57:AF57"/>
    <mergeCell ref="B83:AF83"/>
    <mergeCell ref="B84:AF84"/>
    <mergeCell ref="B85:AF85"/>
    <mergeCell ref="O55:S55"/>
    <mergeCell ref="T55:U55"/>
    <mergeCell ref="V55:Z55"/>
    <mergeCell ref="T54:U54"/>
    <mergeCell ref="V54:Z54"/>
    <mergeCell ref="A55:F55"/>
    <mergeCell ref="G55:L55"/>
    <mergeCell ref="M55:N55"/>
    <mergeCell ref="A54:F54"/>
    <mergeCell ref="G54:L54"/>
    <mergeCell ref="M54:N54"/>
    <mergeCell ref="O54:S54"/>
    <mergeCell ref="G69:J69"/>
    <mergeCell ref="A68:F68"/>
    <mergeCell ref="G68:J68"/>
    <mergeCell ref="K68:N68"/>
    <mergeCell ref="O68:R68"/>
    <mergeCell ref="S68:V68"/>
    <mergeCell ref="G62:V62"/>
    <mergeCell ref="G51:N51"/>
    <mergeCell ref="O51:U51"/>
    <mergeCell ref="A47:AF47"/>
    <mergeCell ref="A48:AF48"/>
    <mergeCell ref="A46:D46"/>
    <mergeCell ref="E46:P46"/>
    <mergeCell ref="Q46:T46"/>
    <mergeCell ref="U46:V46"/>
    <mergeCell ref="W46:AF46"/>
    <mergeCell ref="V51:Z51"/>
    <mergeCell ref="A45:D45"/>
    <mergeCell ref="E45:P45"/>
    <mergeCell ref="Q45:T45"/>
    <mergeCell ref="U45:V45"/>
    <mergeCell ref="W45:AF45"/>
    <mergeCell ref="A44:D44"/>
    <mergeCell ref="E44:P44"/>
    <mergeCell ref="Q44:T44"/>
    <mergeCell ref="U44:V44"/>
    <mergeCell ref="W44:AF44"/>
    <mergeCell ref="A43:D43"/>
    <mergeCell ref="E43:P43"/>
    <mergeCell ref="Q43:T43"/>
    <mergeCell ref="U43:V43"/>
    <mergeCell ref="W43:AF43"/>
    <mergeCell ref="A41:D41"/>
    <mergeCell ref="E41:P41"/>
    <mergeCell ref="Q41:T41"/>
    <mergeCell ref="U41:V41"/>
    <mergeCell ref="W41:AF41"/>
    <mergeCell ref="A42:D42"/>
    <mergeCell ref="E42:P42"/>
    <mergeCell ref="Q42:T42"/>
    <mergeCell ref="U42:V42"/>
    <mergeCell ref="W42:AF42"/>
    <mergeCell ref="A40:D40"/>
    <mergeCell ref="E40:P40"/>
    <mergeCell ref="Q40:T40"/>
    <mergeCell ref="U40:V40"/>
    <mergeCell ref="W40:AF40"/>
    <mergeCell ref="B22:AF22"/>
    <mergeCell ref="A24:AF24"/>
    <mergeCell ref="A38:AF38"/>
    <mergeCell ref="A39:D39"/>
    <mergeCell ref="E39:P39"/>
    <mergeCell ref="Q39:T39"/>
    <mergeCell ref="U39:V39"/>
    <mergeCell ref="W39:AF39"/>
    <mergeCell ref="B18:I18"/>
    <mergeCell ref="B19:AF19"/>
    <mergeCell ref="B12:I12"/>
    <mergeCell ref="B13:AF13"/>
    <mergeCell ref="B15:I15"/>
    <mergeCell ref="B16:AF16"/>
    <mergeCell ref="A1:AF1"/>
    <mergeCell ref="A3:AF3"/>
    <mergeCell ref="B5:AF5"/>
    <mergeCell ref="A7:AF7"/>
    <mergeCell ref="B9:I9"/>
    <mergeCell ref="B10:AF10"/>
  </mergeCells>
  <hyperlinks>
    <hyperlink ref="A2" location="TOC!A1" display="Return to TOC" xr:uid="{00000000-0004-0000-2C00-000000000000}"/>
  </hyperlinks>
  <pageMargins left="0.7" right="0.7" top="0.75" bottom="0.75" header="0.3" footer="0.3"/>
  <pageSetup fitToWidth="0"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2">
    <tabColor theme="4" tint="0.59999389629810485"/>
    <pageSetUpPr autoPageBreaks="0" fitToPage="1"/>
  </sheetPr>
  <dimension ref="A1:AS210"/>
  <sheetViews>
    <sheetView zoomScaleNormal="100" workbookViewId="0">
      <selection sqref="A1:AF1"/>
    </sheetView>
  </sheetViews>
  <sheetFormatPr defaultColWidth="2.6640625" defaultRowHeight="14.4" x14ac:dyDescent="0.3"/>
  <cols>
    <col min="1" max="3" width="2.6640625" style="8"/>
    <col min="4" max="4" width="3" style="8" customWidth="1"/>
    <col min="5" max="18" width="2.6640625" style="8"/>
    <col min="19" max="30" width="2.88671875" style="8" customWidth="1"/>
    <col min="31" max="16384" width="2.6640625" style="8"/>
  </cols>
  <sheetData>
    <row r="1" spans="1:32" s="1" customFormat="1" ht="18" x14ac:dyDescent="0.3">
      <c r="A1" s="1131" t="s">
        <v>1050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3">
      <c r="A5" s="121"/>
      <c r="B5" s="1258" t="s">
        <v>5763</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s="1" customFormat="1"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3">
      <c r="B9" s="51" t="s">
        <v>3</v>
      </c>
      <c r="C9" s="51"/>
      <c r="D9" s="51"/>
      <c r="E9" s="51"/>
      <c r="F9" s="51"/>
      <c r="G9" s="51"/>
      <c r="H9" s="51"/>
      <c r="I9" s="51"/>
    </row>
    <row r="10" spans="1:32" s="1" customFormat="1" ht="51.75" customHeight="1" x14ac:dyDescent="0.3">
      <c r="B10" s="872" t="s">
        <v>1854</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1" spans="1:32" s="1" customFormat="1" x14ac:dyDescent="0.3"/>
    <row r="12" spans="1:32" s="1" customFormat="1" x14ac:dyDescent="0.3">
      <c r="B12" s="51" t="s">
        <v>4</v>
      </c>
      <c r="C12" s="51"/>
      <c r="D12" s="51"/>
      <c r="E12" s="51"/>
      <c r="F12" s="51"/>
      <c r="G12" s="51"/>
      <c r="H12" s="51"/>
      <c r="I12" s="51"/>
    </row>
    <row r="13" spans="1:32" s="1" customFormat="1" x14ac:dyDescent="0.3">
      <c r="B13" s="872" t="s">
        <v>1580</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s="1" customFormat="1" x14ac:dyDescent="0.3">
      <c r="B14" s="872" t="s">
        <v>1852</v>
      </c>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A14" s="1142"/>
      <c r="AB14" s="1142"/>
      <c r="AC14" s="1142"/>
      <c r="AD14" s="1142"/>
      <c r="AE14" s="1142"/>
      <c r="AF14" s="1142"/>
    </row>
    <row r="15" spans="1:32" s="1" customFormat="1" x14ac:dyDescent="0.3"/>
    <row r="16" spans="1:32" s="1" customFormat="1" x14ac:dyDescent="0.3">
      <c r="B16" s="51" t="s">
        <v>5</v>
      </c>
      <c r="C16" s="51"/>
      <c r="D16" s="51"/>
      <c r="E16" s="51"/>
      <c r="F16" s="51"/>
      <c r="G16" s="51"/>
      <c r="H16" s="51"/>
      <c r="I16" s="51"/>
    </row>
    <row r="17" spans="1:32" s="1" customFormat="1" x14ac:dyDescent="0.3">
      <c r="B17" s="1142" t="s">
        <v>3080</v>
      </c>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row>
    <row r="18" spans="1:32" s="1" customFormat="1" x14ac:dyDescent="0.3"/>
    <row r="19" spans="1:32" s="1" customFormat="1" x14ac:dyDescent="0.3">
      <c r="B19" s="51" t="s">
        <v>6</v>
      </c>
      <c r="C19" s="51"/>
      <c r="D19" s="51"/>
      <c r="E19" s="51"/>
      <c r="F19" s="51"/>
      <c r="G19" s="51"/>
      <c r="H19" s="51"/>
      <c r="I19" s="51"/>
    </row>
    <row r="20" spans="1:32" s="1" customFormat="1" x14ac:dyDescent="0.3">
      <c r="B20" s="1258" t="s">
        <v>4608</v>
      </c>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row>
    <row r="21" spans="1:32" s="1" customFormat="1" x14ac:dyDescent="0.3">
      <c r="B21" s="267"/>
      <c r="C21" s="267"/>
      <c r="D21" s="267"/>
      <c r="E21" s="267"/>
      <c r="F21" s="267"/>
      <c r="G21" s="267"/>
      <c r="H21" s="267"/>
      <c r="I21" s="267"/>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s="4" customFormat="1" ht="138.75" customHeight="1" x14ac:dyDescent="0.3">
      <c r="B22" s="889" t="s">
        <v>5774</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s="4" customFormat="1" x14ac:dyDescent="0.3">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s="4" customFormat="1" x14ac:dyDescent="0.3">
      <c r="B24" s="1258" t="s">
        <v>4609</v>
      </c>
      <c r="C24" s="1258"/>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row>
    <row r="25" spans="1:32" s="1" customFormat="1" x14ac:dyDescent="0.3"/>
    <row r="26" spans="1:32" s="1" customFormat="1" x14ac:dyDescent="0.3">
      <c r="B26" s="51" t="s">
        <v>13</v>
      </c>
      <c r="C26" s="51"/>
      <c r="D26" s="51"/>
      <c r="E26" s="51"/>
      <c r="F26" s="51"/>
      <c r="G26" s="51"/>
      <c r="H26" s="51"/>
      <c r="I26" s="51"/>
    </row>
    <row r="27" spans="1:32" s="1" customFormat="1" ht="64.5" customHeight="1" x14ac:dyDescent="0.3">
      <c r="B27" s="889" t="s">
        <v>5775</v>
      </c>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row>
    <row r="28" spans="1:32" s="1" customFormat="1" x14ac:dyDescent="0.3"/>
    <row r="29" spans="1:32" s="1" customFormat="1" x14ac:dyDescent="0.3"/>
    <row r="30" spans="1:32" s="1" customFormat="1" x14ac:dyDescent="0.3">
      <c r="A30" s="1141" t="s">
        <v>7</v>
      </c>
      <c r="B30" s="1141"/>
      <c r="C30" s="1141"/>
      <c r="D30" s="1141"/>
      <c r="E30" s="1141"/>
      <c r="F30" s="1141"/>
      <c r="G30" s="1141"/>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row>
    <row r="31" spans="1:32" ht="14.4" customHeight="1" x14ac:dyDescent="0.3">
      <c r="A31" s="54"/>
    </row>
    <row r="32" spans="1:32" ht="14.4" customHeight="1" x14ac:dyDescent="0.3">
      <c r="A32" s="54"/>
      <c r="B32" s="231" t="s">
        <v>1856</v>
      </c>
    </row>
    <row r="33" spans="1:38" ht="14.4" customHeight="1" x14ac:dyDescent="0.3">
      <c r="A33" s="54"/>
    </row>
    <row r="34" spans="1:38" ht="14.4" customHeight="1" x14ac:dyDescent="0.3">
      <c r="A34" s="54"/>
      <c r="AF34" s="71" t="s">
        <v>1463</v>
      </c>
    </row>
    <row r="35" spans="1:38" ht="14.4" customHeight="1" x14ac:dyDescent="0.3">
      <c r="A35" s="54"/>
      <c r="AF35" s="71"/>
    </row>
    <row r="36" spans="1:38" ht="14.4" customHeight="1" x14ac:dyDescent="0.3">
      <c r="A36" s="3"/>
      <c r="B36" s="231" t="s">
        <v>2135</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4.4" customHeight="1" x14ac:dyDescent="0.3">
      <c r="A37" s="3"/>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ht="14.4" customHeight="1" x14ac:dyDescent="0.3">
      <c r="A38" s="3"/>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71" t="s">
        <v>1464</v>
      </c>
      <c r="AG38" s="1"/>
      <c r="AH38" s="1"/>
      <c r="AI38" s="1"/>
      <c r="AJ38" s="1"/>
      <c r="AK38" s="1"/>
      <c r="AL38" s="1"/>
    </row>
    <row r="39" spans="1:38" ht="14.4" customHeight="1" x14ac:dyDescent="0.3">
      <c r="A39" s="3"/>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c r="AG39" s="1"/>
      <c r="AH39" s="1"/>
      <c r="AI39" s="1"/>
      <c r="AJ39" s="1"/>
      <c r="AK39" s="1"/>
      <c r="AL39" s="1"/>
    </row>
    <row r="40" spans="1:38" ht="14.4" customHeight="1" x14ac:dyDescent="0.3">
      <c r="A40" s="3"/>
      <c r="B40" s="231" t="s">
        <v>2136</v>
      </c>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14.4" customHeight="1" x14ac:dyDescent="0.3">
      <c r="A41" s="3"/>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ht="14.4" customHeight="1" x14ac:dyDescent="0.3">
      <c r="A42" s="3"/>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71" t="s">
        <v>1465</v>
      </c>
      <c r="AG42" s="1"/>
      <c r="AH42" s="1"/>
      <c r="AI42" s="1"/>
      <c r="AJ42" s="1"/>
      <c r="AK42" s="1"/>
      <c r="AL42" s="1"/>
    </row>
    <row r="43" spans="1:38" ht="14.4" customHeight="1" x14ac:dyDescent="0.3">
      <c r="A43" s="3"/>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ht="14.4" customHeight="1" x14ac:dyDescent="0.3">
      <c r="A44" s="3"/>
      <c r="B44" s="51" t="s">
        <v>2025</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ht="14.4" customHeight="1" x14ac:dyDescent="0.3">
      <c r="A45" s="3"/>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ht="14.4" customHeight="1" x14ac:dyDescent="0.3">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t="s">
        <v>1517</v>
      </c>
      <c r="AG46" s="1"/>
      <c r="AH46" s="1"/>
      <c r="AI46" s="1"/>
      <c r="AJ46" s="1"/>
      <c r="AK46" s="1"/>
      <c r="AL46" s="1"/>
    </row>
    <row r="47" spans="1:38" ht="14.4" customHeight="1" x14ac:dyDescent="0.3">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c r="AG47" s="1"/>
      <c r="AH47" s="1"/>
      <c r="AI47" s="1"/>
      <c r="AJ47" s="1"/>
      <c r="AK47" s="1"/>
      <c r="AL47" s="1"/>
    </row>
    <row r="48" spans="1:38" ht="14.4" customHeight="1" x14ac:dyDescent="0.3">
      <c r="A48" s="3"/>
      <c r="B48" s="51" t="s">
        <v>2026</v>
      </c>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c r="AG48" s="1"/>
      <c r="AH48" s="1"/>
      <c r="AI48" s="1"/>
      <c r="AJ48" s="1"/>
      <c r="AK48" s="1"/>
      <c r="AL48" s="1"/>
    </row>
    <row r="49" spans="1:38" ht="14.4" customHeight="1" x14ac:dyDescent="0.3">
      <c r="A49" s="3"/>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c r="AG49" s="1"/>
      <c r="AH49" s="1"/>
      <c r="AI49" s="1"/>
      <c r="AJ49" s="1"/>
      <c r="AK49" s="1"/>
      <c r="AL49" s="1"/>
    </row>
    <row r="50" spans="1:38" ht="14.4" customHeight="1" x14ac:dyDescent="0.3">
      <c r="A50" s="3"/>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t="s">
        <v>1556</v>
      </c>
      <c r="AG50" s="1"/>
      <c r="AH50" s="1"/>
      <c r="AI50" s="1"/>
      <c r="AJ50" s="1"/>
      <c r="AK50" s="1"/>
      <c r="AL50" s="1"/>
    </row>
    <row r="51" spans="1:38" ht="14.4" customHeight="1" x14ac:dyDescent="0.3">
      <c r="A51" s="3"/>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G51" s="1"/>
      <c r="AH51" s="1"/>
      <c r="AI51" s="1"/>
      <c r="AJ51" s="1"/>
      <c r="AK51" s="1"/>
      <c r="AL51" s="1"/>
    </row>
    <row r="52" spans="1:38" ht="14.4" customHeight="1" x14ac:dyDescent="0.3">
      <c r="A52" s="3"/>
      <c r="B52" s="51" t="s">
        <v>1557</v>
      </c>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c r="AG52" s="1"/>
      <c r="AH52" s="1"/>
      <c r="AI52" s="1"/>
      <c r="AJ52" s="1"/>
      <c r="AK52" s="1"/>
      <c r="AL52" s="1"/>
    </row>
    <row r="53" spans="1:38" ht="14.4" customHeight="1" x14ac:dyDescent="0.3">
      <c r="A53" s="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c r="AG53" s="1"/>
      <c r="AH53" s="1"/>
      <c r="AI53" s="1"/>
      <c r="AJ53" s="1"/>
      <c r="AK53" s="1"/>
      <c r="AL53" s="1"/>
    </row>
    <row r="54" spans="1:38" ht="14.4" customHeight="1" x14ac:dyDescent="0.3">
      <c r="A54" s="3"/>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t="s">
        <v>1607</v>
      </c>
      <c r="AG54" s="1"/>
      <c r="AH54" s="1"/>
      <c r="AI54" s="1"/>
      <c r="AJ54" s="1"/>
      <c r="AK54" s="1"/>
      <c r="AL54" s="1"/>
    </row>
    <row r="55" spans="1:38" ht="14.4" customHeight="1" x14ac:dyDescent="0.3">
      <c r="A55" s="54"/>
    </row>
    <row r="56" spans="1:38" s="1" customFormat="1" x14ac:dyDescent="0.3">
      <c r="A56" s="3"/>
      <c r="B56" s="51" t="s">
        <v>1559</v>
      </c>
    </row>
    <row r="57" spans="1:38" s="1" customFormat="1" x14ac:dyDescent="0.3">
      <c r="A57" s="3"/>
    </row>
    <row r="58" spans="1:38" s="1" customFormat="1" x14ac:dyDescent="0.3">
      <c r="A58" s="3"/>
      <c r="AF58" s="71" t="s">
        <v>1608</v>
      </c>
    </row>
    <row r="59" spans="1:38" ht="14.4" customHeight="1" x14ac:dyDescent="0.3">
      <c r="A59" s="54"/>
    </row>
    <row r="60" spans="1:38" x14ac:dyDescent="0.3">
      <c r="B60" s="162"/>
    </row>
    <row r="61" spans="1:38" x14ac:dyDescent="0.3">
      <c r="A61" s="1141" t="s">
        <v>8</v>
      </c>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row>
    <row r="62" spans="1:38" x14ac:dyDescent="0.3">
      <c r="A62" s="1143" t="s">
        <v>9</v>
      </c>
      <c r="B62" s="1143"/>
      <c r="C62" s="1143"/>
      <c r="D62" s="1143"/>
      <c r="E62" s="1143" t="s">
        <v>3</v>
      </c>
      <c r="F62" s="1143"/>
      <c r="G62" s="1143"/>
      <c r="H62" s="1143"/>
      <c r="I62" s="1143"/>
      <c r="J62" s="1143"/>
      <c r="K62" s="1143"/>
      <c r="L62" s="1143"/>
      <c r="M62" s="1143"/>
      <c r="N62" s="1143"/>
      <c r="O62" s="1143"/>
      <c r="P62" s="1143"/>
      <c r="Q62" s="1143" t="s">
        <v>10</v>
      </c>
      <c r="R62" s="1143"/>
      <c r="S62" s="1143"/>
      <c r="T62" s="1143"/>
      <c r="U62" s="1143" t="s">
        <v>11</v>
      </c>
      <c r="V62" s="1143"/>
      <c r="W62" s="1143"/>
      <c r="X62" s="1143" t="s">
        <v>1466</v>
      </c>
      <c r="Y62" s="1143"/>
      <c r="Z62" s="1143"/>
      <c r="AA62" s="1143"/>
      <c r="AB62" s="1143"/>
      <c r="AC62" s="1143"/>
      <c r="AD62" s="1143"/>
      <c r="AE62" s="1143"/>
      <c r="AF62" s="1143"/>
    </row>
    <row r="63" spans="1:38" ht="44.25" customHeight="1" x14ac:dyDescent="0.3">
      <c r="A63" s="2208" t="s">
        <v>1857</v>
      </c>
      <c r="B63" s="855"/>
      <c r="C63" s="855"/>
      <c r="D63" s="855"/>
      <c r="E63" s="856" t="s">
        <v>1858</v>
      </c>
      <c r="F63" s="856"/>
      <c r="G63" s="856"/>
      <c r="H63" s="856"/>
      <c r="I63" s="856"/>
      <c r="J63" s="856"/>
      <c r="K63" s="856"/>
      <c r="L63" s="856"/>
      <c r="M63" s="856"/>
      <c r="N63" s="856"/>
      <c r="O63" s="856"/>
      <c r="P63" s="856"/>
      <c r="Q63" s="2209" t="s">
        <v>516</v>
      </c>
      <c r="R63" s="2209"/>
      <c r="S63" s="2209"/>
      <c r="T63" s="2209"/>
      <c r="U63" s="1275" t="s">
        <v>18</v>
      </c>
      <c r="V63" s="1275"/>
      <c r="W63" s="1275"/>
      <c r="X63" s="1186"/>
      <c r="Y63" s="1186"/>
      <c r="Z63" s="1186"/>
      <c r="AA63" s="1186"/>
      <c r="AB63" s="1186"/>
      <c r="AC63" s="1186"/>
      <c r="AD63" s="1186"/>
      <c r="AE63" s="1186"/>
      <c r="AF63" s="1186"/>
    </row>
    <row r="64" spans="1:38" ht="29.1" customHeight="1" x14ac:dyDescent="0.3">
      <c r="A64" s="2208" t="s">
        <v>1859</v>
      </c>
      <c r="B64" s="855"/>
      <c r="C64" s="855"/>
      <c r="D64" s="855"/>
      <c r="E64" s="856" t="s">
        <v>1860</v>
      </c>
      <c r="F64" s="856"/>
      <c r="G64" s="856"/>
      <c r="H64" s="856"/>
      <c r="I64" s="856"/>
      <c r="J64" s="856"/>
      <c r="K64" s="856"/>
      <c r="L64" s="856"/>
      <c r="M64" s="856"/>
      <c r="N64" s="856"/>
      <c r="O64" s="856"/>
      <c r="P64" s="856"/>
      <c r="Q64" s="2209" t="s">
        <v>516</v>
      </c>
      <c r="R64" s="2209"/>
      <c r="S64" s="2209"/>
      <c r="T64" s="2209"/>
      <c r="U64" s="1275" t="s">
        <v>18</v>
      </c>
      <c r="V64" s="1275"/>
      <c r="W64" s="1275"/>
      <c r="X64" s="1186"/>
      <c r="Y64" s="1186"/>
      <c r="Z64" s="1186"/>
      <c r="AA64" s="1186"/>
      <c r="AB64" s="1186"/>
      <c r="AC64" s="1186"/>
      <c r="AD64" s="1186"/>
      <c r="AE64" s="1186"/>
      <c r="AF64" s="1186"/>
    </row>
    <row r="65" spans="1:32" ht="28.5" customHeight="1" x14ac:dyDescent="0.3">
      <c r="A65" s="855" t="s">
        <v>2962</v>
      </c>
      <c r="B65" s="855"/>
      <c r="C65" s="855"/>
      <c r="D65" s="855"/>
      <c r="E65" s="856" t="s">
        <v>261</v>
      </c>
      <c r="F65" s="856"/>
      <c r="G65" s="856"/>
      <c r="H65" s="856"/>
      <c r="I65" s="856"/>
      <c r="J65" s="856"/>
      <c r="K65" s="856"/>
      <c r="L65" s="856"/>
      <c r="M65" s="856"/>
      <c r="N65" s="856"/>
      <c r="O65" s="856"/>
      <c r="P65" s="856"/>
      <c r="Q65" s="2209" t="s">
        <v>516</v>
      </c>
      <c r="R65" s="2209"/>
      <c r="S65" s="2209"/>
      <c r="T65" s="2209"/>
      <c r="U65" s="1275" t="s">
        <v>20</v>
      </c>
      <c r="V65" s="1275"/>
      <c r="W65" s="1275"/>
      <c r="X65" s="1186" t="s">
        <v>643</v>
      </c>
      <c r="Y65" s="1186"/>
      <c r="Z65" s="1186"/>
      <c r="AA65" s="1186"/>
      <c r="AB65" s="1186"/>
      <c r="AC65" s="1186"/>
      <c r="AD65" s="1186"/>
      <c r="AE65" s="1186"/>
      <c r="AF65" s="1186"/>
    </row>
    <row r="66" spans="1:32" ht="28.5" customHeight="1" x14ac:dyDescent="0.3">
      <c r="A66" s="855" t="s">
        <v>2963</v>
      </c>
      <c r="B66" s="855"/>
      <c r="C66" s="855"/>
      <c r="D66" s="855"/>
      <c r="E66" s="856" t="s">
        <v>262</v>
      </c>
      <c r="F66" s="856"/>
      <c r="G66" s="856"/>
      <c r="H66" s="856"/>
      <c r="I66" s="856"/>
      <c r="J66" s="856"/>
      <c r="K66" s="856"/>
      <c r="L66" s="856"/>
      <c r="M66" s="856"/>
      <c r="N66" s="856"/>
      <c r="O66" s="856"/>
      <c r="P66" s="856"/>
      <c r="Q66" s="2209" t="s">
        <v>516</v>
      </c>
      <c r="R66" s="2209"/>
      <c r="S66" s="2209"/>
      <c r="T66" s="2209"/>
      <c r="U66" s="1275" t="s">
        <v>20</v>
      </c>
      <c r="V66" s="1275"/>
      <c r="W66" s="1275"/>
      <c r="X66" s="1186" t="s">
        <v>643</v>
      </c>
      <c r="Y66" s="1186"/>
      <c r="Z66" s="1186"/>
      <c r="AA66" s="1186"/>
      <c r="AB66" s="1186"/>
      <c r="AC66" s="1186"/>
      <c r="AD66" s="1186"/>
      <c r="AE66" s="1186"/>
      <c r="AF66" s="1186"/>
    </row>
    <row r="67" spans="1:32" ht="88.5" customHeight="1" x14ac:dyDescent="0.3">
      <c r="A67" s="855" t="s">
        <v>1861</v>
      </c>
      <c r="B67" s="855"/>
      <c r="C67" s="855"/>
      <c r="D67" s="855"/>
      <c r="E67" s="856" t="s">
        <v>1862</v>
      </c>
      <c r="F67" s="856"/>
      <c r="G67" s="856"/>
      <c r="H67" s="856"/>
      <c r="I67" s="856"/>
      <c r="J67" s="856"/>
      <c r="K67" s="856"/>
      <c r="L67" s="856"/>
      <c r="M67" s="856"/>
      <c r="N67" s="856"/>
      <c r="O67" s="856"/>
      <c r="P67" s="856"/>
      <c r="Q67" s="2209">
        <v>0.34</v>
      </c>
      <c r="R67" s="2209"/>
      <c r="S67" s="2209"/>
      <c r="T67" s="2209"/>
      <c r="U67" s="1275" t="s">
        <v>20</v>
      </c>
      <c r="V67" s="1275"/>
      <c r="W67" s="1275"/>
      <c r="X67" s="1186" t="s">
        <v>2961</v>
      </c>
      <c r="Y67" s="1186"/>
      <c r="Z67" s="1186"/>
      <c r="AA67" s="1186"/>
      <c r="AB67" s="1186"/>
      <c r="AC67" s="1186"/>
      <c r="AD67" s="1186"/>
      <c r="AE67" s="1186"/>
      <c r="AF67" s="1186"/>
    </row>
    <row r="68" spans="1:32" ht="29.1" customHeight="1" x14ac:dyDescent="0.3">
      <c r="A68" s="855" t="s">
        <v>1519</v>
      </c>
      <c r="B68" s="855"/>
      <c r="C68" s="855"/>
      <c r="D68" s="855"/>
      <c r="E68" s="856" t="s">
        <v>1583</v>
      </c>
      <c r="F68" s="856"/>
      <c r="G68" s="856"/>
      <c r="H68" s="856"/>
      <c r="I68" s="856"/>
      <c r="J68" s="856"/>
      <c r="K68" s="856"/>
      <c r="L68" s="856"/>
      <c r="M68" s="856"/>
      <c r="N68" s="856"/>
      <c r="O68" s="856"/>
      <c r="P68" s="856"/>
      <c r="Q68" s="2209" t="s">
        <v>516</v>
      </c>
      <c r="R68" s="2209"/>
      <c r="S68" s="2209"/>
      <c r="T68" s="2209"/>
      <c r="U68" s="1275" t="s">
        <v>18</v>
      </c>
      <c r="V68" s="1275"/>
      <c r="W68" s="1275"/>
      <c r="X68" s="1186"/>
      <c r="Y68" s="1186"/>
      <c r="Z68" s="1186"/>
      <c r="AA68" s="1186"/>
      <c r="AB68" s="1186"/>
      <c r="AC68" s="1186"/>
      <c r="AD68" s="1186"/>
      <c r="AE68" s="1186"/>
      <c r="AF68" s="1186"/>
    </row>
    <row r="69" spans="1:32" ht="29.1" customHeight="1" x14ac:dyDescent="0.3">
      <c r="A69" s="855" t="s">
        <v>1520</v>
      </c>
      <c r="B69" s="855"/>
      <c r="C69" s="855"/>
      <c r="D69" s="855"/>
      <c r="E69" s="856" t="s">
        <v>1584</v>
      </c>
      <c r="F69" s="856"/>
      <c r="G69" s="856"/>
      <c r="H69" s="856"/>
      <c r="I69" s="856"/>
      <c r="J69" s="856"/>
      <c r="K69" s="856"/>
      <c r="L69" s="856"/>
      <c r="M69" s="856"/>
      <c r="N69" s="856"/>
      <c r="O69" s="856"/>
      <c r="P69" s="856"/>
      <c r="Q69" s="2209" t="s">
        <v>516</v>
      </c>
      <c r="R69" s="2209"/>
      <c r="S69" s="2209"/>
      <c r="T69" s="2209"/>
      <c r="U69" s="1275" t="s">
        <v>18</v>
      </c>
      <c r="V69" s="1275"/>
      <c r="W69" s="1275"/>
      <c r="X69" s="1186"/>
      <c r="Y69" s="1186"/>
      <c r="Z69" s="1186"/>
      <c r="AA69" s="1186"/>
      <c r="AB69" s="1186"/>
      <c r="AC69" s="1186"/>
      <c r="AD69" s="1186"/>
      <c r="AE69" s="1186"/>
      <c r="AF69" s="1186"/>
    </row>
    <row r="70" spans="1:32" ht="29.1" customHeight="1" x14ac:dyDescent="0.3">
      <c r="A70" s="1246" t="s">
        <v>1522</v>
      </c>
      <c r="B70" s="2205"/>
      <c r="C70" s="2205"/>
      <c r="D70" s="2206"/>
      <c r="E70" s="1148" t="s">
        <v>1845</v>
      </c>
      <c r="F70" s="1149"/>
      <c r="G70" s="1149"/>
      <c r="H70" s="1149"/>
      <c r="I70" s="1149"/>
      <c r="J70" s="1149"/>
      <c r="K70" s="1149"/>
      <c r="L70" s="1149"/>
      <c r="M70" s="1149"/>
      <c r="N70" s="1149"/>
      <c r="O70" s="1149"/>
      <c r="P70" s="1150"/>
      <c r="Q70" s="2210">
        <v>0.98</v>
      </c>
      <c r="R70" s="2211"/>
      <c r="S70" s="2211"/>
      <c r="T70" s="2212"/>
      <c r="U70" s="1275" t="s">
        <v>20</v>
      </c>
      <c r="V70" s="1275"/>
      <c r="W70" s="1275"/>
      <c r="X70" s="1186" t="s">
        <v>1518</v>
      </c>
      <c r="Y70" s="1186"/>
      <c r="Z70" s="1186"/>
      <c r="AA70" s="1186"/>
      <c r="AB70" s="1186"/>
      <c r="AC70" s="1186"/>
      <c r="AD70" s="1186"/>
      <c r="AE70" s="1186"/>
      <c r="AF70" s="1186"/>
    </row>
    <row r="71" spans="1:32" ht="94.5" customHeight="1" x14ac:dyDescent="0.3">
      <c r="A71" s="1246" t="s">
        <v>21</v>
      </c>
      <c r="B71" s="2205"/>
      <c r="C71" s="2205"/>
      <c r="D71" s="2206"/>
      <c r="E71" s="1148" t="s">
        <v>1460</v>
      </c>
      <c r="F71" s="1149"/>
      <c r="G71" s="1149"/>
      <c r="H71" s="1149"/>
      <c r="I71" s="1149"/>
      <c r="J71" s="1149"/>
      <c r="K71" s="1149"/>
      <c r="L71" s="1149"/>
      <c r="M71" s="1149"/>
      <c r="N71" s="1149"/>
      <c r="O71" s="1149"/>
      <c r="P71" s="1150"/>
      <c r="Q71" s="2207" t="s">
        <v>1866</v>
      </c>
      <c r="R71" s="2207"/>
      <c r="S71" s="2207"/>
      <c r="T71" s="2207"/>
      <c r="U71" s="1275" t="s">
        <v>20</v>
      </c>
      <c r="V71" s="1275"/>
      <c r="W71" s="1275"/>
      <c r="X71" s="1186" t="s">
        <v>2813</v>
      </c>
      <c r="Y71" s="1186"/>
      <c r="Z71" s="1186"/>
      <c r="AA71" s="1186"/>
      <c r="AB71" s="1186"/>
      <c r="AC71" s="1186"/>
      <c r="AD71" s="1186"/>
      <c r="AE71" s="1186"/>
      <c r="AF71" s="1186"/>
    </row>
    <row r="72" spans="1:32" ht="78.75" customHeight="1" x14ac:dyDescent="0.3">
      <c r="A72" s="2208" t="s">
        <v>1863</v>
      </c>
      <c r="B72" s="855"/>
      <c r="C72" s="855"/>
      <c r="D72" s="855"/>
      <c r="E72" s="2136" t="s">
        <v>1531</v>
      </c>
      <c r="F72" s="856"/>
      <c r="G72" s="856"/>
      <c r="H72" s="856"/>
      <c r="I72" s="856"/>
      <c r="J72" s="856"/>
      <c r="K72" s="856"/>
      <c r="L72" s="856"/>
      <c r="M72" s="856"/>
      <c r="N72" s="856"/>
      <c r="O72" s="856"/>
      <c r="P72" s="856"/>
      <c r="Q72" s="2207" t="s">
        <v>1865</v>
      </c>
      <c r="R72" s="2207"/>
      <c r="S72" s="2207"/>
      <c r="T72" s="2207"/>
      <c r="U72" s="1275" t="s">
        <v>20</v>
      </c>
      <c r="V72" s="1275"/>
      <c r="W72" s="1275"/>
      <c r="X72" s="1385" t="s">
        <v>5776</v>
      </c>
      <c r="Y72" s="1385"/>
      <c r="Z72" s="1385"/>
      <c r="AA72" s="1385"/>
      <c r="AB72" s="1385"/>
      <c r="AC72" s="1385"/>
      <c r="AD72" s="1385"/>
      <c r="AE72" s="1385"/>
      <c r="AF72" s="1385"/>
    </row>
    <row r="73" spans="1:32" ht="79.5" customHeight="1" x14ac:dyDescent="0.3">
      <c r="A73" s="2208" t="s">
        <v>1864</v>
      </c>
      <c r="B73" s="855"/>
      <c r="C73" s="855"/>
      <c r="D73" s="855"/>
      <c r="E73" s="2136" t="s">
        <v>1530</v>
      </c>
      <c r="F73" s="856"/>
      <c r="G73" s="856"/>
      <c r="H73" s="856"/>
      <c r="I73" s="856"/>
      <c r="J73" s="856"/>
      <c r="K73" s="856"/>
      <c r="L73" s="856"/>
      <c r="M73" s="856"/>
      <c r="N73" s="856"/>
      <c r="O73" s="856"/>
      <c r="P73" s="856"/>
      <c r="Q73" s="2207" t="s">
        <v>1865</v>
      </c>
      <c r="R73" s="2207"/>
      <c r="S73" s="2207"/>
      <c r="T73" s="2207"/>
      <c r="U73" s="1275" t="s">
        <v>20</v>
      </c>
      <c r="V73" s="1275"/>
      <c r="W73" s="1275"/>
      <c r="X73" s="1385" t="s">
        <v>5776</v>
      </c>
      <c r="Y73" s="1385"/>
      <c r="Z73" s="1385"/>
      <c r="AA73" s="1385"/>
      <c r="AB73" s="1385"/>
      <c r="AC73" s="1385"/>
      <c r="AD73" s="1385"/>
      <c r="AE73" s="1385"/>
      <c r="AF73" s="1385"/>
    </row>
    <row r="74" spans="1:32" ht="78" customHeight="1" x14ac:dyDescent="0.3">
      <c r="A74" s="1246" t="s">
        <v>1867</v>
      </c>
      <c r="B74" s="2205"/>
      <c r="C74" s="2205"/>
      <c r="D74" s="2206"/>
      <c r="E74" s="1148" t="s">
        <v>1596</v>
      </c>
      <c r="F74" s="1149"/>
      <c r="G74" s="1149"/>
      <c r="H74" s="1149"/>
      <c r="I74" s="1149"/>
      <c r="J74" s="1149"/>
      <c r="K74" s="1149"/>
      <c r="L74" s="1149"/>
      <c r="M74" s="1149"/>
      <c r="N74" s="1149"/>
      <c r="O74" s="1149"/>
      <c r="P74" s="1150"/>
      <c r="Q74" s="2207" t="s">
        <v>1868</v>
      </c>
      <c r="R74" s="2207"/>
      <c r="S74" s="2207"/>
      <c r="T74" s="2207"/>
      <c r="U74" s="1275" t="s">
        <v>1597</v>
      </c>
      <c r="V74" s="1275"/>
      <c r="W74" s="1275"/>
      <c r="X74" s="1186" t="s">
        <v>1888</v>
      </c>
      <c r="Y74" s="1186"/>
      <c r="Z74" s="1186"/>
      <c r="AA74" s="1186"/>
      <c r="AB74" s="1186"/>
      <c r="AC74" s="1186"/>
      <c r="AD74" s="1186"/>
      <c r="AE74" s="1186"/>
      <c r="AF74" s="1186"/>
    </row>
    <row r="75" spans="1:32" ht="29.1" customHeight="1" x14ac:dyDescent="0.3">
      <c r="A75" s="1154" t="s">
        <v>34</v>
      </c>
      <c r="B75" s="1155"/>
      <c r="C75" s="1155"/>
      <c r="D75" s="1156"/>
      <c r="E75" s="1148" t="s">
        <v>644</v>
      </c>
      <c r="F75" s="1149"/>
      <c r="G75" s="1149"/>
      <c r="H75" s="1149"/>
      <c r="I75" s="1149"/>
      <c r="J75" s="1149"/>
      <c r="K75" s="1149"/>
      <c r="L75" s="1149"/>
      <c r="M75" s="1149"/>
      <c r="N75" s="1149"/>
      <c r="O75" s="1149"/>
      <c r="P75" s="1150"/>
      <c r="Q75" s="2210">
        <v>1</v>
      </c>
      <c r="R75" s="2211"/>
      <c r="S75" s="2211"/>
      <c r="T75" s="2212"/>
      <c r="U75" s="1243" t="s">
        <v>20</v>
      </c>
      <c r="V75" s="1244"/>
      <c r="W75" s="1245"/>
      <c r="X75" s="1794" t="s">
        <v>1890</v>
      </c>
      <c r="Y75" s="1795"/>
      <c r="Z75" s="1795"/>
      <c r="AA75" s="1795"/>
      <c r="AB75" s="1795"/>
      <c r="AC75" s="1795"/>
      <c r="AD75" s="1795"/>
      <c r="AE75" s="1795"/>
      <c r="AF75" s="1796"/>
    </row>
    <row r="76" spans="1:32" ht="78" customHeight="1" x14ac:dyDescent="0.3">
      <c r="A76" s="1154" t="s">
        <v>1555</v>
      </c>
      <c r="B76" s="1155"/>
      <c r="C76" s="1155"/>
      <c r="D76" s="1156"/>
      <c r="E76" s="1148" t="s">
        <v>1614</v>
      </c>
      <c r="F76" s="1149"/>
      <c r="G76" s="1149"/>
      <c r="H76" s="1149"/>
      <c r="I76" s="1149"/>
      <c r="J76" s="1149"/>
      <c r="K76" s="1149"/>
      <c r="L76" s="1149"/>
      <c r="M76" s="1149"/>
      <c r="N76" s="1149"/>
      <c r="O76" s="1149"/>
      <c r="P76" s="1150"/>
      <c r="Q76" s="2207" t="s">
        <v>1870</v>
      </c>
      <c r="R76" s="2207"/>
      <c r="S76" s="2207"/>
      <c r="T76" s="2207"/>
      <c r="U76" s="1243" t="s">
        <v>38</v>
      </c>
      <c r="V76" s="1244"/>
      <c r="W76" s="1245"/>
      <c r="X76" s="1794" t="s">
        <v>1889</v>
      </c>
      <c r="Y76" s="1795"/>
      <c r="Z76" s="1795"/>
      <c r="AA76" s="1795"/>
      <c r="AB76" s="1795"/>
      <c r="AC76" s="1795"/>
      <c r="AD76" s="1795"/>
      <c r="AE76" s="1795"/>
      <c r="AF76" s="1796"/>
    </row>
    <row r="77" spans="1:32" ht="78" customHeight="1" x14ac:dyDescent="0.3">
      <c r="A77" s="855" t="s">
        <v>1869</v>
      </c>
      <c r="B77" s="855"/>
      <c r="C77" s="855"/>
      <c r="D77" s="855"/>
      <c r="E77" s="856" t="s">
        <v>1613</v>
      </c>
      <c r="F77" s="856"/>
      <c r="G77" s="856"/>
      <c r="H77" s="856"/>
      <c r="I77" s="856"/>
      <c r="J77" s="856"/>
      <c r="K77" s="856"/>
      <c r="L77" s="856"/>
      <c r="M77" s="856"/>
      <c r="N77" s="856"/>
      <c r="O77" s="856"/>
      <c r="P77" s="856"/>
      <c r="Q77" s="2207" t="s">
        <v>1871</v>
      </c>
      <c r="R77" s="2207"/>
      <c r="S77" s="2207"/>
      <c r="T77" s="2207"/>
      <c r="U77" s="1275" t="s">
        <v>38</v>
      </c>
      <c r="V77" s="1275"/>
      <c r="W77" s="1275"/>
      <c r="X77" s="1794" t="s">
        <v>1889</v>
      </c>
      <c r="Y77" s="1795"/>
      <c r="Z77" s="1795"/>
      <c r="AA77" s="1795"/>
      <c r="AB77" s="1795"/>
      <c r="AC77" s="1795"/>
      <c r="AD77" s="1795"/>
      <c r="AE77" s="1795"/>
      <c r="AF77" s="1796"/>
    </row>
    <row r="78" spans="1:32" ht="45.75" customHeight="1" x14ac:dyDescent="0.3">
      <c r="A78" s="1270" t="s">
        <v>1895</v>
      </c>
      <c r="B78" s="1270"/>
      <c r="C78" s="1270"/>
      <c r="D78" s="1270"/>
      <c r="E78" s="1270"/>
      <c r="F78" s="1270"/>
      <c r="G78" s="1270"/>
      <c r="H78" s="1270"/>
      <c r="I78" s="1270"/>
      <c r="J78" s="1270"/>
      <c r="K78" s="1270"/>
      <c r="L78" s="1270"/>
      <c r="M78" s="1270"/>
      <c r="N78" s="1270"/>
      <c r="O78" s="1270"/>
      <c r="P78" s="1270"/>
      <c r="Q78" s="1270"/>
      <c r="R78" s="1270"/>
      <c r="S78" s="1270"/>
      <c r="T78" s="1270"/>
      <c r="U78" s="1270"/>
      <c r="V78" s="1270"/>
      <c r="W78" s="1270"/>
      <c r="X78" s="1270"/>
      <c r="Y78" s="1270"/>
      <c r="Z78" s="1270"/>
      <c r="AA78" s="1270"/>
      <c r="AB78" s="1270"/>
      <c r="AC78" s="1270"/>
      <c r="AD78" s="1270"/>
      <c r="AE78" s="1270"/>
      <c r="AF78" s="1270"/>
    </row>
    <row r="79" spans="1:32" ht="30.75" customHeight="1" x14ac:dyDescent="0.3">
      <c r="A79" s="1082" t="s">
        <v>1891</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3.75" customHeight="1" x14ac:dyDescent="0.3">
      <c r="A80" s="1082" t="s">
        <v>1892</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20.25" customHeight="1" x14ac:dyDescent="0.3">
      <c r="A81" s="1082" t="s">
        <v>1893</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20.25" customHeight="1" x14ac:dyDescent="0.3">
      <c r="A82" s="1082" t="s">
        <v>1894</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4" spans="1:32" x14ac:dyDescent="0.3">
      <c r="A84" s="3" t="s">
        <v>236</v>
      </c>
      <c r="Y84" s="111"/>
    </row>
    <row r="85" spans="1:32" ht="28.95" customHeight="1" x14ac:dyDescent="0.3">
      <c r="A85" s="2015" t="s">
        <v>237</v>
      </c>
      <c r="B85" s="2015"/>
      <c r="C85" s="2015"/>
      <c r="D85" s="2015"/>
      <c r="E85" s="2015"/>
      <c r="F85" s="2015"/>
      <c r="G85" s="2015" t="s">
        <v>1872</v>
      </c>
      <c r="H85" s="2015"/>
      <c r="I85" s="2015"/>
      <c r="J85" s="2015" t="s">
        <v>1873</v>
      </c>
      <c r="K85" s="2015"/>
      <c r="L85" s="2015"/>
      <c r="M85" s="2015" t="s">
        <v>1874</v>
      </c>
      <c r="N85" s="2015"/>
      <c r="O85" s="2015"/>
      <c r="P85" s="2015" t="s">
        <v>1875</v>
      </c>
      <c r="Q85" s="2015"/>
      <c r="R85" s="2015"/>
      <c r="S85" s="2007" t="s">
        <v>1876</v>
      </c>
      <c r="T85" s="2007"/>
      <c r="U85" s="2007"/>
      <c r="V85" s="2007" t="s">
        <v>1877</v>
      </c>
      <c r="W85" s="2007"/>
      <c r="X85" s="2007"/>
      <c r="Y85" s="2015" t="s">
        <v>12</v>
      </c>
      <c r="Z85" s="2015"/>
      <c r="AA85" s="2015"/>
      <c r="AB85" s="2015"/>
      <c r="AC85" s="2015"/>
      <c r="AD85" s="2015"/>
      <c r="AE85" s="2015"/>
      <c r="AF85" s="2015"/>
    </row>
    <row r="86" spans="1:32" ht="58.5" customHeight="1" x14ac:dyDescent="0.3">
      <c r="A86" s="2036" t="s">
        <v>641</v>
      </c>
      <c r="B86" s="2036"/>
      <c r="C86" s="2036"/>
      <c r="D86" s="2036"/>
      <c r="E86" s="2036"/>
      <c r="F86" s="2036"/>
      <c r="G86" s="2009">
        <f>R_Light_LED!$L$89</f>
        <v>4.7379999999999992E-2</v>
      </c>
      <c r="H86" s="2009"/>
      <c r="I86" s="2009"/>
      <c r="J86" s="2009">
        <f>R_Light_LED!$Q$89</f>
        <v>2.3839999999999997E-2</v>
      </c>
      <c r="K86" s="2009"/>
      <c r="L86" s="2009"/>
      <c r="M86" s="2009">
        <f>R_Light_LED!$V$89</f>
        <v>1.005E-2</v>
      </c>
      <c r="N86" s="2009"/>
      <c r="O86" s="2009"/>
      <c r="P86" s="2203">
        <v>0.12</v>
      </c>
      <c r="Q86" s="2203"/>
      <c r="R86" s="2203"/>
      <c r="S86" s="2204">
        <f t="shared" ref="S86:S91" si="0">1-P86</f>
        <v>0.88</v>
      </c>
      <c r="T86" s="2204"/>
      <c r="U86" s="2204"/>
      <c r="V86" s="2009">
        <f>M86*P86*(1-$Q$67)+M86*S86</f>
        <v>9.6399599999999995E-3</v>
      </c>
      <c r="W86" s="2009"/>
      <c r="X86" s="2009"/>
      <c r="Y86" s="2011" t="s">
        <v>1878</v>
      </c>
      <c r="Z86" s="2011"/>
      <c r="AA86" s="2011"/>
      <c r="AB86" s="2011"/>
      <c r="AC86" s="2011"/>
      <c r="AD86" s="2011"/>
      <c r="AE86" s="2011"/>
      <c r="AF86" s="2011"/>
    </row>
    <row r="87" spans="1:32" ht="39.75" customHeight="1" x14ac:dyDescent="0.3">
      <c r="A87" s="2036" t="s">
        <v>642</v>
      </c>
      <c r="B87" s="2036"/>
      <c r="C87" s="2036"/>
      <c r="D87" s="2036"/>
      <c r="E87" s="2036"/>
      <c r="F87" s="2036"/>
      <c r="G87" s="2009">
        <v>2.5999999999999999E-2</v>
      </c>
      <c r="H87" s="2009"/>
      <c r="I87" s="2009"/>
      <c r="J87" s="2008" t="s">
        <v>20</v>
      </c>
      <c r="K87" s="2009"/>
      <c r="L87" s="2009"/>
      <c r="M87" s="2009">
        <v>8.9999999999999993E-3</v>
      </c>
      <c r="N87" s="2009"/>
      <c r="O87" s="2009"/>
      <c r="P87" s="2203">
        <v>0.12</v>
      </c>
      <c r="Q87" s="2203"/>
      <c r="R87" s="2203"/>
      <c r="S87" s="2204">
        <f t="shared" si="0"/>
        <v>0.88</v>
      </c>
      <c r="T87" s="2204"/>
      <c r="U87" s="2204"/>
      <c r="V87" s="2009">
        <f t="shared" ref="V87:V90" si="1">M87*P87*(1-$Q$67)+M87*S87</f>
        <v>8.6327999999999995E-3</v>
      </c>
      <c r="W87" s="2009"/>
      <c r="X87" s="2009"/>
      <c r="Y87" s="2011" t="s">
        <v>1879</v>
      </c>
      <c r="Z87" s="2011"/>
      <c r="AA87" s="2011"/>
      <c r="AB87" s="2011"/>
      <c r="AC87" s="2011"/>
      <c r="AD87" s="2011"/>
      <c r="AE87" s="2011"/>
      <c r="AF87" s="2011"/>
    </row>
    <row r="88" spans="1:32" ht="72" customHeight="1" x14ac:dyDescent="0.3">
      <c r="A88" s="2036" t="s">
        <v>246</v>
      </c>
      <c r="B88" s="2036"/>
      <c r="C88" s="2036"/>
      <c r="D88" s="2036"/>
      <c r="E88" s="2036"/>
      <c r="F88" s="2036"/>
      <c r="G88" s="2009">
        <v>0.05</v>
      </c>
      <c r="H88" s="2009"/>
      <c r="I88" s="2009"/>
      <c r="J88" s="2009">
        <v>1.0999999999999999E-2</v>
      </c>
      <c r="K88" s="2009"/>
      <c r="L88" s="2009"/>
      <c r="M88" s="2009">
        <v>6.4999999999999997E-3</v>
      </c>
      <c r="N88" s="2009"/>
      <c r="O88" s="2009"/>
      <c r="P88" s="2203">
        <v>0.66</v>
      </c>
      <c r="Q88" s="2203"/>
      <c r="R88" s="2203"/>
      <c r="S88" s="2204">
        <f t="shared" si="0"/>
        <v>0.33999999999999997</v>
      </c>
      <c r="T88" s="2204"/>
      <c r="U88" s="2204"/>
      <c r="V88" s="2009">
        <f t="shared" si="1"/>
        <v>5.0413999999999997E-3</v>
      </c>
      <c r="W88" s="2009"/>
      <c r="X88" s="2009"/>
      <c r="Y88" s="2011" t="s">
        <v>1880</v>
      </c>
      <c r="Z88" s="2011"/>
      <c r="AA88" s="2011"/>
      <c r="AB88" s="2011"/>
      <c r="AC88" s="2011"/>
      <c r="AD88" s="2011"/>
      <c r="AE88" s="2011"/>
      <c r="AF88" s="2011"/>
    </row>
    <row r="89" spans="1:32" ht="72" customHeight="1" x14ac:dyDescent="0.3">
      <c r="A89" s="2036" t="s">
        <v>247</v>
      </c>
      <c r="B89" s="2036"/>
      <c r="C89" s="2036"/>
      <c r="D89" s="2036"/>
      <c r="E89" s="2036"/>
      <c r="F89" s="2036"/>
      <c r="G89" s="2009">
        <v>3.9E-2</v>
      </c>
      <c r="H89" s="2009"/>
      <c r="I89" s="2009"/>
      <c r="J89" s="2009">
        <v>1.2E-2</v>
      </c>
      <c r="K89" s="2009"/>
      <c r="L89" s="2009"/>
      <c r="M89" s="2009">
        <v>7.0000000000000001E-3</v>
      </c>
      <c r="N89" s="2009"/>
      <c r="O89" s="2009"/>
      <c r="P89" s="2203">
        <v>0.08</v>
      </c>
      <c r="Q89" s="2203"/>
      <c r="R89" s="2203"/>
      <c r="S89" s="2204">
        <f t="shared" si="0"/>
        <v>0.92</v>
      </c>
      <c r="T89" s="2204"/>
      <c r="U89" s="2204"/>
      <c r="V89" s="2009">
        <f t="shared" si="1"/>
        <v>6.8096000000000007E-3</v>
      </c>
      <c r="W89" s="2009"/>
      <c r="X89" s="2009"/>
      <c r="Y89" s="2011" t="s">
        <v>1880</v>
      </c>
      <c r="Z89" s="2011"/>
      <c r="AA89" s="2011"/>
      <c r="AB89" s="2011"/>
      <c r="AC89" s="2011"/>
      <c r="AD89" s="2011"/>
      <c r="AE89" s="2011"/>
      <c r="AF89" s="2011"/>
    </row>
    <row r="90" spans="1:32" ht="72" customHeight="1" x14ac:dyDescent="0.3">
      <c r="A90" s="2036" t="s">
        <v>248</v>
      </c>
      <c r="B90" s="2036"/>
      <c r="C90" s="2036"/>
      <c r="D90" s="2036"/>
      <c r="E90" s="2036"/>
      <c r="F90" s="2036"/>
      <c r="G90" s="2009">
        <v>0.06</v>
      </c>
      <c r="H90" s="2009"/>
      <c r="I90" s="2009"/>
      <c r="J90" s="2009">
        <v>0.02</v>
      </c>
      <c r="K90" s="2009"/>
      <c r="L90" s="2009"/>
      <c r="M90" s="2009">
        <v>1.2999999999999999E-2</v>
      </c>
      <c r="N90" s="2009"/>
      <c r="O90" s="2009"/>
      <c r="P90" s="2203">
        <v>0.27</v>
      </c>
      <c r="Q90" s="2203"/>
      <c r="R90" s="2203"/>
      <c r="S90" s="2204">
        <f t="shared" si="0"/>
        <v>0.73</v>
      </c>
      <c r="T90" s="2204"/>
      <c r="U90" s="2204"/>
      <c r="V90" s="2009">
        <f t="shared" si="1"/>
        <v>1.18066E-2</v>
      </c>
      <c r="W90" s="2009"/>
      <c r="X90" s="2009"/>
      <c r="Y90" s="2011" t="s">
        <v>1880</v>
      </c>
      <c r="Z90" s="2011"/>
      <c r="AA90" s="2011"/>
      <c r="AB90" s="2011"/>
      <c r="AC90" s="2011"/>
      <c r="AD90" s="2011"/>
      <c r="AE90" s="2011"/>
      <c r="AF90" s="2011"/>
    </row>
    <row r="91" spans="1:32" ht="72" customHeight="1" x14ac:dyDescent="0.3">
      <c r="A91" s="2036" t="s">
        <v>249</v>
      </c>
      <c r="B91" s="2036"/>
      <c r="C91" s="2036"/>
      <c r="D91" s="2036"/>
      <c r="E91" s="2036"/>
      <c r="F91" s="2036"/>
      <c r="G91" s="2009">
        <v>0.06</v>
      </c>
      <c r="H91" s="2009"/>
      <c r="I91" s="2009"/>
      <c r="J91" s="2009">
        <v>2.4E-2</v>
      </c>
      <c r="K91" s="2009"/>
      <c r="L91" s="2009"/>
      <c r="M91" s="2009">
        <v>1.4999999999999999E-2</v>
      </c>
      <c r="N91" s="2009"/>
      <c r="O91" s="2009"/>
      <c r="P91" s="2203">
        <v>0.39</v>
      </c>
      <c r="Q91" s="2203"/>
      <c r="R91" s="2203"/>
      <c r="S91" s="2204">
        <f t="shared" si="0"/>
        <v>0.61</v>
      </c>
      <c r="T91" s="2204"/>
      <c r="U91" s="2204"/>
      <c r="V91" s="2009">
        <f>M91*P91*(1-$Q$67)+M91*S91</f>
        <v>1.3011E-2</v>
      </c>
      <c r="W91" s="2009"/>
      <c r="X91" s="2009"/>
      <c r="Y91" s="2011" t="s">
        <v>1881</v>
      </c>
      <c r="Z91" s="2011"/>
      <c r="AA91" s="2011"/>
      <c r="AB91" s="2011"/>
      <c r="AC91" s="2011"/>
      <c r="AD91" s="2011"/>
      <c r="AE91" s="2011"/>
      <c r="AF91" s="2011"/>
    </row>
    <row r="92" spans="1:32" x14ac:dyDescent="0.3">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row>
    <row r="94" spans="1:32" s="1" customFormat="1" x14ac:dyDescent="0.3">
      <c r="A94" s="1141" t="s">
        <v>14</v>
      </c>
      <c r="B94" s="1141"/>
      <c r="C94" s="1141"/>
      <c r="D94" s="1141"/>
      <c r="E94" s="1141"/>
      <c r="F94" s="1141"/>
      <c r="G94" s="1141"/>
      <c r="H94" s="1141"/>
      <c r="I94" s="1141"/>
      <c r="J94" s="1141"/>
      <c r="K94" s="1141"/>
      <c r="L94" s="1141"/>
      <c r="M94" s="1141"/>
      <c r="N94" s="1141"/>
      <c r="O94" s="1141"/>
      <c r="P94" s="1141"/>
      <c r="Q94" s="1141"/>
      <c r="R94" s="1141"/>
      <c r="S94" s="1141"/>
      <c r="T94" s="1141"/>
      <c r="U94" s="1141"/>
      <c r="V94" s="1141"/>
      <c r="W94" s="1141"/>
      <c r="X94" s="1141"/>
      <c r="Y94" s="1141"/>
      <c r="Z94" s="1141"/>
      <c r="AA94" s="1141"/>
      <c r="AB94" s="1141"/>
      <c r="AC94" s="1141"/>
      <c r="AD94" s="1141"/>
      <c r="AE94" s="1141"/>
      <c r="AF94" s="1141"/>
    </row>
    <row r="95" spans="1:32" s="1" customFormat="1" x14ac:dyDescent="0.3">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s="1" customFormat="1" x14ac:dyDescent="0.3">
      <c r="A96" s="8" t="s">
        <v>1884</v>
      </c>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s="1" customFormat="1" x14ac:dyDescent="0.3">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x14ac:dyDescent="0.3">
      <c r="B98" s="231" t="s">
        <v>1882</v>
      </c>
    </row>
    <row r="100" spans="1:32" x14ac:dyDescent="0.3">
      <c r="A100" s="138" t="s">
        <v>1883</v>
      </c>
      <c r="G100" s="3"/>
      <c r="K100" s="3"/>
      <c r="AA100" s="53"/>
      <c r="AB100" s="53"/>
      <c r="AC100" s="53"/>
      <c r="AD100" s="53"/>
    </row>
    <row r="101" spans="1:32" x14ac:dyDescent="0.3">
      <c r="A101" s="1945" t="s">
        <v>46</v>
      </c>
      <c r="B101" s="1945"/>
      <c r="C101" s="1945"/>
      <c r="D101" s="1945"/>
      <c r="E101" s="1945"/>
      <c r="F101" s="1945"/>
      <c r="G101" s="1947" t="s">
        <v>2777</v>
      </c>
      <c r="H101" s="1947"/>
      <c r="I101" s="1947"/>
      <c r="J101" s="1947"/>
      <c r="K101" s="1947"/>
      <c r="L101" s="1947"/>
      <c r="M101" s="1947"/>
      <c r="N101" s="1947"/>
      <c r="O101" s="1947"/>
      <c r="P101" s="1947"/>
      <c r="Q101" s="1947"/>
      <c r="R101" s="1947"/>
      <c r="S101" s="1948" t="s">
        <v>2778</v>
      </c>
      <c r="T101" s="1948"/>
      <c r="U101" s="1948"/>
      <c r="V101" s="1948"/>
      <c r="W101" s="1948"/>
      <c r="X101" s="1948"/>
      <c r="Y101" s="1948"/>
      <c r="Z101" s="1948"/>
      <c r="AA101" s="1948"/>
      <c r="AB101" s="1948"/>
      <c r="AC101" s="1948"/>
      <c r="AD101" s="1948"/>
    </row>
    <row r="102" spans="1:32" x14ac:dyDescent="0.3">
      <c r="A102" s="1938" t="s">
        <v>1796</v>
      </c>
      <c r="B102" s="1938"/>
      <c r="C102" s="1938"/>
      <c r="D102" s="1938"/>
      <c r="E102" s="1938"/>
      <c r="F102" s="1938"/>
      <c r="G102" s="1031">
        <f>C_Light_General!G580</f>
        <v>7.0000000000000001E-3</v>
      </c>
      <c r="H102" s="1031"/>
      <c r="I102" s="1031"/>
      <c r="J102" s="1031"/>
      <c r="K102" s="1031"/>
      <c r="L102" s="1031"/>
      <c r="M102" s="1031"/>
      <c r="N102" s="1031"/>
      <c r="O102" s="1031"/>
      <c r="P102" s="1031"/>
      <c r="Q102" s="1031"/>
      <c r="R102" s="1031"/>
      <c r="S102" s="1944">
        <f>C_Light_General!S580</f>
        <v>35.21</v>
      </c>
      <c r="T102" s="1944"/>
      <c r="U102" s="1944"/>
      <c r="V102" s="1944"/>
      <c r="W102" s="1944"/>
      <c r="X102" s="1944"/>
      <c r="Y102" s="1944"/>
      <c r="Z102" s="1944"/>
      <c r="AA102" s="1944"/>
      <c r="AB102" s="1944"/>
      <c r="AC102" s="1944"/>
      <c r="AD102" s="1944"/>
    </row>
    <row r="103" spans="1:32" x14ac:dyDescent="0.3">
      <c r="A103" s="1938" t="s">
        <v>211</v>
      </c>
      <c r="B103" s="1938"/>
      <c r="C103" s="1938"/>
      <c r="D103" s="1938"/>
      <c r="E103" s="1938"/>
      <c r="F103" s="1938"/>
      <c r="G103" s="1031">
        <f>C_Light_General!G581</f>
        <v>4.0000000000000001E-3</v>
      </c>
      <c r="H103" s="1031"/>
      <c r="I103" s="1031"/>
      <c r="J103" s="1031"/>
      <c r="K103" s="1031"/>
      <c r="L103" s="1031"/>
      <c r="M103" s="1031"/>
      <c r="N103" s="1031"/>
      <c r="O103" s="1031"/>
      <c r="P103" s="1031"/>
      <c r="Q103" s="1031"/>
      <c r="R103" s="1031"/>
      <c r="S103" s="1944">
        <f>C_Light_General!S581</f>
        <v>125.06</v>
      </c>
      <c r="T103" s="1944"/>
      <c r="U103" s="1944"/>
      <c r="V103" s="1944"/>
      <c r="W103" s="1944"/>
      <c r="X103" s="1944"/>
      <c r="Y103" s="1944"/>
      <c r="Z103" s="1944"/>
      <c r="AA103" s="1944"/>
      <c r="AB103" s="1944"/>
      <c r="AC103" s="1944"/>
      <c r="AD103" s="1944"/>
    </row>
    <row r="104" spans="1:32" x14ac:dyDescent="0.3">
      <c r="A104" s="1938" t="s">
        <v>212</v>
      </c>
      <c r="B104" s="1938"/>
      <c r="C104" s="1938"/>
      <c r="D104" s="1938"/>
      <c r="E104" s="1938"/>
      <c r="F104" s="1938"/>
      <c r="G104" s="1031">
        <f>C_Light_General!G582</f>
        <v>6.0000000000000001E-3</v>
      </c>
      <c r="H104" s="1031"/>
      <c r="I104" s="1031"/>
      <c r="J104" s="1031"/>
      <c r="K104" s="1031"/>
      <c r="L104" s="1031"/>
      <c r="M104" s="1031"/>
      <c r="N104" s="1031"/>
      <c r="O104" s="1031"/>
      <c r="P104" s="1031"/>
      <c r="Q104" s="1031"/>
      <c r="R104" s="1031"/>
      <c r="S104" s="1944">
        <f>C_Light_General!S582</f>
        <v>31.87</v>
      </c>
      <c r="T104" s="1944"/>
      <c r="U104" s="1944"/>
      <c r="V104" s="1944"/>
      <c r="W104" s="1944"/>
      <c r="X104" s="1944"/>
      <c r="Y104" s="1944"/>
      <c r="Z104" s="1944"/>
      <c r="AA104" s="1944"/>
      <c r="AB104" s="1944"/>
      <c r="AC104" s="1944"/>
      <c r="AD104" s="1944"/>
    </row>
    <row r="105" spans="1:32" x14ac:dyDescent="0.3">
      <c r="A105" s="1938" t="s">
        <v>213</v>
      </c>
      <c r="B105" s="1938"/>
      <c r="C105" s="1938"/>
      <c r="D105" s="1938"/>
      <c r="E105" s="1938"/>
      <c r="F105" s="1938"/>
      <c r="G105" s="1031">
        <f>C_Light_General!G583</f>
        <v>1.2999999999999999E-2</v>
      </c>
      <c r="H105" s="1031"/>
      <c r="I105" s="1031"/>
      <c r="J105" s="1031"/>
      <c r="K105" s="1031"/>
      <c r="L105" s="1031"/>
      <c r="M105" s="1031"/>
      <c r="N105" s="1031"/>
      <c r="O105" s="1031"/>
      <c r="P105" s="1031"/>
      <c r="Q105" s="1031"/>
      <c r="R105" s="1031"/>
      <c r="S105" s="1944">
        <f>C_Light_General!S583</f>
        <v>95.07</v>
      </c>
      <c r="T105" s="1944"/>
      <c r="U105" s="1944"/>
      <c r="V105" s="1944"/>
      <c r="W105" s="1944"/>
      <c r="X105" s="1944"/>
      <c r="Y105" s="1944"/>
      <c r="Z105" s="1944"/>
      <c r="AA105" s="1944"/>
      <c r="AB105" s="1944"/>
      <c r="AC105" s="1944"/>
      <c r="AD105" s="1944"/>
    </row>
    <row r="106" spans="1:32" x14ac:dyDescent="0.3">
      <c r="A106" s="1938" t="s">
        <v>214</v>
      </c>
      <c r="B106" s="1938"/>
      <c r="C106" s="1938"/>
      <c r="D106" s="1938"/>
      <c r="E106" s="1938"/>
      <c r="F106" s="1938"/>
      <c r="G106" s="1031">
        <f>C_Light_General!G584</f>
        <v>1.4E-2</v>
      </c>
      <c r="H106" s="1031"/>
      <c r="I106" s="1031"/>
      <c r="J106" s="1031"/>
      <c r="K106" s="1031"/>
      <c r="L106" s="1031"/>
      <c r="M106" s="1031"/>
      <c r="N106" s="1031"/>
      <c r="O106" s="1031"/>
      <c r="P106" s="1031"/>
      <c r="Q106" s="1031"/>
      <c r="R106" s="1031"/>
      <c r="S106" s="1944">
        <f>C_Light_General!S584</f>
        <v>104.19</v>
      </c>
      <c r="T106" s="1944"/>
      <c r="U106" s="1944"/>
      <c r="V106" s="1944"/>
      <c r="W106" s="1944"/>
      <c r="X106" s="1944"/>
      <c r="Y106" s="1944"/>
      <c r="Z106" s="1944"/>
      <c r="AA106" s="1944"/>
      <c r="AB106" s="1944"/>
      <c r="AC106" s="1944"/>
      <c r="AD106" s="1944"/>
    </row>
    <row r="107" spans="1:32" x14ac:dyDescent="0.3">
      <c r="A107" s="1938" t="s">
        <v>215</v>
      </c>
      <c r="B107" s="1938"/>
      <c r="C107" s="1938"/>
      <c r="D107" s="1938"/>
      <c r="E107" s="1938"/>
      <c r="F107" s="1938"/>
      <c r="G107" s="1031">
        <f>C_Light_General!G585</f>
        <v>6.0000000000000001E-3</v>
      </c>
      <c r="H107" s="1031"/>
      <c r="I107" s="1031"/>
      <c r="J107" s="1031"/>
      <c r="K107" s="1031"/>
      <c r="L107" s="1031"/>
      <c r="M107" s="1031"/>
      <c r="N107" s="1031"/>
      <c r="O107" s="1031"/>
      <c r="P107" s="1031"/>
      <c r="Q107" s="1031"/>
      <c r="R107" s="1031"/>
      <c r="S107" s="1944">
        <f>C_Light_General!S585</f>
        <v>30.16</v>
      </c>
      <c r="T107" s="1944"/>
      <c r="U107" s="1944"/>
      <c r="V107" s="1944"/>
      <c r="W107" s="1944"/>
      <c r="X107" s="1944"/>
      <c r="Y107" s="1944"/>
      <c r="Z107" s="1944"/>
      <c r="AA107" s="1944"/>
      <c r="AB107" s="1944"/>
      <c r="AC107" s="1944"/>
      <c r="AD107" s="1944"/>
    </row>
    <row r="108" spans="1:32" x14ac:dyDescent="0.3">
      <c r="A108" s="1938" t="s">
        <v>216</v>
      </c>
      <c r="B108" s="1938"/>
      <c r="C108" s="1938"/>
      <c r="D108" s="1938"/>
      <c r="E108" s="1938"/>
      <c r="F108" s="1938"/>
      <c r="G108" s="1031">
        <f>C_Light_General!G586</f>
        <v>1.0999999999999999E-2</v>
      </c>
      <c r="H108" s="1031"/>
      <c r="I108" s="1031"/>
      <c r="J108" s="1031"/>
      <c r="K108" s="1031"/>
      <c r="L108" s="1031"/>
      <c r="M108" s="1031"/>
      <c r="N108" s="1031"/>
      <c r="O108" s="1031"/>
      <c r="P108" s="1031"/>
      <c r="Q108" s="1031"/>
      <c r="R108" s="1031"/>
      <c r="S108" s="1944">
        <f>C_Light_General!S586</f>
        <v>40.89</v>
      </c>
      <c r="T108" s="1944"/>
      <c r="U108" s="1944"/>
      <c r="V108" s="1944"/>
      <c r="W108" s="1944"/>
      <c r="X108" s="1944"/>
      <c r="Y108" s="1944"/>
      <c r="Z108" s="1944"/>
      <c r="AA108" s="1944"/>
      <c r="AB108" s="1944"/>
      <c r="AC108" s="1944"/>
      <c r="AD108" s="1944"/>
    </row>
    <row r="109" spans="1:32" x14ac:dyDescent="0.3">
      <c r="A109" s="1938" t="s">
        <v>47</v>
      </c>
      <c r="B109" s="1938"/>
      <c r="C109" s="1938"/>
      <c r="D109" s="1938"/>
      <c r="E109" s="1938"/>
      <c r="F109" s="1938"/>
      <c r="G109" s="1031">
        <f>C_Light_General!G587</f>
        <v>4.0000000000000001E-3</v>
      </c>
      <c r="H109" s="1031"/>
      <c r="I109" s="1031"/>
      <c r="J109" s="1031"/>
      <c r="K109" s="1031"/>
      <c r="L109" s="1031"/>
      <c r="M109" s="1031"/>
      <c r="N109" s="1031"/>
      <c r="O109" s="1031"/>
      <c r="P109" s="1031"/>
      <c r="Q109" s="1031"/>
      <c r="R109" s="1031"/>
      <c r="S109" s="1944">
        <f>C_Light_General!S587</f>
        <v>37.869999999999997</v>
      </c>
      <c r="T109" s="1944"/>
      <c r="U109" s="1944"/>
      <c r="V109" s="1944"/>
      <c r="W109" s="1944"/>
      <c r="X109" s="1944"/>
      <c r="Y109" s="1944"/>
      <c r="Z109" s="1944"/>
      <c r="AA109" s="1944"/>
      <c r="AB109" s="1944"/>
      <c r="AC109" s="1944"/>
      <c r="AD109" s="1944"/>
    </row>
    <row r="110" spans="1:32" x14ac:dyDescent="0.3">
      <c r="A110" s="1938" t="s">
        <v>217</v>
      </c>
      <c r="B110" s="1938"/>
      <c r="C110" s="1938"/>
      <c r="D110" s="1938"/>
      <c r="E110" s="1938"/>
      <c r="F110" s="1938"/>
      <c r="G110" s="1031">
        <f>C_Light_General!G588</f>
        <v>1.0999999999999999E-2</v>
      </c>
      <c r="H110" s="1031"/>
      <c r="I110" s="1031"/>
      <c r="J110" s="1031"/>
      <c r="K110" s="1031"/>
      <c r="L110" s="1031"/>
      <c r="M110" s="1031"/>
      <c r="N110" s="1031"/>
      <c r="O110" s="1031"/>
      <c r="P110" s="1031"/>
      <c r="Q110" s="1031"/>
      <c r="R110" s="1031"/>
      <c r="S110" s="1944">
        <f>C_Light_General!S588</f>
        <v>80.61</v>
      </c>
      <c r="T110" s="1944"/>
      <c r="U110" s="1944"/>
      <c r="V110" s="1944"/>
      <c r="W110" s="1944"/>
      <c r="X110" s="1944"/>
      <c r="Y110" s="1944"/>
      <c r="Z110" s="1944"/>
      <c r="AA110" s="1944"/>
      <c r="AB110" s="1944"/>
      <c r="AC110" s="1944"/>
      <c r="AD110" s="1944"/>
    </row>
    <row r="111" spans="1:32" x14ac:dyDescent="0.3">
      <c r="A111" s="1938" t="s">
        <v>218</v>
      </c>
      <c r="B111" s="1938"/>
      <c r="C111" s="1938"/>
      <c r="D111" s="1938"/>
      <c r="E111" s="1938"/>
      <c r="F111" s="1938"/>
      <c r="G111" s="1031">
        <f>C_Light_General!G589</f>
        <v>8.0000000000000002E-3</v>
      </c>
      <c r="H111" s="1031"/>
      <c r="I111" s="1031"/>
      <c r="J111" s="1031"/>
      <c r="K111" s="1031"/>
      <c r="L111" s="1031"/>
      <c r="M111" s="1031"/>
      <c r="N111" s="1031"/>
      <c r="O111" s="1031"/>
      <c r="P111" s="1031"/>
      <c r="Q111" s="1031"/>
      <c r="R111" s="1031"/>
      <c r="S111" s="1944">
        <f>C_Light_General!S589</f>
        <v>45.85</v>
      </c>
      <c r="T111" s="1944"/>
      <c r="U111" s="1944"/>
      <c r="V111" s="1944"/>
      <c r="W111" s="1944"/>
      <c r="X111" s="1944"/>
      <c r="Y111" s="1944"/>
      <c r="Z111" s="1944"/>
      <c r="AA111" s="1944"/>
      <c r="AB111" s="1944"/>
      <c r="AC111" s="1944"/>
      <c r="AD111" s="1944"/>
    </row>
    <row r="112" spans="1:32" x14ac:dyDescent="0.3">
      <c r="A112" s="1938" t="s">
        <v>219</v>
      </c>
      <c r="B112" s="1938"/>
      <c r="C112" s="1938"/>
      <c r="D112" s="1938"/>
      <c r="E112" s="1938"/>
      <c r="F112" s="1938"/>
      <c r="G112" s="1031">
        <f>C_Light_General!G590</f>
        <v>1E-3</v>
      </c>
      <c r="H112" s="1031"/>
      <c r="I112" s="1031"/>
      <c r="J112" s="1031"/>
      <c r="K112" s="1031"/>
      <c r="L112" s="1031"/>
      <c r="M112" s="1031"/>
      <c r="N112" s="1031"/>
      <c r="O112" s="1031"/>
      <c r="P112" s="1031"/>
      <c r="Q112" s="1031"/>
      <c r="R112" s="1031"/>
      <c r="S112" s="1944">
        <f>C_Light_General!S590</f>
        <v>29.05</v>
      </c>
      <c r="T112" s="1944"/>
      <c r="U112" s="1944"/>
      <c r="V112" s="1944"/>
      <c r="W112" s="1944"/>
      <c r="X112" s="1944"/>
      <c r="Y112" s="1944"/>
      <c r="Z112" s="1944"/>
      <c r="AA112" s="1944"/>
      <c r="AB112" s="1944"/>
      <c r="AC112" s="1944"/>
      <c r="AD112" s="1944"/>
    </row>
    <row r="113" spans="1:30" x14ac:dyDescent="0.3">
      <c r="A113" s="116"/>
      <c r="B113" s="116"/>
      <c r="C113" s="116"/>
      <c r="D113" s="116"/>
      <c r="E113" s="116"/>
      <c r="F113" s="116"/>
      <c r="G113" s="165"/>
      <c r="H113" s="165"/>
      <c r="I113" s="165"/>
      <c r="J113" s="165"/>
      <c r="K113" s="165"/>
      <c r="L113" s="165"/>
      <c r="M113" s="165"/>
      <c r="N113" s="165"/>
      <c r="O113" s="165"/>
      <c r="P113" s="165"/>
      <c r="Q113" s="165"/>
      <c r="R113" s="165"/>
      <c r="S113" s="251"/>
      <c r="T113" s="251"/>
      <c r="U113" s="251"/>
      <c r="V113" s="251"/>
      <c r="W113" s="251"/>
      <c r="X113" s="251"/>
      <c r="Y113" s="251"/>
      <c r="Z113" s="251"/>
      <c r="AA113" s="251"/>
      <c r="AB113" s="251"/>
      <c r="AC113" s="251"/>
      <c r="AD113" s="251"/>
    </row>
    <row r="114" spans="1:30" x14ac:dyDescent="0.3">
      <c r="B114" s="231" t="s">
        <v>1780</v>
      </c>
      <c r="C114" s="147"/>
      <c r="G114" s="136"/>
      <c r="K114" s="136"/>
      <c r="O114" s="136"/>
      <c r="S114" s="136"/>
      <c r="AA114" s="136"/>
    </row>
    <row r="115" spans="1:30" x14ac:dyDescent="0.3">
      <c r="A115" s="245"/>
      <c r="B115" s="147"/>
      <c r="C115" s="147"/>
      <c r="G115" s="136"/>
      <c r="K115" s="136"/>
      <c r="O115" s="136"/>
      <c r="S115" s="136"/>
      <c r="AA115" s="136"/>
    </row>
    <row r="116" spans="1:30" x14ac:dyDescent="0.3">
      <c r="A116" s="138" t="s">
        <v>2537</v>
      </c>
      <c r="G116" s="3"/>
      <c r="K116" s="3"/>
      <c r="AA116" s="53"/>
      <c r="AB116" s="53"/>
      <c r="AC116" s="53"/>
      <c r="AD116" s="53"/>
    </row>
    <row r="117" spans="1:30" x14ac:dyDescent="0.3">
      <c r="A117" s="1945" t="s">
        <v>46</v>
      </c>
      <c r="B117" s="1945"/>
      <c r="C117" s="1945"/>
      <c r="D117" s="1945"/>
      <c r="E117" s="1945"/>
      <c r="F117" s="1945"/>
      <c r="G117" s="1946" t="s">
        <v>1745</v>
      </c>
      <c r="H117" s="1946"/>
      <c r="I117" s="1946"/>
      <c r="J117" s="1946"/>
      <c r="K117" s="1946"/>
      <c r="L117" s="1946"/>
      <c r="M117" s="1946"/>
      <c r="N117" s="1946"/>
      <c r="O117" s="1946"/>
      <c r="P117" s="1946"/>
      <c r="Q117" s="1946"/>
      <c r="R117" s="1946"/>
      <c r="U117" s="136"/>
      <c r="Y117" s="136"/>
      <c r="AA117" s="10"/>
      <c r="AB117" s="10"/>
      <c r="AC117" s="10"/>
      <c r="AD117" s="10"/>
    </row>
    <row r="118" spans="1:30" x14ac:dyDescent="0.3">
      <c r="A118" s="1938" t="s">
        <v>1796</v>
      </c>
      <c r="B118" s="1938"/>
      <c r="C118" s="1938"/>
      <c r="D118" s="1938"/>
      <c r="E118" s="1938"/>
      <c r="F118" s="1938"/>
      <c r="G118" s="1942">
        <f>C_Light_General!G596</f>
        <v>281.68</v>
      </c>
      <c r="H118" s="1942"/>
      <c r="I118" s="1942"/>
      <c r="J118" s="1942"/>
      <c r="K118" s="1942"/>
      <c r="L118" s="1942"/>
      <c r="M118" s="1942"/>
      <c r="N118" s="1942"/>
      <c r="O118" s="1942"/>
      <c r="P118" s="1942"/>
      <c r="Q118" s="1942"/>
      <c r="R118" s="1942"/>
      <c r="U118" s="136"/>
      <c r="Y118" s="136"/>
      <c r="AA118" s="10"/>
      <c r="AB118" s="10"/>
      <c r="AC118" s="10"/>
      <c r="AD118" s="10"/>
    </row>
    <row r="119" spans="1:30" x14ac:dyDescent="0.3">
      <c r="A119" s="1938" t="s">
        <v>211</v>
      </c>
      <c r="B119" s="1938"/>
      <c r="C119" s="1938"/>
      <c r="D119" s="1938"/>
      <c r="E119" s="1938"/>
      <c r="F119" s="1938"/>
      <c r="G119" s="1942">
        <f>C_Light_General!G597</f>
        <v>375.18</v>
      </c>
      <c r="H119" s="1942"/>
      <c r="I119" s="1942"/>
      <c r="J119" s="1942"/>
      <c r="K119" s="1942"/>
      <c r="L119" s="1942"/>
      <c r="M119" s="1942"/>
      <c r="N119" s="1942"/>
      <c r="O119" s="1942"/>
      <c r="P119" s="1942"/>
      <c r="Q119" s="1942"/>
      <c r="R119" s="1942"/>
    </row>
    <row r="120" spans="1:30" x14ac:dyDescent="0.3">
      <c r="A120" s="1938" t="s">
        <v>212</v>
      </c>
      <c r="B120" s="1938"/>
      <c r="C120" s="1938"/>
      <c r="D120" s="1938"/>
      <c r="E120" s="1938"/>
      <c r="F120" s="1938"/>
      <c r="G120" s="1942">
        <f>C_Light_General!G598</f>
        <v>318.7</v>
      </c>
      <c r="H120" s="1942"/>
      <c r="I120" s="1942"/>
      <c r="J120" s="1942"/>
      <c r="K120" s="1942"/>
      <c r="L120" s="1942"/>
      <c r="M120" s="1942"/>
      <c r="N120" s="1942"/>
      <c r="O120" s="1942"/>
      <c r="P120" s="1942"/>
      <c r="Q120" s="1942"/>
      <c r="R120" s="1942"/>
    </row>
    <row r="121" spans="1:30" x14ac:dyDescent="0.3">
      <c r="A121" s="1938" t="s">
        <v>213</v>
      </c>
      <c r="B121" s="1938"/>
      <c r="C121" s="1938"/>
      <c r="D121" s="1938"/>
      <c r="E121" s="1938"/>
      <c r="F121" s="1938"/>
      <c r="G121" s="1942">
        <f>C_Light_General!G599</f>
        <v>285.20999999999998</v>
      </c>
      <c r="H121" s="1942"/>
      <c r="I121" s="1942"/>
      <c r="J121" s="1942"/>
      <c r="K121" s="1942"/>
      <c r="L121" s="1942"/>
      <c r="M121" s="1942"/>
      <c r="N121" s="1942"/>
      <c r="O121" s="1942"/>
      <c r="P121" s="1942"/>
      <c r="Q121" s="1942"/>
      <c r="R121" s="1942"/>
    </row>
    <row r="122" spans="1:30" x14ac:dyDescent="0.3">
      <c r="A122" s="1938" t="s">
        <v>214</v>
      </c>
      <c r="B122" s="1938"/>
      <c r="C122" s="1938"/>
      <c r="D122" s="1938"/>
      <c r="E122" s="1938"/>
      <c r="F122" s="1938"/>
      <c r="G122" s="1942">
        <f>C_Light_General!G600</f>
        <v>312.57</v>
      </c>
      <c r="H122" s="1942"/>
      <c r="I122" s="1942"/>
      <c r="J122" s="1942"/>
      <c r="K122" s="1942"/>
      <c r="L122" s="1942"/>
      <c r="M122" s="1942"/>
      <c r="N122" s="1942"/>
      <c r="O122" s="1942"/>
      <c r="P122" s="1942"/>
      <c r="Q122" s="1942"/>
      <c r="R122" s="1942"/>
    </row>
    <row r="123" spans="1:30" x14ac:dyDescent="0.3">
      <c r="A123" s="1938" t="s">
        <v>215</v>
      </c>
      <c r="B123" s="1938"/>
      <c r="C123" s="1938"/>
      <c r="D123" s="1938"/>
      <c r="E123" s="1938"/>
      <c r="F123" s="1938"/>
      <c r="G123" s="1942">
        <f>C_Light_General!G601</f>
        <v>361.92</v>
      </c>
      <c r="H123" s="1942"/>
      <c r="I123" s="1942"/>
      <c r="J123" s="1942"/>
      <c r="K123" s="1942"/>
      <c r="L123" s="1942"/>
      <c r="M123" s="1942"/>
      <c r="N123" s="1942"/>
      <c r="O123" s="1942"/>
      <c r="P123" s="1942"/>
      <c r="Q123" s="1942"/>
      <c r="R123" s="1942"/>
    </row>
    <row r="124" spans="1:30" x14ac:dyDescent="0.3">
      <c r="A124" s="1938" t="s">
        <v>216</v>
      </c>
      <c r="B124" s="1938"/>
      <c r="C124" s="1938"/>
      <c r="D124" s="1938"/>
      <c r="E124" s="1938"/>
      <c r="F124" s="1938"/>
      <c r="G124" s="1942">
        <f>C_Light_General!G602</f>
        <v>286.23</v>
      </c>
      <c r="H124" s="1942"/>
      <c r="I124" s="1942"/>
      <c r="J124" s="1942"/>
      <c r="K124" s="1942"/>
      <c r="L124" s="1942"/>
      <c r="M124" s="1942"/>
      <c r="N124" s="1942"/>
      <c r="O124" s="1942"/>
      <c r="P124" s="1942"/>
      <c r="Q124" s="1942"/>
      <c r="R124" s="1942"/>
    </row>
    <row r="125" spans="1:30" x14ac:dyDescent="0.3">
      <c r="A125" s="1938" t="s">
        <v>47</v>
      </c>
      <c r="B125" s="1938"/>
      <c r="C125" s="1938"/>
      <c r="D125" s="1938"/>
      <c r="E125" s="1938"/>
      <c r="F125" s="1938"/>
      <c r="G125" s="1942">
        <f>C_Light_General!G603</f>
        <v>302.95999999999998</v>
      </c>
      <c r="H125" s="1942"/>
      <c r="I125" s="1942"/>
      <c r="J125" s="1942"/>
      <c r="K125" s="1942"/>
      <c r="L125" s="1942"/>
      <c r="M125" s="1942"/>
      <c r="N125" s="1942"/>
      <c r="O125" s="1942"/>
      <c r="P125" s="1942"/>
      <c r="Q125" s="1942"/>
      <c r="R125" s="1942"/>
    </row>
    <row r="126" spans="1:30" x14ac:dyDescent="0.3">
      <c r="A126" s="1938" t="s">
        <v>217</v>
      </c>
      <c r="B126" s="1938"/>
      <c r="C126" s="1938"/>
      <c r="D126" s="1938"/>
      <c r="E126" s="1938"/>
      <c r="F126" s="1938"/>
      <c r="G126" s="1942">
        <f>C_Light_General!G604</f>
        <v>322.44</v>
      </c>
      <c r="H126" s="1942"/>
      <c r="I126" s="1942"/>
      <c r="J126" s="1942"/>
      <c r="K126" s="1942"/>
      <c r="L126" s="1942"/>
      <c r="M126" s="1942"/>
      <c r="N126" s="1942"/>
      <c r="O126" s="1942"/>
      <c r="P126" s="1942"/>
      <c r="Q126" s="1942"/>
      <c r="R126" s="1942"/>
    </row>
    <row r="127" spans="1:30" x14ac:dyDescent="0.3">
      <c r="A127" s="1938" t="s">
        <v>218</v>
      </c>
      <c r="B127" s="1938"/>
      <c r="C127" s="1938"/>
      <c r="D127" s="1938"/>
      <c r="E127" s="1938"/>
      <c r="F127" s="1938"/>
      <c r="G127" s="1942">
        <f>C_Light_General!G605</f>
        <v>275.10000000000002</v>
      </c>
      <c r="H127" s="1942"/>
      <c r="I127" s="1942"/>
      <c r="J127" s="1942"/>
      <c r="K127" s="1942"/>
      <c r="L127" s="1942"/>
      <c r="M127" s="1942"/>
      <c r="N127" s="1942"/>
      <c r="O127" s="1942"/>
      <c r="P127" s="1942"/>
      <c r="Q127" s="1942"/>
      <c r="R127" s="1942"/>
    </row>
    <row r="128" spans="1:30" x14ac:dyDescent="0.3">
      <c r="A128" s="1938" t="s">
        <v>219</v>
      </c>
      <c r="B128" s="1938"/>
      <c r="C128" s="1938"/>
      <c r="D128" s="1938"/>
      <c r="E128" s="1938"/>
      <c r="F128" s="1938"/>
      <c r="G128" s="1942">
        <f>C_Light_General!G606</f>
        <v>261.45</v>
      </c>
      <c r="H128" s="1942"/>
      <c r="I128" s="1942"/>
      <c r="J128" s="1942"/>
      <c r="K128" s="1942"/>
      <c r="L128" s="1942"/>
      <c r="M128" s="1942"/>
      <c r="N128" s="1942"/>
      <c r="O128" s="1942"/>
      <c r="P128" s="1942"/>
      <c r="Q128" s="1942"/>
      <c r="R128" s="1942"/>
    </row>
    <row r="130" spans="1:38" x14ac:dyDescent="0.3">
      <c r="A130" s="245"/>
      <c r="B130" s="231" t="s">
        <v>1781</v>
      </c>
      <c r="C130" s="147"/>
      <c r="G130" s="136"/>
      <c r="K130" s="136"/>
      <c r="O130" s="136"/>
      <c r="S130" s="136"/>
      <c r="AA130" s="136"/>
      <c r="AG130" s="136"/>
      <c r="AK130" s="136"/>
    </row>
    <row r="131" spans="1:38" x14ac:dyDescent="0.3">
      <c r="A131" s="245"/>
      <c r="B131" s="147"/>
      <c r="C131" s="147"/>
      <c r="G131" s="136"/>
      <c r="K131" s="136"/>
      <c r="O131" s="136"/>
      <c r="S131" s="136"/>
      <c r="AA131" s="136"/>
      <c r="AG131" s="136"/>
      <c r="AK131" s="136"/>
    </row>
    <row r="132" spans="1:38" x14ac:dyDescent="0.3">
      <c r="A132" s="610" t="s">
        <v>4610</v>
      </c>
      <c r="B132" s="139"/>
      <c r="C132" s="139"/>
      <c r="D132" s="139"/>
      <c r="E132" s="139"/>
      <c r="F132" s="139"/>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53"/>
      <c r="AJ132" s="53"/>
      <c r="AK132" s="53"/>
      <c r="AL132" s="53"/>
    </row>
    <row r="133" spans="1:38" x14ac:dyDescent="0.3">
      <c r="A133" s="53"/>
      <c r="B133" s="53"/>
      <c r="C133" s="53"/>
      <c r="D133" s="53"/>
      <c r="E133" s="53"/>
      <c r="F133" s="53"/>
      <c r="G133" s="1865" t="s">
        <v>2777</v>
      </c>
      <c r="H133" s="1866"/>
      <c r="I133" s="1866"/>
      <c r="J133" s="1866"/>
      <c r="K133" s="1866"/>
      <c r="L133" s="1866"/>
      <c r="M133" s="1866"/>
      <c r="N133" s="1866"/>
      <c r="O133" s="1866"/>
      <c r="P133" s="1866"/>
      <c r="Q133" s="1866"/>
      <c r="R133" s="1866"/>
      <c r="S133" s="1866"/>
      <c r="T133" s="1866"/>
      <c r="U133" s="1866"/>
      <c r="V133" s="1867" t="s">
        <v>2779</v>
      </c>
      <c r="W133" s="1868"/>
      <c r="X133" s="1868"/>
      <c r="Y133" s="1868"/>
      <c r="Z133" s="1868"/>
      <c r="AA133" s="1868"/>
      <c r="AB133" s="1868"/>
      <c r="AC133" s="1868"/>
      <c r="AD133" s="1868"/>
      <c r="AE133" s="1868"/>
      <c r="AF133" s="1868"/>
      <c r="AG133" s="1868"/>
      <c r="AH133" s="1868"/>
      <c r="AI133" s="1868"/>
      <c r="AJ133" s="1869"/>
    </row>
    <row r="134" spans="1:38" ht="33.75" customHeight="1" x14ac:dyDescent="0.3">
      <c r="A134" s="1069" t="s">
        <v>46</v>
      </c>
      <c r="B134" s="1069"/>
      <c r="C134" s="1069"/>
      <c r="D134" s="1069"/>
      <c r="E134" s="1069"/>
      <c r="F134" s="1069"/>
      <c r="G134" s="1914" t="s">
        <v>255</v>
      </c>
      <c r="H134" s="1915"/>
      <c r="I134" s="1916"/>
      <c r="J134" s="1917" t="s">
        <v>259</v>
      </c>
      <c r="K134" s="1918"/>
      <c r="L134" s="1919"/>
      <c r="M134" s="1914" t="s">
        <v>260</v>
      </c>
      <c r="N134" s="1915"/>
      <c r="O134" s="1916"/>
      <c r="P134" s="1917" t="s">
        <v>263</v>
      </c>
      <c r="Q134" s="1918"/>
      <c r="R134" s="1919"/>
      <c r="S134" s="1920" t="s">
        <v>1789</v>
      </c>
      <c r="T134" s="1921"/>
      <c r="U134" s="1922"/>
      <c r="V134" s="1917" t="s">
        <v>255</v>
      </c>
      <c r="W134" s="1918"/>
      <c r="X134" s="1919"/>
      <c r="Y134" s="1914" t="s">
        <v>259</v>
      </c>
      <c r="Z134" s="1915"/>
      <c r="AA134" s="1916"/>
      <c r="AB134" s="1917" t="s">
        <v>260</v>
      </c>
      <c r="AC134" s="1918"/>
      <c r="AD134" s="1919"/>
      <c r="AE134" s="1914" t="s">
        <v>263</v>
      </c>
      <c r="AF134" s="1915"/>
      <c r="AG134" s="1916"/>
      <c r="AH134" s="1923" t="s">
        <v>1789</v>
      </c>
      <c r="AI134" s="1924"/>
      <c r="AJ134" s="1925"/>
    </row>
    <row r="135" spans="1:38" x14ac:dyDescent="0.3">
      <c r="A135" s="1938" t="s">
        <v>1796</v>
      </c>
      <c r="B135" s="1938"/>
      <c r="C135" s="1938"/>
      <c r="D135" s="1938"/>
      <c r="E135" s="1938"/>
      <c r="F135" s="1938"/>
      <c r="G135" s="1833">
        <f>C_Light_General!G613</f>
        <v>1.7000000000000001E-2</v>
      </c>
      <c r="H135" s="1834"/>
      <c r="I135" s="1835"/>
      <c r="J135" s="1833">
        <f>C_Light_General!J613</f>
        <v>1.2E-2</v>
      </c>
      <c r="K135" s="1834"/>
      <c r="L135" s="1835"/>
      <c r="M135" s="1833">
        <f>C_Light_General!M613</f>
        <v>1.7999999999999999E-2</v>
      </c>
      <c r="N135" s="1834"/>
      <c r="O135" s="1835"/>
      <c r="P135" s="1833">
        <f>C_Light_General!P613</f>
        <v>1.7999999999999999E-2</v>
      </c>
      <c r="Q135" s="1834"/>
      <c r="R135" s="1835"/>
      <c r="S135" s="1833">
        <f>C_Light_General!S613</f>
        <v>1.4E-2</v>
      </c>
      <c r="T135" s="1834"/>
      <c r="U135" s="1835"/>
      <c r="V135" s="2063">
        <f>C_Light_General!V613</f>
        <v>91.16</v>
      </c>
      <c r="W135" s="2064"/>
      <c r="X135" s="2065"/>
      <c r="Y135" s="2063">
        <f>C_Light_General!Y613</f>
        <v>65.27</v>
      </c>
      <c r="Z135" s="2064"/>
      <c r="AA135" s="2065"/>
      <c r="AB135" s="2063">
        <f>C_Light_General!AB613</f>
        <v>97.72</v>
      </c>
      <c r="AC135" s="2064"/>
      <c r="AD135" s="2065"/>
      <c r="AE135" s="2063">
        <f>C_Light_General!AE613</f>
        <v>95.28</v>
      </c>
      <c r="AF135" s="2064"/>
      <c r="AG135" s="2065"/>
      <c r="AH135" s="2063">
        <f>C_Light_General!AH613</f>
        <v>76.52</v>
      </c>
      <c r="AI135" s="2064"/>
      <c r="AJ135" s="2065"/>
    </row>
    <row r="136" spans="1:38" x14ac:dyDescent="0.3">
      <c r="A136" s="1938" t="s">
        <v>211</v>
      </c>
      <c r="B136" s="1938"/>
      <c r="C136" s="1938"/>
      <c r="D136" s="1938"/>
      <c r="E136" s="1938"/>
      <c r="F136" s="1938"/>
      <c r="G136" s="1833">
        <f>C_Light_General!G614</f>
        <v>1.0999999999999999E-2</v>
      </c>
      <c r="H136" s="1834"/>
      <c r="I136" s="1835"/>
      <c r="J136" s="1833">
        <f>C_Light_General!J614</f>
        <v>8.0000000000000002E-3</v>
      </c>
      <c r="K136" s="1834"/>
      <c r="L136" s="1835"/>
      <c r="M136" s="1833">
        <f>C_Light_General!M614</f>
        <v>1.2E-2</v>
      </c>
      <c r="N136" s="1834"/>
      <c r="O136" s="1835"/>
      <c r="P136" s="1833">
        <f>C_Light_General!P614</f>
        <v>1.2E-2</v>
      </c>
      <c r="Q136" s="1834"/>
      <c r="R136" s="1835"/>
      <c r="S136" s="1833">
        <f>C_Light_General!S614</f>
        <v>8.9999999999999993E-3</v>
      </c>
      <c r="T136" s="1834"/>
      <c r="U136" s="1835"/>
      <c r="V136" s="2063">
        <f>C_Light_General!V614</f>
        <v>323.73</v>
      </c>
      <c r="W136" s="2064"/>
      <c r="X136" s="2065"/>
      <c r="Y136" s="2063">
        <f>C_Light_General!Y614</f>
        <v>231.79</v>
      </c>
      <c r="Z136" s="2064"/>
      <c r="AA136" s="2065"/>
      <c r="AB136" s="2063">
        <f>C_Light_General!AB614</f>
        <v>347.02</v>
      </c>
      <c r="AC136" s="2064"/>
      <c r="AD136" s="2065"/>
      <c r="AE136" s="2063">
        <f>C_Light_General!AE614</f>
        <v>338.35</v>
      </c>
      <c r="AF136" s="2064"/>
      <c r="AG136" s="2065"/>
      <c r="AH136" s="2063">
        <f>C_Light_General!AH614</f>
        <v>271.75</v>
      </c>
      <c r="AI136" s="2064"/>
      <c r="AJ136" s="2065"/>
    </row>
    <row r="137" spans="1:38" x14ac:dyDescent="0.3">
      <c r="A137" s="1938" t="s">
        <v>212</v>
      </c>
      <c r="B137" s="1938"/>
      <c r="C137" s="1938"/>
      <c r="D137" s="1938"/>
      <c r="E137" s="1938"/>
      <c r="F137" s="1938"/>
      <c r="G137" s="1833">
        <f>C_Light_General!G615</f>
        <v>1.6E-2</v>
      </c>
      <c r="H137" s="1834"/>
      <c r="I137" s="1835"/>
      <c r="J137" s="1833">
        <f>C_Light_General!J615</f>
        <v>1.0999999999999999E-2</v>
      </c>
      <c r="K137" s="1834"/>
      <c r="L137" s="1835"/>
      <c r="M137" s="1833">
        <f>C_Light_General!M615</f>
        <v>1.7000000000000001E-2</v>
      </c>
      <c r="N137" s="1834"/>
      <c r="O137" s="1835"/>
      <c r="P137" s="1833">
        <f>C_Light_General!P615</f>
        <v>1.7000000000000001E-2</v>
      </c>
      <c r="Q137" s="1834"/>
      <c r="R137" s="1835"/>
      <c r="S137" s="1833">
        <f>C_Light_General!S615</f>
        <v>1.2999999999999999E-2</v>
      </c>
      <c r="T137" s="1834"/>
      <c r="U137" s="1835"/>
      <c r="V137" s="2063">
        <f>C_Light_General!V615</f>
        <v>82.5</v>
      </c>
      <c r="W137" s="2064"/>
      <c r="X137" s="2065"/>
      <c r="Y137" s="2063">
        <f>C_Light_General!Y615</f>
        <v>59.07</v>
      </c>
      <c r="Z137" s="2064"/>
      <c r="AA137" s="2065"/>
      <c r="AB137" s="2063">
        <f>C_Light_General!AB615</f>
        <v>88.44</v>
      </c>
      <c r="AC137" s="2064"/>
      <c r="AD137" s="2065"/>
      <c r="AE137" s="2063">
        <f>C_Light_General!AE615</f>
        <v>86.23</v>
      </c>
      <c r="AF137" s="2064"/>
      <c r="AG137" s="2065"/>
      <c r="AH137" s="2063">
        <f>C_Light_General!AH615</f>
        <v>69.25</v>
      </c>
      <c r="AI137" s="2064"/>
      <c r="AJ137" s="2065"/>
    </row>
    <row r="138" spans="1:38" x14ac:dyDescent="0.3">
      <c r="A138" s="1938" t="s">
        <v>213</v>
      </c>
      <c r="B138" s="1938"/>
      <c r="C138" s="1938"/>
      <c r="D138" s="1938"/>
      <c r="E138" s="1938"/>
      <c r="F138" s="1938"/>
      <c r="G138" s="1833">
        <f>C_Light_General!G616</f>
        <v>3.4000000000000002E-2</v>
      </c>
      <c r="H138" s="1834"/>
      <c r="I138" s="1835"/>
      <c r="J138" s="1833">
        <f>C_Light_General!J616</f>
        <v>2.5000000000000001E-2</v>
      </c>
      <c r="K138" s="1834"/>
      <c r="L138" s="1835"/>
      <c r="M138" s="1833">
        <f>C_Light_General!M616</f>
        <v>3.6999999999999998E-2</v>
      </c>
      <c r="N138" s="1834"/>
      <c r="O138" s="1835"/>
      <c r="P138" s="1833">
        <f>C_Light_General!P616</f>
        <v>3.5999999999999997E-2</v>
      </c>
      <c r="Q138" s="1834"/>
      <c r="R138" s="1835"/>
      <c r="S138" s="1833">
        <f>C_Light_General!S616</f>
        <v>2.9000000000000001E-2</v>
      </c>
      <c r="T138" s="1834"/>
      <c r="U138" s="1835"/>
      <c r="V138" s="2063">
        <f>C_Light_General!V616</f>
        <v>246.12</v>
      </c>
      <c r="W138" s="2064"/>
      <c r="X138" s="2065"/>
      <c r="Y138" s="2063">
        <f>C_Light_General!Y616</f>
        <v>176.22</v>
      </c>
      <c r="Z138" s="2064"/>
      <c r="AA138" s="2065"/>
      <c r="AB138" s="2063">
        <f>C_Light_General!AB616</f>
        <v>263.82</v>
      </c>
      <c r="AC138" s="2064"/>
      <c r="AD138" s="2065"/>
      <c r="AE138" s="2063">
        <f>C_Light_General!AE616</f>
        <v>257.23</v>
      </c>
      <c r="AF138" s="2064"/>
      <c r="AG138" s="2065"/>
      <c r="AH138" s="2063">
        <f>C_Light_General!AH616</f>
        <v>206.6</v>
      </c>
      <c r="AI138" s="2064"/>
      <c r="AJ138" s="2065"/>
    </row>
    <row r="139" spans="1:38" x14ac:dyDescent="0.3">
      <c r="A139" s="1938" t="s">
        <v>214</v>
      </c>
      <c r="B139" s="1938"/>
      <c r="C139" s="1938"/>
      <c r="D139" s="1938"/>
      <c r="E139" s="1938"/>
      <c r="F139" s="1938"/>
      <c r="G139" s="1833">
        <f>C_Light_General!G617</f>
        <v>3.5999999999999997E-2</v>
      </c>
      <c r="H139" s="1834"/>
      <c r="I139" s="1835"/>
      <c r="J139" s="1833">
        <f>C_Light_General!J617</f>
        <v>2.5999999999999999E-2</v>
      </c>
      <c r="K139" s="1834"/>
      <c r="L139" s="1835"/>
      <c r="M139" s="1833">
        <f>C_Light_General!M617</f>
        <v>3.7999999999999999E-2</v>
      </c>
      <c r="N139" s="1834"/>
      <c r="O139" s="1835"/>
      <c r="P139" s="1833">
        <f>C_Light_General!P617</f>
        <v>3.6999999999999998E-2</v>
      </c>
      <c r="Q139" s="1834"/>
      <c r="R139" s="1835"/>
      <c r="S139" s="1833">
        <f>C_Light_General!S617</f>
        <v>0.03</v>
      </c>
      <c r="T139" s="1834"/>
      <c r="U139" s="1835"/>
      <c r="V139" s="2063">
        <f>C_Light_General!V617</f>
        <v>269.72000000000003</v>
      </c>
      <c r="W139" s="2064"/>
      <c r="X139" s="2065"/>
      <c r="Y139" s="2063">
        <f>C_Light_General!Y617</f>
        <v>193.12</v>
      </c>
      <c r="Z139" s="2064"/>
      <c r="AA139" s="2065"/>
      <c r="AB139" s="2063">
        <f>C_Light_General!AB617</f>
        <v>289.13</v>
      </c>
      <c r="AC139" s="2064"/>
      <c r="AD139" s="2065"/>
      <c r="AE139" s="2063">
        <f>C_Light_General!AE617</f>
        <v>281.89999999999998</v>
      </c>
      <c r="AF139" s="2064"/>
      <c r="AG139" s="2065"/>
      <c r="AH139" s="2063">
        <f>C_Light_General!AH617</f>
        <v>226.42</v>
      </c>
      <c r="AI139" s="2064"/>
      <c r="AJ139" s="2065"/>
    </row>
    <row r="140" spans="1:38" x14ac:dyDescent="0.3">
      <c r="A140" s="1938" t="s">
        <v>215</v>
      </c>
      <c r="B140" s="1938"/>
      <c r="C140" s="1938"/>
      <c r="D140" s="1938"/>
      <c r="E140" s="1938"/>
      <c r="F140" s="1938"/>
      <c r="G140" s="1833">
        <f>C_Light_General!G618</f>
        <v>1.4999999999999999E-2</v>
      </c>
      <c r="H140" s="1834"/>
      <c r="I140" s="1835"/>
      <c r="J140" s="1833">
        <f>C_Light_General!J618</f>
        <v>0.01</v>
      </c>
      <c r="K140" s="1834"/>
      <c r="L140" s="1835"/>
      <c r="M140" s="1833">
        <f>C_Light_General!M618</f>
        <v>1.6E-2</v>
      </c>
      <c r="N140" s="1834"/>
      <c r="O140" s="1835"/>
      <c r="P140" s="1833">
        <f>C_Light_General!P618</f>
        <v>1.4999999999999999E-2</v>
      </c>
      <c r="Q140" s="1834"/>
      <c r="R140" s="1835"/>
      <c r="S140" s="1833">
        <f>C_Light_General!S618</f>
        <v>1.2E-2</v>
      </c>
      <c r="T140" s="1834"/>
      <c r="U140" s="1835"/>
      <c r="V140" s="2063">
        <f>C_Light_General!V618</f>
        <v>78.069999999999993</v>
      </c>
      <c r="W140" s="2064"/>
      <c r="X140" s="2065"/>
      <c r="Y140" s="2063">
        <f>C_Light_General!Y618</f>
        <v>55.9</v>
      </c>
      <c r="Z140" s="2064"/>
      <c r="AA140" s="2065"/>
      <c r="AB140" s="2063">
        <f>C_Light_General!AB618</f>
        <v>83.69</v>
      </c>
      <c r="AC140" s="2064"/>
      <c r="AD140" s="2065"/>
      <c r="AE140" s="2063">
        <f>C_Light_General!AE618</f>
        <v>81.599999999999994</v>
      </c>
      <c r="AF140" s="2064"/>
      <c r="AG140" s="2065"/>
      <c r="AH140" s="2063">
        <f>C_Light_General!AH618</f>
        <v>65.53</v>
      </c>
      <c r="AI140" s="2064"/>
      <c r="AJ140" s="2065"/>
    </row>
    <row r="141" spans="1:38" x14ac:dyDescent="0.3">
      <c r="A141" s="1938" t="s">
        <v>216</v>
      </c>
      <c r="B141" s="1938"/>
      <c r="C141" s="1938"/>
      <c r="D141" s="1938"/>
      <c r="E141" s="1938"/>
      <c r="F141" s="1938"/>
      <c r="G141" s="1833">
        <f>C_Light_General!G619</f>
        <v>2.8000000000000001E-2</v>
      </c>
      <c r="H141" s="1834"/>
      <c r="I141" s="1835"/>
      <c r="J141" s="1833">
        <f>C_Light_General!J619</f>
        <v>0.02</v>
      </c>
      <c r="K141" s="1834"/>
      <c r="L141" s="1835"/>
      <c r="M141" s="1833">
        <f>C_Light_General!M619</f>
        <v>0.03</v>
      </c>
      <c r="N141" s="1834"/>
      <c r="O141" s="1835"/>
      <c r="P141" s="1833">
        <f>C_Light_General!P619</f>
        <v>2.9000000000000001E-2</v>
      </c>
      <c r="Q141" s="1834"/>
      <c r="R141" s="1835"/>
      <c r="S141" s="1833">
        <f>C_Light_General!S619</f>
        <v>2.3E-2</v>
      </c>
      <c r="T141" s="1834"/>
      <c r="U141" s="1835"/>
      <c r="V141" s="2063">
        <f>C_Light_General!V619</f>
        <v>105.85</v>
      </c>
      <c r="W141" s="2064"/>
      <c r="X141" s="2065"/>
      <c r="Y141" s="2063">
        <f>C_Light_General!Y619</f>
        <v>75.790000000000006</v>
      </c>
      <c r="Z141" s="2064"/>
      <c r="AA141" s="2065"/>
      <c r="AB141" s="2063">
        <f>C_Light_General!AB619</f>
        <v>113.46</v>
      </c>
      <c r="AC141" s="2064"/>
      <c r="AD141" s="2065"/>
      <c r="AE141" s="2063">
        <f>C_Light_General!AE619</f>
        <v>110.63</v>
      </c>
      <c r="AF141" s="2064"/>
      <c r="AG141" s="2065"/>
      <c r="AH141" s="2063">
        <f>C_Light_General!AH619</f>
        <v>88.85</v>
      </c>
      <c r="AI141" s="2064"/>
      <c r="AJ141" s="2065"/>
    </row>
    <row r="142" spans="1:38" x14ac:dyDescent="0.3">
      <c r="A142" s="1938" t="s">
        <v>47</v>
      </c>
      <c r="B142" s="1938"/>
      <c r="C142" s="1938"/>
      <c r="D142" s="1938"/>
      <c r="E142" s="1938"/>
      <c r="F142" s="1938"/>
      <c r="G142" s="1833">
        <f>C_Light_General!G620</f>
        <v>0.01</v>
      </c>
      <c r="H142" s="1834"/>
      <c r="I142" s="1835"/>
      <c r="J142" s="1833">
        <f>C_Light_General!J620</f>
        <v>7.0000000000000001E-3</v>
      </c>
      <c r="K142" s="1834"/>
      <c r="L142" s="1835"/>
      <c r="M142" s="1833">
        <f>C_Light_General!M620</f>
        <v>1.0999999999999999E-2</v>
      </c>
      <c r="N142" s="1834"/>
      <c r="O142" s="1835"/>
      <c r="P142" s="1833">
        <f>C_Light_General!P620</f>
        <v>1.0999999999999999E-2</v>
      </c>
      <c r="Q142" s="1834"/>
      <c r="R142" s="1835"/>
      <c r="S142" s="1833">
        <f>C_Light_General!S620</f>
        <v>8.9999999999999993E-3</v>
      </c>
      <c r="T142" s="1834"/>
      <c r="U142" s="1835"/>
      <c r="V142" s="2063">
        <f>C_Light_General!V620</f>
        <v>98.03</v>
      </c>
      <c r="W142" s="2064"/>
      <c r="X142" s="2065"/>
      <c r="Y142" s="2063">
        <f>C_Light_General!Y620</f>
        <v>70.19</v>
      </c>
      <c r="Z142" s="2064"/>
      <c r="AA142" s="2065"/>
      <c r="AB142" s="2063">
        <f>C_Light_General!AB620</f>
        <v>105.09</v>
      </c>
      <c r="AC142" s="2064"/>
      <c r="AD142" s="2065"/>
      <c r="AE142" s="2063">
        <f>C_Light_General!AE620</f>
        <v>102.46</v>
      </c>
      <c r="AF142" s="2064"/>
      <c r="AG142" s="2065"/>
      <c r="AH142" s="2063">
        <f>C_Light_General!AH620</f>
        <v>82.29</v>
      </c>
      <c r="AI142" s="2064"/>
      <c r="AJ142" s="2065"/>
    </row>
    <row r="143" spans="1:38" x14ac:dyDescent="0.3">
      <c r="A143" s="1938" t="s">
        <v>217</v>
      </c>
      <c r="B143" s="1938"/>
      <c r="C143" s="1938"/>
      <c r="D143" s="1938"/>
      <c r="E143" s="1938"/>
      <c r="F143" s="1938"/>
      <c r="G143" s="1833">
        <f>C_Light_General!G621</f>
        <v>2.8000000000000001E-2</v>
      </c>
      <c r="H143" s="1834"/>
      <c r="I143" s="1835"/>
      <c r="J143" s="1833">
        <f>C_Light_General!J621</f>
        <v>0.02</v>
      </c>
      <c r="K143" s="1834"/>
      <c r="L143" s="1835"/>
      <c r="M143" s="1833">
        <f>C_Light_General!M621</f>
        <v>0.03</v>
      </c>
      <c r="N143" s="1834"/>
      <c r="O143" s="1835"/>
      <c r="P143" s="1833">
        <f>C_Light_General!P621</f>
        <v>2.9000000000000001E-2</v>
      </c>
      <c r="Q143" s="1834"/>
      <c r="R143" s="1835"/>
      <c r="S143" s="1833">
        <f>C_Light_General!S621</f>
        <v>2.3E-2</v>
      </c>
      <c r="T143" s="1834"/>
      <c r="U143" s="1835"/>
      <c r="V143" s="2063">
        <f>C_Light_General!V621</f>
        <v>208.67</v>
      </c>
      <c r="W143" s="2064"/>
      <c r="X143" s="2065"/>
      <c r="Y143" s="2063">
        <f>C_Light_General!Y621</f>
        <v>149.4</v>
      </c>
      <c r="Z143" s="2064"/>
      <c r="AA143" s="2065"/>
      <c r="AB143" s="2063">
        <f>C_Light_General!AB621</f>
        <v>223.68</v>
      </c>
      <c r="AC143" s="2064"/>
      <c r="AD143" s="2065"/>
      <c r="AE143" s="2063">
        <f>C_Light_General!AE621</f>
        <v>218.09</v>
      </c>
      <c r="AF143" s="2064"/>
      <c r="AG143" s="2065"/>
      <c r="AH143" s="2063">
        <f>C_Light_General!AH621</f>
        <v>175.16</v>
      </c>
      <c r="AI143" s="2064"/>
      <c r="AJ143" s="2065"/>
    </row>
    <row r="144" spans="1:38" x14ac:dyDescent="0.3">
      <c r="A144" s="1938" t="s">
        <v>218</v>
      </c>
      <c r="B144" s="1938"/>
      <c r="C144" s="1938"/>
      <c r="D144" s="1938"/>
      <c r="E144" s="1938"/>
      <c r="F144" s="1938"/>
      <c r="G144" s="1833">
        <f>C_Light_General!G622</f>
        <v>0.02</v>
      </c>
      <c r="H144" s="1834"/>
      <c r="I144" s="1835"/>
      <c r="J144" s="1833">
        <f>C_Light_General!J622</f>
        <v>1.4E-2</v>
      </c>
      <c r="K144" s="1834"/>
      <c r="L144" s="1835"/>
      <c r="M144" s="1833">
        <f>C_Light_General!M622</f>
        <v>2.1000000000000001E-2</v>
      </c>
      <c r="N144" s="1834"/>
      <c r="O144" s="1835"/>
      <c r="P144" s="1833">
        <f>C_Light_General!P622</f>
        <v>0.02</v>
      </c>
      <c r="Q144" s="1834"/>
      <c r="R144" s="1835"/>
      <c r="S144" s="1833">
        <f>C_Light_General!S622</f>
        <v>1.6E-2</v>
      </c>
      <c r="T144" s="1834"/>
      <c r="U144" s="1835"/>
      <c r="V144" s="2063">
        <f>C_Light_General!V622</f>
        <v>118.69</v>
      </c>
      <c r="W144" s="2064"/>
      <c r="X144" s="2065"/>
      <c r="Y144" s="2063">
        <f>C_Light_General!Y622</f>
        <v>84.98</v>
      </c>
      <c r="Z144" s="2064"/>
      <c r="AA144" s="2065"/>
      <c r="AB144" s="2063">
        <f>C_Light_General!AB622</f>
        <v>127.23</v>
      </c>
      <c r="AC144" s="2064"/>
      <c r="AD144" s="2065"/>
      <c r="AE144" s="2063">
        <f>C_Light_General!AE622</f>
        <v>124.05</v>
      </c>
      <c r="AF144" s="2064"/>
      <c r="AG144" s="2065"/>
      <c r="AH144" s="2063">
        <f>C_Light_General!AH622</f>
        <v>99.63</v>
      </c>
      <c r="AI144" s="2064"/>
      <c r="AJ144" s="2065"/>
    </row>
    <row r="145" spans="1:38" x14ac:dyDescent="0.3">
      <c r="A145" s="1938" t="s">
        <v>219</v>
      </c>
      <c r="B145" s="1938"/>
      <c r="C145" s="1938"/>
      <c r="D145" s="1938"/>
      <c r="E145" s="1938"/>
      <c r="F145" s="1938"/>
      <c r="G145" s="1833">
        <f>C_Light_General!G623</f>
        <v>4.0000000000000001E-3</v>
      </c>
      <c r="H145" s="1834"/>
      <c r="I145" s="1835"/>
      <c r="J145" s="1833">
        <f>C_Light_General!J623</f>
        <v>3.0000000000000001E-3</v>
      </c>
      <c r="K145" s="1834"/>
      <c r="L145" s="1835"/>
      <c r="M145" s="1833">
        <f>C_Light_General!M623</f>
        <v>4.0000000000000001E-3</v>
      </c>
      <c r="N145" s="1834"/>
      <c r="O145" s="1835"/>
      <c r="P145" s="1833">
        <f>C_Light_General!P623</f>
        <v>4.0000000000000001E-3</v>
      </c>
      <c r="Q145" s="1834"/>
      <c r="R145" s="1835"/>
      <c r="S145" s="1833">
        <f>C_Light_General!S623</f>
        <v>3.0000000000000001E-3</v>
      </c>
      <c r="T145" s="1834"/>
      <c r="U145" s="1835"/>
      <c r="V145" s="2063">
        <f>C_Light_General!V623</f>
        <v>75.209999999999994</v>
      </c>
      <c r="W145" s="2064"/>
      <c r="X145" s="2065"/>
      <c r="Y145" s="2063">
        <f>C_Light_General!Y623</f>
        <v>53.85</v>
      </c>
      <c r="Z145" s="2064"/>
      <c r="AA145" s="2065"/>
      <c r="AB145" s="2063">
        <f>C_Light_General!AB623</f>
        <v>80.62</v>
      </c>
      <c r="AC145" s="2064"/>
      <c r="AD145" s="2065"/>
      <c r="AE145" s="2063">
        <f>C_Light_General!AE623</f>
        <v>78.599999999999994</v>
      </c>
      <c r="AF145" s="2064"/>
      <c r="AG145" s="2065"/>
      <c r="AH145" s="2063">
        <f>C_Light_General!AH623</f>
        <v>63.13</v>
      </c>
      <c r="AI145" s="2064"/>
      <c r="AJ145" s="2065"/>
    </row>
    <row r="146" spans="1:38" x14ac:dyDescent="0.3">
      <c r="A146" s="147"/>
      <c r="B146" s="147"/>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row>
    <row r="147" spans="1:38" x14ac:dyDescent="0.3">
      <c r="A147" s="610" t="s">
        <v>4611</v>
      </c>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53"/>
      <c r="AJ147" s="53"/>
      <c r="AK147" s="53"/>
      <c r="AL147" s="53"/>
    </row>
    <row r="148" spans="1:38" x14ac:dyDescent="0.3">
      <c r="A148" s="53"/>
      <c r="B148" s="53"/>
      <c r="C148" s="53"/>
      <c r="D148" s="53"/>
      <c r="E148" s="53"/>
      <c r="F148" s="53"/>
      <c r="G148" s="1870" t="s">
        <v>2777</v>
      </c>
      <c r="H148" s="1871"/>
      <c r="I148" s="1871"/>
      <c r="J148" s="1871"/>
      <c r="K148" s="1871"/>
      <c r="L148" s="1871"/>
      <c r="M148" s="1871"/>
      <c r="N148" s="1871"/>
      <c r="O148" s="1871"/>
      <c r="P148" s="1871"/>
      <c r="Q148" s="1871"/>
      <c r="R148" s="1871"/>
      <c r="S148" s="1871"/>
      <c r="T148" s="1871"/>
      <c r="U148" s="1871"/>
      <c r="V148" s="1872" t="s">
        <v>2779</v>
      </c>
      <c r="W148" s="1873"/>
      <c r="X148" s="1873"/>
      <c r="Y148" s="1873"/>
      <c r="Z148" s="1873"/>
      <c r="AA148" s="1873"/>
      <c r="AB148" s="1873"/>
      <c r="AC148" s="1873"/>
      <c r="AD148" s="1873"/>
      <c r="AE148" s="1873"/>
      <c r="AF148" s="1873"/>
      <c r="AG148" s="1873"/>
      <c r="AH148" s="1873"/>
      <c r="AI148" s="1873"/>
      <c r="AJ148" s="1874"/>
    </row>
    <row r="149" spans="1:38" ht="33.75" customHeight="1" x14ac:dyDescent="0.3">
      <c r="A149" s="1069" t="s">
        <v>46</v>
      </c>
      <c r="B149" s="1069"/>
      <c r="C149" s="1069"/>
      <c r="D149" s="1069"/>
      <c r="E149" s="1069"/>
      <c r="F149" s="1069"/>
      <c r="G149" s="1929" t="s">
        <v>255</v>
      </c>
      <c r="H149" s="1930"/>
      <c r="I149" s="1931"/>
      <c r="J149" s="1884" t="s">
        <v>259</v>
      </c>
      <c r="K149" s="1885"/>
      <c r="L149" s="1886"/>
      <c r="M149" s="1929" t="s">
        <v>260</v>
      </c>
      <c r="N149" s="1930"/>
      <c r="O149" s="1931"/>
      <c r="P149" s="1884" t="s">
        <v>263</v>
      </c>
      <c r="Q149" s="1885"/>
      <c r="R149" s="1886"/>
      <c r="S149" s="1926" t="s">
        <v>1789</v>
      </c>
      <c r="T149" s="1927"/>
      <c r="U149" s="1928"/>
      <c r="V149" s="1884" t="s">
        <v>255</v>
      </c>
      <c r="W149" s="1885"/>
      <c r="X149" s="1886"/>
      <c r="Y149" s="1929" t="s">
        <v>259</v>
      </c>
      <c r="Z149" s="1930"/>
      <c r="AA149" s="1931"/>
      <c r="AB149" s="1884" t="s">
        <v>260</v>
      </c>
      <c r="AC149" s="1885"/>
      <c r="AD149" s="1886"/>
      <c r="AE149" s="1929" t="s">
        <v>263</v>
      </c>
      <c r="AF149" s="1930"/>
      <c r="AG149" s="1931"/>
      <c r="AH149" s="1932" t="s">
        <v>1789</v>
      </c>
      <c r="AI149" s="1933"/>
      <c r="AJ149" s="1934"/>
    </row>
    <row r="150" spans="1:38" x14ac:dyDescent="0.3">
      <c r="A150" s="1938" t="s">
        <v>1796</v>
      </c>
      <c r="B150" s="1938"/>
      <c r="C150" s="1938"/>
      <c r="D150" s="1938"/>
      <c r="E150" s="1938"/>
      <c r="F150" s="1938"/>
      <c r="G150" s="1833">
        <f>C_Light_General!G628</f>
        <v>2E-3</v>
      </c>
      <c r="H150" s="1834"/>
      <c r="I150" s="1835"/>
      <c r="J150" s="1833">
        <f>C_Light_General!J628</f>
        <v>2E-3</v>
      </c>
      <c r="K150" s="1834"/>
      <c r="L150" s="1835"/>
      <c r="M150" s="1833">
        <f>C_Light_General!M628</f>
        <v>3.0000000000000001E-3</v>
      </c>
      <c r="N150" s="1834"/>
      <c r="O150" s="1835"/>
      <c r="P150" s="1833">
        <f>C_Light_General!P628</f>
        <v>4.0000000000000001E-3</v>
      </c>
      <c r="Q150" s="1834"/>
      <c r="R150" s="1835"/>
      <c r="S150" s="1833">
        <f>C_Light_General!S628</f>
        <v>5.0000000000000001E-3</v>
      </c>
      <c r="T150" s="1834"/>
      <c r="U150" s="1835"/>
      <c r="V150" s="2063">
        <f>C_Light_General!V628</f>
        <v>12.08</v>
      </c>
      <c r="W150" s="2064"/>
      <c r="X150" s="2065"/>
      <c r="Y150" s="2063">
        <f>C_Light_General!Y628</f>
        <v>10.52</v>
      </c>
      <c r="Z150" s="2064"/>
      <c r="AA150" s="2065"/>
      <c r="AB150" s="2063">
        <f>C_Light_General!AB628</f>
        <v>16.61</v>
      </c>
      <c r="AC150" s="2064"/>
      <c r="AD150" s="2065"/>
      <c r="AE150" s="2063">
        <f>C_Light_General!AE628</f>
        <v>22.28</v>
      </c>
      <c r="AF150" s="2064"/>
      <c r="AG150" s="2065"/>
      <c r="AH150" s="2063">
        <f>C_Light_General!AH628</f>
        <v>28.79</v>
      </c>
      <c r="AI150" s="2064"/>
      <c r="AJ150" s="2065"/>
    </row>
    <row r="151" spans="1:38" x14ac:dyDescent="0.3">
      <c r="A151" s="1938" t="s">
        <v>211</v>
      </c>
      <c r="B151" s="1938"/>
      <c r="C151" s="1938"/>
      <c r="D151" s="1938"/>
      <c r="E151" s="1938"/>
      <c r="F151" s="1938"/>
      <c r="G151" s="1833">
        <f>C_Light_General!G629</f>
        <v>1E-3</v>
      </c>
      <c r="H151" s="1834"/>
      <c r="I151" s="1835"/>
      <c r="J151" s="1833">
        <f>C_Light_General!J629</f>
        <v>1E-3</v>
      </c>
      <c r="K151" s="1834"/>
      <c r="L151" s="1835"/>
      <c r="M151" s="1833">
        <f>C_Light_General!M629</f>
        <v>2E-3</v>
      </c>
      <c r="N151" s="1834"/>
      <c r="O151" s="1835"/>
      <c r="P151" s="1833">
        <f>C_Light_General!P629</f>
        <v>3.0000000000000001E-3</v>
      </c>
      <c r="Q151" s="1834"/>
      <c r="R151" s="1835"/>
      <c r="S151" s="1833">
        <f>C_Light_General!S629</f>
        <v>4.0000000000000001E-3</v>
      </c>
      <c r="T151" s="1834"/>
      <c r="U151" s="1835"/>
      <c r="V151" s="2063">
        <f>C_Light_General!V629</f>
        <v>42.91</v>
      </c>
      <c r="W151" s="2064"/>
      <c r="X151" s="2065"/>
      <c r="Y151" s="2063">
        <f>C_Light_General!Y629</f>
        <v>37.369999999999997</v>
      </c>
      <c r="Z151" s="2064"/>
      <c r="AA151" s="2065"/>
      <c r="AB151" s="2063">
        <f>C_Light_General!AB629</f>
        <v>59</v>
      </c>
      <c r="AC151" s="2064"/>
      <c r="AD151" s="2065"/>
      <c r="AE151" s="2063">
        <f>C_Light_General!AE629</f>
        <v>79.13</v>
      </c>
      <c r="AF151" s="2064"/>
      <c r="AG151" s="2065"/>
      <c r="AH151" s="2063">
        <f>C_Light_General!AH629</f>
        <v>102.25</v>
      </c>
      <c r="AI151" s="2064"/>
      <c r="AJ151" s="2065"/>
    </row>
    <row r="152" spans="1:38" x14ac:dyDescent="0.3">
      <c r="A152" s="1938" t="s">
        <v>212</v>
      </c>
      <c r="B152" s="1938"/>
      <c r="C152" s="1938"/>
      <c r="D152" s="1938"/>
      <c r="E152" s="1938"/>
      <c r="F152" s="1938"/>
      <c r="G152" s="1833">
        <f>C_Light_General!G630</f>
        <v>2E-3</v>
      </c>
      <c r="H152" s="1834"/>
      <c r="I152" s="1835"/>
      <c r="J152" s="1833">
        <f>C_Light_General!J630</f>
        <v>2E-3</v>
      </c>
      <c r="K152" s="1834"/>
      <c r="L152" s="1835"/>
      <c r="M152" s="1833">
        <f>C_Light_General!M630</f>
        <v>3.0000000000000001E-3</v>
      </c>
      <c r="N152" s="1834"/>
      <c r="O152" s="1835"/>
      <c r="P152" s="1833">
        <f>C_Light_General!P630</f>
        <v>4.0000000000000001E-3</v>
      </c>
      <c r="Q152" s="1834"/>
      <c r="R152" s="1835"/>
      <c r="S152" s="1833">
        <f>C_Light_General!S630</f>
        <v>5.0000000000000001E-3</v>
      </c>
      <c r="T152" s="1834"/>
      <c r="U152" s="1835"/>
      <c r="V152" s="2063">
        <f>C_Light_General!V630</f>
        <v>10.93</v>
      </c>
      <c r="W152" s="2064"/>
      <c r="X152" s="2065"/>
      <c r="Y152" s="2063">
        <f>C_Light_General!Y630</f>
        <v>9.52</v>
      </c>
      <c r="Z152" s="2064"/>
      <c r="AA152" s="2065"/>
      <c r="AB152" s="2063">
        <f>C_Light_General!AB630</f>
        <v>15.04</v>
      </c>
      <c r="AC152" s="2064"/>
      <c r="AD152" s="2065"/>
      <c r="AE152" s="2063">
        <f>C_Light_General!AE630</f>
        <v>20.170000000000002</v>
      </c>
      <c r="AF152" s="2064"/>
      <c r="AG152" s="2065"/>
      <c r="AH152" s="2063">
        <f>C_Light_General!AH630</f>
        <v>26.06</v>
      </c>
      <c r="AI152" s="2064"/>
      <c r="AJ152" s="2065"/>
    </row>
    <row r="153" spans="1:38" x14ac:dyDescent="0.3">
      <c r="A153" s="1938" t="s">
        <v>213</v>
      </c>
      <c r="B153" s="1938"/>
      <c r="C153" s="1938"/>
      <c r="D153" s="1938"/>
      <c r="E153" s="1938"/>
      <c r="F153" s="1938"/>
      <c r="G153" s="1833">
        <f>C_Light_General!G631</f>
        <v>5.0000000000000001E-3</v>
      </c>
      <c r="H153" s="1834"/>
      <c r="I153" s="1835"/>
      <c r="J153" s="1833">
        <f>C_Light_General!J631</f>
        <v>4.0000000000000001E-3</v>
      </c>
      <c r="K153" s="1834"/>
      <c r="L153" s="1835"/>
      <c r="M153" s="1833">
        <f>C_Light_General!M631</f>
        <v>6.0000000000000001E-3</v>
      </c>
      <c r="N153" s="1834"/>
      <c r="O153" s="1835"/>
      <c r="P153" s="1833">
        <f>C_Light_General!P631</f>
        <v>8.0000000000000002E-3</v>
      </c>
      <c r="Q153" s="1834"/>
      <c r="R153" s="1835"/>
      <c r="S153" s="1833">
        <f>C_Light_General!S631</f>
        <v>1.0999999999999999E-2</v>
      </c>
      <c r="T153" s="1834"/>
      <c r="U153" s="1835"/>
      <c r="V153" s="2063">
        <f>C_Light_General!V631</f>
        <v>32.619999999999997</v>
      </c>
      <c r="W153" s="2064"/>
      <c r="X153" s="2065"/>
      <c r="Y153" s="2063">
        <f>C_Light_General!Y631</f>
        <v>28.41</v>
      </c>
      <c r="Z153" s="2064"/>
      <c r="AA153" s="2065"/>
      <c r="AB153" s="2063">
        <f>C_Light_General!AB631</f>
        <v>44.85</v>
      </c>
      <c r="AC153" s="2064"/>
      <c r="AD153" s="2065"/>
      <c r="AE153" s="2063">
        <f>C_Light_General!AE631</f>
        <v>60.16</v>
      </c>
      <c r="AF153" s="2064"/>
      <c r="AG153" s="2065"/>
      <c r="AH153" s="2063">
        <f>C_Light_General!AH631</f>
        <v>77.73</v>
      </c>
      <c r="AI153" s="2064"/>
      <c r="AJ153" s="2065"/>
    </row>
    <row r="154" spans="1:38" x14ac:dyDescent="0.3">
      <c r="A154" s="1938" t="s">
        <v>214</v>
      </c>
      <c r="B154" s="1938"/>
      <c r="C154" s="1938"/>
      <c r="D154" s="1938"/>
      <c r="E154" s="1938"/>
      <c r="F154" s="1938"/>
      <c r="G154" s="1833">
        <f>C_Light_General!G632</f>
        <v>5.0000000000000001E-3</v>
      </c>
      <c r="H154" s="1834"/>
      <c r="I154" s="1835"/>
      <c r="J154" s="1833">
        <f>C_Light_General!J632</f>
        <v>4.0000000000000001E-3</v>
      </c>
      <c r="K154" s="1834"/>
      <c r="L154" s="1835"/>
      <c r="M154" s="1833">
        <f>C_Light_General!M632</f>
        <v>7.0000000000000001E-3</v>
      </c>
      <c r="N154" s="1834"/>
      <c r="O154" s="1835"/>
      <c r="P154" s="1833">
        <f>C_Light_General!P632</f>
        <v>8.9999999999999993E-3</v>
      </c>
      <c r="Q154" s="1834"/>
      <c r="R154" s="1835"/>
      <c r="S154" s="1833">
        <f>C_Light_General!S632</f>
        <v>1.0999999999999999E-2</v>
      </c>
      <c r="T154" s="1834"/>
      <c r="U154" s="1835"/>
      <c r="V154" s="2063">
        <f>C_Light_General!V632</f>
        <v>35.75</v>
      </c>
      <c r="W154" s="2064"/>
      <c r="X154" s="2065"/>
      <c r="Y154" s="2063">
        <f>C_Light_General!Y632</f>
        <v>31.14</v>
      </c>
      <c r="Z154" s="2064"/>
      <c r="AA154" s="2065"/>
      <c r="AB154" s="2063">
        <f>C_Light_General!AB632</f>
        <v>49.16</v>
      </c>
      <c r="AC154" s="2064"/>
      <c r="AD154" s="2065"/>
      <c r="AE154" s="2063">
        <f>C_Light_General!AE632</f>
        <v>65.930000000000007</v>
      </c>
      <c r="AF154" s="2064"/>
      <c r="AG154" s="2065"/>
      <c r="AH154" s="2063">
        <f>C_Light_General!AH632</f>
        <v>85.19</v>
      </c>
      <c r="AI154" s="2064"/>
      <c r="AJ154" s="2065"/>
    </row>
    <row r="155" spans="1:38" x14ac:dyDescent="0.3">
      <c r="A155" s="1938" t="s">
        <v>215</v>
      </c>
      <c r="B155" s="1938"/>
      <c r="C155" s="1938"/>
      <c r="D155" s="1938"/>
      <c r="E155" s="1938"/>
      <c r="F155" s="1938"/>
      <c r="G155" s="1833">
        <f>C_Light_General!G633</f>
        <v>2E-3</v>
      </c>
      <c r="H155" s="1834"/>
      <c r="I155" s="1835"/>
      <c r="J155" s="1833">
        <f>C_Light_General!J633</f>
        <v>2E-3</v>
      </c>
      <c r="K155" s="1834"/>
      <c r="L155" s="1835"/>
      <c r="M155" s="1833">
        <f>C_Light_General!M633</f>
        <v>3.0000000000000001E-3</v>
      </c>
      <c r="N155" s="1834"/>
      <c r="O155" s="1835"/>
      <c r="P155" s="1833">
        <f>C_Light_General!P633</f>
        <v>4.0000000000000001E-3</v>
      </c>
      <c r="Q155" s="1834"/>
      <c r="R155" s="1835"/>
      <c r="S155" s="1833">
        <f>C_Light_General!S633</f>
        <v>5.0000000000000001E-3</v>
      </c>
      <c r="T155" s="1834"/>
      <c r="U155" s="1835"/>
      <c r="V155" s="2063">
        <f>C_Light_General!V633</f>
        <v>10.35</v>
      </c>
      <c r="W155" s="2064"/>
      <c r="X155" s="2065"/>
      <c r="Y155" s="2063">
        <f>C_Light_General!Y633</f>
        <v>9.01</v>
      </c>
      <c r="Z155" s="2064"/>
      <c r="AA155" s="2065"/>
      <c r="AB155" s="2063">
        <f>C_Light_General!AB633</f>
        <v>14.23</v>
      </c>
      <c r="AC155" s="2064"/>
      <c r="AD155" s="2065"/>
      <c r="AE155" s="2063">
        <f>C_Light_General!AE633</f>
        <v>19.079999999999998</v>
      </c>
      <c r="AF155" s="2064"/>
      <c r="AG155" s="2065"/>
      <c r="AH155" s="2063">
        <f>C_Light_General!AH633</f>
        <v>24.66</v>
      </c>
      <c r="AI155" s="2064"/>
      <c r="AJ155" s="2065"/>
    </row>
    <row r="156" spans="1:38" x14ac:dyDescent="0.3">
      <c r="A156" s="1938" t="s">
        <v>216</v>
      </c>
      <c r="B156" s="1938"/>
      <c r="C156" s="1938"/>
      <c r="D156" s="1938"/>
      <c r="E156" s="1938"/>
      <c r="F156" s="1938"/>
      <c r="G156" s="1833">
        <f>C_Light_General!G634</f>
        <v>4.0000000000000001E-3</v>
      </c>
      <c r="H156" s="1834"/>
      <c r="I156" s="1835"/>
      <c r="J156" s="1833">
        <f>C_Light_General!J634</f>
        <v>3.0000000000000001E-3</v>
      </c>
      <c r="K156" s="1834"/>
      <c r="L156" s="1835"/>
      <c r="M156" s="1833">
        <f>C_Light_General!M634</f>
        <v>5.0000000000000001E-3</v>
      </c>
      <c r="N156" s="1834"/>
      <c r="O156" s="1835"/>
      <c r="P156" s="1833">
        <f>C_Light_General!P634</f>
        <v>7.0000000000000001E-3</v>
      </c>
      <c r="Q156" s="1834"/>
      <c r="R156" s="1835"/>
      <c r="S156" s="1833">
        <f>C_Light_General!S634</f>
        <v>8.9999999999999993E-3</v>
      </c>
      <c r="T156" s="1834"/>
      <c r="U156" s="1835"/>
      <c r="V156" s="2063">
        <f>C_Light_General!V634</f>
        <v>14.03</v>
      </c>
      <c r="W156" s="2064"/>
      <c r="X156" s="2065"/>
      <c r="Y156" s="2063">
        <f>C_Light_General!Y634</f>
        <v>12.22</v>
      </c>
      <c r="Z156" s="2064"/>
      <c r="AA156" s="2065"/>
      <c r="AB156" s="2063">
        <f>C_Light_General!AB634</f>
        <v>19.29</v>
      </c>
      <c r="AC156" s="2064"/>
      <c r="AD156" s="2065"/>
      <c r="AE156" s="2063">
        <f>C_Light_General!AE634</f>
        <v>25.87</v>
      </c>
      <c r="AF156" s="2064"/>
      <c r="AG156" s="2065"/>
      <c r="AH156" s="2063">
        <f>C_Light_General!AH634</f>
        <v>33.43</v>
      </c>
      <c r="AI156" s="2064"/>
      <c r="AJ156" s="2065"/>
    </row>
    <row r="157" spans="1:38" x14ac:dyDescent="0.3">
      <c r="A157" s="1938" t="s">
        <v>47</v>
      </c>
      <c r="B157" s="1938"/>
      <c r="C157" s="1938"/>
      <c r="D157" s="1938"/>
      <c r="E157" s="1938"/>
      <c r="F157" s="1938"/>
      <c r="G157" s="1833">
        <f>C_Light_General!G635</f>
        <v>1E-3</v>
      </c>
      <c r="H157" s="1834"/>
      <c r="I157" s="1835"/>
      <c r="J157" s="1833">
        <f>C_Light_General!J635</f>
        <v>1E-3</v>
      </c>
      <c r="K157" s="1834"/>
      <c r="L157" s="1835"/>
      <c r="M157" s="1833">
        <f>C_Light_General!M635</f>
        <v>2E-3</v>
      </c>
      <c r="N157" s="1834"/>
      <c r="O157" s="1835"/>
      <c r="P157" s="1833">
        <f>C_Light_General!P635</f>
        <v>3.0000000000000001E-3</v>
      </c>
      <c r="Q157" s="1834"/>
      <c r="R157" s="1835"/>
      <c r="S157" s="1833">
        <f>C_Light_General!S635</f>
        <v>3.0000000000000001E-3</v>
      </c>
      <c r="T157" s="1834"/>
      <c r="U157" s="1835"/>
      <c r="V157" s="2063">
        <f>C_Light_General!V635</f>
        <v>12.99</v>
      </c>
      <c r="W157" s="2064"/>
      <c r="X157" s="2065"/>
      <c r="Y157" s="2063">
        <f>C_Light_General!Y635</f>
        <v>11.32</v>
      </c>
      <c r="Z157" s="2064"/>
      <c r="AA157" s="2065"/>
      <c r="AB157" s="2063">
        <f>C_Light_General!AB635</f>
        <v>17.87</v>
      </c>
      <c r="AC157" s="2064"/>
      <c r="AD157" s="2065"/>
      <c r="AE157" s="2063">
        <f>C_Light_General!AE635</f>
        <v>23.96</v>
      </c>
      <c r="AF157" s="2064"/>
      <c r="AG157" s="2065"/>
      <c r="AH157" s="2063">
        <f>C_Light_General!AH635</f>
        <v>30.96</v>
      </c>
      <c r="AI157" s="2064"/>
      <c r="AJ157" s="2065"/>
    </row>
    <row r="158" spans="1:38" x14ac:dyDescent="0.3">
      <c r="A158" s="1938" t="s">
        <v>217</v>
      </c>
      <c r="B158" s="1938"/>
      <c r="C158" s="1938"/>
      <c r="D158" s="1938"/>
      <c r="E158" s="1938"/>
      <c r="F158" s="1938"/>
      <c r="G158" s="1833">
        <f>C_Light_General!G636</f>
        <v>4.0000000000000001E-3</v>
      </c>
      <c r="H158" s="1834"/>
      <c r="I158" s="1835"/>
      <c r="J158" s="1833">
        <f>C_Light_General!J636</f>
        <v>3.0000000000000001E-3</v>
      </c>
      <c r="K158" s="1834"/>
      <c r="L158" s="1835"/>
      <c r="M158" s="1833">
        <f>C_Light_General!M636</f>
        <v>5.0000000000000001E-3</v>
      </c>
      <c r="N158" s="1834"/>
      <c r="O158" s="1835"/>
      <c r="P158" s="1833">
        <f>C_Light_General!P636</f>
        <v>7.0000000000000001E-3</v>
      </c>
      <c r="Q158" s="1834"/>
      <c r="R158" s="1835"/>
      <c r="S158" s="1833">
        <f>C_Light_General!S636</f>
        <v>8.9999999999999993E-3</v>
      </c>
      <c r="T158" s="1834"/>
      <c r="U158" s="1835"/>
      <c r="V158" s="2063">
        <f>C_Light_General!V636</f>
        <v>27.66</v>
      </c>
      <c r="W158" s="2064"/>
      <c r="X158" s="2065"/>
      <c r="Y158" s="2063">
        <f>C_Light_General!Y636</f>
        <v>24.09</v>
      </c>
      <c r="Z158" s="2064"/>
      <c r="AA158" s="2065"/>
      <c r="AB158" s="2063">
        <f>C_Light_General!AB636</f>
        <v>38.03</v>
      </c>
      <c r="AC158" s="2064"/>
      <c r="AD158" s="2065"/>
      <c r="AE158" s="2063">
        <f>C_Light_General!AE636</f>
        <v>51</v>
      </c>
      <c r="AF158" s="2064"/>
      <c r="AG158" s="2065"/>
      <c r="AH158" s="2063">
        <f>C_Light_General!AH636</f>
        <v>65.91</v>
      </c>
      <c r="AI158" s="2064"/>
      <c r="AJ158" s="2065"/>
    </row>
    <row r="159" spans="1:38" x14ac:dyDescent="0.3">
      <c r="A159" s="1938" t="s">
        <v>218</v>
      </c>
      <c r="B159" s="1938"/>
      <c r="C159" s="1938"/>
      <c r="D159" s="1938"/>
      <c r="E159" s="1938"/>
      <c r="F159" s="1938"/>
      <c r="G159" s="1833">
        <f>C_Light_General!G637</f>
        <v>3.0000000000000001E-3</v>
      </c>
      <c r="H159" s="1834"/>
      <c r="I159" s="1835"/>
      <c r="J159" s="1833">
        <f>C_Light_General!J637</f>
        <v>2E-3</v>
      </c>
      <c r="K159" s="1834"/>
      <c r="L159" s="1835"/>
      <c r="M159" s="1833">
        <f>C_Light_General!M637</f>
        <v>4.0000000000000001E-3</v>
      </c>
      <c r="N159" s="1834"/>
      <c r="O159" s="1835"/>
      <c r="P159" s="1833">
        <f>C_Light_General!P637</f>
        <v>5.0000000000000001E-3</v>
      </c>
      <c r="Q159" s="1834"/>
      <c r="R159" s="1835"/>
      <c r="S159" s="1833">
        <f>C_Light_General!S637</f>
        <v>6.0000000000000001E-3</v>
      </c>
      <c r="T159" s="1834"/>
      <c r="U159" s="1835"/>
      <c r="V159" s="2063">
        <f>C_Light_General!V637</f>
        <v>15.73</v>
      </c>
      <c r="W159" s="2064"/>
      <c r="X159" s="2065"/>
      <c r="Y159" s="2063">
        <f>C_Light_General!Y637</f>
        <v>13.7</v>
      </c>
      <c r="Z159" s="2064"/>
      <c r="AA159" s="2065"/>
      <c r="AB159" s="2063">
        <f>C_Light_General!AB637</f>
        <v>21.63</v>
      </c>
      <c r="AC159" s="2064"/>
      <c r="AD159" s="2065"/>
      <c r="AE159" s="2063">
        <f>C_Light_General!AE637</f>
        <v>29.01</v>
      </c>
      <c r="AF159" s="2064"/>
      <c r="AG159" s="2065"/>
      <c r="AH159" s="2063">
        <f>C_Light_General!AH637</f>
        <v>37.49</v>
      </c>
      <c r="AI159" s="2064"/>
      <c r="AJ159" s="2065"/>
    </row>
    <row r="160" spans="1:38" x14ac:dyDescent="0.3">
      <c r="A160" s="1938" t="s">
        <v>219</v>
      </c>
      <c r="B160" s="1938"/>
      <c r="C160" s="1938"/>
      <c r="D160" s="1938"/>
      <c r="E160" s="1938"/>
      <c r="F160" s="1938"/>
      <c r="G160" s="1833">
        <f>C_Light_General!G638</f>
        <v>0</v>
      </c>
      <c r="H160" s="1834"/>
      <c r="I160" s="1835"/>
      <c r="J160" s="1833">
        <f>C_Light_General!J638</f>
        <v>0</v>
      </c>
      <c r="K160" s="1834"/>
      <c r="L160" s="1835"/>
      <c r="M160" s="1833">
        <f>C_Light_General!M638</f>
        <v>1E-3</v>
      </c>
      <c r="N160" s="1834"/>
      <c r="O160" s="1835"/>
      <c r="P160" s="1833">
        <f>C_Light_General!P638</f>
        <v>1E-3</v>
      </c>
      <c r="Q160" s="1834"/>
      <c r="R160" s="1835"/>
      <c r="S160" s="1833">
        <f>C_Light_General!S638</f>
        <v>1E-3</v>
      </c>
      <c r="T160" s="1834"/>
      <c r="U160" s="1835"/>
      <c r="V160" s="2063">
        <f>C_Light_General!V638</f>
        <v>9.9700000000000006</v>
      </c>
      <c r="W160" s="2064"/>
      <c r="X160" s="2065"/>
      <c r="Y160" s="2063">
        <f>C_Light_General!Y638</f>
        <v>8.68</v>
      </c>
      <c r="Z160" s="2064"/>
      <c r="AA160" s="2065"/>
      <c r="AB160" s="2063">
        <f>C_Light_General!AB638</f>
        <v>13.71</v>
      </c>
      <c r="AC160" s="2064"/>
      <c r="AD160" s="2065"/>
      <c r="AE160" s="2063">
        <f>C_Light_General!AE638</f>
        <v>18.38</v>
      </c>
      <c r="AF160" s="2064"/>
      <c r="AG160" s="2065"/>
      <c r="AH160" s="2063">
        <f>C_Light_General!AH638</f>
        <v>23.75</v>
      </c>
      <c r="AI160" s="2064"/>
      <c r="AJ160" s="2065"/>
    </row>
    <row r="161" spans="1:45" x14ac:dyDescent="0.3">
      <c r="A161" s="147"/>
      <c r="B161" s="147"/>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row>
    <row r="162" spans="1:45" x14ac:dyDescent="0.3">
      <c r="A162" s="245"/>
      <c r="B162" s="231" t="s">
        <v>1782</v>
      </c>
      <c r="C162" s="147"/>
      <c r="G162" s="136"/>
      <c r="K162" s="136"/>
      <c r="O162" s="136"/>
      <c r="S162" s="136"/>
      <c r="AA162" s="136"/>
      <c r="AG162" s="136"/>
      <c r="AK162" s="136"/>
    </row>
    <row r="163" spans="1:45" x14ac:dyDescent="0.3">
      <c r="A163" s="245"/>
      <c r="B163" s="147"/>
      <c r="C163" s="147"/>
      <c r="G163" s="136"/>
      <c r="K163" s="136"/>
      <c r="O163" s="136"/>
      <c r="S163" s="136"/>
      <c r="AA163" s="136"/>
      <c r="AG163" s="136"/>
      <c r="AK163" s="136"/>
    </row>
    <row r="164" spans="1:45" x14ac:dyDescent="0.3">
      <c r="A164" s="610" t="s">
        <v>4612</v>
      </c>
      <c r="B164" s="139"/>
      <c r="C164" s="139"/>
      <c r="D164" s="139"/>
      <c r="E164" s="139"/>
      <c r="F164" s="139"/>
      <c r="G164" s="141"/>
      <c r="H164" s="141"/>
      <c r="I164" s="141"/>
      <c r="J164" s="141"/>
      <c r="K164" s="141"/>
      <c r="L164" s="141"/>
      <c r="M164" s="141"/>
      <c r="N164" s="141"/>
      <c r="O164" s="141"/>
      <c r="P164" s="141"/>
      <c r="Q164" s="141"/>
      <c r="R164" s="141"/>
      <c r="S164" s="141"/>
      <c r="T164" s="141"/>
      <c r="U164" s="141"/>
      <c r="V164" s="141"/>
      <c r="W164" s="141"/>
      <c r="X164" s="141"/>
      <c r="Y164" s="141"/>
      <c r="Z164" s="141"/>
      <c r="AA164" s="141"/>
      <c r="AB164" s="141"/>
      <c r="AC164" s="141"/>
      <c r="AD164" s="141"/>
      <c r="AE164" s="141"/>
      <c r="AF164" s="141"/>
      <c r="AG164" s="141"/>
      <c r="AH164" s="141"/>
      <c r="AI164" s="53"/>
      <c r="AJ164" s="53"/>
      <c r="AK164" s="53"/>
      <c r="AL164" s="53"/>
    </row>
    <row r="165" spans="1:45" x14ac:dyDescent="0.3">
      <c r="A165" s="53"/>
      <c r="B165" s="53"/>
      <c r="C165" s="53"/>
      <c r="D165" s="53"/>
      <c r="E165" s="53"/>
      <c r="F165" s="53"/>
      <c r="G165" s="2194" t="s">
        <v>1745</v>
      </c>
      <c r="H165" s="2195"/>
      <c r="I165" s="2195"/>
      <c r="J165" s="2195"/>
      <c r="K165" s="2195"/>
      <c r="L165" s="2195"/>
      <c r="M165" s="2195"/>
      <c r="N165" s="2195"/>
      <c r="O165" s="2195"/>
      <c r="P165" s="2195"/>
      <c r="Q165" s="2195"/>
      <c r="R165" s="2195"/>
      <c r="S165" s="2195"/>
      <c r="T165" s="2195"/>
      <c r="U165" s="2195"/>
      <c r="V165" s="2195"/>
      <c r="W165" s="2195"/>
      <c r="X165" s="2195"/>
      <c r="Y165" s="2195"/>
      <c r="Z165" s="2195"/>
      <c r="AA165" s="2195"/>
      <c r="AB165" s="2195"/>
      <c r="AC165" s="2195"/>
      <c r="AD165" s="2195"/>
      <c r="AE165" s="2195"/>
      <c r="AF165" s="2195"/>
      <c r="AG165" s="2195"/>
      <c r="AH165" s="2195"/>
      <c r="AI165" s="2195"/>
      <c r="AJ165" s="2196"/>
    </row>
    <row r="166" spans="1:45" x14ac:dyDescent="0.3">
      <c r="A166" s="2188" t="s">
        <v>46</v>
      </c>
      <c r="B166" s="2189"/>
      <c r="C166" s="2189"/>
      <c r="D166" s="2189"/>
      <c r="E166" s="2189"/>
      <c r="F166" s="2190"/>
      <c r="G166" s="2197" t="s">
        <v>255</v>
      </c>
      <c r="H166" s="2198"/>
      <c r="I166" s="2198"/>
      <c r="J166" s="2198"/>
      <c r="K166" s="2198"/>
      <c r="L166" s="2199"/>
      <c r="M166" s="2200" t="s">
        <v>259</v>
      </c>
      <c r="N166" s="2201"/>
      <c r="O166" s="2201"/>
      <c r="P166" s="2201"/>
      <c r="Q166" s="2201"/>
      <c r="R166" s="2202"/>
      <c r="S166" s="2197" t="s">
        <v>260</v>
      </c>
      <c r="T166" s="2198"/>
      <c r="U166" s="2198"/>
      <c r="V166" s="2198"/>
      <c r="W166" s="2198"/>
      <c r="X166" s="2199"/>
      <c r="Y166" s="2200" t="s">
        <v>263</v>
      </c>
      <c r="Z166" s="2201"/>
      <c r="AA166" s="2201"/>
      <c r="AB166" s="2201"/>
      <c r="AC166" s="2201"/>
      <c r="AD166" s="2202"/>
      <c r="AE166" s="2197" t="s">
        <v>1789</v>
      </c>
      <c r="AF166" s="2198"/>
      <c r="AG166" s="2198"/>
      <c r="AH166" s="2198"/>
      <c r="AI166" s="2198"/>
      <c r="AJ166" s="2199"/>
    </row>
    <row r="167" spans="1:45" x14ac:dyDescent="0.3">
      <c r="A167" s="2191"/>
      <c r="B167" s="2192"/>
      <c r="C167" s="2192"/>
      <c r="D167" s="2192"/>
      <c r="E167" s="2192"/>
      <c r="F167" s="2193"/>
      <c r="G167" s="1908" t="s">
        <v>3422</v>
      </c>
      <c r="H167" s="1909"/>
      <c r="I167" s="1910"/>
      <c r="J167" s="1908" t="s">
        <v>3423</v>
      </c>
      <c r="K167" s="1909"/>
      <c r="L167" s="1910"/>
      <c r="M167" s="1911" t="s">
        <v>3422</v>
      </c>
      <c r="N167" s="1912"/>
      <c r="O167" s="1913"/>
      <c r="P167" s="1911" t="s">
        <v>3423</v>
      </c>
      <c r="Q167" s="1912"/>
      <c r="R167" s="1913"/>
      <c r="S167" s="1908" t="s">
        <v>3422</v>
      </c>
      <c r="T167" s="1909"/>
      <c r="U167" s="1910"/>
      <c r="V167" s="1908" t="s">
        <v>3423</v>
      </c>
      <c r="W167" s="1909"/>
      <c r="X167" s="1910"/>
      <c r="Y167" s="1911" t="s">
        <v>3422</v>
      </c>
      <c r="Z167" s="1912"/>
      <c r="AA167" s="1913"/>
      <c r="AB167" s="1911" t="s">
        <v>3423</v>
      </c>
      <c r="AC167" s="1912"/>
      <c r="AD167" s="1913"/>
      <c r="AE167" s="1908" t="s">
        <v>3422</v>
      </c>
      <c r="AF167" s="1909"/>
      <c r="AG167" s="1910"/>
      <c r="AH167" s="1908" t="s">
        <v>3423</v>
      </c>
      <c r="AI167" s="1909"/>
      <c r="AJ167" s="1910"/>
    </row>
    <row r="168" spans="1:45" x14ac:dyDescent="0.3">
      <c r="A168" s="1938" t="s">
        <v>1796</v>
      </c>
      <c r="B168" s="1938"/>
      <c r="C168" s="1938"/>
      <c r="D168" s="1938"/>
      <c r="E168" s="1938"/>
      <c r="F168" s="1938"/>
      <c r="G168" s="1836">
        <f>C_Light_General!G646</f>
        <v>254.8</v>
      </c>
      <c r="H168" s="1836"/>
      <c r="I168" s="1836"/>
      <c r="J168" s="1836">
        <f>C_Light_General!J646</f>
        <v>254.8</v>
      </c>
      <c r="K168" s="1836"/>
      <c r="L168" s="1836"/>
      <c r="M168" s="1836">
        <f>C_Light_General!M646</f>
        <v>193.66</v>
      </c>
      <c r="N168" s="1836"/>
      <c r="O168" s="1836"/>
      <c r="P168" s="1836">
        <f>C_Light_General!P646</f>
        <v>193.66</v>
      </c>
      <c r="Q168" s="1836"/>
      <c r="R168" s="1836"/>
      <c r="S168" s="1836">
        <f>C_Light_General!S646</f>
        <v>295.10000000000002</v>
      </c>
      <c r="T168" s="1836"/>
      <c r="U168" s="1836"/>
      <c r="V168" s="1836">
        <f>C_Light_General!V646</f>
        <v>295.10000000000002</v>
      </c>
      <c r="W168" s="1836"/>
      <c r="X168" s="1836"/>
      <c r="Y168" s="1836">
        <f>C_Light_General!Y646</f>
        <v>324.24</v>
      </c>
      <c r="Z168" s="1836"/>
      <c r="AA168" s="1836"/>
      <c r="AB168" s="1836">
        <f>C_Light_General!AB646</f>
        <v>324.24</v>
      </c>
      <c r="AC168" s="1836"/>
      <c r="AD168" s="1836"/>
      <c r="AE168" s="1836">
        <f>C_Light_General!AE646</f>
        <v>325.77999999999997</v>
      </c>
      <c r="AF168" s="1836"/>
      <c r="AG168" s="1836"/>
      <c r="AH168" s="1836">
        <f>C_Light_General!AH646</f>
        <v>278.05</v>
      </c>
      <c r="AI168" s="1836"/>
      <c r="AJ168" s="1836"/>
      <c r="AR168" s="249"/>
      <c r="AS168" s="249"/>
    </row>
    <row r="169" spans="1:45" x14ac:dyDescent="0.3">
      <c r="A169" s="1938" t="s">
        <v>211</v>
      </c>
      <c r="B169" s="1938"/>
      <c r="C169" s="1938"/>
      <c r="D169" s="1938"/>
      <c r="E169" s="1938"/>
      <c r="F169" s="1938"/>
      <c r="G169" s="1836">
        <f>C_Light_General!G647</f>
        <v>690.37</v>
      </c>
      <c r="H169" s="1836"/>
      <c r="I169" s="1836"/>
      <c r="J169" s="1836">
        <f>C_Light_General!J647</f>
        <v>409.55</v>
      </c>
      <c r="K169" s="1836"/>
      <c r="L169" s="1836"/>
      <c r="M169" s="1836">
        <f>C_Light_General!M647</f>
        <v>500.95</v>
      </c>
      <c r="N169" s="1836"/>
      <c r="O169" s="1836"/>
      <c r="P169" s="1836">
        <f>C_Light_General!P647</f>
        <v>306.52999999999997</v>
      </c>
      <c r="Q169" s="1836"/>
      <c r="R169" s="1836"/>
      <c r="S169" s="1836">
        <f>C_Light_General!S647</f>
        <v>753.04</v>
      </c>
      <c r="T169" s="1836"/>
      <c r="U169" s="1836"/>
      <c r="V169" s="1836">
        <f>C_Light_General!V647</f>
        <v>465.02</v>
      </c>
      <c r="W169" s="1836"/>
      <c r="X169" s="1836"/>
      <c r="Y169" s="1836">
        <f>C_Light_General!Y647</f>
        <v>755.83</v>
      </c>
      <c r="Z169" s="1836"/>
      <c r="AA169" s="1836"/>
      <c r="AB169" s="1836">
        <f>C_Light_General!AB647</f>
        <v>496.61</v>
      </c>
      <c r="AC169" s="1836"/>
      <c r="AD169" s="1836"/>
      <c r="AE169" s="1836">
        <f>C_Light_General!AE647</f>
        <v>645.75</v>
      </c>
      <c r="AF169" s="1836"/>
      <c r="AG169" s="1836"/>
      <c r="AH169" s="1836">
        <f>C_Light_General!AH647</f>
        <v>476.25</v>
      </c>
      <c r="AI169" s="1836"/>
      <c r="AJ169" s="1836"/>
      <c r="AR169" s="249"/>
      <c r="AS169" s="249"/>
    </row>
    <row r="170" spans="1:45" x14ac:dyDescent="0.3">
      <c r="A170" s="1938" t="s">
        <v>212</v>
      </c>
      <c r="B170" s="1938"/>
      <c r="C170" s="1938"/>
      <c r="D170" s="1938"/>
      <c r="E170" s="1938"/>
      <c r="F170" s="1938"/>
      <c r="G170" s="1836">
        <f>C_Light_General!G648</f>
        <v>324.01</v>
      </c>
      <c r="H170" s="1836"/>
      <c r="I170" s="1836"/>
      <c r="J170" s="1836">
        <f>C_Light_General!J648</f>
        <v>324.01</v>
      </c>
      <c r="K170" s="1836"/>
      <c r="L170" s="1836"/>
      <c r="M170" s="1836">
        <f>C_Light_General!M648</f>
        <v>243.85</v>
      </c>
      <c r="N170" s="1836"/>
      <c r="O170" s="1836"/>
      <c r="P170" s="1836">
        <f>C_Light_General!P648</f>
        <v>243.85</v>
      </c>
      <c r="Q170" s="1836"/>
      <c r="R170" s="1836"/>
      <c r="S170" s="1836">
        <f>C_Light_General!S648</f>
        <v>370.6</v>
      </c>
      <c r="T170" s="1836"/>
      <c r="U170" s="1836"/>
      <c r="V170" s="1836">
        <f>C_Light_General!V648</f>
        <v>370.6</v>
      </c>
      <c r="W170" s="1836"/>
      <c r="X170" s="1836"/>
      <c r="Y170" s="1836">
        <f>C_Light_General!Y648</f>
        <v>399.88</v>
      </c>
      <c r="Z170" s="1836"/>
      <c r="AA170" s="1836"/>
      <c r="AB170" s="1836">
        <f>C_Light_General!AB648</f>
        <v>399.88</v>
      </c>
      <c r="AC170" s="1836"/>
      <c r="AD170" s="1836"/>
      <c r="AE170" s="1836">
        <f>C_Light_General!AE648</f>
        <v>346.98</v>
      </c>
      <c r="AF170" s="1836"/>
      <c r="AG170" s="1836"/>
      <c r="AH170" s="1836">
        <f>C_Light_General!AH648</f>
        <v>346.98</v>
      </c>
      <c r="AI170" s="1836"/>
      <c r="AJ170" s="1836"/>
      <c r="AR170" s="249"/>
      <c r="AS170" s="249"/>
    </row>
    <row r="171" spans="1:45" x14ac:dyDescent="0.3">
      <c r="A171" s="1938" t="s">
        <v>213</v>
      </c>
      <c r="B171" s="1938"/>
      <c r="C171" s="1938"/>
      <c r="D171" s="1938"/>
      <c r="E171" s="1938"/>
      <c r="F171" s="1938"/>
      <c r="G171" s="1836">
        <f>C_Light_General!G649</f>
        <v>524.86</v>
      </c>
      <c r="H171" s="1836"/>
      <c r="I171" s="1836"/>
      <c r="J171" s="1836">
        <f>C_Light_General!J649</f>
        <v>311.36</v>
      </c>
      <c r="K171" s="1836"/>
      <c r="L171" s="1836"/>
      <c r="M171" s="1836">
        <f>C_Light_General!M649</f>
        <v>380.85</v>
      </c>
      <c r="N171" s="1836"/>
      <c r="O171" s="1836"/>
      <c r="P171" s="1836">
        <f>C_Light_General!P649</f>
        <v>233.04</v>
      </c>
      <c r="Q171" s="1836"/>
      <c r="R171" s="1836"/>
      <c r="S171" s="1836">
        <f>C_Light_General!S649</f>
        <v>572.49</v>
      </c>
      <c r="T171" s="1836"/>
      <c r="U171" s="1836"/>
      <c r="V171" s="1836">
        <f>C_Light_General!V649</f>
        <v>353.52</v>
      </c>
      <c r="W171" s="1836"/>
      <c r="X171" s="1836"/>
      <c r="Y171" s="1836">
        <f>C_Light_General!Y649</f>
        <v>574.62</v>
      </c>
      <c r="Z171" s="1836"/>
      <c r="AA171" s="1836"/>
      <c r="AB171" s="1836">
        <f>C_Light_General!AB649</f>
        <v>377.55</v>
      </c>
      <c r="AC171" s="1836"/>
      <c r="AD171" s="1836"/>
      <c r="AE171" s="1836">
        <f>C_Light_General!AE649</f>
        <v>490.93</v>
      </c>
      <c r="AF171" s="1836"/>
      <c r="AG171" s="1836"/>
      <c r="AH171" s="1836">
        <f>C_Light_General!AH649</f>
        <v>362.06</v>
      </c>
      <c r="AI171" s="1836"/>
      <c r="AJ171" s="1836"/>
      <c r="AR171" s="249"/>
      <c r="AS171" s="249"/>
    </row>
    <row r="172" spans="1:45" x14ac:dyDescent="0.3">
      <c r="A172" s="1938" t="s">
        <v>214</v>
      </c>
      <c r="B172" s="1938"/>
      <c r="C172" s="1938"/>
      <c r="D172" s="1938"/>
      <c r="E172" s="1938"/>
      <c r="F172" s="1938"/>
      <c r="G172" s="1836">
        <f>C_Light_General!G650</f>
        <v>575.19000000000005</v>
      </c>
      <c r="H172" s="1836"/>
      <c r="I172" s="1836"/>
      <c r="J172" s="1836">
        <f>C_Light_General!J650</f>
        <v>341.22</v>
      </c>
      <c r="K172" s="1836"/>
      <c r="L172" s="1836"/>
      <c r="M172" s="1836">
        <f>C_Light_General!M650</f>
        <v>417.38</v>
      </c>
      <c r="N172" s="1836"/>
      <c r="O172" s="1836"/>
      <c r="P172" s="1836">
        <f>C_Light_General!P650</f>
        <v>255.4</v>
      </c>
      <c r="Q172" s="1836"/>
      <c r="R172" s="1836"/>
      <c r="S172" s="1836">
        <f>C_Light_General!S650</f>
        <v>627.41999999999996</v>
      </c>
      <c r="T172" s="1836"/>
      <c r="U172" s="1836"/>
      <c r="V172" s="1836">
        <f>C_Light_General!V650</f>
        <v>387.45</v>
      </c>
      <c r="W172" s="1836"/>
      <c r="X172" s="1836"/>
      <c r="Y172" s="1836">
        <f>C_Light_General!Y650</f>
        <v>629.73</v>
      </c>
      <c r="Z172" s="1836"/>
      <c r="AA172" s="1836"/>
      <c r="AB172" s="1836">
        <f>C_Light_General!AB650</f>
        <v>413.76</v>
      </c>
      <c r="AC172" s="1836"/>
      <c r="AD172" s="1836"/>
      <c r="AE172" s="1836">
        <f>C_Light_General!AE650</f>
        <v>538.03</v>
      </c>
      <c r="AF172" s="1836"/>
      <c r="AG172" s="1836"/>
      <c r="AH172" s="1836">
        <f>C_Light_General!AH650</f>
        <v>396.8</v>
      </c>
      <c r="AI172" s="1836"/>
      <c r="AJ172" s="1836"/>
    </row>
    <row r="173" spans="1:45" x14ac:dyDescent="0.3">
      <c r="A173" s="1938" t="s">
        <v>215</v>
      </c>
      <c r="B173" s="1938"/>
      <c r="C173" s="1938"/>
      <c r="D173" s="1938"/>
      <c r="E173" s="1938"/>
      <c r="F173" s="1938"/>
      <c r="G173" s="1836">
        <f>C_Light_General!G651</f>
        <v>327.36</v>
      </c>
      <c r="H173" s="1836"/>
      <c r="I173" s="1836"/>
      <c r="J173" s="1836">
        <f>C_Light_General!J651</f>
        <v>327.36</v>
      </c>
      <c r="K173" s="1836"/>
      <c r="L173" s="1836"/>
      <c r="M173" s="1836">
        <f>C_Light_General!M651</f>
        <v>248.79</v>
      </c>
      <c r="N173" s="1836"/>
      <c r="O173" s="1836"/>
      <c r="P173" s="1836">
        <f>C_Light_General!P651</f>
        <v>248.79</v>
      </c>
      <c r="Q173" s="1836"/>
      <c r="R173" s="1836"/>
      <c r="S173" s="1836">
        <f>C_Light_General!S651</f>
        <v>379.14</v>
      </c>
      <c r="T173" s="1836"/>
      <c r="U173" s="1836"/>
      <c r="V173" s="1836">
        <f>C_Light_General!V651</f>
        <v>379.14</v>
      </c>
      <c r="W173" s="1836"/>
      <c r="X173" s="1836"/>
      <c r="Y173" s="1836">
        <f>C_Light_General!Y651</f>
        <v>416.52</v>
      </c>
      <c r="Z173" s="1836"/>
      <c r="AA173" s="1836"/>
      <c r="AB173" s="1836">
        <f>C_Light_General!AB651</f>
        <v>416.52</v>
      </c>
      <c r="AC173" s="1836"/>
      <c r="AD173" s="1836"/>
      <c r="AE173" s="1836">
        <f>C_Light_General!AE651</f>
        <v>377.66</v>
      </c>
      <c r="AF173" s="1836"/>
      <c r="AG173" s="1836"/>
      <c r="AH173" s="1836">
        <f>C_Light_General!AH651</f>
        <v>377.66</v>
      </c>
      <c r="AI173" s="1836"/>
      <c r="AJ173" s="1836"/>
    </row>
    <row r="174" spans="1:45" x14ac:dyDescent="0.3">
      <c r="A174" s="1938" t="s">
        <v>216</v>
      </c>
      <c r="B174" s="1938"/>
      <c r="C174" s="1938"/>
      <c r="D174" s="1938"/>
      <c r="E174" s="1938"/>
      <c r="F174" s="1938"/>
      <c r="G174" s="1836">
        <f>C_Light_General!G652</f>
        <v>281.85000000000002</v>
      </c>
      <c r="H174" s="1836"/>
      <c r="I174" s="1836"/>
      <c r="J174" s="1836">
        <f>C_Light_General!J652</f>
        <v>281.85000000000002</v>
      </c>
      <c r="K174" s="1836"/>
      <c r="L174" s="1836"/>
      <c r="M174" s="1836">
        <f>C_Light_General!M652</f>
        <v>212.68</v>
      </c>
      <c r="N174" s="1836"/>
      <c r="O174" s="1836"/>
      <c r="P174" s="1836">
        <f>C_Light_General!P652</f>
        <v>212.68</v>
      </c>
      <c r="Q174" s="1836"/>
      <c r="R174" s="1836"/>
      <c r="S174" s="1836">
        <f>C_Light_General!S652</f>
        <v>323.37</v>
      </c>
      <c r="T174" s="1836"/>
      <c r="U174" s="1836"/>
      <c r="V174" s="1836">
        <f>C_Light_General!V652</f>
        <v>323.37</v>
      </c>
      <c r="W174" s="1836"/>
      <c r="X174" s="1836"/>
      <c r="Y174" s="1836">
        <f>C_Light_General!Y652</f>
        <v>350.61</v>
      </c>
      <c r="Z174" s="1836"/>
      <c r="AA174" s="1836"/>
      <c r="AB174" s="1836">
        <f>C_Light_General!AB652</f>
        <v>350.61</v>
      </c>
      <c r="AC174" s="1836"/>
      <c r="AD174" s="1836"/>
      <c r="AE174" s="1836">
        <f>C_Light_General!AE652</f>
        <v>344.85</v>
      </c>
      <c r="AF174" s="1836"/>
      <c r="AG174" s="1836"/>
      <c r="AH174" s="1836">
        <f>C_Light_General!AH652</f>
        <v>289.43</v>
      </c>
      <c r="AI174" s="1836"/>
      <c r="AJ174" s="1836"/>
    </row>
    <row r="175" spans="1:45" x14ac:dyDescent="0.3">
      <c r="A175" s="1938" t="s">
        <v>47</v>
      </c>
      <c r="B175" s="1938"/>
      <c r="C175" s="1938"/>
      <c r="D175" s="1938"/>
      <c r="E175" s="1938"/>
      <c r="F175" s="1938"/>
      <c r="G175" s="1836">
        <f>C_Light_General!G653</f>
        <v>274</v>
      </c>
      <c r="H175" s="1836"/>
      <c r="I175" s="1836"/>
      <c r="J175" s="1836">
        <f>C_Light_General!J653</f>
        <v>274</v>
      </c>
      <c r="K175" s="1836"/>
      <c r="L175" s="1836"/>
      <c r="M175" s="1836">
        <f>C_Light_General!M653</f>
        <v>208.3</v>
      </c>
      <c r="N175" s="1836"/>
      <c r="O175" s="1836"/>
      <c r="P175" s="1836">
        <f>C_Light_General!P653</f>
        <v>208.3</v>
      </c>
      <c r="Q175" s="1836"/>
      <c r="R175" s="1836"/>
      <c r="S175" s="1836">
        <f>C_Light_General!S653</f>
        <v>317.39999999999998</v>
      </c>
      <c r="T175" s="1836"/>
      <c r="U175" s="1836"/>
      <c r="V175" s="1836">
        <f>C_Light_General!V653</f>
        <v>317.39999999999998</v>
      </c>
      <c r="W175" s="1836"/>
      <c r="X175" s="1836"/>
      <c r="Y175" s="1836">
        <f>C_Light_General!Y653</f>
        <v>348.68</v>
      </c>
      <c r="Z175" s="1836"/>
      <c r="AA175" s="1836"/>
      <c r="AB175" s="1836">
        <f>C_Light_General!AB653</f>
        <v>348.68</v>
      </c>
      <c r="AC175" s="1836"/>
      <c r="AD175" s="1836"/>
      <c r="AE175" s="1836">
        <f>C_Light_General!AE653</f>
        <v>350.34</v>
      </c>
      <c r="AF175" s="1836"/>
      <c r="AG175" s="1836"/>
      <c r="AH175" s="1836">
        <f>C_Light_General!AH653</f>
        <v>350.34</v>
      </c>
      <c r="AI175" s="1836"/>
      <c r="AJ175" s="1836"/>
    </row>
    <row r="176" spans="1:45" x14ac:dyDescent="0.3">
      <c r="A176" s="1938" t="s">
        <v>217</v>
      </c>
      <c r="B176" s="1938"/>
      <c r="C176" s="1938"/>
      <c r="D176" s="1938"/>
      <c r="E176" s="1938"/>
      <c r="F176" s="1938"/>
      <c r="G176" s="1836">
        <f>C_Light_General!G654</f>
        <v>472.66</v>
      </c>
      <c r="H176" s="1836"/>
      <c r="I176" s="1836"/>
      <c r="J176" s="1836">
        <f>C_Light_General!J654</f>
        <v>291.64999999999998</v>
      </c>
      <c r="K176" s="1836"/>
      <c r="L176" s="1836"/>
      <c r="M176" s="1836">
        <f>C_Light_General!M654</f>
        <v>346.98</v>
      </c>
      <c r="N176" s="1836"/>
      <c r="O176" s="1836"/>
      <c r="P176" s="1836">
        <f>C_Light_General!P654</f>
        <v>221.67</v>
      </c>
      <c r="Q176" s="1836"/>
      <c r="R176" s="1836"/>
      <c r="S176" s="1836">
        <f>C_Light_General!S654</f>
        <v>523.41999999999996</v>
      </c>
      <c r="T176" s="1836"/>
      <c r="U176" s="1836"/>
      <c r="V176" s="1836">
        <f>C_Light_General!V654</f>
        <v>337.77</v>
      </c>
      <c r="W176" s="1836"/>
      <c r="X176" s="1836"/>
      <c r="Y176" s="1836">
        <f>C_Light_General!Y654</f>
        <v>538.17999999999995</v>
      </c>
      <c r="Z176" s="1836"/>
      <c r="AA176" s="1836"/>
      <c r="AB176" s="1836">
        <f>C_Light_General!AB654</f>
        <v>371.09</v>
      </c>
      <c r="AC176" s="1836"/>
      <c r="AD176" s="1836"/>
      <c r="AE176" s="1836">
        <f>C_Light_General!AE654</f>
        <v>482.14</v>
      </c>
      <c r="AF176" s="1836"/>
      <c r="AG176" s="1836"/>
      <c r="AH176" s="1836">
        <f>C_Light_General!AH654</f>
        <v>372.89</v>
      </c>
      <c r="AI176" s="1836"/>
      <c r="AJ176" s="1836"/>
    </row>
    <row r="177" spans="1:38" x14ac:dyDescent="0.3">
      <c r="A177" s="1938" t="s">
        <v>218</v>
      </c>
      <c r="B177" s="1938"/>
      <c r="C177" s="1938"/>
      <c r="D177" s="1938"/>
      <c r="E177" s="1938"/>
      <c r="F177" s="1938"/>
      <c r="G177" s="1836">
        <f>C_Light_General!G655</f>
        <v>300.3</v>
      </c>
      <c r="H177" s="1836"/>
      <c r="I177" s="1836"/>
      <c r="J177" s="1836">
        <f>C_Light_General!J655</f>
        <v>300.3</v>
      </c>
      <c r="K177" s="1836"/>
      <c r="L177" s="1836"/>
      <c r="M177" s="1836">
        <f>C_Light_General!M655</f>
        <v>224.76</v>
      </c>
      <c r="N177" s="1836"/>
      <c r="O177" s="1836"/>
      <c r="P177" s="1836">
        <f>C_Light_General!P655</f>
        <v>224.76</v>
      </c>
      <c r="Q177" s="1836"/>
      <c r="R177" s="1836"/>
      <c r="S177" s="1836">
        <f>C_Light_General!S655</f>
        <v>340.98</v>
      </c>
      <c r="T177" s="1836"/>
      <c r="U177" s="1836"/>
      <c r="V177" s="1836">
        <f>C_Light_General!V655</f>
        <v>340.98</v>
      </c>
      <c r="W177" s="1836"/>
      <c r="X177" s="1836"/>
      <c r="Y177" s="1836">
        <f>C_Light_General!Y655</f>
        <v>364.14</v>
      </c>
      <c r="Z177" s="1836"/>
      <c r="AA177" s="1836"/>
      <c r="AB177" s="1836">
        <f>C_Light_General!AB655</f>
        <v>364.14</v>
      </c>
      <c r="AC177" s="1836"/>
      <c r="AD177" s="1836"/>
      <c r="AE177" s="1836">
        <f>C_Light_General!AE655</f>
        <v>349.22</v>
      </c>
      <c r="AF177" s="1836"/>
      <c r="AG177" s="1836"/>
      <c r="AH177" s="1836">
        <f>C_Light_General!AH655</f>
        <v>287.08</v>
      </c>
      <c r="AI177" s="1836"/>
      <c r="AJ177" s="1836"/>
    </row>
    <row r="178" spans="1:38" x14ac:dyDescent="0.3">
      <c r="A178" s="1938" t="s">
        <v>219</v>
      </c>
      <c r="B178" s="1938"/>
      <c r="C178" s="1938"/>
      <c r="D178" s="1938"/>
      <c r="E178" s="1938"/>
      <c r="F178" s="1938"/>
      <c r="G178" s="1836">
        <f>C_Light_General!G656</f>
        <v>220.21</v>
      </c>
      <c r="H178" s="1836"/>
      <c r="I178" s="1836"/>
      <c r="J178" s="1836">
        <f>C_Light_General!J656</f>
        <v>220.21</v>
      </c>
      <c r="K178" s="1836"/>
      <c r="L178" s="1836"/>
      <c r="M178" s="1836">
        <f>C_Light_General!M656</f>
        <v>168.46</v>
      </c>
      <c r="N178" s="1836"/>
      <c r="O178" s="1836"/>
      <c r="P178" s="1836">
        <f>C_Light_General!P656</f>
        <v>168.46</v>
      </c>
      <c r="Q178" s="1836"/>
      <c r="R178" s="1836"/>
      <c r="S178" s="1836">
        <f>C_Light_General!S656</f>
        <v>257.20999999999998</v>
      </c>
      <c r="T178" s="1836"/>
      <c r="U178" s="1836"/>
      <c r="V178" s="1836">
        <f>C_Light_General!V656</f>
        <v>257.20999999999998</v>
      </c>
      <c r="W178" s="1836"/>
      <c r="X178" s="1836"/>
      <c r="Y178" s="1836">
        <f>C_Light_General!Y656</f>
        <v>285.86</v>
      </c>
      <c r="Z178" s="1836"/>
      <c r="AA178" s="1836"/>
      <c r="AB178" s="1836">
        <f>C_Light_General!AB656</f>
        <v>285.86</v>
      </c>
      <c r="AC178" s="1836"/>
      <c r="AD178" s="1836"/>
      <c r="AE178" s="1836">
        <f>C_Light_General!AE656</f>
        <v>292.51</v>
      </c>
      <c r="AF178" s="1836"/>
      <c r="AG178" s="1836"/>
      <c r="AH178" s="1836">
        <f>C_Light_General!AH656</f>
        <v>292.51</v>
      </c>
      <c r="AI178" s="1836"/>
      <c r="AJ178" s="1836"/>
    </row>
    <row r="179" spans="1:38" x14ac:dyDescent="0.3">
      <c r="A179" s="147"/>
      <c r="B179" s="147"/>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row>
    <row r="180" spans="1:38" x14ac:dyDescent="0.3">
      <c r="A180" s="610" t="s">
        <v>4613</v>
      </c>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53"/>
      <c r="AJ180" s="53"/>
      <c r="AK180" s="53"/>
      <c r="AL180" s="53"/>
    </row>
    <row r="181" spans="1:38" x14ac:dyDescent="0.3">
      <c r="A181" s="53"/>
      <c r="B181" s="53"/>
      <c r="C181" s="53"/>
      <c r="D181" s="53"/>
      <c r="E181" s="53"/>
      <c r="F181" s="53"/>
      <c r="G181" s="1905" t="s">
        <v>1745</v>
      </c>
      <c r="H181" s="1906"/>
      <c r="I181" s="1906"/>
      <c r="J181" s="1906"/>
      <c r="K181" s="1906"/>
      <c r="L181" s="1906"/>
      <c r="M181" s="1906"/>
      <c r="N181" s="1906"/>
      <c r="O181" s="1906"/>
      <c r="P181" s="1906"/>
      <c r="Q181" s="1906"/>
      <c r="R181" s="1906"/>
      <c r="S181" s="1906"/>
      <c r="T181" s="1906"/>
      <c r="U181" s="1906"/>
      <c r="V181" s="1906"/>
      <c r="W181" s="1906"/>
      <c r="X181" s="1906"/>
      <c r="Y181" s="1906"/>
      <c r="Z181" s="1906"/>
      <c r="AA181" s="1906"/>
      <c r="AB181" s="1906"/>
      <c r="AC181" s="1906"/>
      <c r="AD181" s="1906"/>
      <c r="AE181" s="1906"/>
      <c r="AF181" s="1906"/>
      <c r="AG181" s="1906"/>
      <c r="AH181" s="1906"/>
      <c r="AI181" s="1906"/>
      <c r="AJ181" s="1907"/>
    </row>
    <row r="182" spans="1:38" x14ac:dyDescent="0.3">
      <c r="A182" s="1069" t="s">
        <v>46</v>
      </c>
      <c r="B182" s="1069"/>
      <c r="C182" s="1069"/>
      <c r="D182" s="1069"/>
      <c r="E182" s="1069"/>
      <c r="F182" s="1069"/>
      <c r="G182" s="1878" t="s">
        <v>255</v>
      </c>
      <c r="H182" s="1879"/>
      <c r="I182" s="1879"/>
      <c r="J182" s="1879"/>
      <c r="K182" s="1879"/>
      <c r="L182" s="1880"/>
      <c r="M182" s="1881" t="s">
        <v>259</v>
      </c>
      <c r="N182" s="1882"/>
      <c r="O182" s="1882"/>
      <c r="P182" s="1882"/>
      <c r="Q182" s="1882"/>
      <c r="R182" s="1883"/>
      <c r="S182" s="1878" t="s">
        <v>260</v>
      </c>
      <c r="T182" s="1879"/>
      <c r="U182" s="1879"/>
      <c r="V182" s="1879"/>
      <c r="W182" s="1879"/>
      <c r="X182" s="1880"/>
      <c r="Y182" s="1881" t="s">
        <v>263</v>
      </c>
      <c r="Z182" s="1882"/>
      <c r="AA182" s="1882"/>
      <c r="AB182" s="1882"/>
      <c r="AC182" s="1882"/>
      <c r="AD182" s="1883"/>
      <c r="AE182" s="1878" t="s">
        <v>1789</v>
      </c>
      <c r="AF182" s="1879"/>
      <c r="AG182" s="1879"/>
      <c r="AH182" s="1879"/>
      <c r="AI182" s="1879"/>
      <c r="AJ182" s="1880"/>
    </row>
    <row r="183" spans="1:38" x14ac:dyDescent="0.3">
      <c r="A183" s="1938" t="s">
        <v>1796</v>
      </c>
      <c r="B183" s="1938"/>
      <c r="C183" s="1938"/>
      <c r="D183" s="1938"/>
      <c r="E183" s="1938"/>
      <c r="F183" s="1938"/>
      <c r="G183" s="1833">
        <f>C_Light_General!G661</f>
        <v>96.64</v>
      </c>
      <c r="H183" s="1834"/>
      <c r="I183" s="1834"/>
      <c r="J183" s="1834"/>
      <c r="K183" s="1834"/>
      <c r="L183" s="1835"/>
      <c r="M183" s="1833">
        <f>C_Light_General!M661</f>
        <v>84.16</v>
      </c>
      <c r="N183" s="1834"/>
      <c r="O183" s="1834"/>
      <c r="P183" s="1834"/>
      <c r="Q183" s="1834"/>
      <c r="R183" s="1835"/>
      <c r="S183" s="1833">
        <f>C_Light_General!S661</f>
        <v>132.88</v>
      </c>
      <c r="T183" s="1834"/>
      <c r="U183" s="1834"/>
      <c r="V183" s="1834"/>
      <c r="W183" s="1834"/>
      <c r="X183" s="1835"/>
      <c r="Y183" s="1833">
        <f>C_Light_General!Y661</f>
        <v>178.24</v>
      </c>
      <c r="Z183" s="1834"/>
      <c r="AA183" s="1834"/>
      <c r="AB183" s="1834"/>
      <c r="AC183" s="1834"/>
      <c r="AD183" s="1835"/>
      <c r="AE183" s="1833">
        <f>C_Light_General!AE661</f>
        <v>230.32</v>
      </c>
      <c r="AF183" s="1834"/>
      <c r="AG183" s="1834"/>
      <c r="AH183" s="1834"/>
      <c r="AI183" s="1834"/>
      <c r="AJ183" s="1835"/>
    </row>
    <row r="184" spans="1:38" x14ac:dyDescent="0.3">
      <c r="A184" s="1938" t="s">
        <v>211</v>
      </c>
      <c r="B184" s="1938"/>
      <c r="C184" s="1938"/>
      <c r="D184" s="1938"/>
      <c r="E184" s="1938"/>
      <c r="F184" s="1938"/>
      <c r="G184" s="1833">
        <f>C_Light_General!G662</f>
        <v>128.72999999999999</v>
      </c>
      <c r="H184" s="1834"/>
      <c r="I184" s="1834"/>
      <c r="J184" s="1834"/>
      <c r="K184" s="1834"/>
      <c r="L184" s="1835"/>
      <c r="M184" s="1833">
        <f>C_Light_General!M662</f>
        <v>112.11</v>
      </c>
      <c r="N184" s="1834"/>
      <c r="O184" s="1834"/>
      <c r="P184" s="1834"/>
      <c r="Q184" s="1834"/>
      <c r="R184" s="1835"/>
      <c r="S184" s="1833">
        <f>C_Light_General!S662</f>
        <v>177</v>
      </c>
      <c r="T184" s="1834"/>
      <c r="U184" s="1834"/>
      <c r="V184" s="1834"/>
      <c r="W184" s="1834"/>
      <c r="X184" s="1835"/>
      <c r="Y184" s="1833">
        <f>C_Light_General!Y662</f>
        <v>237.39</v>
      </c>
      <c r="Z184" s="1834"/>
      <c r="AA184" s="1834"/>
      <c r="AB184" s="1834"/>
      <c r="AC184" s="1834"/>
      <c r="AD184" s="1835"/>
      <c r="AE184" s="1833">
        <f>C_Light_General!AE662</f>
        <v>306.75</v>
      </c>
      <c r="AF184" s="1834"/>
      <c r="AG184" s="1834"/>
      <c r="AH184" s="1834"/>
      <c r="AI184" s="1834"/>
      <c r="AJ184" s="1835"/>
    </row>
    <row r="185" spans="1:38" x14ac:dyDescent="0.3">
      <c r="A185" s="1938" t="s">
        <v>212</v>
      </c>
      <c r="B185" s="1938"/>
      <c r="C185" s="1938"/>
      <c r="D185" s="1938"/>
      <c r="E185" s="1938"/>
      <c r="F185" s="1938"/>
      <c r="G185" s="1833">
        <f>C_Light_General!G663</f>
        <v>109.3</v>
      </c>
      <c r="H185" s="1834"/>
      <c r="I185" s="1834"/>
      <c r="J185" s="1834"/>
      <c r="K185" s="1834"/>
      <c r="L185" s="1835"/>
      <c r="M185" s="1833">
        <f>C_Light_General!M663</f>
        <v>95.2</v>
      </c>
      <c r="N185" s="1834"/>
      <c r="O185" s="1834"/>
      <c r="P185" s="1834"/>
      <c r="Q185" s="1834"/>
      <c r="R185" s="1835"/>
      <c r="S185" s="1833">
        <f>C_Light_General!S663</f>
        <v>150.4</v>
      </c>
      <c r="T185" s="1834"/>
      <c r="U185" s="1834"/>
      <c r="V185" s="1834"/>
      <c r="W185" s="1834"/>
      <c r="X185" s="1835"/>
      <c r="Y185" s="1833">
        <f>C_Light_General!Y663</f>
        <v>201.7</v>
      </c>
      <c r="Z185" s="1834"/>
      <c r="AA185" s="1834"/>
      <c r="AB185" s="1834"/>
      <c r="AC185" s="1834"/>
      <c r="AD185" s="1835"/>
      <c r="AE185" s="1833">
        <f>C_Light_General!AE663</f>
        <v>260.60000000000002</v>
      </c>
      <c r="AF185" s="1834"/>
      <c r="AG185" s="1834"/>
      <c r="AH185" s="1834"/>
      <c r="AI185" s="1834"/>
      <c r="AJ185" s="1835"/>
    </row>
    <row r="186" spans="1:38" x14ac:dyDescent="0.3">
      <c r="A186" s="1938" t="s">
        <v>213</v>
      </c>
      <c r="B186" s="1938"/>
      <c r="C186" s="1938"/>
      <c r="D186" s="1938"/>
      <c r="E186" s="1938"/>
      <c r="F186" s="1938"/>
      <c r="G186" s="1833">
        <f>C_Light_General!G664</f>
        <v>97.86</v>
      </c>
      <c r="H186" s="1834"/>
      <c r="I186" s="1834"/>
      <c r="J186" s="1834"/>
      <c r="K186" s="1834"/>
      <c r="L186" s="1835"/>
      <c r="M186" s="1833">
        <f>C_Light_General!M664</f>
        <v>85.23</v>
      </c>
      <c r="N186" s="1834"/>
      <c r="O186" s="1834"/>
      <c r="P186" s="1834"/>
      <c r="Q186" s="1834"/>
      <c r="R186" s="1835"/>
      <c r="S186" s="1833">
        <f>C_Light_General!S664</f>
        <v>134.55000000000001</v>
      </c>
      <c r="T186" s="1834"/>
      <c r="U186" s="1834"/>
      <c r="V186" s="1834"/>
      <c r="W186" s="1834"/>
      <c r="X186" s="1835"/>
      <c r="Y186" s="1833">
        <f>C_Light_General!Y664</f>
        <v>180.48</v>
      </c>
      <c r="Z186" s="1834"/>
      <c r="AA186" s="1834"/>
      <c r="AB186" s="1834"/>
      <c r="AC186" s="1834"/>
      <c r="AD186" s="1835"/>
      <c r="AE186" s="1833">
        <f>C_Light_General!AE664</f>
        <v>233.19</v>
      </c>
      <c r="AF186" s="1834"/>
      <c r="AG186" s="1834"/>
      <c r="AH186" s="1834"/>
      <c r="AI186" s="1834"/>
      <c r="AJ186" s="1835"/>
    </row>
    <row r="187" spans="1:38" x14ac:dyDescent="0.3">
      <c r="A187" s="1938" t="s">
        <v>214</v>
      </c>
      <c r="B187" s="1938"/>
      <c r="C187" s="1938"/>
      <c r="D187" s="1938"/>
      <c r="E187" s="1938"/>
      <c r="F187" s="1938"/>
      <c r="G187" s="1833">
        <f>C_Light_General!G665</f>
        <v>107.25</v>
      </c>
      <c r="H187" s="1834"/>
      <c r="I187" s="1834"/>
      <c r="J187" s="1834"/>
      <c r="K187" s="1834"/>
      <c r="L187" s="1835"/>
      <c r="M187" s="1833">
        <f>C_Light_General!M665</f>
        <v>93.42</v>
      </c>
      <c r="N187" s="1834"/>
      <c r="O187" s="1834"/>
      <c r="P187" s="1834"/>
      <c r="Q187" s="1834"/>
      <c r="R187" s="1835"/>
      <c r="S187" s="1833">
        <f>C_Light_General!S665</f>
        <v>147.47999999999999</v>
      </c>
      <c r="T187" s="1834"/>
      <c r="U187" s="1834"/>
      <c r="V187" s="1834"/>
      <c r="W187" s="1834"/>
      <c r="X187" s="1835"/>
      <c r="Y187" s="1833">
        <f>C_Light_General!Y665</f>
        <v>197.79</v>
      </c>
      <c r="Z187" s="1834"/>
      <c r="AA187" s="1834"/>
      <c r="AB187" s="1834"/>
      <c r="AC187" s="1834"/>
      <c r="AD187" s="1835"/>
      <c r="AE187" s="1833">
        <f>C_Light_General!AE665</f>
        <v>255.57</v>
      </c>
      <c r="AF187" s="1834"/>
      <c r="AG187" s="1834"/>
      <c r="AH187" s="1834"/>
      <c r="AI187" s="1834"/>
      <c r="AJ187" s="1835"/>
    </row>
    <row r="188" spans="1:38" x14ac:dyDescent="0.3">
      <c r="A188" s="1938" t="s">
        <v>215</v>
      </c>
      <c r="B188" s="1938"/>
      <c r="C188" s="1938"/>
      <c r="D188" s="1938"/>
      <c r="E188" s="1938"/>
      <c r="F188" s="1938"/>
      <c r="G188" s="1833">
        <f>C_Light_General!G666</f>
        <v>124.2</v>
      </c>
      <c r="H188" s="1834"/>
      <c r="I188" s="1834"/>
      <c r="J188" s="1834"/>
      <c r="K188" s="1834"/>
      <c r="L188" s="1835"/>
      <c r="M188" s="1833">
        <f>C_Light_General!M666</f>
        <v>108.12</v>
      </c>
      <c r="N188" s="1834"/>
      <c r="O188" s="1834"/>
      <c r="P188" s="1834"/>
      <c r="Q188" s="1834"/>
      <c r="R188" s="1835"/>
      <c r="S188" s="1833">
        <f>C_Light_General!S666</f>
        <v>170.76</v>
      </c>
      <c r="T188" s="1834"/>
      <c r="U188" s="1834"/>
      <c r="V188" s="1834"/>
      <c r="W188" s="1834"/>
      <c r="X188" s="1835"/>
      <c r="Y188" s="1833">
        <f>C_Light_General!Y666</f>
        <v>228.96</v>
      </c>
      <c r="Z188" s="1834"/>
      <c r="AA188" s="1834"/>
      <c r="AB188" s="1834"/>
      <c r="AC188" s="1834"/>
      <c r="AD188" s="1835"/>
      <c r="AE188" s="1833">
        <f>C_Light_General!AE666</f>
        <v>295.92</v>
      </c>
      <c r="AF188" s="1834"/>
      <c r="AG188" s="1834"/>
      <c r="AH188" s="1834"/>
      <c r="AI188" s="1834"/>
      <c r="AJ188" s="1835"/>
    </row>
    <row r="189" spans="1:38" x14ac:dyDescent="0.3">
      <c r="A189" s="1938" t="s">
        <v>216</v>
      </c>
      <c r="B189" s="1938"/>
      <c r="C189" s="1938"/>
      <c r="D189" s="1938"/>
      <c r="E189" s="1938"/>
      <c r="F189" s="1938"/>
      <c r="G189" s="1833">
        <f>C_Light_General!G667</f>
        <v>98.21</v>
      </c>
      <c r="H189" s="1834"/>
      <c r="I189" s="1834"/>
      <c r="J189" s="1834"/>
      <c r="K189" s="1834"/>
      <c r="L189" s="1835"/>
      <c r="M189" s="1833">
        <f>C_Light_General!M667</f>
        <v>85.54</v>
      </c>
      <c r="N189" s="1834"/>
      <c r="O189" s="1834"/>
      <c r="P189" s="1834"/>
      <c r="Q189" s="1834"/>
      <c r="R189" s="1835"/>
      <c r="S189" s="1833">
        <f>C_Light_General!S667</f>
        <v>135.03</v>
      </c>
      <c r="T189" s="1834"/>
      <c r="U189" s="1834"/>
      <c r="V189" s="1834"/>
      <c r="W189" s="1834"/>
      <c r="X189" s="1835"/>
      <c r="Y189" s="1833">
        <f>C_Light_General!Y667</f>
        <v>181.09</v>
      </c>
      <c r="Z189" s="1834"/>
      <c r="AA189" s="1834"/>
      <c r="AB189" s="1834"/>
      <c r="AC189" s="1834"/>
      <c r="AD189" s="1835"/>
      <c r="AE189" s="1833">
        <f>C_Light_General!AE667</f>
        <v>234.01</v>
      </c>
      <c r="AF189" s="1834"/>
      <c r="AG189" s="1834"/>
      <c r="AH189" s="1834"/>
      <c r="AI189" s="1834"/>
      <c r="AJ189" s="1835"/>
    </row>
    <row r="190" spans="1:38" x14ac:dyDescent="0.3">
      <c r="A190" s="1938" t="s">
        <v>47</v>
      </c>
      <c r="B190" s="1938"/>
      <c r="C190" s="1938"/>
      <c r="D190" s="1938"/>
      <c r="E190" s="1938"/>
      <c r="F190" s="1938"/>
      <c r="G190" s="1833">
        <f>C_Light_General!G668</f>
        <v>103.92</v>
      </c>
      <c r="H190" s="1834"/>
      <c r="I190" s="1834"/>
      <c r="J190" s="1834"/>
      <c r="K190" s="1834"/>
      <c r="L190" s="1835"/>
      <c r="M190" s="1833">
        <f>C_Light_General!M668</f>
        <v>90.56</v>
      </c>
      <c r="N190" s="1834"/>
      <c r="O190" s="1834"/>
      <c r="P190" s="1834"/>
      <c r="Q190" s="1834"/>
      <c r="R190" s="1835"/>
      <c r="S190" s="1833">
        <f>C_Light_General!S668</f>
        <v>142.96</v>
      </c>
      <c r="T190" s="1834"/>
      <c r="U190" s="1834"/>
      <c r="V190" s="1834"/>
      <c r="W190" s="1834"/>
      <c r="X190" s="1835"/>
      <c r="Y190" s="1833">
        <f>C_Light_General!Y668</f>
        <v>191.68</v>
      </c>
      <c r="Z190" s="1834"/>
      <c r="AA190" s="1834"/>
      <c r="AB190" s="1834"/>
      <c r="AC190" s="1834"/>
      <c r="AD190" s="1835"/>
      <c r="AE190" s="1833">
        <f>C_Light_General!AE668</f>
        <v>247.68</v>
      </c>
      <c r="AF190" s="1834"/>
      <c r="AG190" s="1834"/>
      <c r="AH190" s="1834"/>
      <c r="AI190" s="1834"/>
      <c r="AJ190" s="1835"/>
    </row>
    <row r="191" spans="1:38" x14ac:dyDescent="0.3">
      <c r="A191" s="1938" t="s">
        <v>217</v>
      </c>
      <c r="B191" s="1938"/>
      <c r="C191" s="1938"/>
      <c r="D191" s="1938"/>
      <c r="E191" s="1938"/>
      <c r="F191" s="1938"/>
      <c r="G191" s="1833">
        <f>C_Light_General!G669</f>
        <v>110.64</v>
      </c>
      <c r="H191" s="1834"/>
      <c r="I191" s="1834"/>
      <c r="J191" s="1834"/>
      <c r="K191" s="1834"/>
      <c r="L191" s="1835"/>
      <c r="M191" s="1833">
        <f>C_Light_General!M669</f>
        <v>96.36</v>
      </c>
      <c r="N191" s="1834"/>
      <c r="O191" s="1834"/>
      <c r="P191" s="1834"/>
      <c r="Q191" s="1834"/>
      <c r="R191" s="1835"/>
      <c r="S191" s="1833">
        <f>C_Light_General!S669</f>
        <v>152.12</v>
      </c>
      <c r="T191" s="1834"/>
      <c r="U191" s="1834"/>
      <c r="V191" s="1834"/>
      <c r="W191" s="1834"/>
      <c r="X191" s="1835"/>
      <c r="Y191" s="1833">
        <f>C_Light_General!Y669</f>
        <v>204</v>
      </c>
      <c r="Z191" s="1834"/>
      <c r="AA191" s="1834"/>
      <c r="AB191" s="1834"/>
      <c r="AC191" s="1834"/>
      <c r="AD191" s="1835"/>
      <c r="AE191" s="1833">
        <f>C_Light_General!AE669</f>
        <v>263.64</v>
      </c>
      <c r="AF191" s="1834"/>
      <c r="AG191" s="1834"/>
      <c r="AH191" s="1834"/>
      <c r="AI191" s="1834"/>
      <c r="AJ191" s="1835"/>
    </row>
    <row r="192" spans="1:38" x14ac:dyDescent="0.3">
      <c r="A192" s="1938" t="s">
        <v>218</v>
      </c>
      <c r="B192" s="1938"/>
      <c r="C192" s="1938"/>
      <c r="D192" s="1938"/>
      <c r="E192" s="1938"/>
      <c r="F192" s="1938"/>
      <c r="G192" s="1833">
        <f>C_Light_General!G670</f>
        <v>94.38</v>
      </c>
      <c r="H192" s="1834"/>
      <c r="I192" s="1834"/>
      <c r="J192" s="1834"/>
      <c r="K192" s="1834"/>
      <c r="L192" s="1835"/>
      <c r="M192" s="1833">
        <f>C_Light_General!M670</f>
        <v>82.2</v>
      </c>
      <c r="N192" s="1834"/>
      <c r="O192" s="1834"/>
      <c r="P192" s="1834"/>
      <c r="Q192" s="1834"/>
      <c r="R192" s="1835"/>
      <c r="S192" s="1833">
        <f>C_Light_General!S670</f>
        <v>129.78</v>
      </c>
      <c r="T192" s="1834"/>
      <c r="U192" s="1834"/>
      <c r="V192" s="1834"/>
      <c r="W192" s="1834"/>
      <c r="X192" s="1835"/>
      <c r="Y192" s="1833">
        <f>C_Light_General!Y670</f>
        <v>174.06</v>
      </c>
      <c r="Z192" s="1834"/>
      <c r="AA192" s="1834"/>
      <c r="AB192" s="1834"/>
      <c r="AC192" s="1834"/>
      <c r="AD192" s="1835"/>
      <c r="AE192" s="1833">
        <f>C_Light_General!AE670</f>
        <v>224.94</v>
      </c>
      <c r="AF192" s="1834"/>
      <c r="AG192" s="1834"/>
      <c r="AH192" s="1834"/>
      <c r="AI192" s="1834"/>
      <c r="AJ192" s="1835"/>
    </row>
    <row r="193" spans="1:38" x14ac:dyDescent="0.3">
      <c r="A193" s="1938" t="s">
        <v>219</v>
      </c>
      <c r="B193" s="1938"/>
      <c r="C193" s="1938"/>
      <c r="D193" s="1938"/>
      <c r="E193" s="1938"/>
      <c r="F193" s="1938"/>
      <c r="G193" s="1833">
        <f>C_Light_General!G671</f>
        <v>89.73</v>
      </c>
      <c r="H193" s="1834"/>
      <c r="I193" s="1834"/>
      <c r="J193" s="1834"/>
      <c r="K193" s="1834"/>
      <c r="L193" s="1835"/>
      <c r="M193" s="1833">
        <f>C_Light_General!M671</f>
        <v>78.12</v>
      </c>
      <c r="N193" s="1834"/>
      <c r="O193" s="1834"/>
      <c r="P193" s="1834"/>
      <c r="Q193" s="1834"/>
      <c r="R193" s="1835"/>
      <c r="S193" s="1833">
        <f>C_Light_General!S671</f>
        <v>123.39</v>
      </c>
      <c r="T193" s="1834"/>
      <c r="U193" s="1834"/>
      <c r="V193" s="1834"/>
      <c r="W193" s="1834"/>
      <c r="X193" s="1835"/>
      <c r="Y193" s="1833">
        <f>C_Light_General!Y671</f>
        <v>165.42</v>
      </c>
      <c r="Z193" s="1834"/>
      <c r="AA193" s="1834"/>
      <c r="AB193" s="1834"/>
      <c r="AC193" s="1834"/>
      <c r="AD193" s="1835"/>
      <c r="AE193" s="1833">
        <f>C_Light_General!AE671</f>
        <v>213.75</v>
      </c>
      <c r="AF193" s="1834"/>
      <c r="AG193" s="1834"/>
      <c r="AH193" s="1834"/>
      <c r="AI193" s="1834"/>
      <c r="AJ193" s="1835"/>
    </row>
    <row r="194" spans="1:38" x14ac:dyDescent="0.3">
      <c r="A194" s="147"/>
      <c r="B194" s="147"/>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row>
    <row r="195" spans="1:38" x14ac:dyDescent="0.3">
      <c r="A195" s="1141" t="s">
        <v>1514</v>
      </c>
      <c r="B195" s="1141"/>
      <c r="C195" s="1141"/>
      <c r="D195" s="1141"/>
      <c r="E195" s="1141"/>
      <c r="F195" s="1141"/>
      <c r="G195" s="1141"/>
      <c r="H195" s="1141"/>
      <c r="I195" s="1141"/>
      <c r="J195" s="1141"/>
      <c r="K195" s="1141"/>
      <c r="L195" s="1141"/>
      <c r="M195" s="1141"/>
      <c r="N195" s="1141"/>
      <c r="O195" s="1141"/>
      <c r="P195" s="1141"/>
      <c r="Q195" s="1141"/>
      <c r="R195" s="1141"/>
      <c r="S195" s="1141"/>
      <c r="T195" s="1141"/>
      <c r="U195" s="1141"/>
      <c r="V195" s="1141"/>
      <c r="W195" s="1141"/>
      <c r="X195" s="1141"/>
      <c r="Y195" s="1141"/>
      <c r="Z195" s="1141"/>
      <c r="AA195" s="1141"/>
      <c r="AB195" s="1141"/>
      <c r="AC195" s="1141"/>
      <c r="AD195" s="1141"/>
      <c r="AE195" s="1141"/>
      <c r="AF195" s="1141"/>
    </row>
    <row r="197" spans="1:38" x14ac:dyDescent="0.3">
      <c r="A197" s="370" t="s">
        <v>803</v>
      </c>
      <c r="B197" s="884" t="s">
        <v>5770</v>
      </c>
      <c r="C197" s="884"/>
      <c r="D197" s="884"/>
      <c r="E197" s="884"/>
      <c r="F197" s="884"/>
      <c r="G197" s="884"/>
      <c r="H197" s="884"/>
      <c r="I197" s="884"/>
      <c r="J197" s="884"/>
      <c r="K197" s="884"/>
      <c r="L197" s="884"/>
      <c r="M197" s="884"/>
      <c r="N197" s="884"/>
      <c r="O197" s="884"/>
      <c r="P197" s="884"/>
      <c r="Q197" s="884"/>
      <c r="R197" s="884"/>
      <c r="S197" s="884"/>
      <c r="T197" s="884"/>
      <c r="U197" s="884"/>
      <c r="V197" s="884"/>
      <c r="W197" s="884"/>
      <c r="X197" s="884"/>
      <c r="Y197" s="884"/>
      <c r="Z197" s="884"/>
      <c r="AA197" s="884"/>
      <c r="AB197" s="884"/>
      <c r="AC197" s="884"/>
      <c r="AD197" s="884"/>
      <c r="AE197" s="884"/>
      <c r="AF197" s="884"/>
    </row>
    <row r="198" spans="1:38" ht="15" customHeight="1" x14ac:dyDescent="0.3">
      <c r="A198" s="370" t="s">
        <v>803</v>
      </c>
      <c r="B198" s="884" t="s">
        <v>5772</v>
      </c>
      <c r="C198" s="884"/>
      <c r="D198" s="884"/>
      <c r="E198" s="884"/>
      <c r="F198" s="884"/>
      <c r="G198" s="884"/>
      <c r="H198" s="884"/>
      <c r="I198" s="884"/>
      <c r="J198" s="884"/>
      <c r="K198" s="884"/>
      <c r="L198" s="884"/>
      <c r="M198" s="884"/>
      <c r="N198" s="884"/>
      <c r="O198" s="884"/>
      <c r="P198" s="884"/>
      <c r="Q198" s="884"/>
      <c r="R198" s="884"/>
      <c r="S198" s="884"/>
      <c r="T198" s="884"/>
      <c r="U198" s="884"/>
      <c r="V198" s="884"/>
      <c r="W198" s="884"/>
      <c r="X198" s="884"/>
      <c r="Y198" s="884"/>
      <c r="Z198" s="884"/>
      <c r="AA198" s="884"/>
      <c r="AB198" s="884"/>
      <c r="AC198" s="884"/>
      <c r="AD198" s="884"/>
      <c r="AE198" s="884"/>
      <c r="AF198" s="884"/>
    </row>
    <row r="199" spans="1:38" ht="15" customHeight="1" x14ac:dyDescent="0.3">
      <c r="A199" s="368" t="s">
        <v>803</v>
      </c>
      <c r="B199" s="884" t="s">
        <v>5687</v>
      </c>
      <c r="C199" s="884"/>
      <c r="D199" s="884"/>
      <c r="E199" s="884"/>
      <c r="F199" s="884"/>
      <c r="G199" s="884"/>
      <c r="H199" s="884"/>
      <c r="I199" s="884"/>
      <c r="J199" s="884"/>
      <c r="K199" s="884"/>
      <c r="L199" s="884"/>
      <c r="M199" s="884"/>
      <c r="N199" s="884"/>
      <c r="O199" s="884"/>
      <c r="P199" s="884"/>
      <c r="Q199" s="884"/>
      <c r="R199" s="884"/>
      <c r="S199" s="884"/>
      <c r="T199" s="884"/>
      <c r="U199" s="884"/>
      <c r="V199" s="884"/>
      <c r="W199" s="884"/>
      <c r="X199" s="884"/>
      <c r="Y199" s="884"/>
      <c r="Z199" s="884"/>
      <c r="AA199" s="884"/>
      <c r="AB199" s="884"/>
      <c r="AC199" s="884"/>
      <c r="AD199" s="884"/>
      <c r="AE199" s="884"/>
      <c r="AF199" s="884"/>
    </row>
    <row r="200" spans="1:38" ht="64.5" customHeight="1" x14ac:dyDescent="0.3">
      <c r="A200" s="368" t="s">
        <v>803</v>
      </c>
      <c r="B200" s="889" t="s">
        <v>2816</v>
      </c>
      <c r="C200" s="889"/>
      <c r="D200" s="889"/>
      <c r="E200" s="889"/>
      <c r="F200" s="889"/>
      <c r="G200" s="889"/>
      <c r="H200" s="889"/>
      <c r="I200" s="889"/>
      <c r="J200" s="889"/>
      <c r="K200" s="889"/>
      <c r="L200" s="889"/>
      <c r="M200" s="889"/>
      <c r="N200" s="889"/>
      <c r="O200" s="889"/>
      <c r="P200" s="889"/>
      <c r="Q200" s="889"/>
      <c r="R200" s="889"/>
      <c r="S200" s="889"/>
      <c r="T200" s="889"/>
      <c r="U200" s="889"/>
      <c r="V200" s="889"/>
      <c r="W200" s="889"/>
      <c r="X200" s="889"/>
      <c r="Y200" s="889"/>
      <c r="Z200" s="889"/>
      <c r="AA200" s="889"/>
      <c r="AB200" s="889"/>
      <c r="AC200" s="889"/>
      <c r="AD200" s="889"/>
      <c r="AE200" s="889"/>
      <c r="AF200" s="889"/>
    </row>
    <row r="201" spans="1:38" ht="69" customHeight="1" x14ac:dyDescent="0.3">
      <c r="A201" s="368" t="s">
        <v>803</v>
      </c>
      <c r="B201" s="953" t="s">
        <v>1839</v>
      </c>
      <c r="C201" s="953"/>
      <c r="D201" s="953"/>
      <c r="E201" s="953"/>
      <c r="F201" s="953"/>
      <c r="G201" s="953"/>
      <c r="H201" s="953"/>
      <c r="I201" s="953"/>
      <c r="J201" s="953"/>
      <c r="K201" s="953"/>
      <c r="L201" s="953"/>
      <c r="M201" s="953"/>
      <c r="N201" s="953"/>
      <c r="O201" s="953"/>
      <c r="P201" s="953"/>
      <c r="Q201" s="953"/>
      <c r="R201" s="953"/>
      <c r="S201" s="953"/>
      <c r="T201" s="953"/>
      <c r="U201" s="953"/>
      <c r="V201" s="953"/>
      <c r="W201" s="953"/>
      <c r="X201" s="953"/>
      <c r="Y201" s="953"/>
      <c r="Z201" s="953"/>
      <c r="AA201" s="953"/>
      <c r="AB201" s="953"/>
      <c r="AC201" s="953"/>
      <c r="AD201" s="953"/>
      <c r="AE201" s="953"/>
      <c r="AF201" s="953"/>
    </row>
    <row r="202" spans="1:38" ht="37.5" customHeight="1" x14ac:dyDescent="0.3">
      <c r="A202" s="368" t="s">
        <v>803</v>
      </c>
      <c r="B202" s="953" t="s">
        <v>1838</v>
      </c>
      <c r="C202" s="953"/>
      <c r="D202" s="953"/>
      <c r="E202" s="953"/>
      <c r="F202" s="953"/>
      <c r="G202" s="953"/>
      <c r="H202" s="953"/>
      <c r="I202" s="953"/>
      <c r="J202" s="953"/>
      <c r="K202" s="953"/>
      <c r="L202" s="953"/>
      <c r="M202" s="953"/>
      <c r="N202" s="953"/>
      <c r="O202" s="953"/>
      <c r="P202" s="953"/>
      <c r="Q202" s="953"/>
      <c r="R202" s="953"/>
      <c r="S202" s="953"/>
      <c r="T202" s="953"/>
      <c r="U202" s="953"/>
      <c r="V202" s="953"/>
      <c r="W202" s="953"/>
      <c r="X202" s="953"/>
      <c r="Y202" s="953"/>
      <c r="Z202" s="953"/>
      <c r="AA202" s="953"/>
      <c r="AB202" s="953"/>
      <c r="AC202" s="953"/>
      <c r="AD202" s="953"/>
      <c r="AE202" s="953"/>
      <c r="AF202" s="953"/>
    </row>
    <row r="203" spans="1:38" x14ac:dyDescent="0.3">
      <c r="A203" s="368" t="s">
        <v>803</v>
      </c>
      <c r="B203" s="953" t="s">
        <v>1834</v>
      </c>
      <c r="C203" s="953"/>
      <c r="D203" s="953"/>
      <c r="E203" s="953"/>
      <c r="F203" s="953"/>
      <c r="G203" s="953"/>
      <c r="H203" s="953"/>
      <c r="I203" s="953"/>
      <c r="J203" s="953"/>
      <c r="K203" s="953"/>
      <c r="L203" s="953"/>
      <c r="M203" s="953"/>
      <c r="N203" s="953"/>
      <c r="O203" s="953"/>
      <c r="P203" s="953"/>
      <c r="Q203" s="953"/>
      <c r="R203" s="953"/>
      <c r="S203" s="953"/>
      <c r="T203" s="953"/>
      <c r="U203" s="953"/>
      <c r="V203" s="953"/>
      <c r="W203" s="953"/>
      <c r="X203" s="953"/>
      <c r="Y203" s="953"/>
      <c r="Z203" s="953"/>
      <c r="AA203" s="953"/>
      <c r="AB203" s="953"/>
      <c r="AC203" s="953"/>
      <c r="AD203" s="953"/>
      <c r="AE203" s="953"/>
      <c r="AF203" s="953"/>
    </row>
    <row r="204" spans="1:38" ht="35.25" customHeight="1" x14ac:dyDescent="0.3">
      <c r="A204" s="368" t="s">
        <v>803</v>
      </c>
      <c r="B204" s="953" t="s">
        <v>1843</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c r="Y204" s="953"/>
      <c r="Z204" s="953"/>
      <c r="AA204" s="953"/>
      <c r="AB204" s="953"/>
      <c r="AC204" s="953"/>
      <c r="AD204" s="953"/>
      <c r="AE204" s="953"/>
      <c r="AF204" s="953"/>
    </row>
    <row r="205" spans="1:38" ht="51.75" customHeight="1" x14ac:dyDescent="0.3">
      <c r="A205" s="368" t="s">
        <v>803</v>
      </c>
      <c r="B205" s="953" t="s">
        <v>1886</v>
      </c>
      <c r="C205" s="953"/>
      <c r="D205" s="953"/>
      <c r="E205" s="953"/>
      <c r="F205" s="953"/>
      <c r="G205" s="953"/>
      <c r="H205" s="953"/>
      <c r="I205" s="953"/>
      <c r="J205" s="953"/>
      <c r="K205" s="953"/>
      <c r="L205" s="953"/>
      <c r="M205" s="953"/>
      <c r="N205" s="953"/>
      <c r="O205" s="953"/>
      <c r="P205" s="953"/>
      <c r="Q205" s="953"/>
      <c r="R205" s="953"/>
      <c r="S205" s="953"/>
      <c r="T205" s="953"/>
      <c r="U205" s="953"/>
      <c r="V205" s="953"/>
      <c r="W205" s="953"/>
      <c r="X205" s="953"/>
      <c r="Y205" s="953"/>
      <c r="Z205" s="953"/>
      <c r="AA205" s="953"/>
      <c r="AB205" s="953"/>
      <c r="AC205" s="953"/>
      <c r="AD205" s="953"/>
      <c r="AE205" s="953"/>
      <c r="AF205" s="953"/>
    </row>
    <row r="206" spans="1:38" x14ac:dyDescent="0.3">
      <c r="A206" s="368" t="s">
        <v>803</v>
      </c>
      <c r="B206" s="953" t="s">
        <v>2818</v>
      </c>
      <c r="C206" s="953"/>
      <c r="D206" s="953"/>
      <c r="E206" s="953"/>
      <c r="F206" s="953"/>
      <c r="G206" s="953"/>
      <c r="H206" s="953"/>
      <c r="I206" s="953"/>
      <c r="J206" s="953"/>
      <c r="K206" s="953"/>
      <c r="L206" s="953"/>
      <c r="M206" s="953"/>
      <c r="N206" s="953"/>
      <c r="O206" s="953"/>
      <c r="P206" s="953"/>
      <c r="Q206" s="953"/>
      <c r="R206" s="953"/>
      <c r="S206" s="953"/>
      <c r="T206" s="953"/>
      <c r="U206" s="953"/>
      <c r="V206" s="953"/>
      <c r="W206" s="953"/>
      <c r="X206" s="953"/>
      <c r="Y206" s="953"/>
      <c r="Z206" s="953"/>
      <c r="AA206" s="953"/>
      <c r="AB206" s="953"/>
      <c r="AC206" s="953"/>
      <c r="AD206" s="953"/>
      <c r="AE206" s="953"/>
      <c r="AF206" s="953"/>
    </row>
    <row r="207" spans="1:38" ht="36" customHeight="1" x14ac:dyDescent="0.3">
      <c r="A207" s="368" t="s">
        <v>803</v>
      </c>
      <c r="B207" s="953" t="s">
        <v>1887</v>
      </c>
      <c r="C207" s="953"/>
      <c r="D207" s="953"/>
      <c r="E207" s="953"/>
      <c r="F207" s="953"/>
      <c r="G207" s="953"/>
      <c r="H207" s="953"/>
      <c r="I207" s="953"/>
      <c r="J207" s="953"/>
      <c r="K207" s="953"/>
      <c r="L207" s="953"/>
      <c r="M207" s="953"/>
      <c r="N207" s="953"/>
      <c r="O207" s="953"/>
      <c r="P207" s="953"/>
      <c r="Q207" s="953"/>
      <c r="R207" s="953"/>
      <c r="S207" s="953"/>
      <c r="T207" s="953"/>
      <c r="U207" s="953"/>
      <c r="V207" s="953"/>
      <c r="W207" s="953"/>
      <c r="X207" s="953"/>
      <c r="Y207" s="953"/>
      <c r="Z207" s="953"/>
      <c r="AA207" s="953"/>
      <c r="AB207" s="953"/>
      <c r="AC207" s="953"/>
      <c r="AD207" s="953"/>
      <c r="AE207" s="953"/>
      <c r="AF207" s="953"/>
    </row>
    <row r="208" spans="1:38" ht="49.5" customHeight="1" x14ac:dyDescent="0.3">
      <c r="A208" s="368" t="s">
        <v>803</v>
      </c>
      <c r="B208" s="884" t="s">
        <v>1943</v>
      </c>
      <c r="C208" s="884"/>
      <c r="D208" s="884"/>
      <c r="E208" s="884"/>
      <c r="F208" s="884"/>
      <c r="G208" s="884"/>
      <c r="H208" s="884"/>
      <c r="I208" s="884"/>
      <c r="J208" s="884"/>
      <c r="K208" s="884"/>
      <c r="L208" s="884"/>
      <c r="M208" s="884"/>
      <c r="N208" s="884"/>
      <c r="O208" s="884"/>
      <c r="P208" s="884"/>
      <c r="Q208" s="884"/>
      <c r="R208" s="884"/>
      <c r="S208" s="884"/>
      <c r="T208" s="884"/>
      <c r="U208" s="884"/>
      <c r="V208" s="884"/>
      <c r="W208" s="884"/>
      <c r="X208" s="884"/>
      <c r="Y208" s="884"/>
      <c r="Z208" s="884"/>
      <c r="AA208" s="884"/>
      <c r="AB208" s="884"/>
      <c r="AC208" s="884"/>
      <c r="AD208" s="884"/>
      <c r="AE208" s="884"/>
      <c r="AF208" s="884"/>
    </row>
    <row r="209" spans="1:32" ht="37.5" customHeight="1" x14ac:dyDescent="0.3">
      <c r="A209" s="368" t="s">
        <v>803</v>
      </c>
      <c r="B209" s="953" t="s">
        <v>1896</v>
      </c>
      <c r="C209" s="953"/>
      <c r="D209" s="953"/>
      <c r="E209" s="953"/>
      <c r="F209" s="953"/>
      <c r="G209" s="953"/>
      <c r="H209" s="953"/>
      <c r="I209" s="953"/>
      <c r="J209" s="953"/>
      <c r="K209" s="953"/>
      <c r="L209" s="953"/>
      <c r="M209" s="953"/>
      <c r="N209" s="953"/>
      <c r="O209" s="953"/>
      <c r="P209" s="953"/>
      <c r="Q209" s="953"/>
      <c r="R209" s="953"/>
      <c r="S209" s="953"/>
      <c r="T209" s="953"/>
      <c r="U209" s="953"/>
      <c r="V209" s="953"/>
      <c r="W209" s="953"/>
      <c r="X209" s="953"/>
      <c r="Y209" s="953"/>
      <c r="Z209" s="953"/>
      <c r="AA209" s="953"/>
      <c r="AB209" s="953"/>
      <c r="AC209" s="953"/>
      <c r="AD209" s="953"/>
      <c r="AE209" s="953"/>
      <c r="AF209" s="953"/>
    </row>
    <row r="210" spans="1:32" ht="51.75" customHeight="1" x14ac:dyDescent="0.3">
      <c r="A210" s="368" t="s">
        <v>803</v>
      </c>
      <c r="B210" s="953" t="s">
        <v>1897</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c r="Y210" s="953"/>
      <c r="Z210" s="953"/>
      <c r="AA210" s="953"/>
      <c r="AB210" s="953"/>
      <c r="AC210" s="953"/>
      <c r="AD210" s="953"/>
      <c r="AE210" s="953"/>
      <c r="AF210" s="953"/>
    </row>
  </sheetData>
  <sheetProtection algorithmName="SHA-512" hashValue="SXySlzfHCuu+8qVRs6SX3nOatL+DNkF9BpbjxWDP5P8F+DU+/sq4rLGmm56QT6l0BXg/+bizFFHe4tI9tfClDQ==" saltValue="RwkmIJlxGcCP+jasFHQcTQ==" spinCount="100000" sheet="1" objects="1" scenarios="1"/>
  <mergeCells count="710">
    <mergeCell ref="B199:AF199"/>
    <mergeCell ref="B208:AF208"/>
    <mergeCell ref="A94:AF94"/>
    <mergeCell ref="A91:F91"/>
    <mergeCell ref="P91:R91"/>
    <mergeCell ref="S91:U91"/>
    <mergeCell ref="V91:X91"/>
    <mergeCell ref="V88:X88"/>
    <mergeCell ref="V89:X89"/>
    <mergeCell ref="V90:X90"/>
    <mergeCell ref="J91:L91"/>
    <mergeCell ref="M91:O91"/>
    <mergeCell ref="Y91:AF91"/>
    <mergeCell ref="G91:I91"/>
    <mergeCell ref="A104:F104"/>
    <mergeCell ref="G104:R104"/>
    <mergeCell ref="S104:AD104"/>
    <mergeCell ref="A105:F105"/>
    <mergeCell ref="G105:R105"/>
    <mergeCell ref="S105:AD105"/>
    <mergeCell ref="A106:F106"/>
    <mergeCell ref="G106:R106"/>
    <mergeCell ref="S106:AD106"/>
    <mergeCell ref="A107:F107"/>
    <mergeCell ref="A7:AF7"/>
    <mergeCell ref="B10:AF10"/>
    <mergeCell ref="B14:AF14"/>
    <mergeCell ref="A89:F89"/>
    <mergeCell ref="A90:F90"/>
    <mergeCell ref="B17:AF17"/>
    <mergeCell ref="B22:AF22"/>
    <mergeCell ref="B27:AF27"/>
    <mergeCell ref="A30:AF30"/>
    <mergeCell ref="A85:F85"/>
    <mergeCell ref="A86:F86"/>
    <mergeCell ref="A87:F87"/>
    <mergeCell ref="A88:F88"/>
    <mergeCell ref="E62:P62"/>
    <mergeCell ref="Q62:T62"/>
    <mergeCell ref="U62:W62"/>
    <mergeCell ref="X64:AF64"/>
    <mergeCell ref="X62:AF62"/>
    <mergeCell ref="A63:D63"/>
    <mergeCell ref="E63:P63"/>
    <mergeCell ref="Q63:T63"/>
    <mergeCell ref="U63:W63"/>
    <mergeCell ref="X63:AF63"/>
    <mergeCell ref="B13:AF13"/>
    <mergeCell ref="A3:AF3"/>
    <mergeCell ref="B5:AF5"/>
    <mergeCell ref="A61:AF61"/>
    <mergeCell ref="A62:D62"/>
    <mergeCell ref="U69:W69"/>
    <mergeCell ref="A1:AF1"/>
    <mergeCell ref="A77:D77"/>
    <mergeCell ref="E77:P77"/>
    <mergeCell ref="Q77:T77"/>
    <mergeCell ref="U77:W77"/>
    <mergeCell ref="X77:AF77"/>
    <mergeCell ref="A76:D76"/>
    <mergeCell ref="E76:P76"/>
    <mergeCell ref="Q76:T76"/>
    <mergeCell ref="U76:W76"/>
    <mergeCell ref="X76:AF76"/>
    <mergeCell ref="A75:D75"/>
    <mergeCell ref="E75:P75"/>
    <mergeCell ref="Q75:T75"/>
    <mergeCell ref="U75:W75"/>
    <mergeCell ref="X75:AF75"/>
    <mergeCell ref="Q72:T72"/>
    <mergeCell ref="U72:W72"/>
    <mergeCell ref="X72:AF72"/>
    <mergeCell ref="E66:P66"/>
    <mergeCell ref="Q66:T66"/>
    <mergeCell ref="U66:W66"/>
    <mergeCell ref="A64:D64"/>
    <mergeCell ref="E64:P64"/>
    <mergeCell ref="Q64:T64"/>
    <mergeCell ref="U64:W64"/>
    <mergeCell ref="U73:W73"/>
    <mergeCell ref="A70:D70"/>
    <mergeCell ref="E70:P70"/>
    <mergeCell ref="Q70:T70"/>
    <mergeCell ref="U70:W70"/>
    <mergeCell ref="Y85:AF85"/>
    <mergeCell ref="Y86:AF86"/>
    <mergeCell ref="A79:AF79"/>
    <mergeCell ref="X70:AF70"/>
    <mergeCell ref="A65:D65"/>
    <mergeCell ref="E65:P65"/>
    <mergeCell ref="Q65:T65"/>
    <mergeCell ref="U65:W65"/>
    <mergeCell ref="X65:AF65"/>
    <mergeCell ref="A67:D67"/>
    <mergeCell ref="E67:P67"/>
    <mergeCell ref="Q67:T67"/>
    <mergeCell ref="U67:W67"/>
    <mergeCell ref="X67:AF67"/>
    <mergeCell ref="A68:D68"/>
    <mergeCell ref="E68:P68"/>
    <mergeCell ref="Q68:T68"/>
    <mergeCell ref="U68:W68"/>
    <mergeCell ref="X68:AF68"/>
    <mergeCell ref="A69:D69"/>
    <mergeCell ref="E69:P69"/>
    <mergeCell ref="Q69:T69"/>
    <mergeCell ref="X69:AF69"/>
    <mergeCell ref="A66:D66"/>
    <mergeCell ref="M85:O85"/>
    <mergeCell ref="P85:R85"/>
    <mergeCell ref="V87:X87"/>
    <mergeCell ref="X66:AF66"/>
    <mergeCell ref="A81:AF81"/>
    <mergeCell ref="A82:AF82"/>
    <mergeCell ref="G86:I86"/>
    <mergeCell ref="M86:O86"/>
    <mergeCell ref="A71:D71"/>
    <mergeCell ref="E71:P71"/>
    <mergeCell ref="Q71:T71"/>
    <mergeCell ref="U71:W71"/>
    <mergeCell ref="X71:AF71"/>
    <mergeCell ref="A74:D74"/>
    <mergeCell ref="E74:P74"/>
    <mergeCell ref="Q74:T74"/>
    <mergeCell ref="U74:W74"/>
    <mergeCell ref="X74:AF74"/>
    <mergeCell ref="A73:D73"/>
    <mergeCell ref="E73:P73"/>
    <mergeCell ref="Q73:T73"/>
    <mergeCell ref="X73:AF73"/>
    <mergeCell ref="A72:D72"/>
    <mergeCell ref="E72:P72"/>
    <mergeCell ref="A80:AF80"/>
    <mergeCell ref="G87:I87"/>
    <mergeCell ref="G88:I88"/>
    <mergeCell ref="G89:I89"/>
    <mergeCell ref="G90:I90"/>
    <mergeCell ref="G85:I85"/>
    <mergeCell ref="J85:L85"/>
    <mergeCell ref="J86:L86"/>
    <mergeCell ref="A101:F101"/>
    <mergeCell ref="G101:R101"/>
    <mergeCell ref="S101:AD101"/>
    <mergeCell ref="P86:R86"/>
    <mergeCell ref="P87:R87"/>
    <mergeCell ref="P88:R88"/>
    <mergeCell ref="P89:R89"/>
    <mergeCell ref="P90:R90"/>
    <mergeCell ref="S85:U85"/>
    <mergeCell ref="S86:U86"/>
    <mergeCell ref="S87:U87"/>
    <mergeCell ref="S88:U88"/>
    <mergeCell ref="S89:U89"/>
    <mergeCell ref="S90:U90"/>
    <mergeCell ref="V85:X85"/>
    <mergeCell ref="V86:X86"/>
    <mergeCell ref="J87:L87"/>
    <mergeCell ref="J88:L88"/>
    <mergeCell ref="J89:L89"/>
    <mergeCell ref="J90:L90"/>
    <mergeCell ref="A102:F102"/>
    <mergeCell ref="G102:R102"/>
    <mergeCell ref="S102:AD102"/>
    <mergeCell ref="A103:F103"/>
    <mergeCell ref="G103:R103"/>
    <mergeCell ref="S103:AD103"/>
    <mergeCell ref="Y87:AF87"/>
    <mergeCell ref="Y88:AF88"/>
    <mergeCell ref="Y89:AF89"/>
    <mergeCell ref="Y90:AF90"/>
    <mergeCell ref="M87:O87"/>
    <mergeCell ref="M88:O88"/>
    <mergeCell ref="M89:O89"/>
    <mergeCell ref="M90:O90"/>
    <mergeCell ref="S107:AD107"/>
    <mergeCell ref="A108:F108"/>
    <mergeCell ref="G108:R108"/>
    <mergeCell ref="S108:AD108"/>
    <mergeCell ref="A109:F109"/>
    <mergeCell ref="G109:R109"/>
    <mergeCell ref="S109:AD109"/>
    <mergeCell ref="A110:F110"/>
    <mergeCell ref="G110:R110"/>
    <mergeCell ref="S110:AD110"/>
    <mergeCell ref="G107:R107"/>
    <mergeCell ref="A111:F111"/>
    <mergeCell ref="G111:R111"/>
    <mergeCell ref="S111:AD111"/>
    <mergeCell ref="A112:F112"/>
    <mergeCell ref="G112:R112"/>
    <mergeCell ref="S112:AD112"/>
    <mergeCell ref="A117:F117"/>
    <mergeCell ref="G117:R117"/>
    <mergeCell ref="A118:F118"/>
    <mergeCell ref="G118:R118"/>
    <mergeCell ref="A119:F119"/>
    <mergeCell ref="G119:R119"/>
    <mergeCell ref="A120:F120"/>
    <mergeCell ref="G120:R120"/>
    <mergeCell ref="A121:F121"/>
    <mergeCell ref="G121:R121"/>
    <mergeCell ref="A122:F122"/>
    <mergeCell ref="G122:R122"/>
    <mergeCell ref="A123:F123"/>
    <mergeCell ref="G123:R123"/>
    <mergeCell ref="A124:F124"/>
    <mergeCell ref="G124:R124"/>
    <mergeCell ref="A125:F125"/>
    <mergeCell ref="G125:R125"/>
    <mergeCell ref="A126:F126"/>
    <mergeCell ref="G126:R126"/>
    <mergeCell ref="A127:F127"/>
    <mergeCell ref="G127:R127"/>
    <mergeCell ref="A128:F128"/>
    <mergeCell ref="G128:R128"/>
    <mergeCell ref="V133:AJ133"/>
    <mergeCell ref="A134:F134"/>
    <mergeCell ref="G134:I134"/>
    <mergeCell ref="J134:L134"/>
    <mergeCell ref="M134:O134"/>
    <mergeCell ref="P134:R134"/>
    <mergeCell ref="S134:U134"/>
    <mergeCell ref="V134:X134"/>
    <mergeCell ref="Y134:AA134"/>
    <mergeCell ref="AB134:AD134"/>
    <mergeCell ref="AE134:AG134"/>
    <mergeCell ref="AH134:AJ134"/>
    <mergeCell ref="G133:U133"/>
    <mergeCell ref="AH135:AJ135"/>
    <mergeCell ref="A136:F136"/>
    <mergeCell ref="G136:I136"/>
    <mergeCell ref="J136:L136"/>
    <mergeCell ref="M136:O136"/>
    <mergeCell ref="P136:R136"/>
    <mergeCell ref="S136:U136"/>
    <mergeCell ref="V136:X136"/>
    <mergeCell ref="Y136:AA136"/>
    <mergeCell ref="AB136:AD136"/>
    <mergeCell ref="AE136:AG136"/>
    <mergeCell ref="AH136:AJ136"/>
    <mergeCell ref="A135:F135"/>
    <mergeCell ref="G135:I135"/>
    <mergeCell ref="J135:L135"/>
    <mergeCell ref="M135:O135"/>
    <mergeCell ref="P135:R135"/>
    <mergeCell ref="S135:U135"/>
    <mergeCell ref="V135:X135"/>
    <mergeCell ref="Y135:AA135"/>
    <mergeCell ref="AB135:AD135"/>
    <mergeCell ref="AE135:AG135"/>
    <mergeCell ref="AH137:AJ137"/>
    <mergeCell ref="A138:F138"/>
    <mergeCell ref="G138:I138"/>
    <mergeCell ref="J138:L138"/>
    <mergeCell ref="M138:O138"/>
    <mergeCell ref="P138:R138"/>
    <mergeCell ref="S138:U138"/>
    <mergeCell ref="V138:X138"/>
    <mergeCell ref="Y138:AA138"/>
    <mergeCell ref="AB138:AD138"/>
    <mergeCell ref="AE138:AG138"/>
    <mergeCell ref="AH138:AJ138"/>
    <mergeCell ref="A137:F137"/>
    <mergeCell ref="G137:I137"/>
    <mergeCell ref="J137:L137"/>
    <mergeCell ref="M137:O137"/>
    <mergeCell ref="P137:R137"/>
    <mergeCell ref="S137:U137"/>
    <mergeCell ref="V137:X137"/>
    <mergeCell ref="Y137:AA137"/>
    <mergeCell ref="AB137:AD137"/>
    <mergeCell ref="AH139:AJ139"/>
    <mergeCell ref="A140:F140"/>
    <mergeCell ref="G140:I140"/>
    <mergeCell ref="J140:L140"/>
    <mergeCell ref="M140:O140"/>
    <mergeCell ref="P140:R140"/>
    <mergeCell ref="S140:U140"/>
    <mergeCell ref="V140:X140"/>
    <mergeCell ref="Y140:AA140"/>
    <mergeCell ref="AB140:AD140"/>
    <mergeCell ref="AE140:AG140"/>
    <mergeCell ref="AH140:AJ140"/>
    <mergeCell ref="A139:F139"/>
    <mergeCell ref="G139:I139"/>
    <mergeCell ref="J139:L139"/>
    <mergeCell ref="M139:O139"/>
    <mergeCell ref="P139:R139"/>
    <mergeCell ref="S139:U139"/>
    <mergeCell ref="V139:X139"/>
    <mergeCell ref="Y139:AA139"/>
    <mergeCell ref="AB139:AD139"/>
    <mergeCell ref="AH141:AJ141"/>
    <mergeCell ref="A142:F142"/>
    <mergeCell ref="G142:I142"/>
    <mergeCell ref="J142:L142"/>
    <mergeCell ref="M142:O142"/>
    <mergeCell ref="P142:R142"/>
    <mergeCell ref="S142:U142"/>
    <mergeCell ref="V142:X142"/>
    <mergeCell ref="Y142:AA142"/>
    <mergeCell ref="AB142:AD142"/>
    <mergeCell ref="AE142:AG142"/>
    <mergeCell ref="AH142:AJ142"/>
    <mergeCell ref="A141:F141"/>
    <mergeCell ref="G141:I141"/>
    <mergeCell ref="J141:L141"/>
    <mergeCell ref="M141:O141"/>
    <mergeCell ref="P141:R141"/>
    <mergeCell ref="S141:U141"/>
    <mergeCell ref="V141:X141"/>
    <mergeCell ref="Y141:AA141"/>
    <mergeCell ref="AB141:AD141"/>
    <mergeCell ref="AH143:AJ143"/>
    <mergeCell ref="A144:F144"/>
    <mergeCell ref="G144:I144"/>
    <mergeCell ref="J144:L144"/>
    <mergeCell ref="M144:O144"/>
    <mergeCell ref="P144:R144"/>
    <mergeCell ref="S144:U144"/>
    <mergeCell ref="V144:X144"/>
    <mergeCell ref="Y144:AA144"/>
    <mergeCell ref="AB144:AD144"/>
    <mergeCell ref="AE144:AG144"/>
    <mergeCell ref="AH144:AJ144"/>
    <mergeCell ref="A143:F143"/>
    <mergeCell ref="G143:I143"/>
    <mergeCell ref="J143:L143"/>
    <mergeCell ref="M143:O143"/>
    <mergeCell ref="P143:R143"/>
    <mergeCell ref="S143:U143"/>
    <mergeCell ref="V143:X143"/>
    <mergeCell ref="Y143:AA143"/>
    <mergeCell ref="AB143:AD143"/>
    <mergeCell ref="AH145:AJ145"/>
    <mergeCell ref="G148:U148"/>
    <mergeCell ref="V148:AJ148"/>
    <mergeCell ref="A149:F149"/>
    <mergeCell ref="G149:I149"/>
    <mergeCell ref="J149:L149"/>
    <mergeCell ref="M149:O149"/>
    <mergeCell ref="P149:R149"/>
    <mergeCell ref="S149:U149"/>
    <mergeCell ref="V149:X149"/>
    <mergeCell ref="Y149:AA149"/>
    <mergeCell ref="AB149:AD149"/>
    <mergeCell ref="AE149:AG149"/>
    <mergeCell ref="AH149:AJ149"/>
    <mergeCell ref="A145:F145"/>
    <mergeCell ref="G145:I145"/>
    <mergeCell ref="J145:L145"/>
    <mergeCell ref="M145:O145"/>
    <mergeCell ref="P145:R145"/>
    <mergeCell ref="S145:U145"/>
    <mergeCell ref="V145:X145"/>
    <mergeCell ref="Y145:AA145"/>
    <mergeCell ref="AB145:AD145"/>
    <mergeCell ref="AH150:AJ150"/>
    <mergeCell ref="A151:F151"/>
    <mergeCell ref="G151:I151"/>
    <mergeCell ref="J151:L151"/>
    <mergeCell ref="M151:O151"/>
    <mergeCell ref="P151:R151"/>
    <mergeCell ref="S151:U151"/>
    <mergeCell ref="V151:X151"/>
    <mergeCell ref="Y151:AA151"/>
    <mergeCell ref="AB151:AD151"/>
    <mergeCell ref="AE151:AG151"/>
    <mergeCell ref="AH151:AJ151"/>
    <mergeCell ref="A150:F150"/>
    <mergeCell ref="G150:I150"/>
    <mergeCell ref="J150:L150"/>
    <mergeCell ref="M150:O150"/>
    <mergeCell ref="P150:R150"/>
    <mergeCell ref="S150:U150"/>
    <mergeCell ref="V150:X150"/>
    <mergeCell ref="Y150:AA150"/>
    <mergeCell ref="AB150:AD150"/>
    <mergeCell ref="AH152:AJ152"/>
    <mergeCell ref="A153:F153"/>
    <mergeCell ref="G153:I153"/>
    <mergeCell ref="J153:L153"/>
    <mergeCell ref="M153:O153"/>
    <mergeCell ref="P153:R153"/>
    <mergeCell ref="S153:U153"/>
    <mergeCell ref="V153:X153"/>
    <mergeCell ref="Y153:AA153"/>
    <mergeCell ref="AB153:AD153"/>
    <mergeCell ref="AE153:AG153"/>
    <mergeCell ref="AH153:AJ153"/>
    <mergeCell ref="A152:F152"/>
    <mergeCell ref="G152:I152"/>
    <mergeCell ref="J152:L152"/>
    <mergeCell ref="M152:O152"/>
    <mergeCell ref="P152:R152"/>
    <mergeCell ref="S152:U152"/>
    <mergeCell ref="V152:X152"/>
    <mergeCell ref="Y152:AA152"/>
    <mergeCell ref="AB152:AD152"/>
    <mergeCell ref="AH154:AJ154"/>
    <mergeCell ref="A155:F155"/>
    <mergeCell ref="G155:I155"/>
    <mergeCell ref="J155:L155"/>
    <mergeCell ref="M155:O155"/>
    <mergeCell ref="P155:R155"/>
    <mergeCell ref="S155:U155"/>
    <mergeCell ref="V155:X155"/>
    <mergeCell ref="Y155:AA155"/>
    <mergeCell ref="AB155:AD155"/>
    <mergeCell ref="AE155:AG155"/>
    <mergeCell ref="AH155:AJ155"/>
    <mergeCell ref="A154:F154"/>
    <mergeCell ref="G154:I154"/>
    <mergeCell ref="J154:L154"/>
    <mergeCell ref="M154:O154"/>
    <mergeCell ref="P154:R154"/>
    <mergeCell ref="S154:U154"/>
    <mergeCell ref="V154:X154"/>
    <mergeCell ref="Y154:AA154"/>
    <mergeCell ref="AB154:AD154"/>
    <mergeCell ref="AH156:AJ156"/>
    <mergeCell ref="A157:F157"/>
    <mergeCell ref="G157:I157"/>
    <mergeCell ref="J157:L157"/>
    <mergeCell ref="M157:O157"/>
    <mergeCell ref="P157:R157"/>
    <mergeCell ref="S157:U157"/>
    <mergeCell ref="V157:X157"/>
    <mergeCell ref="Y157:AA157"/>
    <mergeCell ref="AB157:AD157"/>
    <mergeCell ref="AE157:AG157"/>
    <mergeCell ref="AH157:AJ157"/>
    <mergeCell ref="A156:F156"/>
    <mergeCell ref="G156:I156"/>
    <mergeCell ref="J156:L156"/>
    <mergeCell ref="M156:O156"/>
    <mergeCell ref="P156:R156"/>
    <mergeCell ref="S156:U156"/>
    <mergeCell ref="V156:X156"/>
    <mergeCell ref="Y156:AA156"/>
    <mergeCell ref="AB156:AD156"/>
    <mergeCell ref="AH158:AJ158"/>
    <mergeCell ref="A159:F159"/>
    <mergeCell ref="G159:I159"/>
    <mergeCell ref="J159:L159"/>
    <mergeCell ref="M159:O159"/>
    <mergeCell ref="P159:R159"/>
    <mergeCell ref="S159:U159"/>
    <mergeCell ref="V159:X159"/>
    <mergeCell ref="Y159:AA159"/>
    <mergeCell ref="AB159:AD159"/>
    <mergeCell ref="AE159:AG159"/>
    <mergeCell ref="AH159:AJ159"/>
    <mergeCell ref="A158:F158"/>
    <mergeCell ref="G158:I158"/>
    <mergeCell ref="J158:L158"/>
    <mergeCell ref="M158:O158"/>
    <mergeCell ref="P158:R158"/>
    <mergeCell ref="S158:U158"/>
    <mergeCell ref="V158:X158"/>
    <mergeCell ref="Y158:AA158"/>
    <mergeCell ref="AB158:AD158"/>
    <mergeCell ref="Y168:AA168"/>
    <mergeCell ref="AB168:AD168"/>
    <mergeCell ref="Y169:AA169"/>
    <mergeCell ref="AB169:AD169"/>
    <mergeCell ref="AE160:AG160"/>
    <mergeCell ref="AH160:AJ160"/>
    <mergeCell ref="G165:AJ165"/>
    <mergeCell ref="G166:L166"/>
    <mergeCell ref="M166:R166"/>
    <mergeCell ref="S166:X166"/>
    <mergeCell ref="Y166:AD166"/>
    <mergeCell ref="AE166:AJ166"/>
    <mergeCell ref="G160:I160"/>
    <mergeCell ref="J160:L160"/>
    <mergeCell ref="M160:O160"/>
    <mergeCell ref="P160:R160"/>
    <mergeCell ref="S160:U160"/>
    <mergeCell ref="V160:X160"/>
    <mergeCell ref="Y160:AA160"/>
    <mergeCell ref="AB160:AD160"/>
    <mergeCell ref="AH167:AJ167"/>
    <mergeCell ref="AH168:AJ168"/>
    <mergeCell ref="AE169:AG169"/>
    <mergeCell ref="AH169:AJ169"/>
    <mergeCell ref="A168:F168"/>
    <mergeCell ref="A169:F169"/>
    <mergeCell ref="M168:O168"/>
    <mergeCell ref="P168:R168"/>
    <mergeCell ref="M169:O169"/>
    <mergeCell ref="P169:R169"/>
    <mergeCell ref="S168:U168"/>
    <mergeCell ref="V168:X168"/>
    <mergeCell ref="S169:U169"/>
    <mergeCell ref="V169:X169"/>
    <mergeCell ref="Y170:AA170"/>
    <mergeCell ref="AB170:AD170"/>
    <mergeCell ref="Y171:AA171"/>
    <mergeCell ref="AB171:AD171"/>
    <mergeCell ref="A172:F172"/>
    <mergeCell ref="A173:F173"/>
    <mergeCell ref="M172:O172"/>
    <mergeCell ref="P172:R172"/>
    <mergeCell ref="M173:O173"/>
    <mergeCell ref="P173:R173"/>
    <mergeCell ref="A170:F170"/>
    <mergeCell ref="A171:F171"/>
    <mergeCell ref="M170:O170"/>
    <mergeCell ref="P170:R170"/>
    <mergeCell ref="M171:O171"/>
    <mergeCell ref="P171:R171"/>
    <mergeCell ref="S170:U170"/>
    <mergeCell ref="V170:X170"/>
    <mergeCell ref="S171:U171"/>
    <mergeCell ref="V171:X171"/>
    <mergeCell ref="S172:U172"/>
    <mergeCell ref="V172:X172"/>
    <mergeCell ref="S173:U173"/>
    <mergeCell ref="V173:X173"/>
    <mergeCell ref="P175:R175"/>
    <mergeCell ref="S174:U174"/>
    <mergeCell ref="V174:X174"/>
    <mergeCell ref="S175:U175"/>
    <mergeCell ref="V175:X175"/>
    <mergeCell ref="A176:F176"/>
    <mergeCell ref="A177:F177"/>
    <mergeCell ref="P176:R176"/>
    <mergeCell ref="M177:O177"/>
    <mergeCell ref="P177:R177"/>
    <mergeCell ref="S176:U176"/>
    <mergeCell ref="V176:X176"/>
    <mergeCell ref="S177:U177"/>
    <mergeCell ref="V177:X177"/>
    <mergeCell ref="Y172:AA172"/>
    <mergeCell ref="AB172:AD172"/>
    <mergeCell ref="Y173:AA173"/>
    <mergeCell ref="AB173:AD173"/>
    <mergeCell ref="A182:F182"/>
    <mergeCell ref="G182:L182"/>
    <mergeCell ref="M182:R182"/>
    <mergeCell ref="S182:X182"/>
    <mergeCell ref="Y182:AD182"/>
    <mergeCell ref="A178:F178"/>
    <mergeCell ref="G181:AJ181"/>
    <mergeCell ref="Y176:AA176"/>
    <mergeCell ref="AB176:AD176"/>
    <mergeCell ref="Y177:AA177"/>
    <mergeCell ref="AB177:AD177"/>
    <mergeCell ref="Y174:AA174"/>
    <mergeCell ref="AB174:AD174"/>
    <mergeCell ref="Y175:AA175"/>
    <mergeCell ref="AB175:AD175"/>
    <mergeCell ref="A174:F174"/>
    <mergeCell ref="A175:F175"/>
    <mergeCell ref="M174:O174"/>
    <mergeCell ref="P174:R174"/>
    <mergeCell ref="M175:O175"/>
    <mergeCell ref="AE182:AJ182"/>
    <mergeCell ref="G178:I178"/>
    <mergeCell ref="J178:L178"/>
    <mergeCell ref="M178:O178"/>
    <mergeCell ref="P178:R178"/>
    <mergeCell ref="S178:U178"/>
    <mergeCell ref="V178:X178"/>
    <mergeCell ref="Y178:AA178"/>
    <mergeCell ref="AB178:AD178"/>
    <mergeCell ref="A183:F183"/>
    <mergeCell ref="G183:L183"/>
    <mergeCell ref="M183:R183"/>
    <mergeCell ref="S183:X183"/>
    <mergeCell ref="Y183:AD183"/>
    <mergeCell ref="AE183:AJ183"/>
    <mergeCell ref="A184:F184"/>
    <mergeCell ref="G184:L184"/>
    <mergeCell ref="M184:R184"/>
    <mergeCell ref="S184:X184"/>
    <mergeCell ref="Y184:AD184"/>
    <mergeCell ref="AE184:AJ184"/>
    <mergeCell ref="A185:F185"/>
    <mergeCell ref="G185:L185"/>
    <mergeCell ref="M185:R185"/>
    <mergeCell ref="S185:X185"/>
    <mergeCell ref="Y185:AD185"/>
    <mergeCell ref="AE185:AJ185"/>
    <mergeCell ref="A186:F186"/>
    <mergeCell ref="G186:L186"/>
    <mergeCell ref="M186:R186"/>
    <mergeCell ref="S186:X186"/>
    <mergeCell ref="Y186:AD186"/>
    <mergeCell ref="AE186:AJ186"/>
    <mergeCell ref="A78:AF78"/>
    <mergeCell ref="A193:F193"/>
    <mergeCell ref="G193:L193"/>
    <mergeCell ref="M193:R193"/>
    <mergeCell ref="S193:X193"/>
    <mergeCell ref="Y193:AD193"/>
    <mergeCell ref="AE193:AJ193"/>
    <mergeCell ref="A195:AF195"/>
    <mergeCell ref="B200:AF200"/>
    <mergeCell ref="A191:F191"/>
    <mergeCell ref="G191:L191"/>
    <mergeCell ref="M191:R191"/>
    <mergeCell ref="S191:X191"/>
    <mergeCell ref="Y191:AD191"/>
    <mergeCell ref="AE191:AJ191"/>
    <mergeCell ref="G190:L190"/>
    <mergeCell ref="M190:R190"/>
    <mergeCell ref="S190:X190"/>
    <mergeCell ref="Y190:AD190"/>
    <mergeCell ref="AE190:AJ190"/>
    <mergeCell ref="A187:F187"/>
    <mergeCell ref="G187:L187"/>
    <mergeCell ref="M187:R187"/>
    <mergeCell ref="S187:X187"/>
    <mergeCell ref="B202:AF202"/>
    <mergeCell ref="B203:AF203"/>
    <mergeCell ref="B204:AF204"/>
    <mergeCell ref="B205:AF205"/>
    <mergeCell ref="B206:AF206"/>
    <mergeCell ref="B207:AF207"/>
    <mergeCell ref="B209:AF209"/>
    <mergeCell ref="B210:AF210"/>
    <mergeCell ref="B201:AF201"/>
    <mergeCell ref="Y187:AD187"/>
    <mergeCell ref="AE187:AJ187"/>
    <mergeCell ref="A188:F188"/>
    <mergeCell ref="G188:L188"/>
    <mergeCell ref="M188:R188"/>
    <mergeCell ref="S188:X188"/>
    <mergeCell ref="Y188:AD188"/>
    <mergeCell ref="AE188:AJ188"/>
    <mergeCell ref="G189:L189"/>
    <mergeCell ref="M189:R189"/>
    <mergeCell ref="S189:X189"/>
    <mergeCell ref="Y189:AD189"/>
    <mergeCell ref="AE189:AJ189"/>
    <mergeCell ref="A189:F189"/>
    <mergeCell ref="A190:F190"/>
    <mergeCell ref="AE168:AG168"/>
    <mergeCell ref="B20:AF20"/>
    <mergeCell ref="B24:AF24"/>
    <mergeCell ref="G167:I167"/>
    <mergeCell ref="J167:L167"/>
    <mergeCell ref="M167:O167"/>
    <mergeCell ref="P167:R167"/>
    <mergeCell ref="S167:U167"/>
    <mergeCell ref="V167:X167"/>
    <mergeCell ref="Y167:AA167"/>
    <mergeCell ref="AB167:AD167"/>
    <mergeCell ref="AE167:AG167"/>
    <mergeCell ref="A160:F160"/>
    <mergeCell ref="AE158:AG158"/>
    <mergeCell ref="AE156:AG156"/>
    <mergeCell ref="AE154:AG154"/>
    <mergeCell ref="AE152:AG152"/>
    <mergeCell ref="AE150:AG150"/>
    <mergeCell ref="AE145:AG145"/>
    <mergeCell ref="AE143:AG143"/>
    <mergeCell ref="AE141:AG141"/>
    <mergeCell ref="AE139:AG139"/>
    <mergeCell ref="AE137:AG137"/>
    <mergeCell ref="A166:F167"/>
    <mergeCell ref="AE178:AG178"/>
    <mergeCell ref="AH178:AJ178"/>
    <mergeCell ref="G168:I168"/>
    <mergeCell ref="J168:L168"/>
    <mergeCell ref="G169:I169"/>
    <mergeCell ref="J169:L169"/>
    <mergeCell ref="G170:I170"/>
    <mergeCell ref="J170:L170"/>
    <mergeCell ref="G171:I171"/>
    <mergeCell ref="J171:L171"/>
    <mergeCell ref="G172:I172"/>
    <mergeCell ref="J172:L172"/>
    <mergeCell ref="G173:I173"/>
    <mergeCell ref="J173:L173"/>
    <mergeCell ref="G174:I174"/>
    <mergeCell ref="J174:L174"/>
    <mergeCell ref="G175:I175"/>
    <mergeCell ref="J175:L175"/>
    <mergeCell ref="G176:I176"/>
    <mergeCell ref="J176:L176"/>
    <mergeCell ref="G177:I177"/>
    <mergeCell ref="J177:L177"/>
    <mergeCell ref="M176:O176"/>
    <mergeCell ref="B197:AF197"/>
    <mergeCell ref="AE170:AG170"/>
    <mergeCell ref="AH170:AJ170"/>
    <mergeCell ref="AE171:AG171"/>
    <mergeCell ref="AH171:AJ171"/>
    <mergeCell ref="AE172:AG172"/>
    <mergeCell ref="AH172:AJ172"/>
    <mergeCell ref="B198:AF198"/>
    <mergeCell ref="AE173:AG173"/>
    <mergeCell ref="AH173:AJ173"/>
    <mergeCell ref="AE174:AG174"/>
    <mergeCell ref="AH174:AJ174"/>
    <mergeCell ref="AE175:AG175"/>
    <mergeCell ref="AH175:AJ175"/>
    <mergeCell ref="AE176:AG176"/>
    <mergeCell ref="AH176:AJ176"/>
    <mergeCell ref="AE177:AG177"/>
    <mergeCell ref="AH177:AJ177"/>
    <mergeCell ref="A192:F192"/>
    <mergeCell ref="G192:L192"/>
    <mergeCell ref="M192:R192"/>
    <mergeCell ref="S192:X192"/>
    <mergeCell ref="Y192:AD192"/>
    <mergeCell ref="AE192:AJ192"/>
  </mergeCells>
  <hyperlinks>
    <hyperlink ref="A2" location="TOC!A1" display="Return to TOC" xr:uid="{00000000-0004-0000-2D00-000000000000}"/>
    <hyperlink ref="Q72:T72" location="C_Light_General!A1" display="C_Light_General!A1" xr:uid="{00000000-0004-0000-2D00-000001000000}"/>
    <hyperlink ref="Q73:T73" location="C_Light_General!A1" display="C_Light_General!A1" xr:uid="{00000000-0004-0000-2D00-000002000000}"/>
    <hyperlink ref="Q71:T71" location="C_Light_General!A1" display="C_Light_General!A1" xr:uid="{00000000-0004-0000-2D00-000003000000}"/>
    <hyperlink ref="Q74:T74" location="C_Light_General!A1" display="C_Light_General!A1" xr:uid="{00000000-0004-0000-2D00-000004000000}"/>
    <hyperlink ref="Q76:T76" location="C_Light_General!A1" display="C_Light_General!A1" xr:uid="{00000000-0004-0000-2D00-000005000000}"/>
    <hyperlink ref="Q77:T77" location="C_Light_General!A1" display="C_Light_General!A1" xr:uid="{00000000-0004-0000-2D00-000006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4:AF58" numberStoredAsText="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tabColor theme="4" tint="0.59999389629810485"/>
    <pageSetUpPr autoPageBreaks="0"/>
  </sheetPr>
  <dimension ref="A1:CA163"/>
  <sheetViews>
    <sheetView workbookViewId="0">
      <selection activeCell="A2" sqref="A2"/>
    </sheetView>
  </sheetViews>
  <sheetFormatPr defaultColWidth="2.6640625" defaultRowHeight="14.4" x14ac:dyDescent="0.3"/>
  <sheetData>
    <row r="1" spans="1:32" s="1" customFormat="1" ht="18" x14ac:dyDescent="0.3">
      <c r="A1" s="1131" t="s">
        <v>884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 customHeight="1" x14ac:dyDescent="0.3">
      <c r="A5" s="121"/>
      <c r="B5" s="1258" t="s">
        <v>5763</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s="1" customFormat="1"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s="1" customFormat="1" x14ac:dyDescent="0.3">
      <c r="B9" s="1144" t="s">
        <v>3</v>
      </c>
      <c r="C9" s="1144"/>
      <c r="D9" s="1144"/>
      <c r="E9" s="1144"/>
      <c r="F9" s="1144"/>
      <c r="G9" s="1144"/>
      <c r="H9" s="1144"/>
      <c r="I9" s="1144"/>
    </row>
    <row r="10" spans="1:32" s="1" customFormat="1" ht="37.5" customHeight="1" x14ac:dyDescent="0.3">
      <c r="B10" s="953" t="s">
        <v>2939</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s="1" customFormat="1" ht="15" customHeight="1" x14ac:dyDescent="0.3"/>
    <row r="12" spans="1:32" s="1" customFormat="1" x14ac:dyDescent="0.3">
      <c r="B12" s="1144" t="s">
        <v>4</v>
      </c>
      <c r="C12" s="1144"/>
      <c r="D12" s="1144"/>
      <c r="E12" s="1144"/>
      <c r="F12" s="1144"/>
      <c r="G12" s="1144"/>
      <c r="H12" s="1144"/>
      <c r="I12" s="1144"/>
    </row>
    <row r="13" spans="1:32" s="1" customFormat="1" ht="65.25" customHeight="1" x14ac:dyDescent="0.3">
      <c r="B13" s="872" t="s">
        <v>2940</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s="1" customFormat="1" x14ac:dyDescent="0.3"/>
    <row r="15" spans="1:32" s="1" customFormat="1" ht="15" customHeight="1" x14ac:dyDescent="0.3">
      <c r="B15" s="1144" t="s">
        <v>5</v>
      </c>
      <c r="C15" s="1144"/>
      <c r="D15" s="1144"/>
      <c r="E15" s="1144"/>
      <c r="F15" s="1144"/>
      <c r="G15" s="1144"/>
      <c r="H15" s="1144"/>
      <c r="I15" s="1144"/>
    </row>
    <row r="16" spans="1:32" s="1" customFormat="1" x14ac:dyDescent="0.3">
      <c r="B16" s="1142" t="s">
        <v>3311</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79" s="1" customFormat="1" x14ac:dyDescent="0.3"/>
    <row r="18" spans="1:79" s="1" customFormat="1" x14ac:dyDescent="0.3">
      <c r="B18" s="1144" t="s">
        <v>6</v>
      </c>
      <c r="C18" s="1144"/>
      <c r="D18" s="1144"/>
      <c r="E18" s="1144"/>
      <c r="F18" s="1144"/>
      <c r="G18" s="1144"/>
      <c r="H18" s="1144"/>
      <c r="I18" s="1144"/>
    </row>
    <row r="19" spans="1:79" s="1" customFormat="1" ht="129" customHeight="1" x14ac:dyDescent="0.3">
      <c r="B19" s="872" t="s">
        <v>3020</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79" s="1" customFormat="1" x14ac:dyDescent="0.3"/>
    <row r="21" spans="1:79" s="1" customFormat="1" ht="33" customHeight="1" x14ac:dyDescent="0.3">
      <c r="B21" s="872" t="s">
        <v>3023</v>
      </c>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row>
    <row r="22" spans="1:79" s="1" customFormat="1" x14ac:dyDescent="0.3"/>
    <row r="23" spans="1:79" s="1" customFormat="1" x14ac:dyDescent="0.3">
      <c r="B23" s="51" t="s">
        <v>13</v>
      </c>
      <c r="C23" s="51"/>
      <c r="D23" s="51"/>
      <c r="E23" s="51"/>
      <c r="F23" s="51"/>
      <c r="G23" s="51"/>
      <c r="H23" s="51"/>
      <c r="I23" s="51"/>
    </row>
    <row r="24" spans="1:79" ht="46.5" customHeight="1" x14ac:dyDescent="0.3">
      <c r="A24" s="22"/>
      <c r="B24" s="889" t="s">
        <v>5778</v>
      </c>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row>
    <row r="25" spans="1:79" x14ac:dyDescent="0.3">
      <c r="A25" s="22"/>
    </row>
    <row r="26" spans="1:79" x14ac:dyDescent="0.3">
      <c r="A26" s="22"/>
    </row>
    <row r="27" spans="1:79" s="1" customFormat="1" x14ac:dyDescent="0.3">
      <c r="A27" s="1141" t="s">
        <v>7</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c r="AR27" s="3"/>
      <c r="BW27" s="71"/>
      <c r="BZ27" s="8"/>
      <c r="CA27" s="8"/>
    </row>
    <row r="28" spans="1:79" s="8" customFormat="1" ht="14.4" customHeight="1" x14ac:dyDescent="0.3">
      <c r="A28" s="54"/>
      <c r="AR28" s="3"/>
      <c r="AS28" s="5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row>
    <row r="29" spans="1:79" s="8" customFormat="1" ht="14.4" customHeight="1" x14ac:dyDescent="0.3">
      <c r="B29" s="231" t="s">
        <v>2135</v>
      </c>
      <c r="C29" s="1"/>
      <c r="D29" s="1"/>
      <c r="E29" s="1"/>
      <c r="F29" s="1"/>
      <c r="G29" s="1"/>
      <c r="H29" s="1"/>
      <c r="I29" s="1"/>
      <c r="J29" s="1"/>
      <c r="K29" s="1"/>
      <c r="L29" s="1"/>
      <c r="M29" s="1"/>
      <c r="N29" s="1"/>
      <c r="O29" s="1"/>
      <c r="P29" s="1"/>
      <c r="Q29" s="1"/>
      <c r="R29" s="1"/>
      <c r="S29" s="1"/>
      <c r="T29" s="1"/>
      <c r="U29" s="1"/>
      <c r="V29" s="1"/>
      <c r="W29" s="1"/>
      <c r="X29" s="1"/>
      <c r="Y29" s="1"/>
      <c r="Z29" s="1"/>
      <c r="AA29" s="1"/>
      <c r="AB29" s="1"/>
      <c r="AR29" s="3"/>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row>
    <row r="30" spans="1:79" s="8" customFormat="1" ht="14.4" customHeight="1" x14ac:dyDescent="0.3">
      <c r="B30" s="1"/>
      <c r="C30" s="1"/>
      <c r="D30" s="1"/>
      <c r="E30" s="1"/>
      <c r="F30" s="1"/>
      <c r="G30" s="1"/>
      <c r="H30" s="1"/>
      <c r="I30" s="1"/>
      <c r="J30" s="1"/>
      <c r="K30" s="1"/>
      <c r="L30" s="1"/>
      <c r="M30" s="1"/>
      <c r="N30" s="1"/>
      <c r="O30" s="1"/>
      <c r="P30" s="1"/>
      <c r="Q30" s="1"/>
      <c r="R30" s="1"/>
      <c r="S30" s="1"/>
      <c r="T30" s="1"/>
      <c r="U30" s="1"/>
      <c r="V30" s="1"/>
      <c r="W30" s="1"/>
      <c r="X30" s="1"/>
      <c r="Y30" s="1"/>
      <c r="Z30" s="1"/>
      <c r="AA30" s="1"/>
      <c r="AB30" s="1"/>
      <c r="AR30" s="3"/>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71"/>
      <c r="BX30" s="1"/>
      <c r="BY30" s="1"/>
    </row>
    <row r="31" spans="1:79" s="8" customFormat="1" ht="14.4" customHeight="1" x14ac:dyDescent="0.3">
      <c r="B31" s="1"/>
      <c r="C31" s="1"/>
      <c r="D31" s="1"/>
      <c r="E31" s="1"/>
      <c r="F31" s="1"/>
      <c r="G31" s="1"/>
      <c r="H31" s="1"/>
      <c r="I31" s="1"/>
      <c r="J31" s="1"/>
      <c r="K31" s="1"/>
      <c r="L31" s="1"/>
      <c r="M31" s="1"/>
      <c r="N31" s="1"/>
      <c r="O31" s="1"/>
      <c r="P31" s="1"/>
      <c r="Q31" s="1"/>
      <c r="R31" s="1"/>
      <c r="S31" s="1"/>
      <c r="T31" s="1"/>
      <c r="U31" s="1"/>
      <c r="V31" s="1"/>
      <c r="W31" s="1"/>
      <c r="X31" s="1"/>
      <c r="Y31" s="1"/>
      <c r="Z31" s="1"/>
      <c r="AA31" s="1"/>
      <c r="AB31" s="1"/>
      <c r="AF31" s="162" t="s">
        <v>1463</v>
      </c>
      <c r="AR31" s="3"/>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row>
    <row r="32" spans="1:79" s="8" customFormat="1" ht="14.4" customHeight="1" x14ac:dyDescent="0.3">
      <c r="B32" s="1"/>
      <c r="C32" s="1"/>
      <c r="D32" s="1"/>
      <c r="E32" s="1"/>
      <c r="F32" s="1"/>
      <c r="G32" s="1"/>
      <c r="H32" s="1"/>
      <c r="I32" s="1"/>
      <c r="J32" s="1"/>
      <c r="K32" s="1"/>
      <c r="L32" s="1"/>
      <c r="M32" s="1"/>
      <c r="N32" s="1"/>
      <c r="O32" s="1"/>
      <c r="P32" s="1"/>
      <c r="Q32" s="1"/>
      <c r="R32" s="1"/>
      <c r="S32" s="1"/>
      <c r="T32" s="1"/>
      <c r="U32" s="1"/>
      <c r="V32" s="1"/>
      <c r="W32" s="1"/>
      <c r="X32" s="1"/>
      <c r="Y32" s="1"/>
      <c r="Z32" s="1"/>
      <c r="AA32" s="1"/>
      <c r="AB32" s="1"/>
      <c r="AR32" s="3"/>
      <c r="AS32" s="5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row>
    <row r="33" spans="1:79" s="8" customFormat="1" ht="14.4" customHeight="1" x14ac:dyDescent="0.3">
      <c r="B33" s="231" t="s">
        <v>2136</v>
      </c>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R33" s="3"/>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row>
    <row r="34" spans="1:79" s="8" customFormat="1" ht="14.4" customHeight="1" x14ac:dyDescent="0.3">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R34" s="3"/>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71"/>
      <c r="BX34" s="1"/>
      <c r="BY34" s="1"/>
    </row>
    <row r="35" spans="1:79" s="8" customFormat="1" ht="14.4" customHeight="1" x14ac:dyDescent="0.3">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71" t="s">
        <v>1464</v>
      </c>
      <c r="AR35" s="3"/>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71"/>
      <c r="BX35" s="1"/>
      <c r="BY35" s="1"/>
    </row>
    <row r="36" spans="1:79" s="8" customFormat="1" ht="14.4" customHeight="1" x14ac:dyDescent="0.3">
      <c r="B36" s="54"/>
      <c r="AR36" s="3"/>
      <c r="AS36" s="5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71"/>
      <c r="BX36" s="1"/>
      <c r="BY36" s="1"/>
    </row>
    <row r="37" spans="1:79" s="8" customFormat="1" ht="14.4" customHeight="1" x14ac:dyDescent="0.3">
      <c r="A37" s="54"/>
      <c r="B37" s="51" t="s">
        <v>2025</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R37" s="3"/>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71"/>
      <c r="BX37" s="1"/>
      <c r="BY37" s="1"/>
    </row>
    <row r="38" spans="1:79" s="8" customFormat="1" ht="14.4" customHeight="1" x14ac:dyDescent="0.3">
      <c r="A38" s="5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R38" s="3"/>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71"/>
      <c r="BX38" s="1"/>
      <c r="BY38" s="1"/>
      <c r="BZ38"/>
      <c r="CA38"/>
    </row>
    <row r="39" spans="1:79" s="8" customFormat="1" ht="14.4" customHeight="1" x14ac:dyDescent="0.3">
      <c r="A39" s="5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71" t="s">
        <v>1465</v>
      </c>
      <c r="AR39" s="3"/>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71"/>
      <c r="BX39" s="1"/>
      <c r="BY39" s="1"/>
      <c r="BZ39"/>
      <c r="CA39"/>
    </row>
    <row r="40" spans="1:79" s="8" customFormat="1" ht="14.4" customHeight="1" x14ac:dyDescent="0.3">
      <c r="A40" s="54"/>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R40" s="3"/>
      <c r="AS40" s="5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71"/>
      <c r="BX40" s="1"/>
      <c r="BY40" s="1"/>
      <c r="BZ40"/>
      <c r="CA40"/>
    </row>
    <row r="41" spans="1:79" s="8" customFormat="1" ht="14.4" customHeight="1" x14ac:dyDescent="0.3">
      <c r="A41" s="54"/>
      <c r="B41" s="51" t="s">
        <v>2026</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R41" s="3"/>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71"/>
      <c r="BX41" s="1"/>
      <c r="BY41" s="1"/>
      <c r="BZ41"/>
      <c r="CA41"/>
    </row>
    <row r="42" spans="1:79" s="8" customFormat="1" ht="14.4" customHeight="1" x14ac:dyDescent="0.3">
      <c r="A42" s="54"/>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R42" s="3"/>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71"/>
      <c r="BX42" s="1"/>
      <c r="BY42" s="1"/>
      <c r="BZ42"/>
      <c r="CA42"/>
    </row>
    <row r="43" spans="1:79" s="8" customFormat="1" ht="14.4" customHeight="1" x14ac:dyDescent="0.3">
      <c r="A43" s="5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71" t="s">
        <v>1517</v>
      </c>
      <c r="AR43" s="3"/>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71"/>
      <c r="BX43" s="1"/>
      <c r="BY43" s="1"/>
      <c r="BZ43"/>
      <c r="CA43"/>
    </row>
    <row r="44" spans="1:79" s="8" customFormat="1" ht="14.4" customHeight="1" x14ac:dyDescent="0.3">
      <c r="A44" s="5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71"/>
      <c r="AR44" s="3"/>
      <c r="AS44" s="5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71"/>
      <c r="BX44" s="1"/>
      <c r="BY44" s="1"/>
      <c r="BZ44"/>
      <c r="CA44"/>
    </row>
    <row r="45" spans="1:79" s="8" customFormat="1" ht="14.4" customHeight="1" x14ac:dyDescent="0.3">
      <c r="A45" s="3"/>
      <c r="B45" s="51" t="s">
        <v>1606</v>
      </c>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c r="AG45" s="1"/>
      <c r="AR45" s="3"/>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71"/>
      <c r="BX45" s="1"/>
      <c r="BY45" s="1"/>
      <c r="BZ45"/>
      <c r="CA45"/>
    </row>
    <row r="46" spans="1:79" s="8" customFormat="1" x14ac:dyDescent="0.3">
      <c r="A46" s="3"/>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c r="AG46" s="1"/>
      <c r="AR46" s="3"/>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71"/>
      <c r="BX46" s="1"/>
      <c r="BY46" s="1"/>
      <c r="BZ46"/>
      <c r="CA46"/>
    </row>
    <row r="47" spans="1:79" s="8" customFormat="1" x14ac:dyDescent="0.3">
      <c r="A47" s="3"/>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t="s">
        <v>1556</v>
      </c>
      <c r="AG47" s="1"/>
      <c r="AR47" s="3"/>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71"/>
      <c r="BX47" s="1"/>
      <c r="BY47" s="1"/>
      <c r="BZ47" s="1"/>
      <c r="CA47" s="1"/>
    </row>
    <row r="48" spans="1:79" s="8" customFormat="1" x14ac:dyDescent="0.3">
      <c r="A48" s="3"/>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c r="AG48" s="1"/>
      <c r="AR48" s="3"/>
      <c r="AS48" s="5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71"/>
      <c r="BX48" s="1"/>
      <c r="BY48" s="1"/>
      <c r="BZ48" s="1"/>
      <c r="CA48" s="1"/>
    </row>
    <row r="49" spans="1:79" s="8" customFormat="1" ht="15.6" x14ac:dyDescent="0.3">
      <c r="A49" s="54"/>
      <c r="B49" s="51" t="s">
        <v>1944</v>
      </c>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c r="AG49" s="1"/>
      <c r="AR49" s="3"/>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71"/>
      <c r="BX49" s="1"/>
      <c r="BY49" s="1"/>
      <c r="BZ49"/>
      <c r="CA49"/>
    </row>
    <row r="50" spans="1:79" s="8" customFormat="1" ht="15.6" x14ac:dyDescent="0.3">
      <c r="A50" s="5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c r="AG50" s="1"/>
      <c r="AR50" s="3"/>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71"/>
      <c r="BX50" s="1"/>
      <c r="BY50" s="1"/>
      <c r="BZ50"/>
      <c r="CA50"/>
    </row>
    <row r="51" spans="1:79" s="8" customFormat="1" ht="15.6" x14ac:dyDescent="0.3">
      <c r="A51" s="5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t="s">
        <v>1558</v>
      </c>
      <c r="AG51" s="1"/>
      <c r="AR51" s="3"/>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71"/>
      <c r="BX51" s="1"/>
      <c r="BY51" s="1"/>
      <c r="BZ51"/>
      <c r="CA51"/>
    </row>
    <row r="52" spans="1:79" s="8" customFormat="1" ht="15.6" x14ac:dyDescent="0.3">
      <c r="A52" s="5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c r="AG52" s="1"/>
      <c r="AR52" s="3"/>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71"/>
      <c r="BX52" s="1"/>
      <c r="BY52" s="1"/>
      <c r="BZ52"/>
      <c r="CA52"/>
    </row>
    <row r="53" spans="1:79" s="8" customFormat="1" ht="15.6" x14ac:dyDescent="0.3">
      <c r="A53" s="54"/>
      <c r="B53" s="51" t="s">
        <v>1604</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c r="AG53" s="1"/>
      <c r="AR53" s="3"/>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71"/>
      <c r="BX53" s="1"/>
      <c r="BY53" s="1"/>
      <c r="BZ53"/>
      <c r="CA53"/>
    </row>
    <row r="54" spans="1:79" s="8" customFormat="1" ht="15.6" x14ac:dyDescent="0.3">
      <c r="A54" s="5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c r="AG54" s="1"/>
      <c r="AR54" s="3"/>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71"/>
      <c r="BX54" s="1"/>
      <c r="BY54" s="1"/>
      <c r="BZ54"/>
      <c r="CA54"/>
    </row>
    <row r="55" spans="1:79" s="8" customFormat="1" ht="15.6" x14ac:dyDescent="0.3">
      <c r="A55" s="5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t="s">
        <v>1607</v>
      </c>
      <c r="AG55" s="1"/>
      <c r="AR55" s="3"/>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71"/>
      <c r="BX55" s="1"/>
      <c r="BY55" s="1"/>
      <c r="BZ55"/>
      <c r="CA55"/>
    </row>
    <row r="56" spans="1:79" s="8" customFormat="1" ht="15.6" x14ac:dyDescent="0.3">
      <c r="A56" s="5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71"/>
      <c r="AG56" s="1"/>
      <c r="AR56" s="3"/>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71"/>
      <c r="BX56" s="1"/>
      <c r="BY56" s="1"/>
      <c r="BZ56"/>
      <c r="CA56"/>
    </row>
    <row r="57" spans="1:79" s="8" customFormat="1" ht="15.6" x14ac:dyDescent="0.3">
      <c r="A57" s="54"/>
      <c r="B57" s="51" t="s">
        <v>1945</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71"/>
      <c r="AG57" s="1"/>
      <c r="AR57" s="3"/>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71"/>
      <c r="BX57" s="1"/>
      <c r="BY57" s="1"/>
      <c r="BZ57"/>
      <c r="CA57"/>
    </row>
    <row r="58" spans="1:79" s="8" customFormat="1" ht="15.6" x14ac:dyDescent="0.3">
      <c r="A58" s="5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71"/>
      <c r="AG58" s="1"/>
      <c r="AR58" s="3"/>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71"/>
      <c r="BX58" s="1"/>
      <c r="BY58" s="1"/>
      <c r="BZ58"/>
      <c r="CA58"/>
    </row>
    <row r="59" spans="1:79" s="8" customFormat="1" ht="15.6" x14ac:dyDescent="0.3">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71" t="s">
        <v>1608</v>
      </c>
      <c r="AG59" s="1"/>
      <c r="AR59" s="3"/>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71"/>
      <c r="BX59" s="1"/>
      <c r="BY59" s="1"/>
      <c r="BZ59"/>
      <c r="CA59"/>
    </row>
    <row r="60" spans="1:79" s="8" customFormat="1" ht="15.6" x14ac:dyDescent="0.3">
      <c r="A60" s="5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71"/>
      <c r="AG60" s="1"/>
      <c r="AR60" s="3"/>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71"/>
      <c r="BX60" s="1"/>
      <c r="BY60" s="1"/>
      <c r="BZ60"/>
      <c r="CA60"/>
    </row>
    <row r="61" spans="1:79" s="8" customFormat="1" ht="15.6" x14ac:dyDescent="0.3">
      <c r="A61" s="5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71" t="s">
        <v>1946</v>
      </c>
      <c r="AG61" s="1"/>
      <c r="AR61" s="3"/>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71"/>
      <c r="BX61" s="1"/>
      <c r="BY61" s="1"/>
      <c r="BZ61"/>
      <c r="CA61"/>
    </row>
    <row r="62" spans="1:79" s="8" customFormat="1" ht="15.6" x14ac:dyDescent="0.3">
      <c r="A62" s="5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71"/>
      <c r="AG62" s="1"/>
      <c r="AR62" s="3"/>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71"/>
      <c r="BX62" s="1"/>
      <c r="BY62" s="1"/>
      <c r="BZ62"/>
      <c r="CA62"/>
    </row>
    <row r="63" spans="1:79" s="8" customFormat="1" ht="15.6" x14ac:dyDescent="0.3">
      <c r="A63" s="54"/>
      <c r="B63" s="51" t="s">
        <v>1947</v>
      </c>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71"/>
      <c r="AG63" s="1"/>
      <c r="AR63" s="3"/>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71"/>
      <c r="BX63" s="1"/>
      <c r="BY63" s="1"/>
      <c r="BZ63"/>
      <c r="CA63"/>
    </row>
    <row r="64" spans="1:79" s="8" customFormat="1" ht="15.6" x14ac:dyDescent="0.3">
      <c r="A64" s="5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71"/>
      <c r="AG64" s="1"/>
      <c r="AR64" s="3"/>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71"/>
      <c r="BX64" s="1"/>
      <c r="BY64" s="1"/>
      <c r="BZ64"/>
      <c r="CA64"/>
    </row>
    <row r="65" spans="1:79" s="8" customFormat="1" ht="15.6" x14ac:dyDescent="0.3">
      <c r="A65" s="5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71" t="s">
        <v>1948</v>
      </c>
      <c r="AG65" s="1"/>
      <c r="AR65" s="3"/>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71"/>
      <c r="BX65" s="1"/>
      <c r="BY65" s="1"/>
      <c r="BZ65"/>
      <c r="CA65"/>
    </row>
    <row r="66" spans="1:79" s="8" customFormat="1" ht="15.6" x14ac:dyDescent="0.3">
      <c r="A66" s="5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71"/>
      <c r="AG66" s="1"/>
      <c r="AR66" s="3"/>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71"/>
      <c r="BX66" s="1"/>
      <c r="BY66" s="1"/>
      <c r="BZ66"/>
      <c r="CA66"/>
    </row>
    <row r="67" spans="1:79" s="8" customFormat="1" ht="15.6" x14ac:dyDescent="0.3">
      <c r="A67" s="5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71" t="s">
        <v>1949</v>
      </c>
      <c r="AG67" s="1"/>
      <c r="AR67" s="3"/>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71"/>
      <c r="BX67" s="1"/>
      <c r="BY67" s="1"/>
      <c r="BZ67"/>
      <c r="CA67"/>
    </row>
    <row r="68" spans="1:79" s="8" customFormat="1" x14ac:dyDescent="0.3">
      <c r="B68" s="162"/>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row>
    <row r="69" spans="1:79" s="8" customFormat="1" x14ac:dyDescent="0.3">
      <c r="A69" s="1141" t="s">
        <v>8</v>
      </c>
      <c r="B69" s="1141"/>
      <c r="C69" s="1141"/>
      <c r="D69" s="1141"/>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row>
    <row r="70" spans="1:79" x14ac:dyDescent="0.3">
      <c r="A70" s="1143" t="s">
        <v>9</v>
      </c>
      <c r="B70" s="1143"/>
      <c r="C70" s="1143"/>
      <c r="D70" s="1143"/>
      <c r="E70" s="1143" t="s">
        <v>3</v>
      </c>
      <c r="F70" s="1143"/>
      <c r="G70" s="1143"/>
      <c r="H70" s="1143"/>
      <c r="I70" s="1143"/>
      <c r="J70" s="1143"/>
      <c r="K70" s="1143"/>
      <c r="L70" s="1143"/>
      <c r="M70" s="1143"/>
      <c r="N70" s="1143"/>
      <c r="O70" s="1143"/>
      <c r="P70" s="1143"/>
      <c r="Q70" s="1143" t="s">
        <v>10</v>
      </c>
      <c r="R70" s="1143"/>
      <c r="S70" s="1143"/>
      <c r="T70" s="1143"/>
      <c r="U70" s="1143" t="s">
        <v>11</v>
      </c>
      <c r="V70" s="1143"/>
      <c r="W70" s="1143"/>
      <c r="X70" s="1143" t="s">
        <v>1466</v>
      </c>
      <c r="Y70" s="1143"/>
      <c r="Z70" s="1143"/>
      <c r="AA70" s="1143"/>
      <c r="AB70" s="1143"/>
      <c r="AC70" s="1143"/>
      <c r="AD70" s="1143"/>
      <c r="AE70" s="1143"/>
      <c r="AF70" s="1143"/>
      <c r="AG70" s="8"/>
    </row>
    <row r="71" spans="1:79" ht="78" customHeight="1" x14ac:dyDescent="0.3">
      <c r="A71" s="1154" t="s">
        <v>1519</v>
      </c>
      <c r="B71" s="1155" t="s">
        <v>272</v>
      </c>
      <c r="C71" s="1155" t="s">
        <v>272</v>
      </c>
      <c r="D71" s="1156" t="s">
        <v>272</v>
      </c>
      <c r="E71" s="2136" t="s">
        <v>1583</v>
      </c>
      <c r="F71" s="2136" t="s">
        <v>232</v>
      </c>
      <c r="G71" s="2136" t="s">
        <v>232</v>
      </c>
      <c r="H71" s="2136" t="s">
        <v>232</v>
      </c>
      <c r="I71" s="2136" t="s">
        <v>232</v>
      </c>
      <c r="J71" s="2136" t="s">
        <v>232</v>
      </c>
      <c r="K71" s="2136" t="s">
        <v>232</v>
      </c>
      <c r="L71" s="2136" t="s">
        <v>232</v>
      </c>
      <c r="M71" s="2136" t="s">
        <v>232</v>
      </c>
      <c r="N71" s="2136" t="s">
        <v>232</v>
      </c>
      <c r="O71" s="2136" t="s">
        <v>232</v>
      </c>
      <c r="P71" s="2136" t="s">
        <v>232</v>
      </c>
      <c r="Q71" s="2311" t="s">
        <v>304</v>
      </c>
      <c r="R71" s="2311"/>
      <c r="S71" s="2311"/>
      <c r="T71" s="2311"/>
      <c r="U71" s="1275" t="s">
        <v>18</v>
      </c>
      <c r="V71" s="1275"/>
      <c r="W71" s="1275"/>
      <c r="X71" s="856" t="s">
        <v>1980</v>
      </c>
      <c r="Y71" s="856"/>
      <c r="Z71" s="856"/>
      <c r="AA71" s="856"/>
      <c r="AB71" s="856"/>
      <c r="AC71" s="856"/>
      <c r="AD71" s="856"/>
      <c r="AE71" s="856"/>
      <c r="AF71" s="856"/>
      <c r="AG71" s="8"/>
    </row>
    <row r="72" spans="1:79" ht="70.5" customHeight="1" x14ac:dyDescent="0.3">
      <c r="A72" s="1154" t="s">
        <v>1520</v>
      </c>
      <c r="B72" s="1155" t="s">
        <v>272</v>
      </c>
      <c r="C72" s="1155" t="s">
        <v>272</v>
      </c>
      <c r="D72" s="1156" t="s">
        <v>272</v>
      </c>
      <c r="E72" s="2136" t="s">
        <v>1584</v>
      </c>
      <c r="F72" s="2136" t="s">
        <v>233</v>
      </c>
      <c r="G72" s="2136" t="s">
        <v>233</v>
      </c>
      <c r="H72" s="2136" t="s">
        <v>233</v>
      </c>
      <c r="I72" s="2136" t="s">
        <v>233</v>
      </c>
      <c r="J72" s="2136" t="s">
        <v>233</v>
      </c>
      <c r="K72" s="2136" t="s">
        <v>233</v>
      </c>
      <c r="L72" s="2136" t="s">
        <v>233</v>
      </c>
      <c r="M72" s="2136" t="s">
        <v>233</v>
      </c>
      <c r="N72" s="2136" t="s">
        <v>233</v>
      </c>
      <c r="O72" s="2136" t="s">
        <v>233</v>
      </c>
      <c r="P72" s="2136" t="s">
        <v>233</v>
      </c>
      <c r="Q72" s="2311" t="s">
        <v>304</v>
      </c>
      <c r="R72" s="2311"/>
      <c r="S72" s="2311"/>
      <c r="T72" s="2311"/>
      <c r="U72" s="1275" t="s">
        <v>18</v>
      </c>
      <c r="V72" s="1275"/>
      <c r="W72" s="1275"/>
      <c r="X72" s="856" t="s">
        <v>1981</v>
      </c>
      <c r="Y72" s="856"/>
      <c r="Z72" s="856"/>
      <c r="AA72" s="856"/>
      <c r="AB72" s="856"/>
      <c r="AC72" s="856"/>
      <c r="AD72" s="856"/>
      <c r="AE72" s="856"/>
      <c r="AF72" s="856"/>
      <c r="AG72" s="8"/>
    </row>
    <row r="73" spans="1:79" ht="80.25" customHeight="1" x14ac:dyDescent="0.3">
      <c r="A73" s="1154" t="s">
        <v>1950</v>
      </c>
      <c r="B73" s="1155" t="s">
        <v>518</v>
      </c>
      <c r="C73" s="1155" t="s">
        <v>518</v>
      </c>
      <c r="D73" s="1156" t="s">
        <v>518</v>
      </c>
      <c r="E73" s="2136" t="s">
        <v>833</v>
      </c>
      <c r="F73" s="2136" t="s">
        <v>233</v>
      </c>
      <c r="G73" s="2136" t="s">
        <v>233</v>
      </c>
      <c r="H73" s="2136" t="s">
        <v>233</v>
      </c>
      <c r="I73" s="2136" t="s">
        <v>233</v>
      </c>
      <c r="J73" s="2136" t="s">
        <v>233</v>
      </c>
      <c r="K73" s="2136" t="s">
        <v>233</v>
      </c>
      <c r="L73" s="2136" t="s">
        <v>233</v>
      </c>
      <c r="M73" s="2136" t="s">
        <v>233</v>
      </c>
      <c r="N73" s="2136" t="s">
        <v>233</v>
      </c>
      <c r="O73" s="2136" t="s">
        <v>233</v>
      </c>
      <c r="P73" s="2136" t="s">
        <v>233</v>
      </c>
      <c r="Q73" s="2311" t="s">
        <v>304</v>
      </c>
      <c r="R73" s="2311"/>
      <c r="S73" s="2311"/>
      <c r="T73" s="2311"/>
      <c r="U73" s="1275" t="s">
        <v>18</v>
      </c>
      <c r="V73" s="1275"/>
      <c r="W73" s="1275"/>
      <c r="X73" s="856" t="s">
        <v>2967</v>
      </c>
      <c r="Y73" s="856"/>
      <c r="Z73" s="856"/>
      <c r="AA73" s="856"/>
      <c r="AB73" s="856"/>
      <c r="AC73" s="856"/>
      <c r="AD73" s="856"/>
      <c r="AE73" s="856"/>
      <c r="AF73" s="856"/>
      <c r="AG73" s="8"/>
    </row>
    <row r="74" spans="1:79" ht="31.5" customHeight="1" x14ac:dyDescent="0.3">
      <c r="A74" s="1154" t="s">
        <v>1522</v>
      </c>
      <c r="B74" s="1155"/>
      <c r="C74" s="1155"/>
      <c r="D74" s="1156"/>
      <c r="E74" s="2136" t="s">
        <v>1845</v>
      </c>
      <c r="F74" s="2136"/>
      <c r="G74" s="2136"/>
      <c r="H74" s="2136"/>
      <c r="I74" s="2136"/>
      <c r="J74" s="2136"/>
      <c r="K74" s="2136"/>
      <c r="L74" s="2136"/>
      <c r="M74" s="2136"/>
      <c r="N74" s="2136"/>
      <c r="O74" s="2136"/>
      <c r="P74" s="2136"/>
      <c r="Q74" s="2310">
        <v>1</v>
      </c>
      <c r="R74" s="2310"/>
      <c r="S74" s="2310"/>
      <c r="T74" s="2310"/>
      <c r="U74" s="2146" t="s">
        <v>20</v>
      </c>
      <c r="V74" s="1275"/>
      <c r="W74" s="1275"/>
      <c r="X74" s="856" t="s">
        <v>1518</v>
      </c>
      <c r="Y74" s="856"/>
      <c r="Z74" s="856"/>
      <c r="AA74" s="856"/>
      <c r="AB74" s="856"/>
      <c r="AC74" s="856"/>
      <c r="AD74" s="856"/>
      <c r="AE74" s="856"/>
      <c r="AF74" s="856"/>
      <c r="AG74" s="8"/>
    </row>
    <row r="75" spans="1:79" ht="69" customHeight="1" x14ac:dyDescent="0.3">
      <c r="A75" s="1154" t="s">
        <v>21</v>
      </c>
      <c r="B75" s="1155"/>
      <c r="C75" s="1155"/>
      <c r="D75" s="1156"/>
      <c r="E75" s="2136" t="s">
        <v>1460</v>
      </c>
      <c r="F75" s="2136"/>
      <c r="G75" s="2136"/>
      <c r="H75" s="2136"/>
      <c r="I75" s="2136"/>
      <c r="J75" s="2136"/>
      <c r="K75" s="2136"/>
      <c r="L75" s="2136"/>
      <c r="M75" s="2136"/>
      <c r="N75" s="2136"/>
      <c r="O75" s="2136"/>
      <c r="P75" s="2136"/>
      <c r="Q75" s="2310">
        <f>C_Light_General!$AD$126*$Q$76/C_Light_General!$O$170</f>
        <v>0.88457023060796658</v>
      </c>
      <c r="R75" s="2310"/>
      <c r="S75" s="2310"/>
      <c r="T75" s="2310"/>
      <c r="U75" s="2146" t="s">
        <v>20</v>
      </c>
      <c r="V75" s="1275"/>
      <c r="W75" s="1275"/>
      <c r="X75" s="856" t="s">
        <v>1963</v>
      </c>
      <c r="Y75" s="856"/>
      <c r="Z75" s="856"/>
      <c r="AA75" s="856"/>
      <c r="AB75" s="856"/>
      <c r="AC75" s="856"/>
      <c r="AD75" s="856"/>
      <c r="AE75" s="856"/>
      <c r="AF75" s="856"/>
      <c r="AG75" s="8"/>
    </row>
    <row r="76" spans="1:79" ht="29.1" customHeight="1" x14ac:dyDescent="0.3">
      <c r="A76" s="1154" t="s">
        <v>1957</v>
      </c>
      <c r="B76" s="1155"/>
      <c r="C76" s="1155"/>
      <c r="D76" s="1156"/>
      <c r="E76" s="2136" t="s">
        <v>1596</v>
      </c>
      <c r="F76" s="2136"/>
      <c r="G76" s="2136"/>
      <c r="H76" s="2136"/>
      <c r="I76" s="2136"/>
      <c r="J76" s="2136"/>
      <c r="K76" s="2136"/>
      <c r="L76" s="2136"/>
      <c r="M76" s="2136"/>
      <c r="N76" s="2136"/>
      <c r="O76" s="2136"/>
      <c r="P76" s="2136"/>
      <c r="Q76" s="2312">
        <v>6205</v>
      </c>
      <c r="R76" s="2312"/>
      <c r="S76" s="2312"/>
      <c r="T76" s="2312"/>
      <c r="U76" s="1275" t="s">
        <v>1597</v>
      </c>
      <c r="V76" s="1275"/>
      <c r="W76" s="1275"/>
      <c r="X76" s="856" t="s">
        <v>1964</v>
      </c>
      <c r="Y76" s="856"/>
      <c r="Z76" s="856"/>
      <c r="AA76" s="856"/>
      <c r="AB76" s="856"/>
      <c r="AC76" s="856"/>
      <c r="AD76" s="856"/>
      <c r="AE76" s="856"/>
      <c r="AF76" s="856"/>
      <c r="AG76" s="8"/>
    </row>
    <row r="77" spans="1:79" ht="29.1" customHeight="1" x14ac:dyDescent="0.3">
      <c r="A77" s="1154" t="s">
        <v>34</v>
      </c>
      <c r="B77" s="1155" t="s">
        <v>34</v>
      </c>
      <c r="C77" s="1155" t="s">
        <v>34</v>
      </c>
      <c r="D77" s="1156" t="s">
        <v>34</v>
      </c>
      <c r="E77" s="2136" t="s">
        <v>644</v>
      </c>
      <c r="F77" s="2136" t="s">
        <v>234</v>
      </c>
      <c r="G77" s="2136" t="s">
        <v>234</v>
      </c>
      <c r="H77" s="2136" t="s">
        <v>234</v>
      </c>
      <c r="I77" s="2136" t="s">
        <v>234</v>
      </c>
      <c r="J77" s="2136" t="s">
        <v>234</v>
      </c>
      <c r="K77" s="2136" t="s">
        <v>234</v>
      </c>
      <c r="L77" s="2136" t="s">
        <v>234</v>
      </c>
      <c r="M77" s="2136" t="s">
        <v>234</v>
      </c>
      <c r="N77" s="2136" t="s">
        <v>234</v>
      </c>
      <c r="O77" s="2136" t="s">
        <v>234</v>
      </c>
      <c r="P77" s="2136" t="s">
        <v>234</v>
      </c>
      <c r="Q77" s="2310">
        <v>1</v>
      </c>
      <c r="R77" s="2310"/>
      <c r="S77" s="2310"/>
      <c r="T77" s="2310"/>
      <c r="U77" s="2146" t="s">
        <v>20</v>
      </c>
      <c r="V77" s="1275"/>
      <c r="W77" s="1275"/>
      <c r="X77" s="856" t="s">
        <v>1600</v>
      </c>
      <c r="Y77" s="856"/>
      <c r="Z77" s="856"/>
      <c r="AA77" s="856"/>
      <c r="AB77" s="856"/>
      <c r="AC77" s="856"/>
      <c r="AD77" s="856"/>
      <c r="AE77" s="856"/>
      <c r="AF77" s="856"/>
      <c r="AG77" s="8"/>
    </row>
    <row r="78" spans="1:79" ht="48" customHeight="1" x14ac:dyDescent="0.3">
      <c r="A78" s="1154" t="s">
        <v>1958</v>
      </c>
      <c r="B78" s="1155"/>
      <c r="C78" s="1155"/>
      <c r="D78" s="1156"/>
      <c r="E78" s="2136" t="s">
        <v>1953</v>
      </c>
      <c r="F78" s="2136"/>
      <c r="G78" s="2136"/>
      <c r="H78" s="2136"/>
      <c r="I78" s="2136"/>
      <c r="J78" s="2136"/>
      <c r="K78" s="2136"/>
      <c r="L78" s="2136"/>
      <c r="M78" s="2136"/>
      <c r="N78" s="2136"/>
      <c r="O78" s="2136"/>
      <c r="P78" s="2136"/>
      <c r="Q78" s="2310">
        <f>($Q$80-1)*0.5</f>
        <v>4.500000000000004E-2</v>
      </c>
      <c r="R78" s="2310"/>
      <c r="S78" s="2310"/>
      <c r="T78" s="2310"/>
      <c r="U78" s="2146" t="s">
        <v>20</v>
      </c>
      <c r="V78" s="1275"/>
      <c r="W78" s="1275"/>
      <c r="X78" s="856" t="s">
        <v>1969</v>
      </c>
      <c r="Y78" s="856"/>
      <c r="Z78" s="856"/>
      <c r="AA78" s="856"/>
      <c r="AB78" s="856"/>
      <c r="AC78" s="856"/>
      <c r="AD78" s="856"/>
      <c r="AE78" s="856"/>
      <c r="AF78" s="856"/>
      <c r="AG78" s="8"/>
    </row>
    <row r="79" spans="1:79" ht="48" customHeight="1" x14ac:dyDescent="0.3">
      <c r="A79" s="1154" t="s">
        <v>1959</v>
      </c>
      <c r="B79" s="1155"/>
      <c r="C79" s="1155"/>
      <c r="D79" s="1156"/>
      <c r="E79" s="2136" t="s">
        <v>1966</v>
      </c>
      <c r="F79" s="2136"/>
      <c r="G79" s="2136"/>
      <c r="H79" s="2136"/>
      <c r="I79" s="2136"/>
      <c r="J79" s="2136"/>
      <c r="K79" s="2136"/>
      <c r="L79" s="2136"/>
      <c r="M79" s="2136"/>
      <c r="N79" s="2136"/>
      <c r="O79" s="2136"/>
      <c r="P79" s="2136"/>
      <c r="Q79" s="2310">
        <f>($Q$81-1)*0.5</f>
        <v>6.9999999999999951E-2</v>
      </c>
      <c r="R79" s="2310"/>
      <c r="S79" s="2310"/>
      <c r="T79" s="2310"/>
      <c r="U79" s="2146" t="s">
        <v>20</v>
      </c>
      <c r="V79" s="1275"/>
      <c r="W79" s="1275"/>
      <c r="X79" s="856" t="s">
        <v>1970</v>
      </c>
      <c r="Y79" s="856"/>
      <c r="Z79" s="856"/>
      <c r="AA79" s="856"/>
      <c r="AB79" s="856"/>
      <c r="AC79" s="856"/>
      <c r="AD79" s="856"/>
      <c r="AE79" s="856"/>
      <c r="AF79" s="856"/>
      <c r="AG79" s="8"/>
    </row>
    <row r="80" spans="1:79" ht="48.75" customHeight="1" x14ac:dyDescent="0.3">
      <c r="A80" s="1154" t="s">
        <v>1528</v>
      </c>
      <c r="B80" s="1155"/>
      <c r="C80" s="1155"/>
      <c r="D80" s="1156"/>
      <c r="E80" s="2136" t="s">
        <v>1531</v>
      </c>
      <c r="F80" s="2136"/>
      <c r="G80" s="2136"/>
      <c r="H80" s="2136"/>
      <c r="I80" s="2136"/>
      <c r="J80" s="2136"/>
      <c r="K80" s="2136"/>
      <c r="L80" s="2136"/>
      <c r="M80" s="2136"/>
      <c r="N80" s="2136"/>
      <c r="O80" s="2136"/>
      <c r="P80" s="2136"/>
      <c r="Q80" s="2310">
        <f>C_Light_General!$Z$149</f>
        <v>1.0900000000000001</v>
      </c>
      <c r="R80" s="2310"/>
      <c r="S80" s="2310"/>
      <c r="T80" s="2310"/>
      <c r="U80" s="2146" t="s">
        <v>20</v>
      </c>
      <c r="V80" s="1275"/>
      <c r="W80" s="1275"/>
      <c r="X80" s="856" t="s">
        <v>1968</v>
      </c>
      <c r="Y80" s="856"/>
      <c r="Z80" s="856"/>
      <c r="AA80" s="856"/>
      <c r="AB80" s="856"/>
      <c r="AC80" s="856"/>
      <c r="AD80" s="856"/>
      <c r="AE80" s="856"/>
      <c r="AF80" s="856"/>
      <c r="AG80" s="8"/>
    </row>
    <row r="81" spans="1:79" ht="44.25" customHeight="1" x14ac:dyDescent="0.3">
      <c r="A81" s="1154" t="s">
        <v>1529</v>
      </c>
      <c r="B81" s="1155"/>
      <c r="C81" s="1155"/>
      <c r="D81" s="1156"/>
      <c r="E81" s="2136" t="s">
        <v>1530</v>
      </c>
      <c r="F81" s="2136"/>
      <c r="G81" s="2136"/>
      <c r="H81" s="2136"/>
      <c r="I81" s="2136"/>
      <c r="J81" s="2136"/>
      <c r="K81" s="2136"/>
      <c r="L81" s="2136"/>
      <c r="M81" s="2136"/>
      <c r="N81" s="2136"/>
      <c r="O81" s="2136"/>
      <c r="P81" s="2136"/>
      <c r="Q81" s="2310">
        <f>C_Light_General!$AD$149</f>
        <v>1.1399999999999999</v>
      </c>
      <c r="R81" s="2310"/>
      <c r="S81" s="2310"/>
      <c r="T81" s="2310"/>
      <c r="U81" s="2146" t="s">
        <v>20</v>
      </c>
      <c r="V81" s="1275"/>
      <c r="W81" s="1275"/>
      <c r="X81" s="856" t="s">
        <v>1968</v>
      </c>
      <c r="Y81" s="856"/>
      <c r="Z81" s="856"/>
      <c r="AA81" s="856"/>
      <c r="AB81" s="856"/>
      <c r="AC81" s="856"/>
      <c r="AD81" s="856"/>
      <c r="AE81" s="856"/>
      <c r="AF81" s="856"/>
      <c r="AG81" s="8"/>
    </row>
    <row r="82" spans="1:79" ht="47.25" customHeight="1" x14ac:dyDescent="0.3">
      <c r="A82" s="1154" t="s">
        <v>1960</v>
      </c>
      <c r="B82" s="1155"/>
      <c r="C82" s="1155"/>
      <c r="D82" s="1156"/>
      <c r="E82" s="2136" t="s">
        <v>1954</v>
      </c>
      <c r="F82" s="2136"/>
      <c r="G82" s="2136"/>
      <c r="H82" s="2136"/>
      <c r="I82" s="2136"/>
      <c r="J82" s="2136"/>
      <c r="K82" s="2136"/>
      <c r="L82" s="2136"/>
      <c r="M82" s="2136"/>
      <c r="N82" s="2136"/>
      <c r="O82" s="2136"/>
      <c r="P82" s="2136"/>
      <c r="Q82" s="2310" t="s">
        <v>864</v>
      </c>
      <c r="R82" s="2310"/>
      <c r="S82" s="2310"/>
      <c r="T82" s="2310"/>
      <c r="U82" s="2146" t="s">
        <v>20</v>
      </c>
      <c r="V82" s="1275"/>
      <c r="W82" s="1275"/>
      <c r="X82" s="856" t="s">
        <v>1971</v>
      </c>
      <c r="Y82" s="856"/>
      <c r="Z82" s="856"/>
      <c r="AA82" s="856"/>
      <c r="AB82" s="856"/>
      <c r="AC82" s="856"/>
      <c r="AD82" s="856"/>
      <c r="AE82" s="856"/>
      <c r="AF82" s="856"/>
      <c r="AG82" s="8"/>
    </row>
    <row r="83" spans="1:79" ht="45.75" customHeight="1" x14ac:dyDescent="0.3">
      <c r="A83" s="1154" t="s">
        <v>1961</v>
      </c>
      <c r="B83" s="1155"/>
      <c r="C83" s="1155"/>
      <c r="D83" s="1156"/>
      <c r="E83" s="2136" t="s">
        <v>1967</v>
      </c>
      <c r="F83" s="2136"/>
      <c r="G83" s="2136"/>
      <c r="H83" s="2136"/>
      <c r="I83" s="2136"/>
      <c r="J83" s="2136"/>
      <c r="K83" s="2136"/>
      <c r="L83" s="2136"/>
      <c r="M83" s="2136"/>
      <c r="N83" s="2136"/>
      <c r="O83" s="2136"/>
      <c r="P83" s="2136"/>
      <c r="Q83" s="2310" t="s">
        <v>864</v>
      </c>
      <c r="R83" s="2310"/>
      <c r="S83" s="2310"/>
      <c r="T83" s="2310"/>
      <c r="U83" s="2146" t="s">
        <v>20</v>
      </c>
      <c r="V83" s="1275"/>
      <c r="W83" s="1275"/>
      <c r="X83" s="856" t="s">
        <v>1972</v>
      </c>
      <c r="Y83" s="856"/>
      <c r="Z83" s="856"/>
      <c r="AA83" s="856"/>
      <c r="AB83" s="856"/>
      <c r="AC83" s="856"/>
      <c r="AD83" s="856"/>
      <c r="AE83" s="856"/>
      <c r="AF83" s="856"/>
      <c r="AG83" s="8"/>
    </row>
    <row r="84" spans="1:79" ht="33.75" customHeight="1" x14ac:dyDescent="0.3">
      <c r="A84" s="1154" t="s">
        <v>1951</v>
      </c>
      <c r="B84" s="1155"/>
      <c r="C84" s="1155"/>
      <c r="D84" s="1156"/>
      <c r="E84" s="2136" t="s">
        <v>1955</v>
      </c>
      <c r="F84" s="2136"/>
      <c r="G84" s="2136"/>
      <c r="H84" s="2136"/>
      <c r="I84" s="2136"/>
      <c r="J84" s="2136"/>
      <c r="K84" s="2136"/>
      <c r="L84" s="2136"/>
      <c r="M84" s="2136"/>
      <c r="N84" s="2136"/>
      <c r="O84" s="2136"/>
      <c r="P84" s="2136"/>
      <c r="Q84" s="2310" t="s">
        <v>864</v>
      </c>
      <c r="R84" s="2310"/>
      <c r="S84" s="2310"/>
      <c r="T84" s="2310"/>
      <c r="U84" s="2313" t="s">
        <v>1956</v>
      </c>
      <c r="V84" s="1586"/>
      <c r="W84" s="1586"/>
      <c r="X84" s="856" t="s">
        <v>1973</v>
      </c>
      <c r="Y84" s="856"/>
      <c r="Z84" s="856"/>
      <c r="AA84" s="856"/>
      <c r="AB84" s="856"/>
      <c r="AC84" s="856"/>
      <c r="AD84" s="856"/>
      <c r="AE84" s="856"/>
      <c r="AF84" s="856"/>
      <c r="AG84" s="8"/>
    </row>
    <row r="85" spans="1:79" ht="53.25" customHeight="1" x14ac:dyDescent="0.3">
      <c r="A85" s="1154" t="s">
        <v>1611</v>
      </c>
      <c r="B85" s="1155" t="s">
        <v>26</v>
      </c>
      <c r="C85" s="1155" t="s">
        <v>26</v>
      </c>
      <c r="D85" s="1156" t="s">
        <v>26</v>
      </c>
      <c r="E85" s="2136" t="s">
        <v>1615</v>
      </c>
      <c r="F85" s="2136"/>
      <c r="G85" s="2136"/>
      <c r="H85" s="2136"/>
      <c r="I85" s="2136"/>
      <c r="J85" s="2136"/>
      <c r="K85" s="2136"/>
      <c r="L85" s="2136"/>
      <c r="M85" s="2136"/>
      <c r="N85" s="2136"/>
      <c r="O85" s="2136"/>
      <c r="P85" s="2136"/>
      <c r="Q85" s="2311">
        <f>ROUND(Q86/3,0)</f>
        <v>1</v>
      </c>
      <c r="R85" s="2311"/>
      <c r="S85" s="2311"/>
      <c r="T85" s="2311"/>
      <c r="U85" s="2146" t="s">
        <v>38</v>
      </c>
      <c r="V85" s="1275"/>
      <c r="W85" s="1275"/>
      <c r="X85" s="856" t="s">
        <v>1974</v>
      </c>
      <c r="Y85" s="856"/>
      <c r="Z85" s="856"/>
      <c r="AA85" s="856"/>
      <c r="AB85" s="856"/>
      <c r="AC85" s="856"/>
      <c r="AD85" s="856"/>
      <c r="AE85" s="856"/>
      <c r="AF85" s="856"/>
      <c r="AG85" s="8"/>
    </row>
    <row r="86" spans="1:79" ht="29.1" customHeight="1" x14ac:dyDescent="0.3">
      <c r="A86" s="1154" t="s">
        <v>1952</v>
      </c>
      <c r="B86" s="1155" t="s">
        <v>26</v>
      </c>
      <c r="C86" s="1155" t="s">
        <v>26</v>
      </c>
      <c r="D86" s="1156" t="s">
        <v>26</v>
      </c>
      <c r="E86" s="2136" t="s">
        <v>1616</v>
      </c>
      <c r="F86" s="2136"/>
      <c r="G86" s="2136"/>
      <c r="H86" s="2136"/>
      <c r="I86" s="2136"/>
      <c r="J86" s="2136"/>
      <c r="K86" s="2136"/>
      <c r="L86" s="2136"/>
      <c r="M86" s="2136"/>
      <c r="N86" s="2136"/>
      <c r="O86" s="2136"/>
      <c r="P86" s="2136"/>
      <c r="Q86" s="2311">
        <f>ROUND(24000/$Q$76,0)</f>
        <v>4</v>
      </c>
      <c r="R86" s="2311"/>
      <c r="S86" s="2311"/>
      <c r="T86" s="2311"/>
      <c r="U86" s="2146" t="s">
        <v>38</v>
      </c>
      <c r="V86" s="1275"/>
      <c r="W86" s="1275"/>
      <c r="X86" s="856" t="s">
        <v>1975</v>
      </c>
      <c r="Y86" s="856"/>
      <c r="Z86" s="856"/>
      <c r="AA86" s="856"/>
      <c r="AB86" s="856"/>
      <c r="AC86" s="856"/>
      <c r="AD86" s="856"/>
      <c r="AE86" s="856"/>
      <c r="AF86" s="856"/>
      <c r="AG86" s="8"/>
    </row>
    <row r="87" spans="1:79" ht="29.1" customHeight="1" x14ac:dyDescent="0.3">
      <c r="A87" s="1154" t="s">
        <v>1869</v>
      </c>
      <c r="B87" s="1155" t="s">
        <v>26</v>
      </c>
      <c r="C87" s="1155" t="s">
        <v>26</v>
      </c>
      <c r="D87" s="1156" t="s">
        <v>26</v>
      </c>
      <c r="E87" s="2136" t="s">
        <v>1613</v>
      </c>
      <c r="F87" s="2136"/>
      <c r="G87" s="2136"/>
      <c r="H87" s="2136"/>
      <c r="I87" s="2136"/>
      <c r="J87" s="2136"/>
      <c r="K87" s="2136"/>
      <c r="L87" s="2136"/>
      <c r="M87" s="2136"/>
      <c r="N87" s="2136"/>
      <c r="O87" s="2136"/>
      <c r="P87" s="2136"/>
      <c r="Q87" s="2311">
        <f>ROUND(50000/$Q$76,0)</f>
        <v>8</v>
      </c>
      <c r="R87" s="2311"/>
      <c r="S87" s="2311"/>
      <c r="T87" s="2311"/>
      <c r="U87" s="2146" t="s">
        <v>38</v>
      </c>
      <c r="V87" s="1275"/>
      <c r="W87" s="1275"/>
      <c r="X87" s="856" t="s">
        <v>1976</v>
      </c>
      <c r="Y87" s="856"/>
      <c r="Z87" s="856"/>
      <c r="AA87" s="856"/>
      <c r="AB87" s="856"/>
      <c r="AC87" s="856"/>
      <c r="AD87" s="856"/>
      <c r="AE87" s="856"/>
      <c r="AF87" s="856"/>
      <c r="AG87" s="8"/>
    </row>
    <row r="88" spans="1:79" ht="30" customHeight="1" x14ac:dyDescent="0.3">
      <c r="A88" s="1270" t="s">
        <v>1962</v>
      </c>
      <c r="B88" s="1270"/>
      <c r="C88" s="1270"/>
      <c r="D88" s="1270"/>
      <c r="E88" s="1270"/>
      <c r="F88" s="1270"/>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8"/>
    </row>
    <row r="89" spans="1:79" ht="55.5" customHeight="1" x14ac:dyDescent="0.3">
      <c r="A89" s="1082" t="s">
        <v>1965</v>
      </c>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c r="AA89" s="1082"/>
      <c r="AB89" s="1082"/>
      <c r="AC89" s="1082"/>
      <c r="AD89" s="1082"/>
      <c r="AE89" s="1082"/>
      <c r="AF89" s="1082"/>
      <c r="AG89" s="8"/>
    </row>
    <row r="90" spans="1:79" x14ac:dyDescent="0.3">
      <c r="A90" s="1084" t="s">
        <v>1603</v>
      </c>
      <c r="B90" s="1084"/>
      <c r="C90" s="1084"/>
      <c r="D90" s="1084"/>
      <c r="E90" s="1084"/>
      <c r="F90" s="1084"/>
      <c r="G90" s="1084"/>
      <c r="H90" s="1084"/>
      <c r="I90" s="1084"/>
      <c r="J90" s="1084"/>
      <c r="K90" s="1084"/>
      <c r="L90" s="1084"/>
      <c r="M90" s="1084"/>
      <c r="N90" s="1084"/>
      <c r="O90" s="1084"/>
      <c r="P90" s="1084"/>
      <c r="Q90" s="1084"/>
      <c r="R90" s="1084"/>
      <c r="S90" s="1084"/>
      <c r="T90" s="1084"/>
      <c r="U90" s="1084"/>
      <c r="V90" s="1084"/>
      <c r="W90" s="1084"/>
      <c r="X90" s="1084"/>
      <c r="Y90" s="1084"/>
      <c r="Z90" s="1084"/>
      <c r="AA90" s="1084"/>
      <c r="AB90" s="1084"/>
      <c r="AC90" s="1084"/>
      <c r="AD90" s="1084"/>
      <c r="AE90" s="1084"/>
      <c r="AF90" s="1084"/>
      <c r="AG90" s="8"/>
    </row>
    <row r="91" spans="1:79" ht="84.75" customHeight="1" x14ac:dyDescent="0.3">
      <c r="A91" s="1082" t="s">
        <v>2252</v>
      </c>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c r="AA91" s="1082"/>
      <c r="AB91" s="1082"/>
      <c r="AC91" s="1082"/>
      <c r="AD91" s="1082"/>
      <c r="AE91" s="1082"/>
      <c r="AF91" s="1082"/>
      <c r="AG91" s="8"/>
    </row>
    <row r="92" spans="1:79" s="1" customFormat="1" x14ac:dyDescent="0.3">
      <c r="A92"/>
      <c r="B92"/>
      <c r="C92"/>
      <c r="D92"/>
      <c r="E92"/>
      <c r="F92"/>
      <c r="G92"/>
      <c r="H92"/>
      <c r="I92"/>
      <c r="J92"/>
      <c r="K92"/>
      <c r="L92"/>
      <c r="M92"/>
      <c r="N92"/>
      <c r="O92"/>
      <c r="P92"/>
      <c r="Q92"/>
      <c r="R92"/>
      <c r="S92"/>
      <c r="T92"/>
      <c r="U92"/>
      <c r="V92"/>
      <c r="W92"/>
      <c r="X92"/>
      <c r="Y92"/>
      <c r="Z92"/>
      <c r="AA92"/>
      <c r="AB92"/>
      <c r="AC92"/>
      <c r="AD92"/>
      <c r="AE92"/>
      <c r="AF92"/>
      <c r="AG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row>
    <row r="93" spans="1:79" x14ac:dyDescent="0.3">
      <c r="A93" s="134" t="s">
        <v>1982</v>
      </c>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row>
    <row r="94" spans="1:79" x14ac:dyDescent="0.3">
      <c r="A94" s="1272" t="s">
        <v>237</v>
      </c>
      <c r="B94" s="1272"/>
      <c r="C94" s="1272"/>
      <c r="D94" s="1272"/>
      <c r="E94" s="1272"/>
      <c r="F94" s="1272"/>
      <c r="G94" s="1272" t="s">
        <v>1979</v>
      </c>
      <c r="H94" s="1272"/>
      <c r="I94" s="1272"/>
      <c r="J94" s="1272"/>
      <c r="K94" s="1272" t="s">
        <v>1978</v>
      </c>
      <c r="L94" s="1272"/>
      <c r="M94" s="1272"/>
      <c r="N94" s="1272"/>
      <c r="O94" s="1272" t="s">
        <v>1977</v>
      </c>
      <c r="P94" s="1272"/>
      <c r="Q94" s="1272"/>
      <c r="R94" s="1272"/>
      <c r="S94" s="262"/>
      <c r="T94" s="263"/>
      <c r="U94" s="263"/>
      <c r="V94" s="263"/>
      <c r="W94" s="263"/>
      <c r="X94" s="263"/>
      <c r="Y94" s="263"/>
      <c r="Z94" s="263"/>
    </row>
    <row r="95" spans="1:79" x14ac:dyDescent="0.3">
      <c r="A95" s="2309" t="s">
        <v>242</v>
      </c>
      <c r="B95" s="2309"/>
      <c r="C95" s="2309"/>
      <c r="D95" s="2309"/>
      <c r="E95" s="2309"/>
      <c r="F95" s="2309"/>
      <c r="G95" s="2318">
        <f>(0.6*9.56+0.4*13.31)*4/1000</f>
        <v>4.4240000000000002E-2</v>
      </c>
      <c r="H95" s="2318"/>
      <c r="I95" s="2318"/>
      <c r="J95" s="2318"/>
      <c r="K95" s="2318">
        <f>9.56*4/1000</f>
        <v>3.8240000000000003E-2</v>
      </c>
      <c r="L95" s="2318"/>
      <c r="M95" s="2318"/>
      <c r="N95" s="2318"/>
      <c r="O95" s="2318">
        <f>4.7*4/1000</f>
        <v>1.8800000000000001E-2</v>
      </c>
      <c r="P95" s="2318"/>
      <c r="Q95" s="2318"/>
      <c r="R95" s="2318"/>
      <c r="S95" s="264"/>
      <c r="T95" s="265"/>
      <c r="U95" s="265"/>
      <c r="V95" s="265"/>
      <c r="W95" s="265"/>
      <c r="X95" s="265"/>
      <c r="Y95" s="265"/>
      <c r="Z95" s="265"/>
    </row>
    <row r="96" spans="1:79" x14ac:dyDescent="0.3">
      <c r="A96" s="2309" t="s">
        <v>243</v>
      </c>
      <c r="B96" s="2309" t="s">
        <v>243</v>
      </c>
      <c r="C96" s="2309" t="s">
        <v>243</v>
      </c>
      <c r="D96" s="2309" t="s">
        <v>243</v>
      </c>
      <c r="E96" s="2309" t="s">
        <v>243</v>
      </c>
      <c r="F96" s="2309" t="s">
        <v>243</v>
      </c>
      <c r="G96" s="2318">
        <f>(0.6*9.56+0.4*13.31)*5/1000</f>
        <v>5.5300000000000002E-2</v>
      </c>
      <c r="H96" s="2318"/>
      <c r="I96" s="2318"/>
      <c r="J96" s="2318"/>
      <c r="K96" s="2318">
        <f>9.56*5/1000</f>
        <v>4.7800000000000002E-2</v>
      </c>
      <c r="L96" s="2318"/>
      <c r="M96" s="2318"/>
      <c r="N96" s="2318"/>
      <c r="O96" s="2318">
        <f>4.5*5/1000</f>
        <v>2.2499999999999999E-2</v>
      </c>
      <c r="P96" s="2318"/>
      <c r="Q96" s="2318"/>
      <c r="R96" s="2318"/>
      <c r="S96" s="264"/>
      <c r="T96" s="265"/>
      <c r="U96" s="265"/>
      <c r="V96" s="265"/>
      <c r="W96" s="265"/>
      <c r="X96" s="265"/>
      <c r="Y96" s="265"/>
      <c r="Z96" s="265"/>
    </row>
    <row r="97" spans="1:36" x14ac:dyDescent="0.3">
      <c r="A97" s="2309" t="s">
        <v>244</v>
      </c>
      <c r="B97" s="2309" t="s">
        <v>244</v>
      </c>
      <c r="C97" s="2309" t="s">
        <v>244</v>
      </c>
      <c r="D97" s="2309" t="s">
        <v>244</v>
      </c>
      <c r="E97" s="2309" t="s">
        <v>244</v>
      </c>
      <c r="F97" s="2309" t="s">
        <v>244</v>
      </c>
      <c r="G97" s="2318">
        <f>(0.6*9.56+0.4*13.31)*6/1000</f>
        <v>6.6360000000000002E-2</v>
      </c>
      <c r="H97" s="2318"/>
      <c r="I97" s="2318"/>
      <c r="J97" s="2318"/>
      <c r="K97" s="2318">
        <f>9.56*6/1000</f>
        <v>5.7360000000000001E-2</v>
      </c>
      <c r="L97" s="2318"/>
      <c r="M97" s="2318"/>
      <c r="N97" s="2318"/>
      <c r="O97" s="2318">
        <f>4.2*6/1000</f>
        <v>2.5200000000000004E-2</v>
      </c>
      <c r="P97" s="2318"/>
      <c r="Q97" s="2318"/>
      <c r="R97" s="2318"/>
      <c r="S97" s="264"/>
      <c r="T97" s="265"/>
      <c r="U97" s="265"/>
      <c r="V97" s="265"/>
      <c r="W97" s="265"/>
      <c r="X97" s="265"/>
      <c r="Y97" s="265"/>
      <c r="Z97" s="265"/>
    </row>
    <row r="98" spans="1:36" x14ac:dyDescent="0.3">
      <c r="A98" s="2264" t="s">
        <v>2941</v>
      </c>
      <c r="B98" s="2264"/>
      <c r="C98" s="2264"/>
      <c r="D98" s="2264"/>
      <c r="E98" s="2264"/>
      <c r="F98" s="2264"/>
      <c r="G98" s="2264"/>
      <c r="H98" s="2264"/>
      <c r="I98" s="2264"/>
      <c r="J98" s="2264"/>
      <c r="K98" s="2264"/>
      <c r="L98" s="2264"/>
      <c r="M98" s="2264"/>
      <c r="N98" s="2264"/>
      <c r="O98" s="2264"/>
      <c r="P98" s="2264"/>
      <c r="Q98" s="2264"/>
      <c r="R98" s="2264"/>
      <c r="S98" s="2264"/>
      <c r="T98" s="2264"/>
      <c r="U98" s="2264"/>
      <c r="V98" s="2264"/>
      <c r="W98" s="2264"/>
      <c r="X98" s="2264"/>
      <c r="Y98" s="2264"/>
      <c r="Z98" s="2264"/>
      <c r="AA98" s="2264"/>
      <c r="AB98" s="2264"/>
      <c r="AC98" s="2264"/>
      <c r="AD98" s="2264"/>
      <c r="AE98" s="2264"/>
      <c r="AF98" s="2264"/>
    </row>
    <row r="99" spans="1:36" x14ac:dyDescent="0.3">
      <c r="A99" s="395"/>
      <c r="B99" s="395"/>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40"/>
    </row>
    <row r="100" spans="1:36" x14ac:dyDescent="0.3">
      <c r="A100" s="134" t="s">
        <v>1983</v>
      </c>
      <c r="B100" s="40"/>
      <c r="C100" s="40"/>
      <c r="D100" s="40"/>
      <c r="E100" s="40"/>
      <c r="F100" s="40"/>
      <c r="G100" s="40"/>
      <c r="H100" s="40"/>
      <c r="I100" s="40"/>
      <c r="J100" s="40"/>
      <c r="K100" s="40"/>
      <c r="L100" s="40"/>
      <c r="M100" s="40"/>
      <c r="N100" s="40"/>
      <c r="O100" s="40"/>
      <c r="P100" s="40"/>
      <c r="Q100" s="40"/>
      <c r="R100" s="40"/>
      <c r="S100" s="261"/>
      <c r="T100" s="261"/>
      <c r="U100" s="261"/>
      <c r="V100" s="261"/>
      <c r="W100" s="261"/>
      <c r="X100" s="261"/>
      <c r="Y100" s="261"/>
      <c r="Z100" s="261"/>
      <c r="AA100" s="261"/>
      <c r="AB100" s="261"/>
      <c r="AC100" s="261"/>
      <c r="AD100" s="261"/>
      <c r="AE100" s="261"/>
      <c r="AF100" s="261"/>
      <c r="AG100" s="40"/>
    </row>
    <row r="101" spans="1:36" ht="17.25" customHeight="1" x14ac:dyDescent="0.3">
      <c r="A101" s="1272" t="s">
        <v>1984</v>
      </c>
      <c r="B101" s="1272"/>
      <c r="C101" s="1272"/>
      <c r="D101" s="1272"/>
      <c r="E101" s="1272"/>
      <c r="F101" s="1272"/>
      <c r="G101" s="1272" t="s">
        <v>1989</v>
      </c>
      <c r="H101" s="1272"/>
      <c r="I101" s="1272"/>
      <c r="J101" s="1272"/>
      <c r="K101" s="1272" t="s">
        <v>1988</v>
      </c>
      <c r="L101" s="1272"/>
      <c r="M101" s="1272"/>
      <c r="N101" s="1272"/>
      <c r="O101" s="1183" t="s">
        <v>1990</v>
      </c>
      <c r="P101" s="1184"/>
      <c r="Q101" s="1184"/>
      <c r="R101" s="1185"/>
      <c r="S101" s="261"/>
      <c r="T101" s="261"/>
      <c r="U101" s="261"/>
      <c r="V101" s="261"/>
      <c r="W101" s="261"/>
      <c r="X101" s="261"/>
      <c r="Y101" s="261"/>
      <c r="Z101" s="261"/>
      <c r="AA101" s="261"/>
      <c r="AB101" s="261"/>
      <c r="AC101" s="261"/>
      <c r="AD101" s="261"/>
      <c r="AE101" s="261"/>
      <c r="AF101" s="261"/>
      <c r="AG101" s="40"/>
    </row>
    <row r="102" spans="1:36" ht="61.5" customHeight="1" x14ac:dyDescent="0.3">
      <c r="A102" s="2309" t="s">
        <v>1987</v>
      </c>
      <c r="B102" s="2309"/>
      <c r="C102" s="2309"/>
      <c r="D102" s="2309"/>
      <c r="E102" s="2309"/>
      <c r="F102" s="2309"/>
      <c r="G102" s="2310">
        <v>10.6</v>
      </c>
      <c r="H102" s="2310"/>
      <c r="I102" s="2310"/>
      <c r="J102" s="2310"/>
      <c r="K102" s="2310">
        <f>(3.412/$G102)*0.5</f>
        <v>0.1609433962264151</v>
      </c>
      <c r="L102" s="2310"/>
      <c r="M102" s="2310"/>
      <c r="N102" s="2310"/>
      <c r="O102" s="2310">
        <f>(3.412/$G102)*0.5</f>
        <v>0.1609433962264151</v>
      </c>
      <c r="P102" s="2310"/>
      <c r="Q102" s="2310"/>
      <c r="R102" s="2310"/>
      <c r="S102" s="261"/>
      <c r="T102" s="261"/>
      <c r="U102" s="261"/>
      <c r="V102" s="261"/>
      <c r="W102" s="261"/>
      <c r="X102" s="261"/>
      <c r="Y102" s="261"/>
      <c r="Z102" s="261"/>
      <c r="AA102" s="261"/>
      <c r="AB102" s="261"/>
      <c r="AC102" s="261"/>
      <c r="AD102" s="261"/>
      <c r="AE102" s="261"/>
      <c r="AF102" s="261"/>
      <c r="AG102" s="40"/>
    </row>
    <row r="103" spans="1:36" ht="40.5" customHeight="1" x14ac:dyDescent="0.3">
      <c r="A103" s="2309" t="s">
        <v>1986</v>
      </c>
      <c r="B103" s="2309"/>
      <c r="C103" s="2309"/>
      <c r="D103" s="2309"/>
      <c r="E103" s="2309"/>
      <c r="F103" s="2309"/>
      <c r="G103" s="2310">
        <v>4.0999999999999996</v>
      </c>
      <c r="H103" s="2310"/>
      <c r="I103" s="2310"/>
      <c r="J103" s="2310"/>
      <c r="K103" s="2310">
        <f>(3.412/$G103)*0.5</f>
        <v>0.41609756097560979</v>
      </c>
      <c r="L103" s="2310"/>
      <c r="M103" s="2310"/>
      <c r="N103" s="2310"/>
      <c r="O103" s="2310">
        <f>(3.412/$G103)*0.5</f>
        <v>0.41609756097560979</v>
      </c>
      <c r="P103" s="2310"/>
      <c r="Q103" s="2310"/>
      <c r="R103" s="2310"/>
      <c r="S103" s="261"/>
      <c r="T103" s="261"/>
      <c r="U103" s="261"/>
      <c r="V103" s="261"/>
      <c r="W103" s="261"/>
      <c r="X103" s="261"/>
      <c r="Y103" s="261"/>
      <c r="Z103" s="261"/>
      <c r="AA103" s="261"/>
      <c r="AB103" s="261"/>
      <c r="AC103" s="261"/>
      <c r="AD103" s="261"/>
      <c r="AE103" s="261"/>
      <c r="AF103" s="261"/>
      <c r="AG103" s="40"/>
    </row>
    <row r="104" spans="1:36" ht="30.75" customHeight="1" x14ac:dyDescent="0.3">
      <c r="A104" s="2264" t="s">
        <v>2942</v>
      </c>
      <c r="B104" s="2264"/>
      <c r="C104" s="2264"/>
      <c r="D104" s="2264"/>
      <c r="E104" s="2264"/>
      <c r="F104" s="2264"/>
      <c r="G104" s="2264"/>
      <c r="H104" s="2264"/>
      <c r="I104" s="2264"/>
      <c r="J104" s="2264"/>
      <c r="K104" s="2264"/>
      <c r="L104" s="2264"/>
      <c r="M104" s="2264"/>
      <c r="N104" s="2264"/>
      <c r="O104" s="2264"/>
      <c r="P104" s="2264"/>
      <c r="Q104" s="2264"/>
      <c r="R104" s="2264"/>
      <c r="S104" s="2264"/>
      <c r="T104" s="2264"/>
      <c r="U104" s="2264"/>
      <c r="V104" s="2264"/>
      <c r="W104" s="2264"/>
      <c r="X104" s="2264"/>
      <c r="Y104" s="2264"/>
      <c r="Z104" s="2264"/>
      <c r="AA104" s="2264"/>
      <c r="AB104" s="2264"/>
      <c r="AC104" s="2264"/>
      <c r="AD104" s="2264"/>
      <c r="AE104" s="2264"/>
      <c r="AF104" s="2264"/>
    </row>
    <row r="105" spans="1:36" ht="28.5" customHeight="1" x14ac:dyDescent="0.3">
      <c r="A105" s="2264" t="s">
        <v>1996</v>
      </c>
      <c r="B105" s="2264"/>
      <c r="C105" s="2264"/>
      <c r="D105" s="2264"/>
      <c r="E105" s="2264"/>
      <c r="F105" s="2264"/>
      <c r="G105" s="2264"/>
      <c r="H105" s="2264"/>
      <c r="I105" s="2264"/>
      <c r="J105" s="2264"/>
      <c r="K105" s="2264"/>
      <c r="L105" s="2264"/>
      <c r="M105" s="2264"/>
      <c r="N105" s="2264"/>
      <c r="O105" s="2264"/>
      <c r="P105" s="2264"/>
      <c r="Q105" s="2264"/>
      <c r="R105" s="2264"/>
      <c r="S105" s="2264"/>
      <c r="T105" s="2264"/>
      <c r="U105" s="2264"/>
      <c r="V105" s="2264"/>
      <c r="W105" s="2264"/>
      <c r="X105" s="2264"/>
      <c r="Y105" s="2264"/>
      <c r="Z105" s="2264"/>
      <c r="AA105" s="2264"/>
      <c r="AB105" s="2264"/>
      <c r="AC105" s="2264"/>
      <c r="AD105" s="2264"/>
      <c r="AE105" s="2264"/>
      <c r="AF105" s="2264"/>
    </row>
    <row r="107" spans="1:36" x14ac:dyDescent="0.3">
      <c r="A107" s="1141" t="s">
        <v>14</v>
      </c>
      <c r="B107" s="1141"/>
      <c r="C107" s="1141"/>
      <c r="D107" s="1141"/>
      <c r="E107" s="1141"/>
      <c r="F107" s="1141"/>
      <c r="G107" s="1141"/>
      <c r="H107" s="1141"/>
      <c r="I107" s="1141"/>
      <c r="J107" s="1141"/>
      <c r="K107" s="1141"/>
      <c r="L107" s="1141"/>
      <c r="M107" s="1141"/>
      <c r="N107" s="1141"/>
      <c r="O107" s="1141"/>
      <c r="P107" s="1141"/>
      <c r="Q107" s="1141"/>
      <c r="R107" s="1141"/>
      <c r="S107" s="1141"/>
      <c r="T107" s="1141"/>
      <c r="U107" s="1141"/>
      <c r="V107" s="1141"/>
      <c r="W107" s="1141"/>
      <c r="X107" s="1141"/>
      <c r="Y107" s="1141"/>
      <c r="Z107" s="1141"/>
      <c r="AA107" s="1141"/>
      <c r="AB107" s="1141"/>
      <c r="AC107" s="1141"/>
      <c r="AD107" s="1141"/>
      <c r="AE107" s="1141"/>
      <c r="AF107" s="1141"/>
      <c r="AG107" s="1"/>
    </row>
    <row r="108" spans="1:36" x14ac:dyDescent="0.3">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1"/>
    </row>
    <row r="109" spans="1:36" x14ac:dyDescent="0.3">
      <c r="A109" s="3"/>
      <c r="B109" s="231" t="s">
        <v>3797</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1"/>
    </row>
    <row r="110" spans="1:36" ht="15" thickBot="1" x14ac:dyDescent="0.3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1"/>
    </row>
    <row r="111" spans="1:36" ht="15.75" customHeight="1" x14ac:dyDescent="0.3">
      <c r="A111" s="2270" t="s">
        <v>1984</v>
      </c>
      <c r="B111" s="2271"/>
      <c r="C111" s="2271"/>
      <c r="D111" s="2271"/>
      <c r="E111" s="2271"/>
      <c r="F111" s="2271"/>
      <c r="G111" s="2271"/>
      <c r="H111" s="2272"/>
      <c r="I111" s="2276" t="s">
        <v>15</v>
      </c>
      <c r="J111" s="2271"/>
      <c r="K111" s="2271"/>
      <c r="L111" s="2271"/>
      <c r="M111" s="2271"/>
      <c r="N111" s="2271"/>
      <c r="O111" s="2271"/>
      <c r="P111" s="2272"/>
      <c r="Q111" s="2315" t="s">
        <v>16</v>
      </c>
      <c r="R111" s="2315"/>
      <c r="S111" s="2315"/>
      <c r="T111" s="2315"/>
      <c r="U111" s="2315"/>
      <c r="V111" s="2315"/>
      <c r="W111" s="2315"/>
      <c r="X111" s="2315"/>
      <c r="Y111" s="2316" t="s">
        <v>17</v>
      </c>
      <c r="Z111" s="2316"/>
      <c r="AA111" s="2316"/>
      <c r="AB111" s="2316"/>
      <c r="AC111" s="2316"/>
      <c r="AD111" s="2316"/>
      <c r="AE111" s="2316"/>
      <c r="AF111" s="2317"/>
      <c r="AG111" s="114"/>
      <c r="AH111" s="114"/>
      <c r="AI111" s="114"/>
      <c r="AJ111" s="114"/>
    </row>
    <row r="112" spans="1:36" ht="15" thickBot="1" x14ac:dyDescent="0.35">
      <c r="A112" s="2273"/>
      <c r="B112" s="2274"/>
      <c r="C112" s="2274"/>
      <c r="D112" s="2274"/>
      <c r="E112" s="2274"/>
      <c r="F112" s="2274"/>
      <c r="G112" s="2274"/>
      <c r="H112" s="2275"/>
      <c r="I112" s="2277"/>
      <c r="J112" s="2274"/>
      <c r="K112" s="2274"/>
      <c r="L112" s="2274"/>
      <c r="M112" s="2274"/>
      <c r="N112" s="2274"/>
      <c r="O112" s="2274"/>
      <c r="P112" s="2275"/>
      <c r="Q112" s="2278" t="s">
        <v>3630</v>
      </c>
      <c r="R112" s="2279"/>
      <c r="S112" s="2279"/>
      <c r="T112" s="2280"/>
      <c r="U112" s="2278" t="s">
        <v>3631</v>
      </c>
      <c r="V112" s="2279"/>
      <c r="W112" s="2279"/>
      <c r="X112" s="2280"/>
      <c r="Y112" s="2281" t="s">
        <v>3630</v>
      </c>
      <c r="Z112" s="2282"/>
      <c r="AA112" s="2282"/>
      <c r="AB112" s="2283"/>
      <c r="AC112" s="2281" t="s">
        <v>3631</v>
      </c>
      <c r="AD112" s="2282"/>
      <c r="AE112" s="2282"/>
      <c r="AF112" s="2284"/>
      <c r="AG112" s="114"/>
      <c r="AH112" s="114"/>
      <c r="AI112" s="114"/>
      <c r="AJ112" s="114"/>
    </row>
    <row r="113" spans="1:43" ht="15" customHeight="1" x14ac:dyDescent="0.3">
      <c r="A113" s="2265" t="s">
        <v>1985</v>
      </c>
      <c r="B113" s="2266"/>
      <c r="C113" s="2266"/>
      <c r="D113" s="2266"/>
      <c r="E113" s="2266"/>
      <c r="F113" s="2266"/>
      <c r="G113" s="2266"/>
      <c r="H113" s="2266"/>
      <c r="I113" s="2314">
        <v>4</v>
      </c>
      <c r="J113" s="2314"/>
      <c r="K113" s="2314"/>
      <c r="L113" s="2314"/>
      <c r="M113" s="2314"/>
      <c r="N113" s="2314"/>
      <c r="O113" s="2314"/>
      <c r="P113" s="2314"/>
      <c r="Q113" s="2285">
        <f>ROUND((G95-O95)*$Q$74*$Q$75*(1+$Q$78+$K$102)*$Q$77,3)</f>
        <v>2.7E-2</v>
      </c>
      <c r="R113" s="2286"/>
      <c r="S113" s="2286"/>
      <c r="T113" s="2287"/>
      <c r="U113" s="2285">
        <f>Q123</f>
        <v>2.1000000000000001E-2</v>
      </c>
      <c r="V113" s="2286"/>
      <c r="W113" s="2286"/>
      <c r="X113" s="2287"/>
      <c r="Y113" s="2288">
        <f>ROUND((G95-O95)*$Q$74*$Q$76*(1+$Q$79+$O$102)*$Q$77,2)</f>
        <v>194.31</v>
      </c>
      <c r="Z113" s="2289"/>
      <c r="AA113" s="2289"/>
      <c r="AB113" s="2290"/>
      <c r="AC113" s="2288">
        <f>Y123</f>
        <v>148.47999999999999</v>
      </c>
      <c r="AD113" s="2289"/>
      <c r="AE113" s="2289"/>
      <c r="AF113" s="2291"/>
      <c r="AQ113" s="94"/>
    </row>
    <row r="114" spans="1:43" x14ac:dyDescent="0.3">
      <c r="A114" s="2267"/>
      <c r="B114" s="1817"/>
      <c r="C114" s="1817"/>
      <c r="D114" s="1817"/>
      <c r="E114" s="1817"/>
      <c r="F114" s="1817"/>
      <c r="G114" s="1817"/>
      <c r="H114" s="1817"/>
      <c r="I114" s="2292">
        <v>5</v>
      </c>
      <c r="J114" s="2292"/>
      <c r="K114" s="2292"/>
      <c r="L114" s="2292"/>
      <c r="M114" s="2292"/>
      <c r="N114" s="2292"/>
      <c r="O114" s="2292"/>
      <c r="P114" s="2292"/>
      <c r="Q114" s="2294">
        <f>ROUND((G96-O96)*$Q$74*$Q$75*(1+$Q$78+$K$102)*$Q$77,3)</f>
        <v>3.5000000000000003E-2</v>
      </c>
      <c r="R114" s="2295"/>
      <c r="S114" s="2295"/>
      <c r="T114" s="2296"/>
      <c r="U114" s="2294">
        <f t="shared" ref="U114:U118" si="0">Q124</f>
        <v>2.7E-2</v>
      </c>
      <c r="V114" s="2295"/>
      <c r="W114" s="2295"/>
      <c r="X114" s="2296"/>
      <c r="Y114" s="2297">
        <f>ROUND((G96-O96)*$Q$74*$Q$76*(1+$Q$79+$O$102)*$Q$77,2)</f>
        <v>250.53</v>
      </c>
      <c r="Z114" s="2298"/>
      <c r="AA114" s="2298"/>
      <c r="AB114" s="2299"/>
      <c r="AC114" s="2300">
        <f t="shared" ref="AC114:AC118" si="1">Y124</f>
        <v>193.24</v>
      </c>
      <c r="AD114" s="2301"/>
      <c r="AE114" s="2301"/>
      <c r="AF114" s="2302"/>
    </row>
    <row r="115" spans="1:43" ht="15" thickBot="1" x14ac:dyDescent="0.35">
      <c r="A115" s="2268"/>
      <c r="B115" s="2269"/>
      <c r="C115" s="2269"/>
      <c r="D115" s="2269"/>
      <c r="E115" s="2269"/>
      <c r="F115" s="2269"/>
      <c r="G115" s="2269"/>
      <c r="H115" s="2269"/>
      <c r="I115" s="2293">
        <v>6</v>
      </c>
      <c r="J115" s="2293"/>
      <c r="K115" s="2293"/>
      <c r="L115" s="2293"/>
      <c r="M115" s="2293"/>
      <c r="N115" s="2293"/>
      <c r="O115" s="2293"/>
      <c r="P115" s="2293"/>
      <c r="Q115" s="2303">
        <f>ROUND((G97-O97)*$Q$74*$Q$75*(1+$Q$78+$K$102)*$Q$77,3)</f>
        <v>4.3999999999999997E-2</v>
      </c>
      <c r="R115" s="2304"/>
      <c r="S115" s="2304"/>
      <c r="T115" s="2305"/>
      <c r="U115" s="2303">
        <f t="shared" si="0"/>
        <v>3.4000000000000002E-2</v>
      </c>
      <c r="V115" s="2304"/>
      <c r="W115" s="2304"/>
      <c r="X115" s="2305"/>
      <c r="Y115" s="2306">
        <f>ROUND((G97-O97)*$Q$74*$Q$76*(1+$Q$79+$O$102)*$Q$77,2)</f>
        <v>314.38</v>
      </c>
      <c r="Z115" s="2307"/>
      <c r="AA115" s="2307"/>
      <c r="AB115" s="2308"/>
      <c r="AC115" s="2300">
        <f t="shared" si="1"/>
        <v>245.64</v>
      </c>
      <c r="AD115" s="2301"/>
      <c r="AE115" s="2301"/>
      <c r="AF115" s="2302"/>
    </row>
    <row r="116" spans="1:43" ht="15" customHeight="1" x14ac:dyDescent="0.3">
      <c r="A116" s="2319" t="s">
        <v>1986</v>
      </c>
      <c r="B116" s="1393"/>
      <c r="C116" s="1393"/>
      <c r="D116" s="1393"/>
      <c r="E116" s="1393"/>
      <c r="F116" s="1393"/>
      <c r="G116" s="1393"/>
      <c r="H116" s="1393"/>
      <c r="I116" s="2323">
        <v>4</v>
      </c>
      <c r="J116" s="2323"/>
      <c r="K116" s="2323"/>
      <c r="L116" s="2323"/>
      <c r="M116" s="2323"/>
      <c r="N116" s="2323"/>
      <c r="O116" s="2323"/>
      <c r="P116" s="2323"/>
      <c r="Q116" s="2285">
        <f>ROUND((G95-O95)*$Q$74*$Q$75*(1+$Q$78+$K$103)*$Q$77,3)</f>
        <v>3.3000000000000002E-2</v>
      </c>
      <c r="R116" s="2286"/>
      <c r="S116" s="2286"/>
      <c r="T116" s="2287"/>
      <c r="U116" s="2285">
        <f t="shared" si="0"/>
        <v>2.5000000000000001E-2</v>
      </c>
      <c r="V116" s="2286"/>
      <c r="W116" s="2286"/>
      <c r="X116" s="2287"/>
      <c r="Y116" s="2288">
        <f>ROUND((G95-O95)*$Q$74*$Q$76*(1+$Q$79+$O$103)*$Q$77,2)</f>
        <v>234.59</v>
      </c>
      <c r="Z116" s="2289"/>
      <c r="AA116" s="2289"/>
      <c r="AB116" s="2290"/>
      <c r="AC116" s="2288">
        <f t="shared" si="1"/>
        <v>179.26</v>
      </c>
      <c r="AD116" s="2289"/>
      <c r="AE116" s="2289"/>
      <c r="AF116" s="2291"/>
    </row>
    <row r="117" spans="1:43" x14ac:dyDescent="0.3">
      <c r="A117" s="1483"/>
      <c r="B117" s="1339"/>
      <c r="C117" s="1339"/>
      <c r="D117" s="1339"/>
      <c r="E117" s="1339"/>
      <c r="F117" s="1339"/>
      <c r="G117" s="1339"/>
      <c r="H117" s="1339"/>
      <c r="I117" s="2292">
        <v>5</v>
      </c>
      <c r="J117" s="2292"/>
      <c r="K117" s="2292"/>
      <c r="L117" s="2292"/>
      <c r="M117" s="2292"/>
      <c r="N117" s="2292"/>
      <c r="O117" s="2292"/>
      <c r="P117" s="2292"/>
      <c r="Q117" s="2294">
        <f>ROUND((G96-O96)*$Q$74*$Q$75*(1+$Q$78+$K$103)*$Q$77,3)</f>
        <v>4.2000000000000003E-2</v>
      </c>
      <c r="R117" s="2295"/>
      <c r="S117" s="2295"/>
      <c r="T117" s="2296"/>
      <c r="U117" s="2294">
        <f t="shared" si="0"/>
        <v>3.3000000000000002E-2</v>
      </c>
      <c r="V117" s="2295"/>
      <c r="W117" s="2295"/>
      <c r="X117" s="2296"/>
      <c r="Y117" s="2297">
        <f>ROUND((G96-O96)*$Q$74*$Q$76*(1+$Q$79+$O$103)*$Q$77,2)</f>
        <v>302.45999999999998</v>
      </c>
      <c r="Z117" s="2298"/>
      <c r="AA117" s="2298"/>
      <c r="AB117" s="2299"/>
      <c r="AC117" s="2300">
        <f t="shared" si="1"/>
        <v>233.3</v>
      </c>
      <c r="AD117" s="2301"/>
      <c r="AE117" s="2301"/>
      <c r="AF117" s="2302"/>
    </row>
    <row r="118" spans="1:43" ht="15" thickBot="1" x14ac:dyDescent="0.35">
      <c r="A118" s="2320"/>
      <c r="B118" s="2321"/>
      <c r="C118" s="2321"/>
      <c r="D118" s="2321"/>
      <c r="E118" s="2321"/>
      <c r="F118" s="2321"/>
      <c r="G118" s="2321"/>
      <c r="H118" s="2321"/>
      <c r="I118" s="2293">
        <v>6</v>
      </c>
      <c r="J118" s="2293"/>
      <c r="K118" s="2293"/>
      <c r="L118" s="2293"/>
      <c r="M118" s="2293"/>
      <c r="N118" s="2293"/>
      <c r="O118" s="2293"/>
      <c r="P118" s="2293"/>
      <c r="Q118" s="2303">
        <f>ROUND((G97-O97)*$Q$74*$Q$75*(1+$Q$78+$K$103)*$Q$77,3)</f>
        <v>5.2999999999999999E-2</v>
      </c>
      <c r="R118" s="2304"/>
      <c r="S118" s="2304"/>
      <c r="T118" s="2305"/>
      <c r="U118" s="2303">
        <f t="shared" si="0"/>
        <v>4.2000000000000003E-2</v>
      </c>
      <c r="V118" s="2304"/>
      <c r="W118" s="2304"/>
      <c r="X118" s="2305"/>
      <c r="Y118" s="2306">
        <f>ROUND((G97-O97)*$Q$74*$Q$76*(1+$Q$79+$O$103)*$Q$77,2)</f>
        <v>379.55</v>
      </c>
      <c r="Z118" s="2307"/>
      <c r="AA118" s="2307"/>
      <c r="AB118" s="2308"/>
      <c r="AC118" s="2306">
        <f t="shared" si="1"/>
        <v>296.55</v>
      </c>
      <c r="AD118" s="2307"/>
      <c r="AE118" s="2307"/>
      <c r="AF118" s="2322"/>
    </row>
    <row r="120" spans="1:43" x14ac:dyDescent="0.3">
      <c r="A120" s="3"/>
      <c r="B120" s="231" t="s">
        <v>3798</v>
      </c>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43" ht="15" thickBot="1" x14ac:dyDescent="0.3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43" ht="33" customHeight="1" thickBot="1" x14ac:dyDescent="0.35">
      <c r="A122" s="2252" t="s">
        <v>1984</v>
      </c>
      <c r="B122" s="2253"/>
      <c r="C122" s="2253"/>
      <c r="D122" s="2253"/>
      <c r="E122" s="2253"/>
      <c r="F122" s="2253"/>
      <c r="G122" s="2253"/>
      <c r="H122" s="2254"/>
      <c r="I122" s="2253" t="s">
        <v>15</v>
      </c>
      <c r="J122" s="2253"/>
      <c r="K122" s="2253"/>
      <c r="L122" s="2253"/>
      <c r="M122" s="2253"/>
      <c r="N122" s="2253"/>
      <c r="O122" s="2253"/>
      <c r="P122" s="2253"/>
      <c r="Q122" s="2255" t="s">
        <v>16</v>
      </c>
      <c r="R122" s="2255"/>
      <c r="S122" s="2255"/>
      <c r="T122" s="2255"/>
      <c r="U122" s="2255"/>
      <c r="V122" s="2255"/>
      <c r="W122" s="2255"/>
      <c r="X122" s="2255"/>
      <c r="Y122" s="2256" t="s">
        <v>17</v>
      </c>
      <c r="Z122" s="2256"/>
      <c r="AA122" s="2256"/>
      <c r="AB122" s="2256"/>
      <c r="AC122" s="2256"/>
      <c r="AD122" s="2256"/>
      <c r="AE122" s="2256"/>
      <c r="AF122" s="2257"/>
    </row>
    <row r="123" spans="1:43" ht="15" customHeight="1" x14ac:dyDescent="0.3">
      <c r="A123" s="2218" t="s">
        <v>1985</v>
      </c>
      <c r="B123" s="2219"/>
      <c r="C123" s="2219"/>
      <c r="D123" s="2219"/>
      <c r="E123" s="2219"/>
      <c r="F123" s="2219"/>
      <c r="G123" s="2219"/>
      <c r="H123" s="2219"/>
      <c r="I123" s="2224">
        <v>4</v>
      </c>
      <c r="J123" s="2224"/>
      <c r="K123" s="2224"/>
      <c r="L123" s="2224"/>
      <c r="M123" s="2224"/>
      <c r="N123" s="2224"/>
      <c r="O123" s="2224"/>
      <c r="P123" s="2224"/>
      <c r="Q123" s="2258">
        <f>ROUND((K95-O95)*$Q$74*$Q$75*(1+$Q$78+$K$102)*$Q$77,3)</f>
        <v>2.1000000000000001E-2</v>
      </c>
      <c r="R123" s="2258"/>
      <c r="S123" s="2258"/>
      <c r="T123" s="2258"/>
      <c r="U123" s="2258"/>
      <c r="V123" s="2258"/>
      <c r="W123" s="2258"/>
      <c r="X123" s="2258"/>
      <c r="Y123" s="2259">
        <f>ROUND((K95-O95)*$Q$74*$Q$76*(1+$Q$79+$O$102)*$Q$77,2)</f>
        <v>148.47999999999999</v>
      </c>
      <c r="Z123" s="2259"/>
      <c r="AA123" s="2259"/>
      <c r="AB123" s="2259"/>
      <c r="AC123" s="2259"/>
      <c r="AD123" s="2259"/>
      <c r="AE123" s="2259"/>
      <c r="AF123" s="2260"/>
    </row>
    <row r="124" spans="1:43" x14ac:dyDescent="0.3">
      <c r="A124" s="2220"/>
      <c r="B124" s="2221"/>
      <c r="C124" s="2221"/>
      <c r="D124" s="2221"/>
      <c r="E124" s="2221"/>
      <c r="F124" s="2221"/>
      <c r="G124" s="2221"/>
      <c r="H124" s="2221"/>
      <c r="I124" s="2227">
        <v>5</v>
      </c>
      <c r="J124" s="2227"/>
      <c r="K124" s="2227"/>
      <c r="L124" s="2227"/>
      <c r="M124" s="2227"/>
      <c r="N124" s="2227"/>
      <c r="O124" s="2227"/>
      <c r="P124" s="2227"/>
      <c r="Q124" s="2261">
        <f>ROUND((K96-O96)*$Q$74*$Q$75*(1+$Q$78+$K$102)*$Q$77,3)</f>
        <v>2.7E-2</v>
      </c>
      <c r="R124" s="2261"/>
      <c r="S124" s="2261"/>
      <c r="T124" s="2261"/>
      <c r="U124" s="2261"/>
      <c r="V124" s="2261"/>
      <c r="W124" s="2261"/>
      <c r="X124" s="2261"/>
      <c r="Y124" s="2262">
        <f>ROUND((K96-O96)*$Q$74*$Q$76*(1+$Q$79+$O$102)*$Q$77,2)</f>
        <v>193.24</v>
      </c>
      <c r="Z124" s="2262"/>
      <c r="AA124" s="2262"/>
      <c r="AB124" s="2262"/>
      <c r="AC124" s="2262"/>
      <c r="AD124" s="2262"/>
      <c r="AE124" s="2262"/>
      <c r="AF124" s="2263"/>
    </row>
    <row r="125" spans="1:43" ht="15" thickBot="1" x14ac:dyDescent="0.35">
      <c r="A125" s="2222"/>
      <c r="B125" s="2223"/>
      <c r="C125" s="2223"/>
      <c r="D125" s="2223"/>
      <c r="E125" s="2223"/>
      <c r="F125" s="2223"/>
      <c r="G125" s="2223"/>
      <c r="H125" s="2223"/>
      <c r="I125" s="2230">
        <v>6</v>
      </c>
      <c r="J125" s="2230"/>
      <c r="K125" s="2230"/>
      <c r="L125" s="2230"/>
      <c r="M125" s="2230"/>
      <c r="N125" s="2230"/>
      <c r="O125" s="2230"/>
      <c r="P125" s="2230"/>
      <c r="Q125" s="2249">
        <f>ROUND((K97-O97)*$Q$74*$Q$75*(1+$Q$78+$K$102)*$Q$77,3)</f>
        <v>3.4000000000000002E-2</v>
      </c>
      <c r="R125" s="2249"/>
      <c r="S125" s="2249"/>
      <c r="T125" s="2249"/>
      <c r="U125" s="2249"/>
      <c r="V125" s="2249"/>
      <c r="W125" s="2249"/>
      <c r="X125" s="2249"/>
      <c r="Y125" s="2250">
        <f>ROUND((K97-O97)*$Q$74*$Q$76*(1+$Q$79+$O$102)*$Q$77,2)</f>
        <v>245.64</v>
      </c>
      <c r="Z125" s="2250"/>
      <c r="AA125" s="2250"/>
      <c r="AB125" s="2250"/>
      <c r="AC125" s="2250"/>
      <c r="AD125" s="2250"/>
      <c r="AE125" s="2250"/>
      <c r="AF125" s="2251"/>
    </row>
    <row r="126" spans="1:43" x14ac:dyDescent="0.3">
      <c r="A126" s="2233" t="s">
        <v>1986</v>
      </c>
      <c r="B126" s="2234"/>
      <c r="C126" s="2234"/>
      <c r="D126" s="2234"/>
      <c r="E126" s="2234"/>
      <c r="F126" s="2234"/>
      <c r="G126" s="2234"/>
      <c r="H126" s="2234"/>
      <c r="I126" s="2238">
        <v>4</v>
      </c>
      <c r="J126" s="2238"/>
      <c r="K126" s="2238"/>
      <c r="L126" s="2238"/>
      <c r="M126" s="2238"/>
      <c r="N126" s="2238"/>
      <c r="O126" s="2238"/>
      <c r="P126" s="2238"/>
      <c r="Q126" s="2246">
        <f>ROUND((K95-O95)*$Q$74*$Q$75*(1+$Q$78+$K$103)*$Q$77,3)</f>
        <v>2.5000000000000001E-2</v>
      </c>
      <c r="R126" s="2246"/>
      <c r="S126" s="2246"/>
      <c r="T126" s="2246"/>
      <c r="U126" s="2246"/>
      <c r="V126" s="2246"/>
      <c r="W126" s="2246"/>
      <c r="X126" s="2246"/>
      <c r="Y126" s="2247">
        <f>ROUND((K95-O95)*$Q$74*$Q$76*(1+$Q$79+$O$103)*$Q$77,2)</f>
        <v>179.26</v>
      </c>
      <c r="Z126" s="2247"/>
      <c r="AA126" s="2247"/>
      <c r="AB126" s="2247"/>
      <c r="AC126" s="2247"/>
      <c r="AD126" s="2247"/>
      <c r="AE126" s="2247"/>
      <c r="AF126" s="2248"/>
    </row>
    <row r="127" spans="1:43" x14ac:dyDescent="0.3">
      <c r="A127" s="2235"/>
      <c r="B127" s="1580"/>
      <c r="C127" s="1580"/>
      <c r="D127" s="1580"/>
      <c r="E127" s="1580"/>
      <c r="F127" s="1580"/>
      <c r="G127" s="1580"/>
      <c r="H127" s="1580"/>
      <c r="I127" s="2227">
        <v>5</v>
      </c>
      <c r="J127" s="2227"/>
      <c r="K127" s="2227"/>
      <c r="L127" s="2227"/>
      <c r="M127" s="2227"/>
      <c r="N127" s="2227"/>
      <c r="O127" s="2227"/>
      <c r="P127" s="2227"/>
      <c r="Q127" s="2246">
        <f>ROUND((K96-O96)*$Q$74*$Q$75*(1+$Q$78+$K$103)*$Q$77,3)</f>
        <v>3.3000000000000002E-2</v>
      </c>
      <c r="R127" s="2246"/>
      <c r="S127" s="2246"/>
      <c r="T127" s="2246"/>
      <c r="U127" s="2246"/>
      <c r="V127" s="2246"/>
      <c r="W127" s="2246"/>
      <c r="X127" s="2246"/>
      <c r="Y127" s="2247">
        <f>ROUND((K96-O96)*$Q$74*$Q$76*(1+$Q$79+$O$103)*$Q$77,2)</f>
        <v>233.3</v>
      </c>
      <c r="Z127" s="2247"/>
      <c r="AA127" s="2247"/>
      <c r="AB127" s="2247"/>
      <c r="AC127" s="2247"/>
      <c r="AD127" s="2247"/>
      <c r="AE127" s="2247"/>
      <c r="AF127" s="2248"/>
    </row>
    <row r="128" spans="1:43" ht="15" thickBot="1" x14ac:dyDescent="0.35">
      <c r="A128" s="2236"/>
      <c r="B128" s="2237"/>
      <c r="C128" s="2237"/>
      <c r="D128" s="2237"/>
      <c r="E128" s="2237"/>
      <c r="F128" s="2237"/>
      <c r="G128" s="2237"/>
      <c r="H128" s="2237"/>
      <c r="I128" s="2230">
        <v>6</v>
      </c>
      <c r="J128" s="2230"/>
      <c r="K128" s="2230"/>
      <c r="L128" s="2230"/>
      <c r="M128" s="2230"/>
      <c r="N128" s="2230"/>
      <c r="O128" s="2230"/>
      <c r="P128" s="2230"/>
      <c r="Q128" s="2249">
        <f>ROUND((K97-O97)*$Q$74*$Q$75*(1+$Q$78+$K$103)*$Q$77,3)</f>
        <v>4.2000000000000003E-2</v>
      </c>
      <c r="R128" s="2249"/>
      <c r="S128" s="2249"/>
      <c r="T128" s="2249"/>
      <c r="U128" s="2249"/>
      <c r="V128" s="2249"/>
      <c r="W128" s="2249"/>
      <c r="X128" s="2249"/>
      <c r="Y128" s="2250">
        <f>ROUND((K97-O97)*$Q$74*$Q$76*(1+$Q$79+$O$103)*$Q$77,2)</f>
        <v>296.55</v>
      </c>
      <c r="Z128" s="2250"/>
      <c r="AA128" s="2250"/>
      <c r="AB128" s="2250"/>
      <c r="AC128" s="2250"/>
      <c r="AD128" s="2250"/>
      <c r="AE128" s="2250"/>
      <c r="AF128" s="2251"/>
    </row>
    <row r="130" spans="1:32" x14ac:dyDescent="0.3">
      <c r="A130" s="3"/>
      <c r="B130" s="231" t="s">
        <v>1991</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 thickBot="1" x14ac:dyDescent="0.3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 thickBot="1" x14ac:dyDescent="0.35">
      <c r="A132" s="2241" t="s">
        <v>1984</v>
      </c>
      <c r="B132" s="2242"/>
      <c r="C132" s="2242"/>
      <c r="D132" s="2242"/>
      <c r="E132" s="2242"/>
      <c r="F132" s="2242"/>
      <c r="G132" s="2242"/>
      <c r="H132" s="2243"/>
      <c r="I132" s="2242" t="s">
        <v>15</v>
      </c>
      <c r="J132" s="2242"/>
      <c r="K132" s="2242"/>
      <c r="L132" s="2242"/>
      <c r="M132" s="2242"/>
      <c r="N132" s="2242"/>
      <c r="O132" s="2242"/>
      <c r="P132" s="2242"/>
      <c r="Q132" s="2244" t="s">
        <v>1826</v>
      </c>
      <c r="R132" s="2244"/>
      <c r="S132" s="2244"/>
      <c r="T132" s="2244"/>
      <c r="U132" s="2244"/>
      <c r="V132" s="2244"/>
      <c r="W132" s="2244"/>
      <c r="X132" s="2245"/>
    </row>
    <row r="133" spans="1:32" x14ac:dyDescent="0.3">
      <c r="A133" s="2218" t="s">
        <v>1985</v>
      </c>
      <c r="B133" s="2219"/>
      <c r="C133" s="2219"/>
      <c r="D133" s="2219"/>
      <c r="E133" s="2219"/>
      <c r="F133" s="2219"/>
      <c r="G133" s="2219"/>
      <c r="H133" s="2219"/>
      <c r="I133" s="2224">
        <v>4</v>
      </c>
      <c r="J133" s="2224"/>
      <c r="K133" s="2224"/>
      <c r="L133" s="2224"/>
      <c r="M133" s="2224"/>
      <c r="N133" s="2224"/>
      <c r="O133" s="2224"/>
      <c r="P133" s="2224"/>
      <c r="Q133" s="2225">
        <f t="shared" ref="Q133:Q138" si="2">ROUND(Y113*$Q$85+Y123*($Q$87-$Q$85),2)</f>
        <v>1233.67</v>
      </c>
      <c r="R133" s="2225"/>
      <c r="S133" s="2225"/>
      <c r="T133" s="2225"/>
      <c r="U133" s="2225"/>
      <c r="V133" s="2225"/>
      <c r="W133" s="2225"/>
      <c r="X133" s="2226"/>
    </row>
    <row r="134" spans="1:32" x14ac:dyDescent="0.3">
      <c r="A134" s="2220"/>
      <c r="B134" s="2221"/>
      <c r="C134" s="2221"/>
      <c r="D134" s="2221"/>
      <c r="E134" s="2221"/>
      <c r="F134" s="2221"/>
      <c r="G134" s="2221"/>
      <c r="H134" s="2221"/>
      <c r="I134" s="2227">
        <v>5</v>
      </c>
      <c r="J134" s="2227"/>
      <c r="K134" s="2227"/>
      <c r="L134" s="2227"/>
      <c r="M134" s="2227"/>
      <c r="N134" s="2227"/>
      <c r="O134" s="2227"/>
      <c r="P134" s="2227"/>
      <c r="Q134" s="2228">
        <f t="shared" si="2"/>
        <v>1603.21</v>
      </c>
      <c r="R134" s="2228"/>
      <c r="S134" s="2228"/>
      <c r="T134" s="2228"/>
      <c r="U134" s="2228"/>
      <c r="V134" s="2228"/>
      <c r="W134" s="2228"/>
      <c r="X134" s="2229"/>
    </row>
    <row r="135" spans="1:32" ht="15" thickBot="1" x14ac:dyDescent="0.35">
      <c r="A135" s="2222"/>
      <c r="B135" s="2223"/>
      <c r="C135" s="2223"/>
      <c r="D135" s="2223"/>
      <c r="E135" s="2223"/>
      <c r="F135" s="2223"/>
      <c r="G135" s="2223"/>
      <c r="H135" s="2223"/>
      <c r="I135" s="2230">
        <v>6</v>
      </c>
      <c r="J135" s="2230"/>
      <c r="K135" s="2230"/>
      <c r="L135" s="2230"/>
      <c r="M135" s="2230"/>
      <c r="N135" s="2230"/>
      <c r="O135" s="2230"/>
      <c r="P135" s="2230"/>
      <c r="Q135" s="2231">
        <f t="shared" si="2"/>
        <v>2033.86</v>
      </c>
      <c r="R135" s="2231"/>
      <c r="S135" s="2231"/>
      <c r="T135" s="2231"/>
      <c r="U135" s="2231"/>
      <c r="V135" s="2231"/>
      <c r="W135" s="2231"/>
      <c r="X135" s="2232"/>
    </row>
    <row r="136" spans="1:32" x14ac:dyDescent="0.3">
      <c r="A136" s="2233" t="s">
        <v>1986</v>
      </c>
      <c r="B136" s="2234"/>
      <c r="C136" s="2234"/>
      <c r="D136" s="2234"/>
      <c r="E136" s="2234"/>
      <c r="F136" s="2234"/>
      <c r="G136" s="2234"/>
      <c r="H136" s="2234"/>
      <c r="I136" s="2238">
        <v>4</v>
      </c>
      <c r="J136" s="2238"/>
      <c r="K136" s="2238"/>
      <c r="L136" s="2238"/>
      <c r="M136" s="2238"/>
      <c r="N136" s="2238"/>
      <c r="O136" s="2238"/>
      <c r="P136" s="2238"/>
      <c r="Q136" s="2239">
        <f t="shared" si="2"/>
        <v>1489.41</v>
      </c>
      <c r="R136" s="2239"/>
      <c r="S136" s="2239"/>
      <c r="T136" s="2239"/>
      <c r="U136" s="2239"/>
      <c r="V136" s="2239"/>
      <c r="W136" s="2239"/>
      <c r="X136" s="2240"/>
    </row>
    <row r="137" spans="1:32" x14ac:dyDescent="0.3">
      <c r="A137" s="2235"/>
      <c r="B137" s="1580"/>
      <c r="C137" s="1580"/>
      <c r="D137" s="1580"/>
      <c r="E137" s="1580"/>
      <c r="F137" s="1580"/>
      <c r="G137" s="1580"/>
      <c r="H137" s="1580"/>
      <c r="I137" s="2227">
        <v>5</v>
      </c>
      <c r="J137" s="2227"/>
      <c r="K137" s="2227"/>
      <c r="L137" s="2227"/>
      <c r="M137" s="2227"/>
      <c r="N137" s="2227"/>
      <c r="O137" s="2227"/>
      <c r="P137" s="2227"/>
      <c r="Q137" s="2239">
        <f t="shared" si="2"/>
        <v>1935.56</v>
      </c>
      <c r="R137" s="2239"/>
      <c r="S137" s="2239"/>
      <c r="T137" s="2239"/>
      <c r="U137" s="2239"/>
      <c r="V137" s="2239"/>
      <c r="W137" s="2239"/>
      <c r="X137" s="2240"/>
    </row>
    <row r="138" spans="1:32" ht="15" thickBot="1" x14ac:dyDescent="0.35">
      <c r="A138" s="2236"/>
      <c r="B138" s="2237"/>
      <c r="C138" s="2237"/>
      <c r="D138" s="2237"/>
      <c r="E138" s="2237"/>
      <c r="F138" s="2237"/>
      <c r="G138" s="2237"/>
      <c r="H138" s="2237"/>
      <c r="I138" s="2230">
        <v>6</v>
      </c>
      <c r="J138" s="2230"/>
      <c r="K138" s="2230"/>
      <c r="L138" s="2230"/>
      <c r="M138" s="2230"/>
      <c r="N138" s="2230"/>
      <c r="O138" s="2230"/>
      <c r="P138" s="2230"/>
      <c r="Q138" s="2231">
        <f t="shared" si="2"/>
        <v>2455.4</v>
      </c>
      <c r="R138" s="2231"/>
      <c r="S138" s="2231"/>
      <c r="T138" s="2231"/>
      <c r="U138" s="2231"/>
      <c r="V138" s="2231"/>
      <c r="W138" s="2231"/>
      <c r="X138" s="2232"/>
    </row>
    <row r="140" spans="1:32" x14ac:dyDescent="0.3">
      <c r="A140" s="3"/>
      <c r="B140" s="231" t="s">
        <v>1992</v>
      </c>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 thickBot="1" x14ac:dyDescent="0.3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 thickBot="1" x14ac:dyDescent="0.35">
      <c r="A142" s="2213" t="s">
        <v>1984</v>
      </c>
      <c r="B142" s="2214"/>
      <c r="C142" s="2214"/>
      <c r="D142" s="2214"/>
      <c r="E142" s="2214"/>
      <c r="F142" s="2214"/>
      <c r="G142" s="2214"/>
      <c r="H142" s="2215"/>
      <c r="I142" s="2214" t="s">
        <v>15</v>
      </c>
      <c r="J142" s="2214"/>
      <c r="K142" s="2214"/>
      <c r="L142" s="2214"/>
      <c r="M142" s="2214"/>
      <c r="N142" s="2214"/>
      <c r="O142" s="2214"/>
      <c r="P142" s="2214"/>
      <c r="Q142" s="2216" t="s">
        <v>1826</v>
      </c>
      <c r="R142" s="2216"/>
      <c r="S142" s="2216"/>
      <c r="T142" s="2216"/>
      <c r="U142" s="2216"/>
      <c r="V142" s="2216"/>
      <c r="W142" s="2216"/>
      <c r="X142" s="2217"/>
    </row>
    <row r="143" spans="1:32" x14ac:dyDescent="0.3">
      <c r="A143" s="2218" t="s">
        <v>1985</v>
      </c>
      <c r="B143" s="2219"/>
      <c r="C143" s="2219"/>
      <c r="D143" s="2219"/>
      <c r="E143" s="2219"/>
      <c r="F143" s="2219"/>
      <c r="G143" s="2219"/>
      <c r="H143" s="2219"/>
      <c r="I143" s="2224">
        <v>4</v>
      </c>
      <c r="J143" s="2224"/>
      <c r="K143" s="2224"/>
      <c r="L143" s="2224"/>
      <c r="M143" s="2224"/>
      <c r="N143" s="2224"/>
      <c r="O143" s="2224"/>
      <c r="P143" s="2224"/>
      <c r="Q143" s="2225">
        <f t="shared" ref="Q143:Q148" si="3">ROUND(Y123*$Q$87,2)</f>
        <v>1187.8399999999999</v>
      </c>
      <c r="R143" s="2225"/>
      <c r="S143" s="2225"/>
      <c r="T143" s="2225"/>
      <c r="U143" s="2225"/>
      <c r="V143" s="2225"/>
      <c r="W143" s="2225"/>
      <c r="X143" s="2226"/>
    </row>
    <row r="144" spans="1:32" x14ac:dyDescent="0.3">
      <c r="A144" s="2220"/>
      <c r="B144" s="2221"/>
      <c r="C144" s="2221"/>
      <c r="D144" s="2221"/>
      <c r="E144" s="2221"/>
      <c r="F144" s="2221"/>
      <c r="G144" s="2221"/>
      <c r="H144" s="2221"/>
      <c r="I144" s="2227">
        <v>5</v>
      </c>
      <c r="J144" s="2227"/>
      <c r="K144" s="2227"/>
      <c r="L144" s="2227"/>
      <c r="M144" s="2227"/>
      <c r="N144" s="2227"/>
      <c r="O144" s="2227"/>
      <c r="P144" s="2227"/>
      <c r="Q144" s="2228">
        <f t="shared" si="3"/>
        <v>1545.92</v>
      </c>
      <c r="R144" s="2228"/>
      <c r="S144" s="2228"/>
      <c r="T144" s="2228"/>
      <c r="U144" s="2228"/>
      <c r="V144" s="2228"/>
      <c r="W144" s="2228"/>
      <c r="X144" s="2229"/>
    </row>
    <row r="145" spans="1:32" ht="15" thickBot="1" x14ac:dyDescent="0.35">
      <c r="A145" s="2222"/>
      <c r="B145" s="2223"/>
      <c r="C145" s="2223"/>
      <c r="D145" s="2223"/>
      <c r="E145" s="2223"/>
      <c r="F145" s="2223"/>
      <c r="G145" s="2223"/>
      <c r="H145" s="2223"/>
      <c r="I145" s="2230">
        <v>6</v>
      </c>
      <c r="J145" s="2230"/>
      <c r="K145" s="2230"/>
      <c r="L145" s="2230"/>
      <c r="M145" s="2230"/>
      <c r="N145" s="2230"/>
      <c r="O145" s="2230"/>
      <c r="P145" s="2230"/>
      <c r="Q145" s="2231">
        <f>ROUND(Y125*$Q$87,2)</f>
        <v>1965.12</v>
      </c>
      <c r="R145" s="2231"/>
      <c r="S145" s="2231"/>
      <c r="T145" s="2231"/>
      <c r="U145" s="2231"/>
      <c r="V145" s="2231"/>
      <c r="W145" s="2231"/>
      <c r="X145" s="2232"/>
    </row>
    <row r="146" spans="1:32" x14ac:dyDescent="0.3">
      <c r="A146" s="2233" t="s">
        <v>1986</v>
      </c>
      <c r="B146" s="2234"/>
      <c r="C146" s="2234"/>
      <c r="D146" s="2234"/>
      <c r="E146" s="2234"/>
      <c r="F146" s="2234"/>
      <c r="G146" s="2234"/>
      <c r="H146" s="2234"/>
      <c r="I146" s="2238">
        <v>4</v>
      </c>
      <c r="J146" s="2238"/>
      <c r="K146" s="2238"/>
      <c r="L146" s="2238"/>
      <c r="M146" s="2238"/>
      <c r="N146" s="2238"/>
      <c r="O146" s="2238"/>
      <c r="P146" s="2238"/>
      <c r="Q146" s="2239">
        <f t="shared" si="3"/>
        <v>1434.08</v>
      </c>
      <c r="R146" s="2239"/>
      <c r="S146" s="2239"/>
      <c r="T146" s="2239"/>
      <c r="U146" s="2239"/>
      <c r="V146" s="2239"/>
      <c r="W146" s="2239"/>
      <c r="X146" s="2240"/>
    </row>
    <row r="147" spans="1:32" x14ac:dyDescent="0.3">
      <c r="A147" s="2235"/>
      <c r="B147" s="1580"/>
      <c r="C147" s="1580"/>
      <c r="D147" s="1580"/>
      <c r="E147" s="1580"/>
      <c r="F147" s="1580"/>
      <c r="G147" s="1580"/>
      <c r="H147" s="1580"/>
      <c r="I147" s="2227">
        <v>5</v>
      </c>
      <c r="J147" s="2227"/>
      <c r="K147" s="2227"/>
      <c r="L147" s="2227"/>
      <c r="M147" s="2227"/>
      <c r="N147" s="2227"/>
      <c r="O147" s="2227"/>
      <c r="P147" s="2227"/>
      <c r="Q147" s="2239">
        <f t="shared" si="3"/>
        <v>1866.4</v>
      </c>
      <c r="R147" s="2239"/>
      <c r="S147" s="2239"/>
      <c r="T147" s="2239"/>
      <c r="U147" s="2239"/>
      <c r="V147" s="2239"/>
      <c r="W147" s="2239"/>
      <c r="X147" s="2240"/>
    </row>
    <row r="148" spans="1:32" ht="15" thickBot="1" x14ac:dyDescent="0.35">
      <c r="A148" s="2236"/>
      <c r="B148" s="2237"/>
      <c r="C148" s="2237"/>
      <c r="D148" s="2237"/>
      <c r="E148" s="2237"/>
      <c r="F148" s="2237"/>
      <c r="G148" s="2237"/>
      <c r="H148" s="2237"/>
      <c r="I148" s="2230">
        <v>6</v>
      </c>
      <c r="J148" s="2230"/>
      <c r="K148" s="2230"/>
      <c r="L148" s="2230"/>
      <c r="M148" s="2230"/>
      <c r="N148" s="2230"/>
      <c r="O148" s="2230"/>
      <c r="P148" s="2230"/>
      <c r="Q148" s="2231">
        <f t="shared" si="3"/>
        <v>2372.4</v>
      </c>
      <c r="R148" s="2231"/>
      <c r="S148" s="2231"/>
      <c r="T148" s="2231"/>
      <c r="U148" s="2231"/>
      <c r="V148" s="2231"/>
      <c r="W148" s="2231"/>
      <c r="X148" s="2232"/>
    </row>
    <row r="150" spans="1:32" x14ac:dyDescent="0.3">
      <c r="A150" s="1141" t="s">
        <v>1514</v>
      </c>
      <c r="B150" s="1141"/>
      <c r="C150" s="1141"/>
      <c r="D150" s="1141"/>
      <c r="E150" s="1141"/>
      <c r="F150" s="1141"/>
      <c r="G150" s="1141"/>
      <c r="H150" s="1141"/>
      <c r="I150" s="1141"/>
      <c r="J150" s="1141"/>
      <c r="K150" s="1141"/>
      <c r="L150" s="1141"/>
      <c r="M150" s="1141"/>
      <c r="N150" s="1141"/>
      <c r="O150" s="1141"/>
      <c r="P150" s="1141"/>
      <c r="Q150" s="1141"/>
      <c r="R150" s="1141"/>
      <c r="S150" s="1141"/>
      <c r="T150" s="1141"/>
      <c r="U150" s="1141"/>
      <c r="V150" s="1141"/>
      <c r="W150" s="1141"/>
      <c r="X150" s="1141"/>
      <c r="Y150" s="1141"/>
      <c r="Z150" s="1141"/>
      <c r="AA150" s="1141"/>
      <c r="AB150" s="1141"/>
      <c r="AC150" s="1141"/>
      <c r="AD150" s="1141"/>
      <c r="AE150" s="1141"/>
      <c r="AF150" s="1141"/>
    </row>
    <row r="152" spans="1:32" x14ac:dyDescent="0.3">
      <c r="A152" s="370" t="s">
        <v>803</v>
      </c>
      <c r="B152" s="884" t="s">
        <v>5770</v>
      </c>
      <c r="C152" s="884"/>
      <c r="D152" s="884"/>
      <c r="E152" s="884"/>
      <c r="F152" s="884"/>
      <c r="G152" s="884"/>
      <c r="H152" s="884"/>
      <c r="I152" s="884"/>
      <c r="J152" s="884"/>
      <c r="K152" s="884"/>
      <c r="L152" s="884"/>
      <c r="M152" s="884"/>
      <c r="N152" s="884"/>
      <c r="O152" s="884"/>
      <c r="P152" s="884"/>
      <c r="Q152" s="884"/>
      <c r="R152" s="884"/>
      <c r="S152" s="884"/>
      <c r="T152" s="884"/>
      <c r="U152" s="884"/>
      <c r="V152" s="884"/>
      <c r="W152" s="884"/>
      <c r="X152" s="884"/>
      <c r="Y152" s="884"/>
      <c r="Z152" s="884"/>
      <c r="AA152" s="884"/>
      <c r="AB152" s="884"/>
      <c r="AC152" s="884"/>
      <c r="AD152" s="884"/>
      <c r="AE152" s="884"/>
      <c r="AF152" s="884"/>
    </row>
    <row r="153" spans="1:32" s="8" customFormat="1" ht="36" customHeight="1" x14ac:dyDescent="0.3">
      <c r="A153" s="370" t="s">
        <v>803</v>
      </c>
      <c r="B153" s="884" t="s">
        <v>5777</v>
      </c>
      <c r="C153" s="884"/>
      <c r="D153" s="884"/>
      <c r="E153" s="884"/>
      <c r="F153" s="884"/>
      <c r="G153" s="884"/>
      <c r="H153" s="884"/>
      <c r="I153" s="884"/>
      <c r="J153" s="884"/>
      <c r="K153" s="884"/>
      <c r="L153" s="884"/>
      <c r="M153" s="884"/>
      <c r="N153" s="884"/>
      <c r="O153" s="884"/>
      <c r="P153" s="884"/>
      <c r="Q153" s="884"/>
      <c r="R153" s="884"/>
      <c r="S153" s="884"/>
      <c r="T153" s="884"/>
      <c r="U153" s="884"/>
      <c r="V153" s="884"/>
      <c r="W153" s="884"/>
      <c r="X153" s="884"/>
      <c r="Y153" s="884"/>
      <c r="Z153" s="884"/>
      <c r="AA153" s="884"/>
      <c r="AB153" s="884"/>
      <c r="AC153" s="884"/>
      <c r="AD153" s="884"/>
      <c r="AE153" s="884"/>
      <c r="AF153" s="884"/>
    </row>
    <row r="154" spans="1:32" ht="52.5" customHeight="1" x14ac:dyDescent="0.3">
      <c r="A154" s="368" t="s">
        <v>803</v>
      </c>
      <c r="B154" s="889" t="s">
        <v>1993</v>
      </c>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row>
    <row r="155" spans="1:32" ht="66.75" customHeight="1" x14ac:dyDescent="0.3">
      <c r="A155" s="368" t="s">
        <v>803</v>
      </c>
      <c r="B155" s="889" t="s">
        <v>1995</v>
      </c>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row>
    <row r="156" spans="1:32" ht="35.25" customHeight="1" x14ac:dyDescent="0.3">
      <c r="A156" s="368" t="s">
        <v>803</v>
      </c>
      <c r="B156" s="889" t="s">
        <v>1918</v>
      </c>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row>
    <row r="157" spans="1:32" x14ac:dyDescent="0.3">
      <c r="A157" s="368" t="s">
        <v>803</v>
      </c>
      <c r="B157" s="889" t="s">
        <v>1570</v>
      </c>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row>
    <row r="158" spans="1:32" ht="33.75" customHeight="1" x14ac:dyDescent="0.3">
      <c r="A158" s="368" t="s">
        <v>803</v>
      </c>
      <c r="B158" s="889" t="s">
        <v>2819</v>
      </c>
      <c r="C158" s="889"/>
      <c r="D158" s="88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row>
    <row r="159" spans="1:32" ht="34.5" customHeight="1" x14ac:dyDescent="0.3">
      <c r="A159" s="368" t="s">
        <v>803</v>
      </c>
      <c r="B159" s="889" t="s">
        <v>1926</v>
      </c>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row>
    <row r="160" spans="1:32" ht="33" customHeight="1" x14ac:dyDescent="0.3">
      <c r="A160" s="368" t="s">
        <v>803</v>
      </c>
      <c r="B160" s="889" t="s">
        <v>1352</v>
      </c>
      <c r="C160" s="889"/>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row>
    <row r="161" spans="1:32" ht="31.5" customHeight="1" x14ac:dyDescent="0.3">
      <c r="A161" s="368" t="s">
        <v>803</v>
      </c>
      <c r="B161" s="889" t="s">
        <v>1896</v>
      </c>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c r="AE161" s="889"/>
      <c r="AF161" s="889"/>
    </row>
    <row r="162" spans="1:32" x14ac:dyDescent="0.3">
      <c r="A162" s="368" t="s">
        <v>803</v>
      </c>
      <c r="B162" s="889" t="s">
        <v>1510</v>
      </c>
      <c r="C162" s="889"/>
      <c r="D162" s="889"/>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c r="AE162" s="889"/>
      <c r="AF162" s="889"/>
    </row>
    <row r="163" spans="1:32" ht="48" customHeight="1" x14ac:dyDescent="0.3">
      <c r="A163" s="368" t="s">
        <v>803</v>
      </c>
      <c r="B163" s="889" t="s">
        <v>1994</v>
      </c>
      <c r="C163" s="889"/>
      <c r="D163" s="88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row>
  </sheetData>
  <sheetProtection algorithmName="SHA-512" hashValue="rbrV/76V/n6Uv65AHC738700FezLXAku5yRlluF0OovjcL9LOls6Wzr2L1KP8hGdOrllDuFsakt8eWKrGGVgRw==" saltValue="LznMPe9DaiSL8tJhBoWmwg==" spinCount="100000" sheet="1" objects="1" scenarios="1"/>
  <mergeCells count="253">
    <mergeCell ref="A116:H118"/>
    <mergeCell ref="Q116:T116"/>
    <mergeCell ref="U116:X116"/>
    <mergeCell ref="Y116:AB116"/>
    <mergeCell ref="AC116:AF116"/>
    <mergeCell ref="Q117:T117"/>
    <mergeCell ref="U117:X117"/>
    <mergeCell ref="Y117:AB117"/>
    <mergeCell ref="AC117:AF117"/>
    <mergeCell ref="I118:P118"/>
    <mergeCell ref="Q118:T118"/>
    <mergeCell ref="U118:X118"/>
    <mergeCell ref="Y118:AB118"/>
    <mergeCell ref="AC118:AF118"/>
    <mergeCell ref="I116:P116"/>
    <mergeCell ref="I117:P117"/>
    <mergeCell ref="A1:AF1"/>
    <mergeCell ref="O97:R97"/>
    <mergeCell ref="G96:J96"/>
    <mergeCell ref="G97:J97"/>
    <mergeCell ref="A107:AF107"/>
    <mergeCell ref="A94:F94"/>
    <mergeCell ref="K95:N95"/>
    <mergeCell ref="K96:N96"/>
    <mergeCell ref="K97:N97"/>
    <mergeCell ref="G95:J95"/>
    <mergeCell ref="O95:R95"/>
    <mergeCell ref="O96:R96"/>
    <mergeCell ref="A27:AF27"/>
    <mergeCell ref="A69:AF69"/>
    <mergeCell ref="A70:D70"/>
    <mergeCell ref="E70:P70"/>
    <mergeCell ref="Q70:T70"/>
    <mergeCell ref="U70:W70"/>
    <mergeCell ref="X70:AF70"/>
    <mergeCell ref="A7:AF7"/>
    <mergeCell ref="B9:I9"/>
    <mergeCell ref="B10:AF10"/>
    <mergeCell ref="B12:I12"/>
    <mergeCell ref="B13:AF13"/>
    <mergeCell ref="A3:AF3"/>
    <mergeCell ref="B5:AF5"/>
    <mergeCell ref="B21:AF21"/>
    <mergeCell ref="A71:D71"/>
    <mergeCell ref="E71:P71"/>
    <mergeCell ref="Q71:T71"/>
    <mergeCell ref="U71:W71"/>
    <mergeCell ref="X71:AF71"/>
    <mergeCell ref="I113:P113"/>
    <mergeCell ref="Q111:X111"/>
    <mergeCell ref="Y111:AF111"/>
    <mergeCell ref="B15:I15"/>
    <mergeCell ref="B16:AF16"/>
    <mergeCell ref="B18:I18"/>
    <mergeCell ref="B19:AF19"/>
    <mergeCell ref="A72:D72"/>
    <mergeCell ref="E72:P72"/>
    <mergeCell ref="Q72:T72"/>
    <mergeCell ref="U72:W72"/>
    <mergeCell ref="X72:AF72"/>
    <mergeCell ref="A73:D73"/>
    <mergeCell ref="E73:P73"/>
    <mergeCell ref="Q73:T73"/>
    <mergeCell ref="U73:W73"/>
    <mergeCell ref="X73:AF73"/>
    <mergeCell ref="A74:D74"/>
    <mergeCell ref="E74:P74"/>
    <mergeCell ref="Q74:T74"/>
    <mergeCell ref="U74:W74"/>
    <mergeCell ref="X74:AF74"/>
    <mergeCell ref="A75:D75"/>
    <mergeCell ref="E75:P75"/>
    <mergeCell ref="Q75:T75"/>
    <mergeCell ref="U75:W75"/>
    <mergeCell ref="X75:AF75"/>
    <mergeCell ref="X77:AF77"/>
    <mergeCell ref="A85:D85"/>
    <mergeCell ref="E85:P85"/>
    <mergeCell ref="Q85:T85"/>
    <mergeCell ref="U85:W85"/>
    <mergeCell ref="X85:AF85"/>
    <mergeCell ref="A86:D86"/>
    <mergeCell ref="E86:P86"/>
    <mergeCell ref="Q86:T86"/>
    <mergeCell ref="U86:W86"/>
    <mergeCell ref="X86:AF86"/>
    <mergeCell ref="A78:D78"/>
    <mergeCell ref="E78:P78"/>
    <mergeCell ref="Q78:T78"/>
    <mergeCell ref="U78:W78"/>
    <mergeCell ref="X78:AF78"/>
    <mergeCell ref="A79:D79"/>
    <mergeCell ref="E79:P79"/>
    <mergeCell ref="Q79:T79"/>
    <mergeCell ref="U79:W79"/>
    <mergeCell ref="X79:AF79"/>
    <mergeCell ref="A76:D76"/>
    <mergeCell ref="E76:P76"/>
    <mergeCell ref="Q76:T76"/>
    <mergeCell ref="U76:W76"/>
    <mergeCell ref="X76:AF76"/>
    <mergeCell ref="A84:D84"/>
    <mergeCell ref="E84:P84"/>
    <mergeCell ref="Q84:T84"/>
    <mergeCell ref="U84:W84"/>
    <mergeCell ref="X84:AF84"/>
    <mergeCell ref="A82:D82"/>
    <mergeCell ref="E82:P82"/>
    <mergeCell ref="Q82:T82"/>
    <mergeCell ref="U82:W82"/>
    <mergeCell ref="X82:AF82"/>
    <mergeCell ref="A83:D83"/>
    <mergeCell ref="E83:P83"/>
    <mergeCell ref="Q83:T83"/>
    <mergeCell ref="U83:W83"/>
    <mergeCell ref="X83:AF83"/>
    <mergeCell ref="A77:D77"/>
    <mergeCell ref="E77:P77"/>
    <mergeCell ref="Q77:T77"/>
    <mergeCell ref="U77:W77"/>
    <mergeCell ref="X87:AF87"/>
    <mergeCell ref="A80:D80"/>
    <mergeCell ref="E80:P80"/>
    <mergeCell ref="Q80:T80"/>
    <mergeCell ref="U80:W80"/>
    <mergeCell ref="X80:AF80"/>
    <mergeCell ref="A81:D81"/>
    <mergeCell ref="E81:P81"/>
    <mergeCell ref="Q81:T81"/>
    <mergeCell ref="U81:W81"/>
    <mergeCell ref="X81:AF81"/>
    <mergeCell ref="A87:D87"/>
    <mergeCell ref="E87:P87"/>
    <mergeCell ref="Q87:T87"/>
    <mergeCell ref="U87:W87"/>
    <mergeCell ref="A103:F103"/>
    <mergeCell ref="G103:J103"/>
    <mergeCell ref="K103:N103"/>
    <mergeCell ref="O103:R103"/>
    <mergeCell ref="A104:AF104"/>
    <mergeCell ref="A88:AF88"/>
    <mergeCell ref="A89:AF89"/>
    <mergeCell ref="A90:AF90"/>
    <mergeCell ref="A91:AF91"/>
    <mergeCell ref="A101:F101"/>
    <mergeCell ref="G101:J101"/>
    <mergeCell ref="K101:N101"/>
    <mergeCell ref="O101:R101"/>
    <mergeCell ref="A102:F102"/>
    <mergeCell ref="G102:J102"/>
    <mergeCell ref="K102:N102"/>
    <mergeCell ref="O102:R102"/>
    <mergeCell ref="A95:F95"/>
    <mergeCell ref="A96:F96"/>
    <mergeCell ref="A97:F97"/>
    <mergeCell ref="O94:R94"/>
    <mergeCell ref="G94:J94"/>
    <mergeCell ref="K94:N94"/>
    <mergeCell ref="A98:AF98"/>
    <mergeCell ref="A105:AF105"/>
    <mergeCell ref="A113:H115"/>
    <mergeCell ref="A111:H112"/>
    <mergeCell ref="I111:P112"/>
    <mergeCell ref="Q112:T112"/>
    <mergeCell ref="U112:X112"/>
    <mergeCell ref="Y112:AB112"/>
    <mergeCell ref="AC112:AF112"/>
    <mergeCell ref="Q113:T113"/>
    <mergeCell ref="U113:X113"/>
    <mergeCell ref="Y113:AB113"/>
    <mergeCell ref="AC113:AF113"/>
    <mergeCell ref="I114:P114"/>
    <mergeCell ref="I115:P115"/>
    <mergeCell ref="Q114:T114"/>
    <mergeCell ref="U114:X114"/>
    <mergeCell ref="Y114:AB114"/>
    <mergeCell ref="AC114:AF114"/>
    <mergeCell ref="Q115:T115"/>
    <mergeCell ref="U115:X115"/>
    <mergeCell ref="Y115:AB115"/>
    <mergeCell ref="AC115:AF115"/>
    <mergeCell ref="A122:H122"/>
    <mergeCell ref="I122:P122"/>
    <mergeCell ref="Q122:X122"/>
    <mergeCell ref="Y122:AF122"/>
    <mergeCell ref="A123:H125"/>
    <mergeCell ref="I123:P123"/>
    <mergeCell ref="Q123:X123"/>
    <mergeCell ref="Y123:AF123"/>
    <mergeCell ref="I124:P124"/>
    <mergeCell ref="Q124:X124"/>
    <mergeCell ref="Y124:AF124"/>
    <mergeCell ref="I125:P125"/>
    <mergeCell ref="Q125:X125"/>
    <mergeCell ref="Y125:AF125"/>
    <mergeCell ref="A126:H128"/>
    <mergeCell ref="I126:P126"/>
    <mergeCell ref="Q126:X126"/>
    <mergeCell ref="Y126:AF126"/>
    <mergeCell ref="I127:P127"/>
    <mergeCell ref="Q127:X127"/>
    <mergeCell ref="Y127:AF127"/>
    <mergeCell ref="I128:P128"/>
    <mergeCell ref="Q128:X128"/>
    <mergeCell ref="Y128:AF128"/>
    <mergeCell ref="I138:P138"/>
    <mergeCell ref="Q138:X138"/>
    <mergeCell ref="A132:H132"/>
    <mergeCell ref="I132:P132"/>
    <mergeCell ref="Q132:X132"/>
    <mergeCell ref="A133:H135"/>
    <mergeCell ref="I133:P133"/>
    <mergeCell ref="Q133:X133"/>
    <mergeCell ref="I134:P134"/>
    <mergeCell ref="Q134:X134"/>
    <mergeCell ref="I135:P135"/>
    <mergeCell ref="Q135:X135"/>
    <mergeCell ref="B162:AF162"/>
    <mergeCell ref="B163:AF163"/>
    <mergeCell ref="A146:H148"/>
    <mergeCell ref="I146:P146"/>
    <mergeCell ref="Q146:X146"/>
    <mergeCell ref="I147:P147"/>
    <mergeCell ref="Q147:X147"/>
    <mergeCell ref="I148:P148"/>
    <mergeCell ref="Q148:X148"/>
    <mergeCell ref="A150:AF150"/>
    <mergeCell ref="B154:AF154"/>
    <mergeCell ref="B153:AF153"/>
    <mergeCell ref="B24:AF24"/>
    <mergeCell ref="B152:AF152"/>
    <mergeCell ref="B155:AF155"/>
    <mergeCell ref="B156:AF156"/>
    <mergeCell ref="B157:AF157"/>
    <mergeCell ref="B158:AF158"/>
    <mergeCell ref="B159:AF159"/>
    <mergeCell ref="B160:AF160"/>
    <mergeCell ref="B161:AF161"/>
    <mergeCell ref="A142:H142"/>
    <mergeCell ref="I142:P142"/>
    <mergeCell ref="Q142:X142"/>
    <mergeCell ref="A143:H145"/>
    <mergeCell ref="I143:P143"/>
    <mergeCell ref="Q143:X143"/>
    <mergeCell ref="I144:P144"/>
    <mergeCell ref="Q144:X144"/>
    <mergeCell ref="I145:P145"/>
    <mergeCell ref="Q145:X145"/>
    <mergeCell ref="A136:H138"/>
    <mergeCell ref="I136:P136"/>
    <mergeCell ref="Q136:X136"/>
    <mergeCell ref="I137:P137"/>
    <mergeCell ref="Q137:X137"/>
  </mergeCells>
  <hyperlinks>
    <hyperlink ref="A2" location="TOC!A1" display="Return to TOC" xr:uid="{00000000-0004-0000-2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67" numberStoredAsText="1"/>
    <ignoredError sqref="Y113:AB118" formula="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theme="4" tint="0.59999389629810485"/>
    <pageSetUpPr autoPageBreaks="0"/>
  </sheetPr>
  <dimension ref="A1:BG137"/>
  <sheetViews>
    <sheetView workbookViewId="0">
      <selection activeCell="A2" sqref="A2"/>
    </sheetView>
  </sheetViews>
  <sheetFormatPr defaultColWidth="2.6640625" defaultRowHeight="14.4" x14ac:dyDescent="0.3"/>
  <cols>
    <col min="1" max="20" width="2.6640625" style="1"/>
    <col min="21" max="21" width="2.6640625" style="1" customWidth="1"/>
    <col min="22" max="16384" width="2.6640625" style="1"/>
  </cols>
  <sheetData>
    <row r="1" spans="1:32" ht="18" x14ac:dyDescent="0.3">
      <c r="A1" s="1131" t="s">
        <v>885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51" t="s">
        <v>3</v>
      </c>
      <c r="C9" s="51"/>
      <c r="D9" s="51"/>
      <c r="E9" s="51"/>
      <c r="F9" s="51"/>
      <c r="G9" s="51"/>
      <c r="H9" s="51"/>
      <c r="I9" s="51"/>
    </row>
    <row r="10" spans="1:32" ht="34.5" customHeight="1" x14ac:dyDescent="0.3">
      <c r="B10" s="872" t="s">
        <v>2960</v>
      </c>
      <c r="C10" s="1142"/>
      <c r="D10" s="1142"/>
      <c r="E10" s="1142"/>
      <c r="F10" s="1142"/>
      <c r="G10" s="1142"/>
      <c r="H10" s="1142"/>
      <c r="I10" s="1142"/>
      <c r="J10" s="1142"/>
      <c r="K10" s="1142"/>
      <c r="L10" s="1142"/>
      <c r="M10" s="1142"/>
      <c r="N10" s="1142"/>
      <c r="O10" s="1142"/>
      <c r="P10" s="1142"/>
      <c r="Q10" s="1142"/>
      <c r="R10" s="1142"/>
      <c r="S10" s="1142"/>
      <c r="T10" s="1142"/>
      <c r="U10" s="1142"/>
      <c r="V10" s="1142"/>
      <c r="W10" s="1142"/>
      <c r="X10" s="1142"/>
      <c r="Y10" s="1142"/>
      <c r="Z10" s="1142"/>
      <c r="AA10" s="1142"/>
      <c r="AB10" s="1142"/>
      <c r="AC10" s="1142"/>
      <c r="AD10" s="1142"/>
      <c r="AE10" s="1142"/>
      <c r="AF10" s="1142"/>
    </row>
    <row r="12" spans="1:32" x14ac:dyDescent="0.3">
      <c r="B12" s="51" t="s">
        <v>4</v>
      </c>
      <c r="C12" s="51"/>
      <c r="D12" s="51"/>
      <c r="E12" s="51"/>
      <c r="F12" s="51"/>
      <c r="G12" s="51"/>
      <c r="H12" s="51"/>
      <c r="I12" s="51"/>
    </row>
    <row r="13" spans="1:32" ht="51.75" customHeight="1" x14ac:dyDescent="0.3">
      <c r="B13" s="953" t="s">
        <v>2133</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x14ac:dyDescent="0.3">
      <c r="B15" s="953" t="s">
        <v>2134</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7" spans="1:32" x14ac:dyDescent="0.3">
      <c r="B17" s="51" t="s">
        <v>5</v>
      </c>
      <c r="C17" s="51"/>
      <c r="D17" s="51"/>
      <c r="E17" s="51"/>
      <c r="F17" s="51"/>
      <c r="G17" s="51"/>
      <c r="H17" s="51"/>
      <c r="I17" s="51"/>
    </row>
    <row r="18" spans="1:32" x14ac:dyDescent="0.3">
      <c r="B18" s="1142" t="s">
        <v>3312</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0" spans="1:32" x14ac:dyDescent="0.3">
      <c r="B20" s="51" t="s">
        <v>6</v>
      </c>
      <c r="C20" s="51"/>
      <c r="D20" s="51"/>
      <c r="E20" s="51"/>
      <c r="F20" s="51"/>
      <c r="G20" s="51"/>
      <c r="H20" s="51"/>
      <c r="I20" s="51"/>
    </row>
    <row r="21" spans="1:32" x14ac:dyDescent="0.3">
      <c r="B21" s="1142" t="s">
        <v>3313</v>
      </c>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row>
    <row r="23" spans="1:32" x14ac:dyDescent="0.3">
      <c r="B23" s="51" t="s">
        <v>13</v>
      </c>
      <c r="C23" s="51"/>
      <c r="D23" s="51"/>
      <c r="E23" s="51"/>
      <c r="F23" s="51"/>
      <c r="G23" s="51"/>
      <c r="H23" s="51"/>
      <c r="I23" s="51"/>
    </row>
    <row r="24" spans="1:32" x14ac:dyDescent="0.3">
      <c r="B24" s="1142" t="s">
        <v>3314</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row>
    <row r="27" spans="1:32" x14ac:dyDescent="0.3">
      <c r="A27" s="1141" t="s">
        <v>7</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9" spans="1:32" x14ac:dyDescent="0.3">
      <c r="B29" s="51" t="s">
        <v>2137</v>
      </c>
    </row>
    <row r="31" spans="1:32" x14ac:dyDescent="0.3">
      <c r="AF31" s="71" t="s">
        <v>1463</v>
      </c>
    </row>
    <row r="33" spans="1:32" x14ac:dyDescent="0.3">
      <c r="A33" s="110"/>
      <c r="B33" s="51" t="s">
        <v>2027</v>
      </c>
      <c r="H33" s="71"/>
    </row>
    <row r="34" spans="1:32" x14ac:dyDescent="0.3">
      <c r="A34" s="110"/>
      <c r="B34" s="51"/>
      <c r="H34" s="71"/>
    </row>
    <row r="35" spans="1:32" x14ac:dyDescent="0.3">
      <c r="A35" s="110"/>
      <c r="B35" s="51"/>
      <c r="H35" s="71"/>
      <c r="AF35" s="71" t="s">
        <v>1464</v>
      </c>
    </row>
    <row r="36" spans="1:32" x14ac:dyDescent="0.3">
      <c r="A36" s="110"/>
      <c r="B36" s="51"/>
      <c r="H36" s="71"/>
    </row>
    <row r="37" spans="1:32" x14ac:dyDescent="0.3">
      <c r="A37" s="110"/>
      <c r="B37" s="51" t="s">
        <v>1811</v>
      </c>
      <c r="H37" s="71"/>
    </row>
    <row r="38" spans="1:32" x14ac:dyDescent="0.3">
      <c r="A38" s="110"/>
      <c r="B38" s="51"/>
      <c r="H38" s="71"/>
    </row>
    <row r="39" spans="1:32" x14ac:dyDescent="0.3">
      <c r="AF39" s="71" t="s">
        <v>1465</v>
      </c>
    </row>
    <row r="41" spans="1:32" x14ac:dyDescent="0.3">
      <c r="A41" s="1141" t="s">
        <v>8</v>
      </c>
      <c r="B41" s="1141"/>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c r="AD41" s="1141"/>
      <c r="AE41" s="1141"/>
      <c r="AF41" s="1141"/>
    </row>
    <row r="42" spans="1:32" x14ac:dyDescent="0.3">
      <c r="A42" s="1143" t="s">
        <v>9</v>
      </c>
      <c r="B42" s="1143"/>
      <c r="C42" s="1143"/>
      <c r="D42" s="1143"/>
      <c r="E42" s="1143" t="s">
        <v>3</v>
      </c>
      <c r="F42" s="1143"/>
      <c r="G42" s="1143"/>
      <c r="H42" s="1143"/>
      <c r="I42" s="1143"/>
      <c r="J42" s="1143"/>
      <c r="K42" s="1143"/>
      <c r="L42" s="1143"/>
      <c r="M42" s="1143"/>
      <c r="N42" s="1143"/>
      <c r="O42" s="1143"/>
      <c r="P42" s="1143"/>
      <c r="Q42" s="1143" t="s">
        <v>10</v>
      </c>
      <c r="R42" s="1143"/>
      <c r="S42" s="1143"/>
      <c r="T42" s="1143"/>
      <c r="U42" s="1143" t="s">
        <v>11</v>
      </c>
      <c r="V42" s="1143"/>
      <c r="W42" s="1143" t="s">
        <v>1466</v>
      </c>
      <c r="X42" s="1143"/>
      <c r="Y42" s="1143"/>
      <c r="Z42" s="1143"/>
      <c r="AA42" s="1143"/>
      <c r="AB42" s="1143"/>
      <c r="AC42" s="1143"/>
      <c r="AD42" s="1143"/>
      <c r="AE42" s="1143"/>
      <c r="AF42" s="1143"/>
    </row>
    <row r="43" spans="1:32" ht="55.5" customHeight="1" x14ac:dyDescent="0.3">
      <c r="A43" s="1154" t="s">
        <v>2140</v>
      </c>
      <c r="B43" s="1155"/>
      <c r="C43" s="1155"/>
      <c r="D43" s="1156"/>
      <c r="E43" s="1148" t="s">
        <v>265</v>
      </c>
      <c r="F43" s="1149"/>
      <c r="G43" s="1149"/>
      <c r="H43" s="1149"/>
      <c r="I43" s="1149"/>
      <c r="J43" s="1149"/>
      <c r="K43" s="1149"/>
      <c r="L43" s="1149"/>
      <c r="M43" s="1149"/>
      <c r="N43" s="1149"/>
      <c r="O43" s="1149"/>
      <c r="P43" s="1150"/>
      <c r="Q43" s="1151" t="s">
        <v>2138</v>
      </c>
      <c r="R43" s="1152"/>
      <c r="S43" s="1152"/>
      <c r="T43" s="1153"/>
      <c r="U43" s="1243" t="s">
        <v>269</v>
      </c>
      <c r="V43" s="1245"/>
      <c r="W43" s="1148" t="s">
        <v>2142</v>
      </c>
      <c r="X43" s="1149"/>
      <c r="Y43" s="1149"/>
      <c r="Z43" s="1149"/>
      <c r="AA43" s="1149"/>
      <c r="AB43" s="1149"/>
      <c r="AC43" s="1149"/>
      <c r="AD43" s="1149"/>
      <c r="AE43" s="1149"/>
      <c r="AF43" s="1150"/>
    </row>
    <row r="44" spans="1:32" ht="14.4" customHeight="1" x14ac:dyDescent="0.3">
      <c r="A44" s="1154" t="s">
        <v>159</v>
      </c>
      <c r="B44" s="1155"/>
      <c r="C44" s="1155"/>
      <c r="D44" s="1156"/>
      <c r="E44" s="1148" t="s">
        <v>270</v>
      </c>
      <c r="F44" s="1149"/>
      <c r="G44" s="1149"/>
      <c r="H44" s="1149"/>
      <c r="I44" s="1149"/>
      <c r="J44" s="1149"/>
      <c r="K44" s="1149"/>
      <c r="L44" s="1149"/>
      <c r="M44" s="1149"/>
      <c r="N44" s="1149"/>
      <c r="O44" s="1149"/>
      <c r="P44" s="1150"/>
      <c r="Q44" s="1403">
        <v>1000</v>
      </c>
      <c r="R44" s="1590"/>
      <c r="S44" s="1590"/>
      <c r="T44" s="1591"/>
      <c r="U44" s="1243" t="s">
        <v>271</v>
      </c>
      <c r="V44" s="1245"/>
      <c r="W44" s="1154"/>
      <c r="X44" s="1155"/>
      <c r="Y44" s="1155"/>
      <c r="Z44" s="1155"/>
      <c r="AA44" s="1155"/>
      <c r="AB44" s="1155"/>
      <c r="AC44" s="1155"/>
      <c r="AD44" s="1155"/>
      <c r="AE44" s="1155"/>
      <c r="AF44" s="1156"/>
    </row>
    <row r="45" spans="1:32" ht="33.75" customHeight="1" x14ac:dyDescent="0.3">
      <c r="A45" s="1154" t="s">
        <v>264</v>
      </c>
      <c r="B45" s="1155"/>
      <c r="C45" s="1155"/>
      <c r="D45" s="1156"/>
      <c r="E45" s="1148" t="s">
        <v>2190</v>
      </c>
      <c r="F45" s="1149"/>
      <c r="G45" s="1149"/>
      <c r="H45" s="1149"/>
      <c r="I45" s="1149"/>
      <c r="J45" s="1149"/>
      <c r="K45" s="1149"/>
      <c r="L45" s="1149"/>
      <c r="M45" s="1149"/>
      <c r="N45" s="1149"/>
      <c r="O45" s="1149"/>
      <c r="P45" s="1150"/>
      <c r="Q45" s="2210">
        <v>0.24</v>
      </c>
      <c r="R45" s="2211"/>
      <c r="S45" s="2211"/>
      <c r="T45" s="2212"/>
      <c r="U45" s="1243" t="s">
        <v>20</v>
      </c>
      <c r="V45" s="1245"/>
      <c r="W45" s="1148" t="s">
        <v>2139</v>
      </c>
      <c r="X45" s="1149"/>
      <c r="Y45" s="1149"/>
      <c r="Z45" s="1149"/>
      <c r="AA45" s="1149"/>
      <c r="AB45" s="1149"/>
      <c r="AC45" s="1149"/>
      <c r="AD45" s="1149"/>
      <c r="AE45" s="1149"/>
      <c r="AF45" s="1150"/>
    </row>
    <row r="46" spans="1:32" ht="33.75" customHeight="1" x14ac:dyDescent="0.3">
      <c r="A46" s="1154" t="s">
        <v>1522</v>
      </c>
      <c r="B46" s="1155"/>
      <c r="C46" s="1155"/>
      <c r="D46" s="1156"/>
      <c r="E46" s="2136" t="s">
        <v>1845</v>
      </c>
      <c r="F46" s="2136"/>
      <c r="G46" s="2136"/>
      <c r="H46" s="2136"/>
      <c r="I46" s="2136"/>
      <c r="J46" s="2136"/>
      <c r="K46" s="2136"/>
      <c r="L46" s="2136"/>
      <c r="M46" s="2136"/>
      <c r="N46" s="2136"/>
      <c r="O46" s="2136"/>
      <c r="P46" s="2136"/>
      <c r="Q46" s="2143">
        <f>C_Light_General!$Q$73</f>
        <v>0.98</v>
      </c>
      <c r="R46" s="2144"/>
      <c r="S46" s="2144"/>
      <c r="T46" s="2145"/>
      <c r="U46" s="2146" t="s">
        <v>20</v>
      </c>
      <c r="V46" s="1275"/>
      <c r="W46" s="1148" t="s">
        <v>1518</v>
      </c>
      <c r="X46" s="1149"/>
      <c r="Y46" s="1149"/>
      <c r="Z46" s="1149"/>
      <c r="AA46" s="1149"/>
      <c r="AB46" s="1149"/>
      <c r="AC46" s="1149"/>
      <c r="AD46" s="1149"/>
      <c r="AE46" s="1149"/>
      <c r="AF46" s="1150"/>
    </row>
    <row r="47" spans="1:32" ht="96" customHeight="1" x14ac:dyDescent="0.3">
      <c r="A47" s="1154" t="s">
        <v>21</v>
      </c>
      <c r="B47" s="1155"/>
      <c r="C47" s="1155"/>
      <c r="D47" s="1156"/>
      <c r="E47" s="1148" t="s">
        <v>96</v>
      </c>
      <c r="F47" s="1149"/>
      <c r="G47" s="1149"/>
      <c r="H47" s="1149"/>
      <c r="I47" s="1149"/>
      <c r="J47" s="1149"/>
      <c r="K47" s="1149"/>
      <c r="L47" s="1149"/>
      <c r="M47" s="1149"/>
      <c r="N47" s="1149"/>
      <c r="O47" s="1149"/>
      <c r="P47" s="1150"/>
      <c r="Q47" s="2210" t="s">
        <v>516</v>
      </c>
      <c r="R47" s="2211"/>
      <c r="S47" s="2211"/>
      <c r="T47" s="2212"/>
      <c r="U47" s="1243" t="s">
        <v>20</v>
      </c>
      <c r="V47" s="1245"/>
      <c r="W47" s="1148" t="s">
        <v>2945</v>
      </c>
      <c r="X47" s="1149"/>
      <c r="Y47" s="1149"/>
      <c r="Z47" s="1149"/>
      <c r="AA47" s="1149"/>
      <c r="AB47" s="1149"/>
      <c r="AC47" s="1149"/>
      <c r="AD47" s="1149"/>
      <c r="AE47" s="1149"/>
      <c r="AF47" s="1150"/>
    </row>
    <row r="48" spans="1:32" ht="49.5" customHeight="1" x14ac:dyDescent="0.3">
      <c r="A48" s="1154" t="s">
        <v>24</v>
      </c>
      <c r="B48" s="1155"/>
      <c r="C48" s="1155"/>
      <c r="D48" s="1156"/>
      <c r="E48" s="1148" t="s">
        <v>266</v>
      </c>
      <c r="F48" s="1149"/>
      <c r="G48" s="1149"/>
      <c r="H48" s="1149"/>
      <c r="I48" s="1149"/>
      <c r="J48" s="1149"/>
      <c r="K48" s="1149"/>
      <c r="L48" s="1149"/>
      <c r="M48" s="1149"/>
      <c r="N48" s="1149"/>
      <c r="O48" s="1149"/>
      <c r="P48" s="1150"/>
      <c r="Q48" s="1403" t="s">
        <v>516</v>
      </c>
      <c r="R48" s="1590"/>
      <c r="S48" s="1590"/>
      <c r="T48" s="1591"/>
      <c r="U48" s="1243" t="s">
        <v>37</v>
      </c>
      <c r="V48" s="1245"/>
      <c r="W48" s="1148" t="s">
        <v>2946</v>
      </c>
      <c r="X48" s="1149"/>
      <c r="Y48" s="1149"/>
      <c r="Z48" s="1149"/>
      <c r="AA48" s="1149"/>
      <c r="AB48" s="1149"/>
      <c r="AC48" s="1149"/>
      <c r="AD48" s="1149"/>
      <c r="AE48" s="1149"/>
      <c r="AF48" s="1150"/>
    </row>
    <row r="49" spans="1:32" ht="105" customHeight="1" x14ac:dyDescent="0.3">
      <c r="A49" s="1154" t="s">
        <v>1528</v>
      </c>
      <c r="B49" s="1155"/>
      <c r="C49" s="1155"/>
      <c r="D49" s="1156"/>
      <c r="E49" s="2183" t="s">
        <v>1531</v>
      </c>
      <c r="F49" s="1149"/>
      <c r="G49" s="1149"/>
      <c r="H49" s="1149"/>
      <c r="I49" s="1149"/>
      <c r="J49" s="1149"/>
      <c r="K49" s="1149"/>
      <c r="L49" s="1149"/>
      <c r="M49" s="1149"/>
      <c r="N49" s="1149"/>
      <c r="O49" s="1149"/>
      <c r="P49" s="1150"/>
      <c r="Q49" s="1243" t="s">
        <v>516</v>
      </c>
      <c r="R49" s="1244"/>
      <c r="S49" s="1244"/>
      <c r="T49" s="1245"/>
      <c r="U49" s="1243" t="s">
        <v>20</v>
      </c>
      <c r="V49" s="1245"/>
      <c r="W49" s="1148" t="s">
        <v>2944</v>
      </c>
      <c r="X49" s="1149"/>
      <c r="Y49" s="1149"/>
      <c r="Z49" s="1149"/>
      <c r="AA49" s="1149"/>
      <c r="AB49" s="1149"/>
      <c r="AC49" s="1149"/>
      <c r="AD49" s="1149"/>
      <c r="AE49" s="1149"/>
      <c r="AF49" s="1150"/>
    </row>
    <row r="50" spans="1:32" ht="106.5" customHeight="1" x14ac:dyDescent="0.3">
      <c r="A50" s="1154" t="s">
        <v>1529</v>
      </c>
      <c r="B50" s="1155"/>
      <c r="C50" s="1155"/>
      <c r="D50" s="1156"/>
      <c r="E50" s="1148" t="s">
        <v>267</v>
      </c>
      <c r="F50" s="1149"/>
      <c r="G50" s="1149"/>
      <c r="H50" s="1149"/>
      <c r="I50" s="1149"/>
      <c r="J50" s="1149"/>
      <c r="K50" s="1149"/>
      <c r="L50" s="1149"/>
      <c r="M50" s="1149"/>
      <c r="N50" s="1149"/>
      <c r="O50" s="1149"/>
      <c r="P50" s="1150"/>
      <c r="Q50" s="1243" t="s">
        <v>516</v>
      </c>
      <c r="R50" s="1244"/>
      <c r="S50" s="1244"/>
      <c r="T50" s="1245"/>
      <c r="U50" s="1243" t="s">
        <v>20</v>
      </c>
      <c r="V50" s="1245"/>
      <c r="W50" s="1148" t="s">
        <v>2944</v>
      </c>
      <c r="X50" s="1149"/>
      <c r="Y50" s="1149"/>
      <c r="Z50" s="1149"/>
      <c r="AA50" s="1149"/>
      <c r="AB50" s="1149"/>
      <c r="AC50" s="1149"/>
      <c r="AD50" s="1149"/>
      <c r="AE50" s="1149"/>
      <c r="AF50" s="1150"/>
    </row>
    <row r="51" spans="1:32" ht="30.75" customHeight="1" x14ac:dyDescent="0.3">
      <c r="A51" s="1154" t="s">
        <v>34</v>
      </c>
      <c r="B51" s="1155"/>
      <c r="C51" s="1155"/>
      <c r="D51" s="1156"/>
      <c r="E51" s="1148" t="s">
        <v>644</v>
      </c>
      <c r="F51" s="1149"/>
      <c r="G51" s="1149"/>
      <c r="H51" s="1149"/>
      <c r="I51" s="1149"/>
      <c r="J51" s="1149"/>
      <c r="K51" s="1149"/>
      <c r="L51" s="1149"/>
      <c r="M51" s="1149"/>
      <c r="N51" s="1149"/>
      <c r="O51" s="1149"/>
      <c r="P51" s="1150"/>
      <c r="Q51" s="2210">
        <v>1</v>
      </c>
      <c r="R51" s="2211"/>
      <c r="S51" s="2211"/>
      <c r="T51" s="2212"/>
      <c r="U51" s="1243" t="s">
        <v>20</v>
      </c>
      <c r="V51" s="1245"/>
      <c r="W51" s="1148" t="s">
        <v>2039</v>
      </c>
      <c r="X51" s="1149"/>
      <c r="Y51" s="1149"/>
      <c r="Z51" s="1149"/>
      <c r="AA51" s="1149"/>
      <c r="AB51" s="1149"/>
      <c r="AC51" s="1149"/>
      <c r="AD51" s="1149"/>
      <c r="AE51" s="1149"/>
      <c r="AF51" s="1150"/>
    </row>
    <row r="52" spans="1:32" ht="39" customHeight="1" x14ac:dyDescent="0.3">
      <c r="A52" s="1154" t="s">
        <v>1869</v>
      </c>
      <c r="B52" s="1155" t="s">
        <v>26</v>
      </c>
      <c r="C52" s="1155" t="s">
        <v>26</v>
      </c>
      <c r="D52" s="1156" t="s">
        <v>26</v>
      </c>
      <c r="E52" s="2136" t="s">
        <v>2141</v>
      </c>
      <c r="F52" s="2136"/>
      <c r="G52" s="2136"/>
      <c r="H52" s="2136"/>
      <c r="I52" s="2136"/>
      <c r="J52" s="2136"/>
      <c r="K52" s="2136"/>
      <c r="L52" s="2136"/>
      <c r="M52" s="2136"/>
      <c r="N52" s="2136"/>
      <c r="O52" s="2136"/>
      <c r="P52" s="2136"/>
      <c r="Q52" s="1243">
        <f>'Master EUL'!X73</f>
        <v>8</v>
      </c>
      <c r="R52" s="1244"/>
      <c r="S52" s="1244"/>
      <c r="T52" s="1245"/>
      <c r="U52" s="1243" t="s">
        <v>38</v>
      </c>
      <c r="V52" s="1245"/>
      <c r="W52" s="1148" t="s">
        <v>2139</v>
      </c>
      <c r="X52" s="1149"/>
      <c r="Y52" s="1149"/>
      <c r="Z52" s="1149"/>
      <c r="AA52" s="1149"/>
      <c r="AB52" s="1149"/>
      <c r="AC52" s="1149"/>
      <c r="AD52" s="1149"/>
      <c r="AE52" s="1149"/>
      <c r="AF52" s="1150"/>
    </row>
    <row r="53" spans="1:32" ht="39" customHeight="1" x14ac:dyDescent="0.3">
      <c r="A53" s="1270" t="s">
        <v>2947</v>
      </c>
      <c r="B53" s="1270"/>
      <c r="C53" s="1270"/>
      <c r="D53" s="1270"/>
      <c r="E53" s="1270"/>
      <c r="F53" s="1270"/>
      <c r="G53" s="1270"/>
      <c r="H53" s="1270"/>
      <c r="I53" s="1270"/>
      <c r="J53" s="1270"/>
      <c r="K53" s="1270"/>
      <c r="L53" s="1270"/>
      <c r="M53" s="1270"/>
      <c r="N53" s="1270"/>
      <c r="O53" s="1270"/>
      <c r="P53" s="1270"/>
      <c r="Q53" s="1270"/>
      <c r="R53" s="1270"/>
      <c r="S53" s="1270"/>
      <c r="T53" s="1270"/>
      <c r="U53" s="1270"/>
      <c r="V53" s="1270"/>
      <c r="W53" s="1270"/>
      <c r="X53" s="1270"/>
      <c r="Y53" s="1270"/>
      <c r="Z53" s="1270"/>
      <c r="AA53" s="1270"/>
      <c r="AB53" s="1270"/>
      <c r="AC53" s="1270"/>
      <c r="AD53" s="1270"/>
      <c r="AE53" s="1270"/>
      <c r="AF53" s="1270"/>
    </row>
    <row r="54" spans="1:32" ht="30.75" customHeight="1" x14ac:dyDescent="0.3">
      <c r="A54" s="948" t="s">
        <v>1891</v>
      </c>
      <c r="B54" s="948"/>
      <c r="C54" s="948"/>
      <c r="D54" s="948"/>
      <c r="E54" s="948"/>
      <c r="F54" s="948"/>
      <c r="G54" s="948"/>
      <c r="H54" s="948"/>
      <c r="I54" s="948"/>
      <c r="J54" s="948"/>
      <c r="K54" s="948"/>
      <c r="L54" s="948"/>
      <c r="M54" s="948"/>
      <c r="N54" s="948"/>
      <c r="O54" s="948"/>
      <c r="P54" s="948"/>
      <c r="Q54" s="948"/>
      <c r="R54" s="948"/>
      <c r="S54" s="948"/>
      <c r="T54" s="948"/>
      <c r="U54" s="948"/>
      <c r="V54" s="948"/>
      <c r="W54" s="948"/>
      <c r="X54" s="948"/>
      <c r="Y54" s="948"/>
      <c r="Z54" s="948"/>
      <c r="AA54" s="948"/>
      <c r="AB54" s="948"/>
      <c r="AC54" s="948"/>
      <c r="AD54" s="948"/>
      <c r="AE54" s="948"/>
      <c r="AF54" s="948"/>
    </row>
    <row r="55" spans="1:32" ht="30.75" customHeight="1" x14ac:dyDescent="0.3">
      <c r="A55" s="1082" t="s">
        <v>1892</v>
      </c>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row>
    <row r="56" spans="1:32" x14ac:dyDescent="0.3">
      <c r="A56" s="316"/>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6"/>
      <c r="AD56" s="316"/>
      <c r="AE56" s="316"/>
      <c r="AF56" s="316"/>
    </row>
    <row r="57" spans="1:32" x14ac:dyDescent="0.3">
      <c r="A57" s="1356" t="s">
        <v>2820</v>
      </c>
      <c r="B57" s="1356"/>
      <c r="C57" s="1356"/>
      <c r="D57" s="1356"/>
      <c r="E57" s="1356"/>
      <c r="F57" s="1356"/>
      <c r="G57" s="1356"/>
      <c r="H57" s="1356"/>
      <c r="I57" s="1356"/>
      <c r="J57" s="1356"/>
      <c r="K57" s="1356"/>
      <c r="L57" s="1356"/>
      <c r="M57" s="1356"/>
      <c r="N57" s="1356"/>
      <c r="O57" s="1356"/>
      <c r="P57" s="1356"/>
      <c r="Q57" s="1356"/>
      <c r="R57" s="1356"/>
      <c r="S57" s="1356"/>
      <c r="T57" s="1356"/>
    </row>
    <row r="58" spans="1:32" ht="17.25" customHeight="1" x14ac:dyDescent="0.3">
      <c r="A58" s="2004"/>
      <c r="B58" s="2004"/>
      <c r="C58" s="2004"/>
      <c r="D58" s="2004"/>
      <c r="E58" s="2004"/>
      <c r="F58" s="2004"/>
      <c r="G58" s="2004"/>
      <c r="H58" s="2004"/>
      <c r="I58" s="2004"/>
      <c r="J58" s="2004"/>
      <c r="K58" s="2004"/>
      <c r="L58" s="2004"/>
      <c r="M58" s="2004"/>
      <c r="N58" s="2004"/>
      <c r="O58" s="2004"/>
      <c r="P58" s="2004"/>
      <c r="Q58" s="2004"/>
      <c r="R58" s="2004"/>
      <c r="S58" s="2004"/>
      <c r="T58" s="2004"/>
    </row>
    <row r="59" spans="1:32" ht="33.75" customHeight="1" x14ac:dyDescent="0.3">
      <c r="A59" s="1272" t="s">
        <v>46</v>
      </c>
      <c r="B59" s="1272"/>
      <c r="C59" s="1272"/>
      <c r="D59" s="1272"/>
      <c r="E59" s="1272" t="s">
        <v>21</v>
      </c>
      <c r="F59" s="1272"/>
      <c r="G59" s="1272"/>
      <c r="H59" s="1272"/>
      <c r="I59" s="1272" t="s">
        <v>24</v>
      </c>
      <c r="J59" s="1272"/>
      <c r="K59" s="1272"/>
      <c r="L59" s="1272"/>
      <c r="M59" s="1272" t="s">
        <v>2145</v>
      </c>
      <c r="N59" s="1272"/>
      <c r="O59" s="1272"/>
      <c r="P59" s="1272"/>
      <c r="Q59" s="1272" t="s">
        <v>2148</v>
      </c>
      <c r="R59" s="1272"/>
      <c r="S59" s="1272"/>
      <c r="T59" s="1272"/>
      <c r="U59" s="1272" t="s">
        <v>2146</v>
      </c>
      <c r="V59" s="1272"/>
      <c r="W59" s="1272"/>
      <c r="X59" s="1272"/>
      <c r="Y59" s="1259" t="s">
        <v>1677</v>
      </c>
      <c r="Z59" s="1260"/>
      <c r="AA59" s="1260"/>
      <c r="AB59" s="1260"/>
      <c r="AC59" s="1260"/>
      <c r="AD59" s="1260"/>
      <c r="AE59" s="1260"/>
      <c r="AF59" s="1421"/>
    </row>
    <row r="60" spans="1:32" ht="91.5" customHeight="1" x14ac:dyDescent="0.3">
      <c r="A60" s="2341" t="s">
        <v>1796</v>
      </c>
      <c r="B60" s="2341"/>
      <c r="C60" s="2341"/>
      <c r="D60" s="2341"/>
      <c r="E60" s="1273">
        <f>SUMPRODUCT(E61:H70,$U$61:$X$70)</f>
        <v>0.34348080241173395</v>
      </c>
      <c r="F60" s="1273"/>
      <c r="G60" s="1273"/>
      <c r="H60" s="1273"/>
      <c r="I60" s="1269">
        <f>SUMPRODUCT(I61:L70,$U$61:$X$70)</f>
        <v>2427.7497378053185</v>
      </c>
      <c r="J60" s="1269"/>
      <c r="K60" s="1269"/>
      <c r="L60" s="1269"/>
      <c r="M60" s="1273">
        <f>SUMPRODUCT(M61:P70,$U$61:$X$70)</f>
        <v>1.0993977568753528</v>
      </c>
      <c r="N60" s="1273"/>
      <c r="O60" s="1273"/>
      <c r="P60" s="1273"/>
      <c r="Q60" s="1273">
        <f>SUMPRODUCT(Q61:T70,$U$61:$X$70)</f>
        <v>1.1332276233869427</v>
      </c>
      <c r="R60" s="1273"/>
      <c r="S60" s="1273"/>
      <c r="T60" s="1273"/>
      <c r="U60" s="2342" t="s">
        <v>20</v>
      </c>
      <c r="V60" s="1273"/>
      <c r="W60" s="1273"/>
      <c r="X60" s="1273"/>
      <c r="Y60" s="1148" t="s">
        <v>2144</v>
      </c>
      <c r="Z60" s="1149"/>
      <c r="AA60" s="1149"/>
      <c r="AB60" s="1149"/>
      <c r="AC60" s="1149"/>
      <c r="AD60" s="1149"/>
      <c r="AE60" s="1149"/>
      <c r="AF60" s="1150"/>
    </row>
    <row r="61" spans="1:32" ht="15" customHeight="1" x14ac:dyDescent="0.3">
      <c r="A61" s="2341" t="s">
        <v>211</v>
      </c>
      <c r="B61" s="2341"/>
      <c r="C61" s="2341"/>
      <c r="D61" s="2341"/>
      <c r="E61" s="1273">
        <f>C_Light_General!AD124</f>
        <v>0.2</v>
      </c>
      <c r="F61" s="1273"/>
      <c r="G61" s="1273"/>
      <c r="H61" s="1273"/>
      <c r="I61" s="1269">
        <f>C_Light_General!O168</f>
        <v>4700</v>
      </c>
      <c r="J61" s="1269"/>
      <c r="K61" s="1269"/>
      <c r="L61" s="1269"/>
      <c r="M61" s="1273">
        <f>(C_Light_General!Z147-1)*0.5+1</f>
        <v>1.125</v>
      </c>
      <c r="N61" s="1273"/>
      <c r="O61" s="1273"/>
      <c r="P61" s="1273"/>
      <c r="Q61" s="1273">
        <f>(C_Light_General!AD147-1)*0.5+1</f>
        <v>1.31</v>
      </c>
      <c r="R61" s="1273"/>
      <c r="S61" s="1273"/>
      <c r="T61" s="1273"/>
      <c r="U61" s="2328">
        <v>0</v>
      </c>
      <c r="V61" s="2329"/>
      <c r="W61" s="2329"/>
      <c r="X61" s="2330"/>
      <c r="Y61" s="2331" t="s">
        <v>2143</v>
      </c>
      <c r="Z61" s="2332"/>
      <c r="AA61" s="2332"/>
      <c r="AB61" s="2332"/>
      <c r="AC61" s="2332"/>
      <c r="AD61" s="2332"/>
      <c r="AE61" s="2332"/>
      <c r="AF61" s="2333"/>
    </row>
    <row r="62" spans="1:32" x14ac:dyDescent="0.3">
      <c r="A62" s="2341" t="s">
        <v>212</v>
      </c>
      <c r="B62" s="2341"/>
      <c r="C62" s="2341"/>
      <c r="D62" s="2341"/>
      <c r="E62" s="1273">
        <f>C_Light_General!AD125</f>
        <v>0.32</v>
      </c>
      <c r="F62" s="1273"/>
      <c r="G62" s="1273"/>
      <c r="H62" s="1273"/>
      <c r="I62" s="1269">
        <f>C_Light_General!O169</f>
        <v>1702</v>
      </c>
      <c r="J62" s="1269"/>
      <c r="K62" s="1269"/>
      <c r="L62" s="1269"/>
      <c r="M62" s="1273">
        <f>(C_Light_General!Z148-1)*0.5+1</f>
        <v>1.155</v>
      </c>
      <c r="N62" s="1273"/>
      <c r="O62" s="1273"/>
      <c r="P62" s="1273"/>
      <c r="Q62" s="1273">
        <f>(C_Light_General!AD148-1)*0.5+1</f>
        <v>1.125</v>
      </c>
      <c r="R62" s="1273"/>
      <c r="S62" s="1273"/>
      <c r="T62" s="1273"/>
      <c r="U62" s="2328">
        <v>1.8609193226736456E-2</v>
      </c>
      <c r="V62" s="2329"/>
      <c r="W62" s="2329"/>
      <c r="X62" s="2330"/>
      <c r="Y62" s="2334"/>
      <c r="Z62" s="2335"/>
      <c r="AA62" s="2335"/>
      <c r="AB62" s="2335"/>
      <c r="AC62" s="2335"/>
      <c r="AD62" s="2335"/>
      <c r="AE62" s="2335"/>
      <c r="AF62" s="2336"/>
    </row>
    <row r="63" spans="1:32" x14ac:dyDescent="0.3">
      <c r="A63" s="2341" t="s">
        <v>213</v>
      </c>
      <c r="B63" s="2341"/>
      <c r="C63" s="2341"/>
      <c r="D63" s="2341"/>
      <c r="E63" s="1273">
        <f>C_Light_General!AD126</f>
        <v>0.68</v>
      </c>
      <c r="F63" s="1273"/>
      <c r="G63" s="1273"/>
      <c r="H63" s="1273"/>
      <c r="I63" s="1269">
        <f>C_Light_General!O170</f>
        <v>4770</v>
      </c>
      <c r="J63" s="1269"/>
      <c r="K63" s="1269"/>
      <c r="L63" s="1269"/>
      <c r="M63" s="1273">
        <f>(C_Light_General!Z149-1)*0.5+1</f>
        <v>1.0449999999999999</v>
      </c>
      <c r="N63" s="1273"/>
      <c r="O63" s="1273"/>
      <c r="P63" s="1273"/>
      <c r="Q63" s="1273">
        <f>(C_Light_General!AD149-1)*0.5+1</f>
        <v>1.0699999999999998</v>
      </c>
      <c r="R63" s="1273"/>
      <c r="S63" s="1273"/>
      <c r="T63" s="1273"/>
      <c r="U63" s="2328">
        <v>2.171072543119253E-2</v>
      </c>
      <c r="V63" s="2329"/>
      <c r="W63" s="2329"/>
      <c r="X63" s="2330"/>
      <c r="Y63" s="2334"/>
      <c r="Z63" s="2335"/>
      <c r="AA63" s="2335"/>
      <c r="AB63" s="2335"/>
      <c r="AC63" s="2335"/>
      <c r="AD63" s="2335"/>
      <c r="AE63" s="2335"/>
      <c r="AF63" s="2336"/>
    </row>
    <row r="64" spans="1:32" x14ac:dyDescent="0.3">
      <c r="A64" s="2341" t="s">
        <v>214</v>
      </c>
      <c r="B64" s="2341"/>
      <c r="C64" s="2341"/>
      <c r="D64" s="2341"/>
      <c r="E64" s="1273">
        <f>C_Light_General!AD127</f>
        <v>0.63</v>
      </c>
      <c r="F64" s="1273"/>
      <c r="G64" s="1273"/>
      <c r="H64" s="1273"/>
      <c r="I64" s="1269">
        <f>C_Light_General!O171</f>
        <v>5100</v>
      </c>
      <c r="J64" s="1269"/>
      <c r="K64" s="1269"/>
      <c r="L64" s="1269"/>
      <c r="M64" s="1273">
        <f>(C_Light_General!Z150-1)*0.5+1</f>
        <v>1.1200000000000001</v>
      </c>
      <c r="N64" s="1273"/>
      <c r="O64" s="1273"/>
      <c r="P64" s="1273"/>
      <c r="Q64" s="1273">
        <f>(C_Light_General!AD150-1)*0.5+1</f>
        <v>1.075</v>
      </c>
      <c r="R64" s="1273"/>
      <c r="S64" s="1273"/>
      <c r="T64" s="1273"/>
      <c r="U64" s="2328">
        <v>0.20780265769855705</v>
      </c>
      <c r="V64" s="2329"/>
      <c r="W64" s="2329"/>
      <c r="X64" s="2330"/>
      <c r="Y64" s="2334"/>
      <c r="Z64" s="2335"/>
      <c r="AA64" s="2335"/>
      <c r="AB64" s="2335"/>
      <c r="AC64" s="2335"/>
      <c r="AD64" s="2335"/>
      <c r="AE64" s="2335"/>
      <c r="AF64" s="2336"/>
    </row>
    <row r="65" spans="1:59" x14ac:dyDescent="0.3">
      <c r="A65" s="2341" t="s">
        <v>215</v>
      </c>
      <c r="B65" s="2341"/>
      <c r="C65" s="2341"/>
      <c r="D65" s="2341"/>
      <c r="E65" s="1273">
        <f>C_Light_General!AD128</f>
        <v>0.23</v>
      </c>
      <c r="F65" s="1273"/>
      <c r="G65" s="1273"/>
      <c r="H65" s="1273"/>
      <c r="I65" s="1269">
        <f>C_Light_General!O172</f>
        <v>1130</v>
      </c>
      <c r="J65" s="1269"/>
      <c r="K65" s="1269"/>
      <c r="L65" s="1269"/>
      <c r="M65" s="1273">
        <f>(C_Light_General!Z151-1)*0.5+1</f>
        <v>1.135</v>
      </c>
      <c r="N65" s="1273"/>
      <c r="O65" s="1273"/>
      <c r="P65" s="1273"/>
      <c r="Q65" s="1273">
        <f>(C_Light_General!AD151-1)*0.5+1</f>
        <v>1.1800000000000002</v>
      </c>
      <c r="R65" s="1273"/>
      <c r="S65" s="1273"/>
      <c r="T65" s="1273"/>
      <c r="U65" s="2328">
        <v>0.38136593599615237</v>
      </c>
      <c r="V65" s="2329"/>
      <c r="W65" s="2329"/>
      <c r="X65" s="2330"/>
      <c r="Y65" s="2334"/>
      <c r="Z65" s="2335"/>
      <c r="AA65" s="2335"/>
      <c r="AB65" s="2335"/>
      <c r="AC65" s="2335"/>
      <c r="AD65" s="2335"/>
      <c r="AE65" s="2335"/>
      <c r="AF65" s="2336"/>
    </row>
    <row r="66" spans="1:59" x14ac:dyDescent="0.3">
      <c r="A66" s="2341" t="s">
        <v>216</v>
      </c>
      <c r="B66" s="2341"/>
      <c r="C66" s="2341"/>
      <c r="D66" s="2341"/>
      <c r="E66" s="1273">
        <f>C_Light_General!AD129</f>
        <v>0.59</v>
      </c>
      <c r="F66" s="1273"/>
      <c r="G66" s="1273"/>
      <c r="H66" s="1273"/>
      <c r="I66" s="1269">
        <f>C_Light_General!O173</f>
        <v>2305</v>
      </c>
      <c r="J66" s="1269"/>
      <c r="K66" s="1269"/>
      <c r="L66" s="1269"/>
      <c r="M66" s="1273">
        <f>(C_Light_General!Z152-1)*0.5+1</f>
        <v>1.1000000000000001</v>
      </c>
      <c r="N66" s="1273"/>
      <c r="O66" s="1273"/>
      <c r="P66" s="1273"/>
      <c r="Q66" s="1273">
        <f>(C_Light_General!AD152-1)*0.5+1</f>
        <v>1.0649999999999999</v>
      </c>
      <c r="R66" s="1273"/>
      <c r="S66" s="1273"/>
      <c r="T66" s="1273"/>
      <c r="U66" s="2328">
        <v>7.753830511140189E-3</v>
      </c>
      <c r="V66" s="2329"/>
      <c r="W66" s="2329"/>
      <c r="X66" s="2330"/>
      <c r="Y66" s="2334"/>
      <c r="Z66" s="2335"/>
      <c r="AA66" s="2335"/>
      <c r="AB66" s="2335"/>
      <c r="AC66" s="2335"/>
      <c r="AD66" s="2335"/>
      <c r="AE66" s="2335"/>
      <c r="AF66" s="2336"/>
    </row>
    <row r="67" spans="1:59" x14ac:dyDescent="0.3">
      <c r="A67" s="2341" t="s">
        <v>47</v>
      </c>
      <c r="B67" s="2341"/>
      <c r="C67" s="2341"/>
      <c r="D67" s="2341"/>
      <c r="E67" s="1273">
        <f>C_Light_General!AD130</f>
        <v>0.25</v>
      </c>
      <c r="F67" s="1273"/>
      <c r="G67" s="1273"/>
      <c r="H67" s="1273"/>
      <c r="I67" s="1269">
        <f>C_Light_General!O174</f>
        <v>1980</v>
      </c>
      <c r="J67" s="1269"/>
      <c r="K67" s="1269"/>
      <c r="L67" s="1269"/>
      <c r="M67" s="1273">
        <f>(C_Light_General!Z153-1)*0.5+1</f>
        <v>1.0350000000000001</v>
      </c>
      <c r="N67" s="1273"/>
      <c r="O67" s="1273"/>
      <c r="P67" s="1273"/>
      <c r="Q67" s="1273">
        <f>(C_Light_General!AD153-1)*0.5+1</f>
        <v>1.1299999999999999</v>
      </c>
      <c r="R67" s="1273"/>
      <c r="S67" s="1273"/>
      <c r="T67" s="1273"/>
      <c r="U67" s="2328">
        <v>0.31934352120828086</v>
      </c>
      <c r="V67" s="2329"/>
      <c r="W67" s="2329"/>
      <c r="X67" s="2330"/>
      <c r="Y67" s="2334"/>
      <c r="Z67" s="2335"/>
      <c r="AA67" s="2335"/>
      <c r="AB67" s="2335"/>
      <c r="AC67" s="2335"/>
      <c r="AD67" s="2335"/>
      <c r="AE67" s="2335"/>
      <c r="AF67" s="2336"/>
    </row>
    <row r="68" spans="1:59" x14ac:dyDescent="0.3">
      <c r="A68" s="2341" t="s">
        <v>217</v>
      </c>
      <c r="B68" s="2341"/>
      <c r="C68" s="2341"/>
      <c r="D68" s="2341"/>
      <c r="E68" s="1273">
        <f>C_Light_General!AD131</f>
        <v>0.49</v>
      </c>
      <c r="F68" s="1273"/>
      <c r="G68" s="1273"/>
      <c r="H68" s="1273"/>
      <c r="I68" s="1269">
        <f>C_Light_General!O175</f>
        <v>3500</v>
      </c>
      <c r="J68" s="1269"/>
      <c r="K68" s="1269"/>
      <c r="L68" s="1269"/>
      <c r="M68" s="1273">
        <f>(C_Light_General!Z154-1)*0.5+1</f>
        <v>1.1200000000000001</v>
      </c>
      <c r="N68" s="1273"/>
      <c r="O68" s="1273"/>
      <c r="P68" s="1273"/>
      <c r="Q68" s="1273">
        <f>(C_Light_General!AD154-1)*0.5+1</f>
        <v>1.1400000000000001</v>
      </c>
      <c r="R68" s="1273"/>
      <c r="S68" s="1273"/>
      <c r="T68" s="1273"/>
      <c r="U68" s="2328">
        <v>3.1015322044560755E-3</v>
      </c>
      <c r="V68" s="2329"/>
      <c r="W68" s="2329"/>
      <c r="X68" s="2330"/>
      <c r="Y68" s="2334"/>
      <c r="Z68" s="2335"/>
      <c r="AA68" s="2335"/>
      <c r="AB68" s="2335"/>
      <c r="AC68" s="2335"/>
      <c r="AD68" s="2335"/>
      <c r="AE68" s="2335"/>
      <c r="AF68" s="2336"/>
    </row>
    <row r="69" spans="1:59" x14ac:dyDescent="0.3">
      <c r="A69" s="2341" t="s">
        <v>218</v>
      </c>
      <c r="B69" s="2341"/>
      <c r="C69" s="2341"/>
      <c r="D69" s="2341"/>
      <c r="E69" s="1273">
        <f>C_Light_General!AD132</f>
        <v>0.5</v>
      </c>
      <c r="F69" s="1273"/>
      <c r="G69" s="1273"/>
      <c r="H69" s="1273"/>
      <c r="I69" s="1269">
        <f>C_Light_General!O176</f>
        <v>3690</v>
      </c>
      <c r="J69" s="1269"/>
      <c r="K69" s="1269"/>
      <c r="L69" s="1269"/>
      <c r="M69" s="1273">
        <f>(C_Light_General!Z155-1)*0.5+1</f>
        <v>1.1800000000000002</v>
      </c>
      <c r="N69" s="1273"/>
      <c r="O69" s="1273"/>
      <c r="P69" s="1273"/>
      <c r="Q69" s="1273">
        <f>(C_Light_General!AD155-1)*0.5+1</f>
        <v>1.075</v>
      </c>
      <c r="R69" s="1273"/>
      <c r="S69" s="1273"/>
      <c r="T69" s="1273"/>
      <c r="U69" s="2328">
        <v>3.5660305416800396E-2</v>
      </c>
      <c r="V69" s="2329"/>
      <c r="W69" s="2329"/>
      <c r="X69" s="2330"/>
      <c r="Y69" s="2334"/>
      <c r="Z69" s="2335"/>
      <c r="AA69" s="2335"/>
      <c r="AB69" s="2335"/>
      <c r="AC69" s="2335"/>
      <c r="AD69" s="2335"/>
      <c r="AE69" s="2335"/>
      <c r="AF69" s="2336"/>
    </row>
    <row r="70" spans="1:59" x14ac:dyDescent="0.3">
      <c r="A70" s="2341" t="s">
        <v>219</v>
      </c>
      <c r="B70" s="2341"/>
      <c r="C70" s="2341"/>
      <c r="D70" s="2341"/>
      <c r="E70" s="1273">
        <f>C_Light_General!AD133</f>
        <v>0.08</v>
      </c>
      <c r="F70" s="1273"/>
      <c r="G70" s="1273"/>
      <c r="H70" s="1273"/>
      <c r="I70" s="1269">
        <f>C_Light_General!O177</f>
        <v>1970</v>
      </c>
      <c r="J70" s="1269"/>
      <c r="K70" s="1269"/>
      <c r="L70" s="1269"/>
      <c r="M70" s="1273">
        <f>(C_Light_General!Z156-1)*0.5+1</f>
        <v>1.08</v>
      </c>
      <c r="N70" s="1273"/>
      <c r="O70" s="1273"/>
      <c r="P70" s="1273"/>
      <c r="Q70" s="1273">
        <f>(C_Light_General!AD156-1)*0.5+1</f>
        <v>1.0049999999999999</v>
      </c>
      <c r="R70" s="1273"/>
      <c r="S70" s="1273"/>
      <c r="T70" s="1273"/>
      <c r="U70" s="2328">
        <v>4.6522983066841139E-3</v>
      </c>
      <c r="V70" s="2329"/>
      <c r="W70" s="2329"/>
      <c r="X70" s="2330"/>
      <c r="Y70" s="2337"/>
      <c r="Z70" s="2338"/>
      <c r="AA70" s="2338"/>
      <c r="AB70" s="2338"/>
      <c r="AC70" s="2338"/>
      <c r="AD70" s="2338"/>
      <c r="AE70" s="2338"/>
      <c r="AF70" s="2339"/>
    </row>
    <row r="71" spans="1:59" ht="15" customHeight="1" x14ac:dyDescent="0.3">
      <c r="A71" s="2340" t="s">
        <v>830</v>
      </c>
      <c r="B71" s="2340"/>
      <c r="C71" s="2340"/>
      <c r="D71" s="2340"/>
      <c r="E71" s="2340"/>
      <c r="F71" s="2340"/>
      <c r="G71" s="2340"/>
      <c r="H71" s="2340"/>
      <c r="I71" s="2340"/>
      <c r="J71" s="2340"/>
      <c r="K71" s="2340"/>
      <c r="L71" s="2340"/>
      <c r="M71" s="2340"/>
      <c r="N71" s="2340"/>
      <c r="O71" s="2340"/>
      <c r="P71" s="2340"/>
      <c r="Q71" s="2340"/>
      <c r="R71" s="2340"/>
      <c r="S71" s="2340"/>
      <c r="T71" s="2340"/>
      <c r="U71" s="2340"/>
      <c r="V71" s="2340"/>
      <c r="W71" s="2340"/>
      <c r="X71" s="2340"/>
      <c r="Y71" s="2340"/>
      <c r="Z71" s="2340"/>
      <c r="AA71" s="2340"/>
      <c r="AB71" s="2340"/>
      <c r="AC71" s="2340"/>
      <c r="AD71" s="2340"/>
      <c r="AE71" s="2340"/>
      <c r="AF71" s="2340"/>
    </row>
    <row r="72" spans="1:59" ht="27" customHeight="1" x14ac:dyDescent="0.3">
      <c r="A72" s="2006" t="s">
        <v>2147</v>
      </c>
      <c r="B72" s="2006"/>
      <c r="C72" s="2006"/>
      <c r="D72" s="2006"/>
      <c r="E72" s="2006"/>
      <c r="F72" s="2006"/>
      <c r="G72" s="2006"/>
      <c r="H72" s="2006"/>
      <c r="I72" s="2006"/>
      <c r="J72" s="2006"/>
      <c r="K72" s="2006"/>
      <c r="L72" s="2006"/>
      <c r="M72" s="2006"/>
      <c r="N72" s="2006"/>
      <c r="O72" s="2006"/>
      <c r="P72" s="2006"/>
      <c r="Q72" s="2006"/>
      <c r="R72" s="2006"/>
      <c r="S72" s="2006"/>
      <c r="T72" s="2006"/>
      <c r="U72" s="2006"/>
      <c r="V72" s="2006"/>
      <c r="W72" s="2006"/>
      <c r="X72" s="2006"/>
      <c r="Y72" s="2006"/>
      <c r="Z72" s="2006"/>
      <c r="AA72" s="2006"/>
      <c r="AB72" s="2006"/>
      <c r="AC72" s="2006"/>
      <c r="AD72" s="2006"/>
      <c r="AE72" s="2006"/>
      <c r="AF72" s="2006"/>
    </row>
    <row r="73" spans="1:59" ht="15" customHeight="1" x14ac:dyDescent="0.3">
      <c r="A73" s="2006" t="s">
        <v>2152</v>
      </c>
      <c r="B73" s="2006"/>
      <c r="C73" s="2006"/>
      <c r="D73" s="2006"/>
      <c r="E73" s="2006"/>
      <c r="F73" s="2006"/>
      <c r="G73" s="2006"/>
      <c r="H73" s="2006"/>
      <c r="I73" s="2006"/>
      <c r="J73" s="2006"/>
      <c r="K73" s="2006"/>
      <c r="L73" s="2006"/>
      <c r="M73" s="2006"/>
      <c r="N73" s="2006"/>
      <c r="O73" s="2006"/>
      <c r="P73" s="2006"/>
      <c r="Q73" s="2006"/>
      <c r="R73" s="2006"/>
      <c r="S73" s="2006"/>
      <c r="T73" s="2006"/>
      <c r="U73" s="2006"/>
      <c r="V73" s="2006"/>
      <c r="W73" s="2006"/>
      <c r="X73" s="2006"/>
      <c r="Y73" s="2006"/>
      <c r="Z73" s="2006"/>
      <c r="AA73" s="2006"/>
      <c r="AB73" s="2006"/>
      <c r="AC73" s="2006"/>
      <c r="AD73" s="2006"/>
      <c r="AE73" s="2006"/>
      <c r="AF73" s="2006"/>
    </row>
    <row r="74" spans="1:59" x14ac:dyDescent="0.3">
      <c r="A74" s="2006" t="s">
        <v>2154</v>
      </c>
      <c r="B74" s="2006"/>
      <c r="C74" s="2006"/>
      <c r="D74" s="2006"/>
      <c r="E74" s="2006"/>
      <c r="F74" s="2006"/>
      <c r="G74" s="2006"/>
      <c r="H74" s="2006"/>
      <c r="I74" s="2006"/>
      <c r="J74" s="2006"/>
      <c r="K74" s="2006"/>
      <c r="L74" s="2006"/>
      <c r="M74" s="2006"/>
      <c r="N74" s="2006"/>
      <c r="O74" s="2006"/>
      <c r="P74" s="2006"/>
      <c r="Q74" s="2006"/>
      <c r="R74" s="2006"/>
      <c r="S74" s="2006"/>
      <c r="T74" s="2006"/>
      <c r="U74" s="2006"/>
      <c r="V74" s="2006"/>
      <c r="W74" s="2006"/>
      <c r="X74" s="2006"/>
      <c r="Y74" s="2006"/>
      <c r="Z74" s="2006"/>
      <c r="AA74" s="2006"/>
      <c r="AB74" s="2006"/>
      <c r="AC74" s="2006"/>
      <c r="AD74" s="2006"/>
      <c r="AE74" s="2006"/>
      <c r="AF74" s="2006"/>
    </row>
    <row r="75" spans="1:59" x14ac:dyDescent="0.3">
      <c r="A75" s="2006" t="s">
        <v>2153</v>
      </c>
      <c r="B75" s="2006"/>
      <c r="C75" s="2006"/>
      <c r="D75" s="2006"/>
      <c r="E75" s="2006"/>
      <c r="F75" s="2006"/>
      <c r="G75" s="2006"/>
      <c r="H75" s="2006"/>
      <c r="I75" s="2006"/>
      <c r="J75" s="2006"/>
      <c r="K75" s="2006"/>
      <c r="L75" s="2006"/>
      <c r="M75" s="2006"/>
      <c r="N75" s="2006"/>
      <c r="O75" s="2006"/>
      <c r="P75" s="2006"/>
      <c r="Q75" s="2006"/>
      <c r="R75" s="2006"/>
      <c r="S75" s="2006"/>
      <c r="T75" s="2006"/>
      <c r="U75" s="2006"/>
      <c r="V75" s="2006"/>
      <c r="W75" s="2006"/>
      <c r="X75" s="2006"/>
      <c r="Y75" s="2006"/>
      <c r="Z75" s="2006"/>
      <c r="AA75" s="2006"/>
      <c r="AB75" s="2006"/>
      <c r="AC75" s="2006"/>
      <c r="AD75" s="2006"/>
      <c r="AE75" s="2006"/>
      <c r="AF75" s="2006"/>
      <c r="AN75" s="253"/>
      <c r="AO75" s="253"/>
      <c r="AP75" s="253"/>
      <c r="AQ75" s="253"/>
      <c r="AR75" s="253"/>
      <c r="AS75" s="253"/>
      <c r="AT75" s="253"/>
      <c r="AU75" s="253"/>
      <c r="AV75" s="253"/>
      <c r="AW75" s="253"/>
      <c r="AX75" s="253"/>
      <c r="AY75" s="253"/>
      <c r="AZ75" s="253"/>
      <c r="BA75" s="253"/>
      <c r="BB75" s="253"/>
      <c r="BC75" s="253"/>
      <c r="BD75" s="253"/>
      <c r="BE75" s="253"/>
      <c r="BF75" s="253"/>
      <c r="BG75" s="253"/>
    </row>
    <row r="76" spans="1:59" x14ac:dyDescent="0.3">
      <c r="AN76" s="253"/>
      <c r="AO76" s="253"/>
      <c r="AP76" s="253"/>
      <c r="AQ76" s="253"/>
      <c r="AR76" s="253"/>
      <c r="AS76" s="253"/>
      <c r="AT76" s="253"/>
      <c r="AU76" s="253"/>
      <c r="AV76" s="253"/>
      <c r="AW76" s="253"/>
      <c r="AX76" s="253"/>
      <c r="AY76" s="253"/>
      <c r="AZ76" s="253"/>
      <c r="BA76" s="253"/>
      <c r="BB76" s="253"/>
      <c r="BC76" s="253"/>
      <c r="BD76" s="253"/>
      <c r="BE76" s="253"/>
      <c r="BF76" s="253"/>
      <c r="BG76" s="253"/>
    </row>
    <row r="77" spans="1:59" x14ac:dyDescent="0.3">
      <c r="A77" s="1141" t="s">
        <v>14</v>
      </c>
      <c r="B77" s="1141"/>
      <c r="C77" s="1141"/>
      <c r="D77" s="1141"/>
      <c r="E77" s="1141"/>
      <c r="F77" s="1141"/>
      <c r="G77" s="1141"/>
      <c r="H77" s="1141"/>
      <c r="I77" s="1141"/>
      <c r="J77" s="1141"/>
      <c r="K77" s="1141"/>
      <c r="L77" s="1141"/>
      <c r="M77" s="1141"/>
      <c r="N77" s="1141"/>
      <c r="O77" s="1141"/>
      <c r="P77" s="1141"/>
      <c r="Q77" s="1141"/>
      <c r="R77" s="1141"/>
      <c r="S77" s="1141"/>
      <c r="T77" s="1141"/>
      <c r="U77" s="1141"/>
      <c r="V77" s="1141"/>
      <c r="W77" s="1141"/>
      <c r="X77" s="1141"/>
      <c r="Y77" s="1141"/>
      <c r="Z77" s="1141"/>
      <c r="AA77" s="1141"/>
      <c r="AB77" s="1141"/>
      <c r="AC77" s="1141"/>
      <c r="AD77" s="1141"/>
      <c r="AE77" s="1141"/>
      <c r="AF77" s="1141"/>
    </row>
    <row r="78" spans="1:59" x14ac:dyDescent="0.3">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59" ht="15.6" x14ac:dyDescent="0.35">
      <c r="B79" s="232" t="s">
        <v>2150</v>
      </c>
    </row>
    <row r="80" spans="1:59" ht="15" thickBot="1" x14ac:dyDescent="0.35">
      <c r="A80" s="232"/>
    </row>
    <row r="81" spans="1:45" ht="33" customHeight="1" x14ac:dyDescent="0.3">
      <c r="A81" s="1252" t="s">
        <v>46</v>
      </c>
      <c r="B81" s="1253"/>
      <c r="C81" s="1253"/>
      <c r="D81" s="1253"/>
      <c r="E81" s="1253"/>
      <c r="F81" s="1253"/>
      <c r="G81" s="1253"/>
      <c r="H81" s="1253"/>
      <c r="I81" s="1278" t="s">
        <v>16</v>
      </c>
      <c r="J81" s="1278"/>
      <c r="K81" s="1278"/>
      <c r="L81" s="1278"/>
      <c r="M81" s="1278"/>
      <c r="N81" s="1278"/>
      <c r="O81" s="1278"/>
      <c r="P81" s="1278"/>
      <c r="Q81" s="1278" t="s">
        <v>17</v>
      </c>
      <c r="R81" s="1278"/>
      <c r="S81" s="1278"/>
      <c r="T81" s="1278"/>
      <c r="U81" s="1278"/>
      <c r="V81" s="1278"/>
      <c r="W81" s="1278"/>
      <c r="X81" s="2158"/>
      <c r="Y81" s="1278" t="s">
        <v>1826</v>
      </c>
      <c r="Z81" s="1278"/>
      <c r="AA81" s="1278"/>
      <c r="AB81" s="1278"/>
      <c r="AC81" s="1278"/>
      <c r="AD81" s="1278"/>
      <c r="AE81" s="1278"/>
      <c r="AF81" s="1407"/>
    </row>
    <row r="82" spans="1:45" x14ac:dyDescent="0.3">
      <c r="A82" s="1454" t="s">
        <v>1796</v>
      </c>
      <c r="B82" s="949"/>
      <c r="C82" s="949"/>
      <c r="D82" s="949"/>
      <c r="E82" s="949"/>
      <c r="F82" s="949"/>
      <c r="G82" s="949"/>
      <c r="H82" s="949"/>
      <c r="I82" s="1455">
        <f t="shared" ref="I82:I92" si="0">ROUND((56.32/1000)*$Q$45*$Q$46*$E60*$M60*$Q$51,3)</f>
        <v>5.0000000000000001E-3</v>
      </c>
      <c r="J82" s="1455"/>
      <c r="K82" s="1455"/>
      <c r="L82" s="1455"/>
      <c r="M82" s="1455"/>
      <c r="N82" s="1455"/>
      <c r="O82" s="1455"/>
      <c r="P82" s="1455"/>
      <c r="Q82" s="1456">
        <f t="shared" ref="Q82:Q92" si="1">ROUND((56.32/1000)*$Q$45*$Q$46*$I60*$Q60*$Q$51,2)</f>
        <v>36.44</v>
      </c>
      <c r="R82" s="1456"/>
      <c r="S82" s="1456"/>
      <c r="T82" s="1456"/>
      <c r="U82" s="1456"/>
      <c r="V82" s="1456"/>
      <c r="W82" s="1456"/>
      <c r="X82" s="1456"/>
      <c r="Y82" s="2156">
        <f>ROUND(Q82*$Q$52,2)</f>
        <v>291.52</v>
      </c>
      <c r="Z82" s="2156"/>
      <c r="AA82" s="2156"/>
      <c r="AB82" s="2156"/>
      <c r="AC82" s="2156"/>
      <c r="AD82" s="2156"/>
      <c r="AE82" s="2156"/>
      <c r="AF82" s="2157"/>
    </row>
    <row r="83" spans="1:45" ht="15" customHeight="1" x14ac:dyDescent="0.3">
      <c r="A83" s="1454" t="s">
        <v>211</v>
      </c>
      <c r="B83" s="949"/>
      <c r="C83" s="949"/>
      <c r="D83" s="949"/>
      <c r="E83" s="949"/>
      <c r="F83" s="949"/>
      <c r="G83" s="949"/>
      <c r="H83" s="949"/>
      <c r="I83" s="1455">
        <f t="shared" si="0"/>
        <v>3.0000000000000001E-3</v>
      </c>
      <c r="J83" s="1455"/>
      <c r="K83" s="1455"/>
      <c r="L83" s="1455"/>
      <c r="M83" s="1455"/>
      <c r="N83" s="1455"/>
      <c r="O83" s="1455"/>
      <c r="P83" s="1455"/>
      <c r="Q83" s="1456">
        <f t="shared" si="1"/>
        <v>81.56</v>
      </c>
      <c r="R83" s="1456"/>
      <c r="S83" s="1456"/>
      <c r="T83" s="1456"/>
      <c r="U83" s="1456"/>
      <c r="V83" s="1456"/>
      <c r="W83" s="1456"/>
      <c r="X83" s="1456"/>
      <c r="Y83" s="2156">
        <f t="shared" ref="Y83:Y92" si="2">ROUND(Q83*$Q$52,2)</f>
        <v>652.48</v>
      </c>
      <c r="Z83" s="2156"/>
      <c r="AA83" s="2156"/>
      <c r="AB83" s="2156"/>
      <c r="AC83" s="2156"/>
      <c r="AD83" s="2156"/>
      <c r="AE83" s="2156"/>
      <c r="AF83" s="2157"/>
    </row>
    <row r="84" spans="1:45" ht="15" customHeight="1" x14ac:dyDescent="0.3">
      <c r="A84" s="1454" t="s">
        <v>212</v>
      </c>
      <c r="B84" s="949"/>
      <c r="C84" s="949"/>
      <c r="D84" s="949"/>
      <c r="E84" s="949"/>
      <c r="F84" s="949"/>
      <c r="G84" s="949"/>
      <c r="H84" s="949"/>
      <c r="I84" s="1455">
        <f t="shared" si="0"/>
        <v>5.0000000000000001E-3</v>
      </c>
      <c r="J84" s="1455"/>
      <c r="K84" s="1455"/>
      <c r="L84" s="1455"/>
      <c r="M84" s="1455"/>
      <c r="N84" s="1455"/>
      <c r="O84" s="1455"/>
      <c r="P84" s="1455"/>
      <c r="Q84" s="1456">
        <f t="shared" si="1"/>
        <v>25.36</v>
      </c>
      <c r="R84" s="1456"/>
      <c r="S84" s="1456"/>
      <c r="T84" s="1456"/>
      <c r="U84" s="1456"/>
      <c r="V84" s="1456"/>
      <c r="W84" s="1456"/>
      <c r="X84" s="1456"/>
      <c r="Y84" s="2156">
        <f t="shared" si="2"/>
        <v>202.88</v>
      </c>
      <c r="Z84" s="2156"/>
      <c r="AA84" s="2156"/>
      <c r="AB84" s="2156"/>
      <c r="AC84" s="2156"/>
      <c r="AD84" s="2156"/>
      <c r="AE84" s="2156"/>
      <c r="AF84" s="2157"/>
      <c r="AS84" s="4"/>
    </row>
    <row r="85" spans="1:45" ht="15" customHeight="1" x14ac:dyDescent="0.3">
      <c r="A85" s="1454" t="s">
        <v>213</v>
      </c>
      <c r="B85" s="949"/>
      <c r="C85" s="949"/>
      <c r="D85" s="949"/>
      <c r="E85" s="949"/>
      <c r="F85" s="949"/>
      <c r="G85" s="949"/>
      <c r="H85" s="949"/>
      <c r="I85" s="1455">
        <f>ROUND((56.32/1000)*$Q$45*$Q$46*$E63*$M63*$Q$51,3)</f>
        <v>8.9999999999999993E-3</v>
      </c>
      <c r="J85" s="1455"/>
      <c r="K85" s="1455"/>
      <c r="L85" s="1455"/>
      <c r="M85" s="1455"/>
      <c r="N85" s="1455"/>
      <c r="O85" s="1455"/>
      <c r="P85" s="1455"/>
      <c r="Q85" s="1456">
        <f>ROUND((56.32/1000)*$Q$45*$Q$46*$I63*$Q63*$Q$51,2)</f>
        <v>67.61</v>
      </c>
      <c r="R85" s="1456"/>
      <c r="S85" s="1456"/>
      <c r="T85" s="1456"/>
      <c r="U85" s="1456"/>
      <c r="V85" s="1456"/>
      <c r="W85" s="1456"/>
      <c r="X85" s="1456"/>
      <c r="Y85" s="2156">
        <f>ROUND(Q85*$Q$52,2)</f>
        <v>540.88</v>
      </c>
      <c r="Z85" s="2156"/>
      <c r="AA85" s="2156"/>
      <c r="AB85" s="2156"/>
      <c r="AC85" s="2156"/>
      <c r="AD85" s="2156"/>
      <c r="AE85" s="2156"/>
      <c r="AF85" s="2157"/>
    </row>
    <row r="86" spans="1:45" ht="15" customHeight="1" x14ac:dyDescent="0.3">
      <c r="A86" s="1454" t="s">
        <v>214</v>
      </c>
      <c r="B86" s="949"/>
      <c r="C86" s="949"/>
      <c r="D86" s="949"/>
      <c r="E86" s="949"/>
      <c r="F86" s="949"/>
      <c r="G86" s="949"/>
      <c r="H86" s="949"/>
      <c r="I86" s="1455">
        <f t="shared" si="0"/>
        <v>8.9999999999999993E-3</v>
      </c>
      <c r="J86" s="1455"/>
      <c r="K86" s="1455"/>
      <c r="L86" s="1455"/>
      <c r="M86" s="1455"/>
      <c r="N86" s="1455"/>
      <c r="O86" s="1455"/>
      <c r="P86" s="1455"/>
      <c r="Q86" s="1456">
        <f t="shared" si="1"/>
        <v>72.62</v>
      </c>
      <c r="R86" s="1456"/>
      <c r="S86" s="1456"/>
      <c r="T86" s="1456"/>
      <c r="U86" s="1456"/>
      <c r="V86" s="1456"/>
      <c r="W86" s="1456"/>
      <c r="X86" s="1456"/>
      <c r="Y86" s="2156">
        <f t="shared" si="2"/>
        <v>580.96</v>
      </c>
      <c r="Z86" s="2156"/>
      <c r="AA86" s="2156"/>
      <c r="AB86" s="2156"/>
      <c r="AC86" s="2156"/>
      <c r="AD86" s="2156"/>
      <c r="AE86" s="2156"/>
      <c r="AF86" s="2157"/>
    </row>
    <row r="87" spans="1:45" ht="15" customHeight="1" x14ac:dyDescent="0.3">
      <c r="A87" s="1454" t="s">
        <v>215</v>
      </c>
      <c r="B87" s="949"/>
      <c r="C87" s="949"/>
      <c r="D87" s="949"/>
      <c r="E87" s="949"/>
      <c r="F87" s="949"/>
      <c r="G87" s="949"/>
      <c r="H87" s="949"/>
      <c r="I87" s="1455">
        <f t="shared" si="0"/>
        <v>3.0000000000000001E-3</v>
      </c>
      <c r="J87" s="1455"/>
      <c r="K87" s="1455"/>
      <c r="L87" s="1455"/>
      <c r="M87" s="1455"/>
      <c r="N87" s="1455"/>
      <c r="O87" s="1455"/>
      <c r="P87" s="1455"/>
      <c r="Q87" s="1456">
        <f t="shared" si="1"/>
        <v>17.66</v>
      </c>
      <c r="R87" s="1456"/>
      <c r="S87" s="1456"/>
      <c r="T87" s="1456"/>
      <c r="U87" s="1456"/>
      <c r="V87" s="1456"/>
      <c r="W87" s="1456"/>
      <c r="X87" s="1456"/>
      <c r="Y87" s="2156">
        <f t="shared" si="2"/>
        <v>141.28</v>
      </c>
      <c r="Z87" s="2156"/>
      <c r="AA87" s="2156"/>
      <c r="AB87" s="2156"/>
      <c r="AC87" s="2156"/>
      <c r="AD87" s="2156"/>
      <c r="AE87" s="2156"/>
      <c r="AF87" s="2157"/>
    </row>
    <row r="88" spans="1:45" ht="15" customHeight="1" x14ac:dyDescent="0.3">
      <c r="A88" s="1454" t="s">
        <v>216</v>
      </c>
      <c r="B88" s="949"/>
      <c r="C88" s="949"/>
      <c r="D88" s="949"/>
      <c r="E88" s="949"/>
      <c r="F88" s="949"/>
      <c r="G88" s="949"/>
      <c r="H88" s="949"/>
      <c r="I88" s="1455">
        <f t="shared" si="0"/>
        <v>8.9999999999999993E-3</v>
      </c>
      <c r="J88" s="1455"/>
      <c r="K88" s="1455"/>
      <c r="L88" s="1455"/>
      <c r="M88" s="1455"/>
      <c r="N88" s="1455"/>
      <c r="O88" s="1455"/>
      <c r="P88" s="1455"/>
      <c r="Q88" s="1456">
        <f t="shared" si="1"/>
        <v>32.520000000000003</v>
      </c>
      <c r="R88" s="1456"/>
      <c r="S88" s="1456"/>
      <c r="T88" s="1456"/>
      <c r="U88" s="1456"/>
      <c r="V88" s="1456"/>
      <c r="W88" s="1456"/>
      <c r="X88" s="1456"/>
      <c r="Y88" s="2156">
        <f t="shared" si="2"/>
        <v>260.16000000000003</v>
      </c>
      <c r="Z88" s="2156"/>
      <c r="AA88" s="2156"/>
      <c r="AB88" s="2156"/>
      <c r="AC88" s="2156"/>
      <c r="AD88" s="2156"/>
      <c r="AE88" s="2156"/>
      <c r="AF88" s="2157"/>
    </row>
    <row r="89" spans="1:45" ht="15" customHeight="1" x14ac:dyDescent="0.3">
      <c r="A89" s="1454" t="s">
        <v>47</v>
      </c>
      <c r="B89" s="949"/>
      <c r="C89" s="949"/>
      <c r="D89" s="949"/>
      <c r="E89" s="949"/>
      <c r="F89" s="949"/>
      <c r="G89" s="949"/>
      <c r="H89" s="949"/>
      <c r="I89" s="1455">
        <f t="shared" si="0"/>
        <v>3.0000000000000001E-3</v>
      </c>
      <c r="J89" s="1455"/>
      <c r="K89" s="1455"/>
      <c r="L89" s="1455"/>
      <c r="M89" s="1455"/>
      <c r="N89" s="1455"/>
      <c r="O89" s="1455"/>
      <c r="P89" s="1455"/>
      <c r="Q89" s="1456">
        <f t="shared" si="1"/>
        <v>29.64</v>
      </c>
      <c r="R89" s="1456"/>
      <c r="S89" s="1456"/>
      <c r="T89" s="1456"/>
      <c r="U89" s="1456"/>
      <c r="V89" s="1456"/>
      <c r="W89" s="1456"/>
      <c r="X89" s="1456"/>
      <c r="Y89" s="2156">
        <f t="shared" si="2"/>
        <v>237.12</v>
      </c>
      <c r="Z89" s="2156"/>
      <c r="AA89" s="2156"/>
      <c r="AB89" s="2156"/>
      <c r="AC89" s="2156"/>
      <c r="AD89" s="2156"/>
      <c r="AE89" s="2156"/>
      <c r="AF89" s="2157"/>
    </row>
    <row r="90" spans="1:45" ht="15" customHeight="1" x14ac:dyDescent="0.3">
      <c r="A90" s="1454" t="s">
        <v>217</v>
      </c>
      <c r="B90" s="949"/>
      <c r="C90" s="949"/>
      <c r="D90" s="949"/>
      <c r="E90" s="949"/>
      <c r="F90" s="949"/>
      <c r="G90" s="949"/>
      <c r="H90" s="949"/>
      <c r="I90" s="1455">
        <f t="shared" si="0"/>
        <v>7.0000000000000001E-3</v>
      </c>
      <c r="J90" s="1455"/>
      <c r="K90" s="1455"/>
      <c r="L90" s="1455"/>
      <c r="M90" s="1455"/>
      <c r="N90" s="1455"/>
      <c r="O90" s="1455"/>
      <c r="P90" s="1455"/>
      <c r="Q90" s="1456">
        <f t="shared" si="1"/>
        <v>52.85</v>
      </c>
      <c r="R90" s="1456"/>
      <c r="S90" s="1456"/>
      <c r="T90" s="1456"/>
      <c r="U90" s="1456"/>
      <c r="V90" s="1456"/>
      <c r="W90" s="1456"/>
      <c r="X90" s="1456"/>
      <c r="Y90" s="2156">
        <f t="shared" si="2"/>
        <v>422.8</v>
      </c>
      <c r="Z90" s="2156"/>
      <c r="AA90" s="2156"/>
      <c r="AB90" s="2156"/>
      <c r="AC90" s="2156"/>
      <c r="AD90" s="2156"/>
      <c r="AE90" s="2156"/>
      <c r="AF90" s="2157"/>
    </row>
    <row r="91" spans="1:45" ht="15" customHeight="1" x14ac:dyDescent="0.3">
      <c r="A91" s="1454" t="s">
        <v>218</v>
      </c>
      <c r="B91" s="949"/>
      <c r="C91" s="949"/>
      <c r="D91" s="949"/>
      <c r="E91" s="949"/>
      <c r="F91" s="949"/>
      <c r="G91" s="949"/>
      <c r="H91" s="949"/>
      <c r="I91" s="1455">
        <f t="shared" si="0"/>
        <v>8.0000000000000002E-3</v>
      </c>
      <c r="J91" s="1455"/>
      <c r="K91" s="1455"/>
      <c r="L91" s="1455"/>
      <c r="M91" s="1455"/>
      <c r="N91" s="1455"/>
      <c r="O91" s="1455"/>
      <c r="P91" s="1455"/>
      <c r="Q91" s="1456">
        <f t="shared" si="1"/>
        <v>52.55</v>
      </c>
      <c r="R91" s="1456"/>
      <c r="S91" s="1456"/>
      <c r="T91" s="1456"/>
      <c r="U91" s="1456"/>
      <c r="V91" s="1456"/>
      <c r="W91" s="1456"/>
      <c r="X91" s="1456"/>
      <c r="Y91" s="2156">
        <f t="shared" si="2"/>
        <v>420.4</v>
      </c>
      <c r="Z91" s="2156"/>
      <c r="AA91" s="2156"/>
      <c r="AB91" s="2156"/>
      <c r="AC91" s="2156"/>
      <c r="AD91" s="2156"/>
      <c r="AE91" s="2156"/>
      <c r="AF91" s="2157"/>
    </row>
    <row r="92" spans="1:45" ht="15" customHeight="1" thickBot="1" x14ac:dyDescent="0.35">
      <c r="A92" s="1247" t="s">
        <v>219</v>
      </c>
      <c r="B92" s="1248"/>
      <c r="C92" s="1248"/>
      <c r="D92" s="1248"/>
      <c r="E92" s="1248"/>
      <c r="F92" s="1248"/>
      <c r="G92" s="1248"/>
      <c r="H92" s="1248"/>
      <c r="I92" s="1414">
        <f t="shared" si="0"/>
        <v>1E-3</v>
      </c>
      <c r="J92" s="1414"/>
      <c r="K92" s="1414"/>
      <c r="L92" s="1414"/>
      <c r="M92" s="1414"/>
      <c r="N92" s="1414"/>
      <c r="O92" s="1414"/>
      <c r="P92" s="1414"/>
      <c r="Q92" s="1415">
        <f t="shared" si="1"/>
        <v>26.23</v>
      </c>
      <c r="R92" s="1415"/>
      <c r="S92" s="1415"/>
      <c r="T92" s="1415"/>
      <c r="U92" s="1415"/>
      <c r="V92" s="1415"/>
      <c r="W92" s="1415"/>
      <c r="X92" s="1415"/>
      <c r="Y92" s="2159">
        <f t="shared" si="2"/>
        <v>209.84</v>
      </c>
      <c r="Z92" s="2159"/>
      <c r="AA92" s="2159"/>
      <c r="AB92" s="2159"/>
      <c r="AC92" s="2159"/>
      <c r="AD92" s="2159"/>
      <c r="AE92" s="2159"/>
      <c r="AF92" s="2160"/>
    </row>
    <row r="93" spans="1:45" ht="15" customHeight="1" x14ac:dyDescent="0.3"/>
    <row r="94" spans="1:45" ht="15" customHeight="1" x14ac:dyDescent="0.3"/>
    <row r="95" spans="1:45" ht="15.6" x14ac:dyDescent="0.35">
      <c r="B95" s="232" t="s">
        <v>2149</v>
      </c>
    </row>
    <row r="97" spans="1:32" ht="15.6" x14ac:dyDescent="0.35">
      <c r="B97" t="s">
        <v>2151</v>
      </c>
      <c r="C97"/>
      <c r="D97"/>
      <c r="E97"/>
      <c r="F97"/>
      <c r="G97"/>
      <c r="H97"/>
      <c r="I97"/>
      <c r="J97"/>
      <c r="K97"/>
      <c r="L97"/>
      <c r="M97"/>
      <c r="N97"/>
      <c r="O97"/>
      <c r="P97"/>
      <c r="Q97"/>
      <c r="R97"/>
      <c r="S97"/>
      <c r="T97"/>
    </row>
    <row r="98" spans="1:32" x14ac:dyDescent="0.3">
      <c r="B98"/>
      <c r="C98"/>
      <c r="D98" s="1782">
        <v>56.32</v>
      </c>
      <c r="E98" s="1783"/>
      <c r="F98" s="1783"/>
      <c r="G98" s="1783"/>
      <c r="H98" s="1784"/>
      <c r="I98"/>
      <c r="J98"/>
      <c r="K98"/>
      <c r="L98"/>
      <c r="M98"/>
    </row>
    <row r="99" spans="1:32" ht="15" thickBot="1" x14ac:dyDescent="0.35"/>
    <row r="100" spans="1:32" ht="31.5" customHeight="1" x14ac:dyDescent="0.3">
      <c r="A100" s="1252" t="s">
        <v>46</v>
      </c>
      <c r="B100" s="1253"/>
      <c r="C100" s="1253"/>
      <c r="D100" s="1253"/>
      <c r="E100" s="1253"/>
      <c r="F100" s="1253"/>
      <c r="G100" s="1253"/>
      <c r="H100" s="1253"/>
      <c r="I100" s="1278" t="s">
        <v>16</v>
      </c>
      <c r="J100" s="1278"/>
      <c r="K100" s="1278"/>
      <c r="L100" s="1278"/>
      <c r="M100" s="1278"/>
      <c r="N100" s="1278"/>
      <c r="O100" s="1278"/>
      <c r="P100" s="1278"/>
      <c r="Q100" s="1278" t="s">
        <v>17</v>
      </c>
      <c r="R100" s="1278"/>
      <c r="S100" s="1278"/>
      <c r="T100" s="1278"/>
      <c r="U100" s="1278"/>
      <c r="V100" s="1278"/>
      <c r="W100" s="1278"/>
      <c r="X100" s="2158"/>
      <c r="Y100" s="1278" t="s">
        <v>1826</v>
      </c>
      <c r="Z100" s="1278"/>
      <c r="AA100" s="1278"/>
      <c r="AB100" s="1278"/>
      <c r="AC100" s="1278"/>
      <c r="AD100" s="1278"/>
      <c r="AE100" s="1278"/>
      <c r="AF100" s="1407"/>
    </row>
    <row r="101" spans="1:32" x14ac:dyDescent="0.3">
      <c r="A101" s="1454" t="s">
        <v>1796</v>
      </c>
      <c r="B101" s="949"/>
      <c r="C101" s="949"/>
      <c r="D101" s="949"/>
      <c r="E101" s="949"/>
      <c r="F101" s="949"/>
      <c r="G101" s="949"/>
      <c r="H101" s="949"/>
      <c r="I101" s="1293">
        <f t="shared" ref="I101:I111" si="3">ROUND(($D$98/1000)*$Q$45*$Q$46*$E60*$M60*$Q$51,3)</f>
        <v>5.0000000000000001E-3</v>
      </c>
      <c r="J101" s="1293"/>
      <c r="K101" s="1293"/>
      <c r="L101" s="1293"/>
      <c r="M101" s="1293"/>
      <c r="N101" s="1293"/>
      <c r="O101" s="1293"/>
      <c r="P101" s="1293"/>
      <c r="Q101" s="1555">
        <f t="shared" ref="Q101:Q111" si="4">ROUND(($D$98/1000)*$Q$45*$Q$46*$I60*$Q60*$Q$51,2)</f>
        <v>36.44</v>
      </c>
      <c r="R101" s="1555"/>
      <c r="S101" s="1555"/>
      <c r="T101" s="1555"/>
      <c r="U101" s="1555"/>
      <c r="V101" s="1555"/>
      <c r="W101" s="1555"/>
      <c r="X101" s="1555"/>
      <c r="Y101" s="2326">
        <f t="shared" ref="Y101:Y111" si="5">ROUND(Q101*$Q$52,2)</f>
        <v>291.52</v>
      </c>
      <c r="Z101" s="2326"/>
      <c r="AA101" s="2326"/>
      <c r="AB101" s="2326"/>
      <c r="AC101" s="2326"/>
      <c r="AD101" s="2326"/>
      <c r="AE101" s="2326"/>
      <c r="AF101" s="2327"/>
    </row>
    <row r="102" spans="1:32" x14ac:dyDescent="0.3">
      <c r="A102" s="1454" t="s">
        <v>211</v>
      </c>
      <c r="B102" s="949"/>
      <c r="C102" s="949"/>
      <c r="D102" s="949"/>
      <c r="E102" s="949"/>
      <c r="F102" s="949"/>
      <c r="G102" s="949"/>
      <c r="H102" s="949"/>
      <c r="I102" s="1293">
        <f t="shared" si="3"/>
        <v>3.0000000000000001E-3</v>
      </c>
      <c r="J102" s="1293"/>
      <c r="K102" s="1293"/>
      <c r="L102" s="1293"/>
      <c r="M102" s="1293"/>
      <c r="N102" s="1293"/>
      <c r="O102" s="1293"/>
      <c r="P102" s="1293"/>
      <c r="Q102" s="1555">
        <f t="shared" si="4"/>
        <v>81.56</v>
      </c>
      <c r="R102" s="1555"/>
      <c r="S102" s="1555"/>
      <c r="T102" s="1555"/>
      <c r="U102" s="1555"/>
      <c r="V102" s="1555"/>
      <c r="W102" s="1555"/>
      <c r="X102" s="1555"/>
      <c r="Y102" s="2326">
        <f t="shared" si="5"/>
        <v>652.48</v>
      </c>
      <c r="Z102" s="2326"/>
      <c r="AA102" s="2326"/>
      <c r="AB102" s="2326"/>
      <c r="AC102" s="2326"/>
      <c r="AD102" s="2326"/>
      <c r="AE102" s="2326"/>
      <c r="AF102" s="2327"/>
    </row>
    <row r="103" spans="1:32" x14ac:dyDescent="0.3">
      <c r="A103" s="1454" t="s">
        <v>212</v>
      </c>
      <c r="B103" s="949"/>
      <c r="C103" s="949"/>
      <c r="D103" s="949"/>
      <c r="E103" s="949"/>
      <c r="F103" s="949"/>
      <c r="G103" s="949"/>
      <c r="H103" s="949"/>
      <c r="I103" s="1293">
        <f t="shared" si="3"/>
        <v>5.0000000000000001E-3</v>
      </c>
      <c r="J103" s="1293"/>
      <c r="K103" s="1293"/>
      <c r="L103" s="1293"/>
      <c r="M103" s="1293"/>
      <c r="N103" s="1293"/>
      <c r="O103" s="1293"/>
      <c r="P103" s="1293"/>
      <c r="Q103" s="1555">
        <f t="shared" si="4"/>
        <v>25.36</v>
      </c>
      <c r="R103" s="1555"/>
      <c r="S103" s="1555"/>
      <c r="T103" s="1555"/>
      <c r="U103" s="1555"/>
      <c r="V103" s="1555"/>
      <c r="W103" s="1555"/>
      <c r="X103" s="1555"/>
      <c r="Y103" s="2326">
        <f t="shared" si="5"/>
        <v>202.88</v>
      </c>
      <c r="Z103" s="2326"/>
      <c r="AA103" s="2326"/>
      <c r="AB103" s="2326"/>
      <c r="AC103" s="2326"/>
      <c r="AD103" s="2326"/>
      <c r="AE103" s="2326"/>
      <c r="AF103" s="2327"/>
    </row>
    <row r="104" spans="1:32" x14ac:dyDescent="0.3">
      <c r="A104" s="1454" t="s">
        <v>213</v>
      </c>
      <c r="B104" s="949"/>
      <c r="C104" s="949"/>
      <c r="D104" s="949"/>
      <c r="E104" s="949"/>
      <c r="F104" s="949"/>
      <c r="G104" s="949"/>
      <c r="H104" s="949"/>
      <c r="I104" s="1293">
        <f t="shared" si="3"/>
        <v>8.9999999999999993E-3</v>
      </c>
      <c r="J104" s="1293"/>
      <c r="K104" s="1293"/>
      <c r="L104" s="1293"/>
      <c r="M104" s="1293"/>
      <c r="N104" s="1293"/>
      <c r="O104" s="1293"/>
      <c r="P104" s="1293"/>
      <c r="Q104" s="1555">
        <f t="shared" si="4"/>
        <v>67.61</v>
      </c>
      <c r="R104" s="1555"/>
      <c r="S104" s="1555"/>
      <c r="T104" s="1555"/>
      <c r="U104" s="1555"/>
      <c r="V104" s="1555"/>
      <c r="W104" s="1555"/>
      <c r="X104" s="1555"/>
      <c r="Y104" s="2326">
        <f t="shared" si="5"/>
        <v>540.88</v>
      </c>
      <c r="Z104" s="2326"/>
      <c r="AA104" s="2326"/>
      <c r="AB104" s="2326"/>
      <c r="AC104" s="2326"/>
      <c r="AD104" s="2326"/>
      <c r="AE104" s="2326"/>
      <c r="AF104" s="2327"/>
    </row>
    <row r="105" spans="1:32" x14ac:dyDescent="0.3">
      <c r="A105" s="1454" t="s">
        <v>214</v>
      </c>
      <c r="B105" s="949"/>
      <c r="C105" s="949"/>
      <c r="D105" s="949"/>
      <c r="E105" s="949"/>
      <c r="F105" s="949"/>
      <c r="G105" s="949"/>
      <c r="H105" s="949"/>
      <c r="I105" s="1293">
        <f t="shared" si="3"/>
        <v>8.9999999999999993E-3</v>
      </c>
      <c r="J105" s="1293"/>
      <c r="K105" s="1293"/>
      <c r="L105" s="1293"/>
      <c r="M105" s="1293"/>
      <c r="N105" s="1293"/>
      <c r="O105" s="1293"/>
      <c r="P105" s="1293"/>
      <c r="Q105" s="1555">
        <f t="shared" si="4"/>
        <v>72.62</v>
      </c>
      <c r="R105" s="1555"/>
      <c r="S105" s="1555"/>
      <c r="T105" s="1555"/>
      <c r="U105" s="1555"/>
      <c r="V105" s="1555"/>
      <c r="W105" s="1555"/>
      <c r="X105" s="1555"/>
      <c r="Y105" s="2326">
        <f t="shared" si="5"/>
        <v>580.96</v>
      </c>
      <c r="Z105" s="2326"/>
      <c r="AA105" s="2326"/>
      <c r="AB105" s="2326"/>
      <c r="AC105" s="2326"/>
      <c r="AD105" s="2326"/>
      <c r="AE105" s="2326"/>
      <c r="AF105" s="2327"/>
    </row>
    <row r="106" spans="1:32" x14ac:dyDescent="0.3">
      <c r="A106" s="1454" t="s">
        <v>215</v>
      </c>
      <c r="B106" s="949"/>
      <c r="C106" s="949"/>
      <c r="D106" s="949"/>
      <c r="E106" s="949"/>
      <c r="F106" s="949"/>
      <c r="G106" s="949"/>
      <c r="H106" s="949"/>
      <c r="I106" s="1293">
        <f t="shared" si="3"/>
        <v>3.0000000000000001E-3</v>
      </c>
      <c r="J106" s="1293"/>
      <c r="K106" s="1293"/>
      <c r="L106" s="1293"/>
      <c r="M106" s="1293"/>
      <c r="N106" s="1293"/>
      <c r="O106" s="1293"/>
      <c r="P106" s="1293"/>
      <c r="Q106" s="1555">
        <f t="shared" si="4"/>
        <v>17.66</v>
      </c>
      <c r="R106" s="1555"/>
      <c r="S106" s="1555"/>
      <c r="T106" s="1555"/>
      <c r="U106" s="1555"/>
      <c r="V106" s="1555"/>
      <c r="W106" s="1555"/>
      <c r="X106" s="1555"/>
      <c r="Y106" s="2326">
        <f t="shared" si="5"/>
        <v>141.28</v>
      </c>
      <c r="Z106" s="2326"/>
      <c r="AA106" s="2326"/>
      <c r="AB106" s="2326"/>
      <c r="AC106" s="2326"/>
      <c r="AD106" s="2326"/>
      <c r="AE106" s="2326"/>
      <c r="AF106" s="2327"/>
    </row>
    <row r="107" spans="1:32" x14ac:dyDescent="0.3">
      <c r="A107" s="1454" t="s">
        <v>216</v>
      </c>
      <c r="B107" s="949"/>
      <c r="C107" s="949"/>
      <c r="D107" s="949"/>
      <c r="E107" s="949"/>
      <c r="F107" s="949"/>
      <c r="G107" s="949"/>
      <c r="H107" s="949"/>
      <c r="I107" s="1293">
        <f t="shared" si="3"/>
        <v>8.9999999999999993E-3</v>
      </c>
      <c r="J107" s="1293"/>
      <c r="K107" s="1293"/>
      <c r="L107" s="1293"/>
      <c r="M107" s="1293"/>
      <c r="N107" s="1293"/>
      <c r="O107" s="1293"/>
      <c r="P107" s="1293"/>
      <c r="Q107" s="1555">
        <f t="shared" si="4"/>
        <v>32.520000000000003</v>
      </c>
      <c r="R107" s="1555"/>
      <c r="S107" s="1555"/>
      <c r="T107" s="1555"/>
      <c r="U107" s="1555"/>
      <c r="V107" s="1555"/>
      <c r="W107" s="1555"/>
      <c r="X107" s="1555"/>
      <c r="Y107" s="2326">
        <f t="shared" si="5"/>
        <v>260.16000000000003</v>
      </c>
      <c r="Z107" s="2326"/>
      <c r="AA107" s="2326"/>
      <c r="AB107" s="2326"/>
      <c r="AC107" s="2326"/>
      <c r="AD107" s="2326"/>
      <c r="AE107" s="2326"/>
      <c r="AF107" s="2327"/>
    </row>
    <row r="108" spans="1:32" x14ac:dyDescent="0.3">
      <c r="A108" s="1454" t="s">
        <v>47</v>
      </c>
      <c r="B108" s="949"/>
      <c r="C108" s="949"/>
      <c r="D108" s="949"/>
      <c r="E108" s="949"/>
      <c r="F108" s="949"/>
      <c r="G108" s="949"/>
      <c r="H108" s="949"/>
      <c r="I108" s="1293">
        <f t="shared" si="3"/>
        <v>3.0000000000000001E-3</v>
      </c>
      <c r="J108" s="1293"/>
      <c r="K108" s="1293"/>
      <c r="L108" s="1293"/>
      <c r="M108" s="1293"/>
      <c r="N108" s="1293"/>
      <c r="O108" s="1293"/>
      <c r="P108" s="1293"/>
      <c r="Q108" s="1555">
        <f t="shared" si="4"/>
        <v>29.64</v>
      </c>
      <c r="R108" s="1555"/>
      <c r="S108" s="1555"/>
      <c r="T108" s="1555"/>
      <c r="U108" s="1555"/>
      <c r="V108" s="1555"/>
      <c r="W108" s="1555"/>
      <c r="X108" s="1555"/>
      <c r="Y108" s="2326">
        <f t="shared" si="5"/>
        <v>237.12</v>
      </c>
      <c r="Z108" s="2326"/>
      <c r="AA108" s="2326"/>
      <c r="AB108" s="2326"/>
      <c r="AC108" s="2326"/>
      <c r="AD108" s="2326"/>
      <c r="AE108" s="2326"/>
      <c r="AF108" s="2327"/>
    </row>
    <row r="109" spans="1:32" x14ac:dyDescent="0.3">
      <c r="A109" s="1454" t="s">
        <v>217</v>
      </c>
      <c r="B109" s="949"/>
      <c r="C109" s="949"/>
      <c r="D109" s="949"/>
      <c r="E109" s="949"/>
      <c r="F109" s="949"/>
      <c r="G109" s="949"/>
      <c r="H109" s="949"/>
      <c r="I109" s="1293">
        <f t="shared" si="3"/>
        <v>7.0000000000000001E-3</v>
      </c>
      <c r="J109" s="1293"/>
      <c r="K109" s="1293"/>
      <c r="L109" s="1293"/>
      <c r="M109" s="1293"/>
      <c r="N109" s="1293"/>
      <c r="O109" s="1293"/>
      <c r="P109" s="1293"/>
      <c r="Q109" s="1555">
        <f t="shared" si="4"/>
        <v>52.85</v>
      </c>
      <c r="R109" s="1555"/>
      <c r="S109" s="1555"/>
      <c r="T109" s="1555"/>
      <c r="U109" s="1555"/>
      <c r="V109" s="1555"/>
      <c r="W109" s="1555"/>
      <c r="X109" s="1555"/>
      <c r="Y109" s="2326">
        <f t="shared" si="5"/>
        <v>422.8</v>
      </c>
      <c r="Z109" s="2326"/>
      <c r="AA109" s="2326"/>
      <c r="AB109" s="2326"/>
      <c r="AC109" s="2326"/>
      <c r="AD109" s="2326"/>
      <c r="AE109" s="2326"/>
      <c r="AF109" s="2327"/>
    </row>
    <row r="110" spans="1:32" x14ac:dyDescent="0.3">
      <c r="A110" s="1454" t="s">
        <v>218</v>
      </c>
      <c r="B110" s="949"/>
      <c r="C110" s="949"/>
      <c r="D110" s="949"/>
      <c r="E110" s="949"/>
      <c r="F110" s="949"/>
      <c r="G110" s="949"/>
      <c r="H110" s="949"/>
      <c r="I110" s="1293">
        <f t="shared" si="3"/>
        <v>8.0000000000000002E-3</v>
      </c>
      <c r="J110" s="1293"/>
      <c r="K110" s="1293"/>
      <c r="L110" s="1293"/>
      <c r="M110" s="1293"/>
      <c r="N110" s="1293"/>
      <c r="O110" s="1293"/>
      <c r="P110" s="1293"/>
      <c r="Q110" s="1555">
        <f t="shared" si="4"/>
        <v>52.55</v>
      </c>
      <c r="R110" s="1555"/>
      <c r="S110" s="1555"/>
      <c r="T110" s="1555"/>
      <c r="U110" s="1555"/>
      <c r="V110" s="1555"/>
      <c r="W110" s="1555"/>
      <c r="X110" s="1555"/>
      <c r="Y110" s="2326">
        <f t="shared" si="5"/>
        <v>420.4</v>
      </c>
      <c r="Z110" s="2326"/>
      <c r="AA110" s="2326"/>
      <c r="AB110" s="2326"/>
      <c r="AC110" s="2326"/>
      <c r="AD110" s="2326"/>
      <c r="AE110" s="2326"/>
      <c r="AF110" s="2327"/>
    </row>
    <row r="111" spans="1:32" ht="15" thickBot="1" x14ac:dyDescent="0.35">
      <c r="A111" s="1247" t="s">
        <v>219</v>
      </c>
      <c r="B111" s="1248"/>
      <c r="C111" s="1248"/>
      <c r="D111" s="1248"/>
      <c r="E111" s="1248"/>
      <c r="F111" s="1248"/>
      <c r="G111" s="1248"/>
      <c r="H111" s="1248"/>
      <c r="I111" s="1303">
        <f t="shared" si="3"/>
        <v>1E-3</v>
      </c>
      <c r="J111" s="1303"/>
      <c r="K111" s="1303"/>
      <c r="L111" s="1303"/>
      <c r="M111" s="1303"/>
      <c r="N111" s="1303"/>
      <c r="O111" s="1303"/>
      <c r="P111" s="1303"/>
      <c r="Q111" s="1561">
        <f t="shared" si="4"/>
        <v>26.23</v>
      </c>
      <c r="R111" s="1561"/>
      <c r="S111" s="1561"/>
      <c r="T111" s="1561"/>
      <c r="U111" s="1561"/>
      <c r="V111" s="1561"/>
      <c r="W111" s="1561"/>
      <c r="X111" s="1561"/>
      <c r="Y111" s="2324">
        <f t="shared" si="5"/>
        <v>209.84</v>
      </c>
      <c r="Z111" s="2324"/>
      <c r="AA111" s="2324"/>
      <c r="AB111" s="2324"/>
      <c r="AC111" s="2324"/>
      <c r="AD111" s="2324"/>
      <c r="AE111" s="2324"/>
      <c r="AF111" s="2325"/>
    </row>
    <row r="113" spans="1:32" s="8" customFormat="1" x14ac:dyDescent="0.3">
      <c r="A113" s="1141" t="s">
        <v>1514</v>
      </c>
      <c r="B113" s="1141"/>
      <c r="C113" s="1141"/>
      <c r="D113" s="1141"/>
      <c r="E113" s="1141"/>
      <c r="F113" s="1141"/>
      <c r="G113" s="1141"/>
      <c r="H113" s="1141"/>
      <c r="I113" s="1141"/>
      <c r="J113" s="1141"/>
      <c r="K113" s="1141"/>
      <c r="L113" s="1141"/>
      <c r="M113" s="1141"/>
      <c r="N113" s="1141"/>
      <c r="O113" s="1141"/>
      <c r="P113" s="1141"/>
      <c r="Q113" s="1141"/>
      <c r="R113" s="1141"/>
      <c r="S113" s="1141"/>
      <c r="T113" s="1141"/>
      <c r="U113" s="1141"/>
      <c r="V113" s="1141"/>
      <c r="W113" s="1141"/>
      <c r="X113" s="1141"/>
      <c r="Y113" s="1141"/>
      <c r="Z113" s="1141"/>
      <c r="AA113" s="1141"/>
      <c r="AB113" s="1141"/>
      <c r="AC113" s="1141"/>
      <c r="AD113" s="1141"/>
      <c r="AE113" s="1141"/>
      <c r="AF113" s="1141"/>
    </row>
    <row r="114" spans="1:32" s="8" customFormat="1" x14ac:dyDescent="0.3"/>
    <row r="115" spans="1:32" s="8" customFormat="1" ht="51.6" customHeight="1" x14ac:dyDescent="0.3">
      <c r="A115" s="368" t="s">
        <v>803</v>
      </c>
      <c r="B115" s="889" t="s">
        <v>1840</v>
      </c>
      <c r="C115" s="889"/>
      <c r="D115" s="889"/>
      <c r="E115" s="889"/>
      <c r="F115" s="889"/>
      <c r="G115" s="889"/>
      <c r="H115" s="889"/>
      <c r="I115" s="889"/>
      <c r="J115" s="889"/>
      <c r="K115" s="889"/>
      <c r="L115" s="889"/>
      <c r="M115" s="889"/>
      <c r="N115" s="889"/>
      <c r="O115" s="889"/>
      <c r="P115" s="889"/>
      <c r="Q115" s="889"/>
      <c r="R115" s="889"/>
      <c r="S115" s="889"/>
      <c r="T115" s="889"/>
      <c r="U115" s="889"/>
      <c r="V115" s="889"/>
      <c r="W115" s="889"/>
      <c r="X115" s="889"/>
      <c r="Y115" s="889"/>
      <c r="Z115" s="889"/>
      <c r="AA115" s="889"/>
      <c r="AB115" s="889"/>
      <c r="AC115" s="889"/>
      <c r="AD115" s="889"/>
      <c r="AE115" s="889"/>
      <c r="AF115" s="889"/>
    </row>
    <row r="116" spans="1:32" s="8" customFormat="1" ht="15" customHeight="1" x14ac:dyDescent="0.3">
      <c r="A116" s="368" t="s">
        <v>803</v>
      </c>
      <c r="B116" s="884" t="s">
        <v>2502</v>
      </c>
      <c r="C116" s="884"/>
      <c r="D116" s="884"/>
      <c r="E116" s="884"/>
      <c r="F116" s="884"/>
      <c r="G116" s="884"/>
      <c r="H116" s="884"/>
      <c r="I116" s="884"/>
      <c r="J116" s="884"/>
      <c r="K116" s="884"/>
      <c r="L116" s="884"/>
      <c r="M116" s="884"/>
      <c r="N116" s="884"/>
      <c r="O116" s="884"/>
      <c r="P116" s="884"/>
      <c r="Q116" s="884"/>
      <c r="R116" s="884"/>
      <c r="S116" s="884"/>
      <c r="T116" s="884"/>
      <c r="U116" s="884"/>
      <c r="V116" s="884"/>
      <c r="W116" s="884"/>
      <c r="X116" s="884"/>
      <c r="Y116" s="884"/>
      <c r="Z116" s="884"/>
      <c r="AA116" s="884"/>
      <c r="AB116" s="884"/>
      <c r="AC116" s="884"/>
      <c r="AD116" s="884"/>
      <c r="AE116" s="884"/>
      <c r="AF116" s="884"/>
    </row>
    <row r="117" spans="1:32" s="8" customFormat="1" ht="66" customHeight="1" x14ac:dyDescent="0.3">
      <c r="A117" s="368" t="s">
        <v>803</v>
      </c>
      <c r="B117" s="889" t="s">
        <v>2816</v>
      </c>
      <c r="C117" s="889"/>
      <c r="D117" s="889"/>
      <c r="E117" s="889"/>
      <c r="F117" s="889"/>
      <c r="G117" s="889"/>
      <c r="H117" s="889"/>
      <c r="I117" s="889"/>
      <c r="J117" s="889"/>
      <c r="K117" s="889"/>
      <c r="L117" s="889"/>
      <c r="M117" s="889"/>
      <c r="N117" s="889"/>
      <c r="O117" s="889"/>
      <c r="P117" s="889"/>
      <c r="Q117" s="889"/>
      <c r="R117" s="889"/>
      <c r="S117" s="889"/>
      <c r="T117" s="889"/>
      <c r="U117" s="889"/>
      <c r="V117" s="889"/>
      <c r="W117" s="889"/>
      <c r="X117" s="889"/>
      <c r="Y117" s="889"/>
      <c r="Z117" s="889"/>
      <c r="AA117" s="889"/>
      <c r="AB117" s="889"/>
      <c r="AC117" s="889"/>
      <c r="AD117" s="889"/>
      <c r="AE117" s="889"/>
      <c r="AF117" s="889"/>
    </row>
    <row r="118" spans="1:32" s="8" customFormat="1" x14ac:dyDescent="0.3">
      <c r="A118" s="368" t="s">
        <v>803</v>
      </c>
      <c r="B118" s="889" t="s">
        <v>1567</v>
      </c>
      <c r="C118" s="889"/>
      <c r="D118" s="889"/>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c r="AE118" s="889"/>
      <c r="AF118" s="889"/>
    </row>
    <row r="119" spans="1:32" s="8" customFormat="1" ht="62.25" customHeight="1" x14ac:dyDescent="0.3">
      <c r="A119" s="368" t="s">
        <v>803</v>
      </c>
      <c r="B119" s="889" t="s">
        <v>1839</v>
      </c>
      <c r="C119" s="889"/>
      <c r="D119" s="88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row>
    <row r="120" spans="1:32" s="8" customFormat="1" ht="33.75" customHeight="1" x14ac:dyDescent="0.3">
      <c r="A120" s="368" t="s">
        <v>803</v>
      </c>
      <c r="B120" s="889" t="s">
        <v>1509</v>
      </c>
      <c r="C120" s="889"/>
      <c r="D120" s="889"/>
      <c r="E120" s="889"/>
      <c r="F120" s="88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row>
    <row r="121" spans="1:32" s="8" customFormat="1" x14ac:dyDescent="0.3">
      <c r="A121" s="368" t="s">
        <v>803</v>
      </c>
      <c r="B121" s="889" t="s">
        <v>2160</v>
      </c>
      <c r="C121" s="889"/>
      <c r="D121" s="889"/>
      <c r="E121" s="889"/>
      <c r="F121" s="889"/>
      <c r="G121" s="889"/>
      <c r="H121" s="889"/>
      <c r="I121" s="889"/>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row>
    <row r="122" spans="1:32" s="8" customFormat="1" ht="34.5" customHeight="1" x14ac:dyDescent="0.3">
      <c r="A122" s="368" t="s">
        <v>803</v>
      </c>
      <c r="B122" s="889" t="s">
        <v>2155</v>
      </c>
      <c r="C122" s="889"/>
      <c r="D122" s="889"/>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row>
    <row r="123" spans="1:32" s="8" customFormat="1" ht="34.5" customHeight="1" x14ac:dyDescent="0.3">
      <c r="A123" s="368" t="s">
        <v>803</v>
      </c>
      <c r="B123" s="889" t="s">
        <v>1827</v>
      </c>
      <c r="C123" s="889"/>
      <c r="D123" s="889"/>
      <c r="E123" s="889"/>
      <c r="F123" s="889"/>
      <c r="G123" s="889"/>
      <c r="H123" s="889"/>
      <c r="I123" s="889"/>
      <c r="J123" s="889"/>
      <c r="K123" s="889"/>
      <c r="L123" s="889"/>
      <c r="M123" s="889"/>
      <c r="N123" s="889"/>
      <c r="O123" s="889"/>
      <c r="P123" s="889"/>
      <c r="Q123" s="889"/>
      <c r="R123" s="889"/>
      <c r="S123" s="889"/>
      <c r="T123" s="889"/>
      <c r="U123" s="889"/>
      <c r="V123" s="889"/>
      <c r="W123" s="889"/>
      <c r="X123" s="889"/>
      <c r="Y123" s="889"/>
      <c r="Z123" s="889"/>
      <c r="AA123" s="889"/>
      <c r="AB123" s="889"/>
      <c r="AC123" s="889"/>
      <c r="AD123" s="889"/>
      <c r="AE123" s="889"/>
      <c r="AF123" s="889"/>
    </row>
    <row r="124" spans="1:32" s="8" customFormat="1" ht="34.5" customHeight="1" x14ac:dyDescent="0.3">
      <c r="A124" s="368" t="s">
        <v>803</v>
      </c>
      <c r="B124" s="889" t="s">
        <v>2821</v>
      </c>
      <c r="C124" s="889"/>
      <c r="D124" s="889"/>
      <c r="E124" s="889"/>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c r="AE124" s="889"/>
      <c r="AF124" s="889"/>
    </row>
    <row r="125" spans="1:32" ht="35.25" customHeight="1" x14ac:dyDescent="0.3">
      <c r="A125" s="368" t="s">
        <v>803</v>
      </c>
      <c r="B125" s="889" t="s">
        <v>1830</v>
      </c>
      <c r="C125" s="889"/>
      <c r="D125" s="889"/>
      <c r="E125" s="889"/>
      <c r="F125" s="889"/>
      <c r="G125" s="889"/>
      <c r="H125" s="889"/>
      <c r="I125" s="889"/>
      <c r="J125" s="889"/>
      <c r="K125" s="889"/>
      <c r="L125" s="889"/>
      <c r="M125" s="889"/>
      <c r="N125" s="889"/>
      <c r="O125" s="889"/>
      <c r="P125" s="889"/>
      <c r="Q125" s="889"/>
      <c r="R125" s="889"/>
      <c r="S125" s="889"/>
      <c r="T125" s="889"/>
      <c r="U125" s="889"/>
      <c r="V125" s="889"/>
      <c r="W125" s="889"/>
      <c r="X125" s="889"/>
      <c r="Y125" s="889"/>
      <c r="Z125" s="889"/>
      <c r="AA125" s="889"/>
      <c r="AB125" s="889"/>
      <c r="AC125" s="889"/>
      <c r="AD125" s="889"/>
      <c r="AE125" s="889"/>
      <c r="AF125" s="889"/>
    </row>
    <row r="126" spans="1:32" ht="50.25" customHeight="1" x14ac:dyDescent="0.3">
      <c r="A126" s="368" t="s">
        <v>803</v>
      </c>
      <c r="B126" s="889" t="s">
        <v>2161</v>
      </c>
      <c r="C126" s="889"/>
      <c r="D126" s="889"/>
      <c r="E126" s="889"/>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c r="AE126" s="889"/>
      <c r="AF126" s="889"/>
    </row>
    <row r="127" spans="1:32" x14ac:dyDescent="0.3">
      <c r="A127" s="368" t="s">
        <v>803</v>
      </c>
      <c r="B127" s="889" t="s">
        <v>2156</v>
      </c>
      <c r="C127" s="889"/>
      <c r="D127" s="889"/>
      <c r="E127" s="889"/>
      <c r="F127" s="889"/>
      <c r="G127" s="889"/>
      <c r="H127" s="889"/>
      <c r="I127" s="889"/>
      <c r="J127" s="889"/>
      <c r="K127" s="889"/>
      <c r="L127" s="889"/>
      <c r="M127" s="889"/>
      <c r="N127" s="889"/>
      <c r="O127" s="889"/>
      <c r="P127" s="889"/>
      <c r="Q127" s="889"/>
      <c r="R127" s="889"/>
      <c r="S127" s="889"/>
      <c r="T127" s="889"/>
      <c r="U127" s="889"/>
      <c r="V127" s="889"/>
      <c r="W127" s="889"/>
      <c r="X127" s="889"/>
      <c r="Y127" s="889"/>
      <c r="Z127" s="889"/>
      <c r="AA127" s="889"/>
      <c r="AB127" s="889"/>
      <c r="AC127" s="889"/>
      <c r="AD127" s="889"/>
      <c r="AE127" s="889"/>
      <c r="AF127" s="889"/>
    </row>
    <row r="128" spans="1:32" x14ac:dyDescent="0.3">
      <c r="A128" s="368" t="s">
        <v>803</v>
      </c>
      <c r="B128" s="889" t="s">
        <v>1570</v>
      </c>
      <c r="C128" s="889"/>
      <c r="D128" s="889"/>
      <c r="E128" s="889"/>
      <c r="F128" s="889"/>
      <c r="G128" s="889"/>
      <c r="H128" s="889"/>
      <c r="I128" s="889"/>
      <c r="J128" s="889"/>
      <c r="K128" s="889"/>
      <c r="L128" s="889"/>
      <c r="M128" s="889"/>
      <c r="N128" s="889"/>
      <c r="O128" s="889"/>
      <c r="P128" s="889"/>
      <c r="Q128" s="889"/>
      <c r="R128" s="889"/>
      <c r="S128" s="889"/>
      <c r="T128" s="889"/>
      <c r="U128" s="889"/>
      <c r="V128" s="889"/>
      <c r="W128" s="889"/>
      <c r="X128" s="889"/>
      <c r="Y128" s="889"/>
      <c r="Z128" s="889"/>
      <c r="AA128" s="889"/>
      <c r="AB128" s="889"/>
      <c r="AC128" s="889"/>
      <c r="AD128" s="889"/>
      <c r="AE128" s="889"/>
      <c r="AF128" s="889"/>
    </row>
    <row r="129" spans="1:32" ht="33.75" customHeight="1" x14ac:dyDescent="0.3">
      <c r="A129" s="368" t="s">
        <v>803</v>
      </c>
      <c r="B129" s="889" t="s">
        <v>2162</v>
      </c>
      <c r="C129" s="889"/>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row>
    <row r="130" spans="1:32" ht="46.5" customHeight="1" x14ac:dyDescent="0.3">
      <c r="A130" s="368" t="s">
        <v>803</v>
      </c>
      <c r="B130" s="889" t="s">
        <v>2157</v>
      </c>
      <c r="C130" s="889"/>
      <c r="D130" s="889"/>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row>
    <row r="131" spans="1:32" ht="36.75" customHeight="1" x14ac:dyDescent="0.3">
      <c r="A131" s="368" t="s">
        <v>803</v>
      </c>
      <c r="B131" s="889" t="s">
        <v>2822</v>
      </c>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row>
    <row r="132" spans="1:32" ht="35.25" customHeight="1" x14ac:dyDescent="0.3">
      <c r="A132" s="368" t="s">
        <v>803</v>
      </c>
      <c r="B132" s="889" t="s">
        <v>2158</v>
      </c>
      <c r="C132" s="889"/>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row>
    <row r="133" spans="1:32" ht="33" customHeight="1" x14ac:dyDescent="0.3">
      <c r="A133" s="368" t="s">
        <v>803</v>
      </c>
      <c r="B133" s="889" t="s">
        <v>1885</v>
      </c>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row>
    <row r="134" spans="1:32" ht="35.25" customHeight="1" x14ac:dyDescent="0.3">
      <c r="A134" s="368" t="s">
        <v>803</v>
      </c>
      <c r="B134" s="889" t="s">
        <v>1352</v>
      </c>
      <c r="C134" s="889"/>
      <c r="D134" s="889"/>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c r="AE134" s="889"/>
      <c r="AF134" s="889"/>
    </row>
    <row r="135" spans="1:32" ht="33.75" customHeight="1" x14ac:dyDescent="0.3">
      <c r="A135" s="368" t="s">
        <v>803</v>
      </c>
      <c r="B135" s="889" t="s">
        <v>1896</v>
      </c>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row>
    <row r="136" spans="1:32" x14ac:dyDescent="0.3">
      <c r="A136" s="368" t="s">
        <v>803</v>
      </c>
      <c r="B136" s="889" t="s">
        <v>1510</v>
      </c>
      <c r="C136" s="889"/>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row>
    <row r="137" spans="1:32" ht="51.75" customHeight="1" x14ac:dyDescent="0.3">
      <c r="A137" s="368" t="s">
        <v>803</v>
      </c>
      <c r="B137" s="889" t="s">
        <v>2159</v>
      </c>
      <c r="C137" s="889"/>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row>
  </sheetData>
  <sheetProtection algorithmName="SHA-512" hashValue="If19mlkeczhAwRLazc7iyXv/na+VsBoaLtAQcXn9P53GzhNB0L1xBH6aV7VdElBC2bRJzdpo0/brgIRIrvFBlQ==" saltValue="qSYUBQNBR702iRcph+lf8w==" spinCount="100000" sheet="1" objects="1" scenarios="1"/>
  <mergeCells count="273">
    <mergeCell ref="B116:AF116"/>
    <mergeCell ref="A52:D52"/>
    <mergeCell ref="E52:P52"/>
    <mergeCell ref="Q52:T52"/>
    <mergeCell ref="U52:V52"/>
    <mergeCell ref="W52:AF52"/>
    <mergeCell ref="A77:AF77"/>
    <mergeCell ref="A81:H81"/>
    <mergeCell ref="I81:P81"/>
    <mergeCell ref="Q81:X81"/>
    <mergeCell ref="A54:AF54"/>
    <mergeCell ref="A60:D60"/>
    <mergeCell ref="E60:H60"/>
    <mergeCell ref="I60:L60"/>
    <mergeCell ref="M60:P60"/>
    <mergeCell ref="Q60:T60"/>
    <mergeCell ref="A55:AF55"/>
    <mergeCell ref="A57:T58"/>
    <mergeCell ref="A59:D59"/>
    <mergeCell ref="E59:H59"/>
    <mergeCell ref="I59:L59"/>
    <mergeCell ref="M59:P59"/>
    <mergeCell ref="Q59:T59"/>
    <mergeCell ref="U59:X59"/>
    <mergeCell ref="A51:D51"/>
    <mergeCell ref="E51:P51"/>
    <mergeCell ref="Q51:T51"/>
    <mergeCell ref="U51:V51"/>
    <mergeCell ref="W51:AF51"/>
    <mergeCell ref="A44:D44"/>
    <mergeCell ref="E44:P44"/>
    <mergeCell ref="Q44:T44"/>
    <mergeCell ref="U44:V44"/>
    <mergeCell ref="A47:D47"/>
    <mergeCell ref="E47:P47"/>
    <mergeCell ref="Q47:T47"/>
    <mergeCell ref="U47:V47"/>
    <mergeCell ref="W47:AF47"/>
    <mergeCell ref="A50:D50"/>
    <mergeCell ref="E50:P50"/>
    <mergeCell ref="Q50:T50"/>
    <mergeCell ref="U50:V50"/>
    <mergeCell ref="W50:AF50"/>
    <mergeCell ref="A48:D48"/>
    <mergeCell ref="E48:P48"/>
    <mergeCell ref="Q48:T48"/>
    <mergeCell ref="U48:V48"/>
    <mergeCell ref="W48:AF48"/>
    <mergeCell ref="A49:D49"/>
    <mergeCell ref="E49:P49"/>
    <mergeCell ref="Q49:T49"/>
    <mergeCell ref="U49:V49"/>
    <mergeCell ref="W49:AF49"/>
    <mergeCell ref="E43:P43"/>
    <mergeCell ref="Q43:T43"/>
    <mergeCell ref="U43:V43"/>
    <mergeCell ref="W43:AF43"/>
    <mergeCell ref="W44:AF44"/>
    <mergeCell ref="A45:D45"/>
    <mergeCell ref="E45:P45"/>
    <mergeCell ref="Q45:T45"/>
    <mergeCell ref="U45:V45"/>
    <mergeCell ref="W45:AF45"/>
    <mergeCell ref="A46:D46"/>
    <mergeCell ref="E46:P46"/>
    <mergeCell ref="Q46:T46"/>
    <mergeCell ref="U46:V46"/>
    <mergeCell ref="W46:AF46"/>
    <mergeCell ref="A1:AF1"/>
    <mergeCell ref="A7:AF7"/>
    <mergeCell ref="B10:AF10"/>
    <mergeCell ref="A27:AF27"/>
    <mergeCell ref="B18:AF18"/>
    <mergeCell ref="A3:AF3"/>
    <mergeCell ref="B5:AF5"/>
    <mergeCell ref="B13:AF13"/>
    <mergeCell ref="B15:AF15"/>
    <mergeCell ref="A41:AF41"/>
    <mergeCell ref="B21:AF21"/>
    <mergeCell ref="B24:AF24"/>
    <mergeCell ref="A42:D42"/>
    <mergeCell ref="E42:P42"/>
    <mergeCell ref="Q42:T42"/>
    <mergeCell ref="U42:V42"/>
    <mergeCell ref="W42:AF42"/>
    <mergeCell ref="A43:D43"/>
    <mergeCell ref="E62:H62"/>
    <mergeCell ref="I62:L62"/>
    <mergeCell ref="M62:P62"/>
    <mergeCell ref="Q62:T62"/>
    <mergeCell ref="A61:D61"/>
    <mergeCell ref="E61:H61"/>
    <mergeCell ref="I61:L61"/>
    <mergeCell ref="M61:P61"/>
    <mergeCell ref="Q61:T61"/>
    <mergeCell ref="A62:D62"/>
    <mergeCell ref="A64:D64"/>
    <mergeCell ref="E64:H64"/>
    <mergeCell ref="I64:L64"/>
    <mergeCell ref="M64:P64"/>
    <mergeCell ref="Q64:T64"/>
    <mergeCell ref="A63:D63"/>
    <mergeCell ref="E63:H63"/>
    <mergeCell ref="I63:L63"/>
    <mergeCell ref="M63:P63"/>
    <mergeCell ref="Q63:T63"/>
    <mergeCell ref="A66:D66"/>
    <mergeCell ref="E66:H66"/>
    <mergeCell ref="I66:L66"/>
    <mergeCell ref="M66:P66"/>
    <mergeCell ref="Q66:T66"/>
    <mergeCell ref="A65:D65"/>
    <mergeCell ref="E65:H65"/>
    <mergeCell ref="I65:L65"/>
    <mergeCell ref="M65:P65"/>
    <mergeCell ref="Q65:T65"/>
    <mergeCell ref="Q69:T69"/>
    <mergeCell ref="A68:D68"/>
    <mergeCell ref="E68:H68"/>
    <mergeCell ref="I68:L68"/>
    <mergeCell ref="M68:P68"/>
    <mergeCell ref="Q68:T68"/>
    <mergeCell ref="A67:D67"/>
    <mergeCell ref="E67:H67"/>
    <mergeCell ref="I67:L67"/>
    <mergeCell ref="M67:P67"/>
    <mergeCell ref="Q67:T67"/>
    <mergeCell ref="Y59:AF59"/>
    <mergeCell ref="U65:X65"/>
    <mergeCell ref="U66:X66"/>
    <mergeCell ref="U67:X67"/>
    <mergeCell ref="U68:X68"/>
    <mergeCell ref="U69:X69"/>
    <mergeCell ref="U60:X60"/>
    <mergeCell ref="U61:X61"/>
    <mergeCell ref="U62:X62"/>
    <mergeCell ref="U63:X63"/>
    <mergeCell ref="U64:X64"/>
    <mergeCell ref="A86:H86"/>
    <mergeCell ref="A87:H87"/>
    <mergeCell ref="A88:H88"/>
    <mergeCell ref="A89:H89"/>
    <mergeCell ref="A90:H90"/>
    <mergeCell ref="A91:H91"/>
    <mergeCell ref="A92:H92"/>
    <mergeCell ref="U70:X70"/>
    <mergeCell ref="Y60:AF60"/>
    <mergeCell ref="Y61:AF70"/>
    <mergeCell ref="A74:AF74"/>
    <mergeCell ref="A75:AF75"/>
    <mergeCell ref="A71:AF71"/>
    <mergeCell ref="A72:AF72"/>
    <mergeCell ref="A73:AF73"/>
    <mergeCell ref="A70:D70"/>
    <mergeCell ref="E70:H70"/>
    <mergeCell ref="I70:L70"/>
    <mergeCell ref="M70:P70"/>
    <mergeCell ref="Q70:T70"/>
    <mergeCell ref="A69:D69"/>
    <mergeCell ref="E69:H69"/>
    <mergeCell ref="I69:L69"/>
    <mergeCell ref="M69:P69"/>
    <mergeCell ref="Y81:AF81"/>
    <mergeCell ref="Y82:AF82"/>
    <mergeCell ref="I83:P83"/>
    <mergeCell ref="Q83:X83"/>
    <mergeCell ref="Y83:AF83"/>
    <mergeCell ref="A82:H82"/>
    <mergeCell ref="A83:H83"/>
    <mergeCell ref="A84:H84"/>
    <mergeCell ref="A85:H85"/>
    <mergeCell ref="I82:P82"/>
    <mergeCell ref="Q82:X82"/>
    <mergeCell ref="I86:P86"/>
    <mergeCell ref="Q86:X86"/>
    <mergeCell ref="Y86:AF86"/>
    <mergeCell ref="I87:P87"/>
    <mergeCell ref="Q87:X87"/>
    <mergeCell ref="Y87:AF87"/>
    <mergeCell ref="I84:P84"/>
    <mergeCell ref="Q84:X84"/>
    <mergeCell ref="Y84:AF84"/>
    <mergeCell ref="I85:P85"/>
    <mergeCell ref="Q85:X85"/>
    <mergeCell ref="Y85:AF85"/>
    <mergeCell ref="I90:P90"/>
    <mergeCell ref="Q90:X90"/>
    <mergeCell ref="Y90:AF90"/>
    <mergeCell ref="I91:P91"/>
    <mergeCell ref="Q91:X91"/>
    <mergeCell ref="Y91:AF91"/>
    <mergeCell ref="I88:P88"/>
    <mergeCell ref="Q88:X88"/>
    <mergeCell ref="Y88:AF88"/>
    <mergeCell ref="I89:P89"/>
    <mergeCell ref="Q89:X89"/>
    <mergeCell ref="Y89:AF89"/>
    <mergeCell ref="A100:H100"/>
    <mergeCell ref="A101:H101"/>
    <mergeCell ref="A102:H102"/>
    <mergeCell ref="A103:H103"/>
    <mergeCell ref="A104:H104"/>
    <mergeCell ref="I92:P92"/>
    <mergeCell ref="Q92:X92"/>
    <mergeCell ref="Y92:AF92"/>
    <mergeCell ref="D98:H98"/>
    <mergeCell ref="I106:P106"/>
    <mergeCell ref="Q106:X106"/>
    <mergeCell ref="Y106:AF106"/>
    <mergeCell ref="A110:H110"/>
    <mergeCell ref="A111:H111"/>
    <mergeCell ref="I100:P100"/>
    <mergeCell ref="Q100:X100"/>
    <mergeCell ref="Y100:AF100"/>
    <mergeCell ref="I101:P101"/>
    <mergeCell ref="Q101:X101"/>
    <mergeCell ref="Y101:AF101"/>
    <mergeCell ref="I102:P102"/>
    <mergeCell ref="Q102:X102"/>
    <mergeCell ref="Y102:AF102"/>
    <mergeCell ref="I103:P103"/>
    <mergeCell ref="Q103:X103"/>
    <mergeCell ref="Y103:AF103"/>
    <mergeCell ref="I104:P104"/>
    <mergeCell ref="Q104:X104"/>
    <mergeCell ref="A105:H105"/>
    <mergeCell ref="A106:H106"/>
    <mergeCell ref="A107:H107"/>
    <mergeCell ref="A108:H108"/>
    <mergeCell ref="A109:H109"/>
    <mergeCell ref="B115:AF115"/>
    <mergeCell ref="B117:AF117"/>
    <mergeCell ref="B118:AF118"/>
    <mergeCell ref="I111:P111"/>
    <mergeCell ref="Q111:X111"/>
    <mergeCell ref="Y111:AF111"/>
    <mergeCell ref="A53:AF53"/>
    <mergeCell ref="A113:AF113"/>
    <mergeCell ref="I109:P109"/>
    <mergeCell ref="Q109:X109"/>
    <mergeCell ref="Y109:AF109"/>
    <mergeCell ref="I110:P110"/>
    <mergeCell ref="Q110:X110"/>
    <mergeCell ref="Y110:AF110"/>
    <mergeCell ref="I107:P107"/>
    <mergeCell ref="Q107:X107"/>
    <mergeCell ref="Y107:AF107"/>
    <mergeCell ref="I108:P108"/>
    <mergeCell ref="Q108:X108"/>
    <mergeCell ref="Y108:AF108"/>
    <mergeCell ref="Y104:AF104"/>
    <mergeCell ref="I105:P105"/>
    <mergeCell ref="Q105:X105"/>
    <mergeCell ref="Y105:AF105"/>
    <mergeCell ref="B124:AF124"/>
    <mergeCell ref="B125:AF125"/>
    <mergeCell ref="B126:AF126"/>
    <mergeCell ref="B127:AF127"/>
    <mergeCell ref="B128:AF128"/>
    <mergeCell ref="B121:AF121"/>
    <mergeCell ref="B122:AF122"/>
    <mergeCell ref="B123:AF123"/>
    <mergeCell ref="B119:AF119"/>
    <mergeCell ref="B120:AF120"/>
    <mergeCell ref="B134:AF134"/>
    <mergeCell ref="B135:AF135"/>
    <mergeCell ref="B136:AF136"/>
    <mergeCell ref="B137:AF137"/>
    <mergeCell ref="B129:AF129"/>
    <mergeCell ref="B130:AF130"/>
    <mergeCell ref="B131:AF131"/>
    <mergeCell ref="B132:AF132"/>
    <mergeCell ref="B133:AF133"/>
  </mergeCells>
  <hyperlinks>
    <hyperlink ref="A2" location="TOC!A1" display="Return to TOC" xr:uid="{00000000-0004-0000-2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39"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4">
    <tabColor theme="4" tint="0.59999389629810485"/>
    <pageSetUpPr autoPageBreaks="0"/>
  </sheetPr>
  <dimension ref="A1:AH93"/>
  <sheetViews>
    <sheetView zoomScaleNormal="100" workbookViewId="0">
      <selection activeCell="A2" sqref="A2"/>
    </sheetView>
  </sheetViews>
  <sheetFormatPr defaultColWidth="2.6640625" defaultRowHeight="14.4" x14ac:dyDescent="0.3"/>
  <cols>
    <col min="1" max="24" width="2.6640625" style="1"/>
    <col min="25" max="28" width="2.6640625" style="1" customWidth="1"/>
    <col min="29" max="44" width="2.6640625" style="1"/>
    <col min="45" max="45" width="2.6640625" style="1" customWidth="1"/>
    <col min="46" max="16384" width="2.6640625" style="1"/>
  </cols>
  <sheetData>
    <row r="1" spans="1:32" ht="18" x14ac:dyDescent="0.3">
      <c r="A1" s="1131" t="s">
        <v>1039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3306</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51" t="s">
        <v>3</v>
      </c>
      <c r="C9" s="51"/>
      <c r="D9" s="51"/>
      <c r="E9" s="51"/>
      <c r="F9" s="51"/>
      <c r="G9" s="51"/>
      <c r="H9" s="51"/>
      <c r="I9" s="51"/>
    </row>
    <row r="10" spans="1:32" ht="80.25" customHeight="1" x14ac:dyDescent="0.3">
      <c r="B10" s="953" t="s">
        <v>2964</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51" t="s">
        <v>4</v>
      </c>
      <c r="C12" s="51"/>
      <c r="D12" s="51"/>
      <c r="E12" s="51"/>
      <c r="F12" s="51"/>
      <c r="G12" s="51"/>
      <c r="H12" s="51"/>
      <c r="I12" s="51"/>
    </row>
    <row r="13" spans="1:32" ht="65.25" customHeight="1" x14ac:dyDescent="0.3">
      <c r="B13" s="953" t="s">
        <v>2023</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x14ac:dyDescent="0.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2" ht="35.25" customHeight="1" x14ac:dyDescent="0.3">
      <c r="B15" s="953" t="s">
        <v>2024</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7" spans="1:32" x14ac:dyDescent="0.3">
      <c r="B17" s="51" t="s">
        <v>5</v>
      </c>
      <c r="C17" s="51"/>
      <c r="D17" s="51"/>
      <c r="E17" s="51"/>
      <c r="F17" s="51"/>
      <c r="G17" s="51"/>
      <c r="H17" s="51"/>
      <c r="I17" s="51"/>
    </row>
    <row r="18" spans="1:32" x14ac:dyDescent="0.3">
      <c r="B18" s="1142" t="s">
        <v>3315</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0" spans="1:32" x14ac:dyDescent="0.3">
      <c r="B20" s="51" t="s">
        <v>6</v>
      </c>
      <c r="C20" s="51"/>
      <c r="D20" s="51"/>
      <c r="E20" s="51"/>
      <c r="F20" s="51"/>
      <c r="G20" s="51"/>
      <c r="H20" s="51"/>
      <c r="I20" s="51"/>
    </row>
    <row r="21" spans="1:32" x14ac:dyDescent="0.3">
      <c r="B21" s="1142" t="s">
        <v>3316</v>
      </c>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row>
    <row r="23" spans="1:32" x14ac:dyDescent="0.3">
      <c r="B23" s="51" t="s">
        <v>13</v>
      </c>
      <c r="C23" s="51"/>
      <c r="D23" s="51"/>
      <c r="E23" s="51"/>
      <c r="F23" s="51"/>
      <c r="G23" s="51"/>
      <c r="H23" s="51"/>
      <c r="I23" s="51"/>
    </row>
    <row r="24" spans="1:32" x14ac:dyDescent="0.3">
      <c r="B24" s="1142" t="s">
        <v>3317</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row>
    <row r="27" spans="1:32" x14ac:dyDescent="0.3">
      <c r="A27" s="1141" t="s">
        <v>7</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x14ac:dyDescent="0.3">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B29" s="51" t="s">
        <v>2137</v>
      </c>
      <c r="C29" s="51"/>
      <c r="D29" s="51"/>
      <c r="E29" s="51"/>
      <c r="F29" s="51"/>
      <c r="G29" s="51"/>
      <c r="H29" s="51"/>
      <c r="I29" s="51"/>
      <c r="J29" s="71"/>
    </row>
    <row r="30" spans="1:32" x14ac:dyDescent="0.3">
      <c r="B30" s="51"/>
      <c r="C30" s="51"/>
      <c r="D30" s="51"/>
      <c r="E30" s="51"/>
      <c r="F30" s="51"/>
      <c r="G30" s="51"/>
      <c r="H30" s="51"/>
      <c r="I30" s="51"/>
      <c r="J30" s="71"/>
    </row>
    <row r="31" spans="1:32" x14ac:dyDescent="0.3">
      <c r="B31" s="51"/>
      <c r="C31" s="51"/>
      <c r="D31" s="51"/>
      <c r="E31" s="51"/>
      <c r="F31" s="51"/>
      <c r="G31" s="51"/>
      <c r="H31" s="51"/>
      <c r="I31" s="51"/>
      <c r="J31" s="71"/>
    </row>
    <row r="32" spans="1:32" ht="18" customHeight="1" x14ac:dyDescent="0.3">
      <c r="B32" s="51"/>
      <c r="C32" s="51"/>
      <c r="D32" s="51"/>
      <c r="E32" s="51"/>
      <c r="F32" s="51"/>
      <c r="G32" s="51"/>
      <c r="H32" s="51"/>
      <c r="I32" s="51"/>
      <c r="J32" s="71"/>
      <c r="AF32" s="71" t="s">
        <v>1463</v>
      </c>
    </row>
    <row r="33" spans="1:32" x14ac:dyDescent="0.3">
      <c r="B33" s="51"/>
      <c r="C33" s="51"/>
      <c r="D33" s="51"/>
      <c r="E33" s="51"/>
      <c r="F33" s="51"/>
      <c r="G33" s="51"/>
      <c r="H33" s="51"/>
      <c r="I33" s="51"/>
      <c r="J33" s="71"/>
    </row>
    <row r="34" spans="1:32" x14ac:dyDescent="0.3">
      <c r="B34" s="51" t="s">
        <v>2027</v>
      </c>
      <c r="C34" s="10"/>
      <c r="D34" s="10"/>
      <c r="E34" s="10"/>
      <c r="F34" s="10"/>
      <c r="G34" s="10"/>
      <c r="H34" s="10"/>
      <c r="I34" s="10"/>
      <c r="J34" s="71"/>
    </row>
    <row r="35" spans="1:32" x14ac:dyDescent="0.3">
      <c r="B35" s="51"/>
      <c r="C35" s="10"/>
      <c r="D35" s="10"/>
      <c r="E35" s="10"/>
      <c r="F35" s="10"/>
      <c r="G35" s="10"/>
      <c r="H35" s="10"/>
      <c r="I35" s="10"/>
      <c r="J35" s="71"/>
    </row>
    <row r="36" spans="1:32" x14ac:dyDescent="0.3">
      <c r="B36" s="10"/>
      <c r="C36" s="10"/>
      <c r="D36" s="10"/>
      <c r="E36" s="10"/>
      <c r="F36" s="10"/>
      <c r="G36" s="10"/>
      <c r="H36" s="10"/>
      <c r="I36" s="10"/>
      <c r="J36" s="71"/>
    </row>
    <row r="37" spans="1:32" ht="21" customHeight="1" x14ac:dyDescent="0.3">
      <c r="B37" s="10"/>
      <c r="C37" s="10"/>
      <c r="D37" s="10"/>
      <c r="E37" s="10"/>
      <c r="F37" s="10"/>
      <c r="G37" s="10"/>
      <c r="H37" s="10"/>
      <c r="I37" s="10"/>
      <c r="J37" s="71"/>
      <c r="AF37" s="71" t="s">
        <v>1464</v>
      </c>
    </row>
    <row r="38" spans="1:32" x14ac:dyDescent="0.3">
      <c r="B38" s="10"/>
      <c r="C38" s="10"/>
      <c r="D38" s="10"/>
      <c r="E38" s="10"/>
      <c r="F38" s="10"/>
      <c r="G38" s="10"/>
      <c r="H38" s="10"/>
      <c r="I38" s="10"/>
      <c r="J38" s="71"/>
    </row>
    <row r="39" spans="1:32" x14ac:dyDescent="0.3">
      <c r="B39" s="51" t="s">
        <v>1811</v>
      </c>
      <c r="AF39" s="71"/>
    </row>
    <row r="40" spans="1:32" x14ac:dyDescent="0.3">
      <c r="AF40" s="71"/>
    </row>
    <row r="41" spans="1:32" x14ac:dyDescent="0.3">
      <c r="A41" s="10"/>
      <c r="AF41" s="71" t="s">
        <v>1465</v>
      </c>
    </row>
    <row r="42" spans="1:32" x14ac:dyDescent="0.3">
      <c r="A42" s="10"/>
      <c r="B42" s="71"/>
    </row>
    <row r="43" spans="1:32" x14ac:dyDescent="0.3">
      <c r="A43" s="1141" t="s">
        <v>8</v>
      </c>
      <c r="B43" s="1141"/>
      <c r="C43" s="1141"/>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1"/>
      <c r="AE43" s="1141"/>
      <c r="AF43" s="1141"/>
    </row>
    <row r="44" spans="1:32" x14ac:dyDescent="0.3">
      <c r="A44" s="1143" t="s">
        <v>9</v>
      </c>
      <c r="B44" s="1143"/>
      <c r="C44" s="1143"/>
      <c r="D44" s="1143"/>
      <c r="E44" s="1143" t="s">
        <v>3</v>
      </c>
      <c r="F44" s="1143"/>
      <c r="G44" s="1143"/>
      <c r="H44" s="1143"/>
      <c r="I44" s="1143"/>
      <c r="J44" s="1143"/>
      <c r="K44" s="1143"/>
      <c r="L44" s="1143"/>
      <c r="M44" s="1143"/>
      <c r="N44" s="1143"/>
      <c r="O44" s="1143"/>
      <c r="P44" s="1143"/>
      <c r="Q44" s="1143" t="s">
        <v>10</v>
      </c>
      <c r="R44" s="1143"/>
      <c r="S44" s="1143"/>
      <c r="T44" s="1143"/>
      <c r="U44" s="1143" t="s">
        <v>11</v>
      </c>
      <c r="V44" s="1143"/>
      <c r="W44" s="1143" t="s">
        <v>1466</v>
      </c>
      <c r="X44" s="1143"/>
      <c r="Y44" s="1143"/>
      <c r="Z44" s="1143"/>
      <c r="AA44" s="1143"/>
      <c r="AB44" s="1143"/>
      <c r="AC44" s="1143"/>
      <c r="AD44" s="1143"/>
      <c r="AE44" s="1143"/>
      <c r="AF44" s="1143"/>
    </row>
    <row r="45" spans="1:32" ht="46.5" customHeight="1" x14ac:dyDescent="0.3">
      <c r="A45" s="1154" t="s">
        <v>2028</v>
      </c>
      <c r="B45" s="1155" t="s">
        <v>272</v>
      </c>
      <c r="C45" s="1155" t="s">
        <v>272</v>
      </c>
      <c r="D45" s="1156" t="s">
        <v>272</v>
      </c>
      <c r="E45" s="1148" t="s">
        <v>2052</v>
      </c>
      <c r="F45" s="1149"/>
      <c r="G45" s="1149"/>
      <c r="H45" s="1149"/>
      <c r="I45" s="1149"/>
      <c r="J45" s="1149"/>
      <c r="K45" s="1149"/>
      <c r="L45" s="1149"/>
      <c r="M45" s="1149"/>
      <c r="N45" s="1149"/>
      <c r="O45" s="1149"/>
      <c r="P45" s="1150"/>
      <c r="Q45" s="1243" t="s">
        <v>646</v>
      </c>
      <c r="R45" s="1244"/>
      <c r="S45" s="1244"/>
      <c r="T45" s="1245"/>
      <c r="U45" s="1243" t="s">
        <v>18</v>
      </c>
      <c r="V45" s="1245"/>
      <c r="W45" s="1148" t="s">
        <v>2054</v>
      </c>
      <c r="X45" s="1149"/>
      <c r="Y45" s="1149"/>
      <c r="Z45" s="1149"/>
      <c r="AA45" s="1149"/>
      <c r="AB45" s="1149"/>
      <c r="AC45" s="1149"/>
      <c r="AD45" s="1149"/>
      <c r="AE45" s="1149"/>
      <c r="AF45" s="1150"/>
    </row>
    <row r="46" spans="1:32" ht="60" customHeight="1" x14ac:dyDescent="0.3">
      <c r="A46" s="1154" t="s">
        <v>2029</v>
      </c>
      <c r="B46" s="1155" t="s">
        <v>518</v>
      </c>
      <c r="C46" s="1155" t="s">
        <v>518</v>
      </c>
      <c r="D46" s="1156" t="s">
        <v>518</v>
      </c>
      <c r="E46" s="1148" t="s">
        <v>2053</v>
      </c>
      <c r="F46" s="1149"/>
      <c r="G46" s="1149"/>
      <c r="H46" s="1149"/>
      <c r="I46" s="1149"/>
      <c r="J46" s="1149"/>
      <c r="K46" s="1149"/>
      <c r="L46" s="1149"/>
      <c r="M46" s="1149"/>
      <c r="N46" s="1149"/>
      <c r="O46" s="1149"/>
      <c r="P46" s="1150"/>
      <c r="Q46" s="1243" t="s">
        <v>646</v>
      </c>
      <c r="R46" s="1244"/>
      <c r="S46" s="1244"/>
      <c r="T46" s="1245"/>
      <c r="U46" s="1243" t="s">
        <v>18</v>
      </c>
      <c r="V46" s="1245"/>
      <c r="W46" s="1148" t="s">
        <v>2055</v>
      </c>
      <c r="X46" s="1149"/>
      <c r="Y46" s="1149"/>
      <c r="Z46" s="1149"/>
      <c r="AA46" s="1149"/>
      <c r="AB46" s="1149"/>
      <c r="AC46" s="1149"/>
      <c r="AD46" s="1149"/>
      <c r="AE46" s="1149"/>
      <c r="AF46" s="1150"/>
    </row>
    <row r="47" spans="1:32" ht="64.5" customHeight="1" x14ac:dyDescent="0.3">
      <c r="A47" s="1154" t="s">
        <v>2030</v>
      </c>
      <c r="B47" s="1155" t="s">
        <v>518</v>
      </c>
      <c r="C47" s="1155" t="s">
        <v>518</v>
      </c>
      <c r="D47" s="1156" t="s">
        <v>518</v>
      </c>
      <c r="E47" s="1148" t="s">
        <v>2031</v>
      </c>
      <c r="F47" s="1149"/>
      <c r="G47" s="1149"/>
      <c r="H47" s="1149"/>
      <c r="I47" s="1149"/>
      <c r="J47" s="1149"/>
      <c r="K47" s="1149"/>
      <c r="L47" s="1149"/>
      <c r="M47" s="1149"/>
      <c r="N47" s="1149"/>
      <c r="O47" s="1149"/>
      <c r="P47" s="1150"/>
      <c r="Q47" s="1243" t="s">
        <v>646</v>
      </c>
      <c r="R47" s="1244"/>
      <c r="S47" s="1244"/>
      <c r="T47" s="1245"/>
      <c r="U47" s="1243" t="s">
        <v>18</v>
      </c>
      <c r="V47" s="1245"/>
      <c r="W47" s="1148" t="s">
        <v>2056</v>
      </c>
      <c r="X47" s="1149"/>
      <c r="Y47" s="1149"/>
      <c r="Z47" s="1149"/>
      <c r="AA47" s="1149"/>
      <c r="AB47" s="1149"/>
      <c r="AC47" s="1149"/>
      <c r="AD47" s="1149"/>
      <c r="AE47" s="1149"/>
      <c r="AF47" s="1150"/>
    </row>
    <row r="48" spans="1:32" ht="47.25" customHeight="1" x14ac:dyDescent="0.3">
      <c r="A48" s="1154" t="s">
        <v>2966</v>
      </c>
      <c r="B48" s="1155" t="s">
        <v>518</v>
      </c>
      <c r="C48" s="1155" t="s">
        <v>518</v>
      </c>
      <c r="D48" s="1156" t="s">
        <v>518</v>
      </c>
      <c r="E48" s="1148" t="s">
        <v>2032</v>
      </c>
      <c r="F48" s="1149"/>
      <c r="G48" s="1149"/>
      <c r="H48" s="1149"/>
      <c r="I48" s="1149"/>
      <c r="J48" s="1149"/>
      <c r="K48" s="1149"/>
      <c r="L48" s="1149"/>
      <c r="M48" s="1149"/>
      <c r="N48" s="1149"/>
      <c r="O48" s="1149"/>
      <c r="P48" s="1150"/>
      <c r="Q48" s="1446">
        <v>0.8</v>
      </c>
      <c r="R48" s="1447"/>
      <c r="S48" s="1447"/>
      <c r="T48" s="1448"/>
      <c r="U48" s="1243" t="s">
        <v>22</v>
      </c>
      <c r="V48" s="1245"/>
      <c r="W48" s="1154" t="s">
        <v>2040</v>
      </c>
      <c r="X48" s="1155"/>
      <c r="Y48" s="1155"/>
      <c r="Z48" s="1155"/>
      <c r="AA48" s="1155"/>
      <c r="AB48" s="1155"/>
      <c r="AC48" s="1155"/>
      <c r="AD48" s="1155"/>
      <c r="AE48" s="1155"/>
      <c r="AF48" s="1156"/>
    </row>
    <row r="49" spans="1:32" ht="39" customHeight="1" x14ac:dyDescent="0.3">
      <c r="A49" s="1154" t="s">
        <v>2965</v>
      </c>
      <c r="B49" s="1155" t="s">
        <v>518</v>
      </c>
      <c r="C49" s="1155" t="s">
        <v>518</v>
      </c>
      <c r="D49" s="1156" t="s">
        <v>518</v>
      </c>
      <c r="E49" s="1148" t="s">
        <v>2033</v>
      </c>
      <c r="F49" s="1149"/>
      <c r="G49" s="1149"/>
      <c r="H49" s="1149"/>
      <c r="I49" s="1149"/>
      <c r="J49" s="1149"/>
      <c r="K49" s="1149"/>
      <c r="L49" s="1149"/>
      <c r="M49" s="1149"/>
      <c r="N49" s="1149"/>
      <c r="O49" s="1149"/>
      <c r="P49" s="1150"/>
      <c r="Q49" s="1446">
        <v>0.2</v>
      </c>
      <c r="R49" s="1447"/>
      <c r="S49" s="1447"/>
      <c r="T49" s="1448"/>
      <c r="U49" s="1243" t="s">
        <v>22</v>
      </c>
      <c r="V49" s="1245"/>
      <c r="W49" s="1154" t="s">
        <v>2040</v>
      </c>
      <c r="X49" s="1155"/>
      <c r="Y49" s="1155"/>
      <c r="Z49" s="1155"/>
      <c r="AA49" s="1155"/>
      <c r="AB49" s="1155"/>
      <c r="AC49" s="1155"/>
      <c r="AD49" s="1155"/>
      <c r="AE49" s="1155"/>
      <c r="AF49" s="1156"/>
    </row>
    <row r="50" spans="1:32" ht="76.5" customHeight="1" x14ac:dyDescent="0.3">
      <c r="A50" s="1154" t="s">
        <v>1528</v>
      </c>
      <c r="B50" s="1155"/>
      <c r="C50" s="1155"/>
      <c r="D50" s="1156"/>
      <c r="E50" s="2183" t="s">
        <v>1531</v>
      </c>
      <c r="F50" s="1149"/>
      <c r="G50" s="1149"/>
      <c r="H50" s="1149"/>
      <c r="I50" s="1149"/>
      <c r="J50" s="1149"/>
      <c r="K50" s="1149"/>
      <c r="L50" s="1149"/>
      <c r="M50" s="1149"/>
      <c r="N50" s="1149"/>
      <c r="O50" s="1149"/>
      <c r="P50" s="1150"/>
      <c r="Q50" s="2210">
        <v>1</v>
      </c>
      <c r="R50" s="2211"/>
      <c r="S50" s="2211"/>
      <c r="T50" s="2212"/>
      <c r="U50" s="1243" t="s">
        <v>20</v>
      </c>
      <c r="V50" s="1245"/>
      <c r="W50" s="1148" t="s">
        <v>2037</v>
      </c>
      <c r="X50" s="1149"/>
      <c r="Y50" s="1149"/>
      <c r="Z50" s="1149"/>
      <c r="AA50" s="1149"/>
      <c r="AB50" s="1149"/>
      <c r="AC50" s="1149"/>
      <c r="AD50" s="1149"/>
      <c r="AE50" s="1149"/>
      <c r="AF50" s="1150"/>
    </row>
    <row r="51" spans="1:32" ht="77.25" customHeight="1" x14ac:dyDescent="0.3">
      <c r="A51" s="1154" t="s">
        <v>1529</v>
      </c>
      <c r="B51" s="1155"/>
      <c r="C51" s="1155"/>
      <c r="D51" s="1156"/>
      <c r="E51" s="2136" t="s">
        <v>1530</v>
      </c>
      <c r="F51" s="2136"/>
      <c r="G51" s="2136"/>
      <c r="H51" s="2136"/>
      <c r="I51" s="2136"/>
      <c r="J51" s="2136"/>
      <c r="K51" s="2136"/>
      <c r="L51" s="2136"/>
      <c r="M51" s="2136"/>
      <c r="N51" s="2136"/>
      <c r="O51" s="2136"/>
      <c r="P51" s="2136"/>
      <c r="Q51" s="2210">
        <v>1</v>
      </c>
      <c r="R51" s="2211"/>
      <c r="S51" s="2211"/>
      <c r="T51" s="2212"/>
      <c r="U51" s="1243" t="s">
        <v>20</v>
      </c>
      <c r="V51" s="1245"/>
      <c r="W51" s="1148" t="s">
        <v>2037</v>
      </c>
      <c r="X51" s="1149"/>
      <c r="Y51" s="1149"/>
      <c r="Z51" s="1149"/>
      <c r="AA51" s="1149"/>
      <c r="AB51" s="1149"/>
      <c r="AC51" s="1149"/>
      <c r="AD51" s="1149"/>
      <c r="AE51" s="1149"/>
      <c r="AF51" s="1150"/>
    </row>
    <row r="52" spans="1:32" ht="33.75" customHeight="1" x14ac:dyDescent="0.3">
      <c r="A52" s="1154" t="s">
        <v>1522</v>
      </c>
      <c r="B52" s="1155"/>
      <c r="C52" s="1155"/>
      <c r="D52" s="1156"/>
      <c r="E52" s="2136" t="s">
        <v>1845</v>
      </c>
      <c r="F52" s="2136"/>
      <c r="G52" s="2136"/>
      <c r="H52" s="2136"/>
      <c r="I52" s="2136"/>
      <c r="J52" s="2136"/>
      <c r="K52" s="2136"/>
      <c r="L52" s="2136"/>
      <c r="M52" s="2136"/>
      <c r="N52" s="2136"/>
      <c r="O52" s="2136"/>
      <c r="P52" s="2136"/>
      <c r="Q52" s="2210">
        <v>1</v>
      </c>
      <c r="R52" s="2211"/>
      <c r="S52" s="2211"/>
      <c r="T52" s="2212"/>
      <c r="U52" s="1243"/>
      <c r="V52" s="1245"/>
      <c r="W52" s="1148" t="s">
        <v>2038</v>
      </c>
      <c r="X52" s="1149"/>
      <c r="Y52" s="1149"/>
      <c r="Z52" s="1149"/>
      <c r="AA52" s="1149"/>
      <c r="AB52" s="1149"/>
      <c r="AC52" s="1149"/>
      <c r="AD52" s="1149"/>
      <c r="AE52" s="1149"/>
      <c r="AF52" s="1150"/>
    </row>
    <row r="53" spans="1:32" ht="79.5" customHeight="1" x14ac:dyDescent="0.3">
      <c r="A53" s="1154" t="s">
        <v>21</v>
      </c>
      <c r="B53" s="1155"/>
      <c r="C53" s="1155"/>
      <c r="D53" s="1156"/>
      <c r="E53" s="1148" t="s">
        <v>96</v>
      </c>
      <c r="F53" s="1149"/>
      <c r="G53" s="1149"/>
      <c r="H53" s="1149"/>
      <c r="I53" s="1149"/>
      <c r="J53" s="1149"/>
      <c r="K53" s="1149"/>
      <c r="L53" s="1149"/>
      <c r="M53" s="1149"/>
      <c r="N53" s="1149"/>
      <c r="O53" s="1149"/>
      <c r="P53" s="1150"/>
      <c r="Q53" s="2210">
        <v>1</v>
      </c>
      <c r="R53" s="2211"/>
      <c r="S53" s="2211"/>
      <c r="T53" s="2212"/>
      <c r="U53" s="1243" t="s">
        <v>20</v>
      </c>
      <c r="V53" s="1245"/>
      <c r="W53" s="1148" t="s">
        <v>2036</v>
      </c>
      <c r="X53" s="1149"/>
      <c r="Y53" s="1149"/>
      <c r="Z53" s="1149"/>
      <c r="AA53" s="1149"/>
      <c r="AB53" s="1149"/>
      <c r="AC53" s="1149"/>
      <c r="AD53" s="1149"/>
      <c r="AE53" s="1149"/>
      <c r="AF53" s="1150"/>
    </row>
    <row r="54" spans="1:32" ht="60" customHeight="1" x14ac:dyDescent="0.3">
      <c r="A54" s="1154" t="s">
        <v>1957</v>
      </c>
      <c r="B54" s="1155"/>
      <c r="C54" s="1155"/>
      <c r="D54" s="1156"/>
      <c r="E54" s="1148" t="s">
        <v>2034</v>
      </c>
      <c r="F54" s="1149"/>
      <c r="G54" s="1149"/>
      <c r="H54" s="1149"/>
      <c r="I54" s="1149"/>
      <c r="J54" s="1149"/>
      <c r="K54" s="1149"/>
      <c r="L54" s="1149"/>
      <c r="M54" s="1149"/>
      <c r="N54" s="1149"/>
      <c r="O54" s="1149"/>
      <c r="P54" s="1150"/>
      <c r="Q54" s="1403">
        <v>8760</v>
      </c>
      <c r="R54" s="1590"/>
      <c r="S54" s="1590"/>
      <c r="T54" s="1591"/>
      <c r="U54" s="1243" t="s">
        <v>37</v>
      </c>
      <c r="V54" s="1245"/>
      <c r="W54" s="1148" t="s">
        <v>2035</v>
      </c>
      <c r="X54" s="1149"/>
      <c r="Y54" s="1149"/>
      <c r="Z54" s="1149"/>
      <c r="AA54" s="1149"/>
      <c r="AB54" s="1149"/>
      <c r="AC54" s="1149"/>
      <c r="AD54" s="1149"/>
      <c r="AE54" s="1149"/>
      <c r="AF54" s="1150"/>
    </row>
    <row r="55" spans="1:32" ht="36" customHeight="1" x14ac:dyDescent="0.3">
      <c r="A55" s="1154" t="s">
        <v>34</v>
      </c>
      <c r="B55" s="1155"/>
      <c r="C55" s="1155"/>
      <c r="D55" s="1156"/>
      <c r="E55" s="1148" t="s">
        <v>644</v>
      </c>
      <c r="F55" s="1149"/>
      <c r="G55" s="1149"/>
      <c r="H55" s="1149"/>
      <c r="I55" s="1149"/>
      <c r="J55" s="1149"/>
      <c r="K55" s="1149"/>
      <c r="L55" s="1149"/>
      <c r="M55" s="1149"/>
      <c r="N55" s="1149"/>
      <c r="O55" s="1149"/>
      <c r="P55" s="1150"/>
      <c r="Q55" s="2210">
        <v>1</v>
      </c>
      <c r="R55" s="2211"/>
      <c r="S55" s="2211"/>
      <c r="T55" s="2212"/>
      <c r="U55" s="1243" t="s">
        <v>20</v>
      </c>
      <c r="V55" s="1245"/>
      <c r="W55" s="1148" t="s">
        <v>2039</v>
      </c>
      <c r="X55" s="1149"/>
      <c r="Y55" s="1149"/>
      <c r="Z55" s="1149"/>
      <c r="AA55" s="1149"/>
      <c r="AB55" s="1149"/>
      <c r="AC55" s="1149"/>
      <c r="AD55" s="1149"/>
      <c r="AE55" s="1149"/>
      <c r="AF55" s="1150"/>
    </row>
    <row r="56" spans="1:32" ht="35.25" customHeight="1" x14ac:dyDescent="0.3">
      <c r="A56" s="1148" t="s">
        <v>1869</v>
      </c>
      <c r="B56" s="1149"/>
      <c r="C56" s="1149"/>
      <c r="D56" s="1150"/>
      <c r="E56" s="1148" t="s">
        <v>2050</v>
      </c>
      <c r="F56" s="1149"/>
      <c r="G56" s="1149"/>
      <c r="H56" s="1149"/>
      <c r="I56" s="1149"/>
      <c r="J56" s="1149"/>
      <c r="K56" s="1149"/>
      <c r="L56" s="1149"/>
      <c r="M56" s="1149"/>
      <c r="N56" s="1149"/>
      <c r="O56" s="1149"/>
      <c r="P56" s="1150"/>
      <c r="Q56" s="1243">
        <f>'Master EUL'!X74</f>
        <v>8</v>
      </c>
      <c r="R56" s="1244"/>
      <c r="S56" s="1244"/>
      <c r="T56" s="1245"/>
      <c r="U56" s="1243" t="s">
        <v>38</v>
      </c>
      <c r="V56" s="1245"/>
      <c r="W56" s="1154" t="s">
        <v>1518</v>
      </c>
      <c r="X56" s="1155"/>
      <c r="Y56" s="1155"/>
      <c r="Z56" s="1155"/>
      <c r="AA56" s="1155"/>
      <c r="AB56" s="1155"/>
      <c r="AC56" s="1155"/>
      <c r="AD56" s="1155"/>
      <c r="AE56" s="1155"/>
      <c r="AF56" s="1156"/>
    </row>
    <row r="57" spans="1:32" ht="55.5" customHeight="1" x14ac:dyDescent="0.3">
      <c r="A57" s="2010" t="s">
        <v>2060</v>
      </c>
      <c r="B57" s="2010"/>
      <c r="C57" s="2010"/>
      <c r="D57" s="2010"/>
      <c r="E57" s="2010"/>
      <c r="F57" s="2010"/>
      <c r="G57" s="2010"/>
      <c r="H57" s="2010"/>
      <c r="I57" s="2010"/>
      <c r="J57" s="2010"/>
      <c r="K57" s="2010"/>
      <c r="L57" s="2010"/>
      <c r="M57" s="2010"/>
      <c r="N57" s="2010"/>
      <c r="O57" s="2010"/>
      <c r="P57" s="2010"/>
      <c r="Q57" s="2010"/>
      <c r="R57" s="2010"/>
      <c r="S57" s="2010"/>
      <c r="T57" s="2010"/>
      <c r="U57" s="2010"/>
      <c r="V57" s="2010"/>
      <c r="W57" s="2010"/>
      <c r="X57" s="2010"/>
      <c r="Y57" s="2010"/>
      <c r="Z57" s="2010"/>
      <c r="AA57" s="2010"/>
      <c r="AB57" s="2010"/>
      <c r="AC57" s="2010"/>
      <c r="AD57" s="2010"/>
      <c r="AE57" s="2010"/>
      <c r="AF57" s="2010"/>
    </row>
    <row r="59" spans="1:32" x14ac:dyDescent="0.3">
      <c r="A59" s="1141" t="s">
        <v>14</v>
      </c>
      <c r="B59" s="1141"/>
      <c r="C59" s="1141"/>
      <c r="D59" s="1141"/>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row>
    <row r="60" spans="1:32" s="121" customFormat="1" x14ac:dyDescent="0.3">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row>
    <row r="61" spans="1:32" s="121" customFormat="1" x14ac:dyDescent="0.3">
      <c r="A61" s="57"/>
      <c r="B61" s="232" t="s">
        <v>2057</v>
      </c>
      <c r="C61"/>
      <c r="D61"/>
      <c r="E61"/>
      <c r="F61"/>
      <c r="G61"/>
      <c r="H61"/>
      <c r="I61" s="57"/>
      <c r="J61" s="57"/>
      <c r="K61" s="57"/>
      <c r="L61" s="57"/>
      <c r="M61" s="57"/>
      <c r="N61" s="57"/>
      <c r="O61" s="57"/>
      <c r="P61" s="57"/>
      <c r="Q61" s="57"/>
      <c r="R61" s="57"/>
      <c r="S61" s="57"/>
      <c r="T61" s="57"/>
      <c r="U61" s="57"/>
      <c r="V61" s="57"/>
      <c r="W61" s="57"/>
      <c r="X61" s="57"/>
      <c r="Y61" s="57"/>
      <c r="Z61" s="57"/>
      <c r="AA61" s="57"/>
      <c r="AB61" s="57"/>
      <c r="AC61" s="57"/>
      <c r="AD61" s="57"/>
      <c r="AE61" s="57"/>
      <c r="AF61" s="57"/>
    </row>
    <row r="62" spans="1:32" s="121" customFormat="1" x14ac:dyDescent="0.3">
      <c r="A62" s="57"/>
      <c r="B62"/>
      <c r="C62"/>
      <c r="D62"/>
      <c r="E62"/>
      <c r="F62"/>
      <c r="G62"/>
      <c r="H62"/>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s="121" customFormat="1" x14ac:dyDescent="0.3">
      <c r="A63" s="57"/>
      <c r="B63" t="s">
        <v>2058</v>
      </c>
      <c r="C63"/>
      <c r="D63"/>
      <c r="E63"/>
      <c r="F63"/>
      <c r="G63"/>
      <c r="H63"/>
      <c r="I63" s="187"/>
      <c r="J63" s="187"/>
      <c r="K63" s="187"/>
      <c r="L63" s="187"/>
      <c r="M63" s="187"/>
      <c r="N63" s="187"/>
      <c r="O63" s="187"/>
      <c r="P63" s="187"/>
      <c r="Q63" s="187"/>
      <c r="R63" s="187"/>
      <c r="S63" s="187"/>
      <c r="T63" s="187"/>
      <c r="U63" s="187"/>
      <c r="V63" s="187"/>
      <c r="W63" s="187"/>
      <c r="X63" s="187"/>
      <c r="Y63" s="187"/>
      <c r="Z63" s="187"/>
      <c r="AA63" s="187"/>
      <c r="AB63" s="187"/>
      <c r="AC63" s="57"/>
      <c r="AD63" s="57"/>
      <c r="AE63" s="57"/>
      <c r="AF63" s="57"/>
    </row>
    <row r="64" spans="1:32" s="121" customFormat="1" x14ac:dyDescent="0.3">
      <c r="A64" s="57"/>
      <c r="B64"/>
      <c r="C64"/>
      <c r="D64"/>
      <c r="E64"/>
      <c r="F64"/>
      <c r="G64"/>
      <c r="H64"/>
      <c r="I64" s="187"/>
      <c r="J64" s="187"/>
      <c r="K64" s="187"/>
      <c r="L64" s="187"/>
      <c r="M64" s="187"/>
      <c r="N64" s="187"/>
      <c r="O64" s="187"/>
      <c r="P64" s="187"/>
      <c r="Q64" s="187"/>
      <c r="R64" s="187"/>
      <c r="S64" s="187"/>
      <c r="T64" s="187"/>
      <c r="U64" s="187"/>
      <c r="V64" s="187"/>
      <c r="W64" s="187"/>
      <c r="X64" s="187"/>
      <c r="Y64" s="187"/>
      <c r="Z64" s="187"/>
      <c r="AA64" s="187"/>
      <c r="AB64" s="187"/>
      <c r="AC64" s="57"/>
      <c r="AD64" s="57"/>
      <c r="AE64" s="57"/>
      <c r="AF64" s="57"/>
    </row>
    <row r="65" spans="1:34" s="121" customFormat="1" ht="57" customHeight="1" x14ac:dyDescent="0.3">
      <c r="A65" s="57"/>
      <c r="B65"/>
      <c r="C65" s="1011" t="s">
        <v>2041</v>
      </c>
      <c r="D65" s="1011"/>
      <c r="E65" s="1011"/>
      <c r="F65" s="1011"/>
      <c r="G65" s="1011"/>
      <c r="H65" s="1019" t="s">
        <v>2045</v>
      </c>
      <c r="I65" s="1019"/>
      <c r="J65" s="1019"/>
      <c r="K65" s="1019"/>
      <c r="L65" s="1019"/>
      <c r="M65" s="1378" t="s">
        <v>345</v>
      </c>
      <c r="N65" s="1378"/>
      <c r="O65" s="1378"/>
      <c r="P65" s="1378"/>
      <c r="Q65" s="1378"/>
      <c r="R65" s="187"/>
      <c r="S65" s="187"/>
      <c r="T65" s="187"/>
      <c r="U65" s="187"/>
      <c r="V65" s="187"/>
      <c r="W65" s="187"/>
      <c r="X65" s="187"/>
      <c r="Y65" s="187"/>
      <c r="Z65" s="187"/>
      <c r="AA65" s="187"/>
      <c r="AB65" s="187"/>
      <c r="AC65" s="57"/>
      <c r="AD65" s="57"/>
      <c r="AE65" s="57"/>
      <c r="AF65" s="57"/>
    </row>
    <row r="66" spans="1:34" s="121" customFormat="1" x14ac:dyDescent="0.3">
      <c r="A66" s="57"/>
      <c r="B66"/>
      <c r="C66" s="1276" t="s">
        <v>2042</v>
      </c>
      <c r="D66" s="1276"/>
      <c r="E66" s="1276"/>
      <c r="F66" s="1276"/>
      <c r="G66" s="1276"/>
      <c r="H66" s="1276">
        <v>3.1E-2</v>
      </c>
      <c r="I66" s="1276"/>
      <c r="J66" s="1276"/>
      <c r="K66" s="1276"/>
      <c r="L66" s="1276"/>
      <c r="M66" s="2351">
        <v>10</v>
      </c>
      <c r="N66" s="2351"/>
      <c r="O66" s="2351"/>
      <c r="P66" s="2351"/>
      <c r="Q66" s="2351"/>
      <c r="R66" s="187"/>
      <c r="S66" s="187"/>
      <c r="T66" s="187"/>
      <c r="U66" s="187"/>
      <c r="V66" s="187"/>
      <c r="W66" s="187"/>
      <c r="X66" s="187"/>
      <c r="Y66" s="187"/>
      <c r="Z66" s="187"/>
      <c r="AA66" s="187"/>
      <c r="AB66" s="187"/>
      <c r="AC66" s="57"/>
      <c r="AD66" s="57"/>
      <c r="AE66" s="57"/>
      <c r="AF66" s="57"/>
    </row>
    <row r="67" spans="1:34" s="121" customFormat="1" ht="15.6" x14ac:dyDescent="0.3">
      <c r="A67" s="57"/>
      <c r="B67"/>
      <c r="C67" s="1276" t="s">
        <v>2061</v>
      </c>
      <c r="D67" s="1276"/>
      <c r="E67" s="1276"/>
      <c r="F67" s="1276"/>
      <c r="G67" s="1276"/>
      <c r="H67" s="1276">
        <v>1.6E-2</v>
      </c>
      <c r="I67" s="1276"/>
      <c r="J67" s="1276"/>
      <c r="K67" s="1276"/>
      <c r="L67" s="1276"/>
      <c r="M67" s="2351">
        <v>2</v>
      </c>
      <c r="N67" s="2351"/>
      <c r="O67" s="2351"/>
      <c r="P67" s="2351"/>
      <c r="Q67" s="2351"/>
      <c r="R67" s="187"/>
      <c r="S67" s="187"/>
      <c r="T67" s="187"/>
      <c r="U67" s="187"/>
      <c r="V67" s="187"/>
      <c r="W67" s="187"/>
      <c r="X67" s="187"/>
      <c r="Y67" s="2348" t="s">
        <v>2044</v>
      </c>
      <c r="Z67" s="2348"/>
      <c r="AA67" s="2348"/>
      <c r="AB67" s="2349">
        <f>SUMPRODUCT($H$66:$L$68,$M$66:$Q$68)</f>
        <v>0.34199999999999997</v>
      </c>
      <c r="AC67" s="2350"/>
      <c r="AD67" s="2350"/>
      <c r="AE67" s="270" t="s">
        <v>18</v>
      </c>
      <c r="AF67" s="271"/>
      <c r="AG67" s="57"/>
      <c r="AH67" s="57"/>
    </row>
    <row r="68" spans="1:34" s="121" customFormat="1" x14ac:dyDescent="0.3">
      <c r="A68" s="57"/>
      <c r="B68"/>
      <c r="C68" s="1276"/>
      <c r="D68" s="1276"/>
      <c r="E68" s="1276"/>
      <c r="F68" s="1276"/>
      <c r="G68" s="1276"/>
      <c r="H68" s="1276"/>
      <c r="I68" s="1276"/>
      <c r="J68" s="1276"/>
      <c r="K68" s="1276"/>
      <c r="L68" s="1276"/>
      <c r="M68" s="2351"/>
      <c r="N68" s="2351"/>
      <c r="O68" s="2351"/>
      <c r="P68" s="2351"/>
      <c r="Q68" s="2351"/>
      <c r="R68" s="187"/>
      <c r="S68" s="187"/>
      <c r="T68" s="187"/>
      <c r="U68" s="187"/>
      <c r="V68" s="187"/>
      <c r="W68" s="187"/>
      <c r="X68" s="187"/>
      <c r="Y68" s="187"/>
      <c r="Z68" s="187"/>
      <c r="AA68" s="187"/>
      <c r="AB68" s="187"/>
      <c r="AC68" s="57"/>
      <c r="AD68" s="57"/>
      <c r="AE68" s="57"/>
      <c r="AF68" s="57"/>
    </row>
    <row r="69" spans="1:34" s="121" customFormat="1" x14ac:dyDescent="0.3">
      <c r="A69" s="57"/>
      <c r="B69"/>
      <c r="C69" s="269" t="s">
        <v>2043</v>
      </c>
      <c r="D69" s="31"/>
      <c r="E69" s="31"/>
      <c r="F69" s="31"/>
      <c r="G69" s="31"/>
      <c r="H69" s="31"/>
      <c r="I69" s="31"/>
      <c r="J69" s="31"/>
      <c r="K69" s="31"/>
      <c r="L69" s="31"/>
      <c r="M69" s="58"/>
      <c r="N69" s="58"/>
      <c r="O69" s="58"/>
      <c r="P69" s="58"/>
      <c r="Q69" s="58"/>
      <c r="R69" s="187"/>
      <c r="S69" s="187"/>
      <c r="T69" s="187"/>
      <c r="U69" s="187"/>
      <c r="V69" s="187"/>
      <c r="W69" s="187"/>
      <c r="X69" s="187"/>
      <c r="Y69" s="187"/>
      <c r="Z69" s="187"/>
      <c r="AA69" s="187"/>
      <c r="AB69" s="187"/>
      <c r="AC69" s="57"/>
      <c r="AD69" s="57"/>
      <c r="AE69" s="57"/>
      <c r="AF69" s="57"/>
    </row>
    <row r="70" spans="1:34" s="121" customFormat="1" x14ac:dyDescent="0.3">
      <c r="A70" s="57"/>
      <c r="B70"/>
      <c r="C70"/>
      <c r="D70"/>
      <c r="E70"/>
      <c r="F70"/>
      <c r="G70"/>
      <c r="H70"/>
      <c r="I70" s="187"/>
      <c r="J70" s="187"/>
      <c r="K70" s="187"/>
      <c r="L70" s="187"/>
      <c r="M70" s="187"/>
      <c r="N70" s="187"/>
      <c r="O70" s="187"/>
      <c r="P70" s="187"/>
      <c r="Q70" s="187"/>
      <c r="R70" s="187"/>
      <c r="S70" s="187"/>
      <c r="T70" s="187"/>
      <c r="U70" s="187"/>
      <c r="V70" s="187"/>
      <c r="W70" s="187"/>
      <c r="X70" s="187"/>
      <c r="Y70" s="187"/>
      <c r="Z70" s="187"/>
      <c r="AA70" s="187"/>
      <c r="AB70" s="187"/>
      <c r="AC70" s="57"/>
      <c r="AD70" s="57"/>
      <c r="AE70" s="57"/>
      <c r="AF70" s="57"/>
    </row>
    <row r="71" spans="1:34" s="121" customFormat="1" x14ac:dyDescent="0.3">
      <c r="A71" s="57"/>
      <c r="B71" t="s">
        <v>2059</v>
      </c>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c r="AE71" s="57"/>
      <c r="AF71" s="57"/>
    </row>
    <row r="72" spans="1:34" s="121" customFormat="1" x14ac:dyDescent="0.3">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c r="AE72" s="57"/>
      <c r="AF72" s="57"/>
    </row>
    <row r="73" spans="1:34" s="121" customFormat="1" ht="59.25" customHeight="1" x14ac:dyDescent="0.3">
      <c r="A73" s="57"/>
      <c r="B73" s="57"/>
      <c r="C73" s="1019" t="s">
        <v>2041</v>
      </c>
      <c r="D73" s="1019"/>
      <c r="E73" s="1019"/>
      <c r="F73" s="1019"/>
      <c r="G73" s="1019"/>
      <c r="H73" s="1019" t="s">
        <v>2045</v>
      </c>
      <c r="I73" s="1019"/>
      <c r="J73" s="1019"/>
      <c r="K73" s="1019"/>
      <c r="L73" s="1019"/>
      <c r="M73" s="1019" t="s">
        <v>2046</v>
      </c>
      <c r="N73" s="1019"/>
      <c r="O73" s="1019"/>
      <c r="P73" s="1019"/>
      <c r="Q73" s="1019"/>
      <c r="R73" s="1493" t="s">
        <v>345</v>
      </c>
      <c r="S73" s="1493"/>
      <c r="T73" s="1493"/>
      <c r="U73" s="1493"/>
      <c r="V73" s="1493"/>
      <c r="W73" s="57"/>
      <c r="X73" s="57"/>
      <c r="Y73" s="57"/>
      <c r="Z73" s="57"/>
      <c r="AA73" s="57"/>
      <c r="AB73" s="57"/>
      <c r="AC73" s="57"/>
      <c r="AD73" s="57"/>
      <c r="AE73" s="57"/>
      <c r="AF73" s="57"/>
    </row>
    <row r="74" spans="1:34" s="121" customFormat="1" ht="15.6" x14ac:dyDescent="0.3">
      <c r="A74" s="57"/>
      <c r="B74" s="57"/>
      <c r="C74" s="1276" t="s">
        <v>2042</v>
      </c>
      <c r="D74" s="1276"/>
      <c r="E74" s="1276"/>
      <c r="F74" s="1276"/>
      <c r="G74" s="1276"/>
      <c r="H74" s="1276">
        <v>3.1E-2</v>
      </c>
      <c r="I74" s="1276"/>
      <c r="J74" s="1276"/>
      <c r="K74" s="1276"/>
      <c r="L74" s="1276"/>
      <c r="M74" s="2351">
        <v>1.4999999999999999E-2</v>
      </c>
      <c r="N74" s="2351"/>
      <c r="O74" s="2351"/>
      <c r="P74" s="2351"/>
      <c r="Q74" s="2351"/>
      <c r="R74" s="2351">
        <v>10</v>
      </c>
      <c r="S74" s="2351"/>
      <c r="T74" s="2351"/>
      <c r="U74" s="2351"/>
      <c r="V74" s="2351"/>
      <c r="W74" s="57"/>
      <c r="X74" s="57"/>
      <c r="Y74" s="2348" t="s">
        <v>2047</v>
      </c>
      <c r="Z74" s="2348"/>
      <c r="AA74" s="2348"/>
      <c r="AB74" s="2349">
        <f>SUMPRODUCT($H$74:$L$76,$R$74:$V$76)</f>
        <v>0.34199999999999997</v>
      </c>
      <c r="AC74" s="2350"/>
      <c r="AD74" s="2350"/>
      <c r="AE74" s="270" t="s">
        <v>18</v>
      </c>
      <c r="AF74" s="271"/>
    </row>
    <row r="75" spans="1:34" s="121" customFormat="1" x14ac:dyDescent="0.3">
      <c r="A75" s="57"/>
      <c r="B75" s="57"/>
      <c r="C75" s="1276" t="s">
        <v>2061</v>
      </c>
      <c r="D75" s="1276"/>
      <c r="E75" s="1276"/>
      <c r="F75" s="1276"/>
      <c r="G75" s="1276"/>
      <c r="H75" s="1276">
        <v>1.6E-2</v>
      </c>
      <c r="I75" s="1276"/>
      <c r="J75" s="1276"/>
      <c r="K75" s="1276"/>
      <c r="L75" s="1276"/>
      <c r="M75" s="2351">
        <v>8.0000000000000002E-3</v>
      </c>
      <c r="N75" s="2351"/>
      <c r="O75" s="2351"/>
      <c r="P75" s="2351"/>
      <c r="Q75" s="2351"/>
      <c r="R75" s="2351">
        <v>2</v>
      </c>
      <c r="S75" s="2351"/>
      <c r="T75" s="2351"/>
      <c r="U75" s="2351"/>
      <c r="V75" s="2351"/>
      <c r="W75" s="57"/>
      <c r="X75" s="57"/>
      <c r="Y75" s="57"/>
      <c r="Z75" s="57"/>
      <c r="AA75" s="57"/>
      <c r="AB75" s="57"/>
      <c r="AC75" s="57"/>
      <c r="AD75" s="57"/>
      <c r="AE75" s="57"/>
      <c r="AF75" s="57"/>
    </row>
    <row r="76" spans="1:34" s="121" customFormat="1" ht="15.6" x14ac:dyDescent="0.3">
      <c r="A76" s="57"/>
      <c r="B76" s="57"/>
      <c r="C76" s="1276"/>
      <c r="D76" s="1276"/>
      <c r="E76" s="1276"/>
      <c r="F76" s="1276"/>
      <c r="G76" s="1276"/>
      <c r="H76" s="1276"/>
      <c r="I76" s="1276"/>
      <c r="J76" s="1276"/>
      <c r="K76" s="1276"/>
      <c r="L76" s="1276"/>
      <c r="M76" s="2351"/>
      <c r="N76" s="2351"/>
      <c r="O76" s="2351"/>
      <c r="P76" s="2351"/>
      <c r="Q76" s="2351"/>
      <c r="R76" s="2351"/>
      <c r="S76" s="2351"/>
      <c r="T76" s="2351"/>
      <c r="U76" s="2351"/>
      <c r="V76" s="2351"/>
      <c r="W76" s="57"/>
      <c r="X76" s="57"/>
      <c r="Y76" s="2348" t="s">
        <v>2048</v>
      </c>
      <c r="Z76" s="2348"/>
      <c r="AA76" s="2348"/>
      <c r="AB76" s="2349">
        <f>SUMPRODUCT($M$74:$Q$76,$R$74:$V$76)</f>
        <v>0.16599999999999998</v>
      </c>
      <c r="AC76" s="2350"/>
      <c r="AD76" s="2350"/>
      <c r="AE76" s="270" t="s">
        <v>18</v>
      </c>
      <c r="AF76" s="271"/>
    </row>
    <row r="77" spans="1:34" s="121" customFormat="1" x14ac:dyDescent="0.25">
      <c r="A77" s="57"/>
      <c r="B77" s="57"/>
      <c r="C77" s="269" t="s">
        <v>2043</v>
      </c>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c r="AE77" s="57"/>
      <c r="AF77" s="57"/>
    </row>
    <row r="78" spans="1:34" s="121" customFormat="1" x14ac:dyDescent="0.25">
      <c r="A78" s="57"/>
      <c r="B78" s="57"/>
      <c r="C78" s="269"/>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c r="AE78" s="57"/>
      <c r="AF78" s="57"/>
    </row>
    <row r="79" spans="1:34" ht="15" thickBot="1" x14ac:dyDescent="0.35"/>
    <row r="80" spans="1:34" ht="42" customHeight="1" x14ac:dyDescent="0.3">
      <c r="A80" s="1252" t="s">
        <v>15</v>
      </c>
      <c r="B80" s="1253"/>
      <c r="C80" s="1253"/>
      <c r="D80" s="1253"/>
      <c r="E80" s="1253"/>
      <c r="F80" s="1253"/>
      <c r="G80" s="1253"/>
      <c r="H80" s="1253"/>
      <c r="I80" s="1278" t="s">
        <v>2780</v>
      </c>
      <c r="J80" s="1278"/>
      <c r="K80" s="1278"/>
      <c r="L80" s="1278"/>
      <c r="M80" s="1278"/>
      <c r="N80" s="1278"/>
      <c r="O80" s="1278"/>
      <c r="P80" s="1278"/>
      <c r="Q80" s="1278" t="s">
        <v>2776</v>
      </c>
      <c r="R80" s="1253"/>
      <c r="S80" s="1253"/>
      <c r="T80" s="1253"/>
      <c r="U80" s="1253"/>
      <c r="V80" s="1253"/>
      <c r="W80" s="1253"/>
      <c r="X80" s="1254"/>
      <c r="Y80" s="1278" t="s">
        <v>1554</v>
      </c>
      <c r="Z80" s="1253"/>
      <c r="AA80" s="1253"/>
      <c r="AB80" s="1253"/>
      <c r="AC80" s="1253"/>
      <c r="AD80" s="1253"/>
      <c r="AE80" s="1253"/>
      <c r="AF80" s="1254"/>
    </row>
    <row r="81" spans="1:32" ht="32.25" customHeight="1" thickBot="1" x14ac:dyDescent="0.35">
      <c r="A81" s="1408" t="s">
        <v>2049</v>
      </c>
      <c r="B81" s="1409"/>
      <c r="C81" s="1409"/>
      <c r="D81" s="1409"/>
      <c r="E81" s="1409"/>
      <c r="F81" s="1409"/>
      <c r="G81" s="1409"/>
      <c r="H81" s="1409"/>
      <c r="I81" s="2165">
        <f>ROUND(($AB$67-($AB$76*$Q$48+$AB$74*$Q$49))*$Q$50*$Q$52*$Q$53*$Q$55,3)</f>
        <v>0.14099999999999999</v>
      </c>
      <c r="J81" s="2165"/>
      <c r="K81" s="2165"/>
      <c r="L81" s="2165"/>
      <c r="M81" s="2165"/>
      <c r="N81" s="2165"/>
      <c r="O81" s="2165"/>
      <c r="P81" s="2165"/>
      <c r="Q81" s="2343">
        <f>ROUND(($AB$67-($AB$76*$Q$48+$AB$74*$Q$49))*$Q$51*$Q$52*$Q$54*$Q$55,3)</f>
        <v>1233.4079999999999</v>
      </c>
      <c r="R81" s="2343"/>
      <c r="S81" s="2343"/>
      <c r="T81" s="2343"/>
      <c r="U81" s="2343"/>
      <c r="V81" s="2343"/>
      <c r="W81" s="2343"/>
      <c r="X81" s="2344"/>
      <c r="Y81" s="2345">
        <f>ROUND($Q$81*$Q$56,2)</f>
        <v>9867.26</v>
      </c>
      <c r="Z81" s="2345"/>
      <c r="AA81" s="2345"/>
      <c r="AB81" s="2345"/>
      <c r="AC81" s="2345"/>
      <c r="AD81" s="2345"/>
      <c r="AE81" s="2345"/>
      <c r="AF81" s="2346"/>
    </row>
    <row r="82" spans="1:32" x14ac:dyDescent="0.25">
      <c r="A82" s="269" t="s">
        <v>2221</v>
      </c>
    </row>
    <row r="84" spans="1:32" x14ac:dyDescent="0.3">
      <c r="A84" s="1141" t="s">
        <v>1514</v>
      </c>
      <c r="B84" s="1141"/>
      <c r="C84" s="1141"/>
      <c r="D84" s="1141"/>
      <c r="E84" s="1141"/>
      <c r="F84" s="1141"/>
      <c r="G84" s="1141"/>
      <c r="H84" s="1141"/>
      <c r="I84" s="1141"/>
      <c r="J84" s="1141"/>
      <c r="K84" s="1141"/>
      <c r="L84" s="1141"/>
      <c r="M84" s="1141"/>
      <c r="N84" s="1141"/>
      <c r="O84" s="1141"/>
      <c r="P84" s="1141"/>
      <c r="Q84" s="1141"/>
      <c r="R84" s="1141"/>
      <c r="S84" s="1141"/>
      <c r="T84" s="1141"/>
      <c r="U84" s="1141"/>
      <c r="V84" s="1141"/>
      <c r="W84" s="1141"/>
      <c r="X84" s="1141"/>
      <c r="Y84" s="1141"/>
      <c r="Z84" s="1141"/>
      <c r="AA84" s="1141"/>
      <c r="AB84" s="1141"/>
      <c r="AC84" s="1141"/>
      <c r="AD84" s="1141"/>
      <c r="AE84" s="1141"/>
      <c r="AF84" s="1141"/>
    </row>
    <row r="85" spans="1:32" x14ac:dyDescent="0.3">
      <c r="A85"/>
      <c r="B85" s="2347"/>
      <c r="C85" s="2347"/>
      <c r="D85" s="2347"/>
      <c r="E85" s="2347"/>
      <c r="F85" s="2347"/>
      <c r="G85" s="2347"/>
      <c r="H85" s="2347"/>
      <c r="I85" s="2347"/>
      <c r="J85" s="2347"/>
      <c r="K85" s="2347"/>
      <c r="L85" s="2347"/>
      <c r="M85" s="2347"/>
      <c r="N85" s="2347"/>
      <c r="O85" s="2347"/>
      <c r="P85" s="2347"/>
      <c r="Q85" s="2347"/>
      <c r="R85" s="2347"/>
      <c r="S85" s="2347"/>
      <c r="T85" s="2347"/>
      <c r="U85" s="2347"/>
      <c r="V85" s="2347"/>
      <c r="W85" s="2347"/>
      <c r="X85" s="2347"/>
      <c r="Y85" s="2347"/>
      <c r="Z85" s="2347"/>
      <c r="AA85" s="2347"/>
      <c r="AB85" s="2347"/>
      <c r="AC85" s="2347"/>
      <c r="AD85" s="2347"/>
      <c r="AE85" s="2347"/>
      <c r="AF85" s="2347"/>
    </row>
    <row r="86" spans="1:32" s="8" customFormat="1" ht="15" customHeight="1" x14ac:dyDescent="0.3">
      <c r="A86" s="368" t="s">
        <v>803</v>
      </c>
      <c r="B86" s="884" t="s">
        <v>2502</v>
      </c>
      <c r="C86" s="884"/>
      <c r="D86" s="884"/>
      <c r="E86" s="884"/>
      <c r="F86" s="884"/>
      <c r="G86" s="884"/>
      <c r="H86" s="884"/>
      <c r="I86" s="884"/>
      <c r="J86" s="884"/>
      <c r="K86" s="884"/>
      <c r="L86" s="884"/>
      <c r="M86" s="884"/>
      <c r="N86" s="884"/>
      <c r="O86" s="884"/>
      <c r="P86" s="884"/>
      <c r="Q86" s="884"/>
      <c r="R86" s="884"/>
      <c r="S86" s="884"/>
      <c r="T86" s="884"/>
      <c r="U86" s="884"/>
      <c r="V86" s="884"/>
      <c r="W86" s="884"/>
      <c r="X86" s="884"/>
      <c r="Y86" s="884"/>
      <c r="Z86" s="884"/>
      <c r="AA86" s="884"/>
      <c r="AB86" s="884"/>
      <c r="AC86" s="884"/>
      <c r="AD86" s="884"/>
      <c r="AE86" s="884"/>
      <c r="AF86" s="884"/>
    </row>
    <row r="87" spans="1:32" x14ac:dyDescent="0.3">
      <c r="A87" s="368" t="s">
        <v>803</v>
      </c>
      <c r="B87" s="953" t="s">
        <v>1568</v>
      </c>
      <c r="C87" s="953"/>
      <c r="D87" s="953"/>
      <c r="E87" s="953"/>
      <c r="F87" s="953"/>
      <c r="G87" s="953"/>
      <c r="H87" s="953"/>
      <c r="I87" s="953"/>
      <c r="J87" s="953"/>
      <c r="K87" s="953"/>
      <c r="L87" s="953"/>
      <c r="M87" s="953"/>
      <c r="N87" s="953"/>
      <c r="O87" s="953"/>
      <c r="P87" s="953"/>
      <c r="Q87" s="953"/>
      <c r="R87" s="953"/>
      <c r="S87" s="953"/>
      <c r="T87" s="953"/>
      <c r="U87" s="953"/>
      <c r="V87" s="953"/>
      <c r="W87" s="953"/>
      <c r="X87" s="953"/>
      <c r="Y87" s="953"/>
      <c r="Z87" s="953"/>
      <c r="AA87" s="953"/>
      <c r="AB87" s="953"/>
      <c r="AC87" s="953"/>
      <c r="AD87" s="953"/>
      <c r="AE87" s="953"/>
      <c r="AF87" s="953"/>
    </row>
    <row r="88" spans="1:32" ht="31.5" customHeight="1" x14ac:dyDescent="0.3">
      <c r="A88" s="368" t="s">
        <v>803</v>
      </c>
      <c r="B88" s="953" t="s">
        <v>1830</v>
      </c>
      <c r="C88" s="953"/>
      <c r="D88" s="953"/>
      <c r="E88" s="953"/>
      <c r="F88" s="953"/>
      <c r="G88" s="953"/>
      <c r="H88" s="953"/>
      <c r="I88" s="953"/>
      <c r="J88" s="953"/>
      <c r="K88" s="953"/>
      <c r="L88" s="953"/>
      <c r="M88" s="953"/>
      <c r="N88" s="953"/>
      <c r="O88" s="953"/>
      <c r="P88" s="953"/>
      <c r="Q88" s="953"/>
      <c r="R88" s="953"/>
      <c r="S88" s="953"/>
      <c r="T88" s="953"/>
      <c r="U88" s="953"/>
      <c r="V88" s="953"/>
      <c r="W88" s="953"/>
      <c r="X88" s="953"/>
      <c r="Y88" s="953"/>
      <c r="Z88" s="953"/>
      <c r="AA88" s="953"/>
      <c r="AB88" s="953"/>
      <c r="AC88" s="953"/>
      <c r="AD88" s="953"/>
      <c r="AE88" s="953"/>
      <c r="AF88" s="953"/>
    </row>
    <row r="89" spans="1:32" ht="66" customHeight="1" x14ac:dyDescent="0.3">
      <c r="A89" s="368" t="s">
        <v>803</v>
      </c>
      <c r="B89" s="953" t="s">
        <v>2064</v>
      </c>
      <c r="C89" s="953"/>
      <c r="D89" s="953"/>
      <c r="E89" s="953"/>
      <c r="F89" s="953"/>
      <c r="G89" s="953"/>
      <c r="H89" s="953"/>
      <c r="I89" s="953"/>
      <c r="J89" s="953"/>
      <c r="K89" s="953"/>
      <c r="L89" s="953"/>
      <c r="M89" s="953"/>
      <c r="N89" s="953"/>
      <c r="O89" s="953"/>
      <c r="P89" s="953"/>
      <c r="Q89" s="953"/>
      <c r="R89" s="953"/>
      <c r="S89" s="953"/>
      <c r="T89" s="953"/>
      <c r="U89" s="953"/>
      <c r="V89" s="953"/>
      <c r="W89" s="953"/>
      <c r="X89" s="953"/>
      <c r="Y89" s="953"/>
      <c r="Z89" s="953"/>
      <c r="AA89" s="953"/>
      <c r="AB89" s="953"/>
      <c r="AC89" s="953"/>
      <c r="AD89" s="953"/>
      <c r="AE89" s="953"/>
      <c r="AF89" s="953"/>
    </row>
    <row r="90" spans="1:32" x14ac:dyDescent="0.3">
      <c r="A90" s="368" t="s">
        <v>803</v>
      </c>
      <c r="B90" s="953" t="s">
        <v>2063</v>
      </c>
      <c r="C90" s="953"/>
      <c r="D90" s="953"/>
      <c r="E90" s="953"/>
      <c r="F90" s="953"/>
      <c r="G90" s="953"/>
      <c r="H90" s="953"/>
      <c r="I90" s="953"/>
      <c r="J90" s="953"/>
      <c r="K90" s="953"/>
      <c r="L90" s="953"/>
      <c r="M90" s="953"/>
      <c r="N90" s="953"/>
      <c r="O90" s="953"/>
      <c r="P90" s="953"/>
      <c r="Q90" s="953"/>
      <c r="R90" s="953"/>
      <c r="S90" s="953"/>
      <c r="T90" s="953"/>
      <c r="U90" s="953"/>
      <c r="V90" s="953"/>
      <c r="W90" s="953"/>
      <c r="X90" s="953"/>
      <c r="Y90" s="953"/>
      <c r="Z90" s="953"/>
      <c r="AA90" s="953"/>
      <c r="AB90" s="953"/>
      <c r="AC90" s="953"/>
      <c r="AD90" s="953"/>
      <c r="AE90" s="953"/>
      <c r="AF90" s="953"/>
    </row>
    <row r="91" spans="1:32" ht="36.75" customHeight="1" x14ac:dyDescent="0.3">
      <c r="A91" s="368" t="s">
        <v>803</v>
      </c>
      <c r="B91" s="953" t="s">
        <v>1918</v>
      </c>
      <c r="C91" s="953"/>
      <c r="D91" s="953"/>
      <c r="E91" s="953"/>
      <c r="F91" s="953"/>
      <c r="G91" s="953"/>
      <c r="H91" s="953"/>
      <c r="I91" s="953"/>
      <c r="J91" s="953"/>
      <c r="K91" s="953"/>
      <c r="L91" s="953"/>
      <c r="M91" s="953"/>
      <c r="N91" s="953"/>
      <c r="O91" s="953"/>
      <c r="P91" s="953"/>
      <c r="Q91" s="953"/>
      <c r="R91" s="953"/>
      <c r="S91" s="953"/>
      <c r="T91" s="953"/>
      <c r="U91" s="953"/>
      <c r="V91" s="953"/>
      <c r="W91" s="953"/>
      <c r="X91" s="953"/>
      <c r="Y91" s="953"/>
      <c r="Z91" s="953"/>
      <c r="AA91" s="953"/>
      <c r="AB91" s="953"/>
      <c r="AC91" s="953"/>
      <c r="AD91" s="953"/>
      <c r="AE91" s="953"/>
      <c r="AF91" s="953"/>
    </row>
    <row r="92" spans="1:32" ht="36.75" customHeight="1" x14ac:dyDescent="0.3">
      <c r="A92" s="368" t="s">
        <v>803</v>
      </c>
      <c r="B92" s="953" t="s">
        <v>2062</v>
      </c>
      <c r="C92" s="953"/>
      <c r="D92" s="953"/>
      <c r="E92" s="953"/>
      <c r="F92" s="953"/>
      <c r="G92" s="953"/>
      <c r="H92" s="953"/>
      <c r="I92" s="953"/>
      <c r="J92" s="953"/>
      <c r="K92" s="953"/>
      <c r="L92" s="953"/>
      <c r="M92" s="953"/>
      <c r="N92" s="953"/>
      <c r="O92" s="953"/>
      <c r="P92" s="953"/>
      <c r="Q92" s="953"/>
      <c r="R92" s="953"/>
      <c r="S92" s="953"/>
      <c r="T92" s="953"/>
      <c r="U92" s="953"/>
      <c r="V92" s="953"/>
      <c r="W92" s="953"/>
      <c r="X92" s="953"/>
      <c r="Y92" s="953"/>
      <c r="Z92" s="953"/>
      <c r="AA92" s="953"/>
      <c r="AB92" s="953"/>
      <c r="AC92" s="953"/>
      <c r="AD92" s="953"/>
      <c r="AE92" s="953"/>
      <c r="AF92" s="953"/>
    </row>
    <row r="93" spans="1:32" x14ac:dyDescent="0.3">
      <c r="A93" s="368" t="s">
        <v>803</v>
      </c>
      <c r="B93" s="953" t="s">
        <v>1510</v>
      </c>
      <c r="C93" s="953"/>
      <c r="D93" s="953"/>
      <c r="E93" s="953"/>
      <c r="F93" s="953"/>
      <c r="G93" s="953"/>
      <c r="H93" s="953"/>
      <c r="I93" s="953"/>
      <c r="J93" s="953"/>
      <c r="K93" s="953"/>
      <c r="L93" s="953"/>
      <c r="M93" s="953"/>
      <c r="N93" s="953"/>
      <c r="O93" s="953"/>
      <c r="P93" s="953"/>
      <c r="Q93" s="953"/>
      <c r="R93" s="953"/>
      <c r="S93" s="953"/>
      <c r="T93" s="953"/>
      <c r="U93" s="953"/>
      <c r="V93" s="953"/>
      <c r="W93" s="953"/>
      <c r="X93" s="953"/>
      <c r="Y93" s="953"/>
      <c r="Z93" s="953"/>
      <c r="AA93" s="953"/>
      <c r="AB93" s="953"/>
      <c r="AC93" s="953"/>
      <c r="AD93" s="953"/>
      <c r="AE93" s="953"/>
      <c r="AF93" s="953"/>
    </row>
  </sheetData>
  <sheetProtection algorithmName="SHA-512" hashValue="KI4bgVCgnmnLfNyKyU+2oidUOOYvnKCG1juULX1QtZnvfVYf1FPvK8GxjtL6F/x+sEm+fH2v3E9JlqBaHDebNg==" saltValue="LqdV/S6ViQt+guBa/zRf4g==" spinCount="100000" sheet="1" objects="1" scenarios="1"/>
  <mergeCells count="131">
    <mergeCell ref="E55:P55"/>
    <mergeCell ref="Q55:T55"/>
    <mergeCell ref="U55:V55"/>
    <mergeCell ref="W55:AF55"/>
    <mergeCell ref="W48:AF48"/>
    <mergeCell ref="A51:D51"/>
    <mergeCell ref="A46:D46"/>
    <mergeCell ref="E46:P46"/>
    <mergeCell ref="Q54:T54"/>
    <mergeCell ref="U54:V54"/>
    <mergeCell ref="W54:AF54"/>
    <mergeCell ref="E47:P47"/>
    <mergeCell ref="Q47:T47"/>
    <mergeCell ref="U47:V47"/>
    <mergeCell ref="W47:AF47"/>
    <mergeCell ref="Q48:T48"/>
    <mergeCell ref="U48:V48"/>
    <mergeCell ref="A52:D52"/>
    <mergeCell ref="E52:P52"/>
    <mergeCell ref="Q52:T52"/>
    <mergeCell ref="U52:V52"/>
    <mergeCell ref="W52:AF52"/>
    <mergeCell ref="Q49:T49"/>
    <mergeCell ref="U49:V49"/>
    <mergeCell ref="U56:V56"/>
    <mergeCell ref="W56:AF56"/>
    <mergeCell ref="A53:D53"/>
    <mergeCell ref="E53:P53"/>
    <mergeCell ref="Q53:T53"/>
    <mergeCell ref="A43:AF43"/>
    <mergeCell ref="A44:D44"/>
    <mergeCell ref="E44:P44"/>
    <mergeCell ref="Q44:T44"/>
    <mergeCell ref="U44:V44"/>
    <mergeCell ref="W44:AF44"/>
    <mergeCell ref="A45:D45"/>
    <mergeCell ref="E45:P45"/>
    <mergeCell ref="Q45:T45"/>
    <mergeCell ref="U53:V53"/>
    <mergeCell ref="W53:AF53"/>
    <mergeCell ref="A56:D56"/>
    <mergeCell ref="E56:P56"/>
    <mergeCell ref="Q56:T56"/>
    <mergeCell ref="W45:AF45"/>
    <mergeCell ref="A54:D54"/>
    <mergeCell ref="E54:P54"/>
    <mergeCell ref="Q46:T46"/>
    <mergeCell ref="A55:D55"/>
    <mergeCell ref="W49:AF49"/>
    <mergeCell ref="A48:D48"/>
    <mergeCell ref="E48:P48"/>
    <mergeCell ref="A1:AF1"/>
    <mergeCell ref="U45:V45"/>
    <mergeCell ref="A47:D47"/>
    <mergeCell ref="U46:V46"/>
    <mergeCell ref="W46:AF46"/>
    <mergeCell ref="A49:D49"/>
    <mergeCell ref="E49:P49"/>
    <mergeCell ref="A27:AF27"/>
    <mergeCell ref="A3:AF3"/>
    <mergeCell ref="B5:AF5"/>
    <mergeCell ref="B15:AF15"/>
    <mergeCell ref="A7:AF7"/>
    <mergeCell ref="B10:AF10"/>
    <mergeCell ref="B13:AF13"/>
    <mergeCell ref="B18:AF18"/>
    <mergeCell ref="B21:AF21"/>
    <mergeCell ref="B24:AF24"/>
    <mergeCell ref="E51:P51"/>
    <mergeCell ref="Q51:T51"/>
    <mergeCell ref="U51:V51"/>
    <mergeCell ref="W51:AF51"/>
    <mergeCell ref="A50:D50"/>
    <mergeCell ref="E50:P50"/>
    <mergeCell ref="Q50:T50"/>
    <mergeCell ref="U50:V50"/>
    <mergeCell ref="W50:AF50"/>
    <mergeCell ref="A57:AF57"/>
    <mergeCell ref="C65:G65"/>
    <mergeCell ref="M65:Q65"/>
    <mergeCell ref="C66:G66"/>
    <mergeCell ref="H66:L66"/>
    <mergeCell ref="M66:Q66"/>
    <mergeCell ref="C67:G67"/>
    <mergeCell ref="H67:L67"/>
    <mergeCell ref="M67:Q67"/>
    <mergeCell ref="Y67:AA67"/>
    <mergeCell ref="AB67:AD67"/>
    <mergeCell ref="H65:L65"/>
    <mergeCell ref="A59:AF59"/>
    <mergeCell ref="R73:V73"/>
    <mergeCell ref="R74:V74"/>
    <mergeCell ref="R75:V75"/>
    <mergeCell ref="R76:V76"/>
    <mergeCell ref="C68:G68"/>
    <mergeCell ref="H68:L68"/>
    <mergeCell ref="M68:Q68"/>
    <mergeCell ref="C73:G73"/>
    <mergeCell ref="H73:L73"/>
    <mergeCell ref="M73:Q73"/>
    <mergeCell ref="C74:G74"/>
    <mergeCell ref="H74:L74"/>
    <mergeCell ref="M74:Q74"/>
    <mergeCell ref="Y74:AA74"/>
    <mergeCell ref="AB74:AD74"/>
    <mergeCell ref="Y76:AA76"/>
    <mergeCell ref="AB76:AD76"/>
    <mergeCell ref="A80:H80"/>
    <mergeCell ref="I80:P80"/>
    <mergeCell ref="Q80:X80"/>
    <mergeCell ref="Y80:AF80"/>
    <mergeCell ref="C75:G75"/>
    <mergeCell ref="H75:L75"/>
    <mergeCell ref="M75:Q75"/>
    <mergeCell ref="C76:G76"/>
    <mergeCell ref="H76:L76"/>
    <mergeCell ref="M76:Q76"/>
    <mergeCell ref="B89:AF89"/>
    <mergeCell ref="B90:AF90"/>
    <mergeCell ref="B91:AF91"/>
    <mergeCell ref="B92:AF92"/>
    <mergeCell ref="B93:AF93"/>
    <mergeCell ref="A81:H81"/>
    <mergeCell ref="I81:P81"/>
    <mergeCell ref="Q81:X81"/>
    <mergeCell ref="Y81:AF81"/>
    <mergeCell ref="A84:AF84"/>
    <mergeCell ref="B85:AF85"/>
    <mergeCell ref="B87:AF87"/>
    <mergeCell ref="B88:AF88"/>
    <mergeCell ref="B86:AF86"/>
  </mergeCells>
  <hyperlinks>
    <hyperlink ref="A2" location="TOC!A1" display="Return to TOC" xr:uid="{00000000-0004-0000-3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6:AF41 AF32:AF33 AF3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7">
    <pageSetUpPr autoPageBreaks="0"/>
  </sheetPr>
  <dimension ref="A1:AF52"/>
  <sheetViews>
    <sheetView showGridLines="0" zoomScaleNormal="100" workbookViewId="0">
      <selection sqref="A1:AF1"/>
    </sheetView>
  </sheetViews>
  <sheetFormatPr defaultColWidth="2.6640625" defaultRowHeight="14.4" x14ac:dyDescent="0.3"/>
  <cols>
    <col min="1" max="16384" width="2.6640625" style="125"/>
  </cols>
  <sheetData>
    <row r="1" spans="1:32" ht="18.600000000000001" thickBot="1" x14ac:dyDescent="0.35">
      <c r="A1" s="851" t="s">
        <v>800</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66"/>
    </row>
    <row r="2" spans="1:32" x14ac:dyDescent="0.3">
      <c r="A2" s="228" t="s">
        <v>1456</v>
      </c>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 customHeight="1" x14ac:dyDescent="0.3">
      <c r="A5" s="121"/>
      <c r="B5" s="872" t="s">
        <v>5928</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customFormat="1" ht="14.4" customHeight="1" x14ac:dyDescent="0.3">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15.6" x14ac:dyDescent="0.3">
      <c r="A7" s="867" t="s">
        <v>2856</v>
      </c>
      <c r="B7" s="867"/>
      <c r="C7" s="867"/>
      <c r="D7" s="867"/>
      <c r="E7" s="867"/>
      <c r="F7" s="867"/>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row>
    <row r="8" spans="1:32" ht="66" customHeight="1" x14ac:dyDescent="0.3">
      <c r="A8" s="868" t="s">
        <v>2855</v>
      </c>
      <c r="B8" s="868"/>
      <c r="C8" s="868"/>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row>
    <row r="9" spans="1:32" x14ac:dyDescent="0.3">
      <c r="A9" s="864"/>
      <c r="B9" s="864"/>
      <c r="C9" s="864"/>
      <c r="D9" s="864"/>
      <c r="E9" s="864"/>
      <c r="F9" s="864"/>
      <c r="G9" s="864"/>
      <c r="H9" s="864"/>
      <c r="I9" s="864"/>
      <c r="J9" s="864"/>
      <c r="K9" s="864"/>
      <c r="L9" s="864"/>
      <c r="M9" s="864"/>
      <c r="N9" s="864"/>
      <c r="O9" s="864"/>
      <c r="P9" s="864"/>
      <c r="Q9" s="864"/>
      <c r="R9" s="864"/>
      <c r="S9" s="864"/>
      <c r="T9" s="864"/>
      <c r="U9" s="864"/>
      <c r="V9" s="864"/>
      <c r="W9" s="864"/>
      <c r="X9" s="864"/>
      <c r="Y9" s="864"/>
      <c r="Z9" s="864"/>
      <c r="AA9" s="864"/>
      <c r="AB9" s="864"/>
      <c r="AC9" s="864"/>
      <c r="AD9" s="864"/>
      <c r="AE9" s="864"/>
      <c r="AF9" s="864"/>
    </row>
    <row r="10" spans="1:32" ht="60.6" customHeight="1" x14ac:dyDescent="0.3">
      <c r="A10" s="863" t="s">
        <v>801</v>
      </c>
      <c r="B10" s="863"/>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row>
    <row r="11" spans="1:32" x14ac:dyDescent="0.3">
      <c r="A11" s="864"/>
      <c r="B11" s="864"/>
      <c r="C11" s="864"/>
      <c r="D11" s="864"/>
      <c r="E11" s="864"/>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4"/>
      <c r="AD11" s="864"/>
      <c r="AE11" s="864"/>
      <c r="AF11" s="864"/>
    </row>
    <row r="12" spans="1:32" x14ac:dyDescent="0.3">
      <c r="A12" s="864" t="s">
        <v>802</v>
      </c>
      <c r="B12" s="864"/>
      <c r="C12" s="864"/>
      <c r="D12" s="864"/>
      <c r="E12" s="864"/>
      <c r="F12" s="864"/>
      <c r="G12" s="864"/>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64"/>
    </row>
    <row r="13" spans="1:32" x14ac:dyDescent="0.3">
      <c r="A13" s="864"/>
      <c r="B13" s="864"/>
      <c r="C13" s="864"/>
      <c r="D13" s="864"/>
      <c r="E13" s="864"/>
      <c r="F13" s="864"/>
      <c r="G13" s="864"/>
      <c r="H13" s="864"/>
      <c r="I13" s="864"/>
      <c r="J13" s="864"/>
      <c r="K13" s="864"/>
      <c r="L13" s="864"/>
      <c r="M13" s="864"/>
      <c r="N13" s="864"/>
      <c r="O13" s="864"/>
      <c r="P13" s="864"/>
      <c r="Q13" s="864"/>
      <c r="R13" s="864"/>
      <c r="S13" s="864"/>
      <c r="T13" s="864"/>
      <c r="U13" s="864"/>
      <c r="V13" s="864"/>
      <c r="W13" s="864"/>
      <c r="X13" s="864"/>
      <c r="Y13" s="864"/>
      <c r="Z13" s="864"/>
      <c r="AA13" s="864"/>
      <c r="AB13" s="864"/>
      <c r="AC13" s="864"/>
      <c r="AD13" s="864"/>
      <c r="AE13" s="864"/>
      <c r="AF13" s="864"/>
    </row>
    <row r="14" spans="1:32" ht="65.25" customHeight="1" x14ac:dyDescent="0.3">
      <c r="B14" s="126" t="s">
        <v>803</v>
      </c>
      <c r="C14" s="863" t="s">
        <v>2865</v>
      </c>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row>
    <row r="15" spans="1:32" x14ac:dyDescent="0.3">
      <c r="A15" s="864"/>
      <c r="B15" s="864"/>
      <c r="C15" s="864"/>
      <c r="D15" s="864"/>
      <c r="E15" s="864"/>
      <c r="F15" s="864"/>
      <c r="G15" s="864"/>
      <c r="H15" s="864"/>
      <c r="I15" s="864"/>
      <c r="J15" s="864"/>
      <c r="K15" s="864"/>
      <c r="L15" s="864"/>
      <c r="M15" s="864"/>
      <c r="N15" s="864"/>
      <c r="O15" s="864"/>
      <c r="P15" s="864"/>
      <c r="Q15" s="864"/>
      <c r="R15" s="864"/>
      <c r="S15" s="864"/>
      <c r="T15" s="864"/>
      <c r="U15" s="864"/>
      <c r="V15" s="864"/>
      <c r="W15" s="864"/>
      <c r="X15" s="864"/>
      <c r="Y15" s="864"/>
      <c r="Z15" s="864"/>
      <c r="AA15" s="864"/>
      <c r="AB15" s="864"/>
      <c r="AC15" s="864"/>
      <c r="AD15" s="864"/>
      <c r="AE15" s="864"/>
      <c r="AF15" s="864"/>
    </row>
    <row r="16" spans="1:32" ht="111.75" customHeight="1" x14ac:dyDescent="0.3">
      <c r="B16" s="127" t="s">
        <v>803</v>
      </c>
      <c r="C16" s="863" t="s">
        <v>3745</v>
      </c>
      <c r="D16" s="863"/>
      <c r="E16" s="863"/>
      <c r="F16" s="863"/>
      <c r="G16" s="863"/>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row>
    <row r="17" spans="1:32" x14ac:dyDescent="0.3">
      <c r="A17" s="864"/>
      <c r="B17" s="864"/>
      <c r="C17" s="864"/>
      <c r="D17" s="864"/>
      <c r="E17" s="864"/>
      <c r="F17" s="864"/>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row>
    <row r="18" spans="1:32" ht="76.5" customHeight="1" x14ac:dyDescent="0.3">
      <c r="B18" s="125" t="s">
        <v>803</v>
      </c>
      <c r="C18" s="863" t="s">
        <v>2866</v>
      </c>
      <c r="D18" s="863"/>
      <c r="E18" s="863"/>
      <c r="F18" s="863"/>
      <c r="G18" s="863"/>
      <c r="H18" s="863"/>
      <c r="I18" s="863"/>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row>
    <row r="19" spans="1:32" x14ac:dyDescent="0.3">
      <c r="A19" s="864"/>
      <c r="B19" s="864"/>
      <c r="C19" s="864"/>
      <c r="D19" s="864"/>
      <c r="E19" s="864"/>
      <c r="F19" s="864"/>
      <c r="G19" s="864"/>
      <c r="H19" s="864"/>
      <c r="I19" s="864"/>
      <c r="J19" s="864"/>
      <c r="K19" s="864"/>
      <c r="L19" s="864"/>
      <c r="M19" s="864"/>
      <c r="N19" s="864"/>
      <c r="O19" s="864"/>
      <c r="P19" s="864"/>
      <c r="Q19" s="864"/>
      <c r="R19" s="864"/>
      <c r="S19" s="864"/>
      <c r="T19" s="864"/>
      <c r="U19" s="864"/>
      <c r="V19" s="864"/>
      <c r="W19" s="864"/>
      <c r="X19" s="864"/>
      <c r="Y19" s="864"/>
      <c r="Z19" s="864"/>
      <c r="AA19" s="864"/>
      <c r="AB19" s="864"/>
      <c r="AC19" s="864"/>
      <c r="AD19" s="864"/>
      <c r="AE19" s="864"/>
      <c r="AF19" s="864"/>
    </row>
    <row r="20" spans="1:32" ht="81.75" customHeight="1" x14ac:dyDescent="0.3">
      <c r="B20" s="127" t="s">
        <v>803</v>
      </c>
      <c r="C20" s="863" t="s">
        <v>2859</v>
      </c>
      <c r="D20" s="863"/>
      <c r="E20" s="863"/>
      <c r="F20" s="863"/>
      <c r="G20" s="863"/>
      <c r="H20" s="863"/>
      <c r="I20" s="863"/>
      <c r="J20" s="863"/>
      <c r="K20" s="863"/>
      <c r="L20" s="863"/>
      <c r="M20" s="863"/>
      <c r="N20" s="863"/>
      <c r="O20" s="863"/>
      <c r="P20" s="863"/>
      <c r="Q20" s="863"/>
      <c r="R20" s="863"/>
      <c r="S20" s="863"/>
      <c r="T20" s="863"/>
      <c r="U20" s="863"/>
      <c r="V20" s="863"/>
      <c r="W20" s="863"/>
      <c r="X20" s="863"/>
      <c r="Y20" s="863"/>
      <c r="Z20" s="863"/>
      <c r="AA20" s="863"/>
      <c r="AB20" s="863"/>
      <c r="AC20" s="863"/>
      <c r="AD20" s="863"/>
      <c r="AE20" s="863"/>
      <c r="AF20" s="863"/>
    </row>
    <row r="21" spans="1:32" x14ac:dyDescent="0.3">
      <c r="B21" s="127"/>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row>
    <row r="22" spans="1:32" ht="50.25" customHeight="1" x14ac:dyDescent="0.3">
      <c r="A22" s="863" t="s">
        <v>2867</v>
      </c>
      <c r="B22" s="863"/>
      <c r="C22" s="863"/>
      <c r="D22" s="863"/>
      <c r="E22" s="863"/>
      <c r="F22" s="863"/>
      <c r="G22" s="863"/>
      <c r="H22" s="863"/>
      <c r="I22" s="863"/>
      <c r="J22" s="863"/>
      <c r="K22" s="863"/>
      <c r="L22" s="863"/>
      <c r="M22" s="863"/>
      <c r="N22" s="863"/>
      <c r="O22" s="863"/>
      <c r="P22" s="863"/>
      <c r="Q22" s="863"/>
      <c r="R22" s="863"/>
      <c r="S22" s="863"/>
      <c r="T22" s="863"/>
      <c r="U22" s="863"/>
      <c r="V22" s="863"/>
      <c r="W22" s="863"/>
      <c r="X22" s="863"/>
      <c r="Y22" s="863"/>
      <c r="Z22" s="863"/>
      <c r="AA22" s="863"/>
      <c r="AB22" s="863"/>
      <c r="AC22" s="863"/>
      <c r="AD22" s="863"/>
      <c r="AE22" s="863"/>
      <c r="AF22" s="863"/>
    </row>
    <row r="23" spans="1:32" ht="15.6" x14ac:dyDescent="0.3">
      <c r="A23" s="385"/>
      <c r="B23" s="385"/>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row>
    <row r="24" spans="1:32" x14ac:dyDescent="0.3">
      <c r="A24" s="865" t="s">
        <v>804</v>
      </c>
      <c r="B24" s="865"/>
      <c r="C24" s="865"/>
      <c r="D24" s="865"/>
      <c r="E24" s="865"/>
      <c r="F24" s="865"/>
      <c r="G24" s="865"/>
      <c r="H24" s="865"/>
      <c r="I24" s="865"/>
      <c r="J24" s="865"/>
      <c r="K24" s="865"/>
      <c r="L24" s="865"/>
      <c r="M24" s="865"/>
      <c r="N24" s="865"/>
      <c r="O24" s="865"/>
      <c r="P24" s="865"/>
      <c r="Q24" s="865"/>
      <c r="R24" s="865"/>
      <c r="S24" s="865"/>
      <c r="T24" s="865"/>
      <c r="U24" s="865"/>
      <c r="V24" s="865"/>
      <c r="W24" s="865"/>
      <c r="X24" s="865"/>
      <c r="Y24" s="865"/>
      <c r="Z24" s="865"/>
      <c r="AA24" s="865"/>
      <c r="AB24" s="865"/>
      <c r="AC24" s="865"/>
      <c r="AD24" s="865"/>
      <c r="AE24" s="865"/>
      <c r="AF24" s="865"/>
    </row>
    <row r="25" spans="1:32" ht="111" customHeight="1" x14ac:dyDescent="0.3">
      <c r="A25" s="863" t="s">
        <v>2868</v>
      </c>
      <c r="B25" s="863"/>
      <c r="C25" s="863"/>
      <c r="D25" s="863"/>
      <c r="E25" s="863"/>
      <c r="F25" s="863"/>
      <c r="G25" s="863"/>
      <c r="H25" s="863"/>
      <c r="I25" s="863"/>
      <c r="J25" s="863"/>
      <c r="K25" s="863"/>
      <c r="L25" s="863"/>
      <c r="M25" s="863"/>
      <c r="N25" s="863"/>
      <c r="O25" s="863"/>
      <c r="P25" s="863"/>
      <c r="Q25" s="863"/>
      <c r="R25" s="863"/>
      <c r="S25" s="863"/>
      <c r="T25" s="863"/>
      <c r="U25" s="863"/>
      <c r="V25" s="863"/>
      <c r="W25" s="863"/>
      <c r="X25" s="863"/>
      <c r="Y25" s="863"/>
      <c r="Z25" s="863"/>
      <c r="AA25" s="863"/>
      <c r="AB25" s="863"/>
      <c r="AC25" s="863"/>
      <c r="AD25" s="863"/>
      <c r="AE25" s="863"/>
      <c r="AF25" s="863"/>
    </row>
    <row r="26" spans="1:32" x14ac:dyDescent="0.3">
      <c r="A26" s="864"/>
      <c r="B26" s="864"/>
      <c r="C26" s="864"/>
      <c r="D26" s="864"/>
      <c r="E26" s="864"/>
      <c r="F26" s="864"/>
      <c r="G26" s="864"/>
      <c r="H26" s="864"/>
      <c r="I26" s="864"/>
      <c r="J26" s="864"/>
      <c r="K26" s="864"/>
      <c r="L26" s="864"/>
      <c r="M26" s="864"/>
      <c r="N26" s="864"/>
      <c r="O26" s="864"/>
      <c r="P26" s="864"/>
      <c r="Q26" s="864"/>
      <c r="R26" s="864"/>
      <c r="S26" s="864"/>
      <c r="T26" s="864"/>
      <c r="U26" s="864"/>
      <c r="V26" s="864"/>
      <c r="W26" s="864"/>
      <c r="X26" s="864"/>
      <c r="Y26" s="864"/>
      <c r="Z26" s="864"/>
      <c r="AA26" s="864"/>
      <c r="AB26" s="864"/>
      <c r="AC26" s="864"/>
      <c r="AD26" s="864"/>
      <c r="AE26" s="864"/>
      <c r="AF26" s="864"/>
    </row>
    <row r="27" spans="1:32" ht="84" customHeight="1" x14ac:dyDescent="0.3">
      <c r="A27" s="863" t="s">
        <v>2341</v>
      </c>
      <c r="B27" s="863"/>
      <c r="C27" s="863"/>
      <c r="D27" s="863"/>
      <c r="E27" s="863"/>
      <c r="F27" s="863"/>
      <c r="G27" s="863"/>
      <c r="H27" s="863"/>
      <c r="I27" s="863"/>
      <c r="J27" s="863"/>
      <c r="K27" s="863"/>
      <c r="L27" s="863"/>
      <c r="M27" s="863"/>
      <c r="N27" s="863"/>
      <c r="O27" s="863"/>
      <c r="P27" s="863"/>
      <c r="Q27" s="863"/>
      <c r="R27" s="863"/>
      <c r="S27" s="863"/>
      <c r="T27" s="863"/>
      <c r="U27" s="863"/>
      <c r="V27" s="863"/>
      <c r="W27" s="863"/>
      <c r="X27" s="863"/>
      <c r="Y27" s="863"/>
      <c r="Z27" s="863"/>
      <c r="AA27" s="863"/>
      <c r="AB27" s="863"/>
      <c r="AC27" s="863"/>
      <c r="AD27" s="863"/>
      <c r="AE27" s="863"/>
      <c r="AF27" s="863"/>
    </row>
    <row r="28" spans="1:32" x14ac:dyDescent="0.3">
      <c r="A28" s="129"/>
      <c r="B28" s="129"/>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29"/>
      <c r="AA28" s="129"/>
      <c r="AB28" s="129"/>
      <c r="AC28" s="129"/>
      <c r="AD28" s="129"/>
      <c r="AE28" s="129"/>
      <c r="AF28" s="129"/>
    </row>
    <row r="29" spans="1:32" ht="67.5" customHeight="1" x14ac:dyDescent="0.3">
      <c r="A29" s="863" t="s">
        <v>2342</v>
      </c>
      <c r="B29" s="863"/>
      <c r="C29" s="863"/>
      <c r="D29" s="863"/>
      <c r="E29" s="863"/>
      <c r="F29" s="863"/>
      <c r="G29" s="863"/>
      <c r="H29" s="863"/>
      <c r="I29" s="863"/>
      <c r="J29" s="863"/>
      <c r="K29" s="863"/>
      <c r="L29" s="863"/>
      <c r="M29" s="863"/>
      <c r="N29" s="863"/>
      <c r="O29" s="863"/>
      <c r="P29" s="863"/>
      <c r="Q29" s="863"/>
      <c r="R29" s="863"/>
      <c r="S29" s="863"/>
      <c r="T29" s="863"/>
      <c r="U29" s="863"/>
      <c r="V29" s="863"/>
      <c r="W29" s="863"/>
      <c r="X29" s="863"/>
      <c r="Y29" s="863"/>
      <c r="Z29" s="863"/>
      <c r="AA29" s="863"/>
      <c r="AB29" s="863"/>
      <c r="AC29" s="863"/>
      <c r="AD29" s="863"/>
      <c r="AE29" s="863"/>
      <c r="AF29" s="863"/>
    </row>
    <row r="30" spans="1:32" x14ac:dyDescent="0.3">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row>
    <row r="31" spans="1:32" ht="98.25" customHeight="1" x14ac:dyDescent="0.3">
      <c r="A31" s="863" t="s">
        <v>2343</v>
      </c>
      <c r="B31" s="863"/>
      <c r="C31" s="863"/>
      <c r="D31" s="863"/>
      <c r="E31" s="863"/>
      <c r="F31" s="863"/>
      <c r="G31" s="863"/>
      <c r="H31" s="863"/>
      <c r="I31" s="863"/>
      <c r="J31" s="863"/>
      <c r="K31" s="863"/>
      <c r="L31" s="863"/>
      <c r="M31" s="863"/>
      <c r="N31" s="863"/>
      <c r="O31" s="863"/>
      <c r="P31" s="863"/>
      <c r="Q31" s="863"/>
      <c r="R31" s="863"/>
      <c r="S31" s="863"/>
      <c r="T31" s="863"/>
      <c r="U31" s="863"/>
      <c r="V31" s="863"/>
      <c r="W31" s="863"/>
      <c r="X31" s="863"/>
      <c r="Y31" s="863"/>
      <c r="Z31" s="863"/>
      <c r="AA31" s="863"/>
      <c r="AB31" s="863"/>
      <c r="AC31" s="863"/>
      <c r="AD31" s="863"/>
      <c r="AE31" s="863"/>
      <c r="AF31" s="863"/>
    </row>
    <row r="32" spans="1:32" x14ac:dyDescent="0.3">
      <c r="A32" s="129"/>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row>
    <row r="33" spans="1:32" ht="124.5" customHeight="1" x14ac:dyDescent="0.3">
      <c r="A33" s="863" t="s">
        <v>5925</v>
      </c>
      <c r="B33" s="863"/>
      <c r="C33" s="863"/>
      <c r="D33" s="863"/>
      <c r="E33" s="863"/>
      <c r="F33" s="863"/>
      <c r="G33" s="863"/>
      <c r="H33" s="863"/>
      <c r="I33" s="863"/>
      <c r="J33" s="863"/>
      <c r="K33" s="863"/>
      <c r="L33" s="863"/>
      <c r="M33" s="863"/>
      <c r="N33" s="863"/>
      <c r="O33" s="863"/>
      <c r="P33" s="863"/>
      <c r="Q33" s="863"/>
      <c r="R33" s="863"/>
      <c r="S33" s="863"/>
      <c r="T33" s="863"/>
      <c r="U33" s="863"/>
      <c r="V33" s="863"/>
      <c r="W33" s="863"/>
      <c r="X33" s="863"/>
      <c r="Y33" s="863"/>
      <c r="Z33" s="863"/>
      <c r="AA33" s="863"/>
      <c r="AB33" s="863"/>
      <c r="AC33" s="863"/>
      <c r="AD33" s="863"/>
      <c r="AE33" s="863"/>
      <c r="AF33" s="863"/>
    </row>
    <row r="34" spans="1:32" x14ac:dyDescent="0.3">
      <c r="A34" s="129"/>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row>
    <row r="35" spans="1:32" ht="35.25" customHeight="1" x14ac:dyDescent="0.3">
      <c r="A35" s="863" t="s">
        <v>5926</v>
      </c>
      <c r="B35" s="863"/>
      <c r="C35" s="863"/>
      <c r="D35" s="863"/>
      <c r="E35" s="863"/>
      <c r="F35" s="863"/>
      <c r="G35" s="863"/>
      <c r="H35" s="863"/>
      <c r="I35" s="863"/>
      <c r="J35" s="863"/>
      <c r="K35" s="863"/>
      <c r="L35" s="863"/>
      <c r="M35" s="863"/>
      <c r="N35" s="863"/>
      <c r="O35" s="863"/>
      <c r="P35" s="863"/>
      <c r="Q35" s="863"/>
      <c r="R35" s="863"/>
      <c r="S35" s="863"/>
      <c r="T35" s="863"/>
      <c r="U35" s="863"/>
      <c r="V35" s="863"/>
      <c r="W35" s="863"/>
      <c r="X35" s="863"/>
      <c r="Y35" s="863"/>
      <c r="Z35" s="863"/>
      <c r="AA35" s="863"/>
      <c r="AB35" s="863"/>
      <c r="AC35" s="863"/>
      <c r="AD35" s="863"/>
      <c r="AE35" s="863"/>
      <c r="AF35" s="863"/>
    </row>
    <row r="36" spans="1:32" s="127" customFormat="1" x14ac:dyDescent="0.3">
      <c r="B36" s="212" t="s">
        <v>805</v>
      </c>
      <c r="C36" s="863" t="s">
        <v>2344</v>
      </c>
      <c r="D36" s="863"/>
      <c r="E36" s="863"/>
      <c r="F36" s="863"/>
      <c r="G36" s="863"/>
      <c r="H36" s="863"/>
      <c r="I36" s="863"/>
      <c r="J36" s="863"/>
      <c r="K36" s="863"/>
      <c r="L36" s="863"/>
      <c r="M36" s="863"/>
      <c r="N36" s="863"/>
      <c r="O36" s="863"/>
      <c r="P36" s="863"/>
      <c r="Q36" s="863"/>
      <c r="R36" s="863"/>
      <c r="S36" s="863"/>
      <c r="T36" s="863"/>
      <c r="U36" s="863"/>
      <c r="V36" s="863"/>
      <c r="W36" s="863"/>
      <c r="X36" s="863"/>
      <c r="Y36" s="863"/>
      <c r="Z36" s="863"/>
      <c r="AA36" s="863"/>
      <c r="AB36" s="863"/>
      <c r="AC36" s="863"/>
      <c r="AD36" s="863"/>
      <c r="AE36" s="863"/>
      <c r="AF36" s="863"/>
    </row>
    <row r="37" spans="1:32" s="127" customFormat="1" x14ac:dyDescent="0.3">
      <c r="B37" s="212" t="s">
        <v>805</v>
      </c>
      <c r="C37" s="863" t="s">
        <v>2345</v>
      </c>
      <c r="D37" s="863"/>
      <c r="E37" s="863"/>
      <c r="F37" s="863"/>
      <c r="G37" s="863"/>
      <c r="H37" s="863"/>
      <c r="I37" s="863"/>
      <c r="J37" s="863"/>
      <c r="K37" s="863"/>
      <c r="L37" s="863"/>
      <c r="M37" s="863"/>
      <c r="N37" s="863"/>
      <c r="O37" s="863"/>
      <c r="P37" s="863"/>
      <c r="Q37" s="863"/>
      <c r="R37" s="863"/>
      <c r="S37" s="863"/>
      <c r="T37" s="863"/>
      <c r="U37" s="863"/>
      <c r="V37" s="863"/>
      <c r="W37" s="863"/>
      <c r="X37" s="863"/>
      <c r="Y37" s="863"/>
      <c r="Z37" s="863"/>
      <c r="AA37" s="863"/>
      <c r="AB37" s="863"/>
      <c r="AC37" s="863"/>
      <c r="AD37" s="863"/>
      <c r="AE37" s="863"/>
      <c r="AF37" s="863"/>
    </row>
    <row r="38" spans="1:32" s="127" customFormat="1" x14ac:dyDescent="0.3">
      <c r="B38" s="212" t="s">
        <v>805</v>
      </c>
      <c r="C38" s="863" t="s">
        <v>2346</v>
      </c>
      <c r="D38" s="863"/>
      <c r="E38" s="863"/>
      <c r="F38" s="863"/>
      <c r="G38" s="863"/>
      <c r="H38" s="863"/>
      <c r="I38" s="863"/>
      <c r="J38" s="863"/>
      <c r="K38" s="863"/>
      <c r="L38" s="863"/>
      <c r="M38" s="863"/>
      <c r="N38" s="863"/>
      <c r="O38" s="863"/>
      <c r="P38" s="863"/>
      <c r="Q38" s="863"/>
      <c r="R38" s="863"/>
      <c r="S38" s="863"/>
      <c r="T38" s="863"/>
      <c r="U38" s="863"/>
      <c r="V38" s="863"/>
      <c r="W38" s="863"/>
      <c r="X38" s="863"/>
      <c r="Y38" s="863"/>
      <c r="Z38" s="863"/>
      <c r="AA38" s="863"/>
      <c r="AB38" s="863"/>
      <c r="AC38" s="863"/>
      <c r="AD38" s="863"/>
      <c r="AE38" s="863"/>
      <c r="AF38" s="863"/>
    </row>
    <row r="39" spans="1:32" s="127" customFormat="1" x14ac:dyDescent="0.3">
      <c r="B39" s="212" t="s">
        <v>805</v>
      </c>
      <c r="C39" s="863" t="s">
        <v>2347</v>
      </c>
      <c r="D39" s="863"/>
      <c r="E39" s="863"/>
      <c r="F39" s="863"/>
      <c r="G39" s="863"/>
      <c r="H39" s="863"/>
      <c r="I39" s="863"/>
      <c r="J39" s="863"/>
      <c r="K39" s="863"/>
      <c r="L39" s="863"/>
      <c r="M39" s="863"/>
      <c r="N39" s="863"/>
      <c r="O39" s="863"/>
      <c r="P39" s="863"/>
      <c r="Q39" s="863"/>
      <c r="R39" s="863"/>
      <c r="S39" s="863"/>
      <c r="T39" s="863"/>
      <c r="U39" s="863"/>
      <c r="V39" s="863"/>
      <c r="W39" s="863"/>
      <c r="X39" s="863"/>
      <c r="Y39" s="863"/>
      <c r="Z39" s="863"/>
      <c r="AA39" s="863"/>
      <c r="AB39" s="863"/>
      <c r="AC39" s="863"/>
      <c r="AD39" s="863"/>
      <c r="AE39" s="863"/>
      <c r="AF39" s="863"/>
    </row>
    <row r="40" spans="1:32" s="127" customFormat="1" x14ac:dyDescent="0.3">
      <c r="B40" s="212" t="s">
        <v>805</v>
      </c>
      <c r="C40" s="863" t="s">
        <v>2348</v>
      </c>
      <c r="D40" s="863"/>
      <c r="E40" s="863"/>
      <c r="F40" s="863"/>
      <c r="G40" s="863"/>
      <c r="H40" s="863"/>
      <c r="I40" s="863"/>
      <c r="J40" s="863"/>
      <c r="K40" s="863"/>
      <c r="L40" s="863"/>
      <c r="M40" s="863"/>
      <c r="N40" s="863"/>
      <c r="O40" s="863"/>
      <c r="P40" s="863"/>
      <c r="Q40" s="863"/>
      <c r="R40" s="863"/>
      <c r="S40" s="863"/>
      <c r="T40" s="863"/>
      <c r="U40" s="863"/>
      <c r="V40" s="863"/>
      <c r="W40" s="863"/>
      <c r="X40" s="863"/>
      <c r="Y40" s="863"/>
      <c r="Z40" s="863"/>
      <c r="AA40" s="863"/>
      <c r="AB40" s="863"/>
      <c r="AC40" s="863"/>
      <c r="AD40" s="863"/>
      <c r="AE40" s="863"/>
      <c r="AF40" s="863"/>
    </row>
    <row r="41" spans="1:32" s="127" customFormat="1" x14ac:dyDescent="0.3">
      <c r="B41" s="212" t="s">
        <v>805</v>
      </c>
      <c r="C41" s="863" t="s">
        <v>2349</v>
      </c>
      <c r="D41" s="863"/>
      <c r="E41" s="863"/>
      <c r="F41" s="863"/>
      <c r="G41" s="863"/>
      <c r="H41" s="863"/>
      <c r="I41" s="863"/>
      <c r="J41" s="863"/>
      <c r="K41" s="863"/>
      <c r="L41" s="863"/>
      <c r="M41" s="863"/>
      <c r="N41" s="863"/>
      <c r="O41" s="863"/>
      <c r="P41" s="863"/>
      <c r="Q41" s="863"/>
      <c r="R41" s="863"/>
      <c r="S41" s="863"/>
      <c r="T41" s="863"/>
      <c r="U41" s="863"/>
      <c r="V41" s="863"/>
      <c r="W41" s="863"/>
      <c r="X41" s="863"/>
      <c r="Y41" s="863"/>
      <c r="Z41" s="863"/>
      <c r="AA41" s="863"/>
      <c r="AB41" s="863"/>
      <c r="AC41" s="863"/>
      <c r="AD41" s="863"/>
      <c r="AE41" s="863"/>
      <c r="AF41" s="863"/>
    </row>
    <row r="42" spans="1:32" s="127" customFormat="1" x14ac:dyDescent="0.3">
      <c r="B42" s="212" t="s">
        <v>805</v>
      </c>
      <c r="C42" s="863" t="s">
        <v>2350</v>
      </c>
      <c r="D42" s="863"/>
      <c r="E42" s="863"/>
      <c r="F42" s="863"/>
      <c r="G42" s="863"/>
      <c r="H42" s="863"/>
      <c r="I42" s="863"/>
      <c r="J42" s="863"/>
      <c r="K42" s="863"/>
      <c r="L42" s="863"/>
      <c r="M42" s="863"/>
      <c r="N42" s="863"/>
      <c r="O42" s="863"/>
      <c r="P42" s="863"/>
      <c r="Q42" s="863"/>
      <c r="R42" s="863"/>
      <c r="S42" s="863"/>
      <c r="T42" s="863"/>
      <c r="U42" s="863"/>
      <c r="V42" s="863"/>
      <c r="W42" s="863"/>
      <c r="X42" s="863"/>
      <c r="Y42" s="863"/>
      <c r="Z42" s="863"/>
      <c r="AA42" s="863"/>
      <c r="AB42" s="863"/>
      <c r="AC42" s="863"/>
      <c r="AD42" s="863"/>
      <c r="AE42" s="863"/>
      <c r="AF42" s="863"/>
    </row>
    <row r="43" spans="1:32" s="127" customFormat="1" x14ac:dyDescent="0.3">
      <c r="B43" s="212" t="s">
        <v>805</v>
      </c>
      <c r="C43" s="863" t="s">
        <v>2351</v>
      </c>
      <c r="D43" s="863"/>
      <c r="E43" s="863"/>
      <c r="F43" s="863"/>
      <c r="G43" s="863"/>
      <c r="H43" s="863"/>
      <c r="I43" s="863"/>
      <c r="J43" s="863"/>
      <c r="K43" s="863"/>
      <c r="L43" s="863"/>
      <c r="M43" s="863"/>
      <c r="N43" s="863"/>
      <c r="O43" s="863"/>
      <c r="P43" s="863"/>
      <c r="Q43" s="863"/>
      <c r="R43" s="863"/>
      <c r="S43" s="863"/>
      <c r="T43" s="863"/>
      <c r="U43" s="863"/>
      <c r="V43" s="863"/>
      <c r="W43" s="863"/>
      <c r="X43" s="863"/>
      <c r="Y43" s="863"/>
      <c r="Z43" s="863"/>
      <c r="AA43" s="863"/>
      <c r="AB43" s="863"/>
      <c r="AC43" s="863"/>
      <c r="AD43" s="863"/>
      <c r="AE43" s="863"/>
      <c r="AF43" s="863"/>
    </row>
    <row r="44" spans="1:32" s="127" customFormat="1" x14ac:dyDescent="0.3">
      <c r="B44" s="212" t="s">
        <v>805</v>
      </c>
      <c r="C44" s="863" t="s">
        <v>2352</v>
      </c>
      <c r="D44" s="863"/>
      <c r="E44" s="863"/>
      <c r="F44" s="863"/>
      <c r="G44" s="863"/>
      <c r="H44" s="863"/>
      <c r="I44" s="863"/>
      <c r="J44" s="863"/>
      <c r="K44" s="863"/>
      <c r="L44" s="863"/>
      <c r="M44" s="863"/>
      <c r="N44" s="863"/>
      <c r="O44" s="863"/>
      <c r="P44" s="863"/>
      <c r="Q44" s="863"/>
      <c r="R44" s="863"/>
      <c r="S44" s="863"/>
      <c r="T44" s="863"/>
      <c r="U44" s="863"/>
      <c r="V44" s="863"/>
      <c r="W44" s="863"/>
      <c r="X44" s="863"/>
      <c r="Y44" s="863"/>
      <c r="Z44" s="863"/>
      <c r="AA44" s="863"/>
      <c r="AB44" s="863"/>
      <c r="AC44" s="863"/>
      <c r="AD44" s="863"/>
      <c r="AE44" s="863"/>
      <c r="AF44" s="863"/>
    </row>
    <row r="45" spans="1:32" x14ac:dyDescent="0.3">
      <c r="A45" s="864"/>
      <c r="B45" s="864"/>
      <c r="C45" s="864"/>
      <c r="D45" s="864"/>
      <c r="E45" s="864"/>
      <c r="F45" s="864"/>
      <c r="G45" s="864"/>
      <c r="H45" s="864"/>
      <c r="I45" s="864"/>
      <c r="J45" s="864"/>
      <c r="K45" s="864"/>
      <c r="L45" s="864"/>
      <c r="M45" s="864"/>
      <c r="N45" s="864"/>
      <c r="O45" s="864"/>
      <c r="P45" s="864"/>
      <c r="Q45" s="864"/>
      <c r="R45" s="864"/>
      <c r="S45" s="864"/>
      <c r="T45" s="864"/>
      <c r="U45" s="864"/>
      <c r="V45" s="864"/>
      <c r="W45" s="864"/>
      <c r="X45" s="864"/>
      <c r="Y45" s="864"/>
      <c r="Z45" s="864"/>
      <c r="AA45" s="864"/>
      <c r="AB45" s="864"/>
      <c r="AC45" s="864"/>
      <c r="AD45" s="864"/>
      <c r="AE45" s="864"/>
      <c r="AF45" s="864"/>
    </row>
    <row r="46" spans="1:32" ht="43.2" customHeight="1" x14ac:dyDescent="0.3">
      <c r="A46" s="863" t="s">
        <v>2353</v>
      </c>
      <c r="B46" s="863"/>
      <c r="C46" s="863"/>
      <c r="D46" s="863"/>
      <c r="E46" s="863"/>
      <c r="F46" s="863"/>
      <c r="G46" s="863"/>
      <c r="H46" s="863"/>
      <c r="I46" s="863"/>
      <c r="J46" s="863"/>
      <c r="K46" s="863"/>
      <c r="L46" s="863"/>
      <c r="M46" s="863"/>
      <c r="N46" s="863"/>
      <c r="O46" s="863"/>
      <c r="P46" s="863"/>
      <c r="Q46" s="863"/>
      <c r="R46" s="863"/>
      <c r="S46" s="863"/>
      <c r="T46" s="863"/>
      <c r="U46" s="863"/>
      <c r="V46" s="863"/>
      <c r="W46" s="863"/>
      <c r="X46" s="863"/>
      <c r="Y46" s="863"/>
      <c r="Z46" s="863"/>
      <c r="AA46" s="863"/>
      <c r="AB46" s="863"/>
      <c r="AC46" s="863"/>
      <c r="AD46" s="863"/>
      <c r="AE46" s="863"/>
      <c r="AF46" s="863"/>
    </row>
    <row r="47" spans="1:32" x14ac:dyDescent="0.3">
      <c r="B47" s="212" t="s">
        <v>805</v>
      </c>
      <c r="C47" s="863" t="s">
        <v>5046</v>
      </c>
      <c r="D47" s="863"/>
      <c r="E47" s="863"/>
      <c r="F47" s="863"/>
      <c r="G47" s="863"/>
      <c r="H47" s="863"/>
      <c r="I47" s="863"/>
      <c r="J47" s="863"/>
      <c r="K47" s="863"/>
      <c r="L47" s="863"/>
      <c r="M47" s="863"/>
      <c r="N47" s="863"/>
      <c r="O47" s="863"/>
      <c r="P47" s="863"/>
      <c r="Q47" s="863"/>
      <c r="R47" s="863"/>
      <c r="S47" s="863"/>
      <c r="T47" s="863"/>
      <c r="U47" s="863"/>
      <c r="V47" s="863"/>
      <c r="W47" s="863"/>
      <c r="X47" s="863"/>
      <c r="Y47" s="863"/>
      <c r="Z47" s="863"/>
      <c r="AA47" s="863"/>
      <c r="AB47" s="863"/>
      <c r="AC47" s="863"/>
      <c r="AD47" s="863"/>
      <c r="AE47" s="863"/>
      <c r="AF47" s="863"/>
    </row>
    <row r="48" spans="1:32" ht="74.25" customHeight="1" x14ac:dyDescent="0.3">
      <c r="B48" s="212" t="s">
        <v>805</v>
      </c>
      <c r="C48" s="863" t="s">
        <v>2354</v>
      </c>
      <c r="D48" s="863"/>
      <c r="E48" s="863"/>
      <c r="F48" s="863"/>
      <c r="G48" s="863"/>
      <c r="H48" s="863"/>
      <c r="I48" s="863"/>
      <c r="J48" s="863"/>
      <c r="K48" s="863"/>
      <c r="L48" s="863"/>
      <c r="M48" s="863"/>
      <c r="N48" s="863"/>
      <c r="O48" s="863"/>
      <c r="P48" s="863"/>
      <c r="Q48" s="863"/>
      <c r="R48" s="863"/>
      <c r="S48" s="863"/>
      <c r="T48" s="863"/>
      <c r="U48" s="863"/>
      <c r="V48" s="863"/>
      <c r="W48" s="863"/>
      <c r="X48" s="863"/>
      <c r="Y48" s="863"/>
      <c r="Z48" s="863"/>
      <c r="AA48" s="863"/>
      <c r="AB48" s="863"/>
      <c r="AC48" s="863"/>
      <c r="AD48" s="863"/>
      <c r="AE48" s="863"/>
      <c r="AF48" s="863"/>
    </row>
    <row r="49" spans="2:32" ht="63.75" customHeight="1" x14ac:dyDescent="0.3">
      <c r="B49" s="212" t="s">
        <v>805</v>
      </c>
      <c r="C49" s="863" t="s">
        <v>2355</v>
      </c>
      <c r="D49" s="863"/>
      <c r="E49" s="863"/>
      <c r="F49" s="863"/>
      <c r="G49" s="863"/>
      <c r="H49" s="863"/>
      <c r="I49" s="863"/>
      <c r="J49" s="863"/>
      <c r="K49" s="863"/>
      <c r="L49" s="863"/>
      <c r="M49" s="863"/>
      <c r="N49" s="863"/>
      <c r="O49" s="863"/>
      <c r="P49" s="863"/>
      <c r="Q49" s="863"/>
      <c r="R49" s="863"/>
      <c r="S49" s="863"/>
      <c r="T49" s="863"/>
      <c r="U49" s="863"/>
      <c r="V49" s="863"/>
      <c r="W49" s="863"/>
      <c r="X49" s="863"/>
      <c r="Y49" s="863"/>
      <c r="Z49" s="863"/>
      <c r="AA49" s="863"/>
      <c r="AB49" s="863"/>
      <c r="AC49" s="863"/>
      <c r="AD49" s="863"/>
      <c r="AE49" s="863"/>
      <c r="AF49" s="863"/>
    </row>
    <row r="50" spans="2:32" ht="48.75" customHeight="1" x14ac:dyDescent="0.3">
      <c r="B50" s="212" t="s">
        <v>805</v>
      </c>
      <c r="C50" s="863" t="s">
        <v>3342</v>
      </c>
      <c r="D50" s="863"/>
      <c r="E50" s="863"/>
      <c r="F50" s="863"/>
      <c r="G50" s="863"/>
      <c r="H50" s="863"/>
      <c r="I50" s="863"/>
      <c r="J50" s="863"/>
      <c r="K50" s="863"/>
      <c r="L50" s="863"/>
      <c r="M50" s="863"/>
      <c r="N50" s="863"/>
      <c r="O50" s="863"/>
      <c r="P50" s="863"/>
      <c r="Q50" s="863"/>
      <c r="R50" s="863"/>
      <c r="S50" s="863"/>
      <c r="T50" s="863"/>
      <c r="U50" s="863"/>
      <c r="V50" s="863"/>
      <c r="W50" s="863"/>
      <c r="X50" s="863"/>
      <c r="Y50" s="863"/>
      <c r="Z50" s="863"/>
      <c r="AA50" s="863"/>
      <c r="AB50" s="863"/>
      <c r="AC50" s="863"/>
      <c r="AD50" s="863"/>
      <c r="AE50" s="863"/>
      <c r="AF50" s="863"/>
    </row>
    <row r="51" spans="2:32" ht="33.75" customHeight="1" x14ac:dyDescent="0.3">
      <c r="B51" s="212" t="s">
        <v>805</v>
      </c>
      <c r="C51" s="863" t="s">
        <v>3746</v>
      </c>
      <c r="D51" s="863"/>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row>
    <row r="52" spans="2:32" ht="33" customHeight="1" x14ac:dyDescent="0.3">
      <c r="B52" s="212" t="s">
        <v>805</v>
      </c>
      <c r="C52" s="863" t="s">
        <v>4653</v>
      </c>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row>
  </sheetData>
  <sheetProtection algorithmName="SHA-512" hashValue="IYQ9+6jRm+ffmm1n58/FVRkQjdCVhUS5dSBX9LWnRbOesmS/8Qz+OWXcPMFdoWExuCtB5QkfrTpYEEVIXrCvxg==" saltValue="40LoqZzJh+u46RsZo18d1Q==" spinCount="100000" sheet="1" objects="1" scenarios="1"/>
  <mergeCells count="43">
    <mergeCell ref="A11:AF11"/>
    <mergeCell ref="A1:AF1"/>
    <mergeCell ref="A7:AF7"/>
    <mergeCell ref="A8:AF8"/>
    <mergeCell ref="A9:AF9"/>
    <mergeCell ref="A10:AF10"/>
    <mergeCell ref="A3:AF3"/>
    <mergeCell ref="B5:AF5"/>
    <mergeCell ref="A24:AF24"/>
    <mergeCell ref="A12:AF12"/>
    <mergeCell ref="A13:AF13"/>
    <mergeCell ref="C14:AF14"/>
    <mergeCell ref="A15:AF15"/>
    <mergeCell ref="C16:AF16"/>
    <mergeCell ref="A17:AF17"/>
    <mergeCell ref="C18:AF18"/>
    <mergeCell ref="A19:AF19"/>
    <mergeCell ref="C20:AF20"/>
    <mergeCell ref="A22:AF22"/>
    <mergeCell ref="C43:AF43"/>
    <mergeCell ref="A25:AF25"/>
    <mergeCell ref="A26:AF26"/>
    <mergeCell ref="A27:AF27"/>
    <mergeCell ref="C36:AF36"/>
    <mergeCell ref="C37:AF37"/>
    <mergeCell ref="C38:AF38"/>
    <mergeCell ref="C39:AF39"/>
    <mergeCell ref="C40:AF40"/>
    <mergeCell ref="C41:AF41"/>
    <mergeCell ref="C42:AF42"/>
    <mergeCell ref="A29:AF29"/>
    <mergeCell ref="A31:AF31"/>
    <mergeCell ref="A33:AF33"/>
    <mergeCell ref="A35:AF35"/>
    <mergeCell ref="C52:AF52"/>
    <mergeCell ref="C49:AF49"/>
    <mergeCell ref="C50:AF50"/>
    <mergeCell ref="C51:AF51"/>
    <mergeCell ref="C44:AF44"/>
    <mergeCell ref="A45:AF45"/>
    <mergeCell ref="A46:AF46"/>
    <mergeCell ref="C47:AF47"/>
    <mergeCell ref="C48:AF48"/>
  </mergeCells>
  <hyperlinks>
    <hyperlink ref="A2" location="TOC!A1" display="Return to TOC" xr:uid="{00000000-0004-0000-0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tabColor theme="4" tint="0.39997558519241921"/>
    <pageSetUpPr autoPageBreaks="0"/>
  </sheetPr>
  <dimension ref="A1:AF155"/>
  <sheetViews>
    <sheetView workbookViewId="0">
      <selection activeCell="A2" sqref="A2"/>
    </sheetView>
  </sheetViews>
  <sheetFormatPr defaultColWidth="2.6640625" defaultRowHeight="14.4" x14ac:dyDescent="0.3"/>
  <sheetData>
    <row r="1" spans="1:32" ht="18" x14ac:dyDescent="0.3">
      <c r="A1" s="1131" t="s">
        <v>1056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8"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503"/>
      <c r="B5" s="889" t="s">
        <v>5682</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1:32" x14ac:dyDescent="0.3">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80.25" customHeight="1" x14ac:dyDescent="0.3">
      <c r="A10" s="122"/>
      <c r="B10" s="889" t="s">
        <v>3799</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122"/>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51" customHeight="1" x14ac:dyDescent="0.3">
      <c r="A12" s="122"/>
      <c r="B12" s="889" t="s">
        <v>3899</v>
      </c>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row>
    <row r="13" spans="1:32" x14ac:dyDescent="0.3">
      <c r="A13" s="121"/>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row>
    <row r="14" spans="1:32" x14ac:dyDescent="0.3">
      <c r="A14" s="121"/>
      <c r="B14" s="1518" t="s">
        <v>4</v>
      </c>
      <c r="C14" s="1518"/>
      <c r="D14" s="1518"/>
      <c r="E14" s="1518"/>
      <c r="F14" s="1518"/>
      <c r="G14" s="1518"/>
      <c r="H14" s="1518"/>
      <c r="I14" s="1518"/>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889" t="s">
        <v>3800</v>
      </c>
      <c r="C15" s="889"/>
      <c r="D15" s="889"/>
      <c r="E15" s="889"/>
      <c r="F15" s="889"/>
      <c r="G15" s="889"/>
      <c r="H15" s="889"/>
      <c r="I15" s="889"/>
      <c r="J15" s="889"/>
      <c r="K15" s="889"/>
      <c r="L15" s="889"/>
      <c r="M15" s="889"/>
      <c r="N15" s="889"/>
      <c r="O15" s="889"/>
      <c r="P15" s="889"/>
      <c r="Q15" s="889"/>
      <c r="R15" s="889"/>
      <c r="S15" s="889"/>
      <c r="T15" s="889"/>
      <c r="U15" s="889"/>
      <c r="V15" s="889"/>
      <c r="W15" s="889"/>
      <c r="X15" s="889"/>
      <c r="Y15" s="889"/>
      <c r="Z15" s="889"/>
      <c r="AA15" s="889"/>
      <c r="AB15" s="889"/>
      <c r="AC15" s="889"/>
      <c r="AD15" s="889"/>
      <c r="AE15" s="889"/>
      <c r="AF15" s="889"/>
    </row>
    <row r="16" spans="1:32" x14ac:dyDescent="0.3">
      <c r="A16" s="121"/>
      <c r="B16" s="370" t="s">
        <v>803</v>
      </c>
      <c r="C16" s="889" t="s">
        <v>3801</v>
      </c>
      <c r="D16" s="889"/>
      <c r="E16" s="889"/>
      <c r="F16" s="889"/>
      <c r="G16" s="889"/>
      <c r="H16" s="889"/>
      <c r="I16" s="889"/>
      <c r="J16" s="889"/>
      <c r="K16" s="889"/>
      <c r="L16" s="889"/>
      <c r="M16" s="889"/>
      <c r="N16" s="889"/>
      <c r="O16" s="889"/>
      <c r="P16" s="889"/>
      <c r="Q16" s="889"/>
      <c r="R16" s="889"/>
      <c r="S16" s="889"/>
      <c r="T16" s="889"/>
      <c r="U16" s="889"/>
      <c r="V16" s="889"/>
      <c r="W16" s="889"/>
      <c r="X16" s="889"/>
      <c r="Y16" s="889"/>
      <c r="Z16" s="889"/>
      <c r="AA16" s="889"/>
      <c r="AB16" s="889"/>
      <c r="AC16" s="889"/>
      <c r="AD16" s="889"/>
      <c r="AE16" s="889"/>
      <c r="AF16" s="889"/>
    </row>
    <row r="17" spans="1:32" x14ac:dyDescent="0.3">
      <c r="A17" s="121"/>
      <c r="B17" s="370" t="s">
        <v>803</v>
      </c>
      <c r="C17" s="889" t="s">
        <v>3802</v>
      </c>
      <c r="D17" s="889"/>
      <c r="E17" s="889"/>
      <c r="F17" s="889"/>
      <c r="G17" s="889"/>
      <c r="H17" s="889"/>
      <c r="I17" s="889"/>
      <c r="J17" s="889"/>
      <c r="K17" s="889"/>
      <c r="L17" s="889"/>
      <c r="M17" s="889"/>
      <c r="N17" s="889"/>
      <c r="O17" s="889"/>
      <c r="P17" s="889"/>
      <c r="Q17" s="889"/>
      <c r="R17" s="889"/>
      <c r="S17" s="889"/>
      <c r="T17" s="889"/>
      <c r="U17" s="889"/>
      <c r="V17" s="889"/>
      <c r="W17" s="889"/>
      <c r="X17" s="889"/>
      <c r="Y17" s="889"/>
      <c r="Z17" s="889"/>
      <c r="AA17" s="889"/>
      <c r="AB17" s="889"/>
      <c r="AC17" s="889"/>
      <c r="AD17" s="889"/>
      <c r="AE17" s="889"/>
      <c r="AF17" s="889"/>
    </row>
    <row r="18" spans="1:32" ht="45.75" customHeight="1" x14ac:dyDescent="0.3">
      <c r="A18" s="121"/>
      <c r="B18" s="370" t="s">
        <v>803</v>
      </c>
      <c r="C18" s="889" t="s">
        <v>3803</v>
      </c>
      <c r="D18" s="889"/>
      <c r="E18" s="889"/>
      <c r="F18" s="889"/>
      <c r="G18" s="889"/>
      <c r="H18" s="889"/>
      <c r="I18" s="889"/>
      <c r="J18" s="889"/>
      <c r="K18" s="889"/>
      <c r="L18" s="889"/>
      <c r="M18" s="889"/>
      <c r="N18" s="889"/>
      <c r="O18" s="889"/>
      <c r="P18" s="889"/>
      <c r="Q18" s="889"/>
      <c r="R18" s="889"/>
      <c r="S18" s="889"/>
      <c r="T18" s="889"/>
      <c r="U18" s="889"/>
      <c r="V18" s="889"/>
      <c r="W18" s="889"/>
      <c r="X18" s="889"/>
      <c r="Y18" s="889"/>
      <c r="Z18" s="889"/>
      <c r="AA18" s="889"/>
      <c r="AB18" s="889"/>
      <c r="AC18" s="889"/>
      <c r="AD18" s="889"/>
      <c r="AE18" s="889"/>
      <c r="AF18" s="889"/>
    </row>
    <row r="19" spans="1:32" ht="64.5" customHeight="1" x14ac:dyDescent="0.3">
      <c r="A19" s="121"/>
      <c r="B19" s="370" t="s">
        <v>803</v>
      </c>
      <c r="C19" s="889" t="s">
        <v>3804</v>
      </c>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ht="30.75" customHeight="1" x14ac:dyDescent="0.3">
      <c r="A20" s="121"/>
      <c r="B20" s="889" t="s">
        <v>3805</v>
      </c>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row>
    <row r="21" spans="1:32" x14ac:dyDescent="0.3">
      <c r="A21" s="121"/>
      <c r="B21" s="537"/>
      <c r="C21" s="503"/>
      <c r="D21" s="503"/>
      <c r="E21" s="503"/>
      <c r="F21" s="503"/>
      <c r="G21" s="503"/>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row>
    <row r="22" spans="1:32" ht="50.25" customHeight="1" x14ac:dyDescent="0.3">
      <c r="A22" s="121"/>
      <c r="B22" s="889" t="s">
        <v>3806</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x14ac:dyDescent="0.3">
      <c r="A23" s="121"/>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ht="46.5" customHeight="1" x14ac:dyDescent="0.3">
      <c r="A24" s="121"/>
      <c r="B24" s="889" t="s">
        <v>3859</v>
      </c>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row>
    <row r="25" spans="1:32" s="1" customFormat="1" x14ac:dyDescent="0.3">
      <c r="A25" s="121"/>
      <c r="B25" s="503"/>
      <c r="C25" s="503"/>
      <c r="D25" s="503"/>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row>
    <row r="26" spans="1:32" s="1" customFormat="1" ht="79.5" customHeight="1" x14ac:dyDescent="0.3">
      <c r="A26" s="121"/>
      <c r="B26" s="889" t="s">
        <v>3860</v>
      </c>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row>
    <row r="27" spans="1:32" x14ac:dyDescent="0.3">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x14ac:dyDescent="0.3">
      <c r="A28" s="121"/>
      <c r="B28" s="1518" t="s">
        <v>5</v>
      </c>
      <c r="C28" s="1518"/>
      <c r="D28" s="1518"/>
      <c r="E28" s="1518"/>
      <c r="F28" s="1518"/>
      <c r="G28" s="1518"/>
      <c r="H28" s="1518"/>
      <c r="I28" s="1518"/>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row>
    <row r="29" spans="1:32" x14ac:dyDescent="0.3">
      <c r="A29" s="121"/>
      <c r="B29" s="1372" t="s">
        <v>3807</v>
      </c>
      <c r="C29" s="1372"/>
      <c r="D29" s="1372"/>
      <c r="E29" s="1372"/>
      <c r="F29" s="1372"/>
      <c r="G29" s="1372"/>
      <c r="H29" s="1372"/>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1372"/>
      <c r="AE29" s="1372"/>
      <c r="AF29" s="1372"/>
    </row>
    <row r="30" spans="1:32"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3">
      <c r="A31" s="121"/>
      <c r="B31" s="1518" t="s">
        <v>6</v>
      </c>
      <c r="C31" s="1518"/>
      <c r="D31" s="1518"/>
      <c r="E31" s="1518"/>
      <c r="F31" s="1518"/>
      <c r="G31" s="1518"/>
      <c r="H31" s="1518"/>
      <c r="I31" s="1518"/>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ht="113.25" customHeight="1" x14ac:dyDescent="0.3">
      <c r="A32" s="121"/>
      <c r="B32" s="889" t="s">
        <v>3808</v>
      </c>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row>
    <row r="33" spans="1:32" x14ac:dyDescent="0.3">
      <c r="A33" s="121"/>
      <c r="B33" s="267"/>
      <c r="C33" s="267"/>
      <c r="D33" s="267"/>
      <c r="E33" s="267"/>
      <c r="F33" s="267"/>
      <c r="G33" s="267"/>
      <c r="H33" s="267"/>
      <c r="I33" s="267"/>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3">
      <c r="A34" s="121"/>
      <c r="B34" s="267" t="s">
        <v>13</v>
      </c>
      <c r="C34" s="267"/>
      <c r="D34" s="267"/>
      <c r="E34" s="267"/>
      <c r="F34" s="267"/>
      <c r="G34" s="267"/>
      <c r="H34" s="267"/>
      <c r="I34" s="267"/>
      <c r="J34" s="267"/>
      <c r="K34" s="121"/>
      <c r="L34" s="121"/>
      <c r="M34" s="121"/>
      <c r="N34" s="121"/>
      <c r="O34" s="121"/>
      <c r="P34" s="121"/>
      <c r="Q34" s="121"/>
      <c r="R34" s="121"/>
      <c r="S34" s="121"/>
      <c r="T34" s="121"/>
      <c r="U34" s="121"/>
      <c r="V34" s="121"/>
      <c r="W34" s="121"/>
      <c r="X34" s="121"/>
      <c r="Y34" s="121"/>
      <c r="Z34" s="121"/>
      <c r="AA34" s="121"/>
      <c r="AB34" s="121"/>
      <c r="AC34" s="121"/>
      <c r="AD34" s="121"/>
      <c r="AE34" s="121"/>
      <c r="AF34" s="121"/>
    </row>
    <row r="35" spans="1:32" ht="34.5" customHeight="1" x14ac:dyDescent="0.3">
      <c r="A35" s="121"/>
      <c r="B35" s="889" t="s">
        <v>3809</v>
      </c>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row>
    <row r="36" spans="1:32" ht="18" x14ac:dyDescent="0.3">
      <c r="A36" s="382"/>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row>
    <row r="37" spans="1:32" x14ac:dyDescent="0.3">
      <c r="A37" s="1053" t="s">
        <v>2120</v>
      </c>
      <c r="B37" s="1054"/>
      <c r="C37" s="1054"/>
      <c r="D37" s="1054"/>
      <c r="E37" s="1054"/>
      <c r="F37" s="1054"/>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5"/>
    </row>
    <row r="38" spans="1:32" x14ac:dyDescent="0.3">
      <c r="A38" s="121"/>
      <c r="B38" s="122"/>
      <c r="C38" s="122"/>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row>
    <row r="39" spans="1:32" ht="33" customHeight="1" x14ac:dyDescent="0.3">
      <c r="A39" s="2352" t="s">
        <v>1057</v>
      </c>
      <c r="B39" s="2352"/>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2"/>
      <c r="Y39" s="2352"/>
      <c r="Z39" s="2352"/>
      <c r="AA39" s="2352"/>
      <c r="AB39" s="2352"/>
      <c r="AC39" s="2352"/>
      <c r="AD39" s="2352"/>
      <c r="AE39" s="2352"/>
      <c r="AF39" s="2352"/>
    </row>
    <row r="40" spans="1:32" x14ac:dyDescent="0.3">
      <c r="A40" s="538"/>
      <c r="B40" s="538"/>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row>
    <row r="41" spans="1:32" ht="108" customHeight="1" x14ac:dyDescent="0.3">
      <c r="A41" s="884" t="s">
        <v>3861</v>
      </c>
      <c r="B41" s="884"/>
      <c r="C41" s="884"/>
      <c r="D41" s="884"/>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4"/>
      <c r="AE41" s="884"/>
      <c r="AF41" s="884"/>
    </row>
    <row r="42" spans="1:32" x14ac:dyDescent="0.3">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row>
    <row r="43" spans="1:32" ht="33.75" customHeight="1" x14ac:dyDescent="0.3">
      <c r="A43" s="884" t="s">
        <v>2121</v>
      </c>
      <c r="B43" s="884"/>
      <c r="C43" s="884"/>
      <c r="D43" s="884"/>
      <c r="E43" s="884"/>
      <c r="F43" s="884"/>
      <c r="G43" s="884"/>
      <c r="H43" s="884"/>
      <c r="I43" s="884"/>
      <c r="J43" s="884"/>
      <c r="K43" s="884"/>
      <c r="L43" s="884"/>
      <c r="M43" s="884"/>
      <c r="N43" s="884"/>
      <c r="O43" s="884"/>
      <c r="P43" s="884"/>
      <c r="Q43" s="884"/>
      <c r="R43" s="884"/>
      <c r="S43" s="884"/>
      <c r="T43" s="884"/>
      <c r="U43" s="884"/>
      <c r="V43" s="884"/>
      <c r="W43" s="884"/>
      <c r="X43" s="884"/>
      <c r="Y43" s="884"/>
      <c r="Z43" s="884"/>
      <c r="AA43" s="884"/>
      <c r="AB43" s="884"/>
      <c r="AC43" s="884"/>
      <c r="AD43" s="884"/>
      <c r="AE43" s="884"/>
      <c r="AF43" s="884"/>
    </row>
    <row r="44" spans="1:32" x14ac:dyDescent="0.3">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row>
    <row r="45" spans="1:32" ht="147" customHeight="1" x14ac:dyDescent="0.3">
      <c r="A45" s="884" t="s">
        <v>3862</v>
      </c>
      <c r="B45" s="884"/>
      <c r="C45" s="884"/>
      <c r="D45" s="884"/>
      <c r="E45" s="884"/>
      <c r="F45" s="884"/>
      <c r="G45" s="884"/>
      <c r="H45" s="884"/>
      <c r="I45" s="884"/>
      <c r="J45" s="884"/>
      <c r="K45" s="884"/>
      <c r="L45" s="884"/>
      <c r="M45" s="884"/>
      <c r="N45" s="884"/>
      <c r="O45" s="884"/>
      <c r="P45" s="884"/>
      <c r="Q45" s="884"/>
      <c r="R45" s="884"/>
      <c r="S45" s="884"/>
      <c r="T45" s="884"/>
      <c r="U45" s="884"/>
      <c r="V45" s="884"/>
      <c r="W45" s="884"/>
      <c r="X45" s="884"/>
      <c r="Y45" s="884"/>
      <c r="Z45" s="884"/>
      <c r="AA45" s="884"/>
      <c r="AB45" s="884"/>
      <c r="AC45" s="884"/>
      <c r="AD45" s="884"/>
      <c r="AE45" s="884"/>
      <c r="AF45" s="884"/>
    </row>
    <row r="46" spans="1:32" x14ac:dyDescent="0.3">
      <c r="A46" s="58"/>
      <c r="B46" s="122"/>
      <c r="C46" s="539" t="s">
        <v>3863</v>
      </c>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row>
    <row r="47" spans="1:32" x14ac:dyDescent="0.3">
      <c r="A47" s="58"/>
      <c r="B47" s="122"/>
      <c r="C47" s="539" t="s">
        <v>3864</v>
      </c>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row>
    <row r="48" spans="1:32" x14ac:dyDescent="0.3">
      <c r="A48" s="58"/>
      <c r="B48" s="122"/>
      <c r="C48" s="539" t="s">
        <v>3865</v>
      </c>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row>
    <row r="49" spans="1:32" x14ac:dyDescent="0.3">
      <c r="A49" s="58"/>
      <c r="B49" s="122"/>
      <c r="C49" s="539" t="s">
        <v>3866</v>
      </c>
      <c r="D49" s="122"/>
      <c r="E49" s="122"/>
      <c r="F49" s="122"/>
      <c r="G49" s="122"/>
      <c r="H49" s="122"/>
      <c r="I49" s="122"/>
      <c r="J49" s="122"/>
      <c r="K49" s="122"/>
      <c r="L49" s="313"/>
      <c r="M49" s="313"/>
      <c r="N49" s="313"/>
      <c r="O49" s="313"/>
      <c r="P49" s="313"/>
      <c r="Q49" s="313"/>
      <c r="R49" s="313"/>
      <c r="S49" s="313"/>
      <c r="T49" s="313"/>
      <c r="U49" s="313"/>
      <c r="V49" s="313"/>
      <c r="W49" s="313"/>
      <c r="X49" s="313"/>
      <c r="Y49" s="313"/>
      <c r="Z49" s="313"/>
      <c r="AA49" s="313"/>
      <c r="AB49" s="313"/>
      <c r="AC49" s="313"/>
      <c r="AD49" s="313"/>
      <c r="AE49" s="313"/>
      <c r="AF49" s="313"/>
    </row>
    <row r="50" spans="1:32" x14ac:dyDescent="0.3">
      <c r="A50" s="58"/>
      <c r="B50" s="122"/>
      <c r="C50" s="539" t="s">
        <v>3867</v>
      </c>
      <c r="D50" s="122"/>
      <c r="E50" s="122"/>
      <c r="F50" s="122"/>
      <c r="G50" s="122"/>
      <c r="H50" s="122"/>
      <c r="I50" s="122"/>
      <c r="J50" s="122"/>
      <c r="K50" s="122"/>
      <c r="L50" s="313"/>
      <c r="M50" s="313"/>
      <c r="N50" s="313"/>
      <c r="O50" s="313"/>
      <c r="P50" s="313"/>
      <c r="Q50" s="313"/>
      <c r="R50" s="313"/>
      <c r="S50" s="313"/>
      <c r="T50" s="313"/>
      <c r="U50" s="313"/>
      <c r="V50" s="313"/>
      <c r="W50" s="313"/>
      <c r="X50" s="313"/>
      <c r="Y50" s="313"/>
      <c r="Z50" s="313"/>
      <c r="AA50" s="313"/>
      <c r="AB50" s="313"/>
      <c r="AC50" s="313"/>
      <c r="AD50" s="313"/>
      <c r="AE50" s="313"/>
      <c r="AF50" s="313"/>
    </row>
    <row r="51" spans="1:32" x14ac:dyDescent="0.3">
      <c r="A51" s="94"/>
      <c r="B51" s="94"/>
      <c r="C51" s="539" t="s">
        <v>3868</v>
      </c>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2" x14ac:dyDescent="0.3">
      <c r="A52" s="94"/>
      <c r="B52" s="94"/>
      <c r="C52" s="539" t="s">
        <v>3869</v>
      </c>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row>
    <row r="53" spans="1:32" x14ac:dyDescent="0.3">
      <c r="A53" s="94"/>
      <c r="B53" s="94"/>
      <c r="C53" s="539" t="s">
        <v>3870</v>
      </c>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row>
    <row r="54" spans="1:32" x14ac:dyDescent="0.3">
      <c r="A54" s="94"/>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row>
    <row r="55" spans="1:32" ht="32.25" customHeight="1" x14ac:dyDescent="0.3">
      <c r="A55" s="884" t="s">
        <v>2119</v>
      </c>
      <c r="B55" s="884"/>
      <c r="C55" s="884"/>
      <c r="D55" s="884"/>
      <c r="E55" s="884"/>
      <c r="F55" s="884"/>
      <c r="G55" s="884"/>
      <c r="H55" s="884"/>
      <c r="I55" s="884"/>
      <c r="J55" s="884"/>
      <c r="K55" s="884"/>
      <c r="L55" s="884"/>
      <c r="M55" s="884"/>
      <c r="N55" s="884"/>
      <c r="O55" s="884"/>
      <c r="P55" s="884"/>
      <c r="Q55" s="884"/>
      <c r="R55" s="884"/>
      <c r="S55" s="884"/>
      <c r="T55" s="884"/>
      <c r="U55" s="884"/>
      <c r="V55" s="884"/>
      <c r="W55" s="884"/>
      <c r="X55" s="884"/>
      <c r="Y55" s="884"/>
      <c r="Z55" s="884"/>
      <c r="AA55" s="884"/>
      <c r="AB55" s="884"/>
      <c r="AC55" s="884"/>
      <c r="AD55" s="884"/>
      <c r="AE55" s="884"/>
      <c r="AF55" s="884"/>
    </row>
    <row r="56" spans="1:32" x14ac:dyDescent="0.3">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row>
    <row r="57" spans="1:32" x14ac:dyDescent="0.3">
      <c r="A57" s="1290" t="s">
        <v>7</v>
      </c>
      <c r="B57" s="1290"/>
      <c r="C57" s="1290"/>
      <c r="D57" s="1290"/>
      <c r="E57" s="1290"/>
      <c r="F57" s="1290"/>
      <c r="G57" s="1290"/>
      <c r="H57" s="1290"/>
      <c r="I57" s="1290"/>
      <c r="J57" s="1290"/>
      <c r="K57" s="1290"/>
      <c r="L57" s="1290"/>
      <c r="M57" s="1290"/>
      <c r="N57" s="1290"/>
      <c r="O57" s="1290"/>
      <c r="P57" s="1290"/>
      <c r="Q57" s="1290"/>
      <c r="R57" s="1290"/>
      <c r="S57" s="1290"/>
      <c r="T57" s="1290"/>
      <c r="U57" s="1290"/>
      <c r="V57" s="1290"/>
      <c r="W57" s="1290"/>
      <c r="X57" s="1290"/>
      <c r="Y57" s="1290"/>
      <c r="Z57" s="1290"/>
      <c r="AA57" s="1290"/>
      <c r="AB57" s="1290"/>
      <c r="AC57" s="1290"/>
      <c r="AD57" s="1290"/>
      <c r="AE57" s="1290"/>
      <c r="AF57" s="1290"/>
    </row>
    <row r="58" spans="1:32" x14ac:dyDescent="0.3">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row>
    <row r="59" spans="1:32" x14ac:dyDescent="0.3">
      <c r="A59" s="57"/>
      <c r="B59" s="372" t="s">
        <v>3810</v>
      </c>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c r="AE59" s="57"/>
      <c r="AF59" s="57"/>
    </row>
    <row r="60" spans="1:32" x14ac:dyDescent="0.3">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row>
    <row r="61" spans="1:32" x14ac:dyDescent="0.3">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row>
    <row r="62" spans="1:32" x14ac:dyDescent="0.3">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row>
    <row r="63" spans="1:32" x14ac:dyDescent="0.3">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272" t="s">
        <v>1463</v>
      </c>
    </row>
    <row r="64" spans="1:32" x14ac:dyDescent="0.3">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row>
    <row r="65" spans="1:32" x14ac:dyDescent="0.3">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row>
    <row r="66" spans="1:32" ht="15.6" x14ac:dyDescent="0.3">
      <c r="A66" s="94"/>
      <c r="B66" s="540"/>
      <c r="C66" s="121" t="s">
        <v>3871</v>
      </c>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row>
    <row r="67" spans="1:32" x14ac:dyDescent="0.3">
      <c r="A67" s="94"/>
      <c r="B67" s="540"/>
      <c r="C67" s="121" t="s">
        <v>1036</v>
      </c>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0"/>
      <c r="AF67" s="540"/>
    </row>
    <row r="68" spans="1:32" x14ac:dyDescent="0.3">
      <c r="A68" s="94"/>
      <c r="B68" s="540"/>
      <c r="C68" s="121" t="s">
        <v>1037</v>
      </c>
      <c r="D68" s="540"/>
      <c r="E68" s="540"/>
      <c r="F68" s="540"/>
      <c r="G68" s="540"/>
      <c r="H68" s="540"/>
      <c r="I68" s="540"/>
      <c r="J68" s="540"/>
      <c r="K68" s="540"/>
      <c r="L68" s="540"/>
      <c r="M68" s="540"/>
      <c r="N68" s="540"/>
      <c r="O68" s="540"/>
      <c r="P68" s="540"/>
      <c r="Q68" s="540"/>
      <c r="R68" s="540"/>
      <c r="S68" s="540"/>
      <c r="T68" s="540"/>
      <c r="U68" s="540"/>
      <c r="V68" s="540"/>
      <c r="W68" s="540"/>
      <c r="X68" s="540"/>
      <c r="Y68" s="540"/>
      <c r="Z68" s="540"/>
      <c r="AA68" s="540"/>
      <c r="AB68" s="540"/>
      <c r="AC68" s="540"/>
      <c r="AD68" s="540"/>
      <c r="AE68" s="540"/>
      <c r="AF68" s="540"/>
    </row>
    <row r="69" spans="1:32" x14ac:dyDescent="0.3">
      <c r="A69" s="94"/>
      <c r="B69" s="540"/>
      <c r="C69" s="121" t="s">
        <v>1038</v>
      </c>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row>
    <row r="70" spans="1:32" x14ac:dyDescent="0.3">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row>
    <row r="71" spans="1:32" x14ac:dyDescent="0.3">
      <c r="A71" s="57"/>
      <c r="B71" s="372" t="s">
        <v>2135</v>
      </c>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row>
    <row r="72" spans="1:32" x14ac:dyDescent="0.3">
      <c r="A72" s="57"/>
      <c r="B72" s="372"/>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row>
    <row r="73" spans="1:32" x14ac:dyDescent="0.3">
      <c r="A73" s="57"/>
      <c r="B73" s="372"/>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272" t="s">
        <v>1464</v>
      </c>
    </row>
    <row r="74" spans="1:32" x14ac:dyDescent="0.3">
      <c r="A74" s="57"/>
      <c r="B74" s="372"/>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row>
    <row r="75" spans="1:32" x14ac:dyDescent="0.3">
      <c r="A75" s="57"/>
      <c r="B75" s="372"/>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c r="AA75" s="121"/>
      <c r="AB75" s="121"/>
      <c r="AC75" s="121"/>
      <c r="AD75" s="121"/>
      <c r="AE75" s="121"/>
      <c r="AF75" s="121"/>
    </row>
    <row r="76" spans="1:32" x14ac:dyDescent="0.3">
      <c r="A76" s="57"/>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row>
    <row r="77" spans="1:32" x14ac:dyDescent="0.3">
      <c r="A77" s="57"/>
      <c r="B77" s="372" t="s">
        <v>2136</v>
      </c>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c r="AA77" s="121"/>
      <c r="AB77" s="121"/>
      <c r="AC77" s="121"/>
      <c r="AD77" s="121"/>
      <c r="AE77" s="121"/>
      <c r="AF77" s="121"/>
    </row>
    <row r="78" spans="1:32" x14ac:dyDescent="0.3">
      <c r="A78" s="57"/>
      <c r="B78" s="372"/>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row>
    <row r="79" spans="1:32" x14ac:dyDescent="0.3">
      <c r="A79" s="57"/>
      <c r="B79" s="372"/>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272" t="s">
        <v>1465</v>
      </c>
    </row>
    <row r="80" spans="1:32" x14ac:dyDescent="0.3">
      <c r="A80" s="57"/>
      <c r="B80" s="372"/>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row>
    <row r="81" spans="1:32" x14ac:dyDescent="0.3">
      <c r="A81" s="57"/>
      <c r="B81" s="372"/>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row>
    <row r="82" spans="1:32" x14ac:dyDescent="0.3">
      <c r="A82" s="57"/>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272"/>
    </row>
    <row r="83" spans="1:32" x14ac:dyDescent="0.3">
      <c r="A83" s="57"/>
      <c r="B83" s="267" t="s">
        <v>2025</v>
      </c>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row>
    <row r="84" spans="1:32" x14ac:dyDescent="0.3">
      <c r="A84" s="57"/>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row>
    <row r="85" spans="1:32" x14ac:dyDescent="0.3">
      <c r="A85" s="57"/>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272" t="s">
        <v>1517</v>
      </c>
    </row>
    <row r="86" spans="1:32" x14ac:dyDescent="0.3">
      <c r="A86" s="57"/>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row>
    <row r="87" spans="1:32" x14ac:dyDescent="0.3">
      <c r="A87" s="57"/>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row>
    <row r="88" spans="1:32" x14ac:dyDescent="0.3">
      <c r="A88" s="57"/>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row>
    <row r="89" spans="1:32" x14ac:dyDescent="0.3">
      <c r="A89" s="57"/>
      <c r="B89" s="267" t="s">
        <v>2026</v>
      </c>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row>
    <row r="90" spans="1:32" x14ac:dyDescent="0.3">
      <c r="A90" s="57"/>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row>
    <row r="91" spans="1:32" x14ac:dyDescent="0.3">
      <c r="A91" s="57"/>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272" t="s">
        <v>1556</v>
      </c>
    </row>
    <row r="92" spans="1:32" x14ac:dyDescent="0.3">
      <c r="A92" s="57"/>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272"/>
    </row>
    <row r="93" spans="1:32" x14ac:dyDescent="0.3">
      <c r="A93" s="57"/>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272"/>
    </row>
    <row r="94" spans="1:32" x14ac:dyDescent="0.3">
      <c r="A94" s="57"/>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c r="AA94" s="121"/>
      <c r="AB94" s="121"/>
      <c r="AC94" s="121"/>
      <c r="AD94" s="121"/>
      <c r="AE94" s="121"/>
      <c r="AF94" s="272"/>
    </row>
    <row r="95" spans="1:32" x14ac:dyDescent="0.3">
      <c r="A95" s="57"/>
      <c r="B95" s="267" t="s">
        <v>3811</v>
      </c>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272"/>
    </row>
    <row r="96" spans="1:32" x14ac:dyDescent="0.3">
      <c r="A96" s="57"/>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272"/>
    </row>
    <row r="97" spans="1:32" x14ac:dyDescent="0.3">
      <c r="A97" s="57"/>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272" t="s">
        <v>1558</v>
      </c>
    </row>
    <row r="98" spans="1:32" x14ac:dyDescent="0.3">
      <c r="A98" s="57"/>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272"/>
    </row>
    <row r="99" spans="1:32" x14ac:dyDescent="0.3">
      <c r="A99" s="57"/>
      <c r="B99" s="267" t="s">
        <v>3812</v>
      </c>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272"/>
    </row>
    <row r="100" spans="1:32" x14ac:dyDescent="0.3">
      <c r="A100" s="57"/>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94"/>
    </row>
    <row r="101" spans="1:32" x14ac:dyDescent="0.3">
      <c r="A101" s="57"/>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272" t="s">
        <v>1607</v>
      </c>
    </row>
    <row r="102" spans="1:32"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3">
      <c r="A103" s="1290" t="s">
        <v>8</v>
      </c>
      <c r="B103" s="1290"/>
      <c r="C103" s="1290"/>
      <c r="D103" s="1290"/>
      <c r="E103" s="1290"/>
      <c r="F103" s="1290"/>
      <c r="G103" s="1290"/>
      <c r="H103" s="1290"/>
      <c r="I103" s="1290"/>
      <c r="J103" s="1290"/>
      <c r="K103" s="1290"/>
      <c r="L103" s="1290"/>
      <c r="M103" s="1290"/>
      <c r="N103" s="1290"/>
      <c r="O103" s="1290"/>
      <c r="P103" s="1290"/>
      <c r="Q103" s="1290"/>
      <c r="R103" s="1290"/>
      <c r="S103" s="1290"/>
      <c r="T103" s="1290"/>
      <c r="U103" s="1290"/>
      <c r="V103" s="1290"/>
      <c r="W103" s="1290"/>
      <c r="X103" s="1290"/>
      <c r="Y103" s="1290"/>
      <c r="Z103" s="1290"/>
      <c r="AA103" s="1290"/>
      <c r="AB103" s="1290"/>
      <c r="AC103" s="1290"/>
      <c r="AD103" s="1290"/>
      <c r="AE103" s="1290"/>
      <c r="AF103" s="1290"/>
    </row>
    <row r="104" spans="1:32" x14ac:dyDescent="0.3">
      <c r="A104" s="2354" t="s">
        <v>9</v>
      </c>
      <c r="B104" s="2354"/>
      <c r="C104" s="2354"/>
      <c r="D104" s="2354"/>
      <c r="E104" s="2354" t="s">
        <v>3</v>
      </c>
      <c r="F104" s="2354"/>
      <c r="G104" s="2354"/>
      <c r="H104" s="2354"/>
      <c r="I104" s="2354"/>
      <c r="J104" s="2354"/>
      <c r="K104" s="2354"/>
      <c r="L104" s="2354"/>
      <c r="M104" s="2354"/>
      <c r="N104" s="2354"/>
      <c r="O104" s="2354"/>
      <c r="P104" s="2354"/>
      <c r="Q104" s="2354" t="s">
        <v>10</v>
      </c>
      <c r="R104" s="2354"/>
      <c r="S104" s="2354"/>
      <c r="T104" s="2354"/>
      <c r="U104" s="2354" t="s">
        <v>11</v>
      </c>
      <c r="V104" s="2354"/>
      <c r="W104" s="2354" t="s">
        <v>1466</v>
      </c>
      <c r="X104" s="2354"/>
      <c r="Y104" s="2354"/>
      <c r="Z104" s="2354"/>
      <c r="AA104" s="2354"/>
      <c r="AB104" s="2354"/>
      <c r="AC104" s="2354"/>
      <c r="AD104" s="2354"/>
      <c r="AE104" s="2354"/>
      <c r="AF104" s="2354"/>
    </row>
    <row r="105" spans="1:32" ht="71.25" customHeight="1" x14ac:dyDescent="0.3">
      <c r="A105" s="1349" t="s">
        <v>3872</v>
      </c>
      <c r="B105" s="1350"/>
      <c r="C105" s="1350"/>
      <c r="D105" s="1351"/>
      <c r="E105" s="2353" t="s">
        <v>1596</v>
      </c>
      <c r="F105" s="2353"/>
      <c r="G105" s="2353"/>
      <c r="H105" s="2353"/>
      <c r="I105" s="2353"/>
      <c r="J105" s="2353"/>
      <c r="K105" s="2353"/>
      <c r="L105" s="2353"/>
      <c r="M105" s="2353"/>
      <c r="N105" s="2353"/>
      <c r="O105" s="2353"/>
      <c r="P105" s="2353"/>
      <c r="Q105" s="2140" t="s">
        <v>35</v>
      </c>
      <c r="R105" s="2141"/>
      <c r="S105" s="2141"/>
      <c r="T105" s="2142"/>
      <c r="U105" s="1514" t="s">
        <v>1597</v>
      </c>
      <c r="V105" s="1514"/>
      <c r="W105" s="1163" t="s">
        <v>3873</v>
      </c>
      <c r="X105" s="1164"/>
      <c r="Y105" s="1164"/>
      <c r="Z105" s="1164"/>
      <c r="AA105" s="1164"/>
      <c r="AB105" s="1164"/>
      <c r="AC105" s="1164"/>
      <c r="AD105" s="1164"/>
      <c r="AE105" s="1164"/>
      <c r="AF105" s="1165"/>
    </row>
    <row r="106" spans="1:32" ht="30" customHeight="1" x14ac:dyDescent="0.3">
      <c r="A106" s="1349" t="s">
        <v>3874</v>
      </c>
      <c r="B106" s="1350" t="s">
        <v>272</v>
      </c>
      <c r="C106" s="1350" t="s">
        <v>272</v>
      </c>
      <c r="D106" s="1351" t="s">
        <v>272</v>
      </c>
      <c r="E106" s="2353" t="s">
        <v>3813</v>
      </c>
      <c r="F106" s="2353" t="s">
        <v>232</v>
      </c>
      <c r="G106" s="2353" t="s">
        <v>232</v>
      </c>
      <c r="H106" s="2353" t="s">
        <v>232</v>
      </c>
      <c r="I106" s="2353" t="s">
        <v>232</v>
      </c>
      <c r="J106" s="2353" t="s">
        <v>232</v>
      </c>
      <c r="K106" s="2353" t="s">
        <v>232</v>
      </c>
      <c r="L106" s="2353" t="s">
        <v>232</v>
      </c>
      <c r="M106" s="2353" t="s">
        <v>232</v>
      </c>
      <c r="N106" s="2353" t="s">
        <v>232</v>
      </c>
      <c r="O106" s="2353" t="s">
        <v>232</v>
      </c>
      <c r="P106" s="2353" t="s">
        <v>232</v>
      </c>
      <c r="Q106" s="2140" t="s">
        <v>156</v>
      </c>
      <c r="R106" s="2141" t="s">
        <v>229</v>
      </c>
      <c r="S106" s="2141" t="s">
        <v>229</v>
      </c>
      <c r="T106" s="2142" t="s">
        <v>229</v>
      </c>
      <c r="U106" s="1514" t="s">
        <v>18</v>
      </c>
      <c r="V106" s="1514"/>
      <c r="W106" s="1163"/>
      <c r="X106" s="1164"/>
      <c r="Y106" s="1164"/>
      <c r="Z106" s="1164"/>
      <c r="AA106" s="1164"/>
      <c r="AB106" s="1164"/>
      <c r="AC106" s="1164"/>
      <c r="AD106" s="1164"/>
      <c r="AE106" s="1164"/>
      <c r="AF106" s="1165"/>
    </row>
    <row r="107" spans="1:32" ht="51.75" customHeight="1" x14ac:dyDescent="0.3">
      <c r="A107" s="1349" t="s">
        <v>3875</v>
      </c>
      <c r="B107" s="1350" t="s">
        <v>272</v>
      </c>
      <c r="C107" s="1350" t="s">
        <v>272</v>
      </c>
      <c r="D107" s="1351" t="s">
        <v>272</v>
      </c>
      <c r="E107" s="2353" t="s">
        <v>3814</v>
      </c>
      <c r="F107" s="2353" t="s">
        <v>233</v>
      </c>
      <c r="G107" s="2353" t="s">
        <v>233</v>
      </c>
      <c r="H107" s="2353" t="s">
        <v>233</v>
      </c>
      <c r="I107" s="2353" t="s">
        <v>233</v>
      </c>
      <c r="J107" s="2353" t="s">
        <v>233</v>
      </c>
      <c r="K107" s="2353" t="s">
        <v>233</v>
      </c>
      <c r="L107" s="2353" t="s">
        <v>233</v>
      </c>
      <c r="M107" s="2353" t="s">
        <v>233</v>
      </c>
      <c r="N107" s="2353" t="s">
        <v>233</v>
      </c>
      <c r="O107" s="2353" t="s">
        <v>233</v>
      </c>
      <c r="P107" s="2353" t="s">
        <v>233</v>
      </c>
      <c r="Q107" s="2140" t="s">
        <v>156</v>
      </c>
      <c r="R107" s="2141" t="s">
        <v>229</v>
      </c>
      <c r="S107" s="2141" t="s">
        <v>229</v>
      </c>
      <c r="T107" s="2142" t="s">
        <v>229</v>
      </c>
      <c r="U107" s="1514" t="s">
        <v>18</v>
      </c>
      <c r="V107" s="1514"/>
      <c r="W107" s="1163" t="s">
        <v>3815</v>
      </c>
      <c r="X107" s="1164"/>
      <c r="Y107" s="1164"/>
      <c r="Z107" s="1164"/>
      <c r="AA107" s="1164"/>
      <c r="AB107" s="1164"/>
      <c r="AC107" s="1164"/>
      <c r="AD107" s="1164"/>
      <c r="AE107" s="1164"/>
      <c r="AF107" s="1165"/>
    </row>
    <row r="108" spans="1:32" ht="30" customHeight="1" x14ac:dyDescent="0.3">
      <c r="A108" s="1349" t="s">
        <v>3876</v>
      </c>
      <c r="B108" s="1350" t="s">
        <v>518</v>
      </c>
      <c r="C108" s="1350" t="s">
        <v>518</v>
      </c>
      <c r="D108" s="1351" t="s">
        <v>518</v>
      </c>
      <c r="E108" s="2353" t="s">
        <v>3816</v>
      </c>
      <c r="F108" s="2353" t="s">
        <v>233</v>
      </c>
      <c r="G108" s="2353" t="s">
        <v>233</v>
      </c>
      <c r="H108" s="2353" t="s">
        <v>233</v>
      </c>
      <c r="I108" s="2353" t="s">
        <v>233</v>
      </c>
      <c r="J108" s="2353" t="s">
        <v>233</v>
      </c>
      <c r="K108" s="2353" t="s">
        <v>233</v>
      </c>
      <c r="L108" s="2353" t="s">
        <v>233</v>
      </c>
      <c r="M108" s="2353" t="s">
        <v>233</v>
      </c>
      <c r="N108" s="2353" t="s">
        <v>233</v>
      </c>
      <c r="O108" s="2353" t="s">
        <v>233</v>
      </c>
      <c r="P108" s="2353" t="s">
        <v>233</v>
      </c>
      <c r="Q108" s="2140" t="s">
        <v>156</v>
      </c>
      <c r="R108" s="2141" t="s">
        <v>229</v>
      </c>
      <c r="S108" s="2141" t="s">
        <v>229</v>
      </c>
      <c r="T108" s="2142" t="s">
        <v>229</v>
      </c>
      <c r="U108" s="1514" t="s">
        <v>18</v>
      </c>
      <c r="V108" s="1514"/>
      <c r="W108" s="1163" t="s">
        <v>3817</v>
      </c>
      <c r="X108" s="1164"/>
      <c r="Y108" s="1164"/>
      <c r="Z108" s="1164"/>
      <c r="AA108" s="1164"/>
      <c r="AB108" s="1164"/>
      <c r="AC108" s="1164"/>
      <c r="AD108" s="1164"/>
      <c r="AE108" s="1164"/>
      <c r="AF108" s="1165"/>
    </row>
    <row r="109" spans="1:32" ht="30" customHeight="1" x14ac:dyDescent="0.3">
      <c r="A109" s="1349" t="s">
        <v>3877</v>
      </c>
      <c r="B109" s="1350"/>
      <c r="C109" s="1350"/>
      <c r="D109" s="1351"/>
      <c r="E109" s="2353" t="s">
        <v>3818</v>
      </c>
      <c r="F109" s="2353"/>
      <c r="G109" s="2353"/>
      <c r="H109" s="2353"/>
      <c r="I109" s="2353"/>
      <c r="J109" s="2353"/>
      <c r="K109" s="2353"/>
      <c r="L109" s="2353"/>
      <c r="M109" s="2353"/>
      <c r="N109" s="2353"/>
      <c r="O109" s="2353"/>
      <c r="P109" s="2353"/>
      <c r="Q109" s="2140" t="s">
        <v>156</v>
      </c>
      <c r="R109" s="2141" t="s">
        <v>229</v>
      </c>
      <c r="S109" s="2141" t="s">
        <v>229</v>
      </c>
      <c r="T109" s="2142" t="s">
        <v>229</v>
      </c>
      <c r="U109" s="2355" t="s">
        <v>20</v>
      </c>
      <c r="V109" s="1514"/>
      <c r="W109" s="1163"/>
      <c r="X109" s="1164"/>
      <c r="Y109" s="1164"/>
      <c r="Z109" s="1164"/>
      <c r="AA109" s="1164"/>
      <c r="AB109" s="1164"/>
      <c r="AC109" s="1164"/>
      <c r="AD109" s="1164"/>
      <c r="AE109" s="1164"/>
      <c r="AF109" s="1165"/>
    </row>
    <row r="110" spans="1:32" ht="30" customHeight="1" x14ac:dyDescent="0.3">
      <c r="A110" s="1349" t="s">
        <v>3878</v>
      </c>
      <c r="B110" s="1350"/>
      <c r="C110" s="1350"/>
      <c r="D110" s="1351"/>
      <c r="E110" s="2353" t="s">
        <v>3819</v>
      </c>
      <c r="F110" s="2353"/>
      <c r="G110" s="2353"/>
      <c r="H110" s="2353"/>
      <c r="I110" s="2353"/>
      <c r="J110" s="2353"/>
      <c r="K110" s="2353"/>
      <c r="L110" s="2353"/>
      <c r="M110" s="2353"/>
      <c r="N110" s="2353"/>
      <c r="O110" s="2353"/>
      <c r="P110" s="2353"/>
      <c r="Q110" s="2140" t="s">
        <v>156</v>
      </c>
      <c r="R110" s="2141" t="s">
        <v>229</v>
      </c>
      <c r="S110" s="2141" t="s">
        <v>229</v>
      </c>
      <c r="T110" s="2142" t="s">
        <v>229</v>
      </c>
      <c r="U110" s="2355" t="s">
        <v>20</v>
      </c>
      <c r="V110" s="1514"/>
      <c r="W110" s="1163"/>
      <c r="X110" s="1164"/>
      <c r="Y110" s="1164"/>
      <c r="Z110" s="1164"/>
      <c r="AA110" s="1164"/>
      <c r="AB110" s="1164"/>
      <c r="AC110" s="1164"/>
      <c r="AD110" s="1164"/>
      <c r="AE110" s="1164"/>
      <c r="AF110" s="1165"/>
    </row>
    <row r="111" spans="1:32" ht="63.75" customHeight="1" x14ac:dyDescent="0.3">
      <c r="A111" s="1349" t="s">
        <v>3879</v>
      </c>
      <c r="B111" s="1350"/>
      <c r="C111" s="1350"/>
      <c r="D111" s="1351"/>
      <c r="E111" s="1163" t="s">
        <v>3820</v>
      </c>
      <c r="F111" s="1164"/>
      <c r="G111" s="1164"/>
      <c r="H111" s="1164"/>
      <c r="I111" s="1164"/>
      <c r="J111" s="1164"/>
      <c r="K111" s="1164"/>
      <c r="L111" s="1164"/>
      <c r="M111" s="1164"/>
      <c r="N111" s="1164"/>
      <c r="O111" s="1164"/>
      <c r="P111" s="1165"/>
      <c r="Q111" s="2140" t="s">
        <v>156</v>
      </c>
      <c r="R111" s="2141" t="s">
        <v>229</v>
      </c>
      <c r="S111" s="2141" t="s">
        <v>229</v>
      </c>
      <c r="T111" s="2142" t="s">
        <v>229</v>
      </c>
      <c r="U111" s="2355" t="s">
        <v>20</v>
      </c>
      <c r="V111" s="1514"/>
      <c r="W111" s="1163" t="s">
        <v>3821</v>
      </c>
      <c r="X111" s="1164"/>
      <c r="Y111" s="1164"/>
      <c r="Z111" s="1164"/>
      <c r="AA111" s="1164"/>
      <c r="AB111" s="1164"/>
      <c r="AC111" s="1164"/>
      <c r="AD111" s="1164"/>
      <c r="AE111" s="1164"/>
      <c r="AF111" s="1165"/>
    </row>
    <row r="112" spans="1:32" ht="63.75" customHeight="1" x14ac:dyDescent="0.3">
      <c r="A112" s="1349" t="s">
        <v>3880</v>
      </c>
      <c r="B112" s="1350"/>
      <c r="C112" s="1350"/>
      <c r="D112" s="1351"/>
      <c r="E112" s="1163" t="s">
        <v>3822</v>
      </c>
      <c r="F112" s="1164"/>
      <c r="G112" s="1164"/>
      <c r="H112" s="1164"/>
      <c r="I112" s="1164"/>
      <c r="J112" s="1164"/>
      <c r="K112" s="1164"/>
      <c r="L112" s="1164"/>
      <c r="M112" s="1164"/>
      <c r="N112" s="1164"/>
      <c r="O112" s="1164"/>
      <c r="P112" s="1165"/>
      <c r="Q112" s="2140" t="s">
        <v>156</v>
      </c>
      <c r="R112" s="2141" t="s">
        <v>229</v>
      </c>
      <c r="S112" s="2141" t="s">
        <v>229</v>
      </c>
      <c r="T112" s="2142" t="s">
        <v>229</v>
      </c>
      <c r="U112" s="2355" t="s">
        <v>20</v>
      </c>
      <c r="V112" s="1514"/>
      <c r="W112" s="1163" t="s">
        <v>3821</v>
      </c>
      <c r="X112" s="1164"/>
      <c r="Y112" s="1164"/>
      <c r="Z112" s="1164"/>
      <c r="AA112" s="1164"/>
      <c r="AB112" s="1164"/>
      <c r="AC112" s="1164"/>
      <c r="AD112" s="1164"/>
      <c r="AE112" s="1164"/>
      <c r="AF112" s="1165"/>
    </row>
    <row r="113" spans="1:32" ht="60.75" customHeight="1" x14ac:dyDescent="0.3">
      <c r="A113" s="1349" t="s">
        <v>3881</v>
      </c>
      <c r="B113" s="1350"/>
      <c r="C113" s="1350"/>
      <c r="D113" s="1351"/>
      <c r="E113" s="1163" t="s">
        <v>3823</v>
      </c>
      <c r="F113" s="1164"/>
      <c r="G113" s="1164"/>
      <c r="H113" s="1164"/>
      <c r="I113" s="1164"/>
      <c r="J113" s="1164"/>
      <c r="K113" s="1164"/>
      <c r="L113" s="1164"/>
      <c r="M113" s="1164"/>
      <c r="N113" s="1164"/>
      <c r="O113" s="1164"/>
      <c r="P113" s="1165"/>
      <c r="Q113" s="2140" t="s">
        <v>156</v>
      </c>
      <c r="R113" s="2141" t="s">
        <v>229</v>
      </c>
      <c r="S113" s="2141" t="s">
        <v>229</v>
      </c>
      <c r="T113" s="2142" t="s">
        <v>229</v>
      </c>
      <c r="U113" s="2355" t="s">
        <v>20</v>
      </c>
      <c r="V113" s="1514"/>
      <c r="W113" s="1163" t="s">
        <v>3821</v>
      </c>
      <c r="X113" s="1164"/>
      <c r="Y113" s="1164"/>
      <c r="Z113" s="1164"/>
      <c r="AA113" s="1164"/>
      <c r="AB113" s="1164"/>
      <c r="AC113" s="1164"/>
      <c r="AD113" s="1164"/>
      <c r="AE113" s="1164"/>
      <c r="AF113" s="1165"/>
    </row>
    <row r="114" spans="1:32" ht="39" customHeight="1" x14ac:dyDescent="0.3">
      <c r="A114" s="1349" t="s">
        <v>21</v>
      </c>
      <c r="B114" s="1350"/>
      <c r="C114" s="1350"/>
      <c r="D114" s="1351"/>
      <c r="E114" s="2353" t="s">
        <v>1460</v>
      </c>
      <c r="F114" s="2353"/>
      <c r="G114" s="2353"/>
      <c r="H114" s="2353"/>
      <c r="I114" s="2353"/>
      <c r="J114" s="2353"/>
      <c r="K114" s="2353"/>
      <c r="L114" s="2353"/>
      <c r="M114" s="2353"/>
      <c r="N114" s="2353"/>
      <c r="O114" s="2353"/>
      <c r="P114" s="2353"/>
      <c r="Q114" s="2140" t="s">
        <v>156</v>
      </c>
      <c r="R114" s="2141" t="s">
        <v>229</v>
      </c>
      <c r="S114" s="2141" t="s">
        <v>229</v>
      </c>
      <c r="T114" s="2142" t="s">
        <v>229</v>
      </c>
      <c r="U114" s="2355" t="s">
        <v>20</v>
      </c>
      <c r="V114" s="1514"/>
      <c r="W114" s="1163" t="s">
        <v>3824</v>
      </c>
      <c r="X114" s="1164"/>
      <c r="Y114" s="1164"/>
      <c r="Z114" s="1164"/>
      <c r="AA114" s="1164"/>
      <c r="AB114" s="1164"/>
      <c r="AC114" s="1164"/>
      <c r="AD114" s="1164"/>
      <c r="AE114" s="1164"/>
      <c r="AF114" s="1165"/>
    </row>
    <row r="115" spans="1:32" ht="54.75" customHeight="1" x14ac:dyDescent="0.3">
      <c r="A115" s="1349" t="s">
        <v>3580</v>
      </c>
      <c r="B115" s="1350"/>
      <c r="C115" s="1350"/>
      <c r="D115" s="1351"/>
      <c r="E115" s="2353" t="s">
        <v>1531</v>
      </c>
      <c r="F115" s="2353"/>
      <c r="G115" s="2353"/>
      <c r="H115" s="2353"/>
      <c r="I115" s="2353"/>
      <c r="J115" s="2353"/>
      <c r="K115" s="2353"/>
      <c r="L115" s="2353"/>
      <c r="M115" s="2353"/>
      <c r="N115" s="2353"/>
      <c r="O115" s="2353"/>
      <c r="P115" s="2353"/>
      <c r="Q115" s="2140" t="s">
        <v>156</v>
      </c>
      <c r="R115" s="2141"/>
      <c r="S115" s="2141"/>
      <c r="T115" s="2142"/>
      <c r="U115" s="2355" t="s">
        <v>20</v>
      </c>
      <c r="V115" s="1514"/>
      <c r="W115" s="1163" t="s">
        <v>3882</v>
      </c>
      <c r="X115" s="1164"/>
      <c r="Y115" s="1164"/>
      <c r="Z115" s="1164"/>
      <c r="AA115" s="1164"/>
      <c r="AB115" s="1164"/>
      <c r="AC115" s="1164"/>
      <c r="AD115" s="1164"/>
      <c r="AE115" s="1164"/>
      <c r="AF115" s="1165"/>
    </row>
    <row r="116" spans="1:32" ht="54" customHeight="1" x14ac:dyDescent="0.3">
      <c r="A116" s="1349" t="s">
        <v>3581</v>
      </c>
      <c r="B116" s="1350"/>
      <c r="C116" s="1350"/>
      <c r="D116" s="1351"/>
      <c r="E116" s="2353" t="s">
        <v>1530</v>
      </c>
      <c r="F116" s="2353"/>
      <c r="G116" s="2353"/>
      <c r="H116" s="2353"/>
      <c r="I116" s="2353"/>
      <c r="J116" s="2353"/>
      <c r="K116" s="2353"/>
      <c r="L116" s="2353"/>
      <c r="M116" s="2353"/>
      <c r="N116" s="2353"/>
      <c r="O116" s="2353"/>
      <c r="P116" s="2353"/>
      <c r="Q116" s="2140" t="s">
        <v>156</v>
      </c>
      <c r="R116" s="2141"/>
      <c r="S116" s="2141"/>
      <c r="T116" s="2142"/>
      <c r="U116" s="2355" t="s">
        <v>20</v>
      </c>
      <c r="V116" s="1514"/>
      <c r="W116" s="1163" t="s">
        <v>3882</v>
      </c>
      <c r="X116" s="1164"/>
      <c r="Y116" s="1164"/>
      <c r="Z116" s="1164"/>
      <c r="AA116" s="1164"/>
      <c r="AB116" s="1164"/>
      <c r="AC116" s="1164"/>
      <c r="AD116" s="1164"/>
      <c r="AE116" s="1164"/>
      <c r="AF116" s="1165"/>
    </row>
    <row r="117" spans="1:32" ht="65.25" customHeight="1" x14ac:dyDescent="0.3">
      <c r="A117" s="1349" t="s">
        <v>3883</v>
      </c>
      <c r="B117" s="1350" t="s">
        <v>26</v>
      </c>
      <c r="C117" s="1350" t="s">
        <v>26</v>
      </c>
      <c r="D117" s="1351" t="s">
        <v>26</v>
      </c>
      <c r="E117" s="2353" t="s">
        <v>3825</v>
      </c>
      <c r="F117" s="2353"/>
      <c r="G117" s="2353"/>
      <c r="H117" s="2353"/>
      <c r="I117" s="2353"/>
      <c r="J117" s="2353"/>
      <c r="K117" s="2353"/>
      <c r="L117" s="2353"/>
      <c r="M117" s="2353"/>
      <c r="N117" s="2353"/>
      <c r="O117" s="2353"/>
      <c r="P117" s="2353"/>
      <c r="Q117" s="2140" t="s">
        <v>156</v>
      </c>
      <c r="R117" s="2141"/>
      <c r="S117" s="2141"/>
      <c r="T117" s="2142"/>
      <c r="U117" s="1514" t="s">
        <v>38</v>
      </c>
      <c r="V117" s="1514"/>
      <c r="W117" s="854" t="s">
        <v>3884</v>
      </c>
      <c r="X117" s="854"/>
      <c r="Y117" s="854"/>
      <c r="Z117" s="854"/>
      <c r="AA117" s="854"/>
      <c r="AB117" s="854"/>
      <c r="AC117" s="854"/>
      <c r="AD117" s="854"/>
      <c r="AE117" s="854"/>
      <c r="AF117" s="854"/>
    </row>
    <row r="118" spans="1:32" ht="41.25" customHeight="1" x14ac:dyDescent="0.3">
      <c r="A118" s="1349" t="s">
        <v>1611</v>
      </c>
      <c r="B118" s="1350" t="s">
        <v>26</v>
      </c>
      <c r="C118" s="1350" t="s">
        <v>26</v>
      </c>
      <c r="D118" s="1351" t="s">
        <v>26</v>
      </c>
      <c r="E118" s="2353" t="s">
        <v>3826</v>
      </c>
      <c r="F118" s="2353"/>
      <c r="G118" s="2353"/>
      <c r="H118" s="2353"/>
      <c r="I118" s="2353"/>
      <c r="J118" s="2353"/>
      <c r="K118" s="2353"/>
      <c r="L118" s="2353"/>
      <c r="M118" s="2353"/>
      <c r="N118" s="2353"/>
      <c r="O118" s="2353"/>
      <c r="P118" s="2353"/>
      <c r="Q118" s="2140" t="s">
        <v>35</v>
      </c>
      <c r="R118" s="2141"/>
      <c r="S118" s="2141"/>
      <c r="T118" s="2142"/>
      <c r="U118" s="1514" t="s">
        <v>38</v>
      </c>
      <c r="V118" s="1514"/>
      <c r="W118" s="2353" t="s">
        <v>3885</v>
      </c>
      <c r="X118" s="854"/>
      <c r="Y118" s="854"/>
      <c r="Z118" s="854"/>
      <c r="AA118" s="854"/>
      <c r="AB118" s="854"/>
      <c r="AC118" s="854"/>
      <c r="AD118" s="854"/>
      <c r="AE118" s="854"/>
      <c r="AF118" s="854"/>
    </row>
    <row r="119" spans="1:32" ht="66.75" customHeight="1" x14ac:dyDescent="0.3">
      <c r="A119" s="1349" t="s">
        <v>3886</v>
      </c>
      <c r="B119" s="1350" t="s">
        <v>26</v>
      </c>
      <c r="C119" s="1350" t="s">
        <v>26</v>
      </c>
      <c r="D119" s="1351" t="s">
        <v>26</v>
      </c>
      <c r="E119" s="2353" t="s">
        <v>3827</v>
      </c>
      <c r="F119" s="2353"/>
      <c r="G119" s="2353"/>
      <c r="H119" s="2353"/>
      <c r="I119" s="2353"/>
      <c r="J119" s="2353"/>
      <c r="K119" s="2353"/>
      <c r="L119" s="2353"/>
      <c r="M119" s="2353"/>
      <c r="N119" s="2353"/>
      <c r="O119" s="2353"/>
      <c r="P119" s="2353"/>
      <c r="Q119" s="2140" t="s">
        <v>156</v>
      </c>
      <c r="R119" s="2141"/>
      <c r="S119" s="2141"/>
      <c r="T119" s="2142"/>
      <c r="U119" s="1514" t="s">
        <v>38</v>
      </c>
      <c r="V119" s="1514"/>
      <c r="W119" s="854" t="s">
        <v>3884</v>
      </c>
      <c r="X119" s="854"/>
      <c r="Y119" s="854"/>
      <c r="Z119" s="854"/>
      <c r="AA119" s="854"/>
      <c r="AB119" s="854"/>
      <c r="AC119" s="854"/>
      <c r="AD119" s="854"/>
      <c r="AE119" s="854"/>
      <c r="AF119" s="854"/>
    </row>
    <row r="120" spans="1:32" x14ac:dyDescent="0.3">
      <c r="A120" s="482" t="s">
        <v>3887</v>
      </c>
      <c r="B120" s="483"/>
      <c r="C120" s="483"/>
      <c r="D120" s="483"/>
      <c r="E120" s="541"/>
      <c r="F120" s="541"/>
      <c r="G120" s="541"/>
      <c r="H120" s="541"/>
      <c r="I120" s="541"/>
      <c r="J120" s="541"/>
      <c r="K120" s="541"/>
      <c r="L120" s="541"/>
      <c r="M120" s="541"/>
      <c r="N120" s="541"/>
      <c r="O120" s="541"/>
      <c r="P120" s="541"/>
      <c r="Q120" s="542"/>
      <c r="R120" s="542"/>
      <c r="S120" s="542"/>
      <c r="T120" s="542"/>
      <c r="U120" s="486"/>
      <c r="V120" s="486"/>
      <c r="W120" s="484"/>
      <c r="X120" s="484"/>
      <c r="Y120" s="484"/>
      <c r="Z120" s="484"/>
      <c r="AA120" s="484"/>
      <c r="AB120" s="484"/>
      <c r="AC120" s="484"/>
      <c r="AD120" s="484"/>
      <c r="AE120" s="484"/>
      <c r="AF120" s="484"/>
    </row>
    <row r="121" spans="1:32" x14ac:dyDescent="0.3">
      <c r="A121" s="511"/>
      <c r="B121" s="511"/>
      <c r="C121" s="511"/>
      <c r="D121" s="511"/>
      <c r="E121" s="511"/>
      <c r="F121" s="511"/>
      <c r="G121" s="511"/>
      <c r="H121" s="511"/>
      <c r="I121" s="511"/>
      <c r="J121" s="511"/>
      <c r="K121" s="511"/>
      <c r="L121" s="511"/>
      <c r="M121" s="511"/>
      <c r="N121" s="511"/>
      <c r="O121" s="511"/>
      <c r="P121" s="511"/>
      <c r="Q121" s="511"/>
      <c r="R121" s="511"/>
      <c r="S121" s="511"/>
      <c r="T121" s="511"/>
      <c r="U121" s="511"/>
      <c r="V121" s="511"/>
      <c r="W121" s="511"/>
      <c r="X121" s="511"/>
      <c r="Y121" s="511"/>
      <c r="Z121" s="511"/>
      <c r="AA121" s="511"/>
      <c r="AB121" s="511"/>
      <c r="AC121" s="511"/>
      <c r="AD121" s="511"/>
      <c r="AE121" s="511"/>
      <c r="AF121" s="511"/>
    </row>
    <row r="122" spans="1:32" x14ac:dyDescent="0.3">
      <c r="A122" s="1290" t="s">
        <v>3828</v>
      </c>
      <c r="B122" s="1290"/>
      <c r="C122" s="1290"/>
      <c r="D122" s="1290"/>
      <c r="E122" s="1290"/>
      <c r="F122" s="1290"/>
      <c r="G122" s="1290"/>
      <c r="H122" s="1290"/>
      <c r="I122" s="1290"/>
      <c r="J122" s="1290"/>
      <c r="K122" s="1290"/>
      <c r="L122" s="1290"/>
      <c r="M122" s="1290"/>
      <c r="N122" s="1290"/>
      <c r="O122" s="1290"/>
      <c r="P122" s="1290"/>
      <c r="Q122" s="1290"/>
      <c r="R122" s="1290"/>
      <c r="S122" s="1290"/>
      <c r="T122" s="1290"/>
      <c r="U122" s="1290"/>
      <c r="V122" s="1290"/>
      <c r="W122" s="1290"/>
      <c r="X122" s="1290"/>
      <c r="Y122" s="1290"/>
      <c r="Z122" s="1290"/>
      <c r="AA122" s="1290"/>
      <c r="AB122" s="1290"/>
      <c r="AC122" s="1290"/>
      <c r="AD122" s="1290"/>
      <c r="AE122" s="1290"/>
      <c r="AF122" s="1290"/>
    </row>
    <row r="123" spans="1:32"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ht="35.25" customHeight="1" x14ac:dyDescent="0.3">
      <c r="A124" s="884" t="s">
        <v>3829</v>
      </c>
      <c r="B124" s="884"/>
      <c r="C124" s="884"/>
      <c r="D124" s="884"/>
      <c r="E124" s="884"/>
      <c r="F124" s="884"/>
      <c r="G124" s="884"/>
      <c r="H124" s="884"/>
      <c r="I124" s="884"/>
      <c r="J124" s="884"/>
      <c r="K124" s="884"/>
      <c r="L124" s="884"/>
      <c r="M124" s="884"/>
      <c r="N124" s="884"/>
      <c r="O124" s="884"/>
      <c r="P124" s="884"/>
      <c r="Q124" s="884"/>
      <c r="R124" s="884"/>
      <c r="S124" s="884"/>
      <c r="T124" s="884"/>
      <c r="U124" s="884"/>
      <c r="V124" s="884"/>
      <c r="W124" s="884"/>
      <c r="X124" s="884"/>
      <c r="Y124" s="884"/>
      <c r="Z124" s="884"/>
      <c r="AA124" s="884"/>
      <c r="AB124" s="884"/>
      <c r="AC124" s="884"/>
      <c r="AD124" s="884"/>
      <c r="AE124" s="884"/>
      <c r="AF124" s="884"/>
    </row>
    <row r="125" spans="1:32"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x14ac:dyDescent="0.3">
      <c r="A126" s="2357" t="s">
        <v>3830</v>
      </c>
      <c r="B126" s="2357"/>
      <c r="C126" s="2357"/>
      <c r="D126" s="2357"/>
      <c r="E126" s="2357"/>
      <c r="F126" s="2357"/>
      <c r="G126" s="2357"/>
      <c r="H126" s="2357"/>
      <c r="I126" s="2357"/>
      <c r="J126" s="2357"/>
      <c r="K126" s="2357"/>
      <c r="L126" s="2357"/>
      <c r="M126" s="2357"/>
      <c r="N126" s="2357" t="s">
        <v>3</v>
      </c>
      <c r="O126" s="2357"/>
      <c r="P126" s="2357"/>
      <c r="Q126" s="2357"/>
      <c r="R126" s="2357"/>
      <c r="S126" s="2357"/>
      <c r="T126" s="2357"/>
      <c r="U126" s="2357"/>
      <c r="V126" s="2357"/>
      <c r="W126" s="2357"/>
      <c r="X126" s="2357"/>
      <c r="Y126" s="2357"/>
      <c r="Z126" s="2357"/>
      <c r="AA126" s="2357"/>
      <c r="AB126" s="2357"/>
      <c r="AC126" s="2357"/>
      <c r="AD126" s="2357"/>
      <c r="AE126" s="2357"/>
      <c r="AF126" s="2357"/>
    </row>
    <row r="127" spans="1:32" x14ac:dyDescent="0.3">
      <c r="A127" s="987" t="s">
        <v>3831</v>
      </c>
      <c r="B127" s="987"/>
      <c r="C127" s="987"/>
      <c r="D127" s="987"/>
      <c r="E127" s="987"/>
      <c r="F127" s="987"/>
      <c r="G127" s="987"/>
      <c r="H127" s="987"/>
      <c r="I127" s="987"/>
      <c r="J127" s="987"/>
      <c r="K127" s="987"/>
      <c r="L127" s="987"/>
      <c r="M127" s="987"/>
      <c r="N127" s="2356" t="s">
        <v>3832</v>
      </c>
      <c r="O127" s="2356"/>
      <c r="P127" s="2356"/>
      <c r="Q127" s="2356"/>
      <c r="R127" s="2356"/>
      <c r="S127" s="2356"/>
      <c r="T127" s="2356"/>
      <c r="U127" s="2356"/>
      <c r="V127" s="2356"/>
      <c r="W127" s="2356"/>
      <c r="X127" s="2356"/>
      <c r="Y127" s="2356"/>
      <c r="Z127" s="2356"/>
      <c r="AA127" s="2356"/>
      <c r="AB127" s="2356"/>
      <c r="AC127" s="2356"/>
      <c r="AD127" s="2356"/>
      <c r="AE127" s="2356"/>
      <c r="AF127" s="2356"/>
    </row>
    <row r="128" spans="1:32" ht="30" customHeight="1" x14ac:dyDescent="0.3">
      <c r="A128" s="987" t="s">
        <v>3833</v>
      </c>
      <c r="B128" s="987"/>
      <c r="C128" s="987"/>
      <c r="D128" s="987"/>
      <c r="E128" s="987"/>
      <c r="F128" s="987"/>
      <c r="G128" s="987"/>
      <c r="H128" s="987"/>
      <c r="I128" s="987"/>
      <c r="J128" s="987"/>
      <c r="K128" s="987"/>
      <c r="L128" s="987"/>
      <c r="M128" s="987"/>
      <c r="N128" s="2356" t="s">
        <v>3834</v>
      </c>
      <c r="O128" s="2356"/>
      <c r="P128" s="2356"/>
      <c r="Q128" s="2356"/>
      <c r="R128" s="2356"/>
      <c r="S128" s="2356"/>
      <c r="T128" s="2356"/>
      <c r="U128" s="2356"/>
      <c r="V128" s="2356"/>
      <c r="W128" s="2356"/>
      <c r="X128" s="2356"/>
      <c r="Y128" s="2356"/>
      <c r="Z128" s="2356"/>
      <c r="AA128" s="2356"/>
      <c r="AB128" s="2356"/>
      <c r="AC128" s="2356"/>
      <c r="AD128" s="2356"/>
      <c r="AE128" s="2356"/>
      <c r="AF128" s="2356"/>
    </row>
    <row r="129" spans="1:32" ht="30" customHeight="1" x14ac:dyDescent="0.3">
      <c r="A129" s="987" t="s">
        <v>3835</v>
      </c>
      <c r="B129" s="987"/>
      <c r="C129" s="987"/>
      <c r="D129" s="987"/>
      <c r="E129" s="987"/>
      <c r="F129" s="987"/>
      <c r="G129" s="987"/>
      <c r="H129" s="987"/>
      <c r="I129" s="987"/>
      <c r="J129" s="987"/>
      <c r="K129" s="987"/>
      <c r="L129" s="987"/>
      <c r="M129" s="987"/>
      <c r="N129" s="2356" t="s">
        <v>3836</v>
      </c>
      <c r="O129" s="2356"/>
      <c r="P129" s="2356"/>
      <c r="Q129" s="2356"/>
      <c r="R129" s="2356"/>
      <c r="S129" s="2356"/>
      <c r="T129" s="2356"/>
      <c r="U129" s="2356"/>
      <c r="V129" s="2356"/>
      <c r="W129" s="2356"/>
      <c r="X129" s="2356"/>
      <c r="Y129" s="2356"/>
      <c r="Z129" s="2356"/>
      <c r="AA129" s="2356"/>
      <c r="AB129" s="2356"/>
      <c r="AC129" s="2356"/>
      <c r="AD129" s="2356"/>
      <c r="AE129" s="2356"/>
      <c r="AF129" s="2356"/>
    </row>
    <row r="130" spans="1:32" x14ac:dyDescent="0.3">
      <c r="A130" s="987" t="s">
        <v>3837</v>
      </c>
      <c r="B130" s="987"/>
      <c r="C130" s="987"/>
      <c r="D130" s="987"/>
      <c r="E130" s="987"/>
      <c r="F130" s="987"/>
      <c r="G130" s="987"/>
      <c r="H130" s="987"/>
      <c r="I130" s="987"/>
      <c r="J130" s="987"/>
      <c r="K130" s="987"/>
      <c r="L130" s="987"/>
      <c r="M130" s="987"/>
      <c r="N130" s="2356" t="s">
        <v>3838</v>
      </c>
      <c r="O130" s="2356"/>
      <c r="P130" s="2356"/>
      <c r="Q130" s="2356"/>
      <c r="R130" s="2356"/>
      <c r="S130" s="2356"/>
      <c r="T130" s="2356"/>
      <c r="U130" s="2356"/>
      <c r="V130" s="2356"/>
      <c r="W130" s="2356"/>
      <c r="X130" s="2356"/>
      <c r="Y130" s="2356"/>
      <c r="Z130" s="2356"/>
      <c r="AA130" s="2356"/>
      <c r="AB130" s="2356"/>
      <c r="AC130" s="2356"/>
      <c r="AD130" s="2356"/>
      <c r="AE130" s="2356"/>
      <c r="AF130" s="2356"/>
    </row>
    <row r="131" spans="1:32" x14ac:dyDescent="0.3">
      <c r="A131" s="987" t="s">
        <v>3839</v>
      </c>
      <c r="B131" s="987"/>
      <c r="C131" s="987"/>
      <c r="D131" s="987"/>
      <c r="E131" s="987"/>
      <c r="F131" s="987"/>
      <c r="G131" s="987"/>
      <c r="H131" s="987"/>
      <c r="I131" s="987"/>
      <c r="J131" s="987"/>
      <c r="K131" s="987"/>
      <c r="L131" s="987"/>
      <c r="M131" s="987"/>
      <c r="N131" s="2356" t="s">
        <v>3840</v>
      </c>
      <c r="O131" s="2356"/>
      <c r="P131" s="2356"/>
      <c r="Q131" s="2356"/>
      <c r="R131" s="2356"/>
      <c r="S131" s="2356"/>
      <c r="T131" s="2356"/>
      <c r="U131" s="2356"/>
      <c r="V131" s="2356"/>
      <c r="W131" s="2356"/>
      <c r="X131" s="2356"/>
      <c r="Y131" s="2356"/>
      <c r="Z131" s="2356"/>
      <c r="AA131" s="2356"/>
      <c r="AB131" s="2356"/>
      <c r="AC131" s="2356"/>
      <c r="AD131" s="2356"/>
      <c r="AE131" s="2356"/>
      <c r="AF131" s="2356"/>
    </row>
    <row r="132" spans="1:32" x14ac:dyDescent="0.3">
      <c r="A132" s="987" t="s">
        <v>3841</v>
      </c>
      <c r="B132" s="987"/>
      <c r="C132" s="987"/>
      <c r="D132" s="987"/>
      <c r="E132" s="987"/>
      <c r="F132" s="987"/>
      <c r="G132" s="987"/>
      <c r="H132" s="987"/>
      <c r="I132" s="987"/>
      <c r="J132" s="987"/>
      <c r="K132" s="987"/>
      <c r="L132" s="987"/>
      <c r="M132" s="987"/>
      <c r="N132" s="2356" t="s">
        <v>3842</v>
      </c>
      <c r="O132" s="2356"/>
      <c r="P132" s="2356"/>
      <c r="Q132" s="2356"/>
      <c r="R132" s="2356"/>
      <c r="S132" s="2356"/>
      <c r="T132" s="2356"/>
      <c r="U132" s="2356"/>
      <c r="V132" s="2356"/>
      <c r="W132" s="2356"/>
      <c r="X132" s="2356"/>
      <c r="Y132" s="2356"/>
      <c r="Z132" s="2356"/>
      <c r="AA132" s="2356"/>
      <c r="AB132" s="2356"/>
      <c r="AC132" s="2356"/>
      <c r="AD132" s="2356"/>
      <c r="AE132" s="2356"/>
      <c r="AF132" s="2356"/>
    </row>
    <row r="133" spans="1:32" x14ac:dyDescent="0.3">
      <c r="A133" s="987" t="s">
        <v>3843</v>
      </c>
      <c r="B133" s="987"/>
      <c r="C133" s="987"/>
      <c r="D133" s="987"/>
      <c r="E133" s="987"/>
      <c r="F133" s="987"/>
      <c r="G133" s="987"/>
      <c r="H133" s="987"/>
      <c r="I133" s="987"/>
      <c r="J133" s="987"/>
      <c r="K133" s="987"/>
      <c r="L133" s="987"/>
      <c r="M133" s="987"/>
      <c r="N133" s="2356" t="s">
        <v>3844</v>
      </c>
      <c r="O133" s="2356"/>
      <c r="P133" s="2356"/>
      <c r="Q133" s="2356"/>
      <c r="R133" s="2356"/>
      <c r="S133" s="2356"/>
      <c r="T133" s="2356"/>
      <c r="U133" s="2356"/>
      <c r="V133" s="2356"/>
      <c r="W133" s="2356"/>
      <c r="X133" s="2356"/>
      <c r="Y133" s="2356"/>
      <c r="Z133" s="2356"/>
      <c r="AA133" s="2356"/>
      <c r="AB133" s="2356"/>
      <c r="AC133" s="2356"/>
      <c r="AD133" s="2356"/>
      <c r="AE133" s="2356"/>
      <c r="AF133" s="2356"/>
    </row>
    <row r="134" spans="1:32" x14ac:dyDescent="0.3">
      <c r="A134" s="987" t="s">
        <v>3845</v>
      </c>
      <c r="B134" s="987"/>
      <c r="C134" s="987"/>
      <c r="D134" s="987"/>
      <c r="E134" s="987"/>
      <c r="F134" s="987"/>
      <c r="G134" s="987"/>
      <c r="H134" s="987"/>
      <c r="I134" s="987"/>
      <c r="J134" s="987"/>
      <c r="K134" s="987"/>
      <c r="L134" s="987"/>
      <c r="M134" s="987"/>
      <c r="N134" s="2356" t="s">
        <v>3846</v>
      </c>
      <c r="O134" s="2356"/>
      <c r="P134" s="2356"/>
      <c r="Q134" s="2356"/>
      <c r="R134" s="2356"/>
      <c r="S134" s="2356"/>
      <c r="T134" s="2356"/>
      <c r="U134" s="2356"/>
      <c r="V134" s="2356"/>
      <c r="W134" s="2356"/>
      <c r="X134" s="2356"/>
      <c r="Y134" s="2356"/>
      <c r="Z134" s="2356"/>
      <c r="AA134" s="2356"/>
      <c r="AB134" s="2356"/>
      <c r="AC134" s="2356"/>
      <c r="AD134" s="2356"/>
      <c r="AE134" s="2356"/>
      <c r="AF134" s="2356"/>
    </row>
    <row r="135" spans="1:32" x14ac:dyDescent="0.3">
      <c r="A135" s="987" t="s">
        <v>3847</v>
      </c>
      <c r="B135" s="987"/>
      <c r="C135" s="987"/>
      <c r="D135" s="987"/>
      <c r="E135" s="987"/>
      <c r="F135" s="987"/>
      <c r="G135" s="987"/>
      <c r="H135" s="987"/>
      <c r="I135" s="987"/>
      <c r="J135" s="987"/>
      <c r="K135" s="987"/>
      <c r="L135" s="987"/>
      <c r="M135" s="987"/>
      <c r="N135" s="2356" t="s">
        <v>3888</v>
      </c>
      <c r="O135" s="2356"/>
      <c r="P135" s="2356"/>
      <c r="Q135" s="2356"/>
      <c r="R135" s="2356"/>
      <c r="S135" s="2356"/>
      <c r="T135" s="2356"/>
      <c r="U135" s="2356"/>
      <c r="V135" s="2356"/>
      <c r="W135" s="2356"/>
      <c r="X135" s="2356"/>
      <c r="Y135" s="2356"/>
      <c r="Z135" s="2356"/>
      <c r="AA135" s="2356"/>
      <c r="AB135" s="2356"/>
      <c r="AC135" s="2356"/>
      <c r="AD135" s="2356"/>
      <c r="AE135" s="2356"/>
      <c r="AF135" s="2356"/>
    </row>
    <row r="136" spans="1:32" x14ac:dyDescent="0.3">
      <c r="A136" s="987" t="s">
        <v>3848</v>
      </c>
      <c r="B136" s="987"/>
      <c r="C136" s="987"/>
      <c r="D136" s="987"/>
      <c r="E136" s="987"/>
      <c r="F136" s="987"/>
      <c r="G136" s="987"/>
      <c r="H136" s="987"/>
      <c r="I136" s="987"/>
      <c r="J136" s="987"/>
      <c r="K136" s="987"/>
      <c r="L136" s="987"/>
      <c r="M136" s="987"/>
      <c r="N136" s="2356" t="s">
        <v>3889</v>
      </c>
      <c r="O136" s="2356"/>
      <c r="P136" s="2356"/>
      <c r="Q136" s="2356"/>
      <c r="R136" s="2356"/>
      <c r="S136" s="2356"/>
      <c r="T136" s="2356"/>
      <c r="U136" s="2356"/>
      <c r="V136" s="2356"/>
      <c r="W136" s="2356"/>
      <c r="X136" s="2356"/>
      <c r="Y136" s="2356"/>
      <c r="Z136" s="2356"/>
      <c r="AA136" s="2356"/>
      <c r="AB136" s="2356"/>
      <c r="AC136" s="2356"/>
      <c r="AD136" s="2356"/>
      <c r="AE136" s="2356"/>
      <c r="AF136" s="2356"/>
    </row>
    <row r="137" spans="1:32" x14ac:dyDescent="0.3">
      <c r="A137" s="987" t="s">
        <v>3849</v>
      </c>
      <c r="B137" s="987"/>
      <c r="C137" s="987"/>
      <c r="D137" s="987"/>
      <c r="E137" s="987"/>
      <c r="F137" s="987"/>
      <c r="G137" s="987"/>
      <c r="H137" s="987"/>
      <c r="I137" s="987"/>
      <c r="J137" s="987"/>
      <c r="K137" s="987"/>
      <c r="L137" s="987"/>
      <c r="M137" s="987"/>
      <c r="N137" s="2356" t="s">
        <v>3890</v>
      </c>
      <c r="O137" s="2356"/>
      <c r="P137" s="2356"/>
      <c r="Q137" s="2356"/>
      <c r="R137" s="2356"/>
      <c r="S137" s="2356"/>
      <c r="T137" s="2356"/>
      <c r="U137" s="2356"/>
      <c r="V137" s="2356"/>
      <c r="W137" s="2356"/>
      <c r="X137" s="2356"/>
      <c r="Y137" s="2356"/>
      <c r="Z137" s="2356"/>
      <c r="AA137" s="2356"/>
      <c r="AB137" s="2356"/>
      <c r="AC137" s="2356"/>
      <c r="AD137" s="2356"/>
      <c r="AE137" s="2356"/>
      <c r="AF137" s="2356"/>
    </row>
    <row r="138" spans="1:32" x14ac:dyDescent="0.3">
      <c r="A138" s="987" t="s">
        <v>3850</v>
      </c>
      <c r="B138" s="987"/>
      <c r="C138" s="987"/>
      <c r="D138" s="987"/>
      <c r="E138" s="987"/>
      <c r="F138" s="987"/>
      <c r="G138" s="987"/>
      <c r="H138" s="987"/>
      <c r="I138" s="987"/>
      <c r="J138" s="987"/>
      <c r="K138" s="987"/>
      <c r="L138" s="987"/>
      <c r="M138" s="987"/>
      <c r="N138" s="2356" t="s">
        <v>3891</v>
      </c>
      <c r="O138" s="2356"/>
      <c r="P138" s="2356"/>
      <c r="Q138" s="2356"/>
      <c r="R138" s="2356"/>
      <c r="S138" s="2356"/>
      <c r="T138" s="2356"/>
      <c r="U138" s="2356"/>
      <c r="V138" s="2356"/>
      <c r="W138" s="2356"/>
      <c r="X138" s="2356"/>
      <c r="Y138" s="2356"/>
      <c r="Z138" s="2356"/>
      <c r="AA138" s="2356"/>
      <c r="AB138" s="2356"/>
      <c r="AC138" s="2356"/>
      <c r="AD138" s="2356"/>
      <c r="AE138" s="2356"/>
      <c r="AF138" s="2356"/>
    </row>
    <row r="139" spans="1:32" x14ac:dyDescent="0.3">
      <c r="A139" s="987" t="s">
        <v>3851</v>
      </c>
      <c r="B139" s="987"/>
      <c r="C139" s="987"/>
      <c r="D139" s="987"/>
      <c r="E139" s="987"/>
      <c r="F139" s="987"/>
      <c r="G139" s="987"/>
      <c r="H139" s="987"/>
      <c r="I139" s="987"/>
      <c r="J139" s="987"/>
      <c r="K139" s="987"/>
      <c r="L139" s="987"/>
      <c r="M139" s="987"/>
      <c r="N139" s="2356" t="s">
        <v>3892</v>
      </c>
      <c r="O139" s="2356"/>
      <c r="P139" s="2356"/>
      <c r="Q139" s="2356"/>
      <c r="R139" s="2356"/>
      <c r="S139" s="2356"/>
      <c r="T139" s="2356"/>
      <c r="U139" s="2356"/>
      <c r="V139" s="2356"/>
      <c r="W139" s="2356"/>
      <c r="X139" s="2356"/>
      <c r="Y139" s="2356"/>
      <c r="Z139" s="2356"/>
      <c r="AA139" s="2356"/>
      <c r="AB139" s="2356"/>
      <c r="AC139" s="2356"/>
      <c r="AD139" s="2356"/>
      <c r="AE139" s="2356"/>
      <c r="AF139" s="2356"/>
    </row>
    <row r="140" spans="1:32" x14ac:dyDescent="0.3">
      <c r="A140" s="987" t="s">
        <v>3893</v>
      </c>
      <c r="B140" s="987"/>
      <c r="C140" s="987"/>
      <c r="D140" s="987"/>
      <c r="E140" s="987"/>
      <c r="F140" s="987"/>
      <c r="G140" s="987"/>
      <c r="H140" s="987"/>
      <c r="I140" s="987"/>
      <c r="J140" s="987"/>
      <c r="K140" s="987"/>
      <c r="L140" s="987"/>
      <c r="M140" s="987"/>
      <c r="N140" s="2356" t="s">
        <v>3852</v>
      </c>
      <c r="O140" s="2356"/>
      <c r="P140" s="2356"/>
      <c r="Q140" s="2356"/>
      <c r="R140" s="2356"/>
      <c r="S140" s="2356"/>
      <c r="T140" s="2356"/>
      <c r="U140" s="2356"/>
      <c r="V140" s="2356"/>
      <c r="W140" s="2356"/>
      <c r="X140" s="2356"/>
      <c r="Y140" s="2356"/>
      <c r="Z140" s="2356"/>
      <c r="AA140" s="2356"/>
      <c r="AB140" s="2356"/>
      <c r="AC140" s="2356"/>
      <c r="AD140" s="2356"/>
      <c r="AE140" s="2356"/>
      <c r="AF140" s="2356"/>
    </row>
    <row r="141" spans="1:32" x14ac:dyDescent="0.3">
      <c r="A141" s="987" t="s">
        <v>3853</v>
      </c>
      <c r="B141" s="987"/>
      <c r="C141" s="987"/>
      <c r="D141" s="987"/>
      <c r="E141" s="987"/>
      <c r="F141" s="987"/>
      <c r="G141" s="987"/>
      <c r="H141" s="987"/>
      <c r="I141" s="987"/>
      <c r="J141" s="987"/>
      <c r="K141" s="987"/>
      <c r="L141" s="987"/>
      <c r="M141" s="987"/>
      <c r="N141" s="2356" t="s">
        <v>3894</v>
      </c>
      <c r="O141" s="2356"/>
      <c r="P141" s="2356"/>
      <c r="Q141" s="2356"/>
      <c r="R141" s="2356"/>
      <c r="S141" s="2356"/>
      <c r="T141" s="2356"/>
      <c r="U141" s="2356"/>
      <c r="V141" s="2356"/>
      <c r="W141" s="2356"/>
      <c r="X141" s="2356"/>
      <c r="Y141" s="2356"/>
      <c r="Z141" s="2356"/>
      <c r="AA141" s="2356"/>
      <c r="AB141" s="2356"/>
      <c r="AC141" s="2356"/>
      <c r="AD141" s="2356"/>
      <c r="AE141" s="2356"/>
      <c r="AF141" s="2356"/>
    </row>
    <row r="142" spans="1:32" x14ac:dyDescent="0.3">
      <c r="A142" s="987" t="s">
        <v>3854</v>
      </c>
      <c r="B142" s="987"/>
      <c r="C142" s="987"/>
      <c r="D142" s="987"/>
      <c r="E142" s="987"/>
      <c r="F142" s="987"/>
      <c r="G142" s="987"/>
      <c r="H142" s="987"/>
      <c r="I142" s="987"/>
      <c r="J142" s="987"/>
      <c r="K142" s="987"/>
      <c r="L142" s="987"/>
      <c r="M142" s="987"/>
      <c r="N142" s="2356" t="s">
        <v>3895</v>
      </c>
      <c r="O142" s="2356"/>
      <c r="P142" s="2356"/>
      <c r="Q142" s="2356"/>
      <c r="R142" s="2356"/>
      <c r="S142" s="2356"/>
      <c r="T142" s="2356"/>
      <c r="U142" s="2356"/>
      <c r="V142" s="2356"/>
      <c r="W142" s="2356"/>
      <c r="X142" s="2356"/>
      <c r="Y142" s="2356"/>
      <c r="Z142" s="2356"/>
      <c r="AA142" s="2356"/>
      <c r="AB142" s="2356"/>
      <c r="AC142" s="2356"/>
      <c r="AD142" s="2356"/>
      <c r="AE142" s="2356"/>
      <c r="AF142" s="2356"/>
    </row>
    <row r="143" spans="1:32" x14ac:dyDescent="0.3">
      <c r="A143" s="987" t="s">
        <v>3855</v>
      </c>
      <c r="B143" s="987"/>
      <c r="C143" s="987"/>
      <c r="D143" s="987"/>
      <c r="E143" s="987"/>
      <c r="F143" s="987"/>
      <c r="G143" s="987"/>
      <c r="H143" s="987"/>
      <c r="I143" s="987"/>
      <c r="J143" s="987"/>
      <c r="K143" s="987"/>
      <c r="L143" s="987"/>
      <c r="M143" s="987"/>
      <c r="N143" s="2356" t="s">
        <v>3896</v>
      </c>
      <c r="O143" s="2356"/>
      <c r="P143" s="2356"/>
      <c r="Q143" s="2356"/>
      <c r="R143" s="2356"/>
      <c r="S143" s="2356"/>
      <c r="T143" s="2356"/>
      <c r="U143" s="2356"/>
      <c r="V143" s="2356"/>
      <c r="W143" s="2356"/>
      <c r="X143" s="2356"/>
      <c r="Y143" s="2356"/>
      <c r="Z143" s="2356"/>
      <c r="AA143" s="2356"/>
      <c r="AB143" s="2356"/>
      <c r="AC143" s="2356"/>
      <c r="AD143" s="2356"/>
      <c r="AE143" s="2356"/>
      <c r="AF143" s="2356"/>
    </row>
    <row r="144" spans="1:32" x14ac:dyDescent="0.3">
      <c r="A144" s="987" t="s">
        <v>3856</v>
      </c>
      <c r="B144" s="987"/>
      <c r="C144" s="987"/>
      <c r="D144" s="987"/>
      <c r="E144" s="987"/>
      <c r="F144" s="987"/>
      <c r="G144" s="987"/>
      <c r="H144" s="987"/>
      <c r="I144" s="987"/>
      <c r="J144" s="987"/>
      <c r="K144" s="987"/>
      <c r="L144" s="987"/>
      <c r="M144" s="987"/>
      <c r="N144" s="2356" t="s">
        <v>3897</v>
      </c>
      <c r="O144" s="2356"/>
      <c r="P144" s="2356"/>
      <c r="Q144" s="2356"/>
      <c r="R144" s="2356"/>
      <c r="S144" s="2356"/>
      <c r="T144" s="2356"/>
      <c r="U144" s="2356"/>
      <c r="V144" s="2356"/>
      <c r="W144" s="2356"/>
      <c r="X144" s="2356"/>
      <c r="Y144" s="2356"/>
      <c r="Z144" s="2356"/>
      <c r="AA144" s="2356"/>
      <c r="AB144" s="2356"/>
      <c r="AC144" s="2356"/>
      <c r="AD144" s="2356"/>
      <c r="AE144" s="2356"/>
      <c r="AF144" s="2356"/>
    </row>
    <row r="145" spans="1:32"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row>
    <row r="146" spans="1:32" ht="35.25" customHeight="1" x14ac:dyDescent="0.3">
      <c r="A146" s="889" t="s">
        <v>3898</v>
      </c>
      <c r="B146" s="889"/>
      <c r="C146" s="889"/>
      <c r="D146" s="889"/>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c r="AE146" s="889"/>
      <c r="AF146" s="889"/>
    </row>
    <row r="147" spans="1:32"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row>
    <row r="148" spans="1:32" x14ac:dyDescent="0.3">
      <c r="A148" s="1290" t="s">
        <v>1514</v>
      </c>
      <c r="B148" s="1290"/>
      <c r="C148" s="1290"/>
      <c r="D148" s="1290"/>
      <c r="E148" s="1290"/>
      <c r="F148" s="1290"/>
      <c r="G148" s="1290"/>
      <c r="H148" s="1290"/>
      <c r="I148" s="1290"/>
      <c r="J148" s="1290"/>
      <c r="K148" s="1290"/>
      <c r="L148" s="1290"/>
      <c r="M148" s="1290"/>
      <c r="N148" s="1290"/>
      <c r="O148" s="1290"/>
      <c r="P148" s="1290"/>
      <c r="Q148" s="1290"/>
      <c r="R148" s="1290"/>
      <c r="S148" s="1290"/>
      <c r="T148" s="1290"/>
      <c r="U148" s="1290"/>
      <c r="V148" s="1290"/>
      <c r="W148" s="1290"/>
      <c r="X148" s="1290"/>
      <c r="Y148" s="1290"/>
      <c r="Z148" s="1290"/>
      <c r="AA148" s="1290"/>
      <c r="AB148" s="1290"/>
      <c r="AC148" s="1290"/>
      <c r="AD148" s="1290"/>
      <c r="AE148" s="1290"/>
      <c r="AF148" s="1290"/>
    </row>
    <row r="149" spans="1:32"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row>
    <row r="150" spans="1:32" ht="48.75" customHeight="1" x14ac:dyDescent="0.3">
      <c r="A150" s="370" t="s">
        <v>803</v>
      </c>
      <c r="B150" s="884" t="s">
        <v>5683</v>
      </c>
      <c r="C150" s="884"/>
      <c r="D150" s="884"/>
      <c r="E150" s="884"/>
      <c r="F150" s="884"/>
      <c r="G150" s="884"/>
      <c r="H150" s="884"/>
      <c r="I150" s="884"/>
      <c r="J150" s="884"/>
      <c r="K150" s="884"/>
      <c r="L150" s="884"/>
      <c r="M150" s="884"/>
      <c r="N150" s="884"/>
      <c r="O150" s="884"/>
      <c r="P150" s="884"/>
      <c r="Q150" s="884"/>
      <c r="R150" s="884"/>
      <c r="S150" s="884"/>
      <c r="T150" s="884"/>
      <c r="U150" s="884"/>
      <c r="V150" s="884"/>
      <c r="W150" s="884"/>
      <c r="X150" s="884"/>
      <c r="Y150" s="884"/>
      <c r="Z150" s="884"/>
      <c r="AA150" s="884"/>
      <c r="AB150" s="884"/>
      <c r="AC150" s="884"/>
      <c r="AD150" s="884"/>
      <c r="AE150" s="884"/>
      <c r="AF150" s="884"/>
    </row>
    <row r="151" spans="1:32" ht="33.75" customHeight="1" x14ac:dyDescent="0.3">
      <c r="A151" s="370" t="s">
        <v>803</v>
      </c>
      <c r="B151" s="884" t="s">
        <v>3857</v>
      </c>
      <c r="C151" s="884"/>
      <c r="D151" s="884"/>
      <c r="E151" s="884"/>
      <c r="F151" s="884"/>
      <c r="G151" s="884"/>
      <c r="H151" s="884"/>
      <c r="I151" s="884"/>
      <c r="J151" s="884"/>
      <c r="K151" s="884"/>
      <c r="L151" s="884"/>
      <c r="M151" s="884"/>
      <c r="N151" s="884"/>
      <c r="O151" s="884"/>
      <c r="P151" s="884"/>
      <c r="Q151" s="884"/>
      <c r="R151" s="884"/>
      <c r="S151" s="884"/>
      <c r="T151" s="884"/>
      <c r="U151" s="884"/>
      <c r="V151" s="884"/>
      <c r="W151" s="884"/>
      <c r="X151" s="884"/>
      <c r="Y151" s="884"/>
      <c r="Z151" s="884"/>
      <c r="AA151" s="884"/>
      <c r="AB151" s="884"/>
      <c r="AC151" s="884"/>
      <c r="AD151" s="884"/>
      <c r="AE151" s="884"/>
      <c r="AF151" s="884"/>
    </row>
    <row r="152" spans="1:32" ht="36" customHeight="1" x14ac:dyDescent="0.3">
      <c r="A152" s="370" t="s">
        <v>803</v>
      </c>
      <c r="B152" s="884" t="s">
        <v>3858</v>
      </c>
      <c r="C152" s="884"/>
      <c r="D152" s="884"/>
      <c r="E152" s="884"/>
      <c r="F152" s="884"/>
      <c r="G152" s="884"/>
      <c r="H152" s="884"/>
      <c r="I152" s="884"/>
      <c r="J152" s="884"/>
      <c r="K152" s="884"/>
      <c r="L152" s="884"/>
      <c r="M152" s="884"/>
      <c r="N152" s="884"/>
      <c r="O152" s="884"/>
      <c r="P152" s="884"/>
      <c r="Q152" s="884"/>
      <c r="R152" s="884"/>
      <c r="S152" s="884"/>
      <c r="T152" s="884"/>
      <c r="U152" s="884"/>
      <c r="V152" s="884"/>
      <c r="W152" s="884"/>
      <c r="X152" s="884"/>
      <c r="Y152" s="884"/>
      <c r="Z152" s="884"/>
      <c r="AA152" s="884"/>
      <c r="AB152" s="884"/>
      <c r="AC152" s="884"/>
      <c r="AD152" s="884"/>
      <c r="AE152" s="884"/>
      <c r="AF152" s="884"/>
    </row>
    <row r="153" spans="1:32"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row>
    <row r="154" spans="1:32"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row>
    <row r="155" spans="1:32"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row>
  </sheetData>
  <sheetProtection algorithmName="SHA-512" hashValue="iI6D93VeavM32edRrAujpBoMGEK3nEvCrDqepRC6TIYs9rIzewz66hzaBYid7mGbqS85tNH3LVBijTALOfa8pw==" saltValue="FmqJ0g+1rHXf5utRQbzgZQ==" spinCount="100000" sheet="1" objects="1" scenarios="1"/>
  <mergeCells count="155">
    <mergeCell ref="A148:AF148"/>
    <mergeCell ref="B150:AF150"/>
    <mergeCell ref="B151:AF151"/>
    <mergeCell ref="B152:AF152"/>
    <mergeCell ref="B26:AF26"/>
    <mergeCell ref="A143:M143"/>
    <mergeCell ref="N143:AF143"/>
    <mergeCell ref="A144:M144"/>
    <mergeCell ref="N144:AF144"/>
    <mergeCell ref="A146:AF146"/>
    <mergeCell ref="A140:M140"/>
    <mergeCell ref="N140:AF140"/>
    <mergeCell ref="A141:M141"/>
    <mergeCell ref="N141:AF141"/>
    <mergeCell ref="A142:M142"/>
    <mergeCell ref="N142:AF142"/>
    <mergeCell ref="A137:M137"/>
    <mergeCell ref="N137:AF137"/>
    <mergeCell ref="A138:M138"/>
    <mergeCell ref="N138:AF138"/>
    <mergeCell ref="A139:M139"/>
    <mergeCell ref="N139:AF139"/>
    <mergeCell ref="A134:M134"/>
    <mergeCell ref="N134:AF134"/>
    <mergeCell ref="A135:M135"/>
    <mergeCell ref="N135:AF135"/>
    <mergeCell ref="A136:M136"/>
    <mergeCell ref="N136:AF136"/>
    <mergeCell ref="A131:M131"/>
    <mergeCell ref="N131:AF131"/>
    <mergeCell ref="A132:M132"/>
    <mergeCell ref="N132:AF132"/>
    <mergeCell ref="A133:M133"/>
    <mergeCell ref="N133:AF133"/>
    <mergeCell ref="A128:M128"/>
    <mergeCell ref="N128:AF128"/>
    <mergeCell ref="A129:M129"/>
    <mergeCell ref="N129:AF129"/>
    <mergeCell ref="A130:M130"/>
    <mergeCell ref="N130:AF130"/>
    <mergeCell ref="A122:AF122"/>
    <mergeCell ref="A124:AF124"/>
    <mergeCell ref="A126:M126"/>
    <mergeCell ref="N126:AF126"/>
    <mergeCell ref="A127:M127"/>
    <mergeCell ref="N127:AF127"/>
    <mergeCell ref="A119:D119"/>
    <mergeCell ref="E119:P119"/>
    <mergeCell ref="Q119:T119"/>
    <mergeCell ref="U119:V119"/>
    <mergeCell ref="W119:AF119"/>
    <mergeCell ref="A118:D118"/>
    <mergeCell ref="E118:P118"/>
    <mergeCell ref="Q118:T118"/>
    <mergeCell ref="U118:V118"/>
    <mergeCell ref="W118:AF118"/>
    <mergeCell ref="A117:D117"/>
    <mergeCell ref="E117:P117"/>
    <mergeCell ref="Q117:T117"/>
    <mergeCell ref="U117:V117"/>
    <mergeCell ref="W117:AF117"/>
    <mergeCell ref="A116:D116"/>
    <mergeCell ref="E116:P116"/>
    <mergeCell ref="Q116:T116"/>
    <mergeCell ref="U116:V116"/>
    <mergeCell ref="W116:AF116"/>
    <mergeCell ref="A115:D115"/>
    <mergeCell ref="E115:P115"/>
    <mergeCell ref="Q115:T115"/>
    <mergeCell ref="U115:V115"/>
    <mergeCell ref="W115:AF115"/>
    <mergeCell ref="A114:D114"/>
    <mergeCell ref="E114:P114"/>
    <mergeCell ref="Q114:T114"/>
    <mergeCell ref="U114:V114"/>
    <mergeCell ref="W114:AF114"/>
    <mergeCell ref="A113:D113"/>
    <mergeCell ref="E113:P113"/>
    <mergeCell ref="Q113:T113"/>
    <mergeCell ref="U113:V113"/>
    <mergeCell ref="W113:AF113"/>
    <mergeCell ref="A112:D112"/>
    <mergeCell ref="E112:P112"/>
    <mergeCell ref="Q112:T112"/>
    <mergeCell ref="U112:V112"/>
    <mergeCell ref="W112:AF112"/>
    <mergeCell ref="A111:D111"/>
    <mergeCell ref="E111:P111"/>
    <mergeCell ref="Q111:T111"/>
    <mergeCell ref="U111:V111"/>
    <mergeCell ref="W111:AF111"/>
    <mergeCell ref="A110:D110"/>
    <mergeCell ref="E110:P110"/>
    <mergeCell ref="Q110:T110"/>
    <mergeCell ref="U110:V110"/>
    <mergeCell ref="W110:AF110"/>
    <mergeCell ref="A109:D109"/>
    <mergeCell ref="E109:P109"/>
    <mergeCell ref="Q109:T109"/>
    <mergeCell ref="U109:V109"/>
    <mergeCell ref="W109:AF109"/>
    <mergeCell ref="A108:D108"/>
    <mergeCell ref="E108:P108"/>
    <mergeCell ref="Q108:T108"/>
    <mergeCell ref="U108:V108"/>
    <mergeCell ref="W108:AF108"/>
    <mergeCell ref="A107:D107"/>
    <mergeCell ref="E107:P107"/>
    <mergeCell ref="Q107:T107"/>
    <mergeCell ref="U107:V107"/>
    <mergeCell ref="W107:AF107"/>
    <mergeCell ref="A106:D106"/>
    <mergeCell ref="E106:P106"/>
    <mergeCell ref="Q106:T106"/>
    <mergeCell ref="U106:V106"/>
    <mergeCell ref="W106:AF106"/>
    <mergeCell ref="A105:D105"/>
    <mergeCell ref="E105:P105"/>
    <mergeCell ref="Q105:T105"/>
    <mergeCell ref="U105:V105"/>
    <mergeCell ref="W105:AF105"/>
    <mergeCell ref="A103:AF103"/>
    <mergeCell ref="A104:D104"/>
    <mergeCell ref="E104:P104"/>
    <mergeCell ref="Q104:T104"/>
    <mergeCell ref="U104:V104"/>
    <mergeCell ref="W104:AF104"/>
    <mergeCell ref="A41:AF41"/>
    <mergeCell ref="A43:AF43"/>
    <mergeCell ref="A45:AF45"/>
    <mergeCell ref="A55:AF55"/>
    <mergeCell ref="A57:AF57"/>
    <mergeCell ref="B29:AF29"/>
    <mergeCell ref="B31:I31"/>
    <mergeCell ref="B32:AF32"/>
    <mergeCell ref="B35:AF35"/>
    <mergeCell ref="A39:AF39"/>
    <mergeCell ref="A37:AF37"/>
    <mergeCell ref="C19:AF19"/>
    <mergeCell ref="B20:AF20"/>
    <mergeCell ref="B22:AF22"/>
    <mergeCell ref="B24:AF24"/>
    <mergeCell ref="B28:I28"/>
    <mergeCell ref="A1:AF1"/>
    <mergeCell ref="A3:AF3"/>
    <mergeCell ref="A7:AF7"/>
    <mergeCell ref="B9:I9"/>
    <mergeCell ref="B10:AF10"/>
    <mergeCell ref="B14:I14"/>
    <mergeCell ref="B15:AF15"/>
    <mergeCell ref="C16:AF16"/>
    <mergeCell ref="C17:AF17"/>
    <mergeCell ref="C18:AF18"/>
    <mergeCell ref="B5:AF5"/>
    <mergeCell ref="B12:AF12"/>
  </mergeCells>
  <hyperlinks>
    <hyperlink ref="A2" location="TOC!A1" display="Return to TOC" xr:uid="{00000000-0004-0000-3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63:AF101"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5">
    <tabColor theme="5" tint="0.59999389629810485"/>
    <pageSetUpPr autoPageBreaks="0"/>
  </sheetPr>
  <dimension ref="A1:AF65"/>
  <sheetViews>
    <sheetView zoomScaleNormal="100" workbookViewId="0">
      <selection sqref="A1:AF1"/>
    </sheetView>
  </sheetViews>
  <sheetFormatPr defaultColWidth="2.6640625" defaultRowHeight="14.4" x14ac:dyDescent="0.3"/>
  <cols>
    <col min="1" max="14" width="2.6640625" style="1"/>
    <col min="15" max="15" width="2.6640625" style="1" customWidth="1"/>
    <col min="16" max="16384" width="2.6640625" style="1"/>
  </cols>
  <sheetData>
    <row r="1" spans="1:32" ht="18" x14ac:dyDescent="0.3">
      <c r="A1" s="1131" t="s">
        <v>886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99" customHeight="1" x14ac:dyDescent="0.3">
      <c r="B6" s="953" t="s">
        <v>274</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51" t="s">
        <v>4</v>
      </c>
      <c r="C8" s="51"/>
      <c r="D8" s="51"/>
      <c r="E8" s="51"/>
      <c r="F8" s="51"/>
      <c r="G8" s="51"/>
      <c r="H8" s="51"/>
      <c r="I8" s="51"/>
    </row>
    <row r="9" spans="1:32" ht="130.5" customHeight="1" x14ac:dyDescent="0.3">
      <c r="B9" s="953" t="s">
        <v>549</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1" spans="1:32" x14ac:dyDescent="0.3">
      <c r="B11" s="51" t="s">
        <v>5</v>
      </c>
      <c r="C11" s="51"/>
      <c r="D11" s="51"/>
      <c r="E11" s="51"/>
      <c r="F11" s="51"/>
      <c r="G11" s="51"/>
      <c r="H11" s="51"/>
      <c r="I11" s="51"/>
    </row>
    <row r="12" spans="1:32" x14ac:dyDescent="0.3">
      <c r="B12" s="1142" t="s">
        <v>548</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x14ac:dyDescent="0.3">
      <c r="B15" s="1142" t="s">
        <v>550</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7" spans="1:32" x14ac:dyDescent="0.3">
      <c r="B17" s="51" t="s">
        <v>13</v>
      </c>
      <c r="C17" s="51"/>
      <c r="D17" s="51"/>
      <c r="E17" s="51"/>
      <c r="F17" s="51"/>
      <c r="G17" s="51"/>
      <c r="H17" s="51"/>
      <c r="I17" s="51"/>
    </row>
    <row r="18" spans="1:32" x14ac:dyDescent="0.3">
      <c r="B18" s="1142" t="s">
        <v>551</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2" spans="1:32"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3">
      <c r="O23" s="268" t="s">
        <v>275</v>
      </c>
      <c r="P23" s="71" t="s">
        <v>744</v>
      </c>
    </row>
    <row r="24" spans="1:32" x14ac:dyDescent="0.3">
      <c r="O24" s="268" t="s">
        <v>277</v>
      </c>
      <c r="P24" s="71" t="s">
        <v>745</v>
      </c>
    </row>
    <row r="25" spans="1:32" x14ac:dyDescent="0.3">
      <c r="O25" s="268" t="s">
        <v>278</v>
      </c>
      <c r="P25" s="71" t="s">
        <v>746</v>
      </c>
    </row>
    <row r="26" spans="1:32" x14ac:dyDescent="0.3">
      <c r="O26" s="268" t="s">
        <v>279</v>
      </c>
      <c r="P26" s="71" t="s">
        <v>747</v>
      </c>
    </row>
    <row r="27" spans="1:32" x14ac:dyDescent="0.3">
      <c r="A27" s="3"/>
    </row>
    <row r="28" spans="1:32" x14ac:dyDescent="0.3">
      <c r="A28" s="3"/>
    </row>
    <row r="29" spans="1:32" x14ac:dyDescent="0.3">
      <c r="A29" s="1141" t="s">
        <v>8</v>
      </c>
      <c r="B29" s="1141"/>
      <c r="C29" s="1141"/>
      <c r="D29" s="1141"/>
      <c r="E29" s="1141"/>
      <c r="F29" s="1141"/>
      <c r="G29" s="1141"/>
      <c r="H29" s="1141"/>
      <c r="I29" s="1141"/>
      <c r="J29" s="1141"/>
      <c r="K29" s="1141"/>
      <c r="L29" s="1141"/>
      <c r="M29" s="1141"/>
      <c r="N29" s="1141"/>
      <c r="O29" s="1141"/>
      <c r="P29" s="1141"/>
      <c r="Q29" s="1141"/>
      <c r="R29" s="1141"/>
      <c r="S29" s="1141"/>
      <c r="T29" s="1141"/>
      <c r="U29" s="1141"/>
      <c r="V29" s="1141"/>
      <c r="W29" s="1141"/>
      <c r="X29" s="1141"/>
      <c r="Y29" s="1141"/>
      <c r="Z29" s="1141"/>
      <c r="AA29" s="1141"/>
      <c r="AB29" s="1141"/>
      <c r="AC29" s="1141"/>
      <c r="AD29" s="1141"/>
      <c r="AE29" s="1141"/>
      <c r="AF29" s="1141"/>
    </row>
    <row r="30" spans="1:32" ht="14.4" customHeight="1" x14ac:dyDescent="0.3">
      <c r="A30" s="1143" t="s">
        <v>9</v>
      </c>
      <c r="B30" s="1143"/>
      <c r="C30" s="1143"/>
      <c r="D30" s="1143"/>
      <c r="E30" s="1259" t="s">
        <v>3</v>
      </c>
      <c r="F30" s="1260"/>
      <c r="G30" s="1260"/>
      <c r="H30" s="1260"/>
      <c r="I30" s="1260"/>
      <c r="J30" s="1260"/>
      <c r="K30" s="1260"/>
      <c r="L30" s="1260"/>
      <c r="M30" s="1260"/>
      <c r="N30" s="1260"/>
      <c r="O30" s="1421"/>
      <c r="P30" s="1259" t="s">
        <v>10</v>
      </c>
      <c r="Q30" s="1260"/>
      <c r="R30" s="1260"/>
      <c r="S30" s="1421"/>
      <c r="T30" s="1259" t="s">
        <v>11</v>
      </c>
      <c r="U30" s="1260"/>
      <c r="V30" s="1421"/>
      <c r="W30" s="1143" t="s">
        <v>12</v>
      </c>
      <c r="X30" s="1143"/>
      <c r="Y30" s="1143"/>
      <c r="Z30" s="1143"/>
      <c r="AA30" s="1143"/>
      <c r="AB30" s="1143"/>
      <c r="AC30" s="1143"/>
      <c r="AD30" s="1143"/>
      <c r="AE30" s="1143"/>
      <c r="AF30" s="1143"/>
    </row>
    <row r="31" spans="1:32" ht="72" customHeight="1" x14ac:dyDescent="0.3">
      <c r="A31" s="855" t="s">
        <v>748</v>
      </c>
      <c r="B31" s="855"/>
      <c r="C31" s="855"/>
      <c r="D31" s="855"/>
      <c r="E31" s="856" t="s">
        <v>749</v>
      </c>
      <c r="F31" s="856"/>
      <c r="G31" s="856"/>
      <c r="H31" s="856"/>
      <c r="I31" s="856"/>
      <c r="J31" s="856"/>
      <c r="K31" s="856"/>
      <c r="L31" s="856"/>
      <c r="M31" s="856"/>
      <c r="N31" s="856"/>
      <c r="O31" s="856"/>
      <c r="P31" s="2209">
        <v>0.5</v>
      </c>
      <c r="Q31" s="2209"/>
      <c r="R31" s="2209"/>
      <c r="S31" s="2209"/>
      <c r="T31" s="1275" t="s">
        <v>20</v>
      </c>
      <c r="U31" s="1275"/>
      <c r="V31" s="1275"/>
      <c r="W31" s="856" t="s">
        <v>276</v>
      </c>
      <c r="X31" s="856"/>
      <c r="Y31" s="856"/>
      <c r="Z31" s="856"/>
      <c r="AA31" s="856"/>
      <c r="AB31" s="856"/>
      <c r="AC31" s="856"/>
      <c r="AD31" s="856"/>
      <c r="AE31" s="856"/>
      <c r="AF31" s="856"/>
    </row>
    <row r="32" spans="1:32" ht="72" customHeight="1" x14ac:dyDescent="0.3">
      <c r="A32" s="855" t="s">
        <v>750</v>
      </c>
      <c r="B32" s="855"/>
      <c r="C32" s="855"/>
      <c r="D32" s="855"/>
      <c r="E32" s="856" t="s">
        <v>751</v>
      </c>
      <c r="F32" s="856"/>
      <c r="G32" s="856"/>
      <c r="H32" s="856"/>
      <c r="I32" s="856"/>
      <c r="J32" s="856"/>
      <c r="K32" s="856"/>
      <c r="L32" s="856"/>
      <c r="M32" s="856"/>
      <c r="N32" s="856"/>
      <c r="O32" s="856"/>
      <c r="P32" s="2362">
        <v>0.17499999999999999</v>
      </c>
      <c r="Q32" s="2362"/>
      <c r="R32" s="2362"/>
      <c r="S32" s="2362"/>
      <c r="T32" s="1275" t="s">
        <v>20</v>
      </c>
      <c r="U32" s="1275"/>
      <c r="V32" s="1275"/>
      <c r="W32" s="856" t="s">
        <v>276</v>
      </c>
      <c r="X32" s="856"/>
      <c r="Y32" s="856"/>
      <c r="Z32" s="856"/>
      <c r="AA32" s="856"/>
      <c r="AB32" s="856"/>
      <c r="AC32" s="856"/>
      <c r="AD32" s="856"/>
      <c r="AE32" s="856"/>
      <c r="AF32" s="856"/>
    </row>
    <row r="33" spans="1:32" ht="14.4" customHeight="1" x14ac:dyDescent="0.3">
      <c r="A33" s="855" t="s">
        <v>280</v>
      </c>
      <c r="B33" s="855"/>
      <c r="C33" s="855"/>
      <c r="D33" s="855"/>
      <c r="E33" s="2136" t="s">
        <v>281</v>
      </c>
      <c r="F33" s="2136"/>
      <c r="G33" s="2136"/>
      <c r="H33" s="2136"/>
      <c r="I33" s="2136"/>
      <c r="J33" s="2136"/>
      <c r="K33" s="2136"/>
      <c r="L33" s="2136"/>
      <c r="M33" s="2136"/>
      <c r="N33" s="2136"/>
      <c r="O33" s="2136"/>
      <c r="P33" s="1275" t="s">
        <v>20</v>
      </c>
      <c r="Q33" s="1275"/>
      <c r="R33" s="1275"/>
      <c r="S33" s="1275"/>
      <c r="T33" s="1275" t="s">
        <v>269</v>
      </c>
      <c r="U33" s="1275"/>
      <c r="V33" s="1275"/>
      <c r="W33" s="1586"/>
      <c r="X33" s="1586"/>
      <c r="Y33" s="1586"/>
      <c r="Z33" s="1586"/>
      <c r="AA33" s="1586"/>
      <c r="AB33" s="1586"/>
      <c r="AC33" s="1586"/>
      <c r="AD33" s="1586"/>
      <c r="AE33" s="1586"/>
      <c r="AF33" s="1586"/>
    </row>
    <row r="34" spans="1:32" ht="72" customHeight="1" x14ac:dyDescent="0.3">
      <c r="A34" s="855" t="s">
        <v>752</v>
      </c>
      <c r="B34" s="855"/>
      <c r="C34" s="855"/>
      <c r="D34" s="855"/>
      <c r="E34" s="856" t="s">
        <v>282</v>
      </c>
      <c r="F34" s="856"/>
      <c r="G34" s="856"/>
      <c r="H34" s="856"/>
      <c r="I34" s="856"/>
      <c r="J34" s="856"/>
      <c r="K34" s="856"/>
      <c r="L34" s="856"/>
      <c r="M34" s="856"/>
      <c r="N34" s="856"/>
      <c r="O34" s="856"/>
      <c r="P34" s="2363">
        <v>200</v>
      </c>
      <c r="Q34" s="2363"/>
      <c r="R34" s="2363"/>
      <c r="S34" s="2363"/>
      <c r="T34" s="1275" t="s">
        <v>269</v>
      </c>
      <c r="U34" s="1275"/>
      <c r="V34" s="1275"/>
      <c r="W34" s="856" t="s">
        <v>276</v>
      </c>
      <c r="X34" s="856"/>
      <c r="Y34" s="856"/>
      <c r="Z34" s="856"/>
      <c r="AA34" s="856"/>
      <c r="AB34" s="856"/>
      <c r="AC34" s="856"/>
      <c r="AD34" s="856"/>
      <c r="AE34" s="856"/>
      <c r="AF34" s="856"/>
    </row>
    <row r="35" spans="1:32" ht="72" customHeight="1" x14ac:dyDescent="0.3">
      <c r="A35" s="855" t="s">
        <v>753</v>
      </c>
      <c r="B35" s="855"/>
      <c r="C35" s="855"/>
      <c r="D35" s="855"/>
      <c r="E35" s="856" t="s">
        <v>283</v>
      </c>
      <c r="F35" s="856"/>
      <c r="G35" s="856"/>
      <c r="H35" s="856"/>
      <c r="I35" s="856"/>
      <c r="J35" s="856"/>
      <c r="K35" s="856"/>
      <c r="L35" s="856"/>
      <c r="M35" s="856"/>
      <c r="N35" s="856"/>
      <c r="O35" s="856"/>
      <c r="P35" s="1275">
        <f>P34*3.413</f>
        <v>682.59999999999991</v>
      </c>
      <c r="Q35" s="1275"/>
      <c r="R35" s="1275"/>
      <c r="S35" s="1275"/>
      <c r="T35" s="1275" t="s">
        <v>636</v>
      </c>
      <c r="U35" s="1275"/>
      <c r="V35" s="1275"/>
      <c r="W35" s="856" t="s">
        <v>276</v>
      </c>
      <c r="X35" s="856"/>
      <c r="Y35" s="856"/>
      <c r="Z35" s="856"/>
      <c r="AA35" s="856"/>
      <c r="AB35" s="856"/>
      <c r="AC35" s="856"/>
      <c r="AD35" s="856"/>
      <c r="AE35" s="856"/>
      <c r="AF35" s="856"/>
    </row>
    <row r="36" spans="1:32" ht="72" customHeight="1" x14ac:dyDescent="0.3">
      <c r="A36" s="855" t="s">
        <v>285</v>
      </c>
      <c r="B36" s="855"/>
      <c r="C36" s="855"/>
      <c r="D36" s="855"/>
      <c r="E36" s="856" t="s">
        <v>286</v>
      </c>
      <c r="F36" s="856"/>
      <c r="G36" s="856"/>
      <c r="H36" s="856"/>
      <c r="I36" s="856"/>
      <c r="J36" s="856"/>
      <c r="K36" s="856"/>
      <c r="L36" s="856"/>
      <c r="M36" s="856"/>
      <c r="N36" s="856"/>
      <c r="O36" s="856"/>
      <c r="P36" s="1275">
        <v>5.43</v>
      </c>
      <c r="Q36" s="1275"/>
      <c r="R36" s="1275"/>
      <c r="S36" s="1275"/>
      <c r="T36" s="1586" t="s">
        <v>754</v>
      </c>
      <c r="U36" s="1586"/>
      <c r="V36" s="1586"/>
      <c r="W36" s="856" t="s">
        <v>276</v>
      </c>
      <c r="X36" s="856"/>
      <c r="Y36" s="856"/>
      <c r="Z36" s="856"/>
      <c r="AA36" s="856"/>
      <c r="AB36" s="856"/>
      <c r="AC36" s="856"/>
      <c r="AD36" s="856"/>
      <c r="AE36" s="856"/>
      <c r="AF36" s="856"/>
    </row>
    <row r="37" spans="1:32" ht="14.4" customHeight="1" x14ac:dyDescent="0.3">
      <c r="A37" s="855" t="s">
        <v>755</v>
      </c>
      <c r="B37" s="855"/>
      <c r="C37" s="855"/>
      <c r="D37" s="855"/>
      <c r="E37" s="856" t="s">
        <v>756</v>
      </c>
      <c r="F37" s="856"/>
      <c r="G37" s="856"/>
      <c r="H37" s="856"/>
      <c r="I37" s="856"/>
      <c r="J37" s="856"/>
      <c r="K37" s="856"/>
      <c r="L37" s="856"/>
      <c r="M37" s="856"/>
      <c r="N37" s="856"/>
      <c r="O37" s="856"/>
      <c r="P37" s="1269">
        <v>8760</v>
      </c>
      <c r="Q37" s="1269"/>
      <c r="R37" s="1269"/>
      <c r="S37" s="1269"/>
      <c r="T37" s="1275" t="s">
        <v>37</v>
      </c>
      <c r="U37" s="1275"/>
      <c r="V37" s="1275"/>
      <c r="W37" s="1586"/>
      <c r="X37" s="1586"/>
      <c r="Y37" s="1586"/>
      <c r="Z37" s="1586"/>
      <c r="AA37" s="1586"/>
      <c r="AB37" s="1586"/>
      <c r="AC37" s="1586"/>
      <c r="AD37" s="1586"/>
      <c r="AE37" s="1586"/>
      <c r="AF37" s="1586"/>
    </row>
    <row r="38" spans="1:32" ht="72" customHeight="1" x14ac:dyDescent="0.3">
      <c r="A38" s="855" t="s">
        <v>757</v>
      </c>
      <c r="B38" s="855"/>
      <c r="C38" s="855"/>
      <c r="D38" s="855"/>
      <c r="E38" s="856" t="s">
        <v>287</v>
      </c>
      <c r="F38" s="856"/>
      <c r="G38" s="856"/>
      <c r="H38" s="856"/>
      <c r="I38" s="856"/>
      <c r="J38" s="856"/>
      <c r="K38" s="856"/>
      <c r="L38" s="856"/>
      <c r="M38" s="856"/>
      <c r="N38" s="856"/>
      <c r="O38" s="856"/>
      <c r="P38" s="1269">
        <v>5700</v>
      </c>
      <c r="Q38" s="1269"/>
      <c r="R38" s="1269"/>
      <c r="S38" s="1269"/>
      <c r="T38" s="1275" t="s">
        <v>37</v>
      </c>
      <c r="U38" s="1275"/>
      <c r="V38" s="1275"/>
      <c r="W38" s="856" t="s">
        <v>276</v>
      </c>
      <c r="X38" s="856"/>
      <c r="Y38" s="856"/>
      <c r="Z38" s="856"/>
      <c r="AA38" s="856"/>
      <c r="AB38" s="856"/>
      <c r="AC38" s="856"/>
      <c r="AD38" s="856"/>
      <c r="AE38" s="856"/>
      <c r="AF38" s="856"/>
    </row>
    <row r="39" spans="1:32" ht="72" customHeight="1" x14ac:dyDescent="0.3">
      <c r="A39" s="855" t="s">
        <v>758</v>
      </c>
      <c r="B39" s="855"/>
      <c r="C39" s="855"/>
      <c r="D39" s="855"/>
      <c r="E39" s="856" t="s">
        <v>288</v>
      </c>
      <c r="F39" s="856"/>
      <c r="G39" s="856"/>
      <c r="H39" s="856"/>
      <c r="I39" s="856"/>
      <c r="J39" s="856"/>
      <c r="K39" s="856"/>
      <c r="L39" s="856"/>
      <c r="M39" s="856"/>
      <c r="N39" s="856"/>
      <c r="O39" s="856"/>
      <c r="P39" s="2209">
        <v>0.45</v>
      </c>
      <c r="Q39" s="2209"/>
      <c r="R39" s="2209"/>
      <c r="S39" s="2209"/>
      <c r="T39" s="1275" t="s">
        <v>20</v>
      </c>
      <c r="U39" s="1275"/>
      <c r="V39" s="1275"/>
      <c r="W39" s="856" t="s">
        <v>276</v>
      </c>
      <c r="X39" s="856"/>
      <c r="Y39" s="856"/>
      <c r="Z39" s="856"/>
      <c r="AA39" s="856"/>
      <c r="AB39" s="856"/>
      <c r="AC39" s="856"/>
      <c r="AD39" s="856"/>
      <c r="AE39" s="856"/>
      <c r="AF39" s="856"/>
    </row>
    <row r="40" spans="1:32" ht="14.4" customHeight="1" x14ac:dyDescent="0.3">
      <c r="A40" s="855" t="s">
        <v>21</v>
      </c>
      <c r="B40" s="855"/>
      <c r="C40" s="855"/>
      <c r="D40" s="855"/>
      <c r="E40" s="856" t="s">
        <v>96</v>
      </c>
      <c r="F40" s="856"/>
      <c r="G40" s="856"/>
      <c r="H40" s="856"/>
      <c r="I40" s="856"/>
      <c r="J40" s="856"/>
      <c r="K40" s="856"/>
      <c r="L40" s="856"/>
      <c r="M40" s="856"/>
      <c r="N40" s="856"/>
      <c r="O40" s="856"/>
      <c r="P40" s="2361">
        <v>0.85</v>
      </c>
      <c r="Q40" s="2361"/>
      <c r="R40" s="2361"/>
      <c r="S40" s="2361"/>
      <c r="T40" s="1275" t="s">
        <v>20</v>
      </c>
      <c r="U40" s="1275"/>
      <c r="V40" s="1275"/>
      <c r="W40" s="1586"/>
      <c r="X40" s="1586"/>
      <c r="Y40" s="1586"/>
      <c r="Z40" s="1586"/>
      <c r="AA40" s="1586"/>
      <c r="AB40" s="1586"/>
      <c r="AC40" s="1586"/>
      <c r="AD40" s="1586"/>
      <c r="AE40" s="1586"/>
      <c r="AF40" s="1586"/>
    </row>
    <row r="41" spans="1:32" ht="72" customHeight="1" x14ac:dyDescent="0.3">
      <c r="A41" s="855" t="s">
        <v>26</v>
      </c>
      <c r="B41" s="855"/>
      <c r="C41" s="855"/>
      <c r="D41" s="855"/>
      <c r="E41" s="856" t="s">
        <v>268</v>
      </c>
      <c r="F41" s="856"/>
      <c r="G41" s="856"/>
      <c r="H41" s="856"/>
      <c r="I41" s="856"/>
      <c r="J41" s="856"/>
      <c r="K41" s="856"/>
      <c r="L41" s="856"/>
      <c r="M41" s="856"/>
      <c r="N41" s="856"/>
      <c r="O41" s="856"/>
      <c r="P41" s="1275">
        <f>'Master EUL'!X124</f>
        <v>12</v>
      </c>
      <c r="Q41" s="1275"/>
      <c r="R41" s="1275"/>
      <c r="S41" s="1275"/>
      <c r="T41" s="1275" t="s">
        <v>38</v>
      </c>
      <c r="U41" s="1275"/>
      <c r="V41" s="1275"/>
      <c r="W41" s="856" t="s">
        <v>276</v>
      </c>
      <c r="X41" s="856"/>
      <c r="Y41" s="856"/>
      <c r="Z41" s="856"/>
      <c r="AA41" s="856"/>
      <c r="AB41" s="856"/>
      <c r="AC41" s="856"/>
      <c r="AD41" s="856"/>
      <c r="AE41" s="856"/>
      <c r="AF41" s="856"/>
    </row>
    <row r="42" spans="1:32" ht="14.4" customHeight="1" x14ac:dyDescent="0.3">
      <c r="A42" s="8"/>
      <c r="B42" s="8"/>
      <c r="C42" s="8"/>
      <c r="D42" s="8"/>
      <c r="E42" s="2"/>
      <c r="F42" s="2"/>
      <c r="G42" s="2"/>
      <c r="H42" s="2"/>
      <c r="I42" s="2"/>
      <c r="J42" s="2"/>
      <c r="K42" s="2"/>
      <c r="L42" s="2"/>
      <c r="M42" s="2"/>
      <c r="N42" s="2"/>
      <c r="O42" s="2"/>
      <c r="P42" s="2"/>
      <c r="Q42" s="7"/>
      <c r="R42" s="7"/>
      <c r="S42" s="7"/>
      <c r="T42" s="7"/>
      <c r="U42" s="7"/>
      <c r="V42" s="7"/>
      <c r="W42" s="2"/>
      <c r="X42" s="2"/>
      <c r="Y42" s="2"/>
      <c r="Z42" s="2"/>
      <c r="AA42" s="2"/>
      <c r="AB42" s="2"/>
      <c r="AC42" s="2"/>
      <c r="AD42" s="2"/>
      <c r="AE42" s="2"/>
      <c r="AF42" s="2"/>
    </row>
    <row r="43" spans="1:32" ht="14.4" customHeight="1" x14ac:dyDescent="0.3">
      <c r="A43" s="8"/>
      <c r="B43" s="8"/>
      <c r="C43" s="8"/>
      <c r="D43" s="8"/>
      <c r="E43" s="2"/>
      <c r="F43" s="2"/>
      <c r="G43" s="2"/>
      <c r="H43" s="2"/>
      <c r="I43" s="2"/>
      <c r="J43" s="2"/>
      <c r="K43" s="2"/>
      <c r="L43" s="2"/>
      <c r="M43" s="2"/>
      <c r="N43" s="2"/>
      <c r="O43" s="2"/>
      <c r="P43" s="2"/>
      <c r="Q43" s="7"/>
      <c r="R43" s="7"/>
      <c r="S43" s="7"/>
      <c r="T43" s="7"/>
      <c r="U43" s="7"/>
      <c r="V43" s="7"/>
      <c r="W43" s="2"/>
      <c r="X43" s="2"/>
      <c r="Y43" s="2"/>
      <c r="Z43" s="2"/>
      <c r="AA43" s="2"/>
      <c r="AB43" s="2"/>
      <c r="AC43" s="2"/>
      <c r="AD43" s="2"/>
      <c r="AE43" s="2"/>
      <c r="AF43" s="2"/>
    </row>
    <row r="44" spans="1:32" x14ac:dyDescent="0.3">
      <c r="A44" s="1141" t="s">
        <v>14</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1434" t="s">
        <v>759</v>
      </c>
      <c r="B46" s="1435"/>
      <c r="C46" s="1435"/>
      <c r="D46" s="1435"/>
      <c r="E46" s="1435"/>
      <c r="F46" s="1435"/>
      <c r="G46" s="1435"/>
      <c r="H46" s="1435"/>
      <c r="I46" s="1435"/>
      <c r="J46" s="1435"/>
      <c r="K46" s="1435"/>
      <c r="L46" s="1435"/>
      <c r="M46" s="1435"/>
      <c r="N46" s="1436"/>
      <c r="O46" s="2358">
        <f>P31*P34/1000*P40</f>
        <v>8.5000000000000006E-2</v>
      </c>
      <c r="P46" s="2358"/>
      <c r="Q46" s="2358"/>
      <c r="R46" s="949" t="s">
        <v>18</v>
      </c>
      <c r="S46" s="949"/>
      <c r="T46" s="949"/>
      <c r="U46" s="949"/>
    </row>
    <row r="47" spans="1:32" x14ac:dyDescent="0.3">
      <c r="A47" s="1434" t="s">
        <v>760</v>
      </c>
      <c r="B47" s="1435"/>
      <c r="C47" s="1435"/>
      <c r="D47" s="1435"/>
      <c r="E47" s="1435"/>
      <c r="F47" s="1435"/>
      <c r="G47" s="1435"/>
      <c r="H47" s="1435"/>
      <c r="I47" s="1435"/>
      <c r="J47" s="1435"/>
      <c r="K47" s="1435"/>
      <c r="L47" s="1435"/>
      <c r="M47" s="1435"/>
      <c r="N47" s="1436"/>
      <c r="O47" s="2358">
        <f>P31*P34/1000*P37</f>
        <v>876</v>
      </c>
      <c r="P47" s="2358"/>
      <c r="Q47" s="2358"/>
      <c r="R47" s="949" t="s">
        <v>36</v>
      </c>
      <c r="S47" s="949"/>
      <c r="T47" s="949"/>
      <c r="U47" s="949"/>
    </row>
    <row r="48" spans="1:32" x14ac:dyDescent="0.3">
      <c r="A48" s="1434" t="s">
        <v>280</v>
      </c>
      <c r="B48" s="1435"/>
      <c r="C48" s="1435"/>
      <c r="D48" s="1435"/>
      <c r="E48" s="1435"/>
      <c r="F48" s="1435"/>
      <c r="G48" s="1435"/>
      <c r="H48" s="1435"/>
      <c r="I48" s="1435"/>
      <c r="J48" s="1435"/>
      <c r="K48" s="1435"/>
      <c r="L48" s="1435"/>
      <c r="M48" s="1435"/>
      <c r="N48" s="1436"/>
      <c r="O48" s="2358">
        <f>P32*P35</f>
        <v>119.45499999999997</v>
      </c>
      <c r="P48" s="2358"/>
      <c r="Q48" s="2358"/>
      <c r="R48" s="949" t="s">
        <v>284</v>
      </c>
      <c r="S48" s="949"/>
      <c r="T48" s="949"/>
      <c r="U48" s="949"/>
    </row>
    <row r="49" spans="1:24" x14ac:dyDescent="0.3">
      <c r="A49" s="1434" t="s">
        <v>761</v>
      </c>
      <c r="B49" s="1435"/>
      <c r="C49" s="1435"/>
      <c r="D49" s="1435"/>
      <c r="E49" s="1435"/>
      <c r="F49" s="1435"/>
      <c r="G49" s="1435"/>
      <c r="H49" s="1435"/>
      <c r="I49" s="1435"/>
      <c r="J49" s="1435"/>
      <c r="K49" s="1435"/>
      <c r="L49" s="1435"/>
      <c r="M49" s="1435"/>
      <c r="N49" s="1436"/>
      <c r="O49" s="2358">
        <f>O48/P36/1000*P40</f>
        <v>1.8699217311233883E-2</v>
      </c>
      <c r="P49" s="2358"/>
      <c r="Q49" s="2358"/>
      <c r="R49" s="949" t="s">
        <v>18</v>
      </c>
      <c r="S49" s="949"/>
      <c r="T49" s="949"/>
      <c r="U49" s="949"/>
    </row>
    <row r="50" spans="1:24" x14ac:dyDescent="0.3">
      <c r="A50" s="1434" t="s">
        <v>762</v>
      </c>
      <c r="B50" s="1435"/>
      <c r="C50" s="1435"/>
      <c r="D50" s="1435"/>
      <c r="E50" s="1435"/>
      <c r="F50" s="1435"/>
      <c r="G50" s="1435"/>
      <c r="H50" s="1435"/>
      <c r="I50" s="1435"/>
      <c r="J50" s="1435"/>
      <c r="K50" s="1435"/>
      <c r="L50" s="1435"/>
      <c r="M50" s="1435"/>
      <c r="N50" s="1436"/>
      <c r="O50" s="2358">
        <f>O48/P36/1000*P38</f>
        <v>125.39475138121544</v>
      </c>
      <c r="P50" s="2358"/>
      <c r="Q50" s="2358"/>
      <c r="R50" s="949" t="s">
        <v>36</v>
      </c>
      <c r="S50" s="949"/>
      <c r="T50" s="949"/>
      <c r="U50" s="949"/>
    </row>
    <row r="51" spans="1:24" x14ac:dyDescent="0.3">
      <c r="A51" s="1434"/>
      <c r="B51" s="1435"/>
      <c r="C51" s="1435"/>
      <c r="D51" s="1435"/>
      <c r="E51" s="1435"/>
      <c r="F51" s="1435"/>
      <c r="G51" s="1435"/>
      <c r="H51" s="1435"/>
      <c r="I51" s="1435"/>
      <c r="J51" s="1435"/>
      <c r="K51" s="1435"/>
      <c r="L51" s="1435"/>
      <c r="M51" s="1435"/>
      <c r="N51" s="1436"/>
      <c r="O51" s="2358"/>
      <c r="P51" s="2358"/>
      <c r="Q51" s="2358"/>
      <c r="R51" s="949"/>
      <c r="S51" s="949"/>
      <c r="T51" s="949"/>
      <c r="U51" s="949"/>
    </row>
    <row r="52" spans="1:24" x14ac:dyDescent="0.3">
      <c r="A52" s="1434" t="s">
        <v>289</v>
      </c>
      <c r="B52" s="1435"/>
      <c r="C52" s="1435"/>
      <c r="D52" s="1435"/>
      <c r="E52" s="1435"/>
      <c r="F52" s="1435"/>
      <c r="G52" s="1435"/>
      <c r="H52" s="1435"/>
      <c r="I52" s="1435"/>
      <c r="J52" s="1435"/>
      <c r="K52" s="1435"/>
      <c r="L52" s="1435"/>
      <c r="M52" s="1435"/>
      <c r="N52" s="1436"/>
      <c r="O52" s="2358">
        <f>O48</f>
        <v>119.45499999999997</v>
      </c>
      <c r="P52" s="2358"/>
      <c r="Q52" s="2358"/>
      <c r="R52" s="949" t="s">
        <v>284</v>
      </c>
      <c r="S52" s="949"/>
      <c r="T52" s="949"/>
      <c r="U52" s="949"/>
    </row>
    <row r="53" spans="1:24" x14ac:dyDescent="0.3">
      <c r="A53" s="1434" t="s">
        <v>290</v>
      </c>
      <c r="B53" s="1435"/>
      <c r="C53" s="1435"/>
      <c r="D53" s="1435"/>
      <c r="E53" s="1435"/>
      <c r="F53" s="1435"/>
      <c r="G53" s="1435"/>
      <c r="H53" s="1435"/>
      <c r="I53" s="1435"/>
      <c r="J53" s="1435"/>
      <c r="K53" s="1435"/>
      <c r="L53" s="1435"/>
      <c r="M53" s="1435"/>
      <c r="N53" s="1436"/>
      <c r="O53" s="2360">
        <f>O46+O49</f>
        <v>0.10369921731123388</v>
      </c>
      <c r="P53" s="2360"/>
      <c r="Q53" s="2360"/>
      <c r="R53" s="949" t="s">
        <v>291</v>
      </c>
      <c r="S53" s="949"/>
      <c r="T53" s="949"/>
      <c r="U53" s="949"/>
    </row>
    <row r="54" spans="1:24" x14ac:dyDescent="0.3">
      <c r="A54" s="1434" t="s">
        <v>292</v>
      </c>
      <c r="B54" s="1435"/>
      <c r="C54" s="1435"/>
      <c r="D54" s="1435"/>
      <c r="E54" s="1435"/>
      <c r="F54" s="1435"/>
      <c r="G54" s="1435"/>
      <c r="H54" s="1435"/>
      <c r="I54" s="1435"/>
      <c r="J54" s="1435"/>
      <c r="K54" s="1435"/>
      <c r="L54" s="1435"/>
      <c r="M54" s="1435"/>
      <c r="N54" s="1436"/>
      <c r="O54" s="2359">
        <f>O47+O50</f>
        <v>1001.3947513812154</v>
      </c>
      <c r="P54" s="2359"/>
      <c r="Q54" s="2359"/>
      <c r="R54" s="949" t="s">
        <v>293</v>
      </c>
      <c r="S54" s="949"/>
      <c r="T54" s="949"/>
      <c r="U54" s="949"/>
    </row>
    <row r="55" spans="1:24" x14ac:dyDescent="0.3">
      <c r="A55" s="1434"/>
      <c r="B55" s="1435"/>
      <c r="C55" s="1435"/>
      <c r="D55" s="1435"/>
      <c r="E55" s="1435"/>
      <c r="F55" s="1435"/>
      <c r="G55" s="1435"/>
      <c r="H55" s="1435"/>
      <c r="I55" s="1435"/>
      <c r="J55" s="1435"/>
      <c r="K55" s="1435"/>
      <c r="L55" s="1435"/>
      <c r="M55" s="1435"/>
      <c r="N55" s="1436"/>
      <c r="O55" s="2358"/>
      <c r="P55" s="2358"/>
      <c r="Q55" s="2358"/>
      <c r="R55" s="949"/>
      <c r="S55" s="949"/>
      <c r="T55" s="949"/>
      <c r="U55" s="949"/>
    </row>
    <row r="56" spans="1:24" x14ac:dyDescent="0.3">
      <c r="A56" s="1434" t="s">
        <v>294</v>
      </c>
      <c r="B56" s="1435"/>
      <c r="C56" s="1435"/>
      <c r="D56" s="1435"/>
      <c r="E56" s="1435"/>
      <c r="F56" s="1435"/>
      <c r="G56" s="1435"/>
      <c r="H56" s="1435"/>
      <c r="I56" s="1435"/>
      <c r="J56" s="1435"/>
      <c r="K56" s="1435"/>
      <c r="L56" s="1435"/>
      <c r="M56" s="1435"/>
      <c r="N56" s="1436"/>
      <c r="O56" s="2358"/>
      <c r="P56" s="2358"/>
      <c r="Q56" s="2358"/>
      <c r="R56" s="949"/>
      <c r="S56" s="949"/>
      <c r="T56" s="949"/>
      <c r="U56" s="949"/>
    </row>
    <row r="57" spans="1:24" x14ac:dyDescent="0.3">
      <c r="A57" s="1434" t="s">
        <v>295</v>
      </c>
      <c r="B57" s="1435"/>
      <c r="C57" s="1435"/>
      <c r="D57" s="1435"/>
      <c r="E57" s="1435"/>
      <c r="F57" s="1435"/>
      <c r="G57" s="1435"/>
      <c r="H57" s="1435"/>
      <c r="I57" s="1435"/>
      <c r="J57" s="1435"/>
      <c r="K57" s="1435"/>
      <c r="L57" s="1435"/>
      <c r="M57" s="1435"/>
      <c r="N57" s="1436"/>
      <c r="O57" s="2358">
        <v>35</v>
      </c>
      <c r="P57" s="2358"/>
      <c r="Q57" s="2358"/>
      <c r="R57" s="949" t="s">
        <v>296</v>
      </c>
      <c r="S57" s="949"/>
      <c r="T57" s="949"/>
      <c r="U57" s="949"/>
    </row>
    <row r="58" spans="1:24" x14ac:dyDescent="0.3">
      <c r="A58" s="1434"/>
      <c r="B58" s="1435"/>
      <c r="C58" s="1435"/>
      <c r="D58" s="1435"/>
      <c r="E58" s="1435"/>
      <c r="F58" s="1435"/>
      <c r="G58" s="1435"/>
      <c r="H58" s="1435"/>
      <c r="I58" s="1435"/>
      <c r="J58" s="1435"/>
      <c r="K58" s="1435"/>
      <c r="L58" s="1435"/>
      <c r="M58" s="1435"/>
      <c r="N58" s="1436"/>
      <c r="O58" s="2358">
        <v>12</v>
      </c>
      <c r="P58" s="2358"/>
      <c r="Q58" s="2358"/>
      <c r="R58" s="949" t="s">
        <v>2018</v>
      </c>
      <c r="S58" s="949"/>
      <c r="T58" s="949"/>
      <c r="U58" s="949"/>
    </row>
    <row r="59" spans="1:24" x14ac:dyDescent="0.3">
      <c r="A59" s="1434" t="s">
        <v>297</v>
      </c>
      <c r="B59" s="1435"/>
      <c r="C59" s="1435"/>
      <c r="D59" s="1435"/>
      <c r="E59" s="1435"/>
      <c r="F59" s="1435"/>
      <c r="G59" s="1435"/>
      <c r="H59" s="1435"/>
      <c r="I59" s="1435"/>
      <c r="J59" s="1435"/>
      <c r="K59" s="1435"/>
      <c r="L59" s="1435"/>
      <c r="M59" s="1435"/>
      <c r="N59" s="1436"/>
      <c r="O59" s="2359">
        <f>O57/O58</f>
        <v>2.9166666666666665</v>
      </c>
      <c r="P59" s="2359"/>
      <c r="Q59" s="2359"/>
      <c r="R59" s="949" t="s">
        <v>763</v>
      </c>
      <c r="S59" s="949"/>
      <c r="T59" s="949"/>
      <c r="U59" s="949"/>
    </row>
    <row r="60" spans="1:24" x14ac:dyDescent="0.3">
      <c r="A60" s="1434"/>
      <c r="B60" s="1435"/>
      <c r="C60" s="1435"/>
      <c r="D60" s="1435"/>
      <c r="E60" s="1435"/>
      <c r="F60" s="1435"/>
      <c r="G60" s="1435"/>
      <c r="H60" s="1435"/>
      <c r="I60" s="1435"/>
      <c r="J60" s="1435"/>
      <c r="K60" s="1435"/>
      <c r="L60" s="1435"/>
      <c r="M60" s="1435"/>
      <c r="N60" s="1436"/>
      <c r="O60" s="2358"/>
      <c r="P60" s="2358"/>
      <c r="Q60" s="2358"/>
      <c r="R60" s="949"/>
      <c r="S60" s="949"/>
      <c r="T60" s="949"/>
      <c r="U60" s="949"/>
    </row>
    <row r="61" spans="1:24" ht="16.2" customHeight="1" x14ac:dyDescent="0.3">
      <c r="A61" s="1434" t="s">
        <v>298</v>
      </c>
      <c r="B61" s="1435"/>
      <c r="C61" s="1435"/>
      <c r="D61" s="1435"/>
      <c r="E61" s="1435"/>
      <c r="F61" s="1435"/>
      <c r="G61" s="1435"/>
      <c r="H61" s="1435"/>
      <c r="I61" s="1435"/>
      <c r="J61" s="1435"/>
      <c r="K61" s="1435"/>
      <c r="L61" s="1435"/>
      <c r="M61" s="1435"/>
      <c r="N61" s="1436"/>
      <c r="O61" s="2358">
        <f>ROUND(O53/O59,3)</f>
        <v>3.5999999999999997E-2</v>
      </c>
      <c r="P61" s="2358"/>
      <c r="Q61" s="2358"/>
      <c r="R61" s="949" t="s">
        <v>612</v>
      </c>
      <c r="S61" s="949"/>
      <c r="T61" s="949"/>
      <c r="U61" s="949"/>
    </row>
    <row r="62" spans="1:24" ht="16.2" customHeight="1" x14ac:dyDescent="0.3">
      <c r="A62" s="1434" t="s">
        <v>299</v>
      </c>
      <c r="B62" s="1435"/>
      <c r="C62" s="1435"/>
      <c r="D62" s="1435"/>
      <c r="E62" s="1435"/>
      <c r="F62" s="1435"/>
      <c r="G62" s="1435"/>
      <c r="H62" s="1435"/>
      <c r="I62" s="1435"/>
      <c r="J62" s="1435"/>
      <c r="K62" s="1435"/>
      <c r="L62" s="1435"/>
      <c r="M62" s="1435"/>
      <c r="N62" s="1436"/>
      <c r="O62" s="2358">
        <f>ROUND(O54/O59,2)</f>
        <v>343.34</v>
      </c>
      <c r="P62" s="2358"/>
      <c r="Q62" s="2358"/>
      <c r="R62" s="949" t="s">
        <v>654</v>
      </c>
      <c r="S62" s="949"/>
      <c r="T62" s="949"/>
      <c r="U62" s="949"/>
    </row>
    <row r="63" spans="1:24" ht="15" thickBot="1" x14ac:dyDescent="0.35"/>
    <row r="64" spans="1:24" x14ac:dyDescent="0.3">
      <c r="A64" s="1252" t="s">
        <v>15</v>
      </c>
      <c r="B64" s="1253"/>
      <c r="C64" s="1253"/>
      <c r="D64" s="1253"/>
      <c r="E64" s="1253"/>
      <c r="F64" s="1253"/>
      <c r="G64" s="1253"/>
      <c r="H64" s="1253"/>
      <c r="I64" s="1253" t="s">
        <v>16</v>
      </c>
      <c r="J64" s="1253"/>
      <c r="K64" s="1253"/>
      <c r="L64" s="1253"/>
      <c r="M64" s="1253"/>
      <c r="N64" s="1253"/>
      <c r="O64" s="1253"/>
      <c r="P64" s="1253"/>
      <c r="Q64" s="1253" t="s">
        <v>17</v>
      </c>
      <c r="R64" s="1253"/>
      <c r="S64" s="1253"/>
      <c r="T64" s="1253"/>
      <c r="U64" s="1253"/>
      <c r="V64" s="1253"/>
      <c r="W64" s="1253"/>
      <c r="X64" s="1254"/>
    </row>
    <row r="65" spans="1:24" ht="15" thickBot="1" x14ac:dyDescent="0.35">
      <c r="A65" s="1247" t="s">
        <v>1203</v>
      </c>
      <c r="B65" s="1248"/>
      <c r="C65" s="1248"/>
      <c r="D65" s="1248"/>
      <c r="E65" s="1248"/>
      <c r="F65" s="1248"/>
      <c r="G65" s="1248"/>
      <c r="H65" s="1248"/>
      <c r="I65" s="1414">
        <f>ROUND($O$61,3)</f>
        <v>3.5999999999999997E-2</v>
      </c>
      <c r="J65" s="1414"/>
      <c r="K65" s="1414"/>
      <c r="L65" s="1414"/>
      <c r="M65" s="1414"/>
      <c r="N65" s="1414"/>
      <c r="O65" s="1414"/>
      <c r="P65" s="1414"/>
      <c r="Q65" s="1415">
        <f>ROUND($O$62,2)</f>
        <v>343.34</v>
      </c>
      <c r="R65" s="1415"/>
      <c r="S65" s="1415"/>
      <c r="T65" s="1415"/>
      <c r="U65" s="1415"/>
      <c r="V65" s="1415"/>
      <c r="W65" s="1415"/>
      <c r="X65" s="1416"/>
    </row>
  </sheetData>
  <sheetProtection algorithmName="SHA-512" hashValue="yFFN4TfFtSPtyWcL6rBGAzNzd/z8GmeS9W8tSz9IuLHV3Y+9qiDUeEELyw3BQhlzt8QbEBgLGh6/rFOcayT+SA==" saltValue="Re4uAN+TvDWn+UccM77ItQ==" spinCount="100000" sheet="1" objects="1" scenarios="1"/>
  <mergeCells count="127">
    <mergeCell ref="A58:N58"/>
    <mergeCell ref="A59:N59"/>
    <mergeCell ref="A60:N60"/>
    <mergeCell ref="A61:N61"/>
    <mergeCell ref="A62:N62"/>
    <mergeCell ref="B18:AF18"/>
    <mergeCell ref="A21:AF21"/>
    <mergeCell ref="B9:AF9"/>
    <mergeCell ref="B12:AF12"/>
    <mergeCell ref="A34:D34"/>
    <mergeCell ref="W34:AF34"/>
    <mergeCell ref="E34:O34"/>
    <mergeCell ref="P34:S34"/>
    <mergeCell ref="T34:V34"/>
    <mergeCell ref="A33:D33"/>
    <mergeCell ref="W33:AF33"/>
    <mergeCell ref="E33:O33"/>
    <mergeCell ref="P33:S33"/>
    <mergeCell ref="T33:V33"/>
    <mergeCell ref="A36:D36"/>
    <mergeCell ref="W36:AF36"/>
    <mergeCell ref="E36:O36"/>
    <mergeCell ref="P36:S36"/>
    <mergeCell ref="T36:V36"/>
    <mergeCell ref="A3:AF3"/>
    <mergeCell ref="B6:AF6"/>
    <mergeCell ref="B15:AF15"/>
    <mergeCell ref="W31:AF31"/>
    <mergeCell ref="A32:D32"/>
    <mergeCell ref="W32:AF32"/>
    <mergeCell ref="E32:O32"/>
    <mergeCell ref="P32:S32"/>
    <mergeCell ref="T32:V32"/>
    <mergeCell ref="A30:D30"/>
    <mergeCell ref="W30:AF30"/>
    <mergeCell ref="A31:D31"/>
    <mergeCell ref="A29:AF29"/>
    <mergeCell ref="E30:O30"/>
    <mergeCell ref="P30:S30"/>
    <mergeCell ref="T30:V30"/>
    <mergeCell ref="E31:O31"/>
    <mergeCell ref="P31:S31"/>
    <mergeCell ref="T31:V31"/>
    <mergeCell ref="A35:D35"/>
    <mergeCell ref="W35:AF35"/>
    <mergeCell ref="E35:O35"/>
    <mergeCell ref="P35:S35"/>
    <mergeCell ref="T35:V35"/>
    <mergeCell ref="A38:D38"/>
    <mergeCell ref="W38:AF38"/>
    <mergeCell ref="E38:O38"/>
    <mergeCell ref="P38:S38"/>
    <mergeCell ref="T38:V38"/>
    <mergeCell ref="A37:D37"/>
    <mergeCell ref="W37:AF37"/>
    <mergeCell ref="E37:O37"/>
    <mergeCell ref="P37:S37"/>
    <mergeCell ref="T37:V37"/>
    <mergeCell ref="A39:D39"/>
    <mergeCell ref="W39:AF39"/>
    <mergeCell ref="E39:O39"/>
    <mergeCell ref="P39:S39"/>
    <mergeCell ref="T39:V39"/>
    <mergeCell ref="A41:D41"/>
    <mergeCell ref="E41:O41"/>
    <mergeCell ref="P41:S41"/>
    <mergeCell ref="T41:V41"/>
    <mergeCell ref="W41:AF41"/>
    <mergeCell ref="A49:N49"/>
    <mergeCell ref="A50:N50"/>
    <mergeCell ref="A51:N51"/>
    <mergeCell ref="A44:AF44"/>
    <mergeCell ref="O46:Q46"/>
    <mergeCell ref="R46:U46"/>
    <mergeCell ref="A40:D40"/>
    <mergeCell ref="W40:AF40"/>
    <mergeCell ref="E40:O40"/>
    <mergeCell ref="P40:S40"/>
    <mergeCell ref="T40:V40"/>
    <mergeCell ref="A64:H64"/>
    <mergeCell ref="I64:P64"/>
    <mergeCell ref="Q64:X64"/>
    <mergeCell ref="A65:H65"/>
    <mergeCell ref="I65:P65"/>
    <mergeCell ref="Q65:X65"/>
    <mergeCell ref="O47:Q47"/>
    <mergeCell ref="R47:U47"/>
    <mergeCell ref="O62:Q62"/>
    <mergeCell ref="R62:U62"/>
    <mergeCell ref="O60:Q60"/>
    <mergeCell ref="R60:U60"/>
    <mergeCell ref="O61:Q61"/>
    <mergeCell ref="R61:U61"/>
    <mergeCell ref="A52:N52"/>
    <mergeCell ref="A53:N53"/>
    <mergeCell ref="A54:N54"/>
    <mergeCell ref="A55:N55"/>
    <mergeCell ref="A56:N56"/>
    <mergeCell ref="A57:N57"/>
    <mergeCell ref="O50:Q50"/>
    <mergeCell ref="R50:U50"/>
    <mergeCell ref="O51:Q51"/>
    <mergeCell ref="R51:U51"/>
    <mergeCell ref="A1:AF1"/>
    <mergeCell ref="O58:Q58"/>
    <mergeCell ref="R58:U58"/>
    <mergeCell ref="O59:Q59"/>
    <mergeCell ref="R59:U59"/>
    <mergeCell ref="O56:Q56"/>
    <mergeCell ref="R56:U56"/>
    <mergeCell ref="O57:Q57"/>
    <mergeCell ref="R57:U57"/>
    <mergeCell ref="O54:Q54"/>
    <mergeCell ref="R54:U54"/>
    <mergeCell ref="O55:Q55"/>
    <mergeCell ref="R55:U55"/>
    <mergeCell ref="O52:Q52"/>
    <mergeCell ref="R52:U52"/>
    <mergeCell ref="O53:Q53"/>
    <mergeCell ref="R53:U53"/>
    <mergeCell ref="O48:Q48"/>
    <mergeCell ref="R48:U48"/>
    <mergeCell ref="O49:Q49"/>
    <mergeCell ref="R49:U49"/>
    <mergeCell ref="A46:N46"/>
    <mergeCell ref="A47:N47"/>
    <mergeCell ref="A48:N48"/>
  </mergeCells>
  <hyperlinks>
    <hyperlink ref="A2" location="TOC!A1" display="Return to TOC" xr:uid="{00000000-0004-0000-3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7">
    <tabColor theme="5" tint="0.59999389629810485"/>
    <pageSetUpPr autoPageBreaks="0"/>
  </sheetPr>
  <dimension ref="A1:AF43"/>
  <sheetViews>
    <sheetView workbookViewId="0">
      <selection sqref="A1:AF1"/>
    </sheetView>
  </sheetViews>
  <sheetFormatPr defaultColWidth="2.6640625" defaultRowHeight="14.4" x14ac:dyDescent="0.3"/>
  <cols>
    <col min="1" max="16384" width="2.6640625" style="1"/>
  </cols>
  <sheetData>
    <row r="1" spans="1:32" ht="18" x14ac:dyDescent="0.3">
      <c r="A1" s="1131" t="s">
        <v>888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s="4" customFormat="1" ht="108" customHeight="1" x14ac:dyDescent="0.3">
      <c r="B6" s="953" t="s">
        <v>314</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51" t="s">
        <v>4</v>
      </c>
      <c r="C8" s="51"/>
      <c r="D8" s="51"/>
      <c r="E8" s="51"/>
      <c r="F8" s="51"/>
      <c r="G8" s="51"/>
      <c r="H8" s="51"/>
      <c r="I8" s="51"/>
    </row>
    <row r="9" spans="1:32" x14ac:dyDescent="0.3">
      <c r="B9" s="1142" t="s">
        <v>1305</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32" x14ac:dyDescent="0.3">
      <c r="B11" s="51" t="s">
        <v>5</v>
      </c>
      <c r="C11" s="51"/>
      <c r="D11" s="51"/>
      <c r="E11" s="51"/>
      <c r="F11" s="51"/>
      <c r="G11" s="51"/>
      <c r="H11" s="51"/>
      <c r="I11" s="51"/>
    </row>
    <row r="12" spans="1:32" x14ac:dyDescent="0.3">
      <c r="B12" s="1142" t="s">
        <v>317</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s="4" customFormat="1" ht="62.25" customHeight="1" x14ac:dyDescent="0.3">
      <c r="B15" s="953" t="s">
        <v>315</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7" spans="1:32" x14ac:dyDescent="0.3">
      <c r="B17" s="51" t="s">
        <v>13</v>
      </c>
      <c r="C17" s="51"/>
      <c r="D17" s="51"/>
      <c r="E17" s="51"/>
      <c r="F17" s="51"/>
      <c r="G17" s="51"/>
      <c r="H17" s="51"/>
      <c r="I17" s="51"/>
    </row>
    <row r="18" spans="1:32" s="4" customFormat="1" ht="51" customHeight="1" x14ac:dyDescent="0.3">
      <c r="B18" s="953" t="s">
        <v>316</v>
      </c>
      <c r="C18" s="953"/>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x14ac:dyDescent="0.3">
      <c r="A23" s="1422" t="s">
        <v>32</v>
      </c>
      <c r="B23" s="1255"/>
      <c r="C23" s="1255"/>
      <c r="D23" s="1255"/>
      <c r="E23" s="1255"/>
      <c r="F23" s="1255"/>
      <c r="G23" s="1255"/>
      <c r="H23" s="1256" t="s">
        <v>534</v>
      </c>
      <c r="I23" s="1423"/>
      <c r="J23" s="1423"/>
      <c r="K23" s="1423"/>
      <c r="L23" s="1423"/>
      <c r="M23" s="1423"/>
      <c r="N23" s="1423"/>
      <c r="O23" s="1423"/>
      <c r="P23" s="1423"/>
      <c r="Q23" s="1423"/>
      <c r="R23" s="1423"/>
      <c r="S23" s="1423"/>
      <c r="T23" s="1423"/>
      <c r="U23" s="1423"/>
      <c r="V23" s="1423"/>
      <c r="W23" s="1423"/>
      <c r="X23" s="1423"/>
      <c r="Y23" s="1423"/>
      <c r="Z23" s="1423"/>
      <c r="AA23" s="1423"/>
      <c r="AB23" s="1423"/>
      <c r="AC23" s="1423"/>
      <c r="AD23" s="1423"/>
      <c r="AE23" s="1423"/>
      <c r="AF23" s="1423"/>
    </row>
    <row r="24" spans="1:32" x14ac:dyDescent="0.3">
      <c r="A24" s="1422" t="s">
        <v>33</v>
      </c>
      <c r="B24" s="1255"/>
      <c r="C24" s="1255"/>
      <c r="D24" s="1255"/>
      <c r="E24" s="1255"/>
      <c r="F24" s="1255"/>
      <c r="G24" s="1255"/>
      <c r="H24" s="1256" t="s">
        <v>535</v>
      </c>
      <c r="I24" s="1423"/>
      <c r="J24" s="1423"/>
      <c r="K24" s="1423"/>
      <c r="L24" s="1423"/>
      <c r="M24" s="1423"/>
      <c r="N24" s="1423"/>
      <c r="O24" s="1423"/>
      <c r="P24" s="1423"/>
      <c r="Q24" s="1423"/>
      <c r="R24" s="1423"/>
      <c r="S24" s="1423"/>
      <c r="T24" s="1423"/>
      <c r="U24" s="1423"/>
      <c r="V24" s="1423"/>
      <c r="W24" s="1423"/>
      <c r="X24" s="1423"/>
      <c r="Y24" s="1423"/>
      <c r="Z24" s="1423"/>
      <c r="AA24" s="1423"/>
      <c r="AB24" s="1423"/>
      <c r="AC24" s="1423"/>
      <c r="AD24" s="1423"/>
      <c r="AE24" s="1423"/>
      <c r="AF24" s="1423"/>
    </row>
    <row r="27" spans="1:32"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c r="U28" s="1143" t="s">
        <v>11</v>
      </c>
      <c r="V28" s="1143"/>
      <c r="W28" s="1143" t="s">
        <v>12</v>
      </c>
      <c r="X28" s="1143"/>
      <c r="Y28" s="1143"/>
      <c r="Z28" s="1143"/>
      <c r="AA28" s="1143"/>
      <c r="AB28" s="1143"/>
      <c r="AC28" s="1143"/>
      <c r="AD28" s="1143"/>
      <c r="AE28" s="1143"/>
      <c r="AF28" s="1143"/>
    </row>
    <row r="29" spans="1:32" x14ac:dyDescent="0.3">
      <c r="A29" s="1243" t="s">
        <v>32</v>
      </c>
      <c r="B29" s="1244"/>
      <c r="C29" s="1244"/>
      <c r="D29" s="1245"/>
      <c r="E29" s="1154" t="s">
        <v>152</v>
      </c>
      <c r="F29" s="1155"/>
      <c r="G29" s="1155"/>
      <c r="H29" s="1155"/>
      <c r="I29" s="1155"/>
      <c r="J29" s="1155"/>
      <c r="K29" s="1155"/>
      <c r="L29" s="1155"/>
      <c r="M29" s="1155"/>
      <c r="N29" s="1155"/>
      <c r="O29" s="1155"/>
      <c r="P29" s="1156"/>
      <c r="Q29" s="1243" t="s">
        <v>35</v>
      </c>
      <c r="R29" s="1244"/>
      <c r="S29" s="1244"/>
      <c r="T29" s="1245"/>
      <c r="U29" s="1243" t="s">
        <v>36</v>
      </c>
      <c r="V29" s="1245"/>
      <c r="W29" s="1154"/>
      <c r="X29" s="1155"/>
      <c r="Y29" s="1155"/>
      <c r="Z29" s="1155"/>
      <c r="AA29" s="1155"/>
      <c r="AB29" s="1155"/>
      <c r="AC29" s="1155"/>
      <c r="AD29" s="1155"/>
      <c r="AE29" s="1155"/>
      <c r="AF29" s="1156"/>
    </row>
    <row r="30" spans="1:32" x14ac:dyDescent="0.3">
      <c r="A30" s="1243" t="s">
        <v>33</v>
      </c>
      <c r="B30" s="1244"/>
      <c r="C30" s="1244"/>
      <c r="D30" s="1245"/>
      <c r="E30" s="1154" t="s">
        <v>153</v>
      </c>
      <c r="F30" s="1155"/>
      <c r="G30" s="1155"/>
      <c r="H30" s="1155"/>
      <c r="I30" s="1155"/>
      <c r="J30" s="1155"/>
      <c r="K30" s="1155"/>
      <c r="L30" s="1155"/>
      <c r="M30" s="1155"/>
      <c r="N30" s="1155"/>
      <c r="O30" s="1155"/>
      <c r="P30" s="1156"/>
      <c r="Q30" s="1243" t="s">
        <v>35</v>
      </c>
      <c r="R30" s="1244"/>
      <c r="S30" s="1244"/>
      <c r="T30" s="1245"/>
      <c r="U30" s="1243" t="s">
        <v>18</v>
      </c>
      <c r="V30" s="1245"/>
      <c r="W30" s="1154"/>
      <c r="X30" s="1155"/>
      <c r="Y30" s="1155"/>
      <c r="Z30" s="1155"/>
      <c r="AA30" s="1155"/>
      <c r="AB30" s="1155"/>
      <c r="AC30" s="1155"/>
      <c r="AD30" s="1155"/>
      <c r="AE30" s="1155"/>
      <c r="AF30" s="1156"/>
    </row>
    <row r="31" spans="1:32" x14ac:dyDescent="0.3">
      <c r="A31" s="1243" t="s">
        <v>318</v>
      </c>
      <c r="B31" s="1244"/>
      <c r="C31" s="1244"/>
      <c r="D31" s="1245"/>
      <c r="E31" s="1154" t="s">
        <v>2017</v>
      </c>
      <c r="F31" s="1155"/>
      <c r="G31" s="1155"/>
      <c r="H31" s="1155"/>
      <c r="I31" s="1155"/>
      <c r="J31" s="1155"/>
      <c r="K31" s="1155"/>
      <c r="L31" s="1155"/>
      <c r="M31" s="1155"/>
      <c r="N31" s="1155"/>
      <c r="O31" s="1155"/>
      <c r="P31" s="1156"/>
      <c r="Q31" s="1243" t="s">
        <v>23</v>
      </c>
      <c r="R31" s="1244"/>
      <c r="S31" s="1244"/>
      <c r="T31" s="1245"/>
      <c r="U31" s="1243" t="s">
        <v>18</v>
      </c>
      <c r="V31" s="1245"/>
      <c r="W31" s="1154"/>
      <c r="X31" s="1155"/>
      <c r="Y31" s="1155"/>
      <c r="Z31" s="1155"/>
      <c r="AA31" s="1155"/>
      <c r="AB31" s="1155"/>
      <c r="AC31" s="1155"/>
      <c r="AD31" s="1155"/>
      <c r="AE31" s="1155"/>
      <c r="AF31" s="1156"/>
    </row>
    <row r="32" spans="1:32" x14ac:dyDescent="0.3">
      <c r="A32" s="1243" t="s">
        <v>24</v>
      </c>
      <c r="B32" s="1244"/>
      <c r="C32" s="1244"/>
      <c r="D32" s="1245"/>
      <c r="E32" s="1154" t="s">
        <v>155</v>
      </c>
      <c r="F32" s="1155"/>
      <c r="G32" s="1155"/>
      <c r="H32" s="1155"/>
      <c r="I32" s="1155"/>
      <c r="J32" s="1155"/>
      <c r="K32" s="1155"/>
      <c r="L32" s="1155"/>
      <c r="M32" s="1155"/>
      <c r="N32" s="1155"/>
      <c r="O32" s="1155"/>
      <c r="P32" s="1156"/>
      <c r="Q32" s="1243">
        <v>8760</v>
      </c>
      <c r="R32" s="1244"/>
      <c r="S32" s="1244"/>
      <c r="T32" s="1245"/>
      <c r="U32" s="1243" t="s">
        <v>37</v>
      </c>
      <c r="V32" s="1245"/>
      <c r="W32" s="1154" t="s">
        <v>322</v>
      </c>
      <c r="X32" s="1155"/>
      <c r="Y32" s="1155"/>
      <c r="Z32" s="1155"/>
      <c r="AA32" s="1155"/>
      <c r="AB32" s="1155"/>
      <c r="AC32" s="1155"/>
      <c r="AD32" s="1155"/>
      <c r="AE32" s="1155"/>
      <c r="AF32" s="1156"/>
    </row>
    <row r="33" spans="1:32" x14ac:dyDescent="0.3">
      <c r="A33" s="1243" t="s">
        <v>319</v>
      </c>
      <c r="B33" s="1244"/>
      <c r="C33" s="1244"/>
      <c r="D33" s="1245"/>
      <c r="E33" s="1154" t="s">
        <v>2016</v>
      </c>
      <c r="F33" s="1155"/>
      <c r="G33" s="1155"/>
      <c r="H33" s="1155"/>
      <c r="I33" s="1155"/>
      <c r="J33" s="1155"/>
      <c r="K33" s="1155"/>
      <c r="L33" s="1155"/>
      <c r="M33" s="1155"/>
      <c r="N33" s="1155"/>
      <c r="O33" s="1155"/>
      <c r="P33" s="1156"/>
      <c r="Q33" s="1243" t="s">
        <v>23</v>
      </c>
      <c r="R33" s="1244"/>
      <c r="S33" s="1244"/>
      <c r="T33" s="1245"/>
      <c r="U33" s="1243" t="s">
        <v>22</v>
      </c>
      <c r="V33" s="1245"/>
      <c r="W33" s="1154"/>
      <c r="X33" s="1155"/>
      <c r="Y33" s="1155"/>
      <c r="Z33" s="1155"/>
      <c r="AA33" s="1155"/>
      <c r="AB33" s="1155"/>
      <c r="AC33" s="1155"/>
      <c r="AD33" s="1155"/>
      <c r="AE33" s="1155"/>
      <c r="AF33" s="1156"/>
    </row>
    <row r="34" spans="1:32" x14ac:dyDescent="0.3">
      <c r="A34" s="1243" t="s">
        <v>26</v>
      </c>
      <c r="B34" s="1244"/>
      <c r="C34" s="1244"/>
      <c r="D34" s="1245"/>
      <c r="E34" s="1154" t="s">
        <v>268</v>
      </c>
      <c r="F34" s="1155"/>
      <c r="G34" s="1155"/>
      <c r="H34" s="1155"/>
      <c r="I34" s="1155"/>
      <c r="J34" s="1155"/>
      <c r="K34" s="1155"/>
      <c r="L34" s="1155"/>
      <c r="M34" s="1155"/>
      <c r="N34" s="1155"/>
      <c r="O34" s="1155"/>
      <c r="P34" s="1156"/>
      <c r="Q34" s="1243">
        <f>'Master EUL'!X73</f>
        <v>8</v>
      </c>
      <c r="R34" s="1244"/>
      <c r="S34" s="1244"/>
      <c r="T34" s="1245"/>
      <c r="U34" s="1243" t="s">
        <v>38</v>
      </c>
      <c r="V34" s="1245"/>
      <c r="W34" s="1154"/>
      <c r="X34" s="1155"/>
      <c r="Y34" s="1155"/>
      <c r="Z34" s="1155"/>
      <c r="AA34" s="1155"/>
      <c r="AB34" s="1155"/>
      <c r="AC34" s="1155"/>
      <c r="AD34" s="1155"/>
      <c r="AE34" s="1155"/>
      <c r="AF34" s="1156"/>
    </row>
    <row r="37" spans="1:32" x14ac:dyDescent="0.3">
      <c r="A37" s="1141" t="s">
        <v>14</v>
      </c>
      <c r="B37" s="1141"/>
      <c r="C37" s="1141"/>
      <c r="D37" s="1141"/>
      <c r="E37" s="1141"/>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c r="AE37" s="1141"/>
      <c r="AF37" s="1141"/>
    </row>
    <row r="38" spans="1:32" ht="15" thickBot="1" x14ac:dyDescent="0.35"/>
    <row r="39" spans="1:32" x14ac:dyDescent="0.3">
      <c r="A39" s="1252" t="s">
        <v>15</v>
      </c>
      <c r="B39" s="1253"/>
      <c r="C39" s="1253"/>
      <c r="D39" s="1253"/>
      <c r="E39" s="1253"/>
      <c r="F39" s="1253"/>
      <c r="G39" s="1253"/>
      <c r="H39" s="1253"/>
      <c r="I39" s="1253" t="s">
        <v>16</v>
      </c>
      <c r="J39" s="1253"/>
      <c r="K39" s="1253"/>
      <c r="L39" s="1253"/>
      <c r="M39" s="1253"/>
      <c r="N39" s="1253"/>
      <c r="O39" s="1253"/>
      <c r="P39" s="1253"/>
      <c r="Q39" s="1253" t="s">
        <v>17</v>
      </c>
      <c r="R39" s="1253"/>
      <c r="S39" s="1253"/>
      <c r="T39" s="1253"/>
      <c r="U39" s="1253"/>
      <c r="V39" s="1253"/>
      <c r="W39" s="1253"/>
      <c r="X39" s="1254"/>
    </row>
    <row r="40" spans="1:32" ht="43.2" customHeight="1" x14ac:dyDescent="0.3">
      <c r="A40" s="2366" t="s">
        <v>617</v>
      </c>
      <c r="B40" s="1585"/>
      <c r="C40" s="1585"/>
      <c r="D40" s="1585"/>
      <c r="E40" s="1585"/>
      <c r="F40" s="1585"/>
      <c r="G40" s="1585"/>
      <c r="H40" s="1585"/>
      <c r="I40" s="2365">
        <f>ROUND(0.184,3)</f>
        <v>0.184</v>
      </c>
      <c r="J40" s="2365"/>
      <c r="K40" s="2365"/>
      <c r="L40" s="2365"/>
      <c r="M40" s="2365"/>
      <c r="N40" s="2365"/>
      <c r="O40" s="2365"/>
      <c r="P40" s="2365"/>
      <c r="Q40" s="2367">
        <f>ROUND(1612,2)</f>
        <v>1612</v>
      </c>
      <c r="R40" s="2367"/>
      <c r="S40" s="2367"/>
      <c r="T40" s="2367"/>
      <c r="U40" s="2367"/>
      <c r="V40" s="2367"/>
      <c r="W40" s="2367"/>
      <c r="X40" s="2368"/>
    </row>
    <row r="41" spans="1:32" x14ac:dyDescent="0.3">
      <c r="A41" s="2366" t="s">
        <v>618</v>
      </c>
      <c r="B41" s="1585"/>
      <c r="C41" s="1585"/>
      <c r="D41" s="1585"/>
      <c r="E41" s="1585"/>
      <c r="F41" s="1585"/>
      <c r="G41" s="1585"/>
      <c r="H41" s="1585"/>
      <c r="I41" s="2365">
        <f>ROUND(0.124,3)</f>
        <v>0.124</v>
      </c>
      <c r="J41" s="2365"/>
      <c r="K41" s="2365"/>
      <c r="L41" s="2365"/>
      <c r="M41" s="2365"/>
      <c r="N41" s="2365"/>
      <c r="O41" s="2365"/>
      <c r="P41" s="2365"/>
      <c r="Q41" s="2367">
        <f>ROUND(1086,2)</f>
        <v>1086</v>
      </c>
      <c r="R41" s="2367"/>
      <c r="S41" s="2367"/>
      <c r="T41" s="2367"/>
      <c r="U41" s="2367"/>
      <c r="V41" s="2367"/>
      <c r="W41" s="2367"/>
      <c r="X41" s="2368"/>
    </row>
    <row r="42" spans="1:32" ht="28.95" customHeight="1" x14ac:dyDescent="0.3">
      <c r="A42" s="2366" t="s">
        <v>619</v>
      </c>
      <c r="B42" s="1585"/>
      <c r="C42" s="1585"/>
      <c r="D42" s="1585"/>
      <c r="E42" s="1585"/>
      <c r="F42" s="1585"/>
      <c r="G42" s="1585"/>
      <c r="H42" s="1585"/>
      <c r="I42" s="2365">
        <f>ROUND(0.044,3)</f>
        <v>4.3999999999999997E-2</v>
      </c>
      <c r="J42" s="2365"/>
      <c r="K42" s="2365"/>
      <c r="L42" s="2365"/>
      <c r="M42" s="2365"/>
      <c r="N42" s="2365"/>
      <c r="O42" s="2365"/>
      <c r="P42" s="2365"/>
      <c r="Q42" s="2367">
        <f>ROUND(387,2)</f>
        <v>387</v>
      </c>
      <c r="R42" s="2367"/>
      <c r="S42" s="2367"/>
      <c r="T42" s="2367"/>
      <c r="U42" s="2367"/>
      <c r="V42" s="2367"/>
      <c r="W42" s="2367"/>
      <c r="X42" s="2368"/>
    </row>
    <row r="43" spans="1:32" ht="15" thickBot="1" x14ac:dyDescent="0.35">
      <c r="A43" s="2371" t="s">
        <v>620</v>
      </c>
      <c r="B43" s="2372"/>
      <c r="C43" s="2372"/>
      <c r="D43" s="2372"/>
      <c r="E43" s="2372"/>
      <c r="F43" s="2372"/>
      <c r="G43" s="2372"/>
      <c r="H43" s="2372"/>
      <c r="I43" s="2364">
        <f>ROUND(AVERAGE(I40:P42),3)</f>
        <v>0.11700000000000001</v>
      </c>
      <c r="J43" s="2364"/>
      <c r="K43" s="2364"/>
      <c r="L43" s="2364"/>
      <c r="M43" s="2364"/>
      <c r="N43" s="2364"/>
      <c r="O43" s="2364"/>
      <c r="P43" s="2364"/>
      <c r="Q43" s="2369">
        <f>ROUND(AVERAGE(Q40:X42),2)</f>
        <v>1028.33</v>
      </c>
      <c r="R43" s="2369"/>
      <c r="S43" s="2369"/>
      <c r="T43" s="2369"/>
      <c r="U43" s="2369"/>
      <c r="V43" s="2369"/>
      <c r="W43" s="2369"/>
      <c r="X43" s="2370"/>
    </row>
  </sheetData>
  <sheetProtection algorithmName="SHA-512" hashValue="HjuwFltxC/8swy8vR8faQOlWUi08+YWb4ZldTVUFk5AKhKQHvO/ZN8uXi4vebh0c865FcKOL0zhP/MMBAwLxQg==" saltValue="JhLeSnR7GQsZ31DQQBrkMw==" spinCount="100000" sheet="1" objects="1" scenarios="1"/>
  <mergeCells count="64">
    <mergeCell ref="Q41:X41"/>
    <mergeCell ref="Q42:X42"/>
    <mergeCell ref="Q43:X43"/>
    <mergeCell ref="A37:AF37"/>
    <mergeCell ref="A34:D34"/>
    <mergeCell ref="E34:P34"/>
    <mergeCell ref="Q34:T34"/>
    <mergeCell ref="U34:V34"/>
    <mergeCell ref="W34:AF34"/>
    <mergeCell ref="A39:H39"/>
    <mergeCell ref="I39:P39"/>
    <mergeCell ref="Q39:X39"/>
    <mergeCell ref="A40:H40"/>
    <mergeCell ref="I40:P40"/>
    <mergeCell ref="Q40:X40"/>
    <mergeCell ref="A43:H43"/>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7:AF27"/>
    <mergeCell ref="A28:D28"/>
    <mergeCell ref="E28:P28"/>
    <mergeCell ref="Q28:T28"/>
    <mergeCell ref="U28:V28"/>
    <mergeCell ref="W28:AF28"/>
    <mergeCell ref="A1:AF1"/>
    <mergeCell ref="A23:G23"/>
    <mergeCell ref="H23:AF23"/>
    <mergeCell ref="A24:G24"/>
    <mergeCell ref="H24:AF24"/>
    <mergeCell ref="A3:AF3"/>
    <mergeCell ref="B6:AF6"/>
    <mergeCell ref="B9:AF9"/>
    <mergeCell ref="A21:AF21"/>
    <mergeCell ref="B12:AF12"/>
    <mergeCell ref="B15:AF15"/>
    <mergeCell ref="B18:AF18"/>
    <mergeCell ref="I43:P43"/>
    <mergeCell ref="I41:P41"/>
    <mergeCell ref="I42:P42"/>
    <mergeCell ref="A41:H41"/>
    <mergeCell ref="A42:H42"/>
  </mergeCells>
  <hyperlinks>
    <hyperlink ref="A2" location="TOC!A1" display="Return to TOC" xr:uid="{00000000-0004-0000-3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8">
    <tabColor theme="5" tint="0.59999389629810485"/>
    <pageSetUpPr autoPageBreaks="0"/>
  </sheetPr>
  <dimension ref="A1:AF80"/>
  <sheetViews>
    <sheetView workbookViewId="0">
      <selection activeCell="A2" sqref="A2"/>
    </sheetView>
  </sheetViews>
  <sheetFormatPr defaultColWidth="2.6640625" defaultRowHeight="14.4" x14ac:dyDescent="0.3"/>
  <cols>
    <col min="1" max="16384" width="2.6640625" style="1"/>
  </cols>
  <sheetData>
    <row r="1" spans="1:32" ht="18" x14ac:dyDescent="0.3">
      <c r="A1" s="1131" t="s">
        <v>889</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34.5" customHeight="1" x14ac:dyDescent="0.3">
      <c r="A5" s="121"/>
      <c r="B5" s="953" t="s">
        <v>5905</v>
      </c>
      <c r="C5" s="953"/>
      <c r="D5" s="953"/>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row>
    <row r="6" spans="1:32" ht="15" customHeight="1"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51" t="s">
        <v>3</v>
      </c>
      <c r="C9" s="51"/>
      <c r="D9" s="51"/>
      <c r="E9" s="51"/>
      <c r="F9" s="51"/>
      <c r="G9" s="51"/>
      <c r="H9" s="51"/>
      <c r="I9" s="51"/>
    </row>
    <row r="10" spans="1:32" s="4" customFormat="1" ht="66" customHeight="1" x14ac:dyDescent="0.3">
      <c r="B10" s="872" t="s">
        <v>323</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2" spans="1:32" x14ac:dyDescent="0.3">
      <c r="B12" s="51" t="s">
        <v>4</v>
      </c>
      <c r="C12" s="51"/>
      <c r="D12" s="51"/>
      <c r="E12" s="51"/>
      <c r="F12" s="51"/>
      <c r="G12" s="51"/>
      <c r="H12" s="51"/>
      <c r="I12" s="51"/>
    </row>
    <row r="13" spans="1:32" ht="30.6" customHeight="1" x14ac:dyDescent="0.3">
      <c r="B13" s="872" t="s">
        <v>1306</v>
      </c>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row>
    <row r="15" spans="1:32" x14ac:dyDescent="0.3">
      <c r="B15" s="51" t="s">
        <v>5</v>
      </c>
      <c r="C15" s="51"/>
      <c r="D15" s="51"/>
      <c r="E15" s="51"/>
      <c r="F15" s="51"/>
      <c r="G15" s="51"/>
      <c r="H15" s="51"/>
      <c r="I15" s="51"/>
    </row>
    <row r="16" spans="1:32" x14ac:dyDescent="0.3">
      <c r="B16" s="1142" t="s">
        <v>326</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51" t="s">
        <v>6</v>
      </c>
      <c r="C18" s="51"/>
      <c r="D18" s="51"/>
      <c r="E18" s="51"/>
      <c r="F18" s="51"/>
      <c r="G18" s="51"/>
      <c r="H18" s="51"/>
      <c r="I18" s="51"/>
    </row>
    <row r="19" spans="1:32" x14ac:dyDescent="0.3">
      <c r="B19" s="1142" t="s">
        <v>324</v>
      </c>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row>
    <row r="21" spans="1:32" x14ac:dyDescent="0.3">
      <c r="B21" s="51" t="s">
        <v>13</v>
      </c>
      <c r="C21" s="51"/>
      <c r="D21" s="51"/>
      <c r="E21" s="51"/>
      <c r="F21" s="51"/>
      <c r="G21" s="51"/>
      <c r="H21" s="51"/>
      <c r="I21" s="51"/>
    </row>
    <row r="22" spans="1:32" x14ac:dyDescent="0.3">
      <c r="B22" s="1142" t="s">
        <v>325</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52" spans="1:32" x14ac:dyDescent="0.3">
      <c r="A52" s="1141" t="s">
        <v>14</v>
      </c>
      <c r="B52" s="1141"/>
      <c r="C52" s="1141"/>
      <c r="D52" s="1141"/>
      <c r="E52" s="1141"/>
      <c r="F52" s="1141"/>
      <c r="G52" s="1141"/>
      <c r="H52" s="1141"/>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c r="AE52" s="1141"/>
      <c r="AF52" s="1141"/>
    </row>
    <row r="54" spans="1:32" x14ac:dyDescent="0.3">
      <c r="A54" s="1" t="s">
        <v>2952</v>
      </c>
    </row>
    <row r="55" spans="1:32" x14ac:dyDescent="0.3">
      <c r="A55" s="32" t="s">
        <v>2953</v>
      </c>
    </row>
    <row r="56" spans="1:32" x14ac:dyDescent="0.3">
      <c r="A56" s="32" t="s">
        <v>327</v>
      </c>
    </row>
    <row r="58" spans="1:32" x14ac:dyDescent="0.3">
      <c r="A58" s="1" t="s">
        <v>328</v>
      </c>
    </row>
    <row r="59" spans="1:32" x14ac:dyDescent="0.3">
      <c r="A59" s="32" t="s">
        <v>329</v>
      </c>
    </row>
    <row r="60" spans="1:32" x14ac:dyDescent="0.3">
      <c r="A60" s="32" t="s">
        <v>330</v>
      </c>
    </row>
    <row r="61" spans="1:32" x14ac:dyDescent="0.3">
      <c r="A61" s="1" t="s">
        <v>331</v>
      </c>
    </row>
    <row r="63" spans="1:32" x14ac:dyDescent="0.3">
      <c r="A63" s="1" t="s">
        <v>332</v>
      </c>
    </row>
    <row r="65" spans="1:32" x14ac:dyDescent="0.3">
      <c r="A65" s="10" t="s">
        <v>333</v>
      </c>
    </row>
    <row r="68" spans="1:32" ht="30.75" customHeight="1" x14ac:dyDescent="0.3">
      <c r="A68" s="1058" t="s">
        <v>334</v>
      </c>
      <c r="B68" s="1058"/>
      <c r="C68" s="1058"/>
      <c r="D68" s="1058"/>
      <c r="E68" s="1058"/>
      <c r="F68" s="1058"/>
      <c r="G68" s="1058"/>
      <c r="H68" s="1058"/>
      <c r="I68" s="1058"/>
      <c r="J68" s="1058"/>
      <c r="K68" s="1058"/>
      <c r="L68" s="1058"/>
      <c r="M68" s="1058"/>
      <c r="N68" s="1058"/>
      <c r="O68" s="1058"/>
      <c r="P68" s="1058"/>
      <c r="Q68" s="1058"/>
      <c r="R68" s="1058"/>
      <c r="S68" s="1058"/>
      <c r="T68" s="1058"/>
      <c r="U68" s="1058"/>
      <c r="V68" s="1058"/>
      <c r="W68" s="1058"/>
      <c r="X68" s="1058"/>
      <c r="Y68" s="1058"/>
      <c r="Z68" s="1058"/>
      <c r="AA68" s="1058"/>
      <c r="AB68" s="1058"/>
      <c r="AC68" s="1058"/>
      <c r="AD68" s="1058"/>
      <c r="AE68" s="1058"/>
      <c r="AF68" s="1058"/>
    </row>
    <row r="69" spans="1:32" x14ac:dyDescent="0.3">
      <c r="A69" s="1" t="s">
        <v>335</v>
      </c>
    </row>
    <row r="70" spans="1:32" x14ac:dyDescent="0.3">
      <c r="A70" s="1" t="s">
        <v>336</v>
      </c>
    </row>
    <row r="72" spans="1:32" ht="46.5" customHeight="1" x14ac:dyDescent="0.3">
      <c r="A72" s="1058" t="s">
        <v>337</v>
      </c>
      <c r="B72" s="1058"/>
      <c r="C72" s="1058"/>
      <c r="D72" s="1058"/>
      <c r="E72" s="1058"/>
      <c r="F72" s="1058"/>
      <c r="G72" s="1058"/>
      <c r="H72" s="1058"/>
      <c r="I72" s="1058"/>
      <c r="J72" s="1058"/>
      <c r="K72" s="1058"/>
      <c r="L72" s="1058"/>
      <c r="M72" s="1058"/>
      <c r="N72" s="1058"/>
      <c r="O72" s="1058"/>
      <c r="P72" s="1058"/>
      <c r="Q72" s="1058"/>
      <c r="R72" s="1058"/>
      <c r="S72" s="1058"/>
      <c r="T72" s="1058"/>
      <c r="U72" s="1058"/>
      <c r="V72" s="1058"/>
      <c r="W72" s="1058"/>
      <c r="X72" s="1058"/>
      <c r="Y72" s="1058"/>
      <c r="Z72" s="1058"/>
      <c r="AA72" s="1058"/>
      <c r="AB72" s="1058"/>
      <c r="AC72" s="1058"/>
      <c r="AD72" s="1058"/>
      <c r="AE72" s="1058"/>
      <c r="AF72" s="1058"/>
    </row>
    <row r="74" spans="1:32" x14ac:dyDescent="0.3">
      <c r="A74" s="1" t="s">
        <v>338</v>
      </c>
    </row>
    <row r="75" spans="1:32" x14ac:dyDescent="0.3">
      <c r="A75" s="1" t="s">
        <v>339</v>
      </c>
    </row>
    <row r="77" spans="1:32" x14ac:dyDescent="0.3">
      <c r="A77" s="23" t="s">
        <v>340</v>
      </c>
    </row>
    <row r="78" spans="1:32" ht="15" thickBot="1" x14ac:dyDescent="0.35"/>
    <row r="79" spans="1:32" x14ac:dyDescent="0.3">
      <c r="A79" s="1252" t="s">
        <v>15</v>
      </c>
      <c r="B79" s="1253"/>
      <c r="C79" s="1253"/>
      <c r="D79" s="1253"/>
      <c r="E79" s="1253"/>
      <c r="F79" s="1253"/>
      <c r="G79" s="1253"/>
      <c r="H79" s="1253"/>
      <c r="I79" s="1253" t="s">
        <v>16</v>
      </c>
      <c r="J79" s="1253"/>
      <c r="K79" s="1253"/>
      <c r="L79" s="1253"/>
      <c r="M79" s="1253"/>
      <c r="N79" s="1253"/>
      <c r="O79" s="1253"/>
      <c r="P79" s="1253"/>
      <c r="Q79" s="1253" t="s">
        <v>17</v>
      </c>
      <c r="R79" s="1253"/>
      <c r="S79" s="1253"/>
      <c r="T79" s="1253"/>
      <c r="U79" s="1253"/>
      <c r="V79" s="1253"/>
      <c r="W79" s="1253"/>
      <c r="X79" s="1254"/>
    </row>
    <row r="80" spans="1:32" ht="15" thickBot="1" x14ac:dyDescent="0.35">
      <c r="A80" s="1247" t="s">
        <v>625</v>
      </c>
      <c r="B80" s="1248"/>
      <c r="C80" s="1248"/>
      <c r="D80" s="1248"/>
      <c r="E80" s="1248"/>
      <c r="F80" s="1248"/>
      <c r="G80" s="1248"/>
      <c r="H80" s="1248"/>
      <c r="I80" s="1414">
        <f>ROUND(0.02*0.9,3)</f>
        <v>1.7999999999999999E-2</v>
      </c>
      <c r="J80" s="1414"/>
      <c r="K80" s="1414"/>
      <c r="L80" s="1414"/>
      <c r="M80" s="1414"/>
      <c r="N80" s="1414"/>
      <c r="O80" s="1414"/>
      <c r="P80" s="1414"/>
      <c r="Q80" s="1415">
        <f>ROUND(225*0.9,2)</f>
        <v>202.5</v>
      </c>
      <c r="R80" s="1415"/>
      <c r="S80" s="1415"/>
      <c r="T80" s="1415"/>
      <c r="U80" s="1415"/>
      <c r="V80" s="1415"/>
      <c r="W80" s="1415"/>
      <c r="X80" s="1416"/>
    </row>
  </sheetData>
  <sheetProtection algorithmName="SHA-512" hashValue="mB08u+pWT0hbhvjgL7vC/4RlmfxH2eZnfHVMxYD5GQX6xglaKEIrdd86pSCPWk1URMtdGgaUb02c4pKKBgTM8A==" saltValue="AcwAEuIlfNs1Dv852W8Lyw==" spinCount="100000" sheet="1" objects="1" scenarios="1"/>
  <mergeCells count="19">
    <mergeCell ref="A7:AF7"/>
    <mergeCell ref="A1:AF1"/>
    <mergeCell ref="A25:AF25"/>
    <mergeCell ref="A68:AF68"/>
    <mergeCell ref="A72:AF72"/>
    <mergeCell ref="A52:AF52"/>
    <mergeCell ref="B10:AF10"/>
    <mergeCell ref="B13:AF13"/>
    <mergeCell ref="B16:AF16"/>
    <mergeCell ref="B19:AF19"/>
    <mergeCell ref="B22:AF22"/>
    <mergeCell ref="A3:AF3"/>
    <mergeCell ref="B5:AF5"/>
    <mergeCell ref="A79:H79"/>
    <mergeCell ref="I79:P79"/>
    <mergeCell ref="Q79:X79"/>
    <mergeCell ref="A80:H80"/>
    <mergeCell ref="I80:P80"/>
    <mergeCell ref="Q80:X80"/>
  </mergeCells>
  <hyperlinks>
    <hyperlink ref="A2" location="TOC!A1" display="Return to TOC" xr:uid="{00000000-0004-0000-3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9">
    <tabColor theme="5" tint="0.59999389629810485"/>
    <pageSetUpPr autoPageBreaks="0"/>
  </sheetPr>
  <dimension ref="A1:AF50"/>
  <sheetViews>
    <sheetView workbookViewId="0">
      <selection sqref="A1:AF1"/>
    </sheetView>
  </sheetViews>
  <sheetFormatPr defaultColWidth="2.6640625" defaultRowHeight="14.4" x14ac:dyDescent="0.3"/>
  <cols>
    <col min="1" max="16384" width="2.6640625" style="1"/>
  </cols>
  <sheetData>
    <row r="1" spans="1:32" ht="18" x14ac:dyDescent="0.3">
      <c r="A1" s="1131" t="s">
        <v>887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45.9" customHeight="1" x14ac:dyDescent="0.3">
      <c r="B6" s="872" t="s">
        <v>1442</v>
      </c>
      <c r="C6" s="872"/>
      <c r="D6" s="872"/>
      <c r="E6" s="872"/>
      <c r="F6" s="872"/>
      <c r="G6" s="872"/>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row>
    <row r="8" spans="1:32" x14ac:dyDescent="0.3">
      <c r="B8" s="51" t="s">
        <v>4</v>
      </c>
      <c r="C8" s="51"/>
      <c r="D8" s="51"/>
      <c r="E8" s="51"/>
      <c r="F8" s="51"/>
      <c r="G8" s="51"/>
      <c r="H8" s="51"/>
      <c r="I8" s="51"/>
    </row>
    <row r="9" spans="1:32" ht="14.4" customHeight="1" x14ac:dyDescent="0.3">
      <c r="B9" s="872" t="s">
        <v>1307</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32" x14ac:dyDescent="0.3">
      <c r="B11" s="51" t="s">
        <v>5</v>
      </c>
      <c r="C11" s="51"/>
      <c r="D11" s="51"/>
      <c r="E11" s="51"/>
      <c r="F11" s="51"/>
      <c r="G11" s="51"/>
      <c r="H11" s="51"/>
      <c r="I11" s="51"/>
    </row>
    <row r="12" spans="1:32" x14ac:dyDescent="0.3">
      <c r="B12" s="1142" t="s">
        <v>1003</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x14ac:dyDescent="0.3">
      <c r="B15" s="1142" t="s">
        <v>1001</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7" spans="1:32" x14ac:dyDescent="0.3">
      <c r="B17" s="51" t="s">
        <v>13</v>
      </c>
      <c r="C17" s="51"/>
      <c r="D17" s="51"/>
      <c r="E17" s="51"/>
      <c r="F17" s="51"/>
      <c r="G17" s="51"/>
      <c r="H17" s="51"/>
      <c r="I17" s="51"/>
    </row>
    <row r="18" spans="1:32" ht="14.4" customHeight="1" x14ac:dyDescent="0.3">
      <c r="B18" s="1058" t="s">
        <v>1002</v>
      </c>
      <c r="C18" s="1058"/>
      <c r="D18" s="1058"/>
      <c r="E18" s="1058"/>
      <c r="F18" s="1058"/>
      <c r="G18" s="1058"/>
      <c r="H18" s="1058"/>
      <c r="I18" s="1058"/>
      <c r="J18" s="1058"/>
      <c r="K18" s="1058"/>
      <c r="L18" s="1058"/>
      <c r="M18" s="1058"/>
      <c r="N18" s="1058"/>
      <c r="O18" s="1058"/>
      <c r="P18" s="1058"/>
      <c r="Q18" s="1058"/>
      <c r="R18" s="1058"/>
      <c r="S18" s="1058"/>
      <c r="T18" s="1058"/>
      <c r="U18" s="1058"/>
      <c r="V18" s="1058"/>
      <c r="W18" s="1058"/>
      <c r="X18" s="1058"/>
      <c r="Y18" s="1058"/>
      <c r="Z18" s="1058"/>
      <c r="AA18" s="1058"/>
      <c r="AB18" s="1058"/>
      <c r="AC18" s="1058"/>
      <c r="AD18" s="1058"/>
      <c r="AE18" s="1058"/>
      <c r="AF18" s="1058"/>
    </row>
    <row r="19" spans="1:32" ht="18.75" customHeight="1" x14ac:dyDescent="0.3">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2" spans="1:32" ht="14.4" customHeight="1" x14ac:dyDescent="0.3">
      <c r="A22" s="52"/>
    </row>
    <row r="23" spans="1:32" ht="16.2" x14ac:dyDescent="0.3">
      <c r="H23" s="268" t="s">
        <v>610</v>
      </c>
      <c r="I23" s="71" t="s">
        <v>764</v>
      </c>
    </row>
    <row r="24" spans="1:32" x14ac:dyDescent="0.3">
      <c r="H24" s="268" t="s">
        <v>611</v>
      </c>
      <c r="I24" s="71" t="s">
        <v>765</v>
      </c>
    </row>
    <row r="25" spans="1:32" x14ac:dyDescent="0.3">
      <c r="A25" s="119" t="s">
        <v>766</v>
      </c>
      <c r="B25" s="71"/>
    </row>
    <row r="26" spans="1:32" x14ac:dyDescent="0.3">
      <c r="A26" s="3"/>
      <c r="B26" s="71"/>
      <c r="H26" s="53"/>
    </row>
    <row r="27" spans="1:32" x14ac:dyDescent="0.3">
      <c r="A27" s="3"/>
      <c r="B27" s="71"/>
      <c r="H27" s="53"/>
    </row>
    <row r="28" spans="1:32" x14ac:dyDescent="0.3">
      <c r="A28" s="1141" t="s">
        <v>8</v>
      </c>
      <c r="B28" s="1141"/>
      <c r="C28" s="1141"/>
      <c r="D28" s="1141"/>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row>
    <row r="29" spans="1:32" x14ac:dyDescent="0.3">
      <c r="A29" s="1143" t="s">
        <v>9</v>
      </c>
      <c r="B29" s="1143"/>
      <c r="C29" s="1143"/>
      <c r="D29" s="1143"/>
      <c r="E29" s="1143" t="s">
        <v>3</v>
      </c>
      <c r="F29" s="1143"/>
      <c r="G29" s="1143"/>
      <c r="H29" s="1143"/>
      <c r="I29" s="1143"/>
      <c r="J29" s="1143"/>
      <c r="K29" s="1143"/>
      <c r="L29" s="1143"/>
      <c r="M29" s="1143"/>
      <c r="N29" s="1143"/>
      <c r="O29" s="1143"/>
      <c r="P29" s="1143"/>
      <c r="Q29" s="1143" t="s">
        <v>10</v>
      </c>
      <c r="R29" s="1143"/>
      <c r="S29" s="1143"/>
      <c r="T29" s="1143"/>
      <c r="U29" s="1143" t="s">
        <v>11</v>
      </c>
      <c r="V29" s="1143"/>
      <c r="W29" s="1143" t="s">
        <v>12</v>
      </c>
      <c r="X29" s="1143"/>
      <c r="Y29" s="1143"/>
      <c r="Z29" s="1143"/>
      <c r="AA29" s="1143"/>
      <c r="AB29" s="1143"/>
      <c r="AC29" s="1143"/>
      <c r="AD29" s="1143"/>
      <c r="AE29" s="1143"/>
      <c r="AF29" s="1143"/>
    </row>
    <row r="30" spans="1:32" ht="29.25" customHeight="1" x14ac:dyDescent="0.3">
      <c r="A30" s="1154" t="s">
        <v>767</v>
      </c>
      <c r="B30" s="1155"/>
      <c r="C30" s="1155"/>
      <c r="D30" s="1156"/>
      <c r="E30" s="2183" t="s">
        <v>768</v>
      </c>
      <c r="F30" s="1149"/>
      <c r="G30" s="1149"/>
      <c r="H30" s="1149"/>
      <c r="I30" s="1149"/>
      <c r="J30" s="1149"/>
      <c r="K30" s="1149"/>
      <c r="L30" s="1149"/>
      <c r="M30" s="1149"/>
      <c r="N30" s="1149"/>
      <c r="O30" s="1149"/>
      <c r="P30" s="1150"/>
      <c r="Q30" s="1243" t="s">
        <v>304</v>
      </c>
      <c r="R30" s="1244"/>
      <c r="S30" s="1244"/>
      <c r="T30" s="1245"/>
      <c r="U30" s="1243" t="s">
        <v>20</v>
      </c>
      <c r="V30" s="1245"/>
      <c r="W30" s="1148" t="s">
        <v>769</v>
      </c>
      <c r="X30" s="1149"/>
      <c r="Y30" s="1149"/>
      <c r="Z30" s="1149"/>
      <c r="AA30" s="1149"/>
      <c r="AB30" s="1149"/>
      <c r="AC30" s="1149"/>
      <c r="AD30" s="1149"/>
      <c r="AE30" s="1149"/>
      <c r="AF30" s="1150"/>
    </row>
    <row r="31" spans="1:32" ht="45" customHeight="1" x14ac:dyDescent="0.3">
      <c r="A31" s="1154" t="s">
        <v>24</v>
      </c>
      <c r="B31" s="1155"/>
      <c r="C31" s="1155"/>
      <c r="D31" s="1156"/>
      <c r="E31" s="1148" t="s">
        <v>770</v>
      </c>
      <c r="F31" s="1149"/>
      <c r="G31" s="1149"/>
      <c r="H31" s="1149"/>
      <c r="I31" s="1149"/>
      <c r="J31" s="1149"/>
      <c r="K31" s="1149"/>
      <c r="L31" s="1149"/>
      <c r="M31" s="1149"/>
      <c r="N31" s="1149"/>
      <c r="O31" s="1149"/>
      <c r="P31" s="1150"/>
      <c r="Q31" s="1403">
        <v>2407</v>
      </c>
      <c r="R31" s="1590"/>
      <c r="S31" s="1590"/>
      <c r="T31" s="1591"/>
      <c r="U31" s="1243" t="s">
        <v>37</v>
      </c>
      <c r="V31" s="1245"/>
      <c r="W31" s="1148" t="s">
        <v>1152</v>
      </c>
      <c r="X31" s="1149"/>
      <c r="Y31" s="1149"/>
      <c r="Z31" s="1149"/>
      <c r="AA31" s="1149"/>
      <c r="AB31" s="1149"/>
      <c r="AC31" s="1149"/>
      <c r="AD31" s="1149"/>
      <c r="AE31" s="1149"/>
      <c r="AF31" s="1150"/>
    </row>
    <row r="32" spans="1:32" ht="29.25" customHeight="1" x14ac:dyDescent="0.3">
      <c r="A32" s="1154" t="s">
        <v>26</v>
      </c>
      <c r="B32" s="1155"/>
      <c r="C32" s="1155"/>
      <c r="D32" s="1156"/>
      <c r="E32" s="1148" t="s">
        <v>268</v>
      </c>
      <c r="F32" s="1149"/>
      <c r="G32" s="1149"/>
      <c r="H32" s="1149"/>
      <c r="I32" s="1149"/>
      <c r="J32" s="1149"/>
      <c r="K32" s="1149"/>
      <c r="L32" s="1149"/>
      <c r="M32" s="1149"/>
      <c r="N32" s="1149"/>
      <c r="O32" s="1149"/>
      <c r="P32" s="1150"/>
      <c r="Q32" s="1243">
        <f>'Master EUL'!X90</f>
        <v>5</v>
      </c>
      <c r="R32" s="1244"/>
      <c r="S32" s="1244"/>
      <c r="T32" s="1245"/>
      <c r="U32" s="1243" t="s">
        <v>38</v>
      </c>
      <c r="V32" s="1245"/>
      <c r="W32" s="1154" t="s">
        <v>1000</v>
      </c>
      <c r="X32" s="1155"/>
      <c r="Y32" s="1155"/>
      <c r="Z32" s="1155"/>
      <c r="AA32" s="1155"/>
      <c r="AB32" s="1155"/>
      <c r="AC32" s="1155"/>
      <c r="AD32" s="1155"/>
      <c r="AE32" s="1155"/>
      <c r="AF32" s="1156"/>
    </row>
    <row r="33" spans="1:32" ht="23.25" customHeight="1" x14ac:dyDescent="0.3"/>
    <row r="34" spans="1:32" s="8" customFormat="1" ht="28.95" customHeight="1" x14ac:dyDescent="0.3">
      <c r="A34" s="1271" t="s">
        <v>613</v>
      </c>
      <c r="B34" s="1271"/>
      <c r="C34" s="1271"/>
      <c r="D34" s="1271"/>
      <c r="E34" s="1271"/>
      <c r="F34" s="1271"/>
      <c r="G34" s="1271"/>
      <c r="H34" s="1271"/>
      <c r="I34" s="1271"/>
      <c r="J34" s="1143" t="s">
        <v>1443</v>
      </c>
      <c r="K34" s="1143"/>
      <c r="L34" s="1143"/>
    </row>
    <row r="35" spans="1:32" ht="16.2" customHeight="1" x14ac:dyDescent="0.3">
      <c r="A35" s="1154" t="s">
        <v>614</v>
      </c>
      <c r="B35" s="1155"/>
      <c r="C35" s="1155"/>
      <c r="D35" s="1155"/>
      <c r="E35" s="1155"/>
      <c r="F35" s="1155"/>
      <c r="G35" s="1155"/>
      <c r="H35" s="1155"/>
      <c r="I35" s="1156"/>
      <c r="J35" s="1275">
        <v>0.03</v>
      </c>
      <c r="K35" s="1275"/>
      <c r="L35" s="1275"/>
      <c r="Z35" s="8"/>
      <c r="AA35" s="8"/>
    </row>
    <row r="36" spans="1:32" x14ac:dyDescent="0.3">
      <c r="A36" s="1154" t="s">
        <v>615</v>
      </c>
      <c r="B36" s="1155"/>
      <c r="C36" s="1155"/>
      <c r="D36" s="1155"/>
      <c r="E36" s="1155"/>
      <c r="F36" s="1155"/>
      <c r="G36" s="1155"/>
      <c r="H36" s="1155"/>
      <c r="I36" s="1156"/>
      <c r="J36" s="1275">
        <v>0.02</v>
      </c>
      <c r="K36" s="1275"/>
      <c r="L36" s="1275"/>
      <c r="Z36" s="8"/>
      <c r="AA36" s="8"/>
    </row>
    <row r="37" spans="1:32" x14ac:dyDescent="0.3">
      <c r="A37" s="1154" t="s">
        <v>616</v>
      </c>
      <c r="B37" s="1155"/>
      <c r="C37" s="1155"/>
      <c r="D37" s="1155"/>
      <c r="E37" s="1155"/>
      <c r="F37" s="1155"/>
      <c r="G37" s="1155"/>
      <c r="H37" s="1155"/>
      <c r="I37" s="1156"/>
      <c r="J37" s="1275">
        <v>0.01</v>
      </c>
      <c r="K37" s="1275"/>
      <c r="L37" s="1275"/>
      <c r="Z37" s="8"/>
      <c r="AA37" s="8"/>
    </row>
    <row r="38" spans="1:32" x14ac:dyDescent="0.3">
      <c r="A38" s="2376" t="s">
        <v>49</v>
      </c>
      <c r="B38" s="2377"/>
      <c r="C38" s="2377"/>
      <c r="D38" s="2377"/>
      <c r="E38" s="2377"/>
      <c r="F38" s="2377"/>
      <c r="G38" s="2377"/>
      <c r="H38" s="2377"/>
      <c r="I38" s="2378"/>
      <c r="J38" s="1143">
        <f>AVERAGE(J35:L37)</f>
        <v>0.02</v>
      </c>
      <c r="K38" s="1143"/>
      <c r="L38" s="1143"/>
      <c r="Z38" s="8"/>
      <c r="AA38" s="8"/>
    </row>
    <row r="39" spans="1:32" x14ac:dyDescent="0.3">
      <c r="A39" s="119" t="s">
        <v>624</v>
      </c>
      <c r="B39" s="8"/>
      <c r="C39" s="8"/>
      <c r="D39" s="8"/>
      <c r="E39" s="8"/>
      <c r="R39" s="111"/>
      <c r="Z39" s="111"/>
      <c r="AA39" s="8"/>
    </row>
    <row r="40" spans="1:32" ht="14.4" customHeight="1" x14ac:dyDescent="0.3">
      <c r="A40" s="119" t="s">
        <v>623</v>
      </c>
      <c r="B40" s="8"/>
      <c r="C40" s="8"/>
      <c r="D40" s="8"/>
      <c r="E40" s="8"/>
      <c r="R40" s="111"/>
      <c r="Z40" s="111"/>
      <c r="AA40" s="8"/>
    </row>
    <row r="41" spans="1:32" ht="14.4" customHeight="1" x14ac:dyDescent="0.3">
      <c r="A41" s="119" t="s">
        <v>771</v>
      </c>
      <c r="B41" s="8"/>
      <c r="C41" s="8"/>
      <c r="D41" s="8"/>
      <c r="E41" s="8"/>
      <c r="R41" s="8"/>
      <c r="Z41" s="8"/>
      <c r="AA41" s="8"/>
    </row>
    <row r="42" spans="1:32" x14ac:dyDescent="0.3">
      <c r="B42" s="8"/>
      <c r="C42" s="8"/>
      <c r="D42" s="8"/>
      <c r="E42" s="8"/>
      <c r="R42" s="8"/>
      <c r="Z42" s="8"/>
      <c r="AA42" s="8"/>
    </row>
    <row r="44" spans="1:32" ht="14.4" customHeight="1" x14ac:dyDescent="0.3">
      <c r="A44" s="1141" t="s">
        <v>14</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ht="14.4" customHeight="1" thickBot="1" x14ac:dyDescent="0.35"/>
    <row r="46" spans="1:32" ht="14.4" customHeight="1" x14ac:dyDescent="0.3">
      <c r="A46" s="1252" t="s">
        <v>15</v>
      </c>
      <c r="B46" s="1253"/>
      <c r="C46" s="1253"/>
      <c r="D46" s="1253"/>
      <c r="E46" s="1253"/>
      <c r="F46" s="1253"/>
      <c r="G46" s="1253"/>
      <c r="H46" s="1253"/>
      <c r="I46" s="1253" t="s">
        <v>16</v>
      </c>
      <c r="J46" s="1253"/>
      <c r="K46" s="1253"/>
      <c r="L46" s="1253"/>
      <c r="M46" s="1253"/>
      <c r="N46" s="1253"/>
      <c r="O46" s="1253"/>
      <c r="P46" s="1253"/>
      <c r="Q46" s="1253" t="s">
        <v>17</v>
      </c>
      <c r="R46" s="1253"/>
      <c r="S46" s="1253"/>
      <c r="T46" s="1253"/>
      <c r="U46" s="1253"/>
      <c r="V46" s="1253"/>
      <c r="W46" s="1253"/>
      <c r="X46" s="1254"/>
    </row>
    <row r="47" spans="1:32" ht="14.4" customHeight="1" thickBot="1" x14ac:dyDescent="0.35">
      <c r="A47" s="1247" t="s">
        <v>609</v>
      </c>
      <c r="B47" s="1248"/>
      <c r="C47" s="1248"/>
      <c r="D47" s="1248"/>
      <c r="E47" s="1248"/>
      <c r="F47" s="1248"/>
      <c r="G47" s="1248"/>
      <c r="H47" s="1248"/>
      <c r="I47" s="2373">
        <f>ROUND(0,3)</f>
        <v>0</v>
      </c>
      <c r="J47" s="2373"/>
      <c r="K47" s="2373"/>
      <c r="L47" s="2373"/>
      <c r="M47" s="2373"/>
      <c r="N47" s="2373"/>
      <c r="O47" s="2373"/>
      <c r="P47" s="2373"/>
      <c r="Q47" s="2374">
        <f>ROUND(J38*Q31,2)</f>
        <v>48.14</v>
      </c>
      <c r="R47" s="2374"/>
      <c r="S47" s="2374"/>
      <c r="T47" s="2374"/>
      <c r="U47" s="2374"/>
      <c r="V47" s="2374"/>
      <c r="W47" s="2374"/>
      <c r="X47" s="2375"/>
    </row>
    <row r="48" spans="1:32" ht="14.4" customHeight="1" x14ac:dyDescent="0.3"/>
    <row r="49" ht="14.4" customHeight="1" x14ac:dyDescent="0.3"/>
    <row r="50" ht="14.4" customHeight="1" x14ac:dyDescent="0.3"/>
  </sheetData>
  <sheetProtection algorithmName="SHA-512" hashValue="ybh1SdZu/pRU1wJ8d5UyRK3suR+49uJfJ9e9MosZFL57HpYkUKJgsygpaaqGdnLqtTvzzJA77uPIvmBTgrlH+w==" saltValue="UVxABizMWAtyDgO6+lY3RA==" spinCount="100000" sheet="1" objects="1" scenarios="1"/>
  <mergeCells count="46">
    <mergeCell ref="A3:AF3"/>
    <mergeCell ref="A28:AF28"/>
    <mergeCell ref="A29:D29"/>
    <mergeCell ref="E29:P29"/>
    <mergeCell ref="Q29:T29"/>
    <mergeCell ref="U29:V29"/>
    <mergeCell ref="W29:AF29"/>
    <mergeCell ref="A21:AF21"/>
    <mergeCell ref="B6:AF6"/>
    <mergeCell ref="B9:AF9"/>
    <mergeCell ref="B12:AF12"/>
    <mergeCell ref="B15:AF15"/>
    <mergeCell ref="B18:AF19"/>
    <mergeCell ref="A30:D30"/>
    <mergeCell ref="E30:P30"/>
    <mergeCell ref="Q30:T30"/>
    <mergeCell ref="U30:V30"/>
    <mergeCell ref="W30:AF30"/>
    <mergeCell ref="U32:V32"/>
    <mergeCell ref="W32:AF32"/>
    <mergeCell ref="A31:D31"/>
    <mergeCell ref="E31:P31"/>
    <mergeCell ref="Q31:T31"/>
    <mergeCell ref="U31:V31"/>
    <mergeCell ref="W31:AF31"/>
    <mergeCell ref="A36:I36"/>
    <mergeCell ref="J36:L36"/>
    <mergeCell ref="A32:D32"/>
    <mergeCell ref="E32:P32"/>
    <mergeCell ref="Q32:T32"/>
    <mergeCell ref="A1:AF1"/>
    <mergeCell ref="A46:H46"/>
    <mergeCell ref="I46:P46"/>
    <mergeCell ref="Q46:X46"/>
    <mergeCell ref="A47:H47"/>
    <mergeCell ref="I47:P47"/>
    <mergeCell ref="Q47:X47"/>
    <mergeCell ref="A37:I37"/>
    <mergeCell ref="J37:L37"/>
    <mergeCell ref="A38:I38"/>
    <mergeCell ref="J38:L38"/>
    <mergeCell ref="A44:AF44"/>
    <mergeCell ref="A34:I34"/>
    <mergeCell ref="J34:L34"/>
    <mergeCell ref="A35:I35"/>
    <mergeCell ref="J35:L35"/>
  </mergeCells>
  <hyperlinks>
    <hyperlink ref="A2" location="TOC!A1" display="Return to TOC" xr:uid="{00000000-0004-0000-3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9">
    <tabColor theme="7" tint="0.59999389629810485"/>
    <pageSetUpPr autoPageBreaks="0"/>
  </sheetPr>
  <dimension ref="A1:AF68"/>
  <sheetViews>
    <sheetView workbookViewId="0">
      <selection sqref="A1:AF1"/>
    </sheetView>
  </sheetViews>
  <sheetFormatPr defaultColWidth="2.6640625" defaultRowHeight="14.4" x14ac:dyDescent="0.3"/>
  <cols>
    <col min="1" max="16384" width="2.6640625" style="1"/>
  </cols>
  <sheetData>
    <row r="1" spans="1:32" ht="18" x14ac:dyDescent="0.3">
      <c r="A1" s="2379" t="s">
        <v>1265</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x14ac:dyDescent="0.3">
      <c r="A6"/>
      <c r="B6"/>
      <c r="C6"/>
      <c r="D6"/>
      <c r="E6"/>
      <c r="F6"/>
      <c r="G6"/>
      <c r="H6"/>
      <c r="I6"/>
      <c r="J6"/>
      <c r="K6"/>
      <c r="L6"/>
      <c r="M6"/>
      <c r="N6"/>
      <c r="O6"/>
      <c r="P6"/>
      <c r="Q6"/>
      <c r="R6"/>
      <c r="S6"/>
      <c r="T6"/>
      <c r="U6"/>
      <c r="V6"/>
      <c r="W6"/>
      <c r="X6"/>
      <c r="Y6"/>
      <c r="Z6"/>
      <c r="AA6"/>
      <c r="AB6"/>
      <c r="AC6"/>
      <c r="AD6"/>
      <c r="AE6"/>
      <c r="AF6"/>
    </row>
    <row r="7" spans="1:32" x14ac:dyDescent="0.3">
      <c r="A7" s="869" t="s">
        <v>2</v>
      </c>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1"/>
    </row>
    <row r="8" spans="1:32"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B9" s="51" t="s">
        <v>3</v>
      </c>
      <c r="C9" s="51"/>
      <c r="D9" s="51"/>
      <c r="E9" s="51"/>
      <c r="F9" s="51"/>
      <c r="G9" s="51"/>
      <c r="H9" s="51"/>
      <c r="I9" s="51"/>
    </row>
    <row r="10" spans="1:32" ht="71.25" customHeight="1" x14ac:dyDescent="0.3">
      <c r="B10" s="953" t="s">
        <v>2921</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51" t="s">
        <v>4</v>
      </c>
      <c r="C12" s="51"/>
      <c r="D12" s="51"/>
      <c r="E12" s="51"/>
      <c r="F12" s="51"/>
      <c r="G12" s="51"/>
      <c r="H12" s="51"/>
      <c r="I12" s="51"/>
    </row>
    <row r="13" spans="1:32" ht="109.5" customHeight="1" x14ac:dyDescent="0.3">
      <c r="A13" s="4"/>
      <c r="B13" s="953" t="s">
        <v>2656</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5" spans="1:32" x14ac:dyDescent="0.3">
      <c r="B15" s="51" t="s">
        <v>5</v>
      </c>
      <c r="C15" s="51"/>
      <c r="D15" s="51"/>
      <c r="E15" s="51"/>
      <c r="F15" s="51"/>
      <c r="G15" s="51"/>
      <c r="H15" s="51"/>
      <c r="I15" s="51"/>
    </row>
    <row r="16" spans="1:32" x14ac:dyDescent="0.3">
      <c r="B16" s="1142" t="s">
        <v>3303</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51" t="s">
        <v>6</v>
      </c>
      <c r="C18" s="51"/>
      <c r="D18" s="51"/>
      <c r="E18" s="51"/>
      <c r="F18" s="51"/>
      <c r="G18" s="51"/>
      <c r="H18" s="51"/>
      <c r="I18" s="51"/>
    </row>
    <row r="19" spans="1:32" ht="34.5" customHeight="1" x14ac:dyDescent="0.3">
      <c r="B19" s="953" t="s">
        <v>2920</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95.25" customHeight="1" x14ac:dyDescent="0.3">
      <c r="B22" s="953" t="s">
        <v>2657</v>
      </c>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row>
    <row r="24" spans="1:32" x14ac:dyDescent="0.3">
      <c r="A24" s="869" t="s">
        <v>7</v>
      </c>
      <c r="B24" s="870"/>
      <c r="C24" s="870"/>
      <c r="D24" s="870"/>
      <c r="E24" s="870"/>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1"/>
    </row>
    <row r="26" spans="1:32" x14ac:dyDescent="0.3">
      <c r="B26" s="367" t="s">
        <v>2658</v>
      </c>
    </row>
    <row r="27" spans="1:32" x14ac:dyDescent="0.3">
      <c r="B27" s="51"/>
    </row>
    <row r="28" spans="1:32" x14ac:dyDescent="0.3">
      <c r="C28" s="231" t="s">
        <v>2659</v>
      </c>
    </row>
    <row r="29" spans="1:32" ht="30.75" customHeight="1" x14ac:dyDescent="0.3">
      <c r="C29" s="1449"/>
      <c r="D29" s="1449"/>
      <c r="E29" s="1449"/>
      <c r="F29" s="1449"/>
      <c r="G29" s="1449"/>
      <c r="H29" s="1449"/>
      <c r="I29" s="1449"/>
      <c r="J29" s="1449"/>
      <c r="K29" s="1449"/>
      <c r="L29" s="1449"/>
      <c r="M29" s="1449"/>
      <c r="N29" s="1449"/>
      <c r="O29" s="1449"/>
      <c r="P29" s="1449"/>
      <c r="Q29" s="1449"/>
      <c r="R29" s="1449"/>
      <c r="S29" s="1449"/>
      <c r="T29" s="1449"/>
      <c r="U29" s="1449"/>
      <c r="V29" s="1449"/>
      <c r="W29" s="1449"/>
      <c r="X29" s="1449"/>
      <c r="Y29" s="1449"/>
      <c r="Z29" s="1449"/>
      <c r="AA29" s="1449"/>
      <c r="AB29" s="1449"/>
      <c r="AC29" s="1449"/>
      <c r="AD29" s="1449"/>
      <c r="AE29" s="1449"/>
      <c r="AF29" s="71" t="s">
        <v>1463</v>
      </c>
    </row>
    <row r="30" spans="1:32" x14ac:dyDescent="0.3">
      <c r="C30" s="231" t="s">
        <v>2660</v>
      </c>
    </row>
    <row r="31" spans="1:32" ht="30.75" customHeight="1" x14ac:dyDescent="0.3">
      <c r="C31" s="1449"/>
      <c r="D31" s="1449"/>
      <c r="E31" s="1449"/>
      <c r="F31" s="1449"/>
      <c r="G31" s="1449"/>
      <c r="H31" s="1449"/>
      <c r="I31" s="1449"/>
      <c r="J31" s="1449"/>
      <c r="K31" s="1449"/>
      <c r="L31" s="1449"/>
      <c r="M31" s="1449"/>
      <c r="N31" s="1449"/>
      <c r="O31" s="1449"/>
      <c r="P31" s="1449"/>
      <c r="Q31" s="1449"/>
      <c r="R31" s="1449"/>
      <c r="S31" s="1449"/>
      <c r="T31" s="1449"/>
      <c r="U31" s="1449"/>
      <c r="V31" s="1449"/>
      <c r="W31" s="1449"/>
      <c r="X31" s="1449"/>
      <c r="Y31" s="1449"/>
      <c r="Z31" s="1449"/>
      <c r="AA31" s="1449"/>
      <c r="AB31" s="1449"/>
      <c r="AC31" s="1449"/>
      <c r="AD31" s="1449"/>
      <c r="AE31" s="1449"/>
      <c r="AF31" s="71" t="s">
        <v>1464</v>
      </c>
    </row>
    <row r="32" spans="1:32" x14ac:dyDescent="0.3">
      <c r="C32" s="231" t="s">
        <v>2661</v>
      </c>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row>
    <row r="33" spans="1:32" ht="30.75" customHeight="1" x14ac:dyDescent="0.3">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1" t="s">
        <v>1465</v>
      </c>
    </row>
    <row r="34" spans="1:32" x14ac:dyDescent="0.3">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1"/>
    </row>
    <row r="35" spans="1:32" x14ac:dyDescent="0.3">
      <c r="B35" s="367" t="s">
        <v>776</v>
      </c>
    </row>
    <row r="37" spans="1:32" x14ac:dyDescent="0.3">
      <c r="C37" s="231" t="s">
        <v>2659</v>
      </c>
    </row>
    <row r="38" spans="1:32" ht="30.75" customHeight="1" x14ac:dyDescent="0.3">
      <c r="C38" s="1449"/>
      <c r="D38" s="1449"/>
      <c r="E38" s="1449"/>
      <c r="F38" s="1449"/>
      <c r="G38" s="1449"/>
      <c r="H38" s="1449"/>
      <c r="I38" s="1449"/>
      <c r="J38" s="1449"/>
      <c r="K38" s="1449"/>
      <c r="L38" s="1449"/>
      <c r="M38" s="1449"/>
      <c r="N38" s="1449"/>
      <c r="O38" s="1449"/>
      <c r="P38" s="1449"/>
      <c r="Q38" s="1449"/>
      <c r="R38" s="1449"/>
      <c r="S38" s="1449"/>
      <c r="T38" s="1449"/>
      <c r="U38" s="1449"/>
      <c r="V38" s="1449"/>
      <c r="W38" s="1449"/>
      <c r="X38" s="1449"/>
      <c r="Y38" s="1449"/>
      <c r="Z38" s="1449"/>
      <c r="AA38" s="1449"/>
      <c r="AB38" s="1449"/>
      <c r="AC38" s="1449"/>
      <c r="AD38" s="1449"/>
      <c r="AE38" s="1449"/>
      <c r="AF38" s="71" t="s">
        <v>1517</v>
      </c>
    </row>
    <row r="39" spans="1:32" x14ac:dyDescent="0.3">
      <c r="C39" s="231" t="s">
        <v>2660</v>
      </c>
    </row>
    <row r="40" spans="1:32" ht="30.75" customHeight="1" x14ac:dyDescent="0.3">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49"/>
      <c r="AA40" s="1449"/>
      <c r="AB40" s="1449"/>
      <c r="AC40" s="1449"/>
      <c r="AD40" s="1449"/>
      <c r="AE40" s="1449"/>
      <c r="AF40" s="71" t="s">
        <v>1556</v>
      </c>
    </row>
    <row r="41" spans="1:32" x14ac:dyDescent="0.3">
      <c r="C41" s="231" t="s">
        <v>2661</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row>
    <row r="42" spans="1:32" ht="30.75" customHeight="1" x14ac:dyDescent="0.3">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1" t="s">
        <v>1558</v>
      </c>
    </row>
    <row r="43" spans="1:32" x14ac:dyDescent="0.3">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1"/>
    </row>
    <row r="44" spans="1:32" x14ac:dyDescent="0.3">
      <c r="A44"/>
      <c r="N44"/>
      <c r="O44"/>
      <c r="P44"/>
      <c r="Q44"/>
      <c r="R44"/>
      <c r="S44"/>
      <c r="T44"/>
      <c r="U44"/>
      <c r="V44"/>
      <c r="W44"/>
      <c r="X44"/>
      <c r="Y44"/>
      <c r="Z44"/>
      <c r="AA44"/>
      <c r="AB44"/>
      <c r="AC44"/>
      <c r="AD44"/>
      <c r="AE44"/>
      <c r="AF44"/>
    </row>
    <row r="45" spans="1:32" x14ac:dyDescent="0.3">
      <c r="A45" s="869" t="s">
        <v>8</v>
      </c>
      <c r="B45" s="870"/>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1"/>
    </row>
    <row r="46" spans="1:32" x14ac:dyDescent="0.3">
      <c r="A46" s="1259" t="s">
        <v>9</v>
      </c>
      <c r="B46" s="1260"/>
      <c r="C46" s="1260"/>
      <c r="D46" s="1421"/>
      <c r="E46" s="1259" t="s">
        <v>3</v>
      </c>
      <c r="F46" s="1260"/>
      <c r="G46" s="1260"/>
      <c r="H46" s="1260"/>
      <c r="I46" s="1260"/>
      <c r="J46" s="1260"/>
      <c r="K46" s="1260"/>
      <c r="L46" s="1260"/>
      <c r="M46" s="1260"/>
      <c r="N46" s="1260"/>
      <c r="O46" s="1260"/>
      <c r="P46" s="1421"/>
      <c r="Q46" s="1259" t="s">
        <v>10</v>
      </c>
      <c r="R46" s="1260"/>
      <c r="S46" s="1260"/>
      <c r="T46" s="1421"/>
      <c r="U46" s="1259" t="s">
        <v>11</v>
      </c>
      <c r="V46" s="1260"/>
      <c r="W46" s="1421"/>
      <c r="X46" s="1259" t="s">
        <v>1466</v>
      </c>
      <c r="Y46" s="1260"/>
      <c r="Z46" s="1260"/>
      <c r="AA46" s="1260"/>
      <c r="AB46" s="1260"/>
      <c r="AC46" s="1260"/>
      <c r="AD46" s="1260"/>
      <c r="AE46" s="1260"/>
      <c r="AF46" s="1421"/>
    </row>
    <row r="47" spans="1:32" ht="33" customHeight="1" x14ac:dyDescent="0.3">
      <c r="A47" s="1148" t="s">
        <v>2662</v>
      </c>
      <c r="B47" s="1149"/>
      <c r="C47" s="1149"/>
      <c r="D47" s="1150"/>
      <c r="E47" s="1154" t="s">
        <v>2663</v>
      </c>
      <c r="F47" s="1155"/>
      <c r="G47" s="1155"/>
      <c r="H47" s="1155"/>
      <c r="I47" s="1155"/>
      <c r="J47" s="1155"/>
      <c r="K47" s="1155"/>
      <c r="L47" s="1155"/>
      <c r="M47" s="1155"/>
      <c r="N47" s="1155"/>
      <c r="O47" s="1155"/>
      <c r="P47" s="1156"/>
      <c r="Q47" s="1151" t="s">
        <v>35</v>
      </c>
      <c r="R47" s="1152"/>
      <c r="S47" s="1152"/>
      <c r="T47" s="1153"/>
      <c r="U47" s="1151" t="s">
        <v>2664</v>
      </c>
      <c r="V47" s="1152"/>
      <c r="W47" s="1153"/>
      <c r="X47" s="1151"/>
      <c r="Y47" s="1152"/>
      <c r="Z47" s="1152"/>
      <c r="AA47" s="1152"/>
      <c r="AB47" s="1152"/>
      <c r="AC47" s="1152"/>
      <c r="AD47" s="1152"/>
      <c r="AE47" s="1152"/>
      <c r="AF47" s="1153"/>
    </row>
    <row r="48" spans="1:32" ht="32.25" customHeight="1" x14ac:dyDescent="0.3">
      <c r="A48" s="1148" t="s">
        <v>2665</v>
      </c>
      <c r="B48" s="1149"/>
      <c r="C48" s="1149"/>
      <c r="D48" s="1150"/>
      <c r="E48" s="1148" t="s">
        <v>2666</v>
      </c>
      <c r="F48" s="1149"/>
      <c r="G48" s="1149"/>
      <c r="H48" s="1149"/>
      <c r="I48" s="1149"/>
      <c r="J48" s="1149"/>
      <c r="K48" s="1149"/>
      <c r="L48" s="1149"/>
      <c r="M48" s="1149"/>
      <c r="N48" s="1149"/>
      <c r="O48" s="1149"/>
      <c r="P48" s="1150"/>
      <c r="Q48" s="1151" t="s">
        <v>35</v>
      </c>
      <c r="R48" s="1152"/>
      <c r="S48" s="1152"/>
      <c r="T48" s="1153"/>
      <c r="U48" s="1151" t="s">
        <v>2667</v>
      </c>
      <c r="V48" s="1152"/>
      <c r="W48" s="1153"/>
      <c r="X48" s="1151"/>
      <c r="Y48" s="1152"/>
      <c r="Z48" s="1152"/>
      <c r="AA48" s="1152"/>
      <c r="AB48" s="1152"/>
      <c r="AC48" s="1152"/>
      <c r="AD48" s="1152"/>
      <c r="AE48" s="1152"/>
      <c r="AF48" s="1153"/>
    </row>
    <row r="49" spans="1:32" x14ac:dyDescent="0.3">
      <c r="A49" s="1154" t="s">
        <v>159</v>
      </c>
      <c r="B49" s="1155"/>
      <c r="C49" s="1155"/>
      <c r="D49" s="1156"/>
      <c r="E49" s="1154" t="s">
        <v>2668</v>
      </c>
      <c r="F49" s="1155"/>
      <c r="G49" s="1155"/>
      <c r="H49" s="1155"/>
      <c r="I49" s="1155"/>
      <c r="J49" s="1155"/>
      <c r="K49" s="1155"/>
      <c r="L49" s="1155"/>
      <c r="M49" s="1155"/>
      <c r="N49" s="1155"/>
      <c r="O49" s="1155"/>
      <c r="P49" s="1156"/>
      <c r="Q49" s="1243">
        <v>0.746</v>
      </c>
      <c r="R49" s="1244"/>
      <c r="S49" s="1244"/>
      <c r="T49" s="1245"/>
      <c r="U49" s="1243" t="s">
        <v>2667</v>
      </c>
      <c r="V49" s="1244"/>
      <c r="W49" s="1245"/>
      <c r="X49" s="1154"/>
      <c r="Y49" s="1155"/>
      <c r="Z49" s="1155"/>
      <c r="AA49" s="1155"/>
      <c r="AB49" s="1155"/>
      <c r="AC49" s="1155"/>
      <c r="AD49" s="1155"/>
      <c r="AE49" s="1155"/>
      <c r="AF49" s="1156"/>
    </row>
    <row r="50" spans="1:32" x14ac:dyDescent="0.3">
      <c r="A50" s="1154" t="s">
        <v>2669</v>
      </c>
      <c r="B50" s="1155"/>
      <c r="C50" s="1155"/>
      <c r="D50" s="1156"/>
      <c r="E50" s="1154" t="s">
        <v>320</v>
      </c>
      <c r="F50" s="1155"/>
      <c r="G50" s="1155"/>
      <c r="H50" s="1155"/>
      <c r="I50" s="1155"/>
      <c r="J50" s="1155"/>
      <c r="K50" s="1155"/>
      <c r="L50" s="1155"/>
      <c r="M50" s="1155"/>
      <c r="N50" s="1155"/>
      <c r="O50" s="1155"/>
      <c r="P50" s="1156"/>
      <c r="Q50" s="1243">
        <v>8760</v>
      </c>
      <c r="R50" s="1244"/>
      <c r="S50" s="1244"/>
      <c r="T50" s="1245"/>
      <c r="U50" s="1243" t="s">
        <v>37</v>
      </c>
      <c r="V50" s="1244"/>
      <c r="W50" s="1245"/>
      <c r="X50" s="1154" t="s">
        <v>1483</v>
      </c>
      <c r="Y50" s="1155"/>
      <c r="Z50" s="1155"/>
      <c r="AA50" s="1155"/>
      <c r="AB50" s="1155"/>
      <c r="AC50" s="1155"/>
      <c r="AD50" s="1155"/>
      <c r="AE50" s="1155"/>
      <c r="AF50" s="1156"/>
    </row>
    <row r="51" spans="1:32" ht="31.5" customHeight="1" x14ac:dyDescent="0.3">
      <c r="A51" s="1154" t="s">
        <v>228</v>
      </c>
      <c r="B51" s="1155"/>
      <c r="C51" s="1155"/>
      <c r="D51" s="1156"/>
      <c r="E51" s="1148" t="s">
        <v>2670</v>
      </c>
      <c r="F51" s="1149"/>
      <c r="G51" s="1149"/>
      <c r="H51" s="1149"/>
      <c r="I51" s="1149"/>
      <c r="J51" s="1149"/>
      <c r="K51" s="1149"/>
      <c r="L51" s="1149"/>
      <c r="M51" s="1149"/>
      <c r="N51" s="1149"/>
      <c r="O51" s="1149"/>
      <c r="P51" s="1150"/>
      <c r="Q51" s="1446">
        <v>0.6</v>
      </c>
      <c r="R51" s="1447"/>
      <c r="S51" s="1447"/>
      <c r="T51" s="1448"/>
      <c r="U51" s="1243" t="s">
        <v>20</v>
      </c>
      <c r="V51" s="1244"/>
      <c r="W51" s="1245"/>
      <c r="X51" s="1154" t="s">
        <v>1483</v>
      </c>
      <c r="Y51" s="1155"/>
      <c r="Z51" s="1155"/>
      <c r="AA51" s="1155"/>
      <c r="AB51" s="1155"/>
      <c r="AC51" s="1155"/>
      <c r="AD51" s="1155"/>
      <c r="AE51" s="1155"/>
      <c r="AF51" s="1156"/>
    </row>
    <row r="52" spans="1:32" x14ac:dyDescent="0.3">
      <c r="A52" s="1154" t="s">
        <v>21</v>
      </c>
      <c r="B52" s="1155"/>
      <c r="C52" s="1155"/>
      <c r="D52" s="1156"/>
      <c r="E52" s="1154" t="s">
        <v>96</v>
      </c>
      <c r="F52" s="1155"/>
      <c r="G52" s="1155"/>
      <c r="H52" s="1155"/>
      <c r="I52" s="1155"/>
      <c r="J52" s="1155"/>
      <c r="K52" s="1155"/>
      <c r="L52" s="1155"/>
      <c r="M52" s="1155"/>
      <c r="N52" s="1155"/>
      <c r="O52" s="1155"/>
      <c r="P52" s="1156"/>
      <c r="Q52" s="2210">
        <v>0.5</v>
      </c>
      <c r="R52" s="2211"/>
      <c r="S52" s="2211"/>
      <c r="T52" s="2212"/>
      <c r="U52" s="1243" t="s">
        <v>20</v>
      </c>
      <c r="V52" s="1244"/>
      <c r="W52" s="1245"/>
      <c r="X52" s="1154" t="s">
        <v>1483</v>
      </c>
      <c r="Y52" s="1155"/>
      <c r="Z52" s="1155"/>
      <c r="AA52" s="1155"/>
      <c r="AB52" s="1155"/>
      <c r="AC52" s="1155"/>
      <c r="AD52" s="1155"/>
      <c r="AE52" s="1155"/>
      <c r="AF52" s="1156"/>
    </row>
    <row r="53" spans="1:32" ht="105.75" customHeight="1" x14ac:dyDescent="0.3">
      <c r="A53" s="1148" t="s">
        <v>2671</v>
      </c>
      <c r="B53" s="1149"/>
      <c r="C53" s="1149"/>
      <c r="D53" s="1150"/>
      <c r="E53" s="1148" t="s">
        <v>2672</v>
      </c>
      <c r="F53" s="1149"/>
      <c r="G53" s="1149"/>
      <c r="H53" s="1149"/>
      <c r="I53" s="1149"/>
      <c r="J53" s="1149"/>
      <c r="K53" s="1149"/>
      <c r="L53" s="1149"/>
      <c r="M53" s="1149"/>
      <c r="N53" s="1149"/>
      <c r="O53" s="1149"/>
      <c r="P53" s="1150"/>
      <c r="Q53" s="2143">
        <v>0.89852145495998992</v>
      </c>
      <c r="R53" s="2144"/>
      <c r="S53" s="2144"/>
      <c r="T53" s="2145"/>
      <c r="U53" s="1243" t="s">
        <v>20</v>
      </c>
      <c r="V53" s="1244"/>
      <c r="W53" s="1245"/>
      <c r="X53" s="1148" t="s">
        <v>2677</v>
      </c>
      <c r="Y53" s="1149"/>
      <c r="Z53" s="1149"/>
      <c r="AA53" s="1149"/>
      <c r="AB53" s="1149"/>
      <c r="AC53" s="1149"/>
      <c r="AD53" s="1149"/>
      <c r="AE53" s="1149"/>
      <c r="AF53" s="1150"/>
    </row>
    <row r="54" spans="1:32" ht="108" customHeight="1" x14ac:dyDescent="0.3">
      <c r="A54" s="1148" t="s">
        <v>2673</v>
      </c>
      <c r="B54" s="1149"/>
      <c r="C54" s="1149"/>
      <c r="D54" s="1150"/>
      <c r="E54" s="1148" t="s">
        <v>2674</v>
      </c>
      <c r="F54" s="1149"/>
      <c r="G54" s="1149"/>
      <c r="H54" s="1149"/>
      <c r="I54" s="1149"/>
      <c r="J54" s="1149"/>
      <c r="K54" s="1149"/>
      <c r="L54" s="1149"/>
      <c r="M54" s="1149"/>
      <c r="N54" s="1149"/>
      <c r="O54" s="1149"/>
      <c r="P54" s="1150"/>
      <c r="Q54" s="2143">
        <v>0.67123029122763689</v>
      </c>
      <c r="R54" s="2144"/>
      <c r="S54" s="2144"/>
      <c r="T54" s="2145"/>
      <c r="U54" s="1243" t="s">
        <v>20</v>
      </c>
      <c r="V54" s="1244"/>
      <c r="W54" s="1245"/>
      <c r="X54" s="1148" t="s">
        <v>2677</v>
      </c>
      <c r="Y54" s="1149"/>
      <c r="Z54" s="1149"/>
      <c r="AA54" s="1149"/>
      <c r="AB54" s="1149"/>
      <c r="AC54" s="1149"/>
      <c r="AD54" s="1149"/>
      <c r="AE54" s="1149"/>
      <c r="AF54" s="1150"/>
    </row>
    <row r="55" spans="1:32" ht="51.75" customHeight="1" x14ac:dyDescent="0.3">
      <c r="A55" s="1154" t="s">
        <v>2562</v>
      </c>
      <c r="B55" s="1155"/>
      <c r="C55" s="1155"/>
      <c r="D55" s="1156"/>
      <c r="E55" s="1154" t="s">
        <v>2050</v>
      </c>
      <c r="F55" s="1155"/>
      <c r="G55" s="1155"/>
      <c r="H55" s="1155"/>
      <c r="I55" s="1155"/>
      <c r="J55" s="1155"/>
      <c r="K55" s="1155"/>
      <c r="L55" s="1155"/>
      <c r="M55" s="1155"/>
      <c r="N55" s="1155"/>
      <c r="O55" s="1155"/>
      <c r="P55" s="1156"/>
      <c r="Q55" s="1243">
        <f>'Master EUL'!X84</f>
        <v>15</v>
      </c>
      <c r="R55" s="1244"/>
      <c r="S55" s="1244"/>
      <c r="T55" s="1245"/>
      <c r="U55" s="1243" t="s">
        <v>38</v>
      </c>
      <c r="V55" s="1244"/>
      <c r="W55" s="1245"/>
      <c r="X55" s="1148" t="s">
        <v>2563</v>
      </c>
      <c r="Y55" s="1149"/>
      <c r="Z55" s="1149"/>
      <c r="AA55" s="1149"/>
      <c r="AB55" s="1149"/>
      <c r="AC55" s="1149"/>
      <c r="AD55" s="1149"/>
      <c r="AE55" s="1149"/>
      <c r="AF55" s="1150"/>
    </row>
    <row r="58" spans="1:32" x14ac:dyDescent="0.3">
      <c r="A58" s="869" t="s">
        <v>14</v>
      </c>
      <c r="B58" s="870"/>
      <c r="C58" s="870"/>
      <c r="D58" s="870"/>
      <c r="E58" s="870"/>
      <c r="F58" s="870"/>
      <c r="G58" s="870"/>
      <c r="H58" s="870"/>
      <c r="I58" s="870"/>
      <c r="J58" s="870"/>
      <c r="K58" s="870"/>
      <c r="L58" s="870"/>
      <c r="M58" s="870"/>
      <c r="N58" s="870"/>
      <c r="O58" s="870"/>
      <c r="P58" s="870"/>
      <c r="Q58" s="870"/>
      <c r="R58" s="870"/>
      <c r="S58" s="870"/>
      <c r="T58" s="870"/>
      <c r="U58" s="870"/>
      <c r="V58" s="870"/>
      <c r="W58" s="870"/>
      <c r="X58" s="870"/>
      <c r="Y58" s="870"/>
      <c r="Z58" s="870"/>
      <c r="AA58" s="870"/>
      <c r="AB58" s="870"/>
      <c r="AC58" s="870"/>
      <c r="AD58" s="870"/>
      <c r="AE58" s="870"/>
      <c r="AF58" s="871"/>
    </row>
    <row r="59" spans="1:32" ht="15" thickBot="1" x14ac:dyDescent="0.35"/>
    <row r="60" spans="1:32" ht="32.25" customHeight="1" x14ac:dyDescent="0.3">
      <c r="A60" s="2409" t="s">
        <v>774</v>
      </c>
      <c r="B60" s="2410"/>
      <c r="C60" s="2410"/>
      <c r="D60" s="2410"/>
      <c r="E60" s="2410"/>
      <c r="F60" s="2410"/>
      <c r="G60" s="2410"/>
      <c r="H60" s="2411"/>
      <c r="I60" s="2158" t="s">
        <v>2780</v>
      </c>
      <c r="J60" s="2382"/>
      <c r="K60" s="2382"/>
      <c r="L60" s="2382"/>
      <c r="M60" s="2382"/>
      <c r="N60" s="2382"/>
      <c r="O60" s="2382"/>
      <c r="P60" s="2383"/>
      <c r="Q60" s="2158" t="s">
        <v>2781</v>
      </c>
      <c r="R60" s="2382"/>
      <c r="S60" s="2382"/>
      <c r="T60" s="2382"/>
      <c r="U60" s="2382"/>
      <c r="V60" s="2382"/>
      <c r="W60" s="2382"/>
      <c r="X60" s="2383"/>
      <c r="Y60" s="2158" t="s">
        <v>1554</v>
      </c>
      <c r="Z60" s="2382"/>
      <c r="AA60" s="2382"/>
      <c r="AB60" s="2382"/>
      <c r="AC60" s="2382"/>
      <c r="AD60" s="2382"/>
      <c r="AE60" s="2382"/>
      <c r="AF60" s="2384"/>
    </row>
    <row r="61" spans="1:32" x14ac:dyDescent="0.3">
      <c r="A61" s="2385" t="s">
        <v>775</v>
      </c>
      <c r="B61" s="2386"/>
      <c r="C61" s="2386"/>
      <c r="D61" s="2386"/>
      <c r="E61" s="2386"/>
      <c r="F61" s="2386"/>
      <c r="G61" s="2386"/>
      <c r="H61" s="2387"/>
      <c r="I61" s="2388">
        <f>ROUND(Q49*Q52*Q53,3)</f>
        <v>0.33500000000000002</v>
      </c>
      <c r="J61" s="2389"/>
      <c r="K61" s="2389"/>
      <c r="L61" s="2389"/>
      <c r="M61" s="2389"/>
      <c r="N61" s="2389"/>
      <c r="O61" s="2389"/>
      <c r="P61" s="2390"/>
      <c r="Q61" s="2391">
        <f>ROUND(Q49*Q50*Q51*Q53,2)</f>
        <v>3523.08</v>
      </c>
      <c r="R61" s="2392"/>
      <c r="S61" s="2392"/>
      <c r="T61" s="2392"/>
      <c r="U61" s="2392"/>
      <c r="V61" s="2392"/>
      <c r="W61" s="2392"/>
      <c r="X61" s="2393"/>
      <c r="Y61" s="2394">
        <f>ROUND(Q61*Q55,2)</f>
        <v>52846.2</v>
      </c>
      <c r="Z61" s="2395"/>
      <c r="AA61" s="2395"/>
      <c r="AB61" s="2395"/>
      <c r="AC61" s="2395"/>
      <c r="AD61" s="2395"/>
      <c r="AE61" s="2395"/>
      <c r="AF61" s="2396"/>
    </row>
    <row r="62" spans="1:32" ht="15" thickBot="1" x14ac:dyDescent="0.35">
      <c r="A62" s="2397" t="s">
        <v>776</v>
      </c>
      <c r="B62" s="2398"/>
      <c r="C62" s="2398"/>
      <c r="D62" s="2398"/>
      <c r="E62" s="2398"/>
      <c r="F62" s="2398"/>
      <c r="G62" s="2398"/>
      <c r="H62" s="2399"/>
      <c r="I62" s="2400">
        <f>ROUND(Q49*Q52*(Q53-Q54),3)</f>
        <v>8.5000000000000006E-2</v>
      </c>
      <c r="J62" s="2401"/>
      <c r="K62" s="2401"/>
      <c r="L62" s="2401"/>
      <c r="M62" s="2401"/>
      <c r="N62" s="2401"/>
      <c r="O62" s="2401"/>
      <c r="P62" s="2402"/>
      <c r="Q62" s="2403">
        <f>ROUND(Q49*Q50*Q51*(Q53-Q54),2)</f>
        <v>891.2</v>
      </c>
      <c r="R62" s="2404"/>
      <c r="S62" s="2404"/>
      <c r="T62" s="2404"/>
      <c r="U62" s="2404"/>
      <c r="V62" s="2404"/>
      <c r="W62" s="2404"/>
      <c r="X62" s="2405"/>
      <c r="Y62" s="2406">
        <f>ROUND(Q62*Q55,2)</f>
        <v>13368</v>
      </c>
      <c r="Z62" s="2407"/>
      <c r="AA62" s="2407"/>
      <c r="AB62" s="2407"/>
      <c r="AC62" s="2407"/>
      <c r="AD62" s="2407"/>
      <c r="AE62" s="2407"/>
      <c r="AF62" s="2408"/>
    </row>
    <row r="64" spans="1:32" x14ac:dyDescent="0.3">
      <c r="A64" s="869" t="s">
        <v>1514</v>
      </c>
      <c r="B64" s="870"/>
      <c r="C64" s="870"/>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1"/>
    </row>
    <row r="66" spans="1:32" x14ac:dyDescent="0.3">
      <c r="A66" s="368" t="s">
        <v>803</v>
      </c>
      <c r="B66" s="863" t="s">
        <v>2675</v>
      </c>
      <c r="C66" s="863"/>
      <c r="D66" s="863"/>
      <c r="E66" s="863"/>
      <c r="F66" s="863"/>
      <c r="G66" s="863"/>
      <c r="H66" s="863"/>
      <c r="I66" s="863"/>
      <c r="J66" s="863"/>
      <c r="K66" s="863"/>
      <c r="L66" s="863"/>
      <c r="M66" s="863"/>
      <c r="N66" s="863"/>
      <c r="O66" s="863"/>
      <c r="P66" s="863"/>
      <c r="Q66" s="863"/>
      <c r="R66" s="863"/>
      <c r="S66" s="863"/>
      <c r="T66" s="863"/>
      <c r="U66" s="863"/>
      <c r="V66" s="863"/>
      <c r="W66" s="863"/>
      <c r="X66" s="863"/>
      <c r="Y66" s="863"/>
      <c r="Z66" s="863"/>
      <c r="AA66" s="863"/>
      <c r="AB66" s="863"/>
      <c r="AC66" s="863"/>
      <c r="AD66" s="863"/>
      <c r="AE66" s="863"/>
      <c r="AF66" s="863"/>
    </row>
    <row r="67" spans="1:32" ht="64.5" customHeight="1" x14ac:dyDescent="0.3">
      <c r="A67" s="368" t="s">
        <v>803</v>
      </c>
      <c r="B67" s="863" t="s">
        <v>2676</v>
      </c>
      <c r="C67" s="863"/>
      <c r="D67" s="863"/>
      <c r="E67" s="863"/>
      <c r="F67" s="863"/>
      <c r="G67" s="863"/>
      <c r="H67" s="863"/>
      <c r="I67" s="863"/>
      <c r="J67" s="863"/>
      <c r="K67" s="863"/>
      <c r="L67" s="863"/>
      <c r="M67" s="863"/>
      <c r="N67" s="863"/>
      <c r="O67" s="863"/>
      <c r="P67" s="863"/>
      <c r="Q67" s="863"/>
      <c r="R67" s="863"/>
      <c r="S67" s="863"/>
      <c r="T67" s="863"/>
      <c r="U67" s="863"/>
      <c r="V67" s="863"/>
      <c r="W67" s="863"/>
      <c r="X67" s="863"/>
      <c r="Y67" s="863"/>
      <c r="Z67" s="863"/>
      <c r="AA67" s="863"/>
      <c r="AB67" s="863"/>
      <c r="AC67" s="863"/>
      <c r="AD67" s="863"/>
      <c r="AE67" s="863"/>
      <c r="AF67" s="863"/>
    </row>
    <row r="68" spans="1:32" ht="51.75" customHeight="1" x14ac:dyDescent="0.3">
      <c r="A68" s="368" t="s">
        <v>803</v>
      </c>
      <c r="B68" s="863" t="s">
        <v>2680</v>
      </c>
      <c r="C68" s="863"/>
      <c r="D68" s="863"/>
      <c r="E68" s="863"/>
      <c r="F68" s="863"/>
      <c r="G68" s="863"/>
      <c r="H68" s="863"/>
      <c r="I68" s="863"/>
      <c r="J68" s="863"/>
      <c r="K68" s="863"/>
      <c r="L68" s="863"/>
      <c r="M68" s="863"/>
      <c r="N68" s="863"/>
      <c r="O68" s="863"/>
      <c r="P68" s="863"/>
      <c r="Q68" s="863"/>
      <c r="R68" s="863"/>
      <c r="S68" s="863"/>
      <c r="T68" s="863"/>
      <c r="U68" s="863"/>
      <c r="V68" s="863"/>
      <c r="W68" s="863"/>
      <c r="X68" s="863"/>
      <c r="Y68" s="863"/>
      <c r="Z68" s="863"/>
      <c r="AA68" s="863"/>
      <c r="AB68" s="863"/>
      <c r="AC68" s="863"/>
      <c r="AD68" s="863"/>
      <c r="AE68" s="863"/>
      <c r="AF68" s="863"/>
    </row>
  </sheetData>
  <sheetProtection algorithmName="SHA-512" hashValue="AYitmXfLHoKgSjXf1NfAbqIiGgXEZOKdetTb0cqhMChxExH46UMTkuwXbMWM6j1h3bF3dTvMv8sNnV+NBaFCcg==" saltValue="achgU0aTmRwCtJ7mHv1NHQ==" spinCount="100000" sheet="1" objects="1" scenarios="1"/>
  <mergeCells count="82">
    <mergeCell ref="A64:AF64"/>
    <mergeCell ref="B66:AF66"/>
    <mergeCell ref="B67:AF67"/>
    <mergeCell ref="B68:AF68"/>
    <mergeCell ref="A3:AF3"/>
    <mergeCell ref="B5:AF5"/>
    <mergeCell ref="A61:H61"/>
    <mergeCell ref="I61:P61"/>
    <mergeCell ref="Q61:X61"/>
    <mergeCell ref="Y61:AF61"/>
    <mergeCell ref="A62:H62"/>
    <mergeCell ref="I62:P62"/>
    <mergeCell ref="Q62:X62"/>
    <mergeCell ref="Y62:AF62"/>
    <mergeCell ref="A58:AF58"/>
    <mergeCell ref="A60:H60"/>
    <mergeCell ref="I60:P60"/>
    <mergeCell ref="Q60:X60"/>
    <mergeCell ref="Y60:AF60"/>
    <mergeCell ref="A55:D55"/>
    <mergeCell ref="E55:P55"/>
    <mergeCell ref="Q55:T55"/>
    <mergeCell ref="U55:W55"/>
    <mergeCell ref="X55:AF55"/>
    <mergeCell ref="A54:D54"/>
    <mergeCell ref="E54:P54"/>
    <mergeCell ref="Q54:T54"/>
    <mergeCell ref="U54:W54"/>
    <mergeCell ref="X54:AF54"/>
    <mergeCell ref="A53:D53"/>
    <mergeCell ref="E53:P53"/>
    <mergeCell ref="Q53:T53"/>
    <mergeCell ref="U53:W53"/>
    <mergeCell ref="X53:AF53"/>
    <mergeCell ref="A52:D52"/>
    <mergeCell ref="E52:P52"/>
    <mergeCell ref="Q52:T52"/>
    <mergeCell ref="U52:W52"/>
    <mergeCell ref="X52:AF52"/>
    <mergeCell ref="A51:D51"/>
    <mergeCell ref="E51:P51"/>
    <mergeCell ref="Q51:T51"/>
    <mergeCell ref="U51:W51"/>
    <mergeCell ref="X51:AF51"/>
    <mergeCell ref="A50:D50"/>
    <mergeCell ref="E50:P50"/>
    <mergeCell ref="Q50:T50"/>
    <mergeCell ref="U50:W50"/>
    <mergeCell ref="X50:AF50"/>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5:AF45"/>
    <mergeCell ref="A46:D46"/>
    <mergeCell ref="E46:P46"/>
    <mergeCell ref="Q46:T46"/>
    <mergeCell ref="U46:W46"/>
    <mergeCell ref="X46:AF46"/>
    <mergeCell ref="C40:AE40"/>
    <mergeCell ref="A1:AF1"/>
    <mergeCell ref="B22:AF22"/>
    <mergeCell ref="A24:AF24"/>
    <mergeCell ref="C29:AE29"/>
    <mergeCell ref="C31:AE31"/>
    <mergeCell ref="C38:AE38"/>
    <mergeCell ref="B16:AF16"/>
    <mergeCell ref="B19:AF19"/>
    <mergeCell ref="A7:AF7"/>
    <mergeCell ref="B10:AF10"/>
    <mergeCell ref="B13:AF13"/>
  </mergeCells>
  <hyperlinks>
    <hyperlink ref="A2" location="TOC!A1" display="Return to TOC" xr:uid="{00000000-0004-0000-3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2" numberStoredAsText="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theme="7" tint="0.59999389629810485"/>
    <pageSetUpPr autoPageBreaks="0"/>
  </sheetPr>
  <dimension ref="A1:AJ61"/>
  <sheetViews>
    <sheetView zoomScaleNormal="100" workbookViewId="0">
      <selection sqref="A1:AF1"/>
    </sheetView>
  </sheetViews>
  <sheetFormatPr defaultColWidth="2.6640625" defaultRowHeight="14.4" x14ac:dyDescent="0.3"/>
  <cols>
    <col min="1" max="7" width="2.6640625" style="1"/>
    <col min="8" max="8" width="3.33203125" style="1" customWidth="1"/>
    <col min="9" max="16384" width="2.6640625" style="1"/>
  </cols>
  <sheetData>
    <row r="1" spans="1:32" ht="18" x14ac:dyDescent="0.3">
      <c r="A1" s="1131" t="s">
        <v>890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45.75" customHeight="1" x14ac:dyDescent="0.3">
      <c r="B6" s="953" t="s">
        <v>547</v>
      </c>
      <c r="C6" s="953"/>
      <c r="D6" s="953"/>
      <c r="E6" s="953"/>
      <c r="F6" s="953"/>
      <c r="G6" s="953"/>
      <c r="H6" s="953"/>
      <c r="I6" s="953"/>
      <c r="J6" s="953"/>
      <c r="K6" s="953"/>
      <c r="L6" s="953"/>
      <c r="M6" s="953"/>
      <c r="N6" s="953"/>
      <c r="O6" s="953"/>
      <c r="P6" s="953"/>
      <c r="Q6" s="953"/>
      <c r="R6" s="953"/>
      <c r="S6" s="953"/>
      <c r="T6" s="953"/>
      <c r="U6" s="953"/>
      <c r="V6" s="953"/>
      <c r="W6" s="953"/>
      <c r="X6" s="953"/>
      <c r="Y6" s="953"/>
      <c r="Z6" s="953"/>
      <c r="AA6" s="953"/>
      <c r="AB6" s="953"/>
      <c r="AC6" s="953"/>
      <c r="AD6" s="953"/>
      <c r="AE6" s="953"/>
      <c r="AF6" s="953"/>
    </row>
    <row r="8" spans="1:32" x14ac:dyDescent="0.3">
      <c r="B8" s="51" t="s">
        <v>4</v>
      </c>
      <c r="C8" s="51"/>
      <c r="D8" s="51"/>
      <c r="E8" s="51"/>
      <c r="F8" s="51"/>
      <c r="G8" s="51"/>
      <c r="H8" s="51"/>
      <c r="I8" s="51"/>
    </row>
    <row r="9" spans="1:32" s="4" customFormat="1" ht="77.25" customHeight="1" x14ac:dyDescent="0.3">
      <c r="B9" s="953" t="s">
        <v>546</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1" spans="1:32" x14ac:dyDescent="0.3">
      <c r="B11" s="51" t="s">
        <v>5</v>
      </c>
      <c r="C11" s="51"/>
      <c r="D11" s="51"/>
      <c r="E11" s="51"/>
      <c r="F11" s="51"/>
      <c r="G11" s="51"/>
      <c r="H11" s="51"/>
      <c r="I11" s="51"/>
    </row>
    <row r="12" spans="1:32" x14ac:dyDescent="0.3">
      <c r="B12" s="1" t="s">
        <v>543</v>
      </c>
    </row>
    <row r="14" spans="1:32" x14ac:dyDescent="0.3">
      <c r="B14" s="51" t="s">
        <v>6</v>
      </c>
      <c r="C14" s="51"/>
      <c r="D14" s="51"/>
      <c r="E14" s="51"/>
      <c r="F14" s="51"/>
      <c r="G14" s="51"/>
      <c r="H14" s="51"/>
      <c r="I14" s="51"/>
    </row>
    <row r="15" spans="1:32" ht="14.4" customHeight="1" x14ac:dyDescent="0.3">
      <c r="B15" s="1" t="s">
        <v>544</v>
      </c>
    </row>
    <row r="17" spans="1:32" x14ac:dyDescent="0.3">
      <c r="B17" s="51" t="s">
        <v>13</v>
      </c>
      <c r="C17" s="51"/>
      <c r="D17" s="51"/>
      <c r="E17" s="51"/>
      <c r="F17" s="51"/>
      <c r="G17" s="51"/>
      <c r="H17" s="51"/>
      <c r="I17" s="51"/>
    </row>
    <row r="18" spans="1:32" ht="14.4" customHeight="1" x14ac:dyDescent="0.3">
      <c r="B18" s="1" t="s">
        <v>545</v>
      </c>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2" spans="1:32" x14ac:dyDescent="0.3">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x14ac:dyDescent="0.3">
      <c r="A23" s="2419" t="s">
        <v>300</v>
      </c>
      <c r="B23" s="2419"/>
      <c r="C23" s="2419"/>
      <c r="D23" s="2419"/>
      <c r="E23" s="2419"/>
      <c r="F23" s="2419"/>
      <c r="G23" s="2419"/>
      <c r="H23" s="2419"/>
      <c r="I23" s="2419"/>
      <c r="J23" s="2419"/>
      <c r="K23" s="71" t="s">
        <v>777</v>
      </c>
      <c r="X23" s="1" t="s">
        <v>626</v>
      </c>
    </row>
    <row r="24" spans="1:32" x14ac:dyDescent="0.3">
      <c r="A24" s="2419" t="s">
        <v>301</v>
      </c>
      <c r="B24" s="2419"/>
      <c r="C24" s="2419"/>
      <c r="D24" s="2419"/>
      <c r="E24" s="2419"/>
      <c r="F24" s="2419"/>
      <c r="G24" s="2419"/>
      <c r="H24" s="2419"/>
      <c r="I24" s="2419"/>
      <c r="J24" s="2419"/>
      <c r="K24" s="71" t="s">
        <v>778</v>
      </c>
      <c r="X24" s="1" t="s">
        <v>626</v>
      </c>
    </row>
    <row r="25" spans="1:32" x14ac:dyDescent="0.3">
      <c r="A25" s="2419" t="s">
        <v>302</v>
      </c>
      <c r="B25" s="2419"/>
      <c r="C25" s="2419"/>
      <c r="D25" s="2419"/>
      <c r="E25" s="2419"/>
      <c r="F25" s="2419"/>
      <c r="G25" s="2419"/>
      <c r="H25" s="2419"/>
      <c r="I25" s="2419"/>
      <c r="J25" s="2419"/>
      <c r="K25" s="71" t="s">
        <v>779</v>
      </c>
      <c r="X25" s="1" t="s">
        <v>627</v>
      </c>
    </row>
    <row r="26" spans="1:32" x14ac:dyDescent="0.3">
      <c r="A26" s="2419" t="s">
        <v>303</v>
      </c>
      <c r="B26" s="2419"/>
      <c r="C26" s="2419"/>
      <c r="D26" s="2419"/>
      <c r="E26" s="2419"/>
      <c r="F26" s="2419"/>
      <c r="G26" s="2419"/>
      <c r="H26" s="2419"/>
      <c r="I26" s="2419"/>
      <c r="J26" s="2419"/>
      <c r="K26" s="71" t="s">
        <v>1308</v>
      </c>
      <c r="X26" s="1" t="s">
        <v>627</v>
      </c>
    </row>
    <row r="27" spans="1:32" x14ac:dyDescent="0.3">
      <c r="A27" s="3"/>
      <c r="B27" s="71"/>
    </row>
    <row r="28" spans="1:32" x14ac:dyDescent="0.3">
      <c r="A28" s="3"/>
      <c r="B28" s="71"/>
    </row>
    <row r="29" spans="1:32" x14ac:dyDescent="0.3">
      <c r="A29" s="869" t="s">
        <v>8</v>
      </c>
      <c r="B29" s="870"/>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1"/>
    </row>
    <row r="30" spans="1:32" x14ac:dyDescent="0.3">
      <c r="A30" s="1143" t="s">
        <v>9</v>
      </c>
      <c r="B30" s="1143"/>
      <c r="C30" s="1143"/>
      <c r="D30" s="1143"/>
      <c r="E30" s="1143" t="s">
        <v>3</v>
      </c>
      <c r="F30" s="1143"/>
      <c r="G30" s="1143"/>
      <c r="H30" s="1143"/>
      <c r="I30" s="1143"/>
      <c r="J30" s="1143"/>
      <c r="K30" s="1143"/>
      <c r="L30" s="1143"/>
      <c r="M30" s="1143"/>
      <c r="N30" s="1143"/>
      <c r="O30" s="1143"/>
      <c r="P30" s="1143"/>
      <c r="Q30" s="1143" t="s">
        <v>10</v>
      </c>
      <c r="R30" s="1143"/>
      <c r="S30" s="1143"/>
      <c r="T30" s="1143" t="s">
        <v>11</v>
      </c>
      <c r="U30" s="1143"/>
      <c r="V30" s="1143"/>
      <c r="W30" s="1143" t="s">
        <v>12</v>
      </c>
      <c r="X30" s="1143"/>
      <c r="Y30" s="1143"/>
      <c r="Z30" s="1143"/>
      <c r="AA30" s="1143"/>
      <c r="AB30" s="1143"/>
      <c r="AC30" s="1143"/>
      <c r="AD30" s="1143"/>
      <c r="AE30" s="1143"/>
      <c r="AF30" s="1143"/>
    </row>
    <row r="31" spans="1:32" ht="33" customHeight="1" x14ac:dyDescent="0.3">
      <c r="A31" s="2420" t="s">
        <v>645</v>
      </c>
      <c r="B31" s="1275"/>
      <c r="C31" s="1275"/>
      <c r="D31" s="1275"/>
      <c r="E31" s="855" t="s">
        <v>780</v>
      </c>
      <c r="F31" s="855"/>
      <c r="G31" s="855"/>
      <c r="H31" s="855"/>
      <c r="I31" s="855"/>
      <c r="J31" s="855"/>
      <c r="K31" s="855"/>
      <c r="L31" s="855"/>
      <c r="M31" s="855"/>
      <c r="N31" s="855"/>
      <c r="O31" s="855"/>
      <c r="P31" s="855"/>
      <c r="Q31" s="2209" t="s">
        <v>23</v>
      </c>
      <c r="R31" s="2209"/>
      <c r="S31" s="2209"/>
      <c r="T31" s="1275" t="s">
        <v>18</v>
      </c>
      <c r="U31" s="1275"/>
      <c r="V31" s="1275"/>
      <c r="W31" s="856" t="s">
        <v>2823</v>
      </c>
      <c r="X31" s="856"/>
      <c r="Y31" s="856"/>
      <c r="Z31" s="856"/>
      <c r="AA31" s="856"/>
      <c r="AB31" s="856"/>
      <c r="AC31" s="856"/>
      <c r="AD31" s="856"/>
      <c r="AE31" s="856"/>
      <c r="AF31" s="856"/>
    </row>
    <row r="32" spans="1:32" ht="28.95" customHeight="1" x14ac:dyDescent="0.3">
      <c r="A32" s="1275" t="s">
        <v>781</v>
      </c>
      <c r="B32" s="1275"/>
      <c r="C32" s="1275"/>
      <c r="D32" s="1275"/>
      <c r="E32" s="856" t="s">
        <v>782</v>
      </c>
      <c r="F32" s="856"/>
      <c r="G32" s="856"/>
      <c r="H32" s="856"/>
      <c r="I32" s="856"/>
      <c r="J32" s="856"/>
      <c r="K32" s="856"/>
      <c r="L32" s="856"/>
      <c r="M32" s="856"/>
      <c r="N32" s="856"/>
      <c r="O32" s="856"/>
      <c r="P32" s="856"/>
      <c r="Q32" s="2209" t="s">
        <v>23</v>
      </c>
      <c r="R32" s="2209"/>
      <c r="S32" s="2209"/>
      <c r="T32" s="1275" t="s">
        <v>18</v>
      </c>
      <c r="U32" s="1275"/>
      <c r="V32" s="1275"/>
      <c r="W32" s="855"/>
      <c r="X32" s="855"/>
      <c r="Y32" s="855"/>
      <c r="Z32" s="855"/>
      <c r="AA32" s="855"/>
      <c r="AB32" s="855"/>
      <c r="AC32" s="855"/>
      <c r="AD32" s="855"/>
      <c r="AE32" s="855"/>
      <c r="AF32" s="855"/>
    </row>
    <row r="33" spans="1:34" x14ac:dyDescent="0.3">
      <c r="A33" s="1275" t="s">
        <v>783</v>
      </c>
      <c r="B33" s="1275"/>
      <c r="C33" s="1275"/>
      <c r="D33" s="1275"/>
      <c r="E33" s="855" t="s">
        <v>784</v>
      </c>
      <c r="F33" s="855"/>
      <c r="G33" s="855"/>
      <c r="H33" s="855"/>
      <c r="I33" s="855"/>
      <c r="J33" s="855"/>
      <c r="K33" s="855"/>
      <c r="L33" s="855"/>
      <c r="M33" s="855"/>
      <c r="N33" s="855"/>
      <c r="O33" s="855"/>
      <c r="P33" s="855"/>
      <c r="Q33" s="2209" t="s">
        <v>23</v>
      </c>
      <c r="R33" s="2209"/>
      <c r="S33" s="2209"/>
      <c r="T33" s="1275" t="s">
        <v>36</v>
      </c>
      <c r="U33" s="1275"/>
      <c r="V33" s="1275"/>
      <c r="W33" s="855"/>
      <c r="X33" s="855"/>
      <c r="Y33" s="855"/>
      <c r="Z33" s="855"/>
      <c r="AA33" s="855"/>
      <c r="AB33" s="855"/>
      <c r="AC33" s="855"/>
      <c r="AD33" s="855"/>
      <c r="AE33" s="855"/>
      <c r="AF33" s="855"/>
    </row>
    <row r="34" spans="1:34" ht="28.95" customHeight="1" x14ac:dyDescent="0.3">
      <c r="A34" s="1275" t="s">
        <v>785</v>
      </c>
      <c r="B34" s="1275"/>
      <c r="C34" s="1275"/>
      <c r="D34" s="1275"/>
      <c r="E34" s="856" t="s">
        <v>786</v>
      </c>
      <c r="F34" s="856"/>
      <c r="G34" s="856"/>
      <c r="H34" s="856"/>
      <c r="I34" s="856"/>
      <c r="J34" s="856"/>
      <c r="K34" s="856"/>
      <c r="L34" s="856"/>
      <c r="M34" s="856"/>
      <c r="N34" s="856"/>
      <c r="O34" s="856"/>
      <c r="P34" s="856"/>
      <c r="Q34" s="1275" t="s">
        <v>23</v>
      </c>
      <c r="R34" s="1275"/>
      <c r="S34" s="1275"/>
      <c r="T34" s="1275" t="s">
        <v>36</v>
      </c>
      <c r="U34" s="1275"/>
      <c r="V34" s="1275"/>
      <c r="W34" s="855" t="s">
        <v>322</v>
      </c>
      <c r="X34" s="855"/>
      <c r="Y34" s="855"/>
      <c r="Z34" s="855"/>
      <c r="AA34" s="855"/>
      <c r="AB34" s="855"/>
      <c r="AC34" s="855"/>
      <c r="AD34" s="855"/>
      <c r="AE34" s="855"/>
      <c r="AF34" s="855"/>
    </row>
    <row r="35" spans="1:34" x14ac:dyDescent="0.3">
      <c r="A35" s="1275" t="s">
        <v>24</v>
      </c>
      <c r="B35" s="1275"/>
      <c r="C35" s="1275"/>
      <c r="D35" s="1275"/>
      <c r="E35" s="855" t="s">
        <v>155</v>
      </c>
      <c r="F35" s="855"/>
      <c r="G35" s="855"/>
      <c r="H35" s="855"/>
      <c r="I35" s="855"/>
      <c r="J35" s="855"/>
      <c r="K35" s="855"/>
      <c r="L35" s="855"/>
      <c r="M35" s="855"/>
      <c r="N35" s="855"/>
      <c r="O35" s="855"/>
      <c r="P35" s="855"/>
      <c r="Q35" s="1275">
        <v>4380</v>
      </c>
      <c r="R35" s="1275"/>
      <c r="S35" s="1275"/>
      <c r="T35" s="1275" t="s">
        <v>37</v>
      </c>
      <c r="U35" s="1275"/>
      <c r="V35" s="1275"/>
      <c r="W35" s="855"/>
      <c r="X35" s="855"/>
      <c r="Y35" s="855"/>
      <c r="Z35" s="855"/>
      <c r="AA35" s="855"/>
      <c r="AB35" s="855"/>
      <c r="AC35" s="855"/>
      <c r="AD35" s="855"/>
      <c r="AE35" s="855"/>
      <c r="AF35" s="855"/>
    </row>
    <row r="36" spans="1:34" x14ac:dyDescent="0.3">
      <c r="A36" s="1275" t="s">
        <v>21</v>
      </c>
      <c r="B36" s="1275"/>
      <c r="C36" s="1275"/>
      <c r="D36" s="1275"/>
      <c r="E36" s="855" t="s">
        <v>321</v>
      </c>
      <c r="F36" s="855"/>
      <c r="G36" s="855"/>
      <c r="H36" s="855"/>
      <c r="I36" s="855"/>
      <c r="J36" s="855"/>
      <c r="K36" s="855"/>
      <c r="L36" s="855"/>
      <c r="M36" s="855"/>
      <c r="N36" s="855"/>
      <c r="O36" s="855"/>
      <c r="P36" s="855"/>
      <c r="Q36" s="2418">
        <v>0.5</v>
      </c>
      <c r="R36" s="2418"/>
      <c r="S36" s="2418"/>
      <c r="T36" s="1275" t="s">
        <v>20</v>
      </c>
      <c r="U36" s="1275"/>
      <c r="V36" s="1275"/>
      <c r="W36" s="855"/>
      <c r="X36" s="855"/>
      <c r="Y36" s="855"/>
      <c r="Z36" s="855"/>
      <c r="AA36" s="855"/>
      <c r="AB36" s="855"/>
      <c r="AC36" s="855"/>
      <c r="AD36" s="855"/>
      <c r="AE36" s="855"/>
      <c r="AF36" s="855"/>
    </row>
    <row r="37" spans="1:34" x14ac:dyDescent="0.3">
      <c r="A37" s="1275" t="s">
        <v>26</v>
      </c>
      <c r="B37" s="1275"/>
      <c r="C37" s="1275"/>
      <c r="D37" s="1275"/>
      <c r="E37" s="855" t="s">
        <v>268</v>
      </c>
      <c r="F37" s="855"/>
      <c r="G37" s="855"/>
      <c r="H37" s="855"/>
      <c r="I37" s="855"/>
      <c r="J37" s="855"/>
      <c r="K37" s="855"/>
      <c r="L37" s="855"/>
      <c r="M37" s="855"/>
      <c r="N37" s="855"/>
      <c r="O37" s="855"/>
      <c r="P37" s="855"/>
      <c r="Q37" s="1275">
        <f>'Master EUL'!X87</f>
        <v>15</v>
      </c>
      <c r="R37" s="1275"/>
      <c r="S37" s="1275"/>
      <c r="T37" s="1275" t="s">
        <v>38</v>
      </c>
      <c r="U37" s="1275"/>
      <c r="V37" s="1275"/>
      <c r="W37" s="855"/>
      <c r="X37" s="855"/>
      <c r="Y37" s="855"/>
      <c r="Z37" s="855"/>
      <c r="AA37" s="855"/>
      <c r="AB37" s="855"/>
      <c r="AC37" s="855"/>
      <c r="AD37" s="855"/>
      <c r="AE37" s="855"/>
      <c r="AF37" s="855"/>
    </row>
    <row r="39" spans="1:34" x14ac:dyDescent="0.3">
      <c r="A39" s="10" t="s">
        <v>305</v>
      </c>
      <c r="B39" s="10"/>
    </row>
    <row r="40" spans="1:34" ht="16.2" x14ac:dyDescent="0.3">
      <c r="A40" s="1143" t="s">
        <v>306</v>
      </c>
      <c r="B40" s="1143"/>
      <c r="C40" s="1143"/>
      <c r="D40" s="1143"/>
      <c r="E40" s="1143"/>
      <c r="F40" s="1143"/>
      <c r="G40" s="1143"/>
      <c r="H40" s="1143"/>
      <c r="I40" s="1143"/>
      <c r="J40" s="1143"/>
      <c r="K40" s="1143"/>
      <c r="L40" s="2417" t="s">
        <v>1441</v>
      </c>
      <c r="M40" s="2417"/>
      <c r="N40" s="2417"/>
      <c r="O40" s="1143" t="s">
        <v>787</v>
      </c>
      <c r="P40" s="1143"/>
      <c r="Q40" s="1143"/>
      <c r="R40" s="1143" t="s">
        <v>783</v>
      </c>
      <c r="S40" s="1143"/>
      <c r="T40" s="1143"/>
      <c r="U40" s="1143" t="s">
        <v>785</v>
      </c>
      <c r="V40" s="1143"/>
      <c r="W40" s="1143"/>
    </row>
    <row r="41" spans="1:34" x14ac:dyDescent="0.3">
      <c r="A41" s="1275" t="s">
        <v>307</v>
      </c>
      <c r="B41" s="1275"/>
      <c r="C41" s="1275"/>
      <c r="D41" s="1275"/>
      <c r="E41" s="1275"/>
      <c r="F41" s="1275"/>
      <c r="G41" s="1275"/>
      <c r="H41" s="1275"/>
      <c r="I41" s="1275"/>
      <c r="J41" s="1275"/>
      <c r="K41" s="1275"/>
      <c r="L41" s="1275">
        <v>2E-3</v>
      </c>
      <c r="M41" s="1275"/>
      <c r="N41" s="1275"/>
      <c r="O41" s="2415" t="s">
        <v>230</v>
      </c>
      <c r="P41" s="2415"/>
      <c r="Q41" s="2415"/>
      <c r="R41" s="2416">
        <v>18</v>
      </c>
      <c r="S41" s="2416"/>
      <c r="T41" s="2416"/>
      <c r="U41" s="2416" t="s">
        <v>230</v>
      </c>
      <c r="V41" s="2416"/>
      <c r="W41" s="2416"/>
    </row>
    <row r="42" spans="1:34" x14ac:dyDescent="0.3">
      <c r="A42" s="1275" t="s">
        <v>308</v>
      </c>
      <c r="B42" s="1275"/>
      <c r="C42" s="1275"/>
      <c r="D42" s="1275"/>
      <c r="E42" s="1275"/>
      <c r="F42" s="1275"/>
      <c r="G42" s="1275"/>
      <c r="H42" s="1275"/>
      <c r="I42" s="1275"/>
      <c r="J42" s="1275"/>
      <c r="K42" s="1275"/>
      <c r="L42" s="1275" t="s">
        <v>230</v>
      </c>
      <c r="M42" s="1275"/>
      <c r="N42" s="1275"/>
      <c r="O42" s="2415">
        <v>1E-3</v>
      </c>
      <c r="P42" s="2415"/>
      <c r="Q42" s="2415"/>
      <c r="R42" s="2416" t="s">
        <v>230</v>
      </c>
      <c r="S42" s="2416"/>
      <c r="T42" s="2416"/>
      <c r="U42" s="2416">
        <v>8.6999999999999993</v>
      </c>
      <c r="V42" s="2416"/>
      <c r="W42" s="2416"/>
    </row>
    <row r="43" spans="1:34" x14ac:dyDescent="0.3">
      <c r="A43" s="1275" t="s">
        <v>309</v>
      </c>
      <c r="B43" s="1275"/>
      <c r="C43" s="1275"/>
      <c r="D43" s="1275"/>
      <c r="E43" s="1275"/>
      <c r="F43" s="1275"/>
      <c r="G43" s="1275"/>
      <c r="H43" s="1275"/>
      <c r="I43" s="1275"/>
      <c r="J43" s="1275"/>
      <c r="K43" s="1275"/>
      <c r="L43" s="1275">
        <v>0.107</v>
      </c>
      <c r="M43" s="1275"/>
      <c r="N43" s="1275"/>
      <c r="O43" s="2415" t="s">
        <v>230</v>
      </c>
      <c r="P43" s="2415"/>
      <c r="Q43" s="2415"/>
      <c r="R43" s="2416" t="s">
        <v>230</v>
      </c>
      <c r="S43" s="2416"/>
      <c r="T43" s="2416"/>
      <c r="U43" s="2416" t="s">
        <v>230</v>
      </c>
      <c r="V43" s="2416"/>
      <c r="W43" s="2416"/>
    </row>
    <row r="44" spans="1:34" x14ac:dyDescent="0.3">
      <c r="A44" s="1275" t="s">
        <v>310</v>
      </c>
      <c r="B44" s="1275"/>
      <c r="C44" s="1275"/>
      <c r="D44" s="1275"/>
      <c r="E44" s="1275"/>
      <c r="F44" s="1275"/>
      <c r="G44" s="1275"/>
      <c r="H44" s="1275"/>
      <c r="I44" s="1275"/>
      <c r="J44" s="1275"/>
      <c r="K44" s="1275"/>
      <c r="L44" s="1275" t="s">
        <v>230</v>
      </c>
      <c r="M44" s="1275"/>
      <c r="N44" s="1275"/>
      <c r="O44" s="2415">
        <v>5.3999999999999999E-2</v>
      </c>
      <c r="P44" s="2415"/>
      <c r="Q44" s="2415"/>
      <c r="R44" s="2416" t="s">
        <v>230</v>
      </c>
      <c r="S44" s="2416"/>
      <c r="T44" s="2416"/>
      <c r="U44" s="2416" t="s">
        <v>230</v>
      </c>
      <c r="V44" s="2416"/>
      <c r="W44" s="2416"/>
    </row>
    <row r="45" spans="1:34" ht="25.5" customHeight="1" x14ac:dyDescent="0.3">
      <c r="A45" s="2421" t="s">
        <v>342</v>
      </c>
      <c r="B45" s="2421"/>
      <c r="C45" s="2422" t="s">
        <v>1161</v>
      </c>
      <c r="D45" s="2422"/>
      <c r="E45" s="2422"/>
      <c r="F45" s="2422"/>
      <c r="G45" s="2422"/>
      <c r="H45" s="2422"/>
      <c r="I45" s="2422"/>
      <c r="J45" s="2422"/>
      <c r="K45" s="2422"/>
      <c r="L45" s="2422"/>
      <c r="M45" s="2422"/>
      <c r="N45" s="2422"/>
      <c r="O45" s="2422"/>
      <c r="P45" s="2422"/>
      <c r="Q45" s="2422"/>
      <c r="R45" s="2422"/>
      <c r="S45" s="2422"/>
      <c r="T45" s="2422"/>
      <c r="U45" s="2422"/>
      <c r="V45" s="2422"/>
      <c r="W45" s="2422"/>
      <c r="X45" s="2422"/>
      <c r="Y45" s="2422"/>
      <c r="Z45" s="2422"/>
      <c r="AA45" s="2422"/>
      <c r="AB45" s="2422"/>
      <c r="AC45" s="2422"/>
      <c r="AD45" s="2422"/>
      <c r="AE45" s="2422"/>
      <c r="AF45" s="2422"/>
    </row>
    <row r="46" spans="1:34" ht="39.75" customHeight="1" x14ac:dyDescent="0.3">
      <c r="A46" s="2421" t="s">
        <v>830</v>
      </c>
      <c r="B46" s="2421"/>
      <c r="C46" s="2422" t="s">
        <v>2015</v>
      </c>
      <c r="D46" s="2422"/>
      <c r="E46" s="2422"/>
      <c r="F46" s="2422"/>
      <c r="G46" s="2422"/>
      <c r="H46" s="2422"/>
      <c r="I46" s="2422"/>
      <c r="J46" s="2422"/>
      <c r="K46" s="2422"/>
      <c r="L46" s="2422"/>
      <c r="M46" s="2422"/>
      <c r="N46" s="2422"/>
      <c r="O46" s="2422"/>
      <c r="P46" s="2422"/>
      <c r="Q46" s="2422"/>
      <c r="R46" s="2422"/>
      <c r="S46" s="2422"/>
      <c r="T46" s="2422"/>
      <c r="U46" s="2422"/>
      <c r="V46" s="2422"/>
      <c r="W46" s="2422"/>
      <c r="X46" s="2422"/>
      <c r="Y46" s="2422"/>
      <c r="Z46" s="2422"/>
      <c r="AA46" s="2422"/>
      <c r="AB46" s="2422"/>
      <c r="AC46" s="2422"/>
      <c r="AD46" s="2422"/>
      <c r="AE46" s="2422"/>
      <c r="AF46" s="2422"/>
      <c r="AG46" s="175"/>
      <c r="AH46" s="175"/>
    </row>
    <row r="47" spans="1:34" x14ac:dyDescent="0.3">
      <c r="B47" s="53"/>
    </row>
    <row r="48" spans="1:34" ht="14.4" customHeight="1" x14ac:dyDescent="0.3">
      <c r="A48" s="1141" t="s">
        <v>14</v>
      </c>
      <c r="B48" s="1141"/>
      <c r="C48" s="1141"/>
      <c r="D48" s="1141"/>
      <c r="E48" s="1141"/>
      <c r="F48" s="1141"/>
      <c r="G48" s="1141"/>
      <c r="H48" s="1141"/>
      <c r="I48" s="1141"/>
      <c r="J48" s="1141"/>
      <c r="K48" s="1141"/>
      <c r="L48" s="1141"/>
      <c r="M48" s="1141"/>
      <c r="N48" s="1141"/>
      <c r="O48" s="1141"/>
      <c r="P48" s="1141"/>
      <c r="Q48" s="1141"/>
      <c r="R48" s="1141"/>
      <c r="S48" s="1141"/>
      <c r="T48" s="1141"/>
      <c r="U48" s="1141"/>
      <c r="V48" s="1141"/>
      <c r="W48" s="1141"/>
      <c r="X48" s="1141"/>
      <c r="Y48" s="1141"/>
      <c r="Z48" s="1141"/>
      <c r="AA48" s="1141"/>
      <c r="AB48" s="1141"/>
      <c r="AC48" s="1141"/>
      <c r="AD48" s="1141"/>
      <c r="AE48" s="1141"/>
      <c r="AF48" s="1141"/>
    </row>
    <row r="49" spans="1:36" ht="15.6" x14ac:dyDescent="0.3">
      <c r="A49" s="54"/>
    </row>
    <row r="50" spans="1:36" ht="15" thickBot="1" x14ac:dyDescent="0.35">
      <c r="A50" s="3" t="s">
        <v>311</v>
      </c>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row>
    <row r="51" spans="1:36" x14ac:dyDescent="0.3">
      <c r="A51" s="1252" t="s">
        <v>15</v>
      </c>
      <c r="B51" s="1253"/>
      <c r="C51" s="1253"/>
      <c r="D51" s="1253"/>
      <c r="E51" s="1253"/>
      <c r="F51" s="1253"/>
      <c r="G51" s="1253"/>
      <c r="H51" s="1253"/>
      <c r="I51" s="1253" t="s">
        <v>16</v>
      </c>
      <c r="J51" s="1253"/>
      <c r="K51" s="1253"/>
      <c r="L51" s="1253"/>
      <c r="M51" s="1253"/>
      <c r="N51" s="1253"/>
      <c r="O51" s="1253"/>
      <c r="P51" s="1253"/>
      <c r="Q51" s="1253" t="s">
        <v>17</v>
      </c>
      <c r="R51" s="1253"/>
      <c r="S51" s="1253"/>
      <c r="T51" s="1253"/>
      <c r="U51" s="1253"/>
      <c r="V51" s="1253"/>
      <c r="W51" s="1253"/>
      <c r="X51" s="1254"/>
      <c r="Y51" s="8"/>
      <c r="Z51" s="8"/>
      <c r="AA51" s="8"/>
      <c r="AB51" s="8"/>
      <c r="AC51" s="8"/>
      <c r="AD51" s="8"/>
      <c r="AE51" s="8"/>
      <c r="AF51" s="8"/>
      <c r="AG51" s="8"/>
      <c r="AH51" s="8"/>
      <c r="AI51" s="8"/>
    </row>
    <row r="52" spans="1:36" ht="16.2" x14ac:dyDescent="0.3">
      <c r="A52" s="2412" t="s">
        <v>2014</v>
      </c>
      <c r="B52" s="1275"/>
      <c r="C52" s="1275"/>
      <c r="D52" s="1275"/>
      <c r="E52" s="1275"/>
      <c r="F52" s="1275"/>
      <c r="G52" s="1275"/>
      <c r="H52" s="1275"/>
      <c r="I52" s="1455">
        <f>ROUND(L41-O42,3)</f>
        <v>1E-3</v>
      </c>
      <c r="J52" s="1455"/>
      <c r="K52" s="1455"/>
      <c r="L52" s="1455"/>
      <c r="M52" s="1455"/>
      <c r="N52" s="1455"/>
      <c r="O52" s="1455"/>
      <c r="P52" s="1455"/>
      <c r="Q52" s="1456">
        <f>ROUND(R41-U42,2)</f>
        <v>9.3000000000000007</v>
      </c>
      <c r="R52" s="1456"/>
      <c r="S52" s="1456"/>
      <c r="T52" s="1456"/>
      <c r="U52" s="1456"/>
      <c r="V52" s="1456"/>
      <c r="W52" s="1456"/>
      <c r="X52" s="1457"/>
      <c r="Y52" s="8"/>
      <c r="Z52" s="8"/>
      <c r="AA52" s="8"/>
      <c r="AB52" s="8"/>
      <c r="AC52" s="8"/>
      <c r="AD52" s="8"/>
      <c r="AE52" s="8"/>
      <c r="AF52" s="8"/>
      <c r="AG52" s="8"/>
      <c r="AH52" s="8"/>
      <c r="AI52" s="8"/>
    </row>
    <row r="53" spans="1:36" ht="15" thickBot="1" x14ac:dyDescent="0.35">
      <c r="A53" s="2413" t="s">
        <v>310</v>
      </c>
      <c r="B53" s="2414"/>
      <c r="C53" s="2414"/>
      <c r="D53" s="2414"/>
      <c r="E53" s="2414"/>
      <c r="F53" s="2414"/>
      <c r="G53" s="2414"/>
      <c r="H53" s="2414"/>
      <c r="I53" s="1414">
        <f>ROUND((L43-O44)*Q36,3)</f>
        <v>2.7E-2</v>
      </c>
      <c r="J53" s="1414"/>
      <c r="K53" s="1414"/>
      <c r="L53" s="1414"/>
      <c r="M53" s="1414"/>
      <c r="N53" s="1414"/>
      <c r="O53" s="1414"/>
      <c r="P53" s="1414"/>
      <c r="Q53" s="1415">
        <f>ROUND((L43-O44)*Q35,2)</f>
        <v>232.14</v>
      </c>
      <c r="R53" s="1415"/>
      <c r="S53" s="1415"/>
      <c r="T53" s="1415"/>
      <c r="U53" s="1415"/>
      <c r="V53" s="1415"/>
      <c r="W53" s="1415"/>
      <c r="X53" s="1416"/>
      <c r="Y53" s="8"/>
      <c r="Z53" s="8"/>
      <c r="AA53" s="8"/>
      <c r="AB53" s="8"/>
      <c r="AC53" s="8"/>
      <c r="AD53" s="8"/>
      <c r="AE53" s="8"/>
      <c r="AF53" s="8"/>
      <c r="AG53" s="8"/>
      <c r="AH53" s="8"/>
      <c r="AI53" s="8"/>
    </row>
    <row r="54" spans="1:36" x14ac:dyDescent="0.3">
      <c r="A54" s="2421" t="s">
        <v>830</v>
      </c>
      <c r="B54" s="2421"/>
      <c r="C54" s="2421" t="s">
        <v>2013</v>
      </c>
      <c r="D54" s="2421"/>
      <c r="E54" s="2421"/>
      <c r="F54" s="2421"/>
      <c r="G54" s="2421"/>
      <c r="H54" s="2421"/>
      <c r="I54" s="2421"/>
      <c r="J54" s="2421"/>
      <c r="K54" s="2421"/>
      <c r="L54" s="2421"/>
      <c r="M54" s="2421"/>
      <c r="N54" s="2421"/>
      <c r="O54" s="2421"/>
      <c r="P54" s="2421"/>
      <c r="Q54" s="2421"/>
      <c r="R54" s="2421"/>
      <c r="S54" s="2421"/>
      <c r="T54" s="2421"/>
      <c r="U54" s="2421"/>
      <c r="V54" s="2421"/>
      <c r="W54" s="2421"/>
      <c r="X54" s="2421"/>
      <c r="Y54" s="2421"/>
      <c r="Z54" s="2421"/>
      <c r="AA54" s="2421"/>
      <c r="AB54" s="2421"/>
      <c r="AC54" s="2421"/>
      <c r="AD54" s="2421"/>
      <c r="AE54" s="2421"/>
      <c r="AF54" s="2421"/>
      <c r="AG54" s="8"/>
      <c r="AH54" s="8"/>
      <c r="AI54" s="8"/>
    </row>
    <row r="55" spans="1:36" x14ac:dyDescent="0.3">
      <c r="I55" s="8"/>
      <c r="N55" s="8"/>
      <c r="O55" s="8"/>
      <c r="P55" s="8"/>
      <c r="Q55" s="8"/>
      <c r="R55" s="8"/>
      <c r="S55" s="8"/>
      <c r="T55" s="8"/>
      <c r="U55" s="8"/>
      <c r="V55" s="8"/>
      <c r="W55" s="8"/>
      <c r="X55" s="8"/>
      <c r="Y55" s="8"/>
      <c r="Z55" s="8"/>
      <c r="AA55" s="8"/>
      <c r="AB55" s="8"/>
      <c r="AC55" s="8"/>
      <c r="AD55" s="8"/>
      <c r="AE55" s="8"/>
      <c r="AF55" s="8"/>
      <c r="AG55" s="8"/>
      <c r="AH55" s="8"/>
      <c r="AI55" s="8"/>
    </row>
    <row r="56" spans="1:36" x14ac:dyDescent="0.3">
      <c r="Y56" s="8"/>
      <c r="Z56" s="8"/>
      <c r="AA56" s="8"/>
      <c r="AB56" s="8"/>
      <c r="AC56" s="8"/>
      <c r="AD56" s="8"/>
      <c r="AE56" s="8"/>
      <c r="AF56" s="8"/>
      <c r="AG56" s="8"/>
      <c r="AH56" s="8"/>
      <c r="AI56" s="8"/>
    </row>
    <row r="57" spans="1:36" x14ac:dyDescent="0.3">
      <c r="Y57" s="8"/>
      <c r="Z57" s="8"/>
      <c r="AA57" s="8"/>
      <c r="AB57" s="8"/>
      <c r="AC57" s="8"/>
      <c r="AD57" s="8"/>
      <c r="AE57" s="8"/>
      <c r="AF57" s="8"/>
      <c r="AG57" s="8"/>
      <c r="AH57" s="8"/>
      <c r="AI57" s="8"/>
    </row>
    <row r="59" spans="1:36" ht="15" hidden="1" customHeight="1" thickBot="1" x14ac:dyDescent="0.35">
      <c r="A59" s="1" t="s">
        <v>220</v>
      </c>
    </row>
    <row r="60" spans="1:36" hidden="1" x14ac:dyDescent="0.3">
      <c r="A60" s="8" t="s">
        <v>313</v>
      </c>
    </row>
    <row r="61" spans="1:36" x14ac:dyDescent="0.3">
      <c r="B61" s="2"/>
      <c r="C61" s="2"/>
      <c r="D61" s="2"/>
      <c r="E61" s="2"/>
      <c r="F61" s="2"/>
      <c r="G61" s="2"/>
      <c r="H61" s="2"/>
      <c r="I61" s="2"/>
    </row>
  </sheetData>
  <sheetProtection algorithmName="SHA-512" hashValue="x9XMq4KUS0DXXwlGjiXHQPOgl0s7eTaiORt9nWdHfS/+V9NSrEDxO3SdvdaUs7LTBWEvR3Krjv48zwexe3hIPQ==" saltValue="4xH0ro2UkQ1mVyW3cxPySg==" spinCount="100000" sheet="1" objects="1" scenarios="1"/>
  <mergeCells count="91">
    <mergeCell ref="A54:B54"/>
    <mergeCell ref="C54:AF54"/>
    <mergeCell ref="A45:B45"/>
    <mergeCell ref="C45:AF45"/>
    <mergeCell ref="A46:B46"/>
    <mergeCell ref="C46:AF46"/>
    <mergeCell ref="I53:P53"/>
    <mergeCell ref="Q53:X53"/>
    <mergeCell ref="I52:P52"/>
    <mergeCell ref="Q52:X52"/>
    <mergeCell ref="A51:H51"/>
    <mergeCell ref="I51:P51"/>
    <mergeCell ref="Q51:X51"/>
    <mergeCell ref="Q31:S31"/>
    <mergeCell ref="T31:V31"/>
    <mergeCell ref="W31:AF31"/>
    <mergeCell ref="A30:D30"/>
    <mergeCell ref="E30:P30"/>
    <mergeCell ref="Q30:S30"/>
    <mergeCell ref="T30:V30"/>
    <mergeCell ref="W30:AF30"/>
    <mergeCell ref="A3:AF3"/>
    <mergeCell ref="A21:AF21"/>
    <mergeCell ref="B6:AF6"/>
    <mergeCell ref="B9:AF9"/>
    <mergeCell ref="A32:D32"/>
    <mergeCell ref="E32:P32"/>
    <mergeCell ref="Q32:S32"/>
    <mergeCell ref="T32:V32"/>
    <mergeCell ref="W32:AF32"/>
    <mergeCell ref="A23:J23"/>
    <mergeCell ref="A24:J24"/>
    <mergeCell ref="A25:J25"/>
    <mergeCell ref="A26:J26"/>
    <mergeCell ref="A31:D31"/>
    <mergeCell ref="E31:P31"/>
    <mergeCell ref="A29:AF29"/>
    <mergeCell ref="Q33:S33"/>
    <mergeCell ref="T33:V33"/>
    <mergeCell ref="W33:AF33"/>
    <mergeCell ref="A34:D34"/>
    <mergeCell ref="E34:P34"/>
    <mergeCell ref="Q34:S34"/>
    <mergeCell ref="T34:V34"/>
    <mergeCell ref="W34:AF34"/>
    <mergeCell ref="A33:D33"/>
    <mergeCell ref="E33:P33"/>
    <mergeCell ref="Q35:S35"/>
    <mergeCell ref="T35:V35"/>
    <mergeCell ref="W35:AF35"/>
    <mergeCell ref="A36:D36"/>
    <mergeCell ref="E36:P36"/>
    <mergeCell ref="Q36:S36"/>
    <mergeCell ref="T36:V36"/>
    <mergeCell ref="W36:AF36"/>
    <mergeCell ref="A35:D35"/>
    <mergeCell ref="E35:P35"/>
    <mergeCell ref="E37:P37"/>
    <mergeCell ref="Q37:S37"/>
    <mergeCell ref="T37:V37"/>
    <mergeCell ref="W37:AF37"/>
    <mergeCell ref="A40:K40"/>
    <mergeCell ref="L40:N40"/>
    <mergeCell ref="O40:Q40"/>
    <mergeCell ref="R40:T40"/>
    <mergeCell ref="U40:W40"/>
    <mergeCell ref="A37:D37"/>
    <mergeCell ref="O42:Q42"/>
    <mergeCell ref="R42:T42"/>
    <mergeCell ref="U42:W42"/>
    <mergeCell ref="A41:K41"/>
    <mergeCell ref="L41:N41"/>
    <mergeCell ref="O41:Q41"/>
    <mergeCell ref="R41:T41"/>
    <mergeCell ref="U41:W41"/>
    <mergeCell ref="A1:AF1"/>
    <mergeCell ref="A52:H52"/>
    <mergeCell ref="A53:H53"/>
    <mergeCell ref="A48:AF48"/>
    <mergeCell ref="A44:K44"/>
    <mergeCell ref="L44:N44"/>
    <mergeCell ref="O44:Q44"/>
    <mergeCell ref="R44:T44"/>
    <mergeCell ref="U44:W44"/>
    <mergeCell ref="A43:K43"/>
    <mergeCell ref="L43:N43"/>
    <mergeCell ref="O43:Q43"/>
    <mergeCell ref="R43:T43"/>
    <mergeCell ref="U43:W43"/>
    <mergeCell ref="A42:K42"/>
    <mergeCell ref="L42:N42"/>
  </mergeCells>
  <hyperlinks>
    <hyperlink ref="A2" location="TOC!A1" display="Return to TOC" xr:uid="{00000000-0004-0000-3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59999389629810485"/>
    <pageSetUpPr autoPageBreaks="0"/>
  </sheetPr>
  <dimension ref="A1:AF64"/>
  <sheetViews>
    <sheetView workbookViewId="0">
      <selection sqref="A1:AF1"/>
    </sheetView>
  </sheetViews>
  <sheetFormatPr defaultColWidth="2.6640625" defaultRowHeight="14.4" x14ac:dyDescent="0.3"/>
  <cols>
    <col min="1" max="7" width="2.6640625" style="1"/>
    <col min="8" max="8" width="3.33203125" style="1" customWidth="1"/>
    <col min="9" max="13" width="2.6640625" style="1"/>
    <col min="14" max="14" width="2.6640625" style="1" customWidth="1"/>
    <col min="15" max="40" width="2.6640625" style="1"/>
    <col min="41" max="41" width="5" style="1" bestFit="1" customWidth="1"/>
    <col min="42" max="16384" width="2.6640625" style="1"/>
  </cols>
  <sheetData>
    <row r="1" spans="1:32" ht="18" x14ac:dyDescent="0.3">
      <c r="A1" s="1131" t="s">
        <v>1224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67.5" customHeight="1" x14ac:dyDescent="0.3">
      <c r="B6" s="953" t="s">
        <v>1437</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row>
    <row r="8" spans="1:32" x14ac:dyDescent="0.3">
      <c r="B8" s="51" t="s">
        <v>4</v>
      </c>
      <c r="C8" s="51"/>
      <c r="D8" s="51"/>
      <c r="E8" s="51"/>
      <c r="F8" s="51"/>
      <c r="G8" s="51"/>
      <c r="H8" s="51"/>
      <c r="I8" s="51"/>
    </row>
    <row r="9" spans="1:32" s="4" customFormat="1" ht="109.5" customHeight="1" x14ac:dyDescent="0.3">
      <c r="B9" s="953" t="s">
        <v>2824</v>
      </c>
      <c r="C9" s="953"/>
      <c r="D9" s="953"/>
      <c r="E9" s="953"/>
      <c r="F9" s="953"/>
      <c r="G9" s="953"/>
      <c r="H9" s="953"/>
      <c r="I9" s="953"/>
      <c r="J9" s="953"/>
      <c r="K9" s="953"/>
      <c r="L9" s="953"/>
      <c r="M9" s="953"/>
      <c r="N9" s="953"/>
      <c r="O9" s="953"/>
      <c r="P9" s="953"/>
      <c r="Q9" s="953"/>
      <c r="R9" s="953"/>
      <c r="S9" s="953"/>
      <c r="T9" s="953"/>
      <c r="U9" s="953"/>
      <c r="V9" s="953"/>
      <c r="W9" s="953"/>
      <c r="X9" s="953"/>
      <c r="Y9" s="953"/>
      <c r="Z9" s="953"/>
      <c r="AA9" s="953"/>
      <c r="AB9" s="953"/>
      <c r="AC9" s="953"/>
      <c r="AD9" s="953"/>
      <c r="AE9" s="953"/>
      <c r="AF9" s="953"/>
    </row>
    <row r="11" spans="1:32" x14ac:dyDescent="0.3">
      <c r="B11" s="51" t="s">
        <v>5</v>
      </c>
      <c r="C11" s="51"/>
      <c r="D11" s="51"/>
      <c r="E11" s="51"/>
      <c r="F11" s="51"/>
      <c r="G11" s="51"/>
      <c r="H11" s="51"/>
      <c r="I11" s="51"/>
    </row>
    <row r="12" spans="1:32" x14ac:dyDescent="0.3">
      <c r="B12" s="1142" t="s">
        <v>1220</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51" t="s">
        <v>6</v>
      </c>
      <c r="C14" s="51"/>
      <c r="D14" s="51"/>
      <c r="E14" s="51"/>
      <c r="F14" s="51"/>
      <c r="G14" s="51"/>
      <c r="H14" s="51"/>
      <c r="I14" s="51"/>
    </row>
    <row r="15" spans="1:32" x14ac:dyDescent="0.3">
      <c r="B15" s="872" t="s">
        <v>1207</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17" spans="1:32" x14ac:dyDescent="0.3">
      <c r="B17" s="51" t="s">
        <v>13</v>
      </c>
      <c r="C17" s="51"/>
      <c r="D17" s="51"/>
      <c r="E17" s="51"/>
      <c r="F17" s="51"/>
      <c r="G17" s="51"/>
      <c r="H17" s="51"/>
      <c r="I17" s="51"/>
    </row>
    <row r="18" spans="1:32" ht="31.5" customHeight="1" x14ac:dyDescent="0.3">
      <c r="B18" s="872" t="s">
        <v>2012</v>
      </c>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customFormat="1" ht="15.6" x14ac:dyDescent="0.3">
      <c r="A23" s="2419" t="s">
        <v>1211</v>
      </c>
      <c r="B23" s="2419"/>
      <c r="C23" s="2419"/>
      <c r="D23" s="2419"/>
      <c r="E23" s="2419"/>
      <c r="F23" s="2419"/>
      <c r="G23" s="2419"/>
      <c r="H23" s="2419"/>
      <c r="I23" s="2419"/>
      <c r="J23" s="71" t="s">
        <v>1221</v>
      </c>
      <c r="K23" s="1"/>
      <c r="L23" s="1"/>
      <c r="M23" s="1"/>
      <c r="N23" s="1"/>
    </row>
    <row r="24" spans="1:32" customFormat="1" ht="15.6" x14ac:dyDescent="0.3">
      <c r="A24" s="2419" t="s">
        <v>1212</v>
      </c>
      <c r="B24" s="2419"/>
      <c r="C24" s="2419"/>
      <c r="D24" s="2419"/>
      <c r="E24" s="2419"/>
      <c r="F24" s="2419"/>
      <c r="G24" s="2419"/>
      <c r="H24" s="2419"/>
      <c r="I24" s="2419"/>
      <c r="J24" s="71" t="s">
        <v>1222</v>
      </c>
      <c r="K24" s="1"/>
      <c r="L24" s="1"/>
      <c r="M24" s="1"/>
      <c r="N24" s="1"/>
    </row>
    <row r="25" spans="1:32" customFormat="1" x14ac:dyDescent="0.3">
      <c r="B25" s="1"/>
      <c r="C25" s="1"/>
      <c r="D25" s="1"/>
      <c r="E25" s="1"/>
      <c r="F25" s="1"/>
      <c r="G25" s="1"/>
      <c r="H25" s="1"/>
      <c r="I25" s="1"/>
      <c r="J25" s="1"/>
      <c r="K25" s="1"/>
      <c r="L25" s="1"/>
      <c r="M25" s="1"/>
    </row>
    <row r="26" spans="1:32" customFormat="1" x14ac:dyDescent="0.3">
      <c r="B26" s="1"/>
      <c r="C26" s="1"/>
      <c r="D26" s="1"/>
      <c r="E26" s="1"/>
      <c r="F26" s="1"/>
      <c r="G26" s="1"/>
      <c r="H26" s="1"/>
      <c r="I26" s="1"/>
      <c r="J26" s="1"/>
      <c r="K26" s="1"/>
      <c r="L26" s="1"/>
      <c r="M26" s="1"/>
    </row>
    <row r="27" spans="1:32" customFormat="1"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customFormat="1"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t="s">
        <v>11</v>
      </c>
      <c r="U28" s="1143"/>
      <c r="V28" s="1143"/>
      <c r="W28" s="1143" t="s">
        <v>12</v>
      </c>
      <c r="X28" s="1143"/>
      <c r="Y28" s="1143"/>
      <c r="Z28" s="1143"/>
      <c r="AA28" s="1143"/>
      <c r="AB28" s="1143"/>
      <c r="AC28" s="1143"/>
      <c r="AD28" s="1143"/>
      <c r="AE28" s="1143"/>
      <c r="AF28" s="1143"/>
    </row>
    <row r="29" spans="1:32" customFormat="1" ht="15.6" x14ac:dyDescent="0.3">
      <c r="A29" s="1275" t="s">
        <v>1438</v>
      </c>
      <c r="B29" s="1275"/>
      <c r="C29" s="1275"/>
      <c r="D29" s="1275"/>
      <c r="E29" s="855" t="s">
        <v>1209</v>
      </c>
      <c r="F29" s="855"/>
      <c r="G29" s="855"/>
      <c r="H29" s="855"/>
      <c r="I29" s="855"/>
      <c r="J29" s="855"/>
      <c r="K29" s="855"/>
      <c r="L29" s="855"/>
      <c r="M29" s="855"/>
      <c r="N29" s="855"/>
      <c r="O29" s="855"/>
      <c r="P29" s="855"/>
      <c r="Q29" s="2418">
        <v>0.746</v>
      </c>
      <c r="R29" s="2418"/>
      <c r="S29" s="2418"/>
      <c r="T29" s="1275" t="s">
        <v>773</v>
      </c>
      <c r="U29" s="1275"/>
      <c r="V29" s="1275"/>
      <c r="W29" s="855"/>
      <c r="X29" s="855"/>
      <c r="Y29" s="855"/>
      <c r="Z29" s="855"/>
      <c r="AA29" s="855"/>
      <c r="AB29" s="855"/>
      <c r="AC29" s="855"/>
      <c r="AD29" s="855"/>
      <c r="AE29" s="855"/>
      <c r="AF29" s="855"/>
    </row>
    <row r="30" spans="1:32" customFormat="1" ht="28.95" customHeight="1" x14ac:dyDescent="0.3">
      <c r="A30" s="2420" t="s">
        <v>1439</v>
      </c>
      <c r="B30" s="1275"/>
      <c r="C30" s="1275"/>
      <c r="D30" s="1275"/>
      <c r="E30" s="855" t="s">
        <v>1208</v>
      </c>
      <c r="F30" s="855"/>
      <c r="G30" s="855"/>
      <c r="H30" s="855"/>
      <c r="I30" s="855"/>
      <c r="J30" s="855"/>
      <c r="K30" s="855"/>
      <c r="L30" s="855"/>
      <c r="M30" s="855"/>
      <c r="N30" s="855"/>
      <c r="O30" s="855"/>
      <c r="P30" s="855"/>
      <c r="Q30" s="2362">
        <v>0.81669999999999998</v>
      </c>
      <c r="R30" s="2362"/>
      <c r="S30" s="2362"/>
      <c r="T30" s="1275" t="s">
        <v>20</v>
      </c>
      <c r="U30" s="1275"/>
      <c r="V30" s="1275"/>
      <c r="W30" s="856" t="s">
        <v>1260</v>
      </c>
      <c r="X30" s="856"/>
      <c r="Y30" s="856"/>
      <c r="Z30" s="856"/>
      <c r="AA30" s="856"/>
      <c r="AB30" s="856"/>
      <c r="AC30" s="856"/>
      <c r="AD30" s="856"/>
      <c r="AE30" s="856"/>
      <c r="AF30" s="856"/>
    </row>
    <row r="31" spans="1:32" customFormat="1" ht="28.95" customHeight="1" x14ac:dyDescent="0.3">
      <c r="A31" s="2420" t="s">
        <v>1440</v>
      </c>
      <c r="B31" s="1275"/>
      <c r="C31" s="1275"/>
      <c r="D31" s="1275"/>
      <c r="E31" s="855" t="s">
        <v>1210</v>
      </c>
      <c r="F31" s="855"/>
      <c r="G31" s="855"/>
      <c r="H31" s="855"/>
      <c r="I31" s="855"/>
      <c r="J31" s="855"/>
      <c r="K31" s="855"/>
      <c r="L31" s="855"/>
      <c r="M31" s="855"/>
      <c r="N31" s="855"/>
      <c r="O31" s="855"/>
      <c r="P31" s="855"/>
      <c r="Q31" s="2362">
        <v>0.84279999999999999</v>
      </c>
      <c r="R31" s="2362"/>
      <c r="S31" s="2362"/>
      <c r="T31" s="1275" t="s">
        <v>20</v>
      </c>
      <c r="U31" s="1275"/>
      <c r="V31" s="1275"/>
      <c r="W31" s="856" t="s">
        <v>1261</v>
      </c>
      <c r="X31" s="856"/>
      <c r="Y31" s="856"/>
      <c r="Z31" s="856"/>
      <c r="AA31" s="856"/>
      <c r="AB31" s="856"/>
      <c r="AC31" s="856"/>
      <c r="AD31" s="856"/>
      <c r="AE31" s="856"/>
      <c r="AF31" s="856"/>
    </row>
    <row r="32" spans="1:32" customFormat="1" ht="28.95" customHeight="1" x14ac:dyDescent="0.3">
      <c r="A32" s="1275" t="s">
        <v>228</v>
      </c>
      <c r="B32" s="1275"/>
      <c r="C32" s="1275"/>
      <c r="D32" s="1275"/>
      <c r="E32" s="856" t="s">
        <v>772</v>
      </c>
      <c r="F32" s="856"/>
      <c r="G32" s="856"/>
      <c r="H32" s="856"/>
      <c r="I32" s="856"/>
      <c r="J32" s="856"/>
      <c r="K32" s="856"/>
      <c r="L32" s="856"/>
      <c r="M32" s="856"/>
      <c r="N32" s="856"/>
      <c r="O32" s="856"/>
      <c r="P32" s="856"/>
      <c r="Q32" s="2209">
        <v>0.75</v>
      </c>
      <c r="R32" s="2209"/>
      <c r="S32" s="2209"/>
      <c r="T32" s="1275" t="s">
        <v>20</v>
      </c>
      <c r="U32" s="1275"/>
      <c r="V32" s="1275"/>
      <c r="W32" s="855" t="s">
        <v>2825</v>
      </c>
      <c r="X32" s="855"/>
      <c r="Y32" s="855"/>
      <c r="Z32" s="855"/>
      <c r="AA32" s="855"/>
      <c r="AB32" s="855"/>
      <c r="AC32" s="855"/>
      <c r="AD32" s="855"/>
      <c r="AE32" s="855"/>
      <c r="AF32" s="855"/>
    </row>
    <row r="33" spans="1:32" customFormat="1" ht="28.95" customHeight="1" x14ac:dyDescent="0.3">
      <c r="A33" s="1275" t="s">
        <v>24</v>
      </c>
      <c r="B33" s="1275"/>
      <c r="C33" s="1275"/>
      <c r="D33" s="1275"/>
      <c r="E33" s="855" t="s">
        <v>155</v>
      </c>
      <c r="F33" s="855"/>
      <c r="G33" s="855"/>
      <c r="H33" s="855"/>
      <c r="I33" s="855"/>
      <c r="J33" s="855"/>
      <c r="K33" s="855"/>
      <c r="L33" s="855"/>
      <c r="M33" s="855"/>
      <c r="N33" s="855"/>
      <c r="O33" s="855"/>
      <c r="P33" s="855"/>
      <c r="Q33" s="1275">
        <f>6*365</f>
        <v>2190</v>
      </c>
      <c r="R33" s="1275"/>
      <c r="S33" s="1275"/>
      <c r="T33" s="1275" t="s">
        <v>37</v>
      </c>
      <c r="U33" s="1275"/>
      <c r="V33" s="1275"/>
      <c r="W33" s="856" t="s">
        <v>2826</v>
      </c>
      <c r="X33" s="856"/>
      <c r="Y33" s="856"/>
      <c r="Z33" s="856"/>
      <c r="AA33" s="856"/>
      <c r="AB33" s="856"/>
      <c r="AC33" s="856"/>
      <c r="AD33" s="856"/>
      <c r="AE33" s="856"/>
      <c r="AF33" s="856"/>
    </row>
    <row r="34" spans="1:32" customFormat="1" x14ac:dyDescent="0.3">
      <c r="A34" s="1275" t="s">
        <v>26</v>
      </c>
      <c r="B34" s="1275"/>
      <c r="C34" s="1275"/>
      <c r="D34" s="1275"/>
      <c r="E34" s="855" t="s">
        <v>268</v>
      </c>
      <c r="F34" s="855"/>
      <c r="G34" s="855"/>
      <c r="H34" s="855"/>
      <c r="I34" s="855"/>
      <c r="J34" s="855"/>
      <c r="K34" s="855"/>
      <c r="L34" s="855"/>
      <c r="M34" s="855"/>
      <c r="N34" s="855"/>
      <c r="O34" s="855"/>
      <c r="P34" s="855"/>
      <c r="Q34" s="1275">
        <f>'Master EUL'!X86</f>
        <v>15</v>
      </c>
      <c r="R34" s="1275"/>
      <c r="S34" s="1275"/>
      <c r="T34" s="1275" t="s">
        <v>38</v>
      </c>
      <c r="U34" s="1275"/>
      <c r="V34" s="1275"/>
      <c r="W34" s="855"/>
      <c r="X34" s="855"/>
      <c r="Y34" s="855"/>
      <c r="Z34" s="855"/>
      <c r="AA34" s="855"/>
      <c r="AB34" s="855"/>
      <c r="AC34" s="855"/>
      <c r="AD34" s="855"/>
      <c r="AE34" s="855"/>
      <c r="AF34" s="855"/>
    </row>
    <row r="36" spans="1:32" ht="16.2" customHeight="1" x14ac:dyDescent="0.3">
      <c r="A36" s="187" t="s">
        <v>1219</v>
      </c>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row>
    <row r="37" spans="1:32" ht="14.4" customHeight="1" x14ac:dyDescent="0.3">
      <c r="A37" s="1272" t="s">
        <v>1213</v>
      </c>
      <c r="B37" s="1272"/>
      <c r="C37" s="1272"/>
      <c r="D37" s="1272"/>
      <c r="E37" s="2430" t="s">
        <v>1214</v>
      </c>
      <c r="F37" s="2430"/>
      <c r="G37" s="2430"/>
      <c r="H37" s="2430"/>
      <c r="I37" s="2430"/>
      <c r="J37" s="2430"/>
      <c r="K37" s="2430"/>
      <c r="L37" s="2430"/>
      <c r="M37" s="2430" t="s">
        <v>1215</v>
      </c>
      <c r="N37" s="2430"/>
      <c r="O37" s="2430"/>
      <c r="P37" s="2430"/>
      <c r="Q37" s="2430"/>
      <c r="R37" s="2430"/>
      <c r="S37" s="2430"/>
      <c r="T37" s="2430"/>
      <c r="U37" s="2430" t="s">
        <v>1216</v>
      </c>
      <c r="V37" s="2430"/>
      <c r="W37" s="2430"/>
      <c r="X37" s="2430"/>
      <c r="Y37" s="2430"/>
      <c r="Z37" s="2430"/>
      <c r="AA37" s="2430"/>
      <c r="AB37" s="2430"/>
    </row>
    <row r="38" spans="1:32" x14ac:dyDescent="0.3">
      <c r="A38" s="1272"/>
      <c r="B38" s="1272"/>
      <c r="C38" s="1272"/>
      <c r="D38" s="1272"/>
      <c r="E38" s="2430"/>
      <c r="F38" s="2430"/>
      <c r="G38" s="2430"/>
      <c r="H38" s="2430"/>
      <c r="I38" s="2430"/>
      <c r="J38" s="2430"/>
      <c r="K38" s="2430"/>
      <c r="L38" s="2430"/>
      <c r="M38" s="2430"/>
      <c r="N38" s="2430"/>
      <c r="O38" s="2430"/>
      <c r="P38" s="2430"/>
      <c r="Q38" s="2430"/>
      <c r="R38" s="2430"/>
      <c r="S38" s="2430"/>
      <c r="T38" s="2430"/>
      <c r="U38" s="2430"/>
      <c r="V38" s="2430"/>
      <c r="W38" s="2430"/>
      <c r="X38" s="2430"/>
      <c r="Y38" s="2430"/>
      <c r="Z38" s="2430"/>
      <c r="AA38" s="2430"/>
      <c r="AB38" s="2430"/>
    </row>
    <row r="39" spans="1:32" ht="14.4" customHeight="1" x14ac:dyDescent="0.3">
      <c r="A39" s="1272"/>
      <c r="B39" s="1272"/>
      <c r="C39" s="1272"/>
      <c r="D39" s="1272"/>
      <c r="E39" s="2429" t="s">
        <v>1217</v>
      </c>
      <c r="F39" s="2429"/>
      <c r="G39" s="2429"/>
      <c r="H39" s="2429"/>
      <c r="I39" s="2429" t="s">
        <v>1218</v>
      </c>
      <c r="J39" s="2429"/>
      <c r="K39" s="2429"/>
      <c r="L39" s="2429"/>
      <c r="M39" s="2429" t="s">
        <v>1217</v>
      </c>
      <c r="N39" s="2429"/>
      <c r="O39" s="2429"/>
      <c r="P39" s="2429"/>
      <c r="Q39" s="2429" t="s">
        <v>1218</v>
      </c>
      <c r="R39" s="2429"/>
      <c r="S39" s="2429"/>
      <c r="T39" s="2429"/>
      <c r="U39" s="2429" t="s">
        <v>1217</v>
      </c>
      <c r="V39" s="2429"/>
      <c r="W39" s="2429"/>
      <c r="X39" s="2429"/>
      <c r="Y39" s="2429" t="s">
        <v>1218</v>
      </c>
      <c r="Z39" s="2429"/>
      <c r="AA39" s="2429"/>
      <c r="AB39" s="2429"/>
    </row>
    <row r="40" spans="1:32" x14ac:dyDescent="0.3">
      <c r="A40" s="2424">
        <v>1</v>
      </c>
      <c r="B40" s="2424"/>
      <c r="C40" s="2424"/>
      <c r="D40" s="2424"/>
      <c r="E40" s="2425">
        <v>80</v>
      </c>
      <c r="F40" s="2425"/>
      <c r="G40" s="2425"/>
      <c r="H40" s="2425"/>
      <c r="I40" s="2425">
        <v>84</v>
      </c>
      <c r="J40" s="2425"/>
      <c r="K40" s="2425"/>
      <c r="L40" s="2425"/>
      <c r="M40" s="2425">
        <v>86.4</v>
      </c>
      <c r="N40" s="2425"/>
      <c r="O40" s="2425"/>
      <c r="P40" s="2425"/>
      <c r="Q40" s="2425">
        <v>87.5</v>
      </c>
      <c r="R40" s="2425"/>
      <c r="S40" s="2425"/>
      <c r="T40" s="2425"/>
      <c r="U40" s="2425">
        <v>83.8</v>
      </c>
      <c r="V40" s="2425"/>
      <c r="W40" s="2425"/>
      <c r="X40" s="2425"/>
      <c r="Y40" s="2423">
        <v>84</v>
      </c>
      <c r="Z40" s="2423"/>
      <c r="AA40" s="2423"/>
      <c r="AB40" s="2423"/>
    </row>
    <row r="41" spans="1:32" ht="14.4" customHeight="1" x14ac:dyDescent="0.3">
      <c r="A41" s="2424">
        <v>1.5</v>
      </c>
      <c r="B41" s="2424"/>
      <c r="C41" s="2424"/>
      <c r="D41" s="2424"/>
      <c r="E41" s="2425">
        <v>86.5</v>
      </c>
      <c r="F41" s="2425">
        <v>86.5</v>
      </c>
      <c r="G41" s="2425">
        <v>86.5</v>
      </c>
      <c r="H41" s="2425">
        <v>86.5</v>
      </c>
      <c r="I41" s="2425">
        <v>87.5</v>
      </c>
      <c r="J41" s="2425">
        <v>87.5</v>
      </c>
      <c r="K41" s="2425">
        <v>87.5</v>
      </c>
      <c r="L41" s="2425">
        <v>87.5</v>
      </c>
      <c r="M41" s="2425">
        <v>87.3</v>
      </c>
      <c r="N41" s="2425">
        <v>86.5</v>
      </c>
      <c r="O41" s="2425">
        <v>86.5</v>
      </c>
      <c r="P41" s="2425">
        <v>86.5</v>
      </c>
      <c r="Q41" s="2425">
        <v>88.5</v>
      </c>
      <c r="R41" s="2425">
        <v>88.5</v>
      </c>
      <c r="S41" s="2425">
        <v>88.5</v>
      </c>
      <c r="T41" s="2425">
        <v>88.5</v>
      </c>
      <c r="U41" s="2425">
        <v>87.5</v>
      </c>
      <c r="V41" s="2425">
        <v>87.5</v>
      </c>
      <c r="W41" s="2425">
        <v>87.5</v>
      </c>
      <c r="X41" s="2425">
        <v>87.5</v>
      </c>
      <c r="Y41" s="2423">
        <v>89.2</v>
      </c>
      <c r="Z41" s="2423">
        <v>87.5</v>
      </c>
      <c r="AA41" s="2423">
        <v>87.5</v>
      </c>
      <c r="AB41" s="2423">
        <v>87.5</v>
      </c>
    </row>
    <row r="42" spans="1:32" customFormat="1" x14ac:dyDescent="0.3">
      <c r="A42" s="2424">
        <v>2</v>
      </c>
      <c r="B42" s="2424"/>
      <c r="C42" s="2424"/>
      <c r="D42" s="2424"/>
      <c r="E42" s="2425">
        <v>86.5</v>
      </c>
      <c r="F42" s="2425">
        <v>86.5</v>
      </c>
      <c r="G42" s="2425">
        <v>86.5</v>
      </c>
      <c r="H42" s="2425">
        <v>86.5</v>
      </c>
      <c r="I42" s="2425">
        <v>88.5</v>
      </c>
      <c r="J42" s="2425">
        <v>88.5</v>
      </c>
      <c r="K42" s="2425">
        <v>88.5</v>
      </c>
      <c r="L42" s="2425">
        <v>88.5</v>
      </c>
      <c r="M42" s="2425">
        <v>87.3</v>
      </c>
      <c r="N42" s="2425">
        <v>86.5</v>
      </c>
      <c r="O42" s="2425">
        <v>86.5</v>
      </c>
      <c r="P42" s="2425">
        <v>86.5</v>
      </c>
      <c r="Q42" s="2425">
        <v>88.5</v>
      </c>
      <c r="R42" s="2425">
        <v>88.5</v>
      </c>
      <c r="S42" s="2425">
        <v>88.5</v>
      </c>
      <c r="T42" s="2425">
        <v>88.5</v>
      </c>
      <c r="U42" s="2425">
        <v>88.5</v>
      </c>
      <c r="V42" s="2425">
        <v>88.5</v>
      </c>
      <c r="W42" s="2425">
        <v>88.5</v>
      </c>
      <c r="X42" s="2425">
        <v>88.5</v>
      </c>
      <c r="Y42" s="2423">
        <v>90.1</v>
      </c>
      <c r="Z42" s="2423">
        <v>88.5</v>
      </c>
      <c r="AA42" s="2423">
        <v>88.5</v>
      </c>
      <c r="AB42" s="2423">
        <v>88.5</v>
      </c>
    </row>
    <row r="43" spans="1:32" customFormat="1" ht="14.4" hidden="1" customHeight="1" x14ac:dyDescent="0.3">
      <c r="A43" s="2424">
        <v>3</v>
      </c>
      <c r="B43" s="2424"/>
      <c r="C43" s="2424"/>
      <c r="D43" s="2424"/>
      <c r="E43" s="2425">
        <v>86.5</v>
      </c>
      <c r="F43" s="2425">
        <v>86.5</v>
      </c>
      <c r="G43" s="2425">
        <v>86.5</v>
      </c>
      <c r="H43" s="2425">
        <v>86.5</v>
      </c>
      <c r="I43" s="2425">
        <v>89.5</v>
      </c>
      <c r="J43" s="2425">
        <v>89.5</v>
      </c>
      <c r="K43" s="2425">
        <v>89.5</v>
      </c>
      <c r="L43" s="2425">
        <v>89.5</v>
      </c>
      <c r="M43" s="2425">
        <v>90.3</v>
      </c>
      <c r="N43" s="2425">
        <v>89.5</v>
      </c>
      <c r="O43" s="2425">
        <v>89.5</v>
      </c>
      <c r="P43" s="2425">
        <v>89.5</v>
      </c>
      <c r="Q43" s="2425">
        <v>91</v>
      </c>
      <c r="R43" s="2425">
        <v>91</v>
      </c>
      <c r="S43" s="2425">
        <v>91</v>
      </c>
      <c r="T43" s="2425">
        <v>91</v>
      </c>
      <c r="U43" s="2425">
        <v>90.2</v>
      </c>
      <c r="V43" s="2425">
        <v>90.2</v>
      </c>
      <c r="W43" s="2425">
        <v>90.2</v>
      </c>
      <c r="X43" s="2425">
        <v>90.2</v>
      </c>
      <c r="Y43" s="2423">
        <v>90.2</v>
      </c>
      <c r="Z43" s="2423">
        <v>90.2</v>
      </c>
      <c r="AA43" s="2423">
        <v>90.2</v>
      </c>
      <c r="AB43" s="2423">
        <v>90.2</v>
      </c>
    </row>
    <row r="44" spans="1:32" customFormat="1" ht="14.4" hidden="1" customHeight="1" x14ac:dyDescent="0.3">
      <c r="A44" s="2424">
        <v>5</v>
      </c>
      <c r="B44" s="2424"/>
      <c r="C44" s="2424"/>
      <c r="D44" s="2424"/>
      <c r="E44" s="2425">
        <v>89.5</v>
      </c>
      <c r="F44" s="2425">
        <v>89.5</v>
      </c>
      <c r="G44" s="2425">
        <v>89.5</v>
      </c>
      <c r="H44" s="2425">
        <v>89.5</v>
      </c>
      <c r="I44" s="2425">
        <v>90.2</v>
      </c>
      <c r="J44" s="2425">
        <v>90.2</v>
      </c>
      <c r="K44" s="2425">
        <v>90.2</v>
      </c>
      <c r="L44" s="2425">
        <v>90.2</v>
      </c>
      <c r="M44" s="2425">
        <v>90.2</v>
      </c>
      <c r="N44" s="2425">
        <v>89.5</v>
      </c>
      <c r="O44" s="2425">
        <v>89.5</v>
      </c>
      <c r="P44" s="2425">
        <v>89.5</v>
      </c>
      <c r="Q44" s="2425">
        <v>91</v>
      </c>
      <c r="R44" s="2425">
        <v>91</v>
      </c>
      <c r="S44" s="2425">
        <v>91</v>
      </c>
      <c r="T44" s="2425">
        <v>91</v>
      </c>
      <c r="U44" s="2425">
        <v>90.5</v>
      </c>
      <c r="V44" s="2425">
        <v>90.5</v>
      </c>
      <c r="W44" s="2425">
        <v>90.5</v>
      </c>
      <c r="X44" s="2425">
        <v>90.5</v>
      </c>
      <c r="Y44" s="2423">
        <v>91</v>
      </c>
      <c r="Z44" s="2423">
        <v>91</v>
      </c>
      <c r="AA44" s="2423">
        <v>91</v>
      </c>
      <c r="AB44" s="2423">
        <v>91</v>
      </c>
    </row>
    <row r="45" spans="1:32" x14ac:dyDescent="0.3">
      <c r="A45" s="2424">
        <v>7.5</v>
      </c>
      <c r="B45" s="2424"/>
      <c r="C45" s="2424"/>
      <c r="D45" s="2424"/>
      <c r="E45" s="2425">
        <v>90.2</v>
      </c>
      <c r="F45" s="2425">
        <v>90.2</v>
      </c>
      <c r="G45" s="2425">
        <v>90.2</v>
      </c>
      <c r="H45" s="2425">
        <v>90.2</v>
      </c>
      <c r="I45" s="2425">
        <v>91.7</v>
      </c>
      <c r="J45" s="2425">
        <v>91.7</v>
      </c>
      <c r="K45" s="2425">
        <v>91.7</v>
      </c>
      <c r="L45" s="2425">
        <v>91.7</v>
      </c>
      <c r="M45" s="2425">
        <v>91.7</v>
      </c>
      <c r="N45" s="2425">
        <v>91.7</v>
      </c>
      <c r="O45" s="2425">
        <v>91.7</v>
      </c>
      <c r="P45" s="2425">
        <v>91.7</v>
      </c>
      <c r="Q45" s="2425">
        <v>93</v>
      </c>
      <c r="R45" s="2425">
        <v>93</v>
      </c>
      <c r="S45" s="2425">
        <v>93</v>
      </c>
      <c r="T45" s="2425">
        <v>93</v>
      </c>
      <c r="U45" s="2425">
        <v>91.7</v>
      </c>
      <c r="V45" s="2425">
        <v>91.7</v>
      </c>
      <c r="W45" s="2425">
        <v>91.7</v>
      </c>
      <c r="X45" s="2425">
        <v>91.7</v>
      </c>
      <c r="Y45" s="2423">
        <v>92.4</v>
      </c>
      <c r="Z45" s="2423">
        <v>92.4</v>
      </c>
      <c r="AA45" s="2423">
        <v>92.4</v>
      </c>
      <c r="AB45" s="2423">
        <v>92.4</v>
      </c>
    </row>
    <row r="46" spans="1:32" x14ac:dyDescent="0.3">
      <c r="A46" s="2424">
        <v>10</v>
      </c>
      <c r="B46" s="2424"/>
      <c r="C46" s="2424"/>
      <c r="D46" s="2424"/>
      <c r="E46" s="2425">
        <v>91.7</v>
      </c>
      <c r="F46" s="2425">
        <v>91.7</v>
      </c>
      <c r="G46" s="2425">
        <v>91.7</v>
      </c>
      <c r="H46" s="2425">
        <v>91.7</v>
      </c>
      <c r="I46" s="2425">
        <v>91.7</v>
      </c>
      <c r="J46" s="2425">
        <v>91.7</v>
      </c>
      <c r="K46" s="2425">
        <v>91.7</v>
      </c>
      <c r="L46" s="2425">
        <v>91.7</v>
      </c>
      <c r="M46" s="2425">
        <v>92.3</v>
      </c>
      <c r="N46" s="2425">
        <v>91.7</v>
      </c>
      <c r="O46" s="2425">
        <v>91.7</v>
      </c>
      <c r="P46" s="2425">
        <v>91.7</v>
      </c>
      <c r="Q46" s="2425">
        <v>93</v>
      </c>
      <c r="R46" s="2425">
        <v>93</v>
      </c>
      <c r="S46" s="2425">
        <v>93</v>
      </c>
      <c r="T46" s="2425">
        <v>93</v>
      </c>
      <c r="U46" s="2425">
        <v>92.4</v>
      </c>
      <c r="V46" s="2425">
        <v>92.4</v>
      </c>
      <c r="W46" s="2425">
        <v>92.4</v>
      </c>
      <c r="X46" s="2425">
        <v>92.4</v>
      </c>
      <c r="Y46" s="2423">
        <v>92.4</v>
      </c>
      <c r="Z46" s="2423">
        <v>92.4</v>
      </c>
      <c r="AA46" s="2423">
        <v>92.4</v>
      </c>
      <c r="AB46" s="2423">
        <v>92.4</v>
      </c>
    </row>
    <row r="47" spans="1:32" x14ac:dyDescent="0.3">
      <c r="A47" s="2424">
        <v>15</v>
      </c>
      <c r="B47" s="2424"/>
      <c r="C47" s="2424"/>
      <c r="D47" s="2424"/>
      <c r="E47" s="2425">
        <v>91.6</v>
      </c>
      <c r="F47" s="2425">
        <v>91</v>
      </c>
      <c r="G47" s="2425">
        <v>91</v>
      </c>
      <c r="H47" s="2425">
        <v>91</v>
      </c>
      <c r="I47" s="2425">
        <v>92.4</v>
      </c>
      <c r="J47" s="2425">
        <v>92.4</v>
      </c>
      <c r="K47" s="2425">
        <v>92.4</v>
      </c>
      <c r="L47" s="2425">
        <v>92.4</v>
      </c>
      <c r="M47" s="2425">
        <v>93.6</v>
      </c>
      <c r="N47" s="2425">
        <v>93</v>
      </c>
      <c r="O47" s="2425">
        <v>93</v>
      </c>
      <c r="P47" s="2425">
        <v>93</v>
      </c>
      <c r="Q47" s="2425">
        <v>93.6</v>
      </c>
      <c r="R47" s="2425">
        <v>93.6</v>
      </c>
      <c r="S47" s="2425">
        <v>93.6</v>
      </c>
      <c r="T47" s="2425">
        <v>93.6</v>
      </c>
      <c r="U47" s="2425">
        <v>92.4</v>
      </c>
      <c r="V47" s="2425">
        <v>92.4</v>
      </c>
      <c r="W47" s="2425">
        <v>92.4</v>
      </c>
      <c r="X47" s="2425">
        <v>92.4</v>
      </c>
      <c r="Y47" s="2423">
        <v>93</v>
      </c>
      <c r="Z47" s="2423">
        <v>93</v>
      </c>
      <c r="AA47" s="2423">
        <v>93</v>
      </c>
      <c r="AB47" s="2423">
        <v>93</v>
      </c>
    </row>
    <row r="48" spans="1:32" x14ac:dyDescent="0.3">
      <c r="A48" s="2424">
        <v>20</v>
      </c>
      <c r="B48" s="2424"/>
      <c r="C48" s="2424"/>
      <c r="D48" s="2424"/>
      <c r="E48" s="2425">
        <v>92.4</v>
      </c>
      <c r="F48" s="2425">
        <v>92.4</v>
      </c>
      <c r="G48" s="2425">
        <v>92.4</v>
      </c>
      <c r="H48" s="2425">
        <v>92.4</v>
      </c>
      <c r="I48" s="2425">
        <v>93</v>
      </c>
      <c r="J48" s="2425">
        <v>93</v>
      </c>
      <c r="K48" s="2425">
        <v>93</v>
      </c>
      <c r="L48" s="2425">
        <v>93</v>
      </c>
      <c r="M48" s="2425">
        <v>93.6</v>
      </c>
      <c r="N48" s="2425">
        <v>93.6</v>
      </c>
      <c r="O48" s="2425">
        <v>93.6</v>
      </c>
      <c r="P48" s="2425">
        <v>93.6</v>
      </c>
      <c r="Q48" s="2425">
        <v>94.1</v>
      </c>
      <c r="R48" s="2425">
        <v>94.1</v>
      </c>
      <c r="S48" s="2425">
        <v>94.1</v>
      </c>
      <c r="T48" s="2425">
        <v>94.1</v>
      </c>
      <c r="U48" s="2425">
        <v>93</v>
      </c>
      <c r="V48" s="2425">
        <v>93</v>
      </c>
      <c r="W48" s="2425">
        <v>93</v>
      </c>
      <c r="X48" s="2425">
        <v>93</v>
      </c>
      <c r="Y48" s="2423">
        <v>93</v>
      </c>
      <c r="Z48" s="2423">
        <v>93</v>
      </c>
      <c r="AA48" s="2423">
        <v>93</v>
      </c>
      <c r="AB48" s="2423">
        <v>93</v>
      </c>
    </row>
    <row r="49" spans="1:32" x14ac:dyDescent="0.3">
      <c r="A49" s="2424">
        <v>25</v>
      </c>
      <c r="B49" s="2424"/>
      <c r="C49" s="2424"/>
      <c r="D49" s="2424"/>
      <c r="E49" s="2425">
        <v>93</v>
      </c>
      <c r="F49" s="2425">
        <v>93</v>
      </c>
      <c r="G49" s="2425">
        <v>93</v>
      </c>
      <c r="H49" s="2425">
        <v>93</v>
      </c>
      <c r="I49" s="2425">
        <v>93.6</v>
      </c>
      <c r="J49" s="2425">
        <v>93.6</v>
      </c>
      <c r="K49" s="2425">
        <v>93.6</v>
      </c>
      <c r="L49" s="2425">
        <v>93.6</v>
      </c>
      <c r="M49" s="2425">
        <v>94.1</v>
      </c>
      <c r="N49" s="2425">
        <v>94.1</v>
      </c>
      <c r="O49" s="2425">
        <v>94.1</v>
      </c>
      <c r="P49" s="2425">
        <v>94.1</v>
      </c>
      <c r="Q49" s="2425">
        <v>94.5</v>
      </c>
      <c r="R49" s="2425">
        <v>94.5</v>
      </c>
      <c r="S49" s="2425">
        <v>94.5</v>
      </c>
      <c r="T49" s="2425">
        <v>94.5</v>
      </c>
      <c r="U49" s="2425">
        <v>93.6</v>
      </c>
      <c r="V49" s="2425">
        <v>93.6</v>
      </c>
      <c r="W49" s="2425">
        <v>93.6</v>
      </c>
      <c r="X49" s="2425">
        <v>93.6</v>
      </c>
      <c r="Y49" s="2423">
        <v>94.1</v>
      </c>
      <c r="Z49" s="2423">
        <v>94.1</v>
      </c>
      <c r="AA49" s="2423">
        <v>94.1</v>
      </c>
      <c r="AB49" s="2423">
        <v>94.1</v>
      </c>
    </row>
    <row r="50" spans="1:32" x14ac:dyDescent="0.3">
      <c r="A50" s="2424">
        <v>30</v>
      </c>
      <c r="B50" s="2424"/>
      <c r="C50" s="2424"/>
      <c r="D50" s="2424"/>
      <c r="E50" s="2425">
        <v>92.4</v>
      </c>
      <c r="F50" s="2425">
        <v>92.4</v>
      </c>
      <c r="G50" s="2425">
        <v>92.4</v>
      </c>
      <c r="H50" s="2425">
        <v>92.4</v>
      </c>
      <c r="I50" s="2425">
        <v>93.6</v>
      </c>
      <c r="J50" s="2425">
        <v>93.6</v>
      </c>
      <c r="K50" s="2425">
        <v>93.6</v>
      </c>
      <c r="L50" s="2425">
        <v>93.6</v>
      </c>
      <c r="M50" s="2425">
        <v>94.6</v>
      </c>
      <c r="N50" s="2425">
        <v>94.1</v>
      </c>
      <c r="O50" s="2425">
        <v>94.1</v>
      </c>
      <c r="P50" s="2425">
        <v>94.1</v>
      </c>
      <c r="Q50" s="2425">
        <v>94.5</v>
      </c>
      <c r="R50" s="2425">
        <v>94.5</v>
      </c>
      <c r="S50" s="2425">
        <v>94.5</v>
      </c>
      <c r="T50" s="2425">
        <v>94.5</v>
      </c>
      <c r="U50" s="2425">
        <v>94.1</v>
      </c>
      <c r="V50" s="2425">
        <v>94.1</v>
      </c>
      <c r="W50" s="2425">
        <v>94.1</v>
      </c>
      <c r="X50" s="2425">
        <v>94.1</v>
      </c>
      <c r="Y50" s="2423">
        <v>94.1</v>
      </c>
      <c r="Z50" s="2423">
        <v>94.1</v>
      </c>
      <c r="AA50" s="2423">
        <v>94.1</v>
      </c>
      <c r="AB50" s="2423">
        <v>94.1</v>
      </c>
    </row>
    <row r="51" spans="1:32" x14ac:dyDescent="0.3">
      <c r="A51" s="2424">
        <v>40</v>
      </c>
      <c r="B51" s="2424"/>
      <c r="C51" s="2424"/>
      <c r="D51" s="2424"/>
      <c r="E51" s="2425">
        <v>93.6</v>
      </c>
      <c r="F51" s="2425">
        <v>93.6</v>
      </c>
      <c r="G51" s="2425">
        <v>93.6</v>
      </c>
      <c r="H51" s="2425">
        <v>93.6</v>
      </c>
      <c r="I51" s="2425">
        <v>94.1</v>
      </c>
      <c r="J51" s="2425">
        <v>94.1</v>
      </c>
      <c r="K51" s="2425">
        <v>94.1</v>
      </c>
      <c r="L51" s="2425">
        <v>94.1</v>
      </c>
      <c r="M51" s="2425">
        <v>94.5</v>
      </c>
      <c r="N51" s="2425">
        <v>94.5</v>
      </c>
      <c r="O51" s="2425">
        <v>94.5</v>
      </c>
      <c r="P51" s="2425">
        <v>94.5</v>
      </c>
      <c r="Q51" s="2425">
        <v>95</v>
      </c>
      <c r="R51" s="2425">
        <v>95</v>
      </c>
      <c r="S51" s="2425">
        <v>95</v>
      </c>
      <c r="T51" s="2425">
        <v>95</v>
      </c>
      <c r="U51" s="2425">
        <v>94.5</v>
      </c>
      <c r="V51" s="2425">
        <v>94.5</v>
      </c>
      <c r="W51" s="2425">
        <v>94.5</v>
      </c>
      <c r="X51" s="2425">
        <v>94.5</v>
      </c>
      <c r="Y51" s="2423">
        <v>95</v>
      </c>
      <c r="Z51" s="2423">
        <v>95</v>
      </c>
      <c r="AA51" s="2423">
        <v>95</v>
      </c>
      <c r="AB51" s="2423">
        <v>95</v>
      </c>
    </row>
    <row r="52" spans="1:32" x14ac:dyDescent="0.3">
      <c r="A52" s="2424">
        <v>50</v>
      </c>
      <c r="B52" s="2424"/>
      <c r="C52" s="2424"/>
      <c r="D52" s="2424"/>
      <c r="E52" s="2425">
        <v>94.1</v>
      </c>
      <c r="F52" s="2425">
        <v>94.1</v>
      </c>
      <c r="G52" s="2425">
        <v>94.1</v>
      </c>
      <c r="H52" s="2425">
        <v>94.1</v>
      </c>
      <c r="I52" s="2425">
        <v>94.5</v>
      </c>
      <c r="J52" s="2425">
        <v>94.5</v>
      </c>
      <c r="K52" s="2425">
        <v>94.5</v>
      </c>
      <c r="L52" s="2425">
        <v>94.5</v>
      </c>
      <c r="M52" s="2425">
        <v>95</v>
      </c>
      <c r="N52" s="2425">
        <v>95</v>
      </c>
      <c r="O52" s="2425">
        <v>95</v>
      </c>
      <c r="P52" s="2425">
        <v>95</v>
      </c>
      <c r="Q52" s="2425">
        <v>95.4</v>
      </c>
      <c r="R52" s="2425">
        <v>95.4</v>
      </c>
      <c r="S52" s="2425">
        <v>95.4</v>
      </c>
      <c r="T52" s="2425">
        <v>95.4</v>
      </c>
      <c r="U52" s="2425">
        <v>94.5</v>
      </c>
      <c r="V52" s="2425">
        <v>94.5</v>
      </c>
      <c r="W52" s="2425">
        <v>94.5</v>
      </c>
      <c r="X52" s="2425">
        <v>94.5</v>
      </c>
      <c r="Y52" s="2423">
        <v>95</v>
      </c>
      <c r="Z52" s="2423">
        <v>95</v>
      </c>
      <c r="AA52" s="2423">
        <v>95</v>
      </c>
      <c r="AB52" s="2423">
        <v>95</v>
      </c>
    </row>
    <row r="53" spans="1:32" x14ac:dyDescent="0.3">
      <c r="A53" s="2424">
        <v>60</v>
      </c>
      <c r="B53" s="2424"/>
      <c r="C53" s="2424"/>
      <c r="D53" s="2424"/>
      <c r="E53" s="2425">
        <v>94.5</v>
      </c>
      <c r="F53" s="2425">
        <v>94.5</v>
      </c>
      <c r="G53" s="2425">
        <v>94.5</v>
      </c>
      <c r="H53" s="2425">
        <v>94.5</v>
      </c>
      <c r="I53" s="2425">
        <v>95</v>
      </c>
      <c r="J53" s="2425">
        <v>95</v>
      </c>
      <c r="K53" s="2425">
        <v>95</v>
      </c>
      <c r="L53" s="2425">
        <v>95</v>
      </c>
      <c r="M53" s="2425">
        <v>95.4</v>
      </c>
      <c r="N53" s="2425">
        <v>95.4</v>
      </c>
      <c r="O53" s="2425">
        <v>95.4</v>
      </c>
      <c r="P53" s="2425">
        <v>95.4</v>
      </c>
      <c r="Q53" s="2425">
        <v>95.8</v>
      </c>
      <c r="R53" s="2425">
        <v>95.8</v>
      </c>
      <c r="S53" s="2425">
        <v>95.8</v>
      </c>
      <c r="T53" s="2425">
        <v>95.8</v>
      </c>
      <c r="U53" s="2425">
        <v>95</v>
      </c>
      <c r="V53" s="2425">
        <v>95</v>
      </c>
      <c r="W53" s="2425">
        <v>95</v>
      </c>
      <c r="X53" s="2425">
        <v>95</v>
      </c>
      <c r="Y53" s="2423">
        <v>95.4</v>
      </c>
      <c r="Z53" s="2423">
        <v>95.4</v>
      </c>
      <c r="AA53" s="2423">
        <v>95.4</v>
      </c>
      <c r="AB53" s="2423">
        <v>95.4</v>
      </c>
    </row>
    <row r="54" spans="1:32" x14ac:dyDescent="0.3">
      <c r="A54" s="2424">
        <v>75</v>
      </c>
      <c r="B54" s="2424"/>
      <c r="C54" s="2424"/>
      <c r="D54" s="2424"/>
      <c r="E54" s="2425">
        <v>95</v>
      </c>
      <c r="F54" s="2425">
        <v>95</v>
      </c>
      <c r="G54" s="2425">
        <v>95</v>
      </c>
      <c r="H54" s="2425">
        <v>95</v>
      </c>
      <c r="I54" s="2425">
        <v>95.4</v>
      </c>
      <c r="J54" s="2425">
        <v>95.4</v>
      </c>
      <c r="K54" s="2425">
        <v>95.4</v>
      </c>
      <c r="L54" s="2425">
        <v>95.4</v>
      </c>
      <c r="M54" s="2425">
        <v>95.4</v>
      </c>
      <c r="N54" s="2425">
        <v>95.4</v>
      </c>
      <c r="O54" s="2425">
        <v>95.4</v>
      </c>
      <c r="P54" s="2425">
        <v>95.4</v>
      </c>
      <c r="Q54" s="2425">
        <v>95.8</v>
      </c>
      <c r="R54" s="2425">
        <v>95.8</v>
      </c>
      <c r="S54" s="2425">
        <v>95.8</v>
      </c>
      <c r="T54" s="2425">
        <v>95.8</v>
      </c>
      <c r="U54" s="2425">
        <v>95.4</v>
      </c>
      <c r="V54" s="2425">
        <v>95.4</v>
      </c>
      <c r="W54" s="2425">
        <v>95.4</v>
      </c>
      <c r="X54" s="2425">
        <v>95.4</v>
      </c>
      <c r="Y54" s="2423">
        <v>95.4</v>
      </c>
      <c r="Z54" s="2423">
        <v>95.4</v>
      </c>
      <c r="AA54" s="2423">
        <v>95.4</v>
      </c>
      <c r="AB54" s="2423">
        <v>95.4</v>
      </c>
    </row>
    <row r="55" spans="1:32" x14ac:dyDescent="0.3">
      <c r="A55" s="2424">
        <v>100</v>
      </c>
      <c r="B55" s="2424"/>
      <c r="C55" s="2424"/>
      <c r="D55" s="2424"/>
      <c r="E55" s="2425">
        <v>95.4</v>
      </c>
      <c r="F55" s="2425">
        <v>95.4</v>
      </c>
      <c r="G55" s="2425">
        <v>95.4</v>
      </c>
      <c r="H55" s="2425">
        <v>95.4</v>
      </c>
      <c r="I55" s="2425">
        <v>95.4</v>
      </c>
      <c r="J55" s="2425">
        <v>95.4</v>
      </c>
      <c r="K55" s="2425">
        <v>95.4</v>
      </c>
      <c r="L55" s="2425">
        <v>95.4</v>
      </c>
      <c r="M55" s="2425">
        <v>95.8</v>
      </c>
      <c r="N55" s="2425">
        <v>95.4</v>
      </c>
      <c r="O55" s="2425">
        <v>95.4</v>
      </c>
      <c r="P55" s="2425">
        <v>95.4</v>
      </c>
      <c r="Q55" s="2425">
        <v>96.2</v>
      </c>
      <c r="R55" s="2425">
        <v>96.2</v>
      </c>
      <c r="S55" s="2425">
        <v>96.2</v>
      </c>
      <c r="T55" s="2425">
        <v>96.2</v>
      </c>
      <c r="U55" s="2425">
        <v>95.4</v>
      </c>
      <c r="V55" s="2425">
        <v>95.4</v>
      </c>
      <c r="W55" s="2425">
        <v>95.4</v>
      </c>
      <c r="X55" s="2425">
        <v>95.4</v>
      </c>
      <c r="Y55" s="2423">
        <v>95.8</v>
      </c>
      <c r="Z55" s="2423">
        <v>95.8</v>
      </c>
      <c r="AA55" s="2423">
        <v>95.8</v>
      </c>
      <c r="AB55" s="2423">
        <v>95.8</v>
      </c>
    </row>
    <row r="56" spans="1:32" x14ac:dyDescent="0.3">
      <c r="A56" s="2424">
        <v>125</v>
      </c>
      <c r="B56" s="2424"/>
      <c r="C56" s="2424"/>
      <c r="D56" s="2424"/>
      <c r="E56" s="2425">
        <v>95.4</v>
      </c>
      <c r="F56" s="2425">
        <v>95.4</v>
      </c>
      <c r="G56" s="2425">
        <v>95.4</v>
      </c>
      <c r="H56" s="2425">
        <v>95.4</v>
      </c>
      <c r="I56" s="2425">
        <v>95.8</v>
      </c>
      <c r="J56" s="2425">
        <v>95.8</v>
      </c>
      <c r="K56" s="2425">
        <v>95.8</v>
      </c>
      <c r="L56" s="2425">
        <v>95.8</v>
      </c>
      <c r="M56" s="2425">
        <v>95.8</v>
      </c>
      <c r="N56" s="2425">
        <v>95.8</v>
      </c>
      <c r="O56" s="2425">
        <v>95.8</v>
      </c>
      <c r="P56" s="2425">
        <v>95.8</v>
      </c>
      <c r="Q56" s="2425">
        <v>96.2</v>
      </c>
      <c r="R56" s="2425">
        <v>96.2</v>
      </c>
      <c r="S56" s="2425">
        <v>96.2</v>
      </c>
      <c r="T56" s="2425">
        <v>96.2</v>
      </c>
      <c r="U56" s="2425">
        <v>95.8</v>
      </c>
      <c r="V56" s="2425">
        <v>95.8</v>
      </c>
      <c r="W56" s="2425">
        <v>95.8</v>
      </c>
      <c r="X56" s="2425">
        <v>95.8</v>
      </c>
      <c r="Y56" s="2423">
        <v>95.8</v>
      </c>
      <c r="Z56" s="2423">
        <v>95.8</v>
      </c>
      <c r="AA56" s="2423">
        <v>95.8</v>
      </c>
      <c r="AB56" s="2423">
        <v>95.8</v>
      </c>
    </row>
    <row r="57" spans="1:32" x14ac:dyDescent="0.3">
      <c r="A57" s="2424">
        <v>150</v>
      </c>
      <c r="B57" s="2424"/>
      <c r="C57" s="2424"/>
      <c r="D57" s="2424"/>
      <c r="E57" s="2425">
        <v>95.8</v>
      </c>
      <c r="F57" s="2425">
        <v>95.8</v>
      </c>
      <c r="G57" s="2425">
        <v>95.8</v>
      </c>
      <c r="H57" s="2425">
        <v>95.8</v>
      </c>
      <c r="I57" s="2425">
        <v>96.2</v>
      </c>
      <c r="J57" s="2425">
        <v>96.2</v>
      </c>
      <c r="K57" s="2425">
        <v>96.2</v>
      </c>
      <c r="L57" s="2425">
        <v>96.2</v>
      </c>
      <c r="M57" s="2425">
        <v>96.2</v>
      </c>
      <c r="N57" s="2425">
        <v>96.2</v>
      </c>
      <c r="O57" s="2425">
        <v>96.2</v>
      </c>
      <c r="P57" s="2425">
        <v>96.2</v>
      </c>
      <c r="Q57" s="2425">
        <v>96.5</v>
      </c>
      <c r="R57" s="2425">
        <v>96.5</v>
      </c>
      <c r="S57" s="2425">
        <v>96.5</v>
      </c>
      <c r="T57" s="2425">
        <v>96.5</v>
      </c>
      <c r="U57" s="2425">
        <v>95.8</v>
      </c>
      <c r="V57" s="2425">
        <v>95.8</v>
      </c>
      <c r="W57" s="2425">
        <v>95.8</v>
      </c>
      <c r="X57" s="2425">
        <v>95.8</v>
      </c>
      <c r="Y57" s="2423">
        <v>96.2</v>
      </c>
      <c r="Z57" s="2423">
        <v>96.2</v>
      </c>
      <c r="AA57" s="2423">
        <v>96.2</v>
      </c>
      <c r="AB57" s="2423">
        <v>96.2</v>
      </c>
    </row>
    <row r="58" spans="1:32" x14ac:dyDescent="0.3">
      <c r="A58" s="2424">
        <v>200</v>
      </c>
      <c r="B58" s="2424"/>
      <c r="C58" s="2424"/>
      <c r="D58" s="2424"/>
      <c r="E58" s="2425">
        <v>95.8</v>
      </c>
      <c r="F58" s="2425">
        <v>95.8</v>
      </c>
      <c r="G58" s="2425">
        <v>95.8</v>
      </c>
      <c r="H58" s="2425">
        <v>95.8</v>
      </c>
      <c r="I58" s="2425">
        <v>96.2</v>
      </c>
      <c r="J58" s="2425">
        <v>96.2</v>
      </c>
      <c r="K58" s="2425">
        <v>96.2</v>
      </c>
      <c r="L58" s="2425">
        <v>96.2</v>
      </c>
      <c r="M58" s="2425">
        <v>96.2</v>
      </c>
      <c r="N58" s="2425">
        <v>96.2</v>
      </c>
      <c r="O58" s="2425">
        <v>96.2</v>
      </c>
      <c r="P58" s="2425">
        <v>96.2</v>
      </c>
      <c r="Q58" s="2425">
        <v>96.8</v>
      </c>
      <c r="R58" s="2425">
        <v>96.8</v>
      </c>
      <c r="S58" s="2425">
        <v>96.8</v>
      </c>
      <c r="T58" s="2425">
        <v>96.8</v>
      </c>
      <c r="U58" s="2425">
        <v>95.8</v>
      </c>
      <c r="V58" s="2425">
        <v>95.8</v>
      </c>
      <c r="W58" s="2425">
        <v>95.8</v>
      </c>
      <c r="X58" s="2425">
        <v>95.8</v>
      </c>
      <c r="Y58" s="2423">
        <v>96.2</v>
      </c>
      <c r="Z58" s="2423">
        <v>96.2</v>
      </c>
      <c r="AA58" s="2423">
        <v>96.2</v>
      </c>
      <c r="AB58" s="2423">
        <v>96.2</v>
      </c>
    </row>
    <row r="61" spans="1:32" x14ac:dyDescent="0.3">
      <c r="A61" s="1141" t="s">
        <v>14</v>
      </c>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row>
    <row r="62" spans="1:32" ht="15" thickBot="1" x14ac:dyDescent="0.35"/>
    <row r="63" spans="1:32" x14ac:dyDescent="0.3">
      <c r="A63" s="1252" t="s">
        <v>15</v>
      </c>
      <c r="B63" s="1253"/>
      <c r="C63" s="1253"/>
      <c r="D63" s="1253"/>
      <c r="E63" s="1253"/>
      <c r="F63" s="1253"/>
      <c r="G63" s="1253"/>
      <c r="H63" s="1253"/>
      <c r="I63" s="1253" t="s">
        <v>16</v>
      </c>
      <c r="J63" s="1253"/>
      <c r="K63" s="1253"/>
      <c r="L63" s="1253"/>
      <c r="M63" s="1253"/>
      <c r="N63" s="1253"/>
      <c r="O63" s="1253"/>
      <c r="P63" s="1253"/>
      <c r="Q63" s="1253" t="s">
        <v>17</v>
      </c>
      <c r="R63" s="1253"/>
      <c r="S63" s="1253"/>
      <c r="T63" s="1253"/>
      <c r="U63" s="1253"/>
      <c r="V63" s="1253"/>
      <c r="W63" s="1253"/>
      <c r="X63" s="1254"/>
    </row>
    <row r="64" spans="1:32" ht="15" thickBot="1" x14ac:dyDescent="0.35">
      <c r="A64" s="2413" t="s">
        <v>1226</v>
      </c>
      <c r="B64" s="2414"/>
      <c r="C64" s="2414"/>
      <c r="D64" s="2414"/>
      <c r="E64" s="2414"/>
      <c r="F64" s="2414"/>
      <c r="G64" s="2414"/>
      <c r="H64" s="2414"/>
      <c r="I64" s="2426">
        <f xml:space="preserve"> ROUND(1*Q29*((1/Q30)-(1/Q31)),3)</f>
        <v>2.8000000000000001E-2</v>
      </c>
      <c r="J64" s="2426"/>
      <c r="K64" s="2426"/>
      <c r="L64" s="2426"/>
      <c r="M64" s="2426"/>
      <c r="N64" s="2426"/>
      <c r="O64" s="2426"/>
      <c r="P64" s="2426"/>
      <c r="Q64" s="2427">
        <f>ROUND(1*Q29*((1/Q30)-(1/Q31))*Q32*Q33,2)</f>
        <v>46.46</v>
      </c>
      <c r="R64" s="2427"/>
      <c r="S64" s="2427"/>
      <c r="T64" s="2427"/>
      <c r="U64" s="2427"/>
      <c r="V64" s="2427"/>
      <c r="W64" s="2427"/>
      <c r="X64" s="2428"/>
    </row>
  </sheetData>
  <sheetProtection algorithmName="SHA-512" hashValue="Xpun/+QX+fiHGZEAwAsRGwuOkyoQZS64asRhrolS0Gd7qQKbm4fAm5rvI2fR+gd3S/iGsy1W3T65QdyYLlqjUQ==" saltValue="rqDL6arkNQyhgVI/t9CqNg==" spinCount="100000" sheet="1" objects="1" scenarios="1"/>
  <mergeCells count="196">
    <mergeCell ref="A1:AF1"/>
    <mergeCell ref="A3:AF3"/>
    <mergeCell ref="B6:AF6"/>
    <mergeCell ref="B9:AF9"/>
    <mergeCell ref="B12:AF12"/>
    <mergeCell ref="B15:AF15"/>
    <mergeCell ref="A23:I23"/>
    <mergeCell ref="A24:I24"/>
    <mergeCell ref="W31:AF31"/>
    <mergeCell ref="B18:AF18"/>
    <mergeCell ref="A21:AF21"/>
    <mergeCell ref="A27:AF27"/>
    <mergeCell ref="A28:D28"/>
    <mergeCell ref="E28:P28"/>
    <mergeCell ref="Q28:S28"/>
    <mergeCell ref="T28:V28"/>
    <mergeCell ref="W28:AF28"/>
    <mergeCell ref="A29:D29"/>
    <mergeCell ref="E29:P29"/>
    <mergeCell ref="Q29:S29"/>
    <mergeCell ref="T29:V29"/>
    <mergeCell ref="W29:AF29"/>
    <mergeCell ref="A63:H63"/>
    <mergeCell ref="I63:P63"/>
    <mergeCell ref="Q63:X63"/>
    <mergeCell ref="A64:H64"/>
    <mergeCell ref="I64:P64"/>
    <mergeCell ref="Q64:X64"/>
    <mergeCell ref="A34:D34"/>
    <mergeCell ref="E34:P34"/>
    <mergeCell ref="Q34:S34"/>
    <mergeCell ref="T34:V34"/>
    <mergeCell ref="W34:AF34"/>
    <mergeCell ref="A61:AF61"/>
    <mergeCell ref="M39:P39"/>
    <mergeCell ref="Q39:T39"/>
    <mergeCell ref="U39:X39"/>
    <mergeCell ref="Y39:AB39"/>
    <mergeCell ref="A37:D39"/>
    <mergeCell ref="E37:L38"/>
    <mergeCell ref="M37:T38"/>
    <mergeCell ref="U37:AB38"/>
    <mergeCell ref="E39:H39"/>
    <mergeCell ref="I39:L39"/>
    <mergeCell ref="Y40:AB40"/>
    <mergeCell ref="A41:D41"/>
    <mergeCell ref="A33:D33"/>
    <mergeCell ref="E33:P33"/>
    <mergeCell ref="Q33:S33"/>
    <mergeCell ref="T33:V33"/>
    <mergeCell ref="W33:AF33"/>
    <mergeCell ref="A30:D30"/>
    <mergeCell ref="E30:P30"/>
    <mergeCell ref="Q30:S30"/>
    <mergeCell ref="T30:V30"/>
    <mergeCell ref="W30:AF30"/>
    <mergeCell ref="A32:D32"/>
    <mergeCell ref="E32:P32"/>
    <mergeCell ref="Q32:S32"/>
    <mergeCell ref="T32:V32"/>
    <mergeCell ref="W32:AF32"/>
    <mergeCell ref="A31:D31"/>
    <mergeCell ref="E31:P31"/>
    <mergeCell ref="Q31:S31"/>
    <mergeCell ref="T31:V31"/>
    <mergeCell ref="E41:H41"/>
    <mergeCell ref="I41:L41"/>
    <mergeCell ref="M41:P41"/>
    <mergeCell ref="Q41:T41"/>
    <mergeCell ref="U41:X41"/>
    <mergeCell ref="Y41:AB41"/>
    <mergeCell ref="A40:D40"/>
    <mergeCell ref="E40:H40"/>
    <mergeCell ref="I40:L40"/>
    <mergeCell ref="M40:P40"/>
    <mergeCell ref="Q40:T40"/>
    <mergeCell ref="U40:X40"/>
    <mergeCell ref="Y42:AB42"/>
    <mergeCell ref="A43:D43"/>
    <mergeCell ref="E43:H43"/>
    <mergeCell ref="I43:L43"/>
    <mergeCell ref="M43:P43"/>
    <mergeCell ref="Q43:T43"/>
    <mergeCell ref="U43:X43"/>
    <mergeCell ref="Y43:AB43"/>
    <mergeCell ref="A42:D42"/>
    <mergeCell ref="E42:H42"/>
    <mergeCell ref="I42:L42"/>
    <mergeCell ref="M42:P42"/>
    <mergeCell ref="Q42:T42"/>
    <mergeCell ref="U42:X42"/>
    <mergeCell ref="Y44:AB44"/>
    <mergeCell ref="A45:D45"/>
    <mergeCell ref="E45:H45"/>
    <mergeCell ref="I45:L45"/>
    <mergeCell ref="M45:P45"/>
    <mergeCell ref="Q45:T45"/>
    <mergeCell ref="U45:X45"/>
    <mergeCell ref="Y45:AB45"/>
    <mergeCell ref="A44:D44"/>
    <mergeCell ref="E44:H44"/>
    <mergeCell ref="I44:L44"/>
    <mergeCell ref="M44:P44"/>
    <mergeCell ref="Q44:T44"/>
    <mergeCell ref="U44:X44"/>
    <mergeCell ref="Y46:AB46"/>
    <mergeCell ref="A47:D47"/>
    <mergeCell ref="E47:H47"/>
    <mergeCell ref="I47:L47"/>
    <mergeCell ref="M47:P47"/>
    <mergeCell ref="Q47:T47"/>
    <mergeCell ref="U47:X47"/>
    <mergeCell ref="Y47:AB47"/>
    <mergeCell ref="A46:D46"/>
    <mergeCell ref="E46:H46"/>
    <mergeCell ref="I46:L46"/>
    <mergeCell ref="M46:P46"/>
    <mergeCell ref="Q46:T46"/>
    <mergeCell ref="U46:X46"/>
    <mergeCell ref="Y48:AB48"/>
    <mergeCell ref="A49:D49"/>
    <mergeCell ref="E49:H49"/>
    <mergeCell ref="I49:L49"/>
    <mergeCell ref="M49:P49"/>
    <mergeCell ref="Q49:T49"/>
    <mergeCell ref="U49:X49"/>
    <mergeCell ref="Y49:AB49"/>
    <mergeCell ref="A48:D48"/>
    <mergeCell ref="E48:H48"/>
    <mergeCell ref="I48:L48"/>
    <mergeCell ref="M48:P48"/>
    <mergeCell ref="Q48:T48"/>
    <mergeCell ref="U48:X48"/>
    <mergeCell ref="Y50:AB50"/>
    <mergeCell ref="A51:D51"/>
    <mergeCell ref="E51:H51"/>
    <mergeCell ref="I51:L51"/>
    <mergeCell ref="M51:P51"/>
    <mergeCell ref="Q51:T51"/>
    <mergeCell ref="U51:X51"/>
    <mergeCell ref="Y51:AB51"/>
    <mergeCell ref="A50:D50"/>
    <mergeCell ref="E50:H50"/>
    <mergeCell ref="I50:L50"/>
    <mergeCell ref="M50:P50"/>
    <mergeCell ref="Q50:T50"/>
    <mergeCell ref="U50:X50"/>
    <mergeCell ref="Y52:AB52"/>
    <mergeCell ref="A53:D53"/>
    <mergeCell ref="E53:H53"/>
    <mergeCell ref="I53:L53"/>
    <mergeCell ref="M53:P53"/>
    <mergeCell ref="Q53:T53"/>
    <mergeCell ref="U53:X53"/>
    <mergeCell ref="Y53:AB53"/>
    <mergeCell ref="A52:D52"/>
    <mergeCell ref="E52:H52"/>
    <mergeCell ref="I52:L52"/>
    <mergeCell ref="M52:P52"/>
    <mergeCell ref="Q52:T52"/>
    <mergeCell ref="U52:X52"/>
    <mergeCell ref="Y54:AB54"/>
    <mergeCell ref="A55:D55"/>
    <mergeCell ref="E55:H55"/>
    <mergeCell ref="I55:L55"/>
    <mergeCell ref="M55:P55"/>
    <mergeCell ref="Q55:T55"/>
    <mergeCell ref="U55:X55"/>
    <mergeCell ref="Y55:AB55"/>
    <mergeCell ref="A54:D54"/>
    <mergeCell ref="E54:H54"/>
    <mergeCell ref="I54:L54"/>
    <mergeCell ref="M54:P54"/>
    <mergeCell ref="Q54:T54"/>
    <mergeCell ref="U54:X54"/>
    <mergeCell ref="Y58:AB58"/>
    <mergeCell ref="A58:D58"/>
    <mergeCell ref="E58:H58"/>
    <mergeCell ref="I58:L58"/>
    <mergeCell ref="M58:P58"/>
    <mergeCell ref="Q58:T58"/>
    <mergeCell ref="U58:X58"/>
    <mergeCell ref="Y56:AB56"/>
    <mergeCell ref="A57:D57"/>
    <mergeCell ref="E57:H57"/>
    <mergeCell ref="I57:L57"/>
    <mergeCell ref="M57:P57"/>
    <mergeCell ref="Q57:T57"/>
    <mergeCell ref="U57:X57"/>
    <mergeCell ref="Y57:AB57"/>
    <mergeCell ref="A56:D56"/>
    <mergeCell ref="E56:H56"/>
    <mergeCell ref="I56:L56"/>
    <mergeCell ref="M56:P56"/>
    <mergeCell ref="Q56:T56"/>
    <mergeCell ref="U56:X56"/>
  </mergeCells>
  <hyperlinks>
    <hyperlink ref="A2" location="TOC!A1" display="Return to TOC" xr:uid="{00000000-0004-0000-3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0">
    <tabColor theme="7" tint="0.59999389629810485"/>
    <pageSetUpPr autoPageBreaks="0"/>
  </sheetPr>
  <dimension ref="A1:AG117"/>
  <sheetViews>
    <sheetView zoomScaleNormal="100" workbookViewId="0">
      <selection sqref="A1:AF1"/>
    </sheetView>
  </sheetViews>
  <sheetFormatPr defaultColWidth="2.6640625" defaultRowHeight="14.4" x14ac:dyDescent="0.3"/>
  <cols>
    <col min="1" max="31" width="2.6640625" style="1"/>
    <col min="32" max="32" width="3.33203125" style="1" customWidth="1"/>
    <col min="33" max="33" width="2.6640625" style="1"/>
  </cols>
  <sheetData>
    <row r="1" spans="1:33" s="1" customFormat="1" ht="18.600000000000001" thickBot="1" x14ac:dyDescent="0.35">
      <c r="A1" s="979" t="s">
        <v>2011</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3"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3"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3"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3" s="1" customFormat="1"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3" s="1" customFormat="1" ht="14.4" customHeight="1" x14ac:dyDescent="0.3">
      <c r="A6" s="228"/>
      <c r="B6" s="145"/>
      <c r="C6" s="145"/>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row>
    <row r="7" spans="1:33"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3"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3" s="1" customFormat="1" x14ac:dyDescent="0.3">
      <c r="B9" s="1144" t="s">
        <v>3</v>
      </c>
      <c r="C9" s="1144"/>
      <c r="D9" s="1144"/>
      <c r="E9" s="1144"/>
      <c r="F9" s="1144"/>
      <c r="G9" s="1144"/>
      <c r="H9" s="1144"/>
      <c r="I9" s="1144"/>
    </row>
    <row r="10" spans="1:33" s="1" customFormat="1" ht="93.75" customHeight="1" x14ac:dyDescent="0.3">
      <c r="A10" s="4"/>
      <c r="B10" s="953" t="s">
        <v>2648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c r="AG10" s="4"/>
    </row>
    <row r="11" spans="1:33" s="1" customFormat="1" x14ac:dyDescent="0.3"/>
    <row r="12" spans="1:33" s="1" customFormat="1" x14ac:dyDescent="0.3">
      <c r="B12" s="1144" t="s">
        <v>4</v>
      </c>
      <c r="C12" s="1144"/>
      <c r="D12" s="1144"/>
      <c r="E12" s="1144"/>
      <c r="F12" s="1144"/>
      <c r="G12" s="1144"/>
      <c r="H12" s="1144"/>
      <c r="I12" s="1144"/>
    </row>
    <row r="13" spans="1:33" s="4" customFormat="1" ht="81" customHeight="1" x14ac:dyDescent="0.3">
      <c r="A13" s="1"/>
      <c r="B13" s="953" t="s">
        <v>2954</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c r="AG13" s="1"/>
    </row>
    <row r="14" spans="1:33" s="1" customFormat="1" x14ac:dyDescent="0.3"/>
    <row r="15" spans="1:33" s="1" customFormat="1" x14ac:dyDescent="0.3">
      <c r="B15" s="1144" t="s">
        <v>5</v>
      </c>
      <c r="C15" s="1144"/>
      <c r="D15" s="1144"/>
      <c r="E15" s="1144"/>
      <c r="F15" s="1144"/>
      <c r="G15" s="1144"/>
      <c r="H15" s="1144"/>
      <c r="I15" s="1144"/>
    </row>
    <row r="16" spans="1:33" s="1" customFormat="1" x14ac:dyDescent="0.3">
      <c r="B16" s="1142" t="s">
        <v>3303</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3" s="1" customFormat="1" x14ac:dyDescent="0.3"/>
    <row r="18" spans="1:33" s="1" customFormat="1" x14ac:dyDescent="0.3">
      <c r="B18" s="1144" t="s">
        <v>6</v>
      </c>
      <c r="C18" s="1144"/>
      <c r="D18" s="1144"/>
      <c r="E18" s="1144"/>
      <c r="F18" s="1144"/>
      <c r="G18" s="1144"/>
      <c r="H18" s="1144"/>
      <c r="I18" s="1144"/>
    </row>
    <row r="19" spans="1:33" s="1" customFormat="1" ht="33.75" customHeight="1" x14ac:dyDescent="0.3">
      <c r="A19" s="4"/>
      <c r="B19" s="953" t="s">
        <v>2610</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c r="AG19" s="4"/>
    </row>
    <row r="20" spans="1:33" s="1" customFormat="1" x14ac:dyDescent="0.3"/>
    <row r="21" spans="1:33" s="1" customFormat="1" x14ac:dyDescent="0.3">
      <c r="B21" s="51" t="s">
        <v>13</v>
      </c>
      <c r="C21" s="51"/>
      <c r="D21" s="51"/>
      <c r="E21" s="51"/>
      <c r="F21" s="51"/>
      <c r="G21" s="51"/>
      <c r="H21" s="51"/>
      <c r="I21" s="51"/>
    </row>
    <row r="22" spans="1:33" s="1" customFormat="1" ht="14.4" customHeight="1" x14ac:dyDescent="0.3">
      <c r="B22" s="872" t="s">
        <v>2611</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3" s="1" customFormat="1" x14ac:dyDescent="0.3"/>
    <row r="24" spans="1:33" s="1" customFormat="1" x14ac:dyDescent="0.3"/>
    <row r="25" spans="1:33" s="1" customFormat="1"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3" s="1" customFormat="1" x14ac:dyDescent="0.3"/>
    <row r="27" spans="1:33" x14ac:dyDescent="0.3">
      <c r="A27" s="363"/>
      <c r="B27" s="231" t="s">
        <v>2027</v>
      </c>
      <c r="C27" s="364"/>
      <c r="D27" s="364"/>
      <c r="E27" s="364"/>
      <c r="F27" s="364"/>
      <c r="G27" s="364"/>
      <c r="H27" s="365"/>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51"/>
    </row>
    <row r="28" spans="1:33" x14ac:dyDescent="0.3">
      <c r="A28" s="266"/>
      <c r="B28" s="55"/>
      <c r="C28" s="55"/>
      <c r="D28" s="55"/>
      <c r="E28" s="55"/>
      <c r="F28" s="55"/>
      <c r="G28" s="55"/>
      <c r="H28" s="361"/>
      <c r="I28" s="2"/>
      <c r="J28" s="2"/>
      <c r="K28" s="2"/>
      <c r="L28" s="2"/>
      <c r="M28" s="2"/>
      <c r="N28" s="2"/>
      <c r="O28" s="2"/>
      <c r="P28" s="2"/>
      <c r="Q28" s="2"/>
      <c r="R28" s="2"/>
      <c r="S28" s="2"/>
      <c r="T28" s="2"/>
      <c r="U28" s="2"/>
      <c r="V28" s="2"/>
      <c r="W28" s="2"/>
      <c r="X28" s="2"/>
      <c r="Y28" s="2"/>
      <c r="Z28" s="2"/>
      <c r="AA28" s="2"/>
      <c r="AB28" s="2"/>
      <c r="AC28" s="2"/>
      <c r="AD28" s="2"/>
      <c r="AE28" s="2"/>
      <c r="AF28" s="2"/>
    </row>
    <row r="29" spans="1:33" ht="15" customHeight="1" x14ac:dyDescent="0.3">
      <c r="A29" s="266"/>
      <c r="B29" s="1449"/>
      <c r="C29" s="1449"/>
      <c r="D29" s="1449"/>
      <c r="E29" s="1449"/>
      <c r="F29" s="1449"/>
      <c r="G29" s="1449"/>
      <c r="H29" s="1449"/>
      <c r="I29" s="1449"/>
      <c r="J29" s="1449"/>
      <c r="K29" s="1449"/>
      <c r="L29" s="1449"/>
      <c r="M29" s="1449"/>
      <c r="N29" s="1449"/>
      <c r="O29" s="1449"/>
      <c r="P29" s="1449"/>
      <c r="Q29" s="1449"/>
      <c r="R29" s="1449"/>
      <c r="S29" s="1449"/>
      <c r="T29" s="1449"/>
      <c r="U29" s="1449"/>
      <c r="V29" s="1449"/>
      <c r="W29" s="1449"/>
      <c r="X29" s="1449"/>
      <c r="Y29" s="1449"/>
      <c r="Z29" s="1449"/>
      <c r="AA29" s="1449"/>
      <c r="AB29" s="1449"/>
      <c r="AC29" s="1449"/>
      <c r="AD29" s="1449"/>
      <c r="AE29" s="1449"/>
      <c r="AF29" s="361" t="s">
        <v>1463</v>
      </c>
    </row>
    <row r="30" spans="1:33" x14ac:dyDescent="0.3">
      <c r="A30" s="266"/>
      <c r="B30" s="55"/>
      <c r="C30" s="55"/>
      <c r="D30" s="55"/>
      <c r="E30" s="55"/>
      <c r="F30" s="55"/>
      <c r="G30" s="55"/>
      <c r="H30" s="361"/>
      <c r="I30" s="2"/>
      <c r="J30" s="2"/>
      <c r="K30" s="2"/>
      <c r="L30" s="2"/>
      <c r="M30" s="2"/>
      <c r="N30" s="2"/>
      <c r="O30" s="2"/>
      <c r="P30" s="2"/>
      <c r="Q30" s="2"/>
      <c r="R30" s="2"/>
      <c r="S30" s="2"/>
      <c r="T30" s="2"/>
      <c r="U30" s="2"/>
      <c r="V30" s="2"/>
      <c r="W30" s="2"/>
      <c r="X30" s="2"/>
      <c r="Y30" s="2"/>
      <c r="Z30" s="2"/>
      <c r="AA30" s="2"/>
      <c r="AB30" s="2"/>
      <c r="AC30" s="2"/>
      <c r="AD30" s="2"/>
      <c r="AE30" s="2"/>
      <c r="AF30" s="2"/>
    </row>
    <row r="31" spans="1:33" s="1" customFormat="1" x14ac:dyDescent="0.3">
      <c r="A31" s="363"/>
      <c r="B31" s="231" t="s">
        <v>2137</v>
      </c>
      <c r="C31" s="364"/>
      <c r="D31" s="364"/>
      <c r="E31" s="364"/>
      <c r="F31" s="364"/>
      <c r="G31" s="364"/>
      <c r="H31" s="365"/>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51"/>
    </row>
    <row r="32" spans="1:33" s="1" customFormat="1" x14ac:dyDescent="0.3">
      <c r="A32" s="266"/>
      <c r="B32" s="55"/>
      <c r="C32" s="55"/>
      <c r="D32" s="55"/>
      <c r="E32" s="55"/>
      <c r="F32" s="55"/>
      <c r="G32" s="55"/>
      <c r="H32" s="361"/>
      <c r="I32" s="2"/>
      <c r="J32" s="2"/>
      <c r="K32" s="2"/>
      <c r="L32" s="2"/>
      <c r="M32" s="2"/>
      <c r="N32" s="2"/>
      <c r="O32" s="2"/>
      <c r="P32" s="2"/>
      <c r="Q32" s="2"/>
      <c r="R32" s="2"/>
      <c r="S32" s="2"/>
      <c r="T32" s="2"/>
      <c r="U32" s="2"/>
      <c r="V32" s="2"/>
      <c r="W32" s="2"/>
      <c r="X32" s="2"/>
      <c r="Y32" s="2"/>
      <c r="Z32" s="2"/>
      <c r="AA32" s="2"/>
      <c r="AB32" s="2"/>
      <c r="AC32" s="2"/>
      <c r="AD32" s="2"/>
      <c r="AE32" s="2"/>
      <c r="AF32" s="2"/>
    </row>
    <row r="33" spans="1:32" s="1" customFormat="1" ht="14.4" customHeight="1" x14ac:dyDescent="0.3">
      <c r="A33" s="266"/>
      <c r="B33" s="1449"/>
      <c r="C33" s="1449"/>
      <c r="D33" s="1449"/>
      <c r="E33" s="1449"/>
      <c r="F33" s="1449"/>
      <c r="G33" s="1449"/>
      <c r="H33" s="1449"/>
      <c r="I33" s="1449"/>
      <c r="J33" s="1449"/>
      <c r="K33" s="1449"/>
      <c r="L33" s="1449"/>
      <c r="M33" s="1449"/>
      <c r="N33" s="1449"/>
      <c r="O33" s="1449"/>
      <c r="P33" s="1449"/>
      <c r="Q33" s="1449"/>
      <c r="R33" s="1449"/>
      <c r="S33" s="1449"/>
      <c r="T33" s="1449"/>
      <c r="U33" s="1449"/>
      <c r="V33" s="1449"/>
      <c r="W33" s="1449"/>
      <c r="X33" s="1449"/>
      <c r="Y33" s="1449"/>
      <c r="Z33" s="1449"/>
      <c r="AA33" s="1449"/>
      <c r="AB33" s="1449"/>
      <c r="AC33" s="1449"/>
      <c r="AD33" s="1449"/>
      <c r="AE33" s="1449"/>
      <c r="AF33" s="2488" t="s">
        <v>1464</v>
      </c>
    </row>
    <row r="34" spans="1:32" s="1" customFormat="1" x14ac:dyDescent="0.3">
      <c r="A34" s="266"/>
      <c r="B34" s="1449"/>
      <c r="C34" s="1449"/>
      <c r="D34" s="1449"/>
      <c r="E34" s="1449"/>
      <c r="F34" s="1449"/>
      <c r="G34" s="1449"/>
      <c r="H34" s="1449"/>
      <c r="I34" s="1449"/>
      <c r="J34" s="1449"/>
      <c r="K34" s="1449"/>
      <c r="L34" s="1449"/>
      <c r="M34" s="1449"/>
      <c r="N34" s="1449"/>
      <c r="O34" s="1449"/>
      <c r="P34" s="1449"/>
      <c r="Q34" s="1449"/>
      <c r="R34" s="1449"/>
      <c r="S34" s="1449"/>
      <c r="T34" s="1449"/>
      <c r="U34" s="1449"/>
      <c r="V34" s="1449"/>
      <c r="W34" s="1449"/>
      <c r="X34" s="1449"/>
      <c r="Y34" s="1449"/>
      <c r="Z34" s="1449"/>
      <c r="AA34" s="1449"/>
      <c r="AB34" s="1449"/>
      <c r="AC34" s="1449"/>
      <c r="AD34" s="1449"/>
      <c r="AE34" s="1449"/>
      <c r="AF34" s="2488"/>
    </row>
    <row r="35" spans="1:32" s="1" customFormat="1" ht="14.4" customHeight="1" x14ac:dyDescent="0.3">
      <c r="A35" s="266"/>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362"/>
    </row>
    <row r="36" spans="1:32" s="1" customFormat="1" x14ac:dyDescent="0.3">
      <c r="A36" s="266"/>
      <c r="B36" s="231" t="s">
        <v>1811</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362"/>
    </row>
    <row r="37" spans="1:32" s="1" customFormat="1" x14ac:dyDescent="0.3">
      <c r="A37" s="26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362"/>
    </row>
    <row r="38" spans="1:32" s="1" customFormat="1" ht="15" customHeight="1" x14ac:dyDescent="0.3">
      <c r="A38" s="266"/>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361" t="s">
        <v>1465</v>
      </c>
    </row>
    <row r="39" spans="1:32" s="1" customFormat="1" x14ac:dyDescent="0.3">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row>
    <row r="40" spans="1:32" x14ac:dyDescent="0.3">
      <c r="A40" s="1141" t="s">
        <v>8</v>
      </c>
      <c r="B40" s="1141"/>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row>
    <row r="41" spans="1:32" s="1" customFormat="1" x14ac:dyDescent="0.3">
      <c r="A41" s="1143" t="s">
        <v>9</v>
      </c>
      <c r="B41" s="1143"/>
      <c r="C41" s="1143"/>
      <c r="D41" s="1143"/>
      <c r="E41" s="1143" t="s">
        <v>3</v>
      </c>
      <c r="F41" s="1143"/>
      <c r="G41" s="1143"/>
      <c r="H41" s="1143"/>
      <c r="I41" s="1143"/>
      <c r="J41" s="1143"/>
      <c r="K41" s="1143"/>
      <c r="L41" s="1143"/>
      <c r="M41" s="1143"/>
      <c r="N41" s="1143"/>
      <c r="O41" s="1143"/>
      <c r="P41" s="1143"/>
      <c r="Q41" s="1143" t="s">
        <v>10</v>
      </c>
      <c r="R41" s="1143"/>
      <c r="S41" s="1143"/>
      <c r="T41" s="1143"/>
      <c r="U41" s="1259" t="s">
        <v>11</v>
      </c>
      <c r="V41" s="1260"/>
      <c r="W41" s="1421"/>
      <c r="X41" s="1259" t="s">
        <v>2612</v>
      </c>
      <c r="Y41" s="1260"/>
      <c r="Z41" s="1260"/>
      <c r="AA41" s="1260"/>
      <c r="AB41" s="1260"/>
      <c r="AC41" s="1260"/>
      <c r="AD41" s="1260"/>
      <c r="AE41" s="1260"/>
      <c r="AF41" s="1421"/>
    </row>
    <row r="42" spans="1:32" s="1" customFormat="1" x14ac:dyDescent="0.3">
      <c r="A42" s="1050" t="s">
        <v>1253</v>
      </c>
      <c r="B42" s="1051"/>
      <c r="C42" s="1051"/>
      <c r="D42" s="1052"/>
      <c r="E42" s="2458" t="s">
        <v>791</v>
      </c>
      <c r="F42" s="2459"/>
      <c r="G42" s="2459"/>
      <c r="H42" s="2459"/>
      <c r="I42" s="2459"/>
      <c r="J42" s="2459"/>
      <c r="K42" s="2459"/>
      <c r="L42" s="2459"/>
      <c r="M42" s="2459"/>
      <c r="N42" s="2459"/>
      <c r="O42" s="2459"/>
      <c r="P42" s="2460"/>
      <c r="Q42" s="2461" t="s">
        <v>35</v>
      </c>
      <c r="R42" s="2462"/>
      <c r="S42" s="2462"/>
      <c r="T42" s="2463"/>
      <c r="U42" s="2464" t="s">
        <v>41</v>
      </c>
      <c r="V42" s="2465"/>
      <c r="W42" s="2466"/>
      <c r="X42" s="1243"/>
      <c r="Y42" s="1244"/>
      <c r="Z42" s="1244"/>
      <c r="AA42" s="1244"/>
      <c r="AB42" s="1244"/>
      <c r="AC42" s="1244"/>
      <c r="AD42" s="1244"/>
      <c r="AE42" s="1244"/>
      <c r="AF42" s="1245"/>
    </row>
    <row r="43" spans="1:32" x14ac:dyDescent="0.3">
      <c r="A43" s="1050" t="s">
        <v>1254</v>
      </c>
      <c r="B43" s="1051"/>
      <c r="C43" s="1051"/>
      <c r="D43" s="1052"/>
      <c r="E43" s="1148" t="s">
        <v>2613</v>
      </c>
      <c r="F43" s="1149"/>
      <c r="G43" s="1149"/>
      <c r="H43" s="1149"/>
      <c r="I43" s="1149"/>
      <c r="J43" s="1149"/>
      <c r="K43" s="1149"/>
      <c r="L43" s="1149"/>
      <c r="M43" s="1149"/>
      <c r="N43" s="1149"/>
      <c r="O43" s="1149"/>
      <c r="P43" s="1150"/>
      <c r="Q43" s="1151" t="s">
        <v>35</v>
      </c>
      <c r="R43" s="1152"/>
      <c r="S43" s="1152"/>
      <c r="T43" s="1153"/>
      <c r="U43" s="1243" t="s">
        <v>18</v>
      </c>
      <c r="V43" s="1244"/>
      <c r="W43" s="1245"/>
      <c r="X43" s="1243"/>
      <c r="Y43" s="1244"/>
      <c r="Z43" s="1244"/>
      <c r="AA43" s="1244"/>
      <c r="AB43" s="1244"/>
      <c r="AC43" s="1244"/>
      <c r="AD43" s="1244"/>
      <c r="AE43" s="1244"/>
      <c r="AF43" s="1245"/>
    </row>
    <row r="44" spans="1:32" ht="33.75" customHeight="1" x14ac:dyDescent="0.3">
      <c r="A44" s="2449" t="s">
        <v>2614</v>
      </c>
      <c r="B44" s="2450"/>
      <c r="C44" s="2450"/>
      <c r="D44" s="2450"/>
      <c r="E44" s="2458" t="s">
        <v>2615</v>
      </c>
      <c r="F44" s="2459"/>
      <c r="G44" s="2459"/>
      <c r="H44" s="2459"/>
      <c r="I44" s="2459"/>
      <c r="J44" s="2459"/>
      <c r="K44" s="2459"/>
      <c r="L44" s="2459"/>
      <c r="M44" s="2459"/>
      <c r="N44" s="2459"/>
      <c r="O44" s="2459"/>
      <c r="P44" s="2459"/>
      <c r="Q44" s="2461"/>
      <c r="R44" s="2462"/>
      <c r="S44" s="2462"/>
      <c r="T44" s="2463"/>
      <c r="U44" s="2465"/>
      <c r="V44" s="2465"/>
      <c r="W44" s="2466"/>
      <c r="X44" s="2459" t="s">
        <v>2679</v>
      </c>
      <c r="Y44" s="2459"/>
      <c r="Z44" s="2459"/>
      <c r="AA44" s="2459"/>
      <c r="AB44" s="2459"/>
      <c r="AC44" s="2459"/>
      <c r="AD44" s="2459"/>
      <c r="AE44" s="2459"/>
      <c r="AF44" s="2460"/>
    </row>
    <row r="45" spans="1:32" x14ac:dyDescent="0.3">
      <c r="A45" s="2452"/>
      <c r="B45" s="2453"/>
      <c r="C45" s="2453"/>
      <c r="D45" s="2453"/>
      <c r="E45" s="2473" t="s">
        <v>2617</v>
      </c>
      <c r="F45" s="2474"/>
      <c r="G45" s="2474"/>
      <c r="H45" s="2474"/>
      <c r="I45" s="2474"/>
      <c r="J45" s="2474"/>
      <c r="K45" s="2474"/>
      <c r="L45" s="2474"/>
      <c r="M45" s="2474"/>
      <c r="N45" s="2474"/>
      <c r="O45" s="2474"/>
      <c r="P45" s="2474"/>
      <c r="Q45" s="2476"/>
      <c r="R45" s="2477"/>
      <c r="S45" s="2477"/>
      <c r="T45" s="2478"/>
      <c r="U45" s="2441"/>
      <c r="V45" s="2441"/>
      <c r="W45" s="2442"/>
      <c r="X45" s="2468"/>
      <c r="Y45" s="2468"/>
      <c r="Z45" s="2468"/>
      <c r="AA45" s="2468"/>
      <c r="AB45" s="2468"/>
      <c r="AC45" s="2468"/>
      <c r="AD45" s="2468"/>
      <c r="AE45" s="2468"/>
      <c r="AF45" s="2469"/>
    </row>
    <row r="46" spans="1:32" x14ac:dyDescent="0.3">
      <c r="A46" s="2452"/>
      <c r="B46" s="2453"/>
      <c r="C46" s="2453"/>
      <c r="D46" s="2453"/>
      <c r="E46" s="2476" t="s">
        <v>2618</v>
      </c>
      <c r="F46" s="2477"/>
      <c r="G46" s="2477"/>
      <c r="H46" s="2477"/>
      <c r="I46" s="2477"/>
      <c r="J46" s="2477"/>
      <c r="K46" s="2477"/>
      <c r="L46" s="2477"/>
      <c r="M46" s="2477"/>
      <c r="N46" s="2477"/>
      <c r="O46" s="2477"/>
      <c r="P46" s="2477"/>
      <c r="Q46" s="2482">
        <v>19.950539421785017</v>
      </c>
      <c r="R46" s="2483"/>
      <c r="S46" s="2483"/>
      <c r="T46" s="2484"/>
      <c r="U46" s="2441" t="s">
        <v>74</v>
      </c>
      <c r="V46" s="2441"/>
      <c r="W46" s="2442"/>
      <c r="X46" s="2468"/>
      <c r="Y46" s="2468"/>
      <c r="Z46" s="2468"/>
      <c r="AA46" s="2468"/>
      <c r="AB46" s="2468"/>
      <c r="AC46" s="2468"/>
      <c r="AD46" s="2468"/>
      <c r="AE46" s="2468"/>
      <c r="AF46" s="2469"/>
    </row>
    <row r="47" spans="1:32" x14ac:dyDescent="0.3">
      <c r="A47" s="2452"/>
      <c r="B47" s="2453"/>
      <c r="C47" s="2453"/>
      <c r="D47" s="2453"/>
      <c r="E47" s="2476" t="s">
        <v>2619</v>
      </c>
      <c r="F47" s="2477"/>
      <c r="G47" s="2477"/>
      <c r="H47" s="2477"/>
      <c r="I47" s="2477"/>
      <c r="J47" s="2477"/>
      <c r="K47" s="2477"/>
      <c r="L47" s="2477"/>
      <c r="M47" s="2477"/>
      <c r="N47" s="2477"/>
      <c r="O47" s="2477"/>
      <c r="P47" s="2477"/>
      <c r="Q47" s="2482">
        <v>29.270249030168756</v>
      </c>
      <c r="R47" s="2483"/>
      <c r="S47" s="2483"/>
      <c r="T47" s="2484"/>
      <c r="U47" s="2441" t="s">
        <v>74</v>
      </c>
      <c r="V47" s="2441"/>
      <c r="W47" s="2442"/>
      <c r="X47" s="2468"/>
      <c r="Y47" s="2468"/>
      <c r="Z47" s="2468"/>
      <c r="AA47" s="2468"/>
      <c r="AB47" s="2468"/>
      <c r="AC47" s="2468"/>
      <c r="AD47" s="2468"/>
      <c r="AE47" s="2468"/>
      <c r="AF47" s="2469"/>
    </row>
    <row r="48" spans="1:32" x14ac:dyDescent="0.3">
      <c r="A48" s="2452"/>
      <c r="B48" s="2453"/>
      <c r="C48" s="2453"/>
      <c r="D48" s="2453"/>
      <c r="E48" s="2476" t="s">
        <v>2620</v>
      </c>
      <c r="F48" s="2477"/>
      <c r="G48" s="2477"/>
      <c r="H48" s="2477"/>
      <c r="I48" s="2477"/>
      <c r="J48" s="2477"/>
      <c r="K48" s="2477"/>
      <c r="L48" s="2477"/>
      <c r="M48" s="2477"/>
      <c r="N48" s="2477"/>
      <c r="O48" s="2477"/>
      <c r="P48" s="2477"/>
      <c r="Q48" s="2482">
        <v>43.688899694993978</v>
      </c>
      <c r="R48" s="2483"/>
      <c r="S48" s="2483"/>
      <c r="T48" s="2484"/>
      <c r="U48" s="2441" t="s">
        <v>74</v>
      </c>
      <c r="V48" s="2441"/>
      <c r="W48" s="2442"/>
      <c r="X48" s="2468"/>
      <c r="Y48" s="2468"/>
      <c r="Z48" s="2468"/>
      <c r="AA48" s="2468"/>
      <c r="AB48" s="2468"/>
      <c r="AC48" s="2468"/>
      <c r="AD48" s="2468"/>
      <c r="AE48" s="2468"/>
      <c r="AF48" s="2469"/>
    </row>
    <row r="49" spans="1:32" x14ac:dyDescent="0.3">
      <c r="A49" s="2452"/>
      <c r="B49" s="2453"/>
      <c r="C49" s="2453"/>
      <c r="D49" s="2453"/>
      <c r="E49" s="2476" t="s">
        <v>2621</v>
      </c>
      <c r="F49" s="2477"/>
      <c r="G49" s="2477"/>
      <c r="H49" s="2477"/>
      <c r="I49" s="2477"/>
      <c r="J49" s="2477"/>
      <c r="K49" s="2477"/>
      <c r="L49" s="2477"/>
      <c r="M49" s="2477"/>
      <c r="N49" s="2477"/>
      <c r="O49" s="2477"/>
      <c r="P49" s="2477"/>
      <c r="Q49" s="2482">
        <v>51.822024638178945</v>
      </c>
      <c r="R49" s="2483"/>
      <c r="S49" s="2483"/>
      <c r="T49" s="2484"/>
      <c r="U49" s="2441" t="s">
        <v>74</v>
      </c>
      <c r="V49" s="2441"/>
      <c r="W49" s="2442"/>
      <c r="X49" s="2468"/>
      <c r="Y49" s="2468"/>
      <c r="Z49" s="2468"/>
      <c r="AA49" s="2468"/>
      <c r="AB49" s="2468"/>
      <c r="AC49" s="2468"/>
      <c r="AD49" s="2468"/>
      <c r="AE49" s="2468"/>
      <c r="AF49" s="2469"/>
    </row>
    <row r="50" spans="1:32" x14ac:dyDescent="0.3">
      <c r="A50" s="2452"/>
      <c r="B50" s="2453"/>
      <c r="C50" s="2453"/>
      <c r="D50" s="2453"/>
      <c r="E50" s="2473" t="s">
        <v>2622</v>
      </c>
      <c r="F50" s="2474"/>
      <c r="G50" s="2474"/>
      <c r="H50" s="2474"/>
      <c r="I50" s="2474"/>
      <c r="J50" s="2474"/>
      <c r="K50" s="2474"/>
      <c r="L50" s="2474"/>
      <c r="M50" s="2474"/>
      <c r="N50" s="2474"/>
      <c r="O50" s="2474"/>
      <c r="P50" s="2474"/>
      <c r="Q50" s="2476"/>
      <c r="R50" s="2477"/>
      <c r="S50" s="2477"/>
      <c r="T50" s="2478"/>
      <c r="U50" s="2441"/>
      <c r="V50" s="2441"/>
      <c r="W50" s="2442"/>
      <c r="X50" s="2468"/>
      <c r="Y50" s="2468"/>
      <c r="Z50" s="2468"/>
      <c r="AA50" s="2468"/>
      <c r="AB50" s="2468"/>
      <c r="AC50" s="2468"/>
      <c r="AD50" s="2468"/>
      <c r="AE50" s="2468"/>
      <c r="AF50" s="2469"/>
    </row>
    <row r="51" spans="1:32" x14ac:dyDescent="0.3">
      <c r="A51" s="2452"/>
      <c r="B51" s="2453"/>
      <c r="C51" s="2453"/>
      <c r="D51" s="2453"/>
      <c r="E51" s="2476" t="s">
        <v>2618</v>
      </c>
      <c r="F51" s="2477"/>
      <c r="G51" s="2477"/>
      <c r="H51" s="2477"/>
      <c r="I51" s="2477"/>
      <c r="J51" s="2477"/>
      <c r="K51" s="2477"/>
      <c r="L51" s="2477"/>
      <c r="M51" s="2477"/>
      <c r="N51" s="2477"/>
      <c r="O51" s="2477"/>
      <c r="P51" s="2477"/>
      <c r="Q51" s="2482">
        <v>18.971157180665642</v>
      </c>
      <c r="R51" s="2483"/>
      <c r="S51" s="2483"/>
      <c r="T51" s="2484"/>
      <c r="U51" s="2441" t="s">
        <v>74</v>
      </c>
      <c r="V51" s="2441"/>
      <c r="W51" s="2442"/>
      <c r="X51" s="2468"/>
      <c r="Y51" s="2468"/>
      <c r="Z51" s="2468"/>
      <c r="AA51" s="2468"/>
      <c r="AB51" s="2468"/>
      <c r="AC51" s="2468"/>
      <c r="AD51" s="2468"/>
      <c r="AE51" s="2468"/>
      <c r="AF51" s="2469"/>
    </row>
    <row r="52" spans="1:32" x14ac:dyDescent="0.3">
      <c r="A52" s="2452"/>
      <c r="B52" s="2453"/>
      <c r="C52" s="2453"/>
      <c r="D52" s="2453"/>
      <c r="E52" s="2476" t="s">
        <v>2619</v>
      </c>
      <c r="F52" s="2477"/>
      <c r="G52" s="2477"/>
      <c r="H52" s="2477"/>
      <c r="I52" s="2477"/>
      <c r="J52" s="2477"/>
      <c r="K52" s="2477"/>
      <c r="L52" s="2477"/>
      <c r="M52" s="2477"/>
      <c r="N52" s="2477"/>
      <c r="O52" s="2477"/>
      <c r="P52" s="2477"/>
      <c r="Q52" s="2482">
        <v>30.322251248602839</v>
      </c>
      <c r="R52" s="2483"/>
      <c r="S52" s="2483"/>
      <c r="T52" s="2484"/>
      <c r="U52" s="2441" t="s">
        <v>74</v>
      </c>
      <c r="V52" s="2441"/>
      <c r="W52" s="2442"/>
      <c r="X52" s="2468"/>
      <c r="Y52" s="2468"/>
      <c r="Z52" s="2468"/>
      <c r="AA52" s="2468"/>
      <c r="AB52" s="2468"/>
      <c r="AC52" s="2468"/>
      <c r="AD52" s="2468"/>
      <c r="AE52" s="2468"/>
      <c r="AF52" s="2469"/>
    </row>
    <row r="53" spans="1:32" x14ac:dyDescent="0.3">
      <c r="A53" s="2452"/>
      <c r="B53" s="2453"/>
      <c r="C53" s="2453"/>
      <c r="D53" s="2453"/>
      <c r="E53" s="2476" t="s">
        <v>2620</v>
      </c>
      <c r="F53" s="2477"/>
      <c r="G53" s="2477"/>
      <c r="H53" s="2477"/>
      <c r="I53" s="2477"/>
      <c r="J53" s="2477"/>
      <c r="K53" s="2477"/>
      <c r="L53" s="2477"/>
      <c r="M53" s="2477"/>
      <c r="N53" s="2477"/>
      <c r="O53" s="2477"/>
      <c r="P53" s="2477"/>
      <c r="Q53" s="2482">
        <v>39.196475842554051</v>
      </c>
      <c r="R53" s="2483"/>
      <c r="S53" s="2483"/>
      <c r="T53" s="2484"/>
      <c r="U53" s="2441" t="s">
        <v>74</v>
      </c>
      <c r="V53" s="2441"/>
      <c r="W53" s="2442"/>
      <c r="X53" s="2468"/>
      <c r="Y53" s="2468"/>
      <c r="Z53" s="2468"/>
      <c r="AA53" s="2468"/>
      <c r="AB53" s="2468"/>
      <c r="AC53" s="2468"/>
      <c r="AD53" s="2468"/>
      <c r="AE53" s="2468"/>
      <c r="AF53" s="2469"/>
    </row>
    <row r="54" spans="1:32" x14ac:dyDescent="0.3">
      <c r="A54" s="2455"/>
      <c r="B54" s="2456"/>
      <c r="C54" s="2456"/>
      <c r="D54" s="2456"/>
      <c r="E54" s="2443" t="s">
        <v>2621</v>
      </c>
      <c r="F54" s="2444"/>
      <c r="G54" s="2444"/>
      <c r="H54" s="2444"/>
      <c r="I54" s="2444"/>
      <c r="J54" s="2444"/>
      <c r="K54" s="2444"/>
      <c r="L54" s="2444"/>
      <c r="M54" s="2444"/>
      <c r="N54" s="2444"/>
      <c r="O54" s="2444"/>
      <c r="P54" s="2444"/>
      <c r="Q54" s="2482">
        <v>49.382508148471274</v>
      </c>
      <c r="R54" s="2483"/>
      <c r="S54" s="2483"/>
      <c r="T54" s="2484"/>
      <c r="U54" s="2486" t="s">
        <v>74</v>
      </c>
      <c r="V54" s="2486"/>
      <c r="W54" s="2487"/>
      <c r="X54" s="2471"/>
      <c r="Y54" s="2471"/>
      <c r="Z54" s="2471"/>
      <c r="AA54" s="2471"/>
      <c r="AB54" s="2471"/>
      <c r="AC54" s="2471"/>
      <c r="AD54" s="2471"/>
      <c r="AE54" s="2471"/>
      <c r="AF54" s="2472"/>
    </row>
    <row r="55" spans="1:32" ht="48.75" customHeight="1" x14ac:dyDescent="0.3">
      <c r="A55" s="2449" t="s">
        <v>2623</v>
      </c>
      <c r="B55" s="2450"/>
      <c r="C55" s="2450"/>
      <c r="D55" s="2451"/>
      <c r="E55" s="2458" t="s">
        <v>2624</v>
      </c>
      <c r="F55" s="2459"/>
      <c r="G55" s="2459"/>
      <c r="H55" s="2459"/>
      <c r="I55" s="2459"/>
      <c r="J55" s="2459"/>
      <c r="K55" s="2459"/>
      <c r="L55" s="2459"/>
      <c r="M55" s="2459"/>
      <c r="N55" s="2459"/>
      <c r="O55" s="2459"/>
      <c r="P55" s="2459"/>
      <c r="Q55" s="2461"/>
      <c r="R55" s="2462"/>
      <c r="S55" s="2462"/>
      <c r="T55" s="2463"/>
      <c r="U55" s="2464"/>
      <c r="V55" s="2465"/>
      <c r="W55" s="2466"/>
      <c r="X55" s="2458" t="s">
        <v>2679</v>
      </c>
      <c r="Y55" s="2459"/>
      <c r="Z55" s="2459"/>
      <c r="AA55" s="2459"/>
      <c r="AB55" s="2459"/>
      <c r="AC55" s="2459"/>
      <c r="AD55" s="2459"/>
      <c r="AE55" s="2459"/>
      <c r="AF55" s="2460"/>
    </row>
    <row r="56" spans="1:32" x14ac:dyDescent="0.3">
      <c r="A56" s="2452"/>
      <c r="B56" s="2453"/>
      <c r="C56" s="2453"/>
      <c r="D56" s="2454"/>
      <c r="E56" s="2473" t="s">
        <v>2625</v>
      </c>
      <c r="F56" s="2474"/>
      <c r="G56" s="2474"/>
      <c r="H56" s="2474"/>
      <c r="I56" s="2474"/>
      <c r="J56" s="2474"/>
      <c r="K56" s="2474"/>
      <c r="L56" s="2474"/>
      <c r="M56" s="2474"/>
      <c r="N56" s="2474"/>
      <c r="O56" s="2474"/>
      <c r="P56" s="2474"/>
      <c r="Q56" s="2476"/>
      <c r="R56" s="2477"/>
      <c r="S56" s="2477"/>
      <c r="T56" s="2478"/>
      <c r="U56" s="2440"/>
      <c r="V56" s="2441"/>
      <c r="W56" s="2442"/>
      <c r="X56" s="2467"/>
      <c r="Y56" s="2468"/>
      <c r="Z56" s="2468"/>
      <c r="AA56" s="2468"/>
      <c r="AB56" s="2468"/>
      <c r="AC56" s="2468"/>
      <c r="AD56" s="2468"/>
      <c r="AE56" s="2468"/>
      <c r="AF56" s="2469"/>
    </row>
    <row r="57" spans="1:32" x14ac:dyDescent="0.3">
      <c r="A57" s="2452"/>
      <c r="B57" s="2453"/>
      <c r="C57" s="2453"/>
      <c r="D57" s="2454"/>
      <c r="E57" s="2476" t="s">
        <v>2618</v>
      </c>
      <c r="F57" s="2477"/>
      <c r="G57" s="2477"/>
      <c r="H57" s="2477"/>
      <c r="I57" s="2477"/>
      <c r="J57" s="2477"/>
      <c r="K57" s="2477"/>
      <c r="L57" s="2477"/>
      <c r="M57" s="2477"/>
      <c r="N57" s="2477"/>
      <c r="O57" s="2477"/>
      <c r="P57" s="2477"/>
      <c r="Q57" s="2482">
        <v>9.2310423548580278</v>
      </c>
      <c r="R57" s="2483"/>
      <c r="S57" s="2483"/>
      <c r="T57" s="2484"/>
      <c r="U57" s="2440" t="s">
        <v>74</v>
      </c>
      <c r="V57" s="2441"/>
      <c r="W57" s="2442"/>
      <c r="X57" s="2467"/>
      <c r="Y57" s="2468"/>
      <c r="Z57" s="2468"/>
      <c r="AA57" s="2468"/>
      <c r="AB57" s="2468"/>
      <c r="AC57" s="2468"/>
      <c r="AD57" s="2468"/>
      <c r="AE57" s="2468"/>
      <c r="AF57" s="2469"/>
    </row>
    <row r="58" spans="1:32" x14ac:dyDescent="0.3">
      <c r="A58" s="2452"/>
      <c r="B58" s="2453"/>
      <c r="C58" s="2453"/>
      <c r="D58" s="2454"/>
      <c r="E58" s="2476" t="s">
        <v>2619</v>
      </c>
      <c r="F58" s="2477"/>
      <c r="G58" s="2477"/>
      <c r="H58" s="2477"/>
      <c r="I58" s="2477"/>
      <c r="J58" s="2477"/>
      <c r="K58" s="2477"/>
      <c r="L58" s="2477"/>
      <c r="M58" s="2477"/>
      <c r="N58" s="2477"/>
      <c r="O58" s="2477"/>
      <c r="P58" s="2477"/>
      <c r="Q58" s="2482">
        <v>13.926556080843367</v>
      </c>
      <c r="R58" s="2483"/>
      <c r="S58" s="2483"/>
      <c r="T58" s="2484"/>
      <c r="U58" s="2440" t="s">
        <v>74</v>
      </c>
      <c r="V58" s="2441"/>
      <c r="W58" s="2442"/>
      <c r="X58" s="2467"/>
      <c r="Y58" s="2468"/>
      <c r="Z58" s="2468"/>
      <c r="AA58" s="2468"/>
      <c r="AB58" s="2468"/>
      <c r="AC58" s="2468"/>
      <c r="AD58" s="2468"/>
      <c r="AE58" s="2468"/>
      <c r="AF58" s="2469"/>
    </row>
    <row r="59" spans="1:32" x14ac:dyDescent="0.3">
      <c r="A59" s="2452"/>
      <c r="B59" s="2453"/>
      <c r="C59" s="2453"/>
      <c r="D59" s="2454"/>
      <c r="E59" s="2476" t="s">
        <v>2620</v>
      </c>
      <c r="F59" s="2477"/>
      <c r="G59" s="2477"/>
      <c r="H59" s="2477"/>
      <c r="I59" s="2477"/>
      <c r="J59" s="2477"/>
      <c r="K59" s="2477"/>
      <c r="L59" s="2477"/>
      <c r="M59" s="2477"/>
      <c r="N59" s="2477"/>
      <c r="O59" s="2477"/>
      <c r="P59" s="2477"/>
      <c r="Q59" s="2482">
        <v>21.58523368827953</v>
      </c>
      <c r="R59" s="2483"/>
      <c r="S59" s="2483"/>
      <c r="T59" s="2484"/>
      <c r="U59" s="2440" t="s">
        <v>74</v>
      </c>
      <c r="V59" s="2441"/>
      <c r="W59" s="2442"/>
      <c r="X59" s="2467"/>
      <c r="Y59" s="2468"/>
      <c r="Z59" s="2468"/>
      <c r="AA59" s="2468"/>
      <c r="AB59" s="2468"/>
      <c r="AC59" s="2468"/>
      <c r="AD59" s="2468"/>
      <c r="AE59" s="2468"/>
      <c r="AF59" s="2469"/>
    </row>
    <row r="60" spans="1:32" x14ac:dyDescent="0.3">
      <c r="A60" s="2455"/>
      <c r="B60" s="2456"/>
      <c r="C60" s="2456"/>
      <c r="D60" s="2457"/>
      <c r="E60" s="2476" t="s">
        <v>2621</v>
      </c>
      <c r="F60" s="2477"/>
      <c r="G60" s="2477"/>
      <c r="H60" s="2477"/>
      <c r="I60" s="2477"/>
      <c r="J60" s="2477"/>
      <c r="K60" s="2477"/>
      <c r="L60" s="2477"/>
      <c r="M60" s="2477"/>
      <c r="N60" s="2477"/>
      <c r="O60" s="2477"/>
      <c r="P60" s="2477"/>
      <c r="Q60" s="2482">
        <v>27.04972447779863</v>
      </c>
      <c r="R60" s="2483"/>
      <c r="S60" s="2483"/>
      <c r="T60" s="2484"/>
      <c r="U60" s="2485" t="s">
        <v>74</v>
      </c>
      <c r="V60" s="2486"/>
      <c r="W60" s="2487"/>
      <c r="X60" s="2470"/>
      <c r="Y60" s="2471"/>
      <c r="Z60" s="2471"/>
      <c r="AA60" s="2471"/>
      <c r="AB60" s="2471"/>
      <c r="AC60" s="2471"/>
      <c r="AD60" s="2471"/>
      <c r="AE60" s="2471"/>
      <c r="AF60" s="2472"/>
    </row>
    <row r="61" spans="1:32" ht="33" customHeight="1" x14ac:dyDescent="0.3">
      <c r="A61" s="1050" t="s">
        <v>2626</v>
      </c>
      <c r="B61" s="1051"/>
      <c r="C61" s="1051"/>
      <c r="D61" s="1052"/>
      <c r="E61" s="1148" t="s">
        <v>2627</v>
      </c>
      <c r="F61" s="1149"/>
      <c r="G61" s="1149"/>
      <c r="H61" s="1149"/>
      <c r="I61" s="1149"/>
      <c r="J61" s="1149"/>
      <c r="K61" s="1149"/>
      <c r="L61" s="1149"/>
      <c r="M61" s="1149"/>
      <c r="N61" s="1149"/>
      <c r="O61" s="1149"/>
      <c r="P61" s="1150"/>
      <c r="Q61" s="1151">
        <v>365</v>
      </c>
      <c r="R61" s="1152"/>
      <c r="S61" s="1152"/>
      <c r="T61" s="1153"/>
      <c r="U61" s="2485" t="s">
        <v>2628</v>
      </c>
      <c r="V61" s="2486"/>
      <c r="W61" s="2487"/>
      <c r="X61" s="1154" t="s">
        <v>1483</v>
      </c>
      <c r="Y61" s="1155"/>
      <c r="Z61" s="1155"/>
      <c r="AA61" s="1155"/>
      <c r="AB61" s="1155"/>
      <c r="AC61" s="1155"/>
      <c r="AD61" s="1155"/>
      <c r="AE61" s="1155"/>
      <c r="AF61" s="1156"/>
    </row>
    <row r="62" spans="1:32" ht="34.5" customHeight="1" x14ac:dyDescent="0.3">
      <c r="A62" s="2481" t="s">
        <v>2629</v>
      </c>
      <c r="B62" s="2450"/>
      <c r="C62" s="2450"/>
      <c r="D62" s="2450"/>
      <c r="E62" s="2458" t="s">
        <v>2630</v>
      </c>
      <c r="F62" s="2459"/>
      <c r="G62" s="2459"/>
      <c r="H62" s="2459"/>
      <c r="I62" s="2459"/>
      <c r="J62" s="2459"/>
      <c r="K62" s="2459"/>
      <c r="L62" s="2459"/>
      <c r="M62" s="2459"/>
      <c r="N62" s="2459"/>
      <c r="O62" s="2459"/>
      <c r="P62" s="2459"/>
      <c r="Q62" s="2461"/>
      <c r="R62" s="2462"/>
      <c r="S62" s="2462"/>
      <c r="T62" s="2463"/>
      <c r="U62" s="2465"/>
      <c r="V62" s="2465"/>
      <c r="W62" s="2466"/>
      <c r="X62" s="2459" t="s">
        <v>2679</v>
      </c>
      <c r="Y62" s="2459"/>
      <c r="Z62" s="2459"/>
      <c r="AA62" s="2459"/>
      <c r="AB62" s="2459"/>
      <c r="AC62" s="2459"/>
      <c r="AD62" s="2459"/>
      <c r="AE62" s="2459"/>
      <c r="AF62" s="2460"/>
    </row>
    <row r="63" spans="1:32" x14ac:dyDescent="0.3">
      <c r="A63" s="2452"/>
      <c r="B63" s="2453"/>
      <c r="C63" s="2453"/>
      <c r="D63" s="2453"/>
      <c r="E63" s="2473" t="s">
        <v>2617</v>
      </c>
      <c r="F63" s="2474"/>
      <c r="G63" s="2474"/>
      <c r="H63" s="2474"/>
      <c r="I63" s="2474"/>
      <c r="J63" s="2474"/>
      <c r="K63" s="2474"/>
      <c r="L63" s="2474"/>
      <c r="M63" s="2474"/>
      <c r="N63" s="2474"/>
      <c r="O63" s="2474"/>
      <c r="P63" s="2474"/>
      <c r="Q63" s="2476"/>
      <c r="R63" s="2477"/>
      <c r="S63" s="2477"/>
      <c r="T63" s="2478"/>
      <c r="U63" s="2441"/>
      <c r="V63" s="2441"/>
      <c r="W63" s="2442"/>
      <c r="X63" s="2468"/>
      <c r="Y63" s="2468"/>
      <c r="Z63" s="2468"/>
      <c r="AA63" s="2468"/>
      <c r="AB63" s="2468"/>
      <c r="AC63" s="2468"/>
      <c r="AD63" s="2468"/>
      <c r="AE63" s="2468"/>
      <c r="AF63" s="2469"/>
    </row>
    <row r="64" spans="1:32" x14ac:dyDescent="0.3">
      <c r="A64" s="2452"/>
      <c r="B64" s="2453"/>
      <c r="C64" s="2453"/>
      <c r="D64" s="2453"/>
      <c r="E64" s="2476" t="s">
        <v>2618</v>
      </c>
      <c r="F64" s="2477"/>
      <c r="G64" s="2477"/>
      <c r="H64" s="2477"/>
      <c r="I64" s="2477"/>
      <c r="J64" s="2477"/>
      <c r="K64" s="2477"/>
      <c r="L64" s="2477"/>
      <c r="M64" s="2477"/>
      <c r="N64" s="2477"/>
      <c r="O64" s="2477"/>
      <c r="P64" s="2477"/>
      <c r="Q64" s="2482">
        <v>17.637018774890958</v>
      </c>
      <c r="R64" s="2483"/>
      <c r="S64" s="2483"/>
      <c r="T64" s="2484"/>
      <c r="U64" s="2440" t="s">
        <v>2631</v>
      </c>
      <c r="V64" s="2441"/>
      <c r="W64" s="2442"/>
      <c r="X64" s="2468"/>
      <c r="Y64" s="2468"/>
      <c r="Z64" s="2468"/>
      <c r="AA64" s="2468"/>
      <c r="AB64" s="2468"/>
      <c r="AC64" s="2468"/>
      <c r="AD64" s="2468"/>
      <c r="AE64" s="2468"/>
      <c r="AF64" s="2469"/>
    </row>
    <row r="65" spans="1:32" x14ac:dyDescent="0.3">
      <c r="A65" s="2452"/>
      <c r="B65" s="2453"/>
      <c r="C65" s="2453"/>
      <c r="D65" s="2453"/>
      <c r="E65" s="2476" t="s">
        <v>2619</v>
      </c>
      <c r="F65" s="2477"/>
      <c r="G65" s="2477"/>
      <c r="H65" s="2477"/>
      <c r="I65" s="2477"/>
      <c r="J65" s="2477"/>
      <c r="K65" s="2477"/>
      <c r="L65" s="2477"/>
      <c r="M65" s="2477"/>
      <c r="N65" s="2477"/>
      <c r="O65" s="2477"/>
      <c r="P65" s="2477"/>
      <c r="Q65" s="2482">
        <v>17.217787337604967</v>
      </c>
      <c r="R65" s="2483"/>
      <c r="S65" s="2483"/>
      <c r="T65" s="2484"/>
      <c r="U65" s="2440" t="s">
        <v>2631</v>
      </c>
      <c r="V65" s="2441"/>
      <c r="W65" s="2442"/>
      <c r="X65" s="2468"/>
      <c r="Y65" s="2468"/>
      <c r="Z65" s="2468"/>
      <c r="AA65" s="2468"/>
      <c r="AB65" s="2468"/>
      <c r="AC65" s="2468"/>
      <c r="AD65" s="2468"/>
      <c r="AE65" s="2468"/>
      <c r="AF65" s="2469"/>
    </row>
    <row r="66" spans="1:32" x14ac:dyDescent="0.3">
      <c r="A66" s="2452"/>
      <c r="B66" s="2453"/>
      <c r="C66" s="2453"/>
      <c r="D66" s="2453"/>
      <c r="E66" s="2476" t="s">
        <v>2620</v>
      </c>
      <c r="F66" s="2477"/>
      <c r="G66" s="2477"/>
      <c r="H66" s="2477"/>
      <c r="I66" s="2477"/>
      <c r="J66" s="2477"/>
      <c r="K66" s="2477"/>
      <c r="L66" s="2477"/>
      <c r="M66" s="2477"/>
      <c r="N66" s="2477"/>
      <c r="O66" s="2477"/>
      <c r="P66" s="2477"/>
      <c r="Q66" s="2482">
        <v>17.838548802542885</v>
      </c>
      <c r="R66" s="2483"/>
      <c r="S66" s="2483"/>
      <c r="T66" s="2484"/>
      <c r="U66" s="2440" t="s">
        <v>2631</v>
      </c>
      <c r="V66" s="2441"/>
      <c r="W66" s="2442"/>
      <c r="X66" s="2468"/>
      <c r="Y66" s="2468"/>
      <c r="Z66" s="2468"/>
      <c r="AA66" s="2468"/>
      <c r="AB66" s="2468"/>
      <c r="AC66" s="2468"/>
      <c r="AD66" s="2468"/>
      <c r="AE66" s="2468"/>
      <c r="AF66" s="2469"/>
    </row>
    <row r="67" spans="1:32" x14ac:dyDescent="0.3">
      <c r="A67" s="2452"/>
      <c r="B67" s="2453"/>
      <c r="C67" s="2453"/>
      <c r="D67" s="2453"/>
      <c r="E67" s="2476" t="s">
        <v>2621</v>
      </c>
      <c r="F67" s="2477"/>
      <c r="G67" s="2477"/>
      <c r="H67" s="2477"/>
      <c r="I67" s="2477"/>
      <c r="J67" s="2477"/>
      <c r="K67" s="2477"/>
      <c r="L67" s="2477"/>
      <c r="M67" s="2477"/>
      <c r="N67" s="2477"/>
      <c r="O67" s="2477"/>
      <c r="P67" s="2477"/>
      <c r="Q67" s="2482">
        <v>18.878205128205131</v>
      </c>
      <c r="R67" s="2483"/>
      <c r="S67" s="2483"/>
      <c r="T67" s="2484"/>
      <c r="U67" s="2440" t="s">
        <v>2631</v>
      </c>
      <c r="V67" s="2441"/>
      <c r="W67" s="2442"/>
      <c r="X67" s="2468"/>
      <c r="Y67" s="2468"/>
      <c r="Z67" s="2468"/>
      <c r="AA67" s="2468"/>
      <c r="AB67" s="2468"/>
      <c r="AC67" s="2468"/>
      <c r="AD67" s="2468"/>
      <c r="AE67" s="2468"/>
      <c r="AF67" s="2469"/>
    </row>
    <row r="68" spans="1:32" x14ac:dyDescent="0.3">
      <c r="A68" s="2452"/>
      <c r="B68" s="2453"/>
      <c r="C68" s="2453"/>
      <c r="D68" s="2453"/>
      <c r="E68" s="2473" t="s">
        <v>2622</v>
      </c>
      <c r="F68" s="2474"/>
      <c r="G68" s="2474"/>
      <c r="H68" s="2474"/>
      <c r="I68" s="2474"/>
      <c r="J68" s="2474"/>
      <c r="K68" s="2474"/>
      <c r="L68" s="2474"/>
      <c r="M68" s="2474"/>
      <c r="N68" s="2474"/>
      <c r="O68" s="2474"/>
      <c r="P68" s="2474"/>
      <c r="Q68" s="2476"/>
      <c r="R68" s="2477"/>
      <c r="S68" s="2477"/>
      <c r="T68" s="2478"/>
      <c r="U68" s="2441"/>
      <c r="V68" s="2441"/>
      <c r="W68" s="2442"/>
      <c r="X68" s="2468"/>
      <c r="Y68" s="2468"/>
      <c r="Z68" s="2468"/>
      <c r="AA68" s="2468"/>
      <c r="AB68" s="2468"/>
      <c r="AC68" s="2468"/>
      <c r="AD68" s="2468"/>
      <c r="AE68" s="2468"/>
      <c r="AF68" s="2469"/>
    </row>
    <row r="69" spans="1:32" x14ac:dyDescent="0.3">
      <c r="A69" s="2452"/>
      <c r="B69" s="2453"/>
      <c r="C69" s="2453"/>
      <c r="D69" s="2453"/>
      <c r="E69" s="2476" t="s">
        <v>2618</v>
      </c>
      <c r="F69" s="2477"/>
      <c r="G69" s="2477"/>
      <c r="H69" s="2477"/>
      <c r="I69" s="2477"/>
      <c r="J69" s="2477"/>
      <c r="K69" s="2477"/>
      <c r="L69" s="2477"/>
      <c r="M69" s="2477"/>
      <c r="N69" s="2477"/>
      <c r="O69" s="2477"/>
      <c r="P69" s="2477"/>
      <c r="Q69" s="2482">
        <v>24</v>
      </c>
      <c r="R69" s="2483"/>
      <c r="S69" s="2483"/>
      <c r="T69" s="2484"/>
      <c r="U69" s="2440" t="s">
        <v>2631</v>
      </c>
      <c r="V69" s="2441"/>
      <c r="W69" s="2442"/>
      <c r="X69" s="2468"/>
      <c r="Y69" s="2468"/>
      <c r="Z69" s="2468"/>
      <c r="AA69" s="2468"/>
      <c r="AB69" s="2468"/>
      <c r="AC69" s="2468"/>
      <c r="AD69" s="2468"/>
      <c r="AE69" s="2468"/>
      <c r="AF69" s="2469"/>
    </row>
    <row r="70" spans="1:32" x14ac:dyDescent="0.3">
      <c r="A70" s="2452"/>
      <c r="B70" s="2453"/>
      <c r="C70" s="2453"/>
      <c r="D70" s="2453"/>
      <c r="E70" s="2476" t="s">
        <v>2619</v>
      </c>
      <c r="F70" s="2477"/>
      <c r="G70" s="2477"/>
      <c r="H70" s="2477"/>
      <c r="I70" s="2477"/>
      <c r="J70" s="2477"/>
      <c r="K70" s="2477"/>
      <c r="L70" s="2477"/>
      <c r="M70" s="2477"/>
      <c r="N70" s="2477"/>
      <c r="O70" s="2477"/>
      <c r="P70" s="2477"/>
      <c r="Q70" s="2482">
        <v>24</v>
      </c>
      <c r="R70" s="2483"/>
      <c r="S70" s="2483"/>
      <c r="T70" s="2484"/>
      <c r="U70" s="2440" t="s">
        <v>2631</v>
      </c>
      <c r="V70" s="2441"/>
      <c r="W70" s="2442"/>
      <c r="X70" s="2468"/>
      <c r="Y70" s="2468"/>
      <c r="Z70" s="2468"/>
      <c r="AA70" s="2468"/>
      <c r="AB70" s="2468"/>
      <c r="AC70" s="2468"/>
      <c r="AD70" s="2468"/>
      <c r="AE70" s="2468"/>
      <c r="AF70" s="2469"/>
    </row>
    <row r="71" spans="1:32" x14ac:dyDescent="0.3">
      <c r="A71" s="2452"/>
      <c r="B71" s="2453"/>
      <c r="C71" s="2453"/>
      <c r="D71" s="2453"/>
      <c r="E71" s="2476" t="s">
        <v>2620</v>
      </c>
      <c r="F71" s="2477"/>
      <c r="G71" s="2477"/>
      <c r="H71" s="2477"/>
      <c r="I71" s="2477"/>
      <c r="J71" s="2477"/>
      <c r="K71" s="2477"/>
      <c r="L71" s="2477"/>
      <c r="M71" s="2477"/>
      <c r="N71" s="2477"/>
      <c r="O71" s="2477"/>
      <c r="P71" s="2477"/>
      <c r="Q71" s="2482">
        <v>24</v>
      </c>
      <c r="R71" s="2483"/>
      <c r="S71" s="2483"/>
      <c r="T71" s="2484"/>
      <c r="U71" s="2440" t="s">
        <v>2631</v>
      </c>
      <c r="V71" s="2441"/>
      <c r="W71" s="2442"/>
      <c r="X71" s="2468"/>
      <c r="Y71" s="2468"/>
      <c r="Z71" s="2468"/>
      <c r="AA71" s="2468"/>
      <c r="AB71" s="2468"/>
      <c r="AC71" s="2468"/>
      <c r="AD71" s="2468"/>
      <c r="AE71" s="2468"/>
      <c r="AF71" s="2469"/>
    </row>
    <row r="72" spans="1:32" x14ac:dyDescent="0.3">
      <c r="A72" s="2455"/>
      <c r="B72" s="2456"/>
      <c r="C72" s="2456"/>
      <c r="D72" s="2456"/>
      <c r="E72" s="2443" t="s">
        <v>2621</v>
      </c>
      <c r="F72" s="2444"/>
      <c r="G72" s="2444"/>
      <c r="H72" s="2444"/>
      <c r="I72" s="2444"/>
      <c r="J72" s="2444"/>
      <c r="K72" s="2444"/>
      <c r="L72" s="2444"/>
      <c r="M72" s="2444"/>
      <c r="N72" s="2444"/>
      <c r="O72" s="2444"/>
      <c r="P72" s="2444"/>
      <c r="Q72" s="2482">
        <v>24</v>
      </c>
      <c r="R72" s="2483"/>
      <c r="S72" s="2483"/>
      <c r="T72" s="2484"/>
      <c r="U72" s="2440" t="s">
        <v>2631</v>
      </c>
      <c r="V72" s="2441"/>
      <c r="W72" s="2442"/>
      <c r="X72" s="2471"/>
      <c r="Y72" s="2471"/>
      <c r="Z72" s="2471"/>
      <c r="AA72" s="2471"/>
      <c r="AB72" s="2471"/>
      <c r="AC72" s="2471"/>
      <c r="AD72" s="2471"/>
      <c r="AE72" s="2471"/>
      <c r="AF72" s="2472"/>
    </row>
    <row r="73" spans="1:32" ht="31.5" customHeight="1" x14ac:dyDescent="0.3">
      <c r="A73" s="2449" t="s">
        <v>2632</v>
      </c>
      <c r="B73" s="2450"/>
      <c r="C73" s="2450"/>
      <c r="D73" s="2451"/>
      <c r="E73" s="2458" t="s">
        <v>2633</v>
      </c>
      <c r="F73" s="2459"/>
      <c r="G73" s="2459"/>
      <c r="H73" s="2459"/>
      <c r="I73" s="2459"/>
      <c r="J73" s="2459"/>
      <c r="K73" s="2459"/>
      <c r="L73" s="2459"/>
      <c r="M73" s="2459"/>
      <c r="N73" s="2459"/>
      <c r="O73" s="2459"/>
      <c r="P73" s="2460"/>
      <c r="Q73" s="2461"/>
      <c r="R73" s="2462"/>
      <c r="S73" s="2462"/>
      <c r="T73" s="2463"/>
      <c r="U73" s="2464"/>
      <c r="V73" s="2465"/>
      <c r="W73" s="2466"/>
      <c r="X73" s="2458" t="s">
        <v>2679</v>
      </c>
      <c r="Y73" s="2459"/>
      <c r="Z73" s="2459"/>
      <c r="AA73" s="2459"/>
      <c r="AB73" s="2459"/>
      <c r="AC73" s="2459"/>
      <c r="AD73" s="2459"/>
      <c r="AE73" s="2459"/>
      <c r="AF73" s="2460"/>
    </row>
    <row r="74" spans="1:32" x14ac:dyDescent="0.3">
      <c r="A74" s="2452"/>
      <c r="B74" s="2453"/>
      <c r="C74" s="2453"/>
      <c r="D74" s="2454"/>
      <c r="E74" s="2473" t="s">
        <v>2625</v>
      </c>
      <c r="F74" s="2474"/>
      <c r="G74" s="2474"/>
      <c r="H74" s="2474"/>
      <c r="I74" s="2474"/>
      <c r="J74" s="2474"/>
      <c r="K74" s="2474"/>
      <c r="L74" s="2474"/>
      <c r="M74" s="2474"/>
      <c r="N74" s="2474"/>
      <c r="O74" s="2474"/>
      <c r="P74" s="2475"/>
      <c r="Q74" s="2476"/>
      <c r="R74" s="2477"/>
      <c r="S74" s="2477"/>
      <c r="T74" s="2478"/>
      <c r="U74" s="2440"/>
      <c r="V74" s="2441"/>
      <c r="W74" s="2442"/>
      <c r="X74" s="2467"/>
      <c r="Y74" s="2468"/>
      <c r="Z74" s="2468"/>
      <c r="AA74" s="2468"/>
      <c r="AB74" s="2468"/>
      <c r="AC74" s="2468"/>
      <c r="AD74" s="2468"/>
      <c r="AE74" s="2468"/>
      <c r="AF74" s="2469"/>
    </row>
    <row r="75" spans="1:32" x14ac:dyDescent="0.3">
      <c r="A75" s="2452"/>
      <c r="B75" s="2453"/>
      <c r="C75" s="2453"/>
      <c r="D75" s="2454"/>
      <c r="E75" s="2476" t="s">
        <v>2618</v>
      </c>
      <c r="F75" s="2477"/>
      <c r="G75" s="2477"/>
      <c r="H75" s="2477"/>
      <c r="I75" s="2477"/>
      <c r="J75" s="2477"/>
      <c r="K75" s="2477"/>
      <c r="L75" s="2477"/>
      <c r="M75" s="2477"/>
      <c r="N75" s="2477"/>
      <c r="O75" s="2477"/>
      <c r="P75" s="2478"/>
      <c r="Q75" s="2482">
        <v>22.692</v>
      </c>
      <c r="R75" s="2483"/>
      <c r="S75" s="2483"/>
      <c r="T75" s="2484"/>
      <c r="U75" s="2440" t="s">
        <v>2631</v>
      </c>
      <c r="V75" s="2441"/>
      <c r="W75" s="2442"/>
      <c r="X75" s="2467"/>
      <c r="Y75" s="2468"/>
      <c r="Z75" s="2468"/>
      <c r="AA75" s="2468"/>
      <c r="AB75" s="2468"/>
      <c r="AC75" s="2468"/>
      <c r="AD75" s="2468"/>
      <c r="AE75" s="2468"/>
      <c r="AF75" s="2469"/>
    </row>
    <row r="76" spans="1:32" x14ac:dyDescent="0.3">
      <c r="A76" s="2452"/>
      <c r="B76" s="2453"/>
      <c r="C76" s="2453"/>
      <c r="D76" s="2454"/>
      <c r="E76" s="2476" t="s">
        <v>2619</v>
      </c>
      <c r="F76" s="2477"/>
      <c r="G76" s="2477"/>
      <c r="H76" s="2477"/>
      <c r="I76" s="2477"/>
      <c r="J76" s="2477"/>
      <c r="K76" s="2477"/>
      <c r="L76" s="2477"/>
      <c r="M76" s="2477"/>
      <c r="N76" s="2477"/>
      <c r="O76" s="2477"/>
      <c r="P76" s="2478"/>
      <c r="Q76" s="2482">
        <v>22.692</v>
      </c>
      <c r="R76" s="2483"/>
      <c r="S76" s="2483"/>
      <c r="T76" s="2484"/>
      <c r="U76" s="2440" t="s">
        <v>2631</v>
      </c>
      <c r="V76" s="2441"/>
      <c r="W76" s="2442"/>
      <c r="X76" s="2467"/>
      <c r="Y76" s="2468"/>
      <c r="Z76" s="2468"/>
      <c r="AA76" s="2468"/>
      <c r="AB76" s="2468"/>
      <c r="AC76" s="2468"/>
      <c r="AD76" s="2468"/>
      <c r="AE76" s="2468"/>
      <c r="AF76" s="2469"/>
    </row>
    <row r="77" spans="1:32" x14ac:dyDescent="0.3">
      <c r="A77" s="2452"/>
      <c r="B77" s="2453"/>
      <c r="C77" s="2453"/>
      <c r="D77" s="2454"/>
      <c r="E77" s="2476" t="s">
        <v>2620</v>
      </c>
      <c r="F77" s="2477"/>
      <c r="G77" s="2477"/>
      <c r="H77" s="2477"/>
      <c r="I77" s="2477"/>
      <c r="J77" s="2477"/>
      <c r="K77" s="2477"/>
      <c r="L77" s="2477"/>
      <c r="M77" s="2477"/>
      <c r="N77" s="2477"/>
      <c r="O77" s="2477"/>
      <c r="P77" s="2478"/>
      <c r="Q77" s="2482">
        <v>22.692</v>
      </c>
      <c r="R77" s="2483"/>
      <c r="S77" s="2483"/>
      <c r="T77" s="2484"/>
      <c r="U77" s="2440" t="s">
        <v>2631</v>
      </c>
      <c r="V77" s="2441"/>
      <c r="W77" s="2442"/>
      <c r="X77" s="2467"/>
      <c r="Y77" s="2468"/>
      <c r="Z77" s="2468"/>
      <c r="AA77" s="2468"/>
      <c r="AB77" s="2468"/>
      <c r="AC77" s="2468"/>
      <c r="AD77" s="2468"/>
      <c r="AE77" s="2468"/>
      <c r="AF77" s="2469"/>
    </row>
    <row r="78" spans="1:32" x14ac:dyDescent="0.3">
      <c r="A78" s="2455"/>
      <c r="B78" s="2456"/>
      <c r="C78" s="2456"/>
      <c r="D78" s="2457"/>
      <c r="E78" s="2443" t="s">
        <v>2621</v>
      </c>
      <c r="F78" s="2444"/>
      <c r="G78" s="2444"/>
      <c r="H78" s="2444"/>
      <c r="I78" s="2444"/>
      <c r="J78" s="2444"/>
      <c r="K78" s="2444"/>
      <c r="L78" s="2444"/>
      <c r="M78" s="2444"/>
      <c r="N78" s="2444"/>
      <c r="O78" s="2444"/>
      <c r="P78" s="2445"/>
      <c r="Q78" s="2482">
        <v>23.509992862241255</v>
      </c>
      <c r="R78" s="2483"/>
      <c r="S78" s="2483"/>
      <c r="T78" s="2484"/>
      <c r="U78" s="2440" t="s">
        <v>2631</v>
      </c>
      <c r="V78" s="2441"/>
      <c r="W78" s="2442"/>
      <c r="X78" s="2470"/>
      <c r="Y78" s="2471"/>
      <c r="Z78" s="2471"/>
      <c r="AA78" s="2471"/>
      <c r="AB78" s="2471"/>
      <c r="AC78" s="2471"/>
      <c r="AD78" s="2471"/>
      <c r="AE78" s="2471"/>
      <c r="AF78" s="2472"/>
    </row>
    <row r="79" spans="1:32" ht="33.75" customHeight="1" x14ac:dyDescent="0.3">
      <c r="A79" s="2481" t="s">
        <v>2634</v>
      </c>
      <c r="B79" s="2450"/>
      <c r="C79" s="2450"/>
      <c r="D79" s="2450"/>
      <c r="E79" s="2458" t="s">
        <v>2635</v>
      </c>
      <c r="F79" s="2459"/>
      <c r="G79" s="2459"/>
      <c r="H79" s="2459"/>
      <c r="I79" s="2459"/>
      <c r="J79" s="2459"/>
      <c r="K79" s="2459"/>
      <c r="L79" s="2459"/>
      <c r="M79" s="2459"/>
      <c r="N79" s="2459"/>
      <c r="O79" s="2459"/>
      <c r="P79" s="2459"/>
      <c r="Q79" s="2461"/>
      <c r="R79" s="2462"/>
      <c r="S79" s="2462"/>
      <c r="T79" s="2463"/>
      <c r="U79" s="2465"/>
      <c r="V79" s="2465"/>
      <c r="W79" s="2466"/>
      <c r="X79" s="2459" t="s">
        <v>2678</v>
      </c>
      <c r="Y79" s="2459"/>
      <c r="Z79" s="2459"/>
      <c r="AA79" s="2459"/>
      <c r="AB79" s="2459"/>
      <c r="AC79" s="2459"/>
      <c r="AD79" s="2459"/>
      <c r="AE79" s="2459"/>
      <c r="AF79" s="2460"/>
    </row>
    <row r="80" spans="1:32" x14ac:dyDescent="0.3">
      <c r="A80" s="2452"/>
      <c r="B80" s="2453"/>
      <c r="C80" s="2453"/>
      <c r="D80" s="2453"/>
      <c r="E80" s="2473" t="s">
        <v>2617</v>
      </c>
      <c r="F80" s="2474"/>
      <c r="G80" s="2474"/>
      <c r="H80" s="2474"/>
      <c r="I80" s="2474"/>
      <c r="J80" s="2474"/>
      <c r="K80" s="2474"/>
      <c r="L80" s="2474"/>
      <c r="M80" s="2474"/>
      <c r="N80" s="2474"/>
      <c r="O80" s="2474"/>
      <c r="P80" s="2474"/>
      <c r="Q80" s="2476"/>
      <c r="R80" s="2477"/>
      <c r="S80" s="2477"/>
      <c r="T80" s="2478"/>
      <c r="U80" s="2441"/>
      <c r="V80" s="2441"/>
      <c r="W80" s="2442"/>
      <c r="X80" s="2468"/>
      <c r="Y80" s="2468"/>
      <c r="Z80" s="2468"/>
      <c r="AA80" s="2468"/>
      <c r="AB80" s="2468"/>
      <c r="AC80" s="2468"/>
      <c r="AD80" s="2468"/>
      <c r="AE80" s="2468"/>
      <c r="AF80" s="2469"/>
    </row>
    <row r="81" spans="1:32" x14ac:dyDescent="0.3">
      <c r="A81" s="2452"/>
      <c r="B81" s="2453"/>
      <c r="C81" s="2453"/>
      <c r="D81" s="2453"/>
      <c r="E81" s="2476" t="s">
        <v>2618</v>
      </c>
      <c r="F81" s="2477"/>
      <c r="G81" s="2477"/>
      <c r="H81" s="2477"/>
      <c r="I81" s="2477"/>
      <c r="J81" s="2477"/>
      <c r="K81" s="2477"/>
      <c r="L81" s="2477"/>
      <c r="M81" s="2477"/>
      <c r="N81" s="2477"/>
      <c r="O81" s="2477"/>
      <c r="P81" s="2477"/>
      <c r="Q81" s="2446">
        <f>Q64/24</f>
        <v>0.73487578228712325</v>
      </c>
      <c r="R81" s="2447"/>
      <c r="S81" s="2447"/>
      <c r="T81" s="2448"/>
      <c r="U81" s="2440"/>
      <c r="V81" s="2441"/>
      <c r="W81" s="2442"/>
      <c r="X81" s="2468"/>
      <c r="Y81" s="2468"/>
      <c r="Z81" s="2468"/>
      <c r="AA81" s="2468"/>
      <c r="AB81" s="2468"/>
      <c r="AC81" s="2468"/>
      <c r="AD81" s="2468"/>
      <c r="AE81" s="2468"/>
      <c r="AF81" s="2469"/>
    </row>
    <row r="82" spans="1:32" x14ac:dyDescent="0.3">
      <c r="A82" s="2452"/>
      <c r="B82" s="2453"/>
      <c r="C82" s="2453"/>
      <c r="D82" s="2453"/>
      <c r="E82" s="2476" t="s">
        <v>2619</v>
      </c>
      <c r="F82" s="2477"/>
      <c r="G82" s="2477"/>
      <c r="H82" s="2477"/>
      <c r="I82" s="2477"/>
      <c r="J82" s="2477"/>
      <c r="K82" s="2477"/>
      <c r="L82" s="2477"/>
      <c r="M82" s="2477"/>
      <c r="N82" s="2477"/>
      <c r="O82" s="2477"/>
      <c r="P82" s="2477"/>
      <c r="Q82" s="2446">
        <f t="shared" ref="Q82:Q84" si="0">Q65/24</f>
        <v>0.71740780573354035</v>
      </c>
      <c r="R82" s="2447"/>
      <c r="S82" s="2447"/>
      <c r="T82" s="2448"/>
      <c r="U82" s="2440"/>
      <c r="V82" s="2441"/>
      <c r="W82" s="2442"/>
      <c r="X82" s="2468"/>
      <c r="Y82" s="2468"/>
      <c r="Z82" s="2468"/>
      <c r="AA82" s="2468"/>
      <c r="AB82" s="2468"/>
      <c r="AC82" s="2468"/>
      <c r="AD82" s="2468"/>
      <c r="AE82" s="2468"/>
      <c r="AF82" s="2469"/>
    </row>
    <row r="83" spans="1:32" x14ac:dyDescent="0.3">
      <c r="A83" s="2452"/>
      <c r="B83" s="2453"/>
      <c r="C83" s="2453"/>
      <c r="D83" s="2453"/>
      <c r="E83" s="2476" t="s">
        <v>2620</v>
      </c>
      <c r="F83" s="2477"/>
      <c r="G83" s="2477"/>
      <c r="H83" s="2477"/>
      <c r="I83" s="2477"/>
      <c r="J83" s="2477"/>
      <c r="K83" s="2477"/>
      <c r="L83" s="2477"/>
      <c r="M83" s="2477"/>
      <c r="N83" s="2477"/>
      <c r="O83" s="2477"/>
      <c r="P83" s="2477"/>
      <c r="Q83" s="2446">
        <f>Q66/24</f>
        <v>0.74327286677262017</v>
      </c>
      <c r="R83" s="2447"/>
      <c r="S83" s="2447"/>
      <c r="T83" s="2448"/>
      <c r="U83" s="2440"/>
      <c r="V83" s="2441"/>
      <c r="W83" s="2442"/>
      <c r="X83" s="2468"/>
      <c r="Y83" s="2468"/>
      <c r="Z83" s="2468"/>
      <c r="AA83" s="2468"/>
      <c r="AB83" s="2468"/>
      <c r="AC83" s="2468"/>
      <c r="AD83" s="2468"/>
      <c r="AE83" s="2468"/>
      <c r="AF83" s="2469"/>
    </row>
    <row r="84" spans="1:32" x14ac:dyDescent="0.3">
      <c r="A84" s="2452"/>
      <c r="B84" s="2453"/>
      <c r="C84" s="2453"/>
      <c r="D84" s="2453"/>
      <c r="E84" s="2476" t="s">
        <v>2621</v>
      </c>
      <c r="F84" s="2477"/>
      <c r="G84" s="2477"/>
      <c r="H84" s="2477"/>
      <c r="I84" s="2477"/>
      <c r="J84" s="2477"/>
      <c r="K84" s="2477"/>
      <c r="L84" s="2477"/>
      <c r="M84" s="2477"/>
      <c r="N84" s="2477"/>
      <c r="O84" s="2477"/>
      <c r="P84" s="2477"/>
      <c r="Q84" s="2446">
        <f t="shared" si="0"/>
        <v>0.78659188034188043</v>
      </c>
      <c r="R84" s="2447"/>
      <c r="S84" s="2447"/>
      <c r="T84" s="2448"/>
      <c r="U84" s="2440"/>
      <c r="V84" s="2441"/>
      <c r="W84" s="2442"/>
      <c r="X84" s="2468"/>
      <c r="Y84" s="2468"/>
      <c r="Z84" s="2468"/>
      <c r="AA84" s="2468"/>
      <c r="AB84" s="2468"/>
      <c r="AC84" s="2468"/>
      <c r="AD84" s="2468"/>
      <c r="AE84" s="2468"/>
      <c r="AF84" s="2469"/>
    </row>
    <row r="85" spans="1:32" x14ac:dyDescent="0.3">
      <c r="A85" s="2452"/>
      <c r="B85" s="2453"/>
      <c r="C85" s="2453"/>
      <c r="D85" s="2453"/>
      <c r="E85" s="2473" t="s">
        <v>2622</v>
      </c>
      <c r="F85" s="2474"/>
      <c r="G85" s="2474"/>
      <c r="H85" s="2474"/>
      <c r="I85" s="2474"/>
      <c r="J85" s="2474"/>
      <c r="K85" s="2474"/>
      <c r="L85" s="2474"/>
      <c r="M85" s="2474"/>
      <c r="N85" s="2474"/>
      <c r="O85" s="2474"/>
      <c r="P85" s="2474"/>
      <c r="Q85" s="2446"/>
      <c r="R85" s="2447"/>
      <c r="S85" s="2447"/>
      <c r="T85" s="2448"/>
      <c r="U85" s="2441"/>
      <c r="V85" s="2441"/>
      <c r="W85" s="2442"/>
      <c r="X85" s="2468"/>
      <c r="Y85" s="2468"/>
      <c r="Z85" s="2468"/>
      <c r="AA85" s="2468"/>
      <c r="AB85" s="2468"/>
      <c r="AC85" s="2468"/>
      <c r="AD85" s="2468"/>
      <c r="AE85" s="2468"/>
      <c r="AF85" s="2469"/>
    </row>
    <row r="86" spans="1:32" x14ac:dyDescent="0.3">
      <c r="A86" s="2452"/>
      <c r="B86" s="2453"/>
      <c r="C86" s="2453"/>
      <c r="D86" s="2453"/>
      <c r="E86" s="2476" t="s">
        <v>2618</v>
      </c>
      <c r="F86" s="2477"/>
      <c r="G86" s="2477"/>
      <c r="H86" s="2477"/>
      <c r="I86" s="2477"/>
      <c r="J86" s="2477"/>
      <c r="K86" s="2477"/>
      <c r="L86" s="2477"/>
      <c r="M86" s="2477"/>
      <c r="N86" s="2477"/>
      <c r="O86" s="2477"/>
      <c r="P86" s="2477"/>
      <c r="Q86" s="2446">
        <f>Q69/24</f>
        <v>1</v>
      </c>
      <c r="R86" s="2447"/>
      <c r="S86" s="2447"/>
      <c r="T86" s="2448"/>
      <c r="U86" s="2440"/>
      <c r="V86" s="2441"/>
      <c r="W86" s="2442"/>
      <c r="X86" s="2468"/>
      <c r="Y86" s="2468"/>
      <c r="Z86" s="2468"/>
      <c r="AA86" s="2468"/>
      <c r="AB86" s="2468"/>
      <c r="AC86" s="2468"/>
      <c r="AD86" s="2468"/>
      <c r="AE86" s="2468"/>
      <c r="AF86" s="2469"/>
    </row>
    <row r="87" spans="1:32" x14ac:dyDescent="0.3">
      <c r="A87" s="2452"/>
      <c r="B87" s="2453"/>
      <c r="C87" s="2453"/>
      <c r="D87" s="2453"/>
      <c r="E87" s="2476" t="s">
        <v>2619</v>
      </c>
      <c r="F87" s="2477"/>
      <c r="G87" s="2477"/>
      <c r="H87" s="2477"/>
      <c r="I87" s="2477"/>
      <c r="J87" s="2477"/>
      <c r="K87" s="2477"/>
      <c r="L87" s="2477"/>
      <c r="M87" s="2477"/>
      <c r="N87" s="2477"/>
      <c r="O87" s="2477"/>
      <c r="P87" s="2477"/>
      <c r="Q87" s="2446">
        <f t="shared" ref="Q87:Q89" si="1">Q70/24</f>
        <v>1</v>
      </c>
      <c r="R87" s="2447"/>
      <c r="S87" s="2447"/>
      <c r="T87" s="2448"/>
      <c r="U87" s="2440"/>
      <c r="V87" s="2441"/>
      <c r="W87" s="2442"/>
      <c r="X87" s="2468"/>
      <c r="Y87" s="2468"/>
      <c r="Z87" s="2468"/>
      <c r="AA87" s="2468"/>
      <c r="AB87" s="2468"/>
      <c r="AC87" s="2468"/>
      <c r="AD87" s="2468"/>
      <c r="AE87" s="2468"/>
      <c r="AF87" s="2469"/>
    </row>
    <row r="88" spans="1:32" x14ac:dyDescent="0.3">
      <c r="A88" s="2452"/>
      <c r="B88" s="2453"/>
      <c r="C88" s="2453"/>
      <c r="D88" s="2453"/>
      <c r="E88" s="2476" t="s">
        <v>2620</v>
      </c>
      <c r="F88" s="2477"/>
      <c r="G88" s="2477"/>
      <c r="H88" s="2477"/>
      <c r="I88" s="2477"/>
      <c r="J88" s="2477"/>
      <c r="K88" s="2477"/>
      <c r="L88" s="2477"/>
      <c r="M88" s="2477"/>
      <c r="N88" s="2477"/>
      <c r="O88" s="2477"/>
      <c r="P88" s="2477"/>
      <c r="Q88" s="2446">
        <f t="shared" si="1"/>
        <v>1</v>
      </c>
      <c r="R88" s="2447"/>
      <c r="S88" s="2447"/>
      <c r="T88" s="2448"/>
      <c r="U88" s="2440"/>
      <c r="V88" s="2441"/>
      <c r="W88" s="2442"/>
      <c r="X88" s="2468"/>
      <c r="Y88" s="2468"/>
      <c r="Z88" s="2468"/>
      <c r="AA88" s="2468"/>
      <c r="AB88" s="2468"/>
      <c r="AC88" s="2468"/>
      <c r="AD88" s="2468"/>
      <c r="AE88" s="2468"/>
      <c r="AF88" s="2469"/>
    </row>
    <row r="89" spans="1:32" x14ac:dyDescent="0.3">
      <c r="A89" s="2455"/>
      <c r="B89" s="2456"/>
      <c r="C89" s="2456"/>
      <c r="D89" s="2456"/>
      <c r="E89" s="2443" t="s">
        <v>2621</v>
      </c>
      <c r="F89" s="2444"/>
      <c r="G89" s="2444"/>
      <c r="H89" s="2444"/>
      <c r="I89" s="2444"/>
      <c r="J89" s="2444"/>
      <c r="K89" s="2444"/>
      <c r="L89" s="2444"/>
      <c r="M89" s="2444"/>
      <c r="N89" s="2444"/>
      <c r="O89" s="2444"/>
      <c r="P89" s="2444"/>
      <c r="Q89" s="2446">
        <f t="shared" si="1"/>
        <v>1</v>
      </c>
      <c r="R89" s="2447"/>
      <c r="S89" s="2447"/>
      <c r="T89" s="2448"/>
      <c r="U89" s="2440"/>
      <c r="V89" s="2441"/>
      <c r="W89" s="2442"/>
      <c r="X89" s="2471"/>
      <c r="Y89" s="2471"/>
      <c r="Z89" s="2471"/>
      <c r="AA89" s="2471"/>
      <c r="AB89" s="2471"/>
      <c r="AC89" s="2471"/>
      <c r="AD89" s="2471"/>
      <c r="AE89" s="2471"/>
      <c r="AF89" s="2472"/>
    </row>
    <row r="90" spans="1:32" ht="31.5" customHeight="1" x14ac:dyDescent="0.3">
      <c r="A90" s="2449" t="s">
        <v>2636</v>
      </c>
      <c r="B90" s="2450"/>
      <c r="C90" s="2450"/>
      <c r="D90" s="2451"/>
      <c r="E90" s="2458" t="s">
        <v>2637</v>
      </c>
      <c r="F90" s="2459"/>
      <c r="G90" s="2459"/>
      <c r="H90" s="2459"/>
      <c r="I90" s="2459"/>
      <c r="J90" s="2459"/>
      <c r="K90" s="2459"/>
      <c r="L90" s="2459"/>
      <c r="M90" s="2459"/>
      <c r="N90" s="2459"/>
      <c r="O90" s="2459"/>
      <c r="P90" s="2460"/>
      <c r="Q90" s="2461"/>
      <c r="R90" s="2462"/>
      <c r="S90" s="2462"/>
      <c r="T90" s="2463"/>
      <c r="U90" s="2464"/>
      <c r="V90" s="2465"/>
      <c r="W90" s="2466"/>
      <c r="X90" s="2458" t="s">
        <v>2678</v>
      </c>
      <c r="Y90" s="2459"/>
      <c r="Z90" s="2459"/>
      <c r="AA90" s="2459"/>
      <c r="AB90" s="2459"/>
      <c r="AC90" s="2459"/>
      <c r="AD90" s="2459"/>
      <c r="AE90" s="2459"/>
      <c r="AF90" s="2460"/>
    </row>
    <row r="91" spans="1:32" x14ac:dyDescent="0.3">
      <c r="A91" s="2452"/>
      <c r="B91" s="2453"/>
      <c r="C91" s="2453"/>
      <c r="D91" s="2454"/>
      <c r="E91" s="2473" t="s">
        <v>2625</v>
      </c>
      <c r="F91" s="2474"/>
      <c r="G91" s="2474"/>
      <c r="H91" s="2474"/>
      <c r="I91" s="2474"/>
      <c r="J91" s="2474"/>
      <c r="K91" s="2474"/>
      <c r="L91" s="2474"/>
      <c r="M91" s="2474"/>
      <c r="N91" s="2474"/>
      <c r="O91" s="2474"/>
      <c r="P91" s="2475"/>
      <c r="Q91" s="2476"/>
      <c r="R91" s="2477"/>
      <c r="S91" s="2477"/>
      <c r="T91" s="2478"/>
      <c r="U91" s="2440"/>
      <c r="V91" s="2441"/>
      <c r="W91" s="2442"/>
      <c r="X91" s="2467"/>
      <c r="Y91" s="2468"/>
      <c r="Z91" s="2468"/>
      <c r="AA91" s="2468"/>
      <c r="AB91" s="2468"/>
      <c r="AC91" s="2468"/>
      <c r="AD91" s="2468"/>
      <c r="AE91" s="2468"/>
      <c r="AF91" s="2469"/>
    </row>
    <row r="92" spans="1:32" x14ac:dyDescent="0.3">
      <c r="A92" s="2452"/>
      <c r="B92" s="2453"/>
      <c r="C92" s="2453"/>
      <c r="D92" s="2454"/>
      <c r="E92" s="2476" t="s">
        <v>2618</v>
      </c>
      <c r="F92" s="2477"/>
      <c r="G92" s="2477"/>
      <c r="H92" s="2477"/>
      <c r="I92" s="2477"/>
      <c r="J92" s="2477"/>
      <c r="K92" s="2477"/>
      <c r="L92" s="2477"/>
      <c r="M92" s="2477"/>
      <c r="N92" s="2477"/>
      <c r="O92" s="2477"/>
      <c r="P92" s="2478"/>
      <c r="Q92" s="2446">
        <f>Q75/24</f>
        <v>0.94550000000000001</v>
      </c>
      <c r="R92" s="2447"/>
      <c r="S92" s="2447"/>
      <c r="T92" s="2448"/>
      <c r="U92" s="2440"/>
      <c r="V92" s="2441"/>
      <c r="W92" s="2442"/>
      <c r="X92" s="2467"/>
      <c r="Y92" s="2468"/>
      <c r="Z92" s="2468"/>
      <c r="AA92" s="2468"/>
      <c r="AB92" s="2468"/>
      <c r="AC92" s="2468"/>
      <c r="AD92" s="2468"/>
      <c r="AE92" s="2468"/>
      <c r="AF92" s="2469"/>
    </row>
    <row r="93" spans="1:32" x14ac:dyDescent="0.3">
      <c r="A93" s="2452"/>
      <c r="B93" s="2453"/>
      <c r="C93" s="2453"/>
      <c r="D93" s="2454"/>
      <c r="E93" s="2476" t="s">
        <v>2619</v>
      </c>
      <c r="F93" s="2477"/>
      <c r="G93" s="2477"/>
      <c r="H93" s="2477"/>
      <c r="I93" s="2477"/>
      <c r="J93" s="2477"/>
      <c r="K93" s="2477"/>
      <c r="L93" s="2477"/>
      <c r="M93" s="2477"/>
      <c r="N93" s="2477"/>
      <c r="O93" s="2477"/>
      <c r="P93" s="2478"/>
      <c r="Q93" s="2446">
        <f t="shared" ref="Q93:Q95" si="2">Q76/24</f>
        <v>0.94550000000000001</v>
      </c>
      <c r="R93" s="2447"/>
      <c r="S93" s="2447"/>
      <c r="T93" s="2448"/>
      <c r="U93" s="2440"/>
      <c r="V93" s="2441"/>
      <c r="W93" s="2442"/>
      <c r="X93" s="2467"/>
      <c r="Y93" s="2468"/>
      <c r="Z93" s="2468"/>
      <c r="AA93" s="2468"/>
      <c r="AB93" s="2468"/>
      <c r="AC93" s="2468"/>
      <c r="AD93" s="2468"/>
      <c r="AE93" s="2468"/>
      <c r="AF93" s="2469"/>
    </row>
    <row r="94" spans="1:32" x14ac:dyDescent="0.3">
      <c r="A94" s="2452"/>
      <c r="B94" s="2453"/>
      <c r="C94" s="2453"/>
      <c r="D94" s="2454"/>
      <c r="E94" s="2476" t="s">
        <v>2620</v>
      </c>
      <c r="F94" s="2477"/>
      <c r="G94" s="2477"/>
      <c r="H94" s="2477"/>
      <c r="I94" s="2477"/>
      <c r="J94" s="2477"/>
      <c r="K94" s="2477"/>
      <c r="L94" s="2477"/>
      <c r="M94" s="2477"/>
      <c r="N94" s="2477"/>
      <c r="O94" s="2477"/>
      <c r="P94" s="2478"/>
      <c r="Q94" s="2446">
        <f>Q77/24</f>
        <v>0.94550000000000001</v>
      </c>
      <c r="R94" s="2447"/>
      <c r="S94" s="2447"/>
      <c r="T94" s="2448"/>
      <c r="U94" s="2440"/>
      <c r="V94" s="2441"/>
      <c r="W94" s="2442"/>
      <c r="X94" s="2467"/>
      <c r="Y94" s="2468"/>
      <c r="Z94" s="2468"/>
      <c r="AA94" s="2468"/>
      <c r="AB94" s="2468"/>
      <c r="AC94" s="2468"/>
      <c r="AD94" s="2468"/>
      <c r="AE94" s="2468"/>
      <c r="AF94" s="2469"/>
    </row>
    <row r="95" spans="1:32" x14ac:dyDescent="0.3">
      <c r="A95" s="2455"/>
      <c r="B95" s="2456"/>
      <c r="C95" s="2456"/>
      <c r="D95" s="2457"/>
      <c r="E95" s="2443" t="s">
        <v>2621</v>
      </c>
      <c r="F95" s="2444"/>
      <c r="G95" s="2444"/>
      <c r="H95" s="2444"/>
      <c r="I95" s="2444"/>
      <c r="J95" s="2444"/>
      <c r="K95" s="2444"/>
      <c r="L95" s="2444"/>
      <c r="M95" s="2444"/>
      <c r="N95" s="2444"/>
      <c r="O95" s="2444"/>
      <c r="P95" s="2445"/>
      <c r="Q95" s="2446">
        <f t="shared" si="2"/>
        <v>0.97958303592671891</v>
      </c>
      <c r="R95" s="2447"/>
      <c r="S95" s="2447"/>
      <c r="T95" s="2448"/>
      <c r="U95" s="2440"/>
      <c r="V95" s="2441"/>
      <c r="W95" s="2442"/>
      <c r="X95" s="2470"/>
      <c r="Y95" s="2471"/>
      <c r="Z95" s="2471"/>
      <c r="AA95" s="2471"/>
      <c r="AB95" s="2471"/>
      <c r="AC95" s="2471"/>
      <c r="AD95" s="2471"/>
      <c r="AE95" s="2471"/>
      <c r="AF95" s="2472"/>
    </row>
    <row r="96" spans="1:32" x14ac:dyDescent="0.3">
      <c r="A96" s="1050" t="s">
        <v>2562</v>
      </c>
      <c r="B96" s="1051"/>
      <c r="C96" s="1051"/>
      <c r="D96" s="1052"/>
      <c r="E96" s="1148" t="s">
        <v>2050</v>
      </c>
      <c r="F96" s="1149"/>
      <c r="G96" s="1149"/>
      <c r="H96" s="1149"/>
      <c r="I96" s="1149"/>
      <c r="J96" s="1149"/>
      <c r="K96" s="1149"/>
      <c r="L96" s="1149"/>
      <c r="M96" s="1149"/>
      <c r="N96" s="1149"/>
      <c r="O96" s="1149"/>
      <c r="P96" s="1150"/>
      <c r="Q96" s="1151">
        <f>'Master EUL'!X85</f>
        <v>10</v>
      </c>
      <c r="R96" s="1152"/>
      <c r="S96" s="1152"/>
      <c r="T96" s="1153"/>
      <c r="U96" s="1243" t="s">
        <v>38</v>
      </c>
      <c r="V96" s="1244"/>
      <c r="W96" s="1245"/>
      <c r="X96" s="1154" t="s">
        <v>1518</v>
      </c>
      <c r="Y96" s="1155"/>
      <c r="Z96" s="1155"/>
      <c r="AA96" s="1155"/>
      <c r="AB96" s="1155"/>
      <c r="AC96" s="1155"/>
      <c r="AD96" s="1155"/>
      <c r="AE96" s="1155"/>
      <c r="AF96" s="1156"/>
    </row>
    <row r="97" spans="1:32" x14ac:dyDescent="0.3">
      <c r="A97" s="35"/>
    </row>
    <row r="98" spans="1:32" x14ac:dyDescent="0.3">
      <c r="A98" s="35"/>
    </row>
    <row r="99" spans="1:32" x14ac:dyDescent="0.3">
      <c r="A99" s="1141" t="s">
        <v>14</v>
      </c>
      <c r="B99" s="1141"/>
      <c r="C99" s="1141"/>
      <c r="D99" s="1141"/>
      <c r="E99" s="1141"/>
      <c r="F99" s="1141"/>
      <c r="G99" s="1141"/>
      <c r="H99" s="1141"/>
      <c r="I99" s="1141"/>
      <c r="J99" s="1141"/>
      <c r="K99" s="1141"/>
      <c r="L99" s="1141"/>
      <c r="M99" s="1141"/>
      <c r="N99" s="1141"/>
      <c r="O99" s="1141"/>
      <c r="P99" s="1141"/>
      <c r="Q99" s="1141"/>
      <c r="R99" s="1141"/>
      <c r="S99" s="1141"/>
      <c r="T99" s="1141"/>
      <c r="U99" s="1141"/>
      <c r="V99" s="1141"/>
      <c r="W99" s="1141"/>
      <c r="X99" s="1141"/>
      <c r="Y99" s="1141"/>
      <c r="Z99" s="1141"/>
      <c r="AA99" s="1141"/>
      <c r="AB99" s="1141"/>
      <c r="AC99" s="1141"/>
      <c r="AD99" s="1141"/>
      <c r="AE99" s="1141"/>
      <c r="AF99" s="1141"/>
    </row>
    <row r="100" spans="1:32" ht="15" thickBot="1" x14ac:dyDescent="0.35"/>
    <row r="101" spans="1:32" x14ac:dyDescent="0.3">
      <c r="A101" s="1252" t="s">
        <v>15</v>
      </c>
      <c r="B101" s="1253"/>
      <c r="C101" s="1253"/>
      <c r="D101" s="1253"/>
      <c r="E101" s="1253"/>
      <c r="F101" s="1253"/>
      <c r="G101" s="1253"/>
      <c r="H101" s="1253"/>
      <c r="I101" s="2173" t="s">
        <v>2780</v>
      </c>
      <c r="J101" s="1638"/>
      <c r="K101" s="1638"/>
      <c r="L101" s="1638"/>
      <c r="M101" s="1638"/>
      <c r="N101" s="1638"/>
      <c r="O101" s="1638"/>
      <c r="P101" s="1639"/>
      <c r="Q101" s="2173" t="s">
        <v>2781</v>
      </c>
      <c r="R101" s="1638"/>
      <c r="S101" s="1638"/>
      <c r="T101" s="1638"/>
      <c r="U101" s="1638"/>
      <c r="V101" s="1638"/>
      <c r="W101" s="1638"/>
      <c r="X101" s="1639"/>
      <c r="Y101" s="2173" t="s">
        <v>1554</v>
      </c>
      <c r="Z101" s="2174"/>
      <c r="AA101" s="2174"/>
      <c r="AB101" s="2174"/>
      <c r="AC101" s="2174"/>
      <c r="AD101" s="2174"/>
      <c r="AE101" s="2174"/>
      <c r="AF101" s="2175"/>
    </row>
    <row r="102" spans="1:32" x14ac:dyDescent="0.3">
      <c r="A102" s="2479" t="s">
        <v>2649</v>
      </c>
      <c r="B102" s="2480"/>
      <c r="C102" s="2480"/>
      <c r="D102" s="2480"/>
      <c r="E102" s="2480"/>
      <c r="F102" s="2480"/>
      <c r="G102" s="2480"/>
      <c r="H102" s="2480"/>
      <c r="I102" s="1016"/>
      <c r="J102" s="1017"/>
      <c r="K102" s="1017"/>
      <c r="L102" s="1017"/>
      <c r="M102" s="1017"/>
      <c r="N102" s="1017"/>
      <c r="O102" s="1017"/>
      <c r="P102" s="1018"/>
      <c r="Q102" s="1016"/>
      <c r="R102" s="1017"/>
      <c r="S102" s="1017"/>
      <c r="T102" s="1017"/>
      <c r="U102" s="1017"/>
      <c r="V102" s="1017"/>
      <c r="W102" s="1017"/>
      <c r="X102" s="1018"/>
      <c r="Y102" s="2176"/>
      <c r="Z102" s="2177"/>
      <c r="AA102" s="2177"/>
      <c r="AB102" s="2177"/>
      <c r="AC102" s="2177"/>
      <c r="AD102" s="2177"/>
      <c r="AE102" s="2177"/>
      <c r="AF102" s="2178"/>
    </row>
    <row r="103" spans="1:32" ht="48.9" customHeight="1" x14ac:dyDescent="0.3">
      <c r="A103" s="2366" t="s">
        <v>2638</v>
      </c>
      <c r="B103" s="1585"/>
      <c r="C103" s="1585"/>
      <c r="D103" s="1585"/>
      <c r="E103" s="1585"/>
      <c r="F103" s="1585"/>
      <c r="G103" s="1585"/>
      <c r="H103" s="1585"/>
      <c r="I103" s="1648">
        <f>ROUND((Q46*Q81/Q64)-(Q57*Q92/Q75),3)</f>
        <v>0.44700000000000001</v>
      </c>
      <c r="J103" s="1649"/>
      <c r="K103" s="1649"/>
      <c r="L103" s="1649"/>
      <c r="M103" s="1649"/>
      <c r="N103" s="1649"/>
      <c r="O103" s="1649"/>
      <c r="P103" s="1650"/>
      <c r="Q103" s="1655">
        <f>ROUND((Q46-Q57)*$Q$61,2)</f>
        <v>3912.62</v>
      </c>
      <c r="R103" s="1656"/>
      <c r="S103" s="1656"/>
      <c r="T103" s="1656"/>
      <c r="U103" s="1656"/>
      <c r="V103" s="1656"/>
      <c r="W103" s="1656"/>
      <c r="X103" s="1657"/>
      <c r="Y103" s="2437">
        <f>ROUND(Q103*$Q$96,2)</f>
        <v>39126.199999999997</v>
      </c>
      <c r="Z103" s="2438"/>
      <c r="AA103" s="2438"/>
      <c r="AB103" s="2438"/>
      <c r="AC103" s="2438"/>
      <c r="AD103" s="2438"/>
      <c r="AE103" s="2438"/>
      <c r="AF103" s="2439"/>
    </row>
    <row r="104" spans="1:32" ht="48.9" customHeight="1" x14ac:dyDescent="0.3">
      <c r="A104" s="2435" t="s">
        <v>2639</v>
      </c>
      <c r="B104" s="2436"/>
      <c r="C104" s="2436"/>
      <c r="D104" s="2436"/>
      <c r="E104" s="2436"/>
      <c r="F104" s="2436"/>
      <c r="G104" s="2436"/>
      <c r="H104" s="2436"/>
      <c r="I104" s="1648">
        <f>ROUND((Q47*Q82/Q65)-(Q58*Q93/Q76),3)</f>
        <v>0.63900000000000001</v>
      </c>
      <c r="J104" s="1649"/>
      <c r="K104" s="1649"/>
      <c r="L104" s="1649"/>
      <c r="M104" s="1649"/>
      <c r="N104" s="1649"/>
      <c r="O104" s="1649"/>
      <c r="P104" s="1650"/>
      <c r="Q104" s="1655">
        <f>ROUND((Q47-Q58)*$Q$61,2)</f>
        <v>5600.45</v>
      </c>
      <c r="R104" s="1656"/>
      <c r="S104" s="1656"/>
      <c r="T104" s="1656"/>
      <c r="U104" s="1656"/>
      <c r="V104" s="1656"/>
      <c r="W104" s="1656"/>
      <c r="X104" s="1657"/>
      <c r="Y104" s="2437">
        <f t="shared" ref="Y104:Y110" si="3">ROUND(Q104*$Q$96,2)</f>
        <v>56004.5</v>
      </c>
      <c r="Z104" s="2438"/>
      <c r="AA104" s="2438"/>
      <c r="AB104" s="2438"/>
      <c r="AC104" s="2438"/>
      <c r="AD104" s="2438"/>
      <c r="AE104" s="2438"/>
      <c r="AF104" s="2439"/>
    </row>
    <row r="105" spans="1:32" ht="48.9" customHeight="1" x14ac:dyDescent="0.3">
      <c r="A105" s="2435" t="s">
        <v>2640</v>
      </c>
      <c r="B105" s="2436"/>
      <c r="C105" s="2436"/>
      <c r="D105" s="2436"/>
      <c r="E105" s="2436"/>
      <c r="F105" s="2436"/>
      <c r="G105" s="2436"/>
      <c r="H105" s="2436"/>
      <c r="I105" s="1648">
        <f>ROUND((Q48*Q83/Q66)-(Q59*Q94/Q77),3)</f>
        <v>0.92100000000000004</v>
      </c>
      <c r="J105" s="1649"/>
      <c r="K105" s="1649"/>
      <c r="L105" s="1649"/>
      <c r="M105" s="1649"/>
      <c r="N105" s="1649"/>
      <c r="O105" s="1649"/>
      <c r="P105" s="1650"/>
      <c r="Q105" s="1655">
        <f>ROUND((Q48-Q59)*$Q$61,2)</f>
        <v>8067.84</v>
      </c>
      <c r="R105" s="1656"/>
      <c r="S105" s="1656"/>
      <c r="T105" s="1656"/>
      <c r="U105" s="1656"/>
      <c r="V105" s="1656"/>
      <c r="W105" s="1656"/>
      <c r="X105" s="1657"/>
      <c r="Y105" s="2437">
        <f t="shared" si="3"/>
        <v>80678.399999999994</v>
      </c>
      <c r="Z105" s="2438"/>
      <c r="AA105" s="2438"/>
      <c r="AB105" s="2438"/>
      <c r="AC105" s="2438"/>
      <c r="AD105" s="2438"/>
      <c r="AE105" s="2438"/>
      <c r="AF105" s="2439"/>
    </row>
    <row r="106" spans="1:32" ht="48.9" customHeight="1" x14ac:dyDescent="0.3">
      <c r="A106" s="2435" t="s">
        <v>2641</v>
      </c>
      <c r="B106" s="2436"/>
      <c r="C106" s="2436"/>
      <c r="D106" s="2436"/>
      <c r="E106" s="2436"/>
      <c r="F106" s="2436"/>
      <c r="G106" s="2436"/>
      <c r="H106" s="2436"/>
      <c r="I106" s="1648">
        <f>ROUND((Q49*Q84/Q67)-(Q60*Q95/Q78),3)</f>
        <v>1.032</v>
      </c>
      <c r="J106" s="1649"/>
      <c r="K106" s="1649"/>
      <c r="L106" s="1649"/>
      <c r="M106" s="1649"/>
      <c r="N106" s="1649"/>
      <c r="O106" s="1649"/>
      <c r="P106" s="1650"/>
      <c r="Q106" s="1655">
        <f>ROUND((Q49-Q60)*$Q$61,2)</f>
        <v>9041.89</v>
      </c>
      <c r="R106" s="1656"/>
      <c r="S106" s="1656"/>
      <c r="T106" s="1656"/>
      <c r="U106" s="1656"/>
      <c r="V106" s="1656"/>
      <c r="W106" s="1656"/>
      <c r="X106" s="1657"/>
      <c r="Y106" s="2437">
        <f t="shared" si="3"/>
        <v>90418.9</v>
      </c>
      <c r="Z106" s="2438"/>
      <c r="AA106" s="2438"/>
      <c r="AB106" s="2438"/>
      <c r="AC106" s="2438"/>
      <c r="AD106" s="2438"/>
      <c r="AE106" s="2438"/>
      <c r="AF106" s="2439"/>
    </row>
    <row r="107" spans="1:32" ht="48.9" customHeight="1" x14ac:dyDescent="0.3">
      <c r="A107" s="2435" t="s">
        <v>2642</v>
      </c>
      <c r="B107" s="2436"/>
      <c r="C107" s="2436"/>
      <c r="D107" s="2436"/>
      <c r="E107" s="2436"/>
      <c r="F107" s="2436"/>
      <c r="G107" s="2436"/>
      <c r="H107" s="2436"/>
      <c r="I107" s="1648">
        <f>ROUND((Q51*Q86/Q69)-(Q57*Q92/Q75),3)</f>
        <v>0.40600000000000003</v>
      </c>
      <c r="J107" s="1649"/>
      <c r="K107" s="1649"/>
      <c r="L107" s="1649"/>
      <c r="M107" s="1649"/>
      <c r="N107" s="1649"/>
      <c r="O107" s="1649"/>
      <c r="P107" s="1650"/>
      <c r="Q107" s="1655">
        <f>ROUND((Q51-Q57)*$Q$61,2)</f>
        <v>3555.14</v>
      </c>
      <c r="R107" s="1656"/>
      <c r="S107" s="1656"/>
      <c r="T107" s="1656"/>
      <c r="U107" s="1656"/>
      <c r="V107" s="1656"/>
      <c r="W107" s="1656"/>
      <c r="X107" s="1657"/>
      <c r="Y107" s="2437">
        <f t="shared" si="3"/>
        <v>35551.4</v>
      </c>
      <c r="Z107" s="2438"/>
      <c r="AA107" s="2438"/>
      <c r="AB107" s="2438"/>
      <c r="AC107" s="2438"/>
      <c r="AD107" s="2438"/>
      <c r="AE107" s="2438"/>
      <c r="AF107" s="2439"/>
    </row>
    <row r="108" spans="1:32" ht="48.9" customHeight="1" x14ac:dyDescent="0.3">
      <c r="A108" s="2435" t="s">
        <v>2643</v>
      </c>
      <c r="B108" s="2436"/>
      <c r="C108" s="2436"/>
      <c r="D108" s="2436"/>
      <c r="E108" s="2436"/>
      <c r="F108" s="2436"/>
      <c r="G108" s="2436"/>
      <c r="H108" s="2436"/>
      <c r="I108" s="1648">
        <f>ROUND((Q52*Q87/Q70)-(Q58*Q93/Q76),3)</f>
        <v>0.68300000000000005</v>
      </c>
      <c r="J108" s="1649"/>
      <c r="K108" s="1649"/>
      <c r="L108" s="1649"/>
      <c r="M108" s="1649"/>
      <c r="N108" s="1649"/>
      <c r="O108" s="1649"/>
      <c r="P108" s="1650"/>
      <c r="Q108" s="1655">
        <f>ROUND((Q52-Q58)*$Q$61,2)</f>
        <v>5984.43</v>
      </c>
      <c r="R108" s="1656"/>
      <c r="S108" s="1656"/>
      <c r="T108" s="1656"/>
      <c r="U108" s="1656"/>
      <c r="V108" s="1656"/>
      <c r="W108" s="1656"/>
      <c r="X108" s="1657"/>
      <c r="Y108" s="2437">
        <f t="shared" si="3"/>
        <v>59844.3</v>
      </c>
      <c r="Z108" s="2438"/>
      <c r="AA108" s="2438"/>
      <c r="AB108" s="2438"/>
      <c r="AC108" s="2438"/>
      <c r="AD108" s="2438"/>
      <c r="AE108" s="2438"/>
      <c r="AF108" s="2439"/>
    </row>
    <row r="109" spans="1:32" ht="48.9" customHeight="1" x14ac:dyDescent="0.3">
      <c r="A109" s="2435" t="s">
        <v>2644</v>
      </c>
      <c r="B109" s="2436"/>
      <c r="C109" s="2436"/>
      <c r="D109" s="2436"/>
      <c r="E109" s="2436"/>
      <c r="F109" s="2436"/>
      <c r="G109" s="2436"/>
      <c r="H109" s="2436"/>
      <c r="I109" s="1648">
        <f>ROUND((Q53*Q88/Q71)-(Q59*Q94/Q77),3)</f>
        <v>0.73399999999999999</v>
      </c>
      <c r="J109" s="1649"/>
      <c r="K109" s="1649"/>
      <c r="L109" s="1649"/>
      <c r="M109" s="1649"/>
      <c r="N109" s="1649"/>
      <c r="O109" s="1649"/>
      <c r="P109" s="1650"/>
      <c r="Q109" s="1655">
        <f>ROUND((Q53-Q59)*$Q$61,2)</f>
        <v>6428.1</v>
      </c>
      <c r="R109" s="1656"/>
      <c r="S109" s="1656"/>
      <c r="T109" s="1656"/>
      <c r="U109" s="1656"/>
      <c r="V109" s="1656"/>
      <c r="W109" s="1656"/>
      <c r="X109" s="1657"/>
      <c r="Y109" s="2437">
        <f t="shared" si="3"/>
        <v>64281</v>
      </c>
      <c r="Z109" s="2438"/>
      <c r="AA109" s="2438"/>
      <c r="AB109" s="2438"/>
      <c r="AC109" s="2438"/>
      <c r="AD109" s="2438"/>
      <c r="AE109" s="2438"/>
      <c r="AF109" s="2439"/>
    </row>
    <row r="110" spans="1:32" ht="48.9" customHeight="1" thickBot="1" x14ac:dyDescent="0.35">
      <c r="A110" s="2371" t="s">
        <v>2645</v>
      </c>
      <c r="B110" s="2372"/>
      <c r="C110" s="2372"/>
      <c r="D110" s="2372"/>
      <c r="E110" s="2372"/>
      <c r="F110" s="2372"/>
      <c r="G110" s="2372"/>
      <c r="H110" s="2372"/>
      <c r="I110" s="1414">
        <f>ROUND((Q54*Q89/Q72)-(Q60*Q95/Q78),3)</f>
        <v>0.93100000000000005</v>
      </c>
      <c r="J110" s="1414"/>
      <c r="K110" s="1414"/>
      <c r="L110" s="1414"/>
      <c r="M110" s="1414"/>
      <c r="N110" s="1414"/>
      <c r="O110" s="1414"/>
      <c r="P110" s="1414"/>
      <c r="Q110" s="2431">
        <f>ROUND((Q54-Q60)*$Q$61,2)</f>
        <v>8151.47</v>
      </c>
      <c r="R110" s="2431"/>
      <c r="S110" s="2431"/>
      <c r="T110" s="2431"/>
      <c r="U110" s="2431"/>
      <c r="V110" s="2431"/>
      <c r="W110" s="2431"/>
      <c r="X110" s="2431"/>
      <c r="Y110" s="2432">
        <f t="shared" si="3"/>
        <v>81514.7</v>
      </c>
      <c r="Z110" s="2433"/>
      <c r="AA110" s="2433"/>
      <c r="AB110" s="2433"/>
      <c r="AC110" s="2433"/>
      <c r="AD110" s="2433"/>
      <c r="AE110" s="2433"/>
      <c r="AF110" s="2434"/>
    </row>
    <row r="112" spans="1:32" x14ac:dyDescent="0.3">
      <c r="A112" s="1141" t="s">
        <v>1514</v>
      </c>
      <c r="B112" s="1141"/>
      <c r="C112" s="1141"/>
      <c r="D112" s="1141"/>
      <c r="E112" s="1141"/>
      <c r="F112" s="1141"/>
      <c r="G112" s="1141"/>
      <c r="H112" s="1141"/>
      <c r="I112" s="1141"/>
      <c r="J112" s="1141"/>
      <c r="K112" s="1141"/>
      <c r="L112" s="1141"/>
      <c r="M112" s="1141"/>
      <c r="N112" s="1141"/>
      <c r="O112" s="1141"/>
      <c r="P112" s="1141"/>
      <c r="Q112" s="1141"/>
      <c r="R112" s="1141"/>
      <c r="S112" s="1141"/>
      <c r="T112" s="1141"/>
      <c r="U112" s="1141"/>
      <c r="V112" s="1141"/>
      <c r="W112" s="1141"/>
      <c r="X112" s="1141"/>
      <c r="Y112" s="1141"/>
      <c r="Z112" s="1141"/>
      <c r="AA112" s="1141"/>
      <c r="AB112" s="1141"/>
      <c r="AC112" s="1141"/>
      <c r="AD112" s="1141"/>
      <c r="AE112" s="1141"/>
      <c r="AF112" s="1141"/>
    </row>
    <row r="114" spans="1:32" s="1" customFormat="1" x14ac:dyDescent="0.3">
      <c r="A114" s="368" t="s">
        <v>803</v>
      </c>
      <c r="B114" s="953" t="s">
        <v>2655</v>
      </c>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row>
    <row r="115" spans="1:32" ht="45.75" customHeight="1" x14ac:dyDescent="0.3">
      <c r="A115" s="368" t="s">
        <v>803</v>
      </c>
      <c r="B115" s="863" t="s">
        <v>2652</v>
      </c>
      <c r="C115" s="863"/>
      <c r="D115" s="863"/>
      <c r="E115" s="863"/>
      <c r="F115" s="863"/>
      <c r="G115" s="863"/>
      <c r="H115" s="863"/>
      <c r="I115" s="863"/>
      <c r="J115" s="863"/>
      <c r="K115" s="863"/>
      <c r="L115" s="863"/>
      <c r="M115" s="863"/>
      <c r="N115" s="863"/>
      <c r="O115" s="863"/>
      <c r="P115" s="863"/>
      <c r="Q115" s="863"/>
      <c r="R115" s="863"/>
      <c r="S115" s="863"/>
      <c r="T115" s="863"/>
      <c r="U115" s="863"/>
      <c r="V115" s="863"/>
      <c r="W115" s="863"/>
      <c r="X115" s="863"/>
      <c r="Y115" s="863"/>
      <c r="Z115" s="863"/>
      <c r="AA115" s="863"/>
      <c r="AB115" s="863"/>
      <c r="AC115" s="863"/>
      <c r="AD115" s="863"/>
      <c r="AE115" s="863"/>
      <c r="AF115" s="863"/>
    </row>
    <row r="116" spans="1:32" ht="48" customHeight="1" x14ac:dyDescent="0.3">
      <c r="A116" s="368" t="s">
        <v>803</v>
      </c>
      <c r="B116" s="863" t="s">
        <v>2955</v>
      </c>
      <c r="C116" s="863"/>
      <c r="D116" s="863"/>
      <c r="E116" s="863"/>
      <c r="F116" s="863"/>
      <c r="G116" s="863"/>
      <c r="H116" s="863"/>
      <c r="I116" s="863"/>
      <c r="J116" s="863"/>
      <c r="K116" s="863"/>
      <c r="L116" s="863"/>
      <c r="M116" s="863"/>
      <c r="N116" s="863"/>
      <c r="O116" s="863"/>
      <c r="P116" s="863"/>
      <c r="Q116" s="863"/>
      <c r="R116" s="863"/>
      <c r="S116" s="863"/>
      <c r="T116" s="863"/>
      <c r="U116" s="863"/>
      <c r="V116" s="863"/>
      <c r="W116" s="863"/>
      <c r="X116" s="863"/>
      <c r="Y116" s="863"/>
      <c r="Z116" s="863"/>
      <c r="AA116" s="863"/>
      <c r="AB116" s="863"/>
      <c r="AC116" s="863"/>
      <c r="AD116" s="863"/>
      <c r="AE116" s="863"/>
      <c r="AF116" s="863"/>
    </row>
    <row r="117" spans="1:32" ht="50.25" customHeight="1" x14ac:dyDescent="0.3">
      <c r="A117" s="368" t="s">
        <v>803</v>
      </c>
      <c r="B117" s="863" t="s">
        <v>2651</v>
      </c>
      <c r="C117" s="863"/>
      <c r="D117" s="863"/>
      <c r="E117" s="863"/>
      <c r="F117" s="863"/>
      <c r="G117" s="863"/>
      <c r="H117" s="863"/>
      <c r="I117" s="863"/>
      <c r="J117" s="863"/>
      <c r="K117" s="863"/>
      <c r="L117" s="863"/>
      <c r="M117" s="863"/>
      <c r="N117" s="863"/>
      <c r="O117" s="863"/>
      <c r="P117" s="863"/>
      <c r="Q117" s="863"/>
      <c r="R117" s="863"/>
      <c r="S117" s="863"/>
      <c r="T117" s="863"/>
      <c r="U117" s="863"/>
      <c r="V117" s="863"/>
      <c r="W117" s="863"/>
      <c r="X117" s="863"/>
      <c r="Y117" s="863"/>
      <c r="Z117" s="863"/>
      <c r="AA117" s="863"/>
      <c r="AB117" s="863"/>
      <c r="AC117" s="863"/>
      <c r="AD117" s="863"/>
      <c r="AE117" s="863"/>
      <c r="AF117" s="863"/>
    </row>
  </sheetData>
  <sheetProtection algorithmName="SHA-512" hashValue="6vzuQ0LlPSDN+FMw37a/DmUmKRSlsyCy3JbyYlMxPpZKdONTjW/AJ3vw64nqqf+rRegxECqcTdq78SduVTas8w==" saltValue="apywNfIRs2F4deUmpsU3Uw==" spinCount="100000" sheet="1" objects="1" scenarios="1"/>
  <mergeCells count="251">
    <mergeCell ref="A1:AF1"/>
    <mergeCell ref="B15:I15"/>
    <mergeCell ref="A25:AF25"/>
    <mergeCell ref="A7:AF7"/>
    <mergeCell ref="B9:I9"/>
    <mergeCell ref="B12:I12"/>
    <mergeCell ref="B10:AF10"/>
    <mergeCell ref="B18:I18"/>
    <mergeCell ref="B13:AF13"/>
    <mergeCell ref="B16:AF16"/>
    <mergeCell ref="B19:AF19"/>
    <mergeCell ref="B22:AF22"/>
    <mergeCell ref="X44:AF54"/>
    <mergeCell ref="E49:P49"/>
    <mergeCell ref="Q49:T49"/>
    <mergeCell ref="U49:W49"/>
    <mergeCell ref="B29:AE29"/>
    <mergeCell ref="B33:AE34"/>
    <mergeCell ref="AF33:AF34"/>
    <mergeCell ref="A40:AF40"/>
    <mergeCell ref="A41:D41"/>
    <mergeCell ref="E41:P41"/>
    <mergeCell ref="Q41:T41"/>
    <mergeCell ref="U41:W41"/>
    <mergeCell ref="X41:AF41"/>
    <mergeCell ref="X42:AF42"/>
    <mergeCell ref="A42:D42"/>
    <mergeCell ref="E42:P42"/>
    <mergeCell ref="Q42:T42"/>
    <mergeCell ref="U42:W42"/>
    <mergeCell ref="A43:D43"/>
    <mergeCell ref="E43:P43"/>
    <mergeCell ref="Q43:T43"/>
    <mergeCell ref="U43:W43"/>
    <mergeCell ref="X43:AF43"/>
    <mergeCell ref="A44:D54"/>
    <mergeCell ref="E50:P50"/>
    <mergeCell ref="Q50:T50"/>
    <mergeCell ref="U50:W50"/>
    <mergeCell ref="E47:P47"/>
    <mergeCell ref="Q47:T47"/>
    <mergeCell ref="U47:W47"/>
    <mergeCell ref="E48:P48"/>
    <mergeCell ref="Q48:T48"/>
    <mergeCell ref="U48:W48"/>
    <mergeCell ref="E45:P45"/>
    <mergeCell ref="Q45:T45"/>
    <mergeCell ref="U45:W45"/>
    <mergeCell ref="E46:P46"/>
    <mergeCell ref="Q46:T46"/>
    <mergeCell ref="U46:W46"/>
    <mergeCell ref="E44:P44"/>
    <mergeCell ref="Q44:T44"/>
    <mergeCell ref="U44:W44"/>
    <mergeCell ref="U60:W60"/>
    <mergeCell ref="E53:P53"/>
    <mergeCell ref="Q53:T53"/>
    <mergeCell ref="U53:W53"/>
    <mergeCell ref="E54:P54"/>
    <mergeCell ref="Q54:T54"/>
    <mergeCell ref="U54:W54"/>
    <mergeCell ref="E51:P51"/>
    <mergeCell ref="Q51:T51"/>
    <mergeCell ref="U51:W51"/>
    <mergeCell ref="E52:P52"/>
    <mergeCell ref="Q52:T52"/>
    <mergeCell ref="U52:W52"/>
    <mergeCell ref="A61:D61"/>
    <mergeCell ref="E61:P61"/>
    <mergeCell ref="Q61:T61"/>
    <mergeCell ref="U61:W61"/>
    <mergeCell ref="A55:D60"/>
    <mergeCell ref="E55:P55"/>
    <mergeCell ref="Q55:T55"/>
    <mergeCell ref="U55:W55"/>
    <mergeCell ref="X61:AF61"/>
    <mergeCell ref="X55:AF60"/>
    <mergeCell ref="E56:P56"/>
    <mergeCell ref="Q56:T56"/>
    <mergeCell ref="U56:W56"/>
    <mergeCell ref="E57:P57"/>
    <mergeCell ref="Q57:T57"/>
    <mergeCell ref="U57:W57"/>
    <mergeCell ref="E58:P58"/>
    <mergeCell ref="Q58:T58"/>
    <mergeCell ref="U58:W58"/>
    <mergeCell ref="E59:P59"/>
    <mergeCell ref="Q59:T59"/>
    <mergeCell ref="U59:W59"/>
    <mergeCell ref="E60:P60"/>
    <mergeCell ref="Q60:T60"/>
    <mergeCell ref="X62:AF72"/>
    <mergeCell ref="E63:P63"/>
    <mergeCell ref="Q63:T63"/>
    <mergeCell ref="U63:W63"/>
    <mergeCell ref="E64:P64"/>
    <mergeCell ref="Q64:T64"/>
    <mergeCell ref="U64:W64"/>
    <mergeCell ref="E65:P65"/>
    <mergeCell ref="Q65:T65"/>
    <mergeCell ref="U65:W65"/>
    <mergeCell ref="E66:P66"/>
    <mergeCell ref="E68:P68"/>
    <mergeCell ref="Q68:T68"/>
    <mergeCell ref="U68:W68"/>
    <mergeCell ref="E69:P69"/>
    <mergeCell ref="Q69:T69"/>
    <mergeCell ref="U69:W69"/>
    <mergeCell ref="Q66:T66"/>
    <mergeCell ref="U66:W66"/>
    <mergeCell ref="E67:P67"/>
    <mergeCell ref="Q67:T67"/>
    <mergeCell ref="U67:W67"/>
    <mergeCell ref="E72:P72"/>
    <mergeCell ref="Q72:T72"/>
    <mergeCell ref="U72:W72"/>
    <mergeCell ref="A73:D78"/>
    <mergeCell ref="E73:P73"/>
    <mergeCell ref="Q73:T73"/>
    <mergeCell ref="U73:W73"/>
    <mergeCell ref="E70:P70"/>
    <mergeCell ref="Q70:T70"/>
    <mergeCell ref="U70:W70"/>
    <mergeCell ref="E71:P71"/>
    <mergeCell ref="Q71:T71"/>
    <mergeCell ref="U71:W71"/>
    <mergeCell ref="A62:D72"/>
    <mergeCell ref="E62:P62"/>
    <mergeCell ref="Q62:T62"/>
    <mergeCell ref="U62:W62"/>
    <mergeCell ref="X73:AF78"/>
    <mergeCell ref="E74:P74"/>
    <mergeCell ref="Q74:T74"/>
    <mergeCell ref="U74:W74"/>
    <mergeCell ref="E75:P75"/>
    <mergeCell ref="Q75:T75"/>
    <mergeCell ref="U75:W75"/>
    <mergeCell ref="E76:P76"/>
    <mergeCell ref="Q76:T76"/>
    <mergeCell ref="U76:W76"/>
    <mergeCell ref="E77:P77"/>
    <mergeCell ref="Q77:T77"/>
    <mergeCell ref="U77:W77"/>
    <mergeCell ref="E78:P78"/>
    <mergeCell ref="Q78:T78"/>
    <mergeCell ref="U78:W78"/>
    <mergeCell ref="X79:AF89"/>
    <mergeCell ref="E80:P80"/>
    <mergeCell ref="Q80:T80"/>
    <mergeCell ref="U80:W80"/>
    <mergeCell ref="E81:P81"/>
    <mergeCell ref="Q81:T81"/>
    <mergeCell ref="U81:W81"/>
    <mergeCell ref="E82:P82"/>
    <mergeCell ref="Q82:T82"/>
    <mergeCell ref="U82:W82"/>
    <mergeCell ref="E83:P83"/>
    <mergeCell ref="Q83:T83"/>
    <mergeCell ref="E86:P86"/>
    <mergeCell ref="Q86:T86"/>
    <mergeCell ref="U86:W86"/>
    <mergeCell ref="E87:P87"/>
    <mergeCell ref="Q87:T87"/>
    <mergeCell ref="U87:W87"/>
    <mergeCell ref="U83:W83"/>
    <mergeCell ref="E84:P84"/>
    <mergeCell ref="Q94:T94"/>
    <mergeCell ref="E88:P88"/>
    <mergeCell ref="Q88:T88"/>
    <mergeCell ref="U88:W88"/>
    <mergeCell ref="E89:P89"/>
    <mergeCell ref="Q89:T89"/>
    <mergeCell ref="U89:W89"/>
    <mergeCell ref="A102:H102"/>
    <mergeCell ref="Q84:T84"/>
    <mergeCell ref="U84:W84"/>
    <mergeCell ref="E85:P85"/>
    <mergeCell ref="Q85:T85"/>
    <mergeCell ref="U85:W85"/>
    <mergeCell ref="E92:P92"/>
    <mergeCell ref="Q92:T92"/>
    <mergeCell ref="U92:W92"/>
    <mergeCell ref="E93:P93"/>
    <mergeCell ref="Q93:T93"/>
    <mergeCell ref="U93:W93"/>
    <mergeCell ref="A79:D89"/>
    <mergeCell ref="E79:P79"/>
    <mergeCell ref="Q79:T79"/>
    <mergeCell ref="U79:W79"/>
    <mergeCell ref="A103:H103"/>
    <mergeCell ref="I103:P103"/>
    <mergeCell ref="Q103:X103"/>
    <mergeCell ref="Y103:AF103"/>
    <mergeCell ref="X96:AF96"/>
    <mergeCell ref="A99:AF99"/>
    <mergeCell ref="A101:H101"/>
    <mergeCell ref="U94:W94"/>
    <mergeCell ref="E95:P95"/>
    <mergeCell ref="Q95:T95"/>
    <mergeCell ref="U95:W95"/>
    <mergeCell ref="A96:D96"/>
    <mergeCell ref="E96:P96"/>
    <mergeCell ref="Q96:T96"/>
    <mergeCell ref="U96:W96"/>
    <mergeCell ref="A90:D95"/>
    <mergeCell ref="E90:P90"/>
    <mergeCell ref="Q90:T90"/>
    <mergeCell ref="U90:W90"/>
    <mergeCell ref="X90:AF95"/>
    <mergeCell ref="E91:P91"/>
    <mergeCell ref="Q91:T91"/>
    <mergeCell ref="U91:W91"/>
    <mergeCell ref="E94:P94"/>
    <mergeCell ref="Q106:X106"/>
    <mergeCell ref="Y106:AF106"/>
    <mergeCell ref="A107:H107"/>
    <mergeCell ref="I107:P107"/>
    <mergeCell ref="Q107:X107"/>
    <mergeCell ref="Y107:AF107"/>
    <mergeCell ref="A104:H104"/>
    <mergeCell ref="I104:P104"/>
    <mergeCell ref="Q104:X104"/>
    <mergeCell ref="Y104:AF104"/>
    <mergeCell ref="A105:H105"/>
    <mergeCell ref="I105:P105"/>
    <mergeCell ref="Q105:X105"/>
    <mergeCell ref="Y105:AF105"/>
    <mergeCell ref="B115:AF115"/>
    <mergeCell ref="B116:AF116"/>
    <mergeCell ref="B117:AF117"/>
    <mergeCell ref="A3:AF3"/>
    <mergeCell ref="B5:AF5"/>
    <mergeCell ref="I101:P102"/>
    <mergeCell ref="Q101:X102"/>
    <mergeCell ref="Y101:AF102"/>
    <mergeCell ref="B114:AF114"/>
    <mergeCell ref="A110:H110"/>
    <mergeCell ref="I110:P110"/>
    <mergeCell ref="Q110:X110"/>
    <mergeCell ref="Y110:AF110"/>
    <mergeCell ref="A112:AF112"/>
    <mergeCell ref="A108:H108"/>
    <mergeCell ref="I108:P108"/>
    <mergeCell ref="Q108:X108"/>
    <mergeCell ref="Y108:AF108"/>
    <mergeCell ref="A109:H109"/>
    <mergeCell ref="I109:P109"/>
    <mergeCell ref="Q109:X109"/>
    <mergeCell ref="Y109:AF109"/>
    <mergeCell ref="A106:H106"/>
    <mergeCell ref="I106:P106"/>
  </mergeCells>
  <hyperlinks>
    <hyperlink ref="A2" location="TOC!A1" display="Return to TOC" xr:uid="{00000000-0004-0000-3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8" numberStoredAsText="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pageSetUpPr autoPageBreaks="0"/>
  </sheetPr>
  <dimension ref="A1:AF113"/>
  <sheetViews>
    <sheetView workbookViewId="0">
      <selection activeCell="A2" sqref="A2"/>
    </sheetView>
  </sheetViews>
  <sheetFormatPr defaultColWidth="2.6640625" defaultRowHeight="14.4" x14ac:dyDescent="0.3"/>
  <sheetData>
    <row r="1" spans="1:32" ht="18" x14ac:dyDescent="0.3">
      <c r="A1" s="1131" t="s">
        <v>4354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512"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4355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9" spans="1:32" x14ac:dyDescent="0.3">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59.4" customHeight="1" x14ac:dyDescent="0.3">
      <c r="B10" s="953" t="s">
        <v>4356</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ht="33.6" customHeight="1" x14ac:dyDescent="0.3">
      <c r="B13" s="184" t="s">
        <v>1190</v>
      </c>
      <c r="C13" s="953" t="s">
        <v>4357</v>
      </c>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ht="15.6" customHeight="1" x14ac:dyDescent="0.3">
      <c r="B14" s="184" t="s">
        <v>1191</v>
      </c>
      <c r="C14" s="953" t="s">
        <v>4358</v>
      </c>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row>
    <row r="16" spans="1:32" x14ac:dyDescent="0.3">
      <c r="B16" s="51" t="s">
        <v>5</v>
      </c>
      <c r="C16" s="51"/>
      <c r="D16" s="51"/>
      <c r="E16" s="51"/>
      <c r="F16" s="51"/>
      <c r="G16" s="51"/>
    </row>
    <row r="17" spans="1:32" ht="30.6" customHeight="1" x14ac:dyDescent="0.3">
      <c r="B17" s="953" t="s">
        <v>4359</v>
      </c>
      <c r="C17" s="953"/>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row>
    <row r="19" spans="1:32" x14ac:dyDescent="0.3">
      <c r="B19" s="51" t="s">
        <v>6</v>
      </c>
      <c r="C19" s="51"/>
      <c r="D19" s="51"/>
      <c r="E19" s="51"/>
      <c r="F19" s="51"/>
      <c r="G19" s="51"/>
      <c r="H19" s="51"/>
      <c r="I19" s="51"/>
      <c r="J19" s="1"/>
      <c r="K19" s="1"/>
      <c r="L19" s="1"/>
      <c r="M19" s="1"/>
    </row>
    <row r="20" spans="1:32" x14ac:dyDescent="0.3">
      <c r="B20" s="1" t="s">
        <v>4360</v>
      </c>
      <c r="C20" s="1"/>
      <c r="D20" s="1"/>
      <c r="E20" s="1"/>
      <c r="F20" s="1"/>
      <c r="G20" s="1"/>
      <c r="H20" s="1"/>
      <c r="I20" s="1"/>
      <c r="J20" s="1"/>
      <c r="K20" s="1"/>
      <c r="L20" s="1"/>
      <c r="M20" s="1"/>
    </row>
    <row r="22" spans="1:32" x14ac:dyDescent="0.3">
      <c r="B22" s="51" t="s">
        <v>13</v>
      </c>
      <c r="C22" s="51"/>
      <c r="D22" s="51"/>
      <c r="E22" s="51"/>
      <c r="F22" s="51"/>
      <c r="G22" s="51"/>
      <c r="H22" s="51"/>
      <c r="I22" s="51"/>
      <c r="J22" s="1"/>
      <c r="K22" s="1"/>
      <c r="L22" s="1"/>
      <c r="M22" s="1"/>
      <c r="N22" s="1"/>
    </row>
    <row r="23" spans="1:32" x14ac:dyDescent="0.3">
      <c r="B23" s="1" t="s">
        <v>4361</v>
      </c>
      <c r="C23" s="1"/>
      <c r="D23" s="1"/>
      <c r="E23" s="1"/>
      <c r="F23" s="1"/>
      <c r="G23" s="1"/>
      <c r="H23" s="1"/>
      <c r="I23" s="1"/>
      <c r="J23" s="1"/>
      <c r="K23" s="1"/>
      <c r="L23" s="1"/>
      <c r="M23" s="1"/>
      <c r="N23" s="1"/>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8" spans="1:32" x14ac:dyDescent="0.3">
      <c r="B28" s="372" t="s">
        <v>2137</v>
      </c>
    </row>
    <row r="30" spans="1:32" x14ac:dyDescent="0.3">
      <c r="L30" s="1"/>
      <c r="M30" s="1"/>
      <c r="N30" s="1"/>
      <c r="O30" s="1"/>
      <c r="P30" s="1"/>
      <c r="Q30" s="1" t="s">
        <v>4362</v>
      </c>
      <c r="R30" s="1"/>
      <c r="S30" s="1"/>
      <c r="T30" s="1"/>
      <c r="U30" s="1"/>
      <c r="V30" s="1"/>
      <c r="W30" s="1"/>
      <c r="X30" s="1"/>
      <c r="Y30" s="1"/>
      <c r="Z30" s="1"/>
      <c r="AA30" s="1"/>
      <c r="AB30" s="1"/>
      <c r="AC30" s="1"/>
      <c r="AD30" s="1"/>
      <c r="AE30" s="1"/>
      <c r="AF30" s="71" t="s">
        <v>1463</v>
      </c>
    </row>
    <row r="31" spans="1:32" x14ac:dyDescent="0.3">
      <c r="L31" s="1"/>
      <c r="M31" s="1"/>
      <c r="N31" s="1"/>
      <c r="O31" s="1"/>
      <c r="P31" s="1"/>
      <c r="Q31" s="1"/>
      <c r="R31" s="1"/>
      <c r="S31" s="1"/>
      <c r="T31" s="1"/>
      <c r="U31" s="1"/>
      <c r="V31" s="1"/>
      <c r="W31" s="1"/>
      <c r="X31" s="1"/>
      <c r="Y31" s="1"/>
      <c r="Z31" s="1"/>
      <c r="AA31" s="1"/>
      <c r="AB31" s="1"/>
      <c r="AC31" s="1"/>
      <c r="AD31" s="1"/>
      <c r="AE31" s="1"/>
      <c r="AF31" s="1"/>
    </row>
    <row r="32" spans="1:32" x14ac:dyDescent="0.3">
      <c r="B32" s="372" t="s">
        <v>2027</v>
      </c>
      <c r="L32" s="1"/>
      <c r="M32" s="1"/>
      <c r="N32" s="1"/>
      <c r="O32" s="1"/>
      <c r="P32" s="1"/>
      <c r="Q32" s="1"/>
      <c r="R32" s="1"/>
      <c r="S32" s="1"/>
      <c r="T32" s="1"/>
      <c r="U32" s="1"/>
      <c r="V32" s="1"/>
      <c r="W32" s="1"/>
      <c r="X32" s="1"/>
      <c r="Y32" s="1"/>
      <c r="Z32" s="1"/>
      <c r="AA32" s="1"/>
      <c r="AB32" s="1"/>
      <c r="AC32" s="1"/>
      <c r="AD32" s="1"/>
      <c r="AE32" s="1"/>
      <c r="AF32" s="1"/>
    </row>
    <row r="34" spans="1:32" x14ac:dyDescent="0.3">
      <c r="A34" s="268"/>
      <c r="B34" s="268"/>
      <c r="C34" s="268"/>
      <c r="D34" s="268"/>
      <c r="E34" s="268"/>
      <c r="F34" s="268"/>
      <c r="G34" s="268"/>
      <c r="H34" s="268"/>
      <c r="I34" s="268"/>
      <c r="J34" s="268"/>
      <c r="K34" s="19"/>
      <c r="AF34" s="19" t="s">
        <v>1464</v>
      </c>
    </row>
    <row r="35" spans="1:32" x14ac:dyDescent="0.3">
      <c r="A35" s="268"/>
      <c r="B35" s="268"/>
      <c r="C35" s="268"/>
      <c r="D35" s="268"/>
      <c r="E35" s="268"/>
      <c r="F35" s="268"/>
      <c r="G35" s="268"/>
      <c r="H35" s="268"/>
      <c r="I35" s="268"/>
      <c r="J35" s="268"/>
      <c r="K35" s="19"/>
    </row>
    <row r="36" spans="1:32" x14ac:dyDescent="0.3">
      <c r="A36" s="268"/>
      <c r="B36" s="372" t="s">
        <v>1811</v>
      </c>
      <c r="C36" s="268"/>
      <c r="D36" s="268"/>
      <c r="E36" s="268"/>
      <c r="F36" s="268"/>
      <c r="G36" s="268"/>
      <c r="H36" s="268"/>
      <c r="I36" s="268"/>
      <c r="J36" s="268"/>
      <c r="K36" s="19"/>
    </row>
    <row r="37" spans="1:32" x14ac:dyDescent="0.3">
      <c r="A37" s="268"/>
      <c r="B37" s="372"/>
      <c r="C37" s="268"/>
      <c r="D37" s="268"/>
      <c r="E37" s="268"/>
      <c r="F37" s="268"/>
      <c r="G37" s="268"/>
      <c r="H37" s="268"/>
      <c r="I37" s="268"/>
      <c r="J37" s="268"/>
      <c r="K37" s="19"/>
    </row>
    <row r="38" spans="1:32" x14ac:dyDescent="0.3">
      <c r="AF38" s="19" t="s">
        <v>1465</v>
      </c>
    </row>
    <row r="40" spans="1:32" x14ac:dyDescent="0.3">
      <c r="A40" s="869" t="s">
        <v>8</v>
      </c>
      <c r="B40" s="870"/>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1"/>
    </row>
    <row r="41" spans="1:32" x14ac:dyDescent="0.3">
      <c r="A41" s="2512" t="s">
        <v>9</v>
      </c>
      <c r="B41" s="2513"/>
      <c r="C41" s="2513"/>
      <c r="D41" s="2514"/>
      <c r="E41" s="2512" t="s">
        <v>3</v>
      </c>
      <c r="F41" s="2513"/>
      <c r="G41" s="2513"/>
      <c r="H41" s="2513"/>
      <c r="I41" s="2513"/>
      <c r="J41" s="2513"/>
      <c r="K41" s="2513"/>
      <c r="L41" s="2513"/>
      <c r="M41" s="2514"/>
      <c r="N41" s="1259" t="s">
        <v>10</v>
      </c>
      <c r="O41" s="1260"/>
      <c r="P41" s="1260"/>
      <c r="Q41" s="1260"/>
      <c r="R41" s="1260"/>
      <c r="S41" s="1421"/>
      <c r="T41" s="2512" t="s">
        <v>11</v>
      </c>
      <c r="U41" s="2513"/>
      <c r="V41" s="2514"/>
      <c r="W41" s="2518" t="s">
        <v>1466</v>
      </c>
      <c r="X41" s="2519"/>
      <c r="Y41" s="2519"/>
      <c r="Z41" s="2519"/>
      <c r="AA41" s="2519"/>
      <c r="AB41" s="2519"/>
      <c r="AC41" s="2519"/>
      <c r="AD41" s="2519"/>
      <c r="AE41" s="2519"/>
      <c r="AF41" s="2520"/>
    </row>
    <row r="42" spans="1:32" x14ac:dyDescent="0.3">
      <c r="A42" s="2515"/>
      <c r="B42" s="2516"/>
      <c r="C42" s="2516"/>
      <c r="D42" s="2517"/>
      <c r="E42" s="2515"/>
      <c r="F42" s="2516"/>
      <c r="G42" s="2516"/>
      <c r="H42" s="2516"/>
      <c r="I42" s="2516"/>
      <c r="J42" s="2516"/>
      <c r="K42" s="2516"/>
      <c r="L42" s="2516"/>
      <c r="M42" s="2517"/>
      <c r="N42" s="1259" t="s">
        <v>4363</v>
      </c>
      <c r="O42" s="1260"/>
      <c r="P42" s="1421"/>
      <c r="Q42" s="1259" t="s">
        <v>4364</v>
      </c>
      <c r="R42" s="1260"/>
      <c r="S42" s="1421"/>
      <c r="T42" s="2515"/>
      <c r="U42" s="2516"/>
      <c r="V42" s="2517"/>
      <c r="W42" s="2521"/>
      <c r="X42" s="2522"/>
      <c r="Y42" s="2522"/>
      <c r="Z42" s="2522"/>
      <c r="AA42" s="2522"/>
      <c r="AB42" s="2522"/>
      <c r="AC42" s="2522"/>
      <c r="AD42" s="2522"/>
      <c r="AE42" s="2522"/>
      <c r="AF42" s="2523"/>
    </row>
    <row r="43" spans="1:32" ht="45.9" customHeight="1" x14ac:dyDescent="0.3">
      <c r="A43" s="855" t="s">
        <v>4365</v>
      </c>
      <c r="B43" s="855"/>
      <c r="C43" s="855"/>
      <c r="D43" s="855"/>
      <c r="E43" s="1148" t="s">
        <v>4366</v>
      </c>
      <c r="F43" s="1149"/>
      <c r="G43" s="1149"/>
      <c r="H43" s="1149"/>
      <c r="I43" s="1149"/>
      <c r="J43" s="1149"/>
      <c r="K43" s="1149"/>
      <c r="L43" s="1149"/>
      <c r="M43" s="1150"/>
      <c r="N43" s="1800" t="s">
        <v>2274</v>
      </c>
      <c r="O43" s="1801"/>
      <c r="P43" s="1801"/>
      <c r="Q43" s="1801"/>
      <c r="R43" s="1801"/>
      <c r="S43" s="1802"/>
      <c r="T43" s="1275" t="s">
        <v>4367</v>
      </c>
      <c r="U43" s="1275"/>
      <c r="V43" s="1275"/>
      <c r="W43" s="856" t="s">
        <v>4527</v>
      </c>
      <c r="X43" s="856"/>
      <c r="Y43" s="856"/>
      <c r="Z43" s="856"/>
      <c r="AA43" s="856"/>
      <c r="AB43" s="856"/>
      <c r="AC43" s="856"/>
      <c r="AD43" s="856"/>
      <c r="AE43" s="856"/>
      <c r="AF43" s="856"/>
    </row>
    <row r="44" spans="1:32" ht="32.1" customHeight="1" x14ac:dyDescent="0.3">
      <c r="A44" s="2208" t="s">
        <v>4368</v>
      </c>
      <c r="B44" s="855"/>
      <c r="C44" s="855"/>
      <c r="D44" s="855"/>
      <c r="E44" s="1148" t="s">
        <v>4369</v>
      </c>
      <c r="F44" s="1149"/>
      <c r="G44" s="1149"/>
      <c r="H44" s="1149"/>
      <c r="I44" s="1149"/>
      <c r="J44" s="1149"/>
      <c r="K44" s="1149"/>
      <c r="L44" s="1149"/>
      <c r="M44" s="1150"/>
      <c r="N44" s="1243" t="s">
        <v>304</v>
      </c>
      <c r="O44" s="1244"/>
      <c r="P44" s="1245"/>
      <c r="Q44" s="2209" t="s">
        <v>4370</v>
      </c>
      <c r="R44" s="2209"/>
      <c r="S44" s="2209"/>
      <c r="T44" s="1275" t="s">
        <v>4368</v>
      </c>
      <c r="U44" s="1275"/>
      <c r="V44" s="1275"/>
      <c r="W44" s="856" t="s">
        <v>4528</v>
      </c>
      <c r="X44" s="856"/>
      <c r="Y44" s="856"/>
      <c r="Z44" s="856"/>
      <c r="AA44" s="856"/>
      <c r="AB44" s="856"/>
      <c r="AC44" s="856"/>
      <c r="AD44" s="856"/>
      <c r="AE44" s="856"/>
      <c r="AF44" s="856"/>
    </row>
    <row r="45" spans="1:32" ht="23.4" customHeight="1" x14ac:dyDescent="0.3">
      <c r="A45" s="855">
        <v>0.746</v>
      </c>
      <c r="B45" s="855"/>
      <c r="C45" s="855"/>
      <c r="D45" s="855"/>
      <c r="E45" s="1148" t="s">
        <v>3509</v>
      </c>
      <c r="F45" s="1149"/>
      <c r="G45" s="1149"/>
      <c r="H45" s="1149"/>
      <c r="I45" s="1149"/>
      <c r="J45" s="1149"/>
      <c r="K45" s="1149"/>
      <c r="L45" s="1149"/>
      <c r="M45" s="1150"/>
      <c r="N45" s="1243">
        <v>0.746</v>
      </c>
      <c r="O45" s="1244"/>
      <c r="P45" s="1244"/>
      <c r="Q45" s="1244"/>
      <c r="R45" s="1244"/>
      <c r="S45" s="1245"/>
      <c r="T45" s="1275" t="s">
        <v>2667</v>
      </c>
      <c r="U45" s="1275"/>
      <c r="V45" s="1275"/>
      <c r="W45" s="855"/>
      <c r="X45" s="855"/>
      <c r="Y45" s="855"/>
      <c r="Z45" s="855"/>
      <c r="AA45" s="855"/>
      <c r="AB45" s="855"/>
      <c r="AC45" s="855"/>
      <c r="AD45" s="855"/>
      <c r="AE45" s="855"/>
      <c r="AF45" s="855"/>
    </row>
    <row r="46" spans="1:32" ht="35.4" customHeight="1" x14ac:dyDescent="0.3">
      <c r="A46" s="1246" t="s">
        <v>19</v>
      </c>
      <c r="B46" s="1155"/>
      <c r="C46" s="1155"/>
      <c r="D46" s="1156"/>
      <c r="E46" s="1148" t="s">
        <v>4371</v>
      </c>
      <c r="F46" s="1149"/>
      <c r="G46" s="1149"/>
      <c r="H46" s="1149"/>
      <c r="I46" s="1149"/>
      <c r="J46" s="1149"/>
      <c r="K46" s="1149"/>
      <c r="L46" s="1149"/>
      <c r="M46" s="1150"/>
      <c r="N46" s="2328">
        <v>0.35</v>
      </c>
      <c r="O46" s="2329"/>
      <c r="P46" s="2330"/>
      <c r="Q46" s="2328">
        <v>0.7</v>
      </c>
      <c r="R46" s="2329"/>
      <c r="S46" s="2330"/>
      <c r="T46" s="1261" t="s">
        <v>20</v>
      </c>
      <c r="U46" s="1244"/>
      <c r="V46" s="1245"/>
      <c r="W46" s="1148" t="s">
        <v>4529</v>
      </c>
      <c r="X46" s="1149"/>
      <c r="Y46" s="1149"/>
      <c r="Z46" s="1149"/>
      <c r="AA46" s="1149"/>
      <c r="AB46" s="1149"/>
      <c r="AC46" s="1149"/>
      <c r="AD46" s="1149"/>
      <c r="AE46" s="1149"/>
      <c r="AF46" s="1150"/>
    </row>
    <row r="47" spans="1:32" ht="61.5" customHeight="1" x14ac:dyDescent="0.3">
      <c r="A47" s="2506" t="s">
        <v>4372</v>
      </c>
      <c r="B47" s="2507"/>
      <c r="C47" s="2507"/>
      <c r="D47" s="2508"/>
      <c r="E47" s="1148" t="s">
        <v>4373</v>
      </c>
      <c r="F47" s="1149"/>
      <c r="G47" s="1149"/>
      <c r="H47" s="1149"/>
      <c r="I47" s="1149"/>
      <c r="J47" s="1149"/>
      <c r="K47" s="1149"/>
      <c r="L47" s="1149"/>
      <c r="M47" s="1150"/>
      <c r="N47" s="2328">
        <v>0.5</v>
      </c>
      <c r="O47" s="2329"/>
      <c r="P47" s="2329"/>
      <c r="Q47" s="2329"/>
      <c r="R47" s="2329"/>
      <c r="S47" s="2330"/>
      <c r="T47" s="1275" t="s">
        <v>20</v>
      </c>
      <c r="U47" s="1275"/>
      <c r="V47" s="1275"/>
      <c r="W47" s="856" t="s">
        <v>4374</v>
      </c>
      <c r="X47" s="856"/>
      <c r="Y47" s="856"/>
      <c r="Z47" s="856"/>
      <c r="AA47" s="856"/>
      <c r="AB47" s="856"/>
      <c r="AC47" s="856"/>
      <c r="AD47" s="856"/>
      <c r="AE47" s="856"/>
      <c r="AF47" s="856"/>
    </row>
    <row r="48" spans="1:32" ht="62.1" customHeight="1" x14ac:dyDescent="0.3">
      <c r="A48" s="2509"/>
      <c r="B48" s="2510"/>
      <c r="C48" s="2510"/>
      <c r="D48" s="2511"/>
      <c r="E48" s="1148" t="s">
        <v>4375</v>
      </c>
      <c r="F48" s="1149"/>
      <c r="G48" s="1149"/>
      <c r="H48" s="1149"/>
      <c r="I48" s="1149"/>
      <c r="J48" s="1149"/>
      <c r="K48" s="1149"/>
      <c r="L48" s="1149"/>
      <c r="M48" s="1150"/>
      <c r="N48" s="2328">
        <v>0.7</v>
      </c>
      <c r="O48" s="2329"/>
      <c r="P48" s="2329"/>
      <c r="Q48" s="2329"/>
      <c r="R48" s="2329"/>
      <c r="S48" s="2330"/>
      <c r="T48" s="1275" t="s">
        <v>20</v>
      </c>
      <c r="U48" s="1275"/>
      <c r="V48" s="1275"/>
      <c r="W48" s="856" t="s">
        <v>4376</v>
      </c>
      <c r="X48" s="856"/>
      <c r="Y48" s="856"/>
      <c r="Z48" s="856"/>
      <c r="AA48" s="856"/>
      <c r="AB48" s="856"/>
      <c r="AC48" s="856"/>
      <c r="AD48" s="856"/>
      <c r="AE48" s="856"/>
      <c r="AF48" s="856"/>
    </row>
    <row r="49" spans="1:32" ht="51.6" customHeight="1" x14ac:dyDescent="0.3">
      <c r="A49" s="2506" t="s">
        <v>4377</v>
      </c>
      <c r="B49" s="2507"/>
      <c r="C49" s="2507"/>
      <c r="D49" s="2508"/>
      <c r="E49" s="1148" t="s">
        <v>4378</v>
      </c>
      <c r="F49" s="1149"/>
      <c r="G49" s="1149"/>
      <c r="H49" s="1149"/>
      <c r="I49" s="1149"/>
      <c r="J49" s="1149"/>
      <c r="K49" s="1149"/>
      <c r="L49" s="1149"/>
      <c r="M49" s="1150"/>
      <c r="N49" s="2328">
        <v>1</v>
      </c>
      <c r="O49" s="2329"/>
      <c r="P49" s="2329"/>
      <c r="Q49" s="2329"/>
      <c r="R49" s="2329"/>
      <c r="S49" s="2330"/>
      <c r="T49" s="1275" t="s">
        <v>20</v>
      </c>
      <c r="U49" s="1275"/>
      <c r="V49" s="1275"/>
      <c r="W49" s="856" t="s">
        <v>4530</v>
      </c>
      <c r="X49" s="856"/>
      <c r="Y49" s="856"/>
      <c r="Z49" s="856"/>
      <c r="AA49" s="856"/>
      <c r="AB49" s="856"/>
      <c r="AC49" s="856"/>
      <c r="AD49" s="856"/>
      <c r="AE49" s="856"/>
      <c r="AF49" s="856"/>
    </row>
    <row r="50" spans="1:32" ht="102.9" customHeight="1" x14ac:dyDescent="0.3">
      <c r="A50" s="2509"/>
      <c r="B50" s="2510"/>
      <c r="C50" s="2510"/>
      <c r="D50" s="2511"/>
      <c r="E50" s="1148" t="s">
        <v>4379</v>
      </c>
      <c r="F50" s="1149"/>
      <c r="G50" s="1149"/>
      <c r="H50" s="1149"/>
      <c r="I50" s="1149"/>
      <c r="J50" s="1149"/>
      <c r="K50" s="1149"/>
      <c r="L50" s="1149"/>
      <c r="M50" s="1150"/>
      <c r="N50" s="2328">
        <v>0.94</v>
      </c>
      <c r="O50" s="2329"/>
      <c r="P50" s="2329"/>
      <c r="Q50" s="2329"/>
      <c r="R50" s="2329"/>
      <c r="S50" s="2330"/>
      <c r="T50" s="1275" t="s">
        <v>20</v>
      </c>
      <c r="U50" s="1275"/>
      <c r="V50" s="1275"/>
      <c r="W50" s="856" t="s">
        <v>4380</v>
      </c>
      <c r="X50" s="856"/>
      <c r="Y50" s="856"/>
      <c r="Z50" s="856"/>
      <c r="AA50" s="856"/>
      <c r="AB50" s="856"/>
      <c r="AC50" s="856"/>
      <c r="AD50" s="856"/>
      <c r="AE50" s="856"/>
      <c r="AF50" s="856"/>
    </row>
    <row r="51" spans="1:32" ht="86.1" customHeight="1" x14ac:dyDescent="0.3">
      <c r="A51" s="2500" t="s">
        <v>4381</v>
      </c>
      <c r="B51" s="2501"/>
      <c r="C51" s="2501"/>
      <c r="D51" s="2502"/>
      <c r="E51" s="1148" t="s">
        <v>4382</v>
      </c>
      <c r="F51" s="1149"/>
      <c r="G51" s="1149"/>
      <c r="H51" s="1149"/>
      <c r="I51" s="1149"/>
      <c r="J51" s="1149"/>
      <c r="K51" s="1149"/>
      <c r="L51" s="1149"/>
      <c r="M51" s="1150"/>
      <c r="N51" s="1243">
        <v>1.3</v>
      </c>
      <c r="O51" s="1244"/>
      <c r="P51" s="1244"/>
      <c r="Q51" s="1244"/>
      <c r="R51" s="1244"/>
      <c r="S51" s="1245"/>
      <c r="T51" s="1275" t="s">
        <v>20</v>
      </c>
      <c r="U51" s="1275"/>
      <c r="V51" s="1275"/>
      <c r="W51" s="2458" t="s">
        <v>4531</v>
      </c>
      <c r="X51" s="2459"/>
      <c r="Y51" s="2459"/>
      <c r="Z51" s="2459"/>
      <c r="AA51" s="2459"/>
      <c r="AB51" s="2459"/>
      <c r="AC51" s="2459"/>
      <c r="AD51" s="2459"/>
      <c r="AE51" s="2459"/>
      <c r="AF51" s="2460"/>
    </row>
    <row r="52" spans="1:32" ht="71.400000000000006" customHeight="1" x14ac:dyDescent="0.3">
      <c r="A52" s="2503"/>
      <c r="B52" s="2504"/>
      <c r="C52" s="2504"/>
      <c r="D52" s="2505"/>
      <c r="E52" s="1148" t="s">
        <v>4383</v>
      </c>
      <c r="F52" s="1149"/>
      <c r="G52" s="1149"/>
      <c r="H52" s="1149"/>
      <c r="I52" s="1149"/>
      <c r="J52" s="1149"/>
      <c r="K52" s="1149"/>
      <c r="L52" s="1149"/>
      <c r="M52" s="1150"/>
      <c r="N52" s="1243">
        <v>1.5</v>
      </c>
      <c r="O52" s="1244"/>
      <c r="P52" s="1244"/>
      <c r="Q52" s="1244"/>
      <c r="R52" s="1244"/>
      <c r="S52" s="1245"/>
      <c r="T52" s="2146" t="s">
        <v>20</v>
      </c>
      <c r="U52" s="1275"/>
      <c r="V52" s="1275"/>
      <c r="W52" s="2470"/>
      <c r="X52" s="2471"/>
      <c r="Y52" s="2471"/>
      <c r="Z52" s="2471"/>
      <c r="AA52" s="2471"/>
      <c r="AB52" s="2471"/>
      <c r="AC52" s="2471"/>
      <c r="AD52" s="2471"/>
      <c r="AE52" s="2471"/>
      <c r="AF52" s="2472"/>
    </row>
    <row r="53" spans="1:32" ht="70.5" customHeight="1" x14ac:dyDescent="0.3">
      <c r="A53" s="855" t="s">
        <v>21</v>
      </c>
      <c r="B53" s="855"/>
      <c r="C53" s="855"/>
      <c r="D53" s="855"/>
      <c r="E53" s="1148" t="s">
        <v>96</v>
      </c>
      <c r="F53" s="1149"/>
      <c r="G53" s="1149"/>
      <c r="H53" s="1149"/>
      <c r="I53" s="1149"/>
      <c r="J53" s="1149"/>
      <c r="K53" s="1149"/>
      <c r="L53" s="1149"/>
      <c r="M53" s="1150"/>
      <c r="N53" s="1403" t="s">
        <v>4384</v>
      </c>
      <c r="O53" s="1590"/>
      <c r="P53" s="1590"/>
      <c r="Q53" s="1590"/>
      <c r="R53" s="1590"/>
      <c r="S53" s="1591"/>
      <c r="T53" s="2146" t="s">
        <v>20</v>
      </c>
      <c r="U53" s="1275"/>
      <c r="V53" s="1275"/>
      <c r="W53" s="856" t="s">
        <v>4532</v>
      </c>
      <c r="X53" s="856"/>
      <c r="Y53" s="856"/>
      <c r="Z53" s="856"/>
      <c r="AA53" s="856"/>
      <c r="AB53" s="856"/>
      <c r="AC53" s="856"/>
      <c r="AD53" s="856"/>
      <c r="AE53" s="856"/>
      <c r="AF53" s="856"/>
    </row>
    <row r="54" spans="1:32" ht="33.9" customHeight="1" x14ac:dyDescent="0.3">
      <c r="A54" s="855" t="s">
        <v>24</v>
      </c>
      <c r="B54" s="855"/>
      <c r="C54" s="855"/>
      <c r="D54" s="855"/>
      <c r="E54" s="1148" t="s">
        <v>106</v>
      </c>
      <c r="F54" s="1149"/>
      <c r="G54" s="1149"/>
      <c r="H54" s="1149"/>
      <c r="I54" s="1149"/>
      <c r="J54" s="1149"/>
      <c r="K54" s="1149"/>
      <c r="L54" s="1149"/>
      <c r="M54" s="1150"/>
      <c r="N54" s="1403">
        <v>8760</v>
      </c>
      <c r="O54" s="1590"/>
      <c r="P54" s="1590"/>
      <c r="Q54" s="1590"/>
      <c r="R54" s="1590"/>
      <c r="S54" s="1591"/>
      <c r="T54" s="1275" t="s">
        <v>37</v>
      </c>
      <c r="U54" s="1275"/>
      <c r="V54" s="1275"/>
      <c r="W54" s="856" t="s">
        <v>4533</v>
      </c>
      <c r="X54" s="856"/>
      <c r="Y54" s="856"/>
      <c r="Z54" s="856"/>
      <c r="AA54" s="856"/>
      <c r="AB54" s="856"/>
      <c r="AC54" s="856"/>
      <c r="AD54" s="856"/>
      <c r="AE54" s="856"/>
      <c r="AF54" s="856"/>
    </row>
    <row r="55" spans="1:32" ht="235.5" customHeight="1" x14ac:dyDescent="0.3">
      <c r="A55" s="855" t="s">
        <v>1869</v>
      </c>
      <c r="B55" s="855"/>
      <c r="C55" s="855"/>
      <c r="D55" s="855"/>
      <c r="E55" s="1148" t="s">
        <v>2050</v>
      </c>
      <c r="F55" s="1149"/>
      <c r="G55" s="1149"/>
      <c r="H55" s="1149"/>
      <c r="I55" s="1149"/>
      <c r="J55" s="1149"/>
      <c r="K55" s="1149"/>
      <c r="L55" s="1149"/>
      <c r="M55" s="1150"/>
      <c r="N55" s="1243">
        <f>'Master EUL'!X92</f>
        <v>5</v>
      </c>
      <c r="O55" s="1244"/>
      <c r="P55" s="1245"/>
      <c r="Q55" s="1243">
        <f>'Master EUL'!X91</f>
        <v>15</v>
      </c>
      <c r="R55" s="1244"/>
      <c r="S55" s="1245"/>
      <c r="T55" s="1275" t="s">
        <v>38</v>
      </c>
      <c r="U55" s="1275"/>
      <c r="V55" s="1275"/>
      <c r="W55" s="856" t="s">
        <v>4517</v>
      </c>
      <c r="X55" s="856"/>
      <c r="Y55" s="856"/>
      <c r="Z55" s="856"/>
      <c r="AA55" s="856"/>
      <c r="AB55" s="856"/>
      <c r="AC55" s="856"/>
      <c r="AD55" s="856"/>
      <c r="AE55" s="856"/>
      <c r="AF55" s="856"/>
    </row>
    <row r="56" spans="1:32" ht="41.4" customHeight="1" x14ac:dyDescent="0.3">
      <c r="A56" s="998" t="s">
        <v>4385</v>
      </c>
      <c r="B56" s="998"/>
      <c r="C56" s="998"/>
      <c r="D56" s="998"/>
      <c r="E56" s="998"/>
      <c r="F56" s="998"/>
      <c r="G56" s="998"/>
      <c r="H56" s="998"/>
      <c r="I56" s="998"/>
      <c r="J56" s="998"/>
      <c r="K56" s="998"/>
      <c r="L56" s="998"/>
      <c r="M56" s="998"/>
      <c r="N56" s="998"/>
      <c r="O56" s="998"/>
      <c r="P56" s="998"/>
      <c r="Q56" s="998"/>
      <c r="R56" s="998"/>
      <c r="S56" s="998"/>
      <c r="T56" s="998"/>
      <c r="U56" s="998"/>
      <c r="V56" s="998"/>
      <c r="W56" s="998"/>
      <c r="X56" s="998"/>
      <c r="Y56" s="998"/>
      <c r="Z56" s="998"/>
      <c r="AA56" s="998"/>
      <c r="AB56" s="998"/>
      <c r="AC56" s="998"/>
      <c r="AD56" s="998"/>
      <c r="AE56" s="998"/>
      <c r="AF56" s="998"/>
    </row>
    <row r="57" spans="1:32" ht="29.1" customHeight="1" x14ac:dyDescent="0.3">
      <c r="A57" s="998" t="s">
        <v>4386</v>
      </c>
      <c r="B57" s="998"/>
      <c r="C57" s="998"/>
      <c r="D57" s="998"/>
      <c r="E57" s="998"/>
      <c r="F57" s="998"/>
      <c r="G57" s="998"/>
      <c r="H57" s="998"/>
      <c r="I57" s="998"/>
      <c r="J57" s="998"/>
      <c r="K57" s="998"/>
      <c r="L57" s="998"/>
      <c r="M57" s="998"/>
      <c r="N57" s="998"/>
      <c r="O57" s="998"/>
      <c r="P57" s="998"/>
      <c r="Q57" s="998"/>
      <c r="R57" s="998"/>
      <c r="S57" s="998"/>
      <c r="T57" s="998"/>
      <c r="U57" s="998"/>
      <c r="V57" s="998"/>
      <c r="W57" s="998"/>
      <c r="X57" s="998"/>
      <c r="Y57" s="998"/>
      <c r="Z57" s="998"/>
      <c r="AA57" s="998"/>
      <c r="AB57" s="998"/>
      <c r="AC57" s="998"/>
      <c r="AD57" s="998"/>
      <c r="AE57" s="998"/>
      <c r="AF57" s="998"/>
    </row>
    <row r="58" spans="1:32" ht="27.6" customHeight="1" x14ac:dyDescent="0.3">
      <c r="A58" s="998" t="s">
        <v>4387</v>
      </c>
      <c r="B58" s="998"/>
      <c r="C58" s="998"/>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998"/>
      <c r="AE58" s="998"/>
      <c r="AF58" s="998"/>
    </row>
    <row r="59" spans="1:32" ht="15.6" x14ac:dyDescent="0.3">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3">
      <c r="A60" s="3" t="s">
        <v>4388</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x14ac:dyDescent="0.3">
      <c r="A61" s="1019" t="s">
        <v>4389</v>
      </c>
      <c r="B61" s="1019"/>
      <c r="C61" s="1019"/>
      <c r="D61" s="1011" t="s">
        <v>4390</v>
      </c>
      <c r="E61" s="1011"/>
      <c r="F61" s="1011"/>
      <c r="G61" s="1011"/>
      <c r="H61" s="1011"/>
      <c r="I61" s="1011"/>
      <c r="J61" s="1011"/>
      <c r="K61" s="1011"/>
      <c r="L61" s="1011"/>
      <c r="M61" s="1011"/>
      <c r="N61" s="1011"/>
      <c r="O61" s="1011"/>
      <c r="P61" s="1011"/>
      <c r="Q61" s="1011"/>
      <c r="R61" s="1011"/>
      <c r="S61" s="1011" t="s">
        <v>4391</v>
      </c>
      <c r="T61" s="1011"/>
      <c r="U61" s="1011"/>
      <c r="V61" s="1011"/>
      <c r="W61" s="1011"/>
      <c r="X61" s="1011"/>
      <c r="Y61" s="1011"/>
      <c r="Z61" s="1011"/>
      <c r="AA61" s="1011"/>
      <c r="AB61" s="1011"/>
      <c r="AC61" s="1011"/>
      <c r="AD61" s="1011"/>
      <c r="AE61" s="1011"/>
      <c r="AF61" s="1011"/>
    </row>
    <row r="62" spans="1:32" ht="42.9" customHeight="1" x14ac:dyDescent="0.3">
      <c r="A62" s="1019"/>
      <c r="B62" s="1019"/>
      <c r="C62" s="1019"/>
      <c r="D62" s="1019" t="s">
        <v>4392</v>
      </c>
      <c r="E62" s="1019"/>
      <c r="F62" s="1019"/>
      <c r="G62" s="1019"/>
      <c r="H62" s="1019"/>
      <c r="I62" s="1019" t="s">
        <v>4393</v>
      </c>
      <c r="J62" s="1019"/>
      <c r="K62" s="1019"/>
      <c r="L62" s="1019"/>
      <c r="M62" s="1019"/>
      <c r="N62" s="1019" t="s">
        <v>4394</v>
      </c>
      <c r="O62" s="1019"/>
      <c r="P62" s="1019"/>
      <c r="Q62" s="1019"/>
      <c r="R62" s="1019"/>
      <c r="S62" s="1019" t="s">
        <v>4392</v>
      </c>
      <c r="T62" s="1019"/>
      <c r="U62" s="1019"/>
      <c r="V62" s="1019"/>
      <c r="W62" s="1019"/>
      <c r="X62" s="1019" t="s">
        <v>4393</v>
      </c>
      <c r="Y62" s="1019"/>
      <c r="Z62" s="1019"/>
      <c r="AA62" s="1019"/>
      <c r="AB62" s="1019"/>
      <c r="AC62" s="1019" t="s">
        <v>4394</v>
      </c>
      <c r="AD62" s="1019"/>
      <c r="AE62" s="1019"/>
      <c r="AF62" s="1019"/>
    </row>
    <row r="63" spans="1:32" x14ac:dyDescent="0.3">
      <c r="A63" s="1419" t="s">
        <v>4395</v>
      </c>
      <c r="B63" s="949"/>
      <c r="C63" s="949"/>
      <c r="D63" s="2499">
        <f>(1/47)*($N$45/$N$46)*(1-$N$47)*$N$49*$N$51</f>
        <v>2.9477203647416416E-2</v>
      </c>
      <c r="E63" s="2499"/>
      <c r="F63" s="2499"/>
      <c r="G63" s="2499"/>
      <c r="H63" s="2499"/>
      <c r="I63" s="2498">
        <f>D63*$N$54</f>
        <v>258.22030395136778</v>
      </c>
      <c r="J63" s="2498"/>
      <c r="K63" s="2498"/>
      <c r="L63" s="2498"/>
      <c r="M63" s="2498"/>
      <c r="N63" s="2498">
        <f>I63*$N$55</f>
        <v>1291.101519756839</v>
      </c>
      <c r="O63" s="2498"/>
      <c r="P63" s="2498"/>
      <c r="Q63" s="2498"/>
      <c r="R63" s="2498"/>
      <c r="S63" s="2499">
        <f>(1/47)*($N$45/$N$46)*(1-$N$48)*$N$50*$N$52</f>
        <v>1.9182857142857147E-2</v>
      </c>
      <c r="T63" s="2499"/>
      <c r="U63" s="2499"/>
      <c r="V63" s="2499"/>
      <c r="W63" s="2499"/>
      <c r="X63" s="2498">
        <f>S63*$N$54</f>
        <v>168.04182857142862</v>
      </c>
      <c r="Y63" s="2498"/>
      <c r="Z63" s="2498"/>
      <c r="AA63" s="2498"/>
      <c r="AB63" s="2498"/>
      <c r="AC63" s="2498">
        <f t="shared" ref="AC63:AC68" si="0">X63*$N$55</f>
        <v>840.20914285714309</v>
      </c>
      <c r="AD63" s="2498"/>
      <c r="AE63" s="2498"/>
      <c r="AF63" s="2498"/>
    </row>
    <row r="64" spans="1:32" x14ac:dyDescent="0.3">
      <c r="A64" s="1419" t="s">
        <v>4396</v>
      </c>
      <c r="B64" s="949"/>
      <c r="C64" s="949"/>
      <c r="D64" s="2499">
        <f>(1/25)*($N$45/$N$46)*(1-$N$47)*$N$49*$N$51</f>
        <v>5.5417142857142866E-2</v>
      </c>
      <c r="E64" s="2499"/>
      <c r="F64" s="2499"/>
      <c r="G64" s="2499"/>
      <c r="H64" s="2499"/>
      <c r="I64" s="2498">
        <f t="shared" ref="I64:I68" si="1">D64*$N$54</f>
        <v>485.4541714285715</v>
      </c>
      <c r="J64" s="2498"/>
      <c r="K64" s="2498"/>
      <c r="L64" s="2498"/>
      <c r="M64" s="2498"/>
      <c r="N64" s="2498">
        <f>I64*$N$55</f>
        <v>2427.2708571428575</v>
      </c>
      <c r="O64" s="2498"/>
      <c r="P64" s="2498"/>
      <c r="Q64" s="2498"/>
      <c r="R64" s="2498"/>
      <c r="S64" s="2499">
        <f>(1/25)*($N$45/$N$46)*(1-$N$48)*$N$50*$N$52</f>
        <v>3.6063771428571437E-2</v>
      </c>
      <c r="T64" s="2499"/>
      <c r="U64" s="2499"/>
      <c r="V64" s="2499"/>
      <c r="W64" s="2499"/>
      <c r="X64" s="2498">
        <f t="shared" ref="X64:X67" si="2">S64*$N$54</f>
        <v>315.91863771428581</v>
      </c>
      <c r="Y64" s="2498"/>
      <c r="Z64" s="2498"/>
      <c r="AA64" s="2498"/>
      <c r="AB64" s="2498"/>
      <c r="AC64" s="2498">
        <f t="shared" si="0"/>
        <v>1579.593188571429</v>
      </c>
      <c r="AD64" s="2498"/>
      <c r="AE64" s="2498"/>
      <c r="AF64" s="2498"/>
    </row>
    <row r="65" spans="1:32" x14ac:dyDescent="0.3">
      <c r="A65" s="1419" t="s">
        <v>4397</v>
      </c>
      <c r="B65" s="949"/>
      <c r="C65" s="949"/>
      <c r="D65" s="2499">
        <f>(1/20)*($N$45/$N$46)*(1-$N$47)*$N$49*$N$51</f>
        <v>6.9271428571428595E-2</v>
      </c>
      <c r="E65" s="2499"/>
      <c r="F65" s="2499"/>
      <c r="G65" s="2499"/>
      <c r="H65" s="2499"/>
      <c r="I65" s="2498">
        <f t="shared" si="1"/>
        <v>606.81771428571449</v>
      </c>
      <c r="J65" s="2498"/>
      <c r="K65" s="2498"/>
      <c r="L65" s="2498"/>
      <c r="M65" s="2498"/>
      <c r="N65" s="2498">
        <f t="shared" ref="N65:N68" si="3">I65*$N$55</f>
        <v>3034.0885714285723</v>
      </c>
      <c r="O65" s="2498"/>
      <c r="P65" s="2498"/>
      <c r="Q65" s="2498"/>
      <c r="R65" s="2498"/>
      <c r="S65" s="2499">
        <f>(1/20)*($N$45/$N$46)*(1-$N$48)*$N$50*$N$52</f>
        <v>4.5079714285714299E-2</v>
      </c>
      <c r="T65" s="2499"/>
      <c r="U65" s="2499"/>
      <c r="V65" s="2499"/>
      <c r="W65" s="2499"/>
      <c r="X65" s="2498">
        <f>S65*$N$54</f>
        <v>394.89829714285725</v>
      </c>
      <c r="Y65" s="2498"/>
      <c r="Z65" s="2498"/>
      <c r="AA65" s="2498"/>
      <c r="AB65" s="2498"/>
      <c r="AC65" s="2498">
        <f t="shared" si="0"/>
        <v>1974.4914857142862</v>
      </c>
      <c r="AD65" s="2498"/>
      <c r="AE65" s="2498"/>
      <c r="AF65" s="2498"/>
    </row>
    <row r="66" spans="1:32" x14ac:dyDescent="0.3">
      <c r="A66" s="1419" t="s">
        <v>4398</v>
      </c>
      <c r="B66" s="949"/>
      <c r="C66" s="949"/>
      <c r="D66" s="2499">
        <f>(1/15)*($N$45/$N$46)*(1-$N$47)*$N$49*$N$51</f>
        <v>9.236190476190477E-2</v>
      </c>
      <c r="E66" s="2499"/>
      <c r="F66" s="2499"/>
      <c r="G66" s="2499"/>
      <c r="H66" s="2499"/>
      <c r="I66" s="2498">
        <f>D66*$N$54</f>
        <v>809.09028571428576</v>
      </c>
      <c r="J66" s="2498"/>
      <c r="K66" s="2498"/>
      <c r="L66" s="2498"/>
      <c r="M66" s="2498"/>
      <c r="N66" s="2498">
        <f t="shared" si="3"/>
        <v>4045.4514285714286</v>
      </c>
      <c r="O66" s="2498"/>
      <c r="P66" s="2498"/>
      <c r="Q66" s="2498"/>
      <c r="R66" s="2498"/>
      <c r="S66" s="2499">
        <f>(1/15)*($N$45/$N$46)*(1-$N$48)*$N$50*$N$52</f>
        <v>6.0106285714285723E-2</v>
      </c>
      <c r="T66" s="2499"/>
      <c r="U66" s="2499"/>
      <c r="V66" s="2499"/>
      <c r="W66" s="2499"/>
      <c r="X66" s="2498">
        <f t="shared" si="2"/>
        <v>526.53106285714296</v>
      </c>
      <c r="Y66" s="2498"/>
      <c r="Z66" s="2498"/>
      <c r="AA66" s="2498"/>
      <c r="AB66" s="2498"/>
      <c r="AC66" s="2498">
        <f t="shared" si="0"/>
        <v>2632.6553142857147</v>
      </c>
      <c r="AD66" s="2498"/>
      <c r="AE66" s="2498"/>
      <c r="AF66" s="2498"/>
    </row>
    <row r="67" spans="1:32" x14ac:dyDescent="0.3">
      <c r="A67" s="1419" t="s">
        <v>4399</v>
      </c>
      <c r="B67" s="949"/>
      <c r="C67" s="949"/>
      <c r="D67" s="2499">
        <f>(1/8)*($N$45/$N$46)*(1-$N$47)*$N$49*$N$51</f>
        <v>0.17317857142857146</v>
      </c>
      <c r="E67" s="2499"/>
      <c r="F67" s="2499"/>
      <c r="G67" s="2499"/>
      <c r="H67" s="2499"/>
      <c r="I67" s="2498">
        <f t="shared" si="1"/>
        <v>1517.0442857142859</v>
      </c>
      <c r="J67" s="2498"/>
      <c r="K67" s="2498"/>
      <c r="L67" s="2498"/>
      <c r="M67" s="2498"/>
      <c r="N67" s="2498">
        <f t="shared" si="3"/>
        <v>7585.2214285714299</v>
      </c>
      <c r="O67" s="2498"/>
      <c r="P67" s="2498"/>
      <c r="Q67" s="2498"/>
      <c r="R67" s="2498"/>
      <c r="S67" s="2499">
        <f>(1/8)*($N$45/$N$46)*(1-$N$48)*$N$50*$N$52</f>
        <v>0.11269928571428572</v>
      </c>
      <c r="T67" s="2499"/>
      <c r="U67" s="2499"/>
      <c r="V67" s="2499"/>
      <c r="W67" s="2499"/>
      <c r="X67" s="2498">
        <f t="shared" si="2"/>
        <v>987.24574285714289</v>
      </c>
      <c r="Y67" s="2498"/>
      <c r="Z67" s="2498"/>
      <c r="AA67" s="2498"/>
      <c r="AB67" s="2498"/>
      <c r="AC67" s="2498">
        <f t="shared" si="0"/>
        <v>4936.2287142857149</v>
      </c>
      <c r="AD67" s="2498"/>
      <c r="AE67" s="2498"/>
      <c r="AF67" s="2498"/>
    </row>
    <row r="68" spans="1:32" x14ac:dyDescent="0.3">
      <c r="A68" s="1419" t="s">
        <v>4400</v>
      </c>
      <c r="B68" s="949"/>
      <c r="C68" s="949"/>
      <c r="D68" s="2499">
        <f>(1/3)*($N$45/$N$46)*(1-$N$47)*$N$49*$N$51</f>
        <v>0.46180952380952384</v>
      </c>
      <c r="E68" s="2499"/>
      <c r="F68" s="2499"/>
      <c r="G68" s="2499"/>
      <c r="H68" s="2499"/>
      <c r="I68" s="2498">
        <f t="shared" si="1"/>
        <v>4045.451428571429</v>
      </c>
      <c r="J68" s="2498"/>
      <c r="K68" s="2498"/>
      <c r="L68" s="2498"/>
      <c r="M68" s="2498"/>
      <c r="N68" s="2498">
        <f t="shared" si="3"/>
        <v>20227.257142857146</v>
      </c>
      <c r="O68" s="2498"/>
      <c r="P68" s="2498"/>
      <c r="Q68" s="2498"/>
      <c r="R68" s="2498"/>
      <c r="S68" s="2499">
        <f>(1/3)*($N$45/$N$46)*(1-$N$48)*$N$50*$N$52</f>
        <v>0.30053142857142862</v>
      </c>
      <c r="T68" s="2499"/>
      <c r="U68" s="2499"/>
      <c r="V68" s="2499"/>
      <c r="W68" s="2499"/>
      <c r="X68" s="2498">
        <f>S68*$N$54</f>
        <v>2632.6553142857147</v>
      </c>
      <c r="Y68" s="2498"/>
      <c r="Z68" s="2498"/>
      <c r="AA68" s="2498"/>
      <c r="AB68" s="2498"/>
      <c r="AC68" s="2498">
        <f t="shared" si="0"/>
        <v>13163.276571428574</v>
      </c>
      <c r="AD68" s="2498"/>
      <c r="AE68" s="2498"/>
      <c r="AF68" s="2498"/>
    </row>
    <row r="69" spans="1:32" x14ac:dyDescent="0.3">
      <c r="A69" s="3"/>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x14ac:dyDescent="0.3">
      <c r="A70" s="3" t="s">
        <v>4401</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x14ac:dyDescent="0.3">
      <c r="A71" s="1019" t="s">
        <v>4389</v>
      </c>
      <c r="B71" s="1019"/>
      <c r="C71" s="1019"/>
      <c r="D71" s="1011" t="s">
        <v>4390</v>
      </c>
      <c r="E71" s="1011"/>
      <c r="F71" s="1011"/>
      <c r="G71" s="1011"/>
      <c r="H71" s="1011"/>
      <c r="I71" s="1011"/>
      <c r="J71" s="1011"/>
      <c r="K71" s="1011"/>
      <c r="L71" s="1011"/>
      <c r="M71" s="1011"/>
      <c r="N71" s="1011"/>
      <c r="O71" s="1011"/>
      <c r="P71" s="1011"/>
      <c r="Q71" s="1011"/>
      <c r="R71" s="1011"/>
      <c r="S71" s="1011" t="s">
        <v>4391</v>
      </c>
      <c r="T71" s="1011"/>
      <c r="U71" s="1011"/>
      <c r="V71" s="1011"/>
      <c r="W71" s="1011"/>
      <c r="X71" s="1011"/>
      <c r="Y71" s="1011"/>
      <c r="Z71" s="1011"/>
      <c r="AA71" s="1011"/>
      <c r="AB71" s="1011"/>
      <c r="AC71" s="1011"/>
      <c r="AD71" s="1011"/>
      <c r="AE71" s="1011"/>
      <c r="AF71" s="1011"/>
    </row>
    <row r="72" spans="1:32" ht="44.1" customHeight="1" x14ac:dyDescent="0.3">
      <c r="A72" s="1019"/>
      <c r="B72" s="1019"/>
      <c r="C72" s="1019"/>
      <c r="D72" s="1019" t="s">
        <v>4392</v>
      </c>
      <c r="E72" s="1019"/>
      <c r="F72" s="1019"/>
      <c r="G72" s="1019"/>
      <c r="H72" s="1019"/>
      <c r="I72" s="1019" t="s">
        <v>4393</v>
      </c>
      <c r="J72" s="1019"/>
      <c r="K72" s="1019"/>
      <c r="L72" s="1019"/>
      <c r="M72" s="1019"/>
      <c r="N72" s="1019" t="s">
        <v>4394</v>
      </c>
      <c r="O72" s="1019"/>
      <c r="P72" s="1019"/>
      <c r="Q72" s="1019"/>
      <c r="R72" s="1019"/>
      <c r="S72" s="1019" t="s">
        <v>4392</v>
      </c>
      <c r="T72" s="1019"/>
      <c r="U72" s="1019"/>
      <c r="V72" s="1019"/>
      <c r="W72" s="1019"/>
      <c r="X72" s="1019" t="s">
        <v>4393</v>
      </c>
      <c r="Y72" s="1019"/>
      <c r="Z72" s="1019"/>
      <c r="AA72" s="1019"/>
      <c r="AB72" s="1019"/>
      <c r="AC72" s="1019" t="s">
        <v>4394</v>
      </c>
      <c r="AD72" s="1019"/>
      <c r="AE72" s="1019"/>
      <c r="AF72" s="1019"/>
    </row>
    <row r="73" spans="1:32" x14ac:dyDescent="0.3">
      <c r="A73" s="1419" t="s">
        <v>4395</v>
      </c>
      <c r="B73" s="949"/>
      <c r="C73" s="949"/>
      <c r="D73" s="2499">
        <f>(1/47)*($N$45/$Q$46)*(1-$N$47)*$N$49*$N$51</f>
        <v>1.4738601823708208E-2</v>
      </c>
      <c r="E73" s="2499"/>
      <c r="F73" s="2499"/>
      <c r="G73" s="2499"/>
      <c r="H73" s="2499"/>
      <c r="I73" s="2498">
        <f>D73*$N$54</f>
        <v>129.11015197568389</v>
      </c>
      <c r="J73" s="2498"/>
      <c r="K73" s="2498"/>
      <c r="L73" s="2498"/>
      <c r="M73" s="2498"/>
      <c r="N73" s="2498">
        <f>I73*$Q$55</f>
        <v>1936.6522796352583</v>
      </c>
      <c r="O73" s="2498"/>
      <c r="P73" s="2498"/>
      <c r="Q73" s="2498"/>
      <c r="R73" s="2498"/>
      <c r="S73" s="2499">
        <f>(1/47)*($N$45/$Q$46)*(1-$N$48)*$N$50*$N$52</f>
        <v>9.5914285714285737E-3</v>
      </c>
      <c r="T73" s="2499"/>
      <c r="U73" s="2499"/>
      <c r="V73" s="2499"/>
      <c r="W73" s="2499"/>
      <c r="X73" s="2498">
        <f>S73*$N$54</f>
        <v>84.020914285714312</v>
      </c>
      <c r="Y73" s="2498"/>
      <c r="Z73" s="2498"/>
      <c r="AA73" s="2498"/>
      <c r="AB73" s="2498"/>
      <c r="AC73" s="2498">
        <f t="shared" ref="AC73:AC78" si="4">X73*$Q$55</f>
        <v>1260.3137142857147</v>
      </c>
      <c r="AD73" s="2498"/>
      <c r="AE73" s="2498"/>
      <c r="AF73" s="2498"/>
    </row>
    <row r="74" spans="1:32" x14ac:dyDescent="0.3">
      <c r="A74" s="1419" t="s">
        <v>4396</v>
      </c>
      <c r="B74" s="949"/>
      <c r="C74" s="949"/>
      <c r="D74" s="2499">
        <f>(1/25)*($N$45/$Q$46)*(1-$N$47)*$N$49*$N$51</f>
        <v>2.7708571428571433E-2</v>
      </c>
      <c r="E74" s="2499"/>
      <c r="F74" s="2499"/>
      <c r="G74" s="2499"/>
      <c r="H74" s="2499"/>
      <c r="I74" s="2498">
        <f t="shared" ref="I74:I78" si="5">D74*$N$54</f>
        <v>242.72708571428575</v>
      </c>
      <c r="J74" s="2498"/>
      <c r="K74" s="2498"/>
      <c r="L74" s="2498"/>
      <c r="M74" s="2498"/>
      <c r="N74" s="2498">
        <f t="shared" ref="N74:N77" si="6">I74*$Q$55</f>
        <v>3640.9062857142862</v>
      </c>
      <c r="O74" s="2498"/>
      <c r="P74" s="2498"/>
      <c r="Q74" s="2498"/>
      <c r="R74" s="2498"/>
      <c r="S74" s="2499">
        <f>(1/25)*($N$45/$Q$46)*(1-$N$48)*$N$50*$N$52</f>
        <v>1.8031885714285718E-2</v>
      </c>
      <c r="T74" s="2499"/>
      <c r="U74" s="2499"/>
      <c r="V74" s="2499"/>
      <c r="W74" s="2499"/>
      <c r="X74" s="2498">
        <f t="shared" ref="X74:X77" si="7">S74*$N$54</f>
        <v>157.9593188571429</v>
      </c>
      <c r="Y74" s="2498"/>
      <c r="Z74" s="2498"/>
      <c r="AA74" s="2498"/>
      <c r="AB74" s="2498"/>
      <c r="AC74" s="2498">
        <f t="shared" si="4"/>
        <v>2369.3897828571435</v>
      </c>
      <c r="AD74" s="2498"/>
      <c r="AE74" s="2498"/>
      <c r="AF74" s="2498"/>
    </row>
    <row r="75" spans="1:32" x14ac:dyDescent="0.3">
      <c r="A75" s="1419" t="s">
        <v>4397</v>
      </c>
      <c r="B75" s="949"/>
      <c r="C75" s="949"/>
      <c r="D75" s="2499">
        <f>(1/20)*($N$45/$Q$46)*(1-$N$47)*$N$49*$N$51</f>
        <v>3.4635714285714297E-2</v>
      </c>
      <c r="E75" s="2499"/>
      <c r="F75" s="2499"/>
      <c r="G75" s="2499"/>
      <c r="H75" s="2499"/>
      <c r="I75" s="2498">
        <f t="shared" si="5"/>
        <v>303.40885714285724</v>
      </c>
      <c r="J75" s="2498"/>
      <c r="K75" s="2498"/>
      <c r="L75" s="2498"/>
      <c r="M75" s="2498"/>
      <c r="N75" s="2498">
        <f t="shared" si="6"/>
        <v>4551.1328571428585</v>
      </c>
      <c r="O75" s="2498"/>
      <c r="P75" s="2498"/>
      <c r="Q75" s="2498"/>
      <c r="R75" s="2498"/>
      <c r="S75" s="2499">
        <f>(1/20)*($N$45/$Q$46)*(1-$N$48)*$N$50*$N$52</f>
        <v>2.253985714285715E-2</v>
      </c>
      <c r="T75" s="2499"/>
      <c r="U75" s="2499"/>
      <c r="V75" s="2499"/>
      <c r="W75" s="2499"/>
      <c r="X75" s="2498">
        <f t="shared" si="7"/>
        <v>197.44914857142862</v>
      </c>
      <c r="Y75" s="2498"/>
      <c r="Z75" s="2498"/>
      <c r="AA75" s="2498"/>
      <c r="AB75" s="2498"/>
      <c r="AC75" s="2498">
        <f t="shared" si="4"/>
        <v>2961.7372285714291</v>
      </c>
      <c r="AD75" s="2498"/>
      <c r="AE75" s="2498"/>
      <c r="AF75" s="2498"/>
    </row>
    <row r="76" spans="1:32" x14ac:dyDescent="0.3">
      <c r="A76" s="1419" t="s">
        <v>4398</v>
      </c>
      <c r="B76" s="949"/>
      <c r="C76" s="949"/>
      <c r="D76" s="2499">
        <f>(1/15)*($N$45/$Q$46)*(1-$N$47)*$N$49*$N$51</f>
        <v>4.6180952380952385E-2</v>
      </c>
      <c r="E76" s="2499"/>
      <c r="F76" s="2499"/>
      <c r="G76" s="2499"/>
      <c r="H76" s="2499"/>
      <c r="I76" s="2498">
        <f>D76*$N$54</f>
        <v>404.54514285714288</v>
      </c>
      <c r="J76" s="2498"/>
      <c r="K76" s="2498"/>
      <c r="L76" s="2498"/>
      <c r="M76" s="2498"/>
      <c r="N76" s="2498">
        <f t="shared" si="6"/>
        <v>6068.1771428571428</v>
      </c>
      <c r="O76" s="2498"/>
      <c r="P76" s="2498"/>
      <c r="Q76" s="2498"/>
      <c r="R76" s="2498"/>
      <c r="S76" s="2499">
        <f>(1/15)*($N$45/$Q$46)*(1-$N$48)*$N$50*$N$52</f>
        <v>3.0053142857142862E-2</v>
      </c>
      <c r="T76" s="2499"/>
      <c r="U76" s="2499"/>
      <c r="V76" s="2499"/>
      <c r="W76" s="2499"/>
      <c r="X76" s="2498">
        <f t="shared" si="7"/>
        <v>263.26553142857148</v>
      </c>
      <c r="Y76" s="2498"/>
      <c r="Z76" s="2498"/>
      <c r="AA76" s="2498"/>
      <c r="AB76" s="2498"/>
      <c r="AC76" s="2498">
        <f t="shared" si="4"/>
        <v>3948.982971428572</v>
      </c>
      <c r="AD76" s="2498"/>
      <c r="AE76" s="2498"/>
      <c r="AF76" s="2498"/>
    </row>
    <row r="77" spans="1:32" x14ac:dyDescent="0.3">
      <c r="A77" s="1419" t="s">
        <v>4399</v>
      </c>
      <c r="B77" s="949"/>
      <c r="C77" s="949"/>
      <c r="D77" s="2499">
        <f>(1/8)*($N$45/$Q$46)*(1-$N$47)*$N$49*$N$51</f>
        <v>8.658928571428573E-2</v>
      </c>
      <c r="E77" s="2499"/>
      <c r="F77" s="2499"/>
      <c r="G77" s="2499"/>
      <c r="H77" s="2499"/>
      <c r="I77" s="2498">
        <f t="shared" si="5"/>
        <v>758.52214285714297</v>
      </c>
      <c r="J77" s="2498"/>
      <c r="K77" s="2498"/>
      <c r="L77" s="2498"/>
      <c r="M77" s="2498"/>
      <c r="N77" s="2498">
        <f t="shared" si="6"/>
        <v>11377.832142857145</v>
      </c>
      <c r="O77" s="2498"/>
      <c r="P77" s="2498"/>
      <c r="Q77" s="2498"/>
      <c r="R77" s="2498"/>
      <c r="S77" s="2499">
        <f>(1/8)*($N$45/$Q$46)*(1-$N$48)*$N$50*$N$52</f>
        <v>5.6349642857142862E-2</v>
      </c>
      <c r="T77" s="2499"/>
      <c r="U77" s="2499"/>
      <c r="V77" s="2499"/>
      <c r="W77" s="2499"/>
      <c r="X77" s="2498">
        <f t="shared" si="7"/>
        <v>493.62287142857144</v>
      </c>
      <c r="Y77" s="2498"/>
      <c r="Z77" s="2498"/>
      <c r="AA77" s="2498"/>
      <c r="AB77" s="2498"/>
      <c r="AC77" s="2498">
        <f t="shared" si="4"/>
        <v>7404.3430714285714</v>
      </c>
      <c r="AD77" s="2498"/>
      <c r="AE77" s="2498"/>
      <c r="AF77" s="2498"/>
    </row>
    <row r="78" spans="1:32" x14ac:dyDescent="0.3">
      <c r="A78" s="1419" t="s">
        <v>4400</v>
      </c>
      <c r="B78" s="949"/>
      <c r="C78" s="949"/>
      <c r="D78" s="2499">
        <f>(1/3)*($N$45/$Q$46)*(1-$N$47)*$N$49*$N$51</f>
        <v>0.23090476190476192</v>
      </c>
      <c r="E78" s="2499"/>
      <c r="F78" s="2499"/>
      <c r="G78" s="2499"/>
      <c r="H78" s="2499"/>
      <c r="I78" s="2498">
        <f t="shared" si="5"/>
        <v>2022.7257142857145</v>
      </c>
      <c r="J78" s="2498"/>
      <c r="K78" s="2498"/>
      <c r="L78" s="2498"/>
      <c r="M78" s="2498"/>
      <c r="N78" s="2498">
        <f>I78*$Q$55</f>
        <v>30340.885714285716</v>
      </c>
      <c r="O78" s="2498"/>
      <c r="P78" s="2498"/>
      <c r="Q78" s="2498"/>
      <c r="R78" s="2498"/>
      <c r="S78" s="2499">
        <f>(1/3)*($N$45/$Q$46)*(1-$N$48)*$N$50*$N$52</f>
        <v>0.15026571428571431</v>
      </c>
      <c r="T78" s="2499"/>
      <c r="U78" s="2499"/>
      <c r="V78" s="2499"/>
      <c r="W78" s="2499"/>
      <c r="X78" s="2498">
        <f>S78*$N$54</f>
        <v>1316.3276571428573</v>
      </c>
      <c r="Y78" s="2498"/>
      <c r="Z78" s="2498"/>
      <c r="AA78" s="2498"/>
      <c r="AB78" s="2498"/>
      <c r="AC78" s="2498">
        <f t="shared" si="4"/>
        <v>19744.91485714286</v>
      </c>
      <c r="AD78" s="2498"/>
      <c r="AE78" s="2498"/>
      <c r="AF78" s="2498"/>
    </row>
    <row r="79" spans="1:32" x14ac:dyDescent="0.3">
      <c r="A79" s="596">
        <v>1</v>
      </c>
      <c r="B79" s="596">
        <v>2</v>
      </c>
      <c r="C79" s="596">
        <v>3</v>
      </c>
      <c r="D79" s="596">
        <v>4</v>
      </c>
      <c r="E79" s="596">
        <v>5</v>
      </c>
      <c r="F79" s="596">
        <v>6</v>
      </c>
      <c r="G79" s="596">
        <v>7</v>
      </c>
      <c r="H79" s="596">
        <v>8</v>
      </c>
      <c r="I79" s="596">
        <v>9</v>
      </c>
      <c r="J79" s="596">
        <v>10</v>
      </c>
      <c r="K79" s="596">
        <v>11</v>
      </c>
      <c r="L79" s="596">
        <v>12</v>
      </c>
      <c r="M79" s="596">
        <v>13</v>
      </c>
      <c r="N79" s="596">
        <v>14</v>
      </c>
      <c r="O79" s="596">
        <v>15</v>
      </c>
      <c r="P79" s="596">
        <v>16</v>
      </c>
      <c r="Q79" s="596">
        <v>17</v>
      </c>
      <c r="R79" s="596">
        <v>18</v>
      </c>
      <c r="S79" s="596">
        <v>19</v>
      </c>
      <c r="T79" s="596">
        <v>20</v>
      </c>
      <c r="U79" s="596">
        <v>21</v>
      </c>
      <c r="V79" s="596">
        <v>22</v>
      </c>
      <c r="W79" s="596">
        <v>23</v>
      </c>
      <c r="X79" s="596">
        <v>24</v>
      </c>
      <c r="Y79" s="596">
        <v>25</v>
      </c>
      <c r="Z79" s="596">
        <v>26</v>
      </c>
      <c r="AA79" s="596">
        <v>27</v>
      </c>
      <c r="AB79" s="596">
        <v>28</v>
      </c>
      <c r="AC79" s="596">
        <v>29</v>
      </c>
      <c r="AD79" s="596">
        <v>30</v>
      </c>
      <c r="AE79" s="596">
        <v>31</v>
      </c>
      <c r="AF79" s="596">
        <v>32</v>
      </c>
    </row>
    <row r="80" spans="1:32" x14ac:dyDescent="0.3">
      <c r="A80" s="1141" t="s">
        <v>14</v>
      </c>
      <c r="B80" s="1141"/>
      <c r="C80" s="1141"/>
      <c r="D80" s="1141"/>
      <c r="E80" s="1141"/>
      <c r="F80" s="1141"/>
      <c r="G80" s="1141"/>
      <c r="H80" s="1141"/>
      <c r="I80" s="1141"/>
      <c r="J80" s="1141"/>
      <c r="K80" s="1141"/>
      <c r="L80" s="1141"/>
      <c r="M80" s="1141"/>
      <c r="N80" s="1141"/>
      <c r="O80" s="1141"/>
      <c r="P80" s="1141"/>
      <c r="Q80" s="1141"/>
      <c r="R80" s="1141"/>
      <c r="S80" s="1141"/>
      <c r="T80" s="1141"/>
      <c r="U80" s="1141"/>
      <c r="V80" s="1141"/>
      <c r="W80" s="1141"/>
      <c r="X80" s="1141"/>
      <c r="Y80" s="1141"/>
      <c r="Z80" s="1141"/>
      <c r="AA80" s="1141"/>
      <c r="AB80" s="1141"/>
      <c r="AC80" s="1141"/>
      <c r="AD80" s="1141"/>
      <c r="AE80" s="1141"/>
      <c r="AF80" s="1141"/>
    </row>
    <row r="82" spans="1:32" x14ac:dyDescent="0.3">
      <c r="A82" s="498" t="s">
        <v>4402</v>
      </c>
      <c r="B82" s="94"/>
      <c r="C82" s="94"/>
      <c r="D82" s="94"/>
      <c r="E82" s="94"/>
      <c r="F82" s="94"/>
      <c r="G82" s="94"/>
      <c r="H82" s="94"/>
      <c r="I82" s="94"/>
      <c r="J82" s="276"/>
      <c r="K82" s="276"/>
      <c r="L82" s="276"/>
      <c r="M82" s="276"/>
      <c r="N82" s="276"/>
      <c r="O82" s="276"/>
      <c r="P82" s="276"/>
      <c r="Q82" s="276"/>
      <c r="R82" s="276"/>
      <c r="S82" s="94"/>
      <c r="T82" s="94"/>
      <c r="U82" s="94"/>
      <c r="V82" s="94"/>
      <c r="W82" s="94"/>
      <c r="X82" s="94"/>
      <c r="Y82" s="94"/>
      <c r="Z82" s="94"/>
      <c r="AA82" s="94"/>
      <c r="AB82" s="94"/>
      <c r="AC82" s="94"/>
      <c r="AD82" s="94"/>
      <c r="AE82" s="94"/>
      <c r="AF82" s="94"/>
    </row>
    <row r="83" spans="1:32"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3">
      <c r="A84" s="94"/>
      <c r="B84" s="94"/>
      <c r="C84" s="94" t="s">
        <v>4403</v>
      </c>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3">
      <c r="A85" s="94"/>
      <c r="B85" s="94"/>
      <c r="C85" s="94"/>
      <c r="D85" s="94"/>
      <c r="E85" s="94"/>
      <c r="F85" s="2495" t="s">
        <v>4404</v>
      </c>
      <c r="G85" s="2496"/>
      <c r="H85" s="2497"/>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3">
      <c r="A86" s="94"/>
      <c r="B86" s="94"/>
      <c r="C86" s="94"/>
      <c r="D86" s="94"/>
      <c r="E86" s="94"/>
      <c r="F86" s="840"/>
      <c r="G86" s="840"/>
      <c r="H86" s="840"/>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x14ac:dyDescent="0.3">
      <c r="A87" s="94"/>
      <c r="B87" s="94"/>
      <c r="C87" s="94" t="s">
        <v>4405</v>
      </c>
      <c r="D87" s="94"/>
      <c r="E87" s="94"/>
      <c r="F87" s="840"/>
      <c r="G87" s="840"/>
      <c r="H87" s="840"/>
      <c r="I87" s="94"/>
      <c r="J87" s="94"/>
      <c r="K87" s="94"/>
      <c r="L87" s="94"/>
      <c r="M87" s="94"/>
      <c r="N87" s="94"/>
      <c r="O87" s="94"/>
      <c r="P87" s="94"/>
      <c r="Q87" s="94"/>
      <c r="R87" s="94"/>
      <c r="S87" s="94"/>
      <c r="T87" s="94"/>
      <c r="U87" s="94"/>
      <c r="V87" s="94"/>
      <c r="W87" s="94"/>
      <c r="X87" s="94"/>
      <c r="Y87" s="94"/>
      <c r="Z87" s="94"/>
      <c r="AA87" s="94"/>
      <c r="AB87" s="94"/>
      <c r="AC87" s="94"/>
      <c r="AD87" s="94"/>
      <c r="AE87" s="94"/>
      <c r="AF87" s="94"/>
    </row>
    <row r="88" spans="1:32" x14ac:dyDescent="0.3">
      <c r="A88" s="94"/>
      <c r="B88" s="94"/>
      <c r="C88" s="94"/>
      <c r="D88" s="94"/>
      <c r="E88" s="94"/>
      <c r="F88" s="2495" t="s">
        <v>4364</v>
      </c>
      <c r="G88" s="2496"/>
      <c r="H88" s="2497"/>
      <c r="I88" s="94"/>
      <c r="J88" s="94"/>
      <c r="K88" s="94"/>
      <c r="L88" s="94"/>
      <c r="M88" s="94"/>
      <c r="N88" s="94"/>
      <c r="O88" s="94"/>
      <c r="P88" s="94"/>
      <c r="Q88" s="94"/>
      <c r="R88" s="94"/>
      <c r="S88" s="94"/>
      <c r="T88" s="94"/>
      <c r="U88" s="94"/>
      <c r="V88" s="94"/>
      <c r="W88" s="94"/>
      <c r="X88" s="94"/>
      <c r="Y88" s="94"/>
      <c r="Z88" s="94"/>
      <c r="AA88" s="94"/>
      <c r="AB88" s="94"/>
      <c r="AC88" s="94"/>
      <c r="AD88" s="94"/>
      <c r="AE88" s="94"/>
      <c r="AF88" s="94"/>
    </row>
    <row r="89" spans="1:32" x14ac:dyDescent="0.3">
      <c r="A89" s="94"/>
      <c r="B89" s="94"/>
      <c r="C89" s="94"/>
      <c r="D89" s="94"/>
      <c r="E89" s="94"/>
      <c r="F89" s="840"/>
      <c r="G89" s="840"/>
      <c r="H89" s="840"/>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3">
      <c r="A90" s="94"/>
      <c r="B90" s="94"/>
      <c r="C90" s="94" t="s">
        <v>4406</v>
      </c>
      <c r="D90" s="94"/>
      <c r="E90" s="94"/>
      <c r="F90" s="840"/>
      <c r="G90" s="840"/>
      <c r="H90" s="840"/>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3">
      <c r="A91" s="94"/>
      <c r="B91" s="94"/>
      <c r="C91" s="94"/>
      <c r="D91" s="94"/>
      <c r="E91" s="94"/>
      <c r="F91" s="2495" t="s">
        <v>4395</v>
      </c>
      <c r="G91" s="2496"/>
      <c r="H91" s="2497"/>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3">
      <c r="A92" s="94"/>
      <c r="B92" s="94"/>
      <c r="C92" s="94"/>
      <c r="D92" s="94"/>
      <c r="E92" s="94"/>
      <c r="F92" s="840"/>
      <c r="G92" s="840"/>
      <c r="H92" s="840"/>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3">
      <c r="A93" s="94"/>
      <c r="B93" s="94"/>
      <c r="C93" s="94" t="s">
        <v>4407</v>
      </c>
      <c r="D93" s="94"/>
      <c r="E93" s="94"/>
      <c r="F93" s="840"/>
      <c r="G93" s="840"/>
      <c r="H93" s="840"/>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3">
      <c r="A94" s="94"/>
      <c r="B94" s="94"/>
      <c r="C94" s="94"/>
      <c r="D94" s="94"/>
      <c r="E94" s="94"/>
      <c r="F94" s="2495">
        <v>1</v>
      </c>
      <c r="G94" s="2496"/>
      <c r="H94" s="2497"/>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ht="15" thickBot="1" x14ac:dyDescent="0.3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ht="32.1" customHeight="1" x14ac:dyDescent="0.3">
      <c r="A96" s="1482" t="s">
        <v>15</v>
      </c>
      <c r="B96" s="1312"/>
      <c r="C96" s="1312"/>
      <c r="D96" s="1312"/>
      <c r="E96" s="1312"/>
      <c r="F96" s="1312"/>
      <c r="G96" s="1312"/>
      <c r="H96" s="1312"/>
      <c r="I96" s="1311" t="s">
        <v>2780</v>
      </c>
      <c r="J96" s="1312"/>
      <c r="K96" s="1312"/>
      <c r="L96" s="1312"/>
      <c r="M96" s="1312"/>
      <c r="N96" s="1312"/>
      <c r="O96" s="1312"/>
      <c r="P96" s="1312"/>
      <c r="Q96" s="1311" t="s">
        <v>2776</v>
      </c>
      <c r="R96" s="1312"/>
      <c r="S96" s="1312"/>
      <c r="T96" s="1312"/>
      <c r="U96" s="1312"/>
      <c r="V96" s="1312"/>
      <c r="W96" s="1312"/>
      <c r="X96" s="1312"/>
      <c r="Y96" s="1311" t="s">
        <v>1554</v>
      </c>
      <c r="Z96" s="1312"/>
      <c r="AA96" s="1312"/>
      <c r="AB96" s="1312"/>
      <c r="AC96" s="1312"/>
      <c r="AD96" s="1312"/>
      <c r="AE96" s="1312"/>
      <c r="AF96" s="1313"/>
    </row>
    <row r="97" spans="1:32" ht="48.6" customHeight="1" thickBot="1" x14ac:dyDescent="0.35">
      <c r="A97" s="2489" t="str">
        <f>F85&amp;" Evaporator Fan Motor Controls, "&amp;F91&amp;" hp, "&amp;F88&amp;", "&amp;F94&amp;" motor(s)"</f>
        <v>Cooler Evaporator Fan Motor Controls, 1/47 hp, ECM, 1 motor(s)</v>
      </c>
      <c r="B97" s="2490"/>
      <c r="C97" s="2490"/>
      <c r="D97" s="2490"/>
      <c r="E97" s="2490"/>
      <c r="F97" s="2490"/>
      <c r="G97" s="2490"/>
      <c r="H97" s="2490"/>
      <c r="I97" s="2491">
        <f>ROUND(IF(AND($F$88="SP",$F$85="Cooler"),VLOOKUP($F$91,$A$61:$AF$68,4,FALSE)*$F$94,IF(AND($F$88="ECM",$F$85="Cooler"),VLOOKUP($F$91,$A$71:$AF$78,4,FALSE)*$F$94,IF(AND($F$88="SP",$F$85="Freezer"),VLOOKUP($F$91,$A$61:$AF$68,19,FALSE)*$F$94,IF(AND($F$88="ECM",$F$85="Freezer"),VLOOKUP($F$91,$A$71:$AF$78,19,FALSE)*$F$94,"NA")))),3)</f>
        <v>1.4999999999999999E-2</v>
      </c>
      <c r="J97" s="2491"/>
      <c r="K97" s="2491"/>
      <c r="L97" s="2491"/>
      <c r="M97" s="2491"/>
      <c r="N97" s="2491"/>
      <c r="O97" s="2491"/>
      <c r="P97" s="2491"/>
      <c r="Q97" s="2492">
        <f>ROUND(IF(AND($F$88="SP",$F$85="Cooler"),VLOOKUP($F$91,$A$61:$AF$68,9,FALSE)*$F$94,IF(AND($F$88="ECM",$F$85="Cooler"),VLOOKUP($F$91,$A$71:$AF$78,9,FALSE)*$F$94,IF(AND($F$88="SP",$F$85="Freezer"),VLOOKUP($F$91,$A$61:$AF$68,24,FALSE)*$F$94,IF(AND($F$88="ECM",$F$85="Freezer"),VLOOKUP($F$91,$A$71:$AF$78,24,FALSE)*$F$94,"NA")))),2)</f>
        <v>129.11000000000001</v>
      </c>
      <c r="R97" s="2492"/>
      <c r="S97" s="2492"/>
      <c r="T97" s="2492"/>
      <c r="U97" s="2492"/>
      <c r="V97" s="2492"/>
      <c r="W97" s="2492"/>
      <c r="X97" s="2492"/>
      <c r="Y97" s="2493">
        <f>ROUND(IF(AND($F$88="SP",$F$85="Cooler"),VLOOKUP($F$91,$A$61:$AF$68,14,FALSE)*$F$94,IF(AND($F$88="ECM",$F$85="Cooler"),VLOOKUP($F$91,$A$71:$AF$78,14,FALSE)*$F$94,IF(AND($F$88="SP",$F$85="Freezer"),VLOOKUP($F$91,$A$61:$AF$68,29,FALSE)*$F$94,IF(AND($F$88="ECM",$F$85="Freezer"),VLOOKUP($F$91,$A$71:$AF$78,29,FALSE)*$F$94,"NA")))),2)</f>
        <v>1936.65</v>
      </c>
      <c r="Z97" s="2493"/>
      <c r="AA97" s="2493"/>
      <c r="AB97" s="2493"/>
      <c r="AC97" s="2493"/>
      <c r="AD97" s="2493"/>
      <c r="AE97" s="2493"/>
      <c r="AF97" s="2494"/>
    </row>
    <row r="98" spans="1:32"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3">
      <c r="A99" s="1290" t="s">
        <v>1514</v>
      </c>
      <c r="B99" s="1290"/>
      <c r="C99" s="1290"/>
      <c r="D99" s="1290"/>
      <c r="E99" s="1290"/>
      <c r="F99" s="1290"/>
      <c r="G99" s="1290"/>
      <c r="H99" s="1290"/>
      <c r="I99" s="1290"/>
      <c r="J99" s="1290"/>
      <c r="K99" s="1290"/>
      <c r="L99" s="1290"/>
      <c r="M99" s="1290"/>
      <c r="N99" s="1290"/>
      <c r="O99" s="1290"/>
      <c r="P99" s="1290"/>
      <c r="Q99" s="1290"/>
      <c r="R99" s="1290"/>
      <c r="S99" s="1290"/>
      <c r="T99" s="1290"/>
      <c r="U99" s="1290"/>
      <c r="V99" s="1290"/>
      <c r="W99" s="1290"/>
      <c r="X99" s="1290"/>
      <c r="Y99" s="1290"/>
      <c r="Z99" s="1290"/>
      <c r="AA99" s="1290"/>
      <c r="AB99" s="1290"/>
      <c r="AC99" s="1290"/>
      <c r="AD99" s="1290"/>
      <c r="AE99" s="1290"/>
      <c r="AF99" s="1290"/>
    </row>
    <row r="101" spans="1:32" ht="14.4" customHeight="1" x14ac:dyDescent="0.3">
      <c r="A101" s="370" t="s">
        <v>803</v>
      </c>
      <c r="B101" s="889" t="s">
        <v>4518</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row>
    <row r="102" spans="1:32" x14ac:dyDescent="0.3">
      <c r="A102" s="370" t="s">
        <v>803</v>
      </c>
      <c r="B102" s="889" t="s">
        <v>4408</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row>
    <row r="103" spans="1:32" x14ac:dyDescent="0.3">
      <c r="A103" s="370" t="s">
        <v>803</v>
      </c>
      <c r="B103" s="889" t="s">
        <v>4409</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row>
    <row r="104" spans="1:32" ht="29.4" customHeight="1" x14ac:dyDescent="0.3">
      <c r="A104" s="370" t="s">
        <v>803</v>
      </c>
      <c r="B104" s="889" t="s">
        <v>4410</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row>
    <row r="105" spans="1:32" x14ac:dyDescent="0.3">
      <c r="A105" s="370" t="s">
        <v>803</v>
      </c>
      <c r="B105" s="889" t="s">
        <v>4411</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row>
    <row r="106" spans="1:32" ht="29.4" customHeight="1" x14ac:dyDescent="0.3">
      <c r="A106" s="370" t="s">
        <v>803</v>
      </c>
      <c r="B106" s="889" t="s">
        <v>4412</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row>
    <row r="107" spans="1:32" ht="29.1" customHeight="1" x14ac:dyDescent="0.3">
      <c r="A107" s="370" t="s">
        <v>803</v>
      </c>
      <c r="B107" s="889" t="s">
        <v>4413</v>
      </c>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row>
    <row r="108" spans="1:32" ht="30.6" customHeight="1" x14ac:dyDescent="0.3">
      <c r="A108" s="370" t="s">
        <v>803</v>
      </c>
      <c r="B108" s="889" t="s">
        <v>4414</v>
      </c>
      <c r="C108" s="889"/>
      <c r="D108" s="889"/>
      <c r="E108" s="889"/>
      <c r="F108" s="889"/>
      <c r="G108" s="889"/>
      <c r="H108" s="889"/>
      <c r="I108" s="889"/>
      <c r="J108" s="889"/>
      <c r="K108" s="889"/>
      <c r="L108" s="889"/>
      <c r="M108" s="889"/>
      <c r="N108" s="889"/>
      <c r="O108" s="889"/>
      <c r="P108" s="889"/>
      <c r="Q108" s="889"/>
      <c r="R108" s="889"/>
      <c r="S108" s="889"/>
      <c r="T108" s="889"/>
      <c r="U108" s="889"/>
      <c r="V108" s="889"/>
      <c r="W108" s="889"/>
      <c r="X108" s="889"/>
      <c r="Y108" s="889"/>
      <c r="Z108" s="889"/>
      <c r="AA108" s="889"/>
      <c r="AB108" s="889"/>
      <c r="AC108" s="889"/>
      <c r="AD108" s="889"/>
      <c r="AE108" s="889"/>
      <c r="AF108" s="889"/>
    </row>
    <row r="109" spans="1:32" ht="14.4" customHeight="1" x14ac:dyDescent="0.3">
      <c r="A109" s="370" t="s">
        <v>803</v>
      </c>
      <c r="B109" s="889" t="s">
        <v>4415</v>
      </c>
      <c r="C109" s="889"/>
      <c r="D109" s="889"/>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c r="AE109" s="889"/>
      <c r="AF109" s="889"/>
    </row>
    <row r="110" spans="1:32" ht="32.1" customHeight="1" x14ac:dyDescent="0.3">
      <c r="A110" s="370" t="s">
        <v>803</v>
      </c>
      <c r="B110" s="889" t="s">
        <v>4416</v>
      </c>
      <c r="C110" s="889"/>
      <c r="D110" s="889"/>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c r="AE110" s="889"/>
      <c r="AF110" s="889"/>
    </row>
    <row r="113" spans="12:12" x14ac:dyDescent="0.3">
      <c r="L113" s="94"/>
    </row>
  </sheetData>
  <sheetProtection algorithmName="SHA-512" hashValue="qv/b54DTHYZ0x903hEnPQLUVglsNd9/8CaskiAQFxMQjlflxf50iT+WFauEviYBLoSKsDmD70PNaHPYQMsql1g==" saltValue="OzLbmjvlOPLMBZExnbQGzg==" spinCount="100000" sheet="1" objects="1" scenarios="1"/>
  <mergeCells count="210">
    <mergeCell ref="A1:AF1"/>
    <mergeCell ref="A3:AF3"/>
    <mergeCell ref="B5:AF5"/>
    <mergeCell ref="A7:AF7"/>
    <mergeCell ref="B10:AF10"/>
    <mergeCell ref="C13:AF13"/>
    <mergeCell ref="C14:AF14"/>
    <mergeCell ref="B17:AF17"/>
    <mergeCell ref="A26:AF26"/>
    <mergeCell ref="A40:AF40"/>
    <mergeCell ref="A41:D42"/>
    <mergeCell ref="E41:M42"/>
    <mergeCell ref="N41:S41"/>
    <mergeCell ref="T41:V42"/>
    <mergeCell ref="W41:AF42"/>
    <mergeCell ref="N42:P42"/>
    <mergeCell ref="A44:D44"/>
    <mergeCell ref="E44:M44"/>
    <mergeCell ref="N44:P44"/>
    <mergeCell ref="Q44:S44"/>
    <mergeCell ref="T44:V44"/>
    <mergeCell ref="W44:AF44"/>
    <mergeCell ref="Q42:S42"/>
    <mergeCell ref="A43:D43"/>
    <mergeCell ref="E43:M43"/>
    <mergeCell ref="N43:S43"/>
    <mergeCell ref="T43:V43"/>
    <mergeCell ref="W43:AF43"/>
    <mergeCell ref="A45:D45"/>
    <mergeCell ref="E45:M45"/>
    <mergeCell ref="N45:S45"/>
    <mergeCell ref="T45:V45"/>
    <mergeCell ref="W45:AF45"/>
    <mergeCell ref="A46:D46"/>
    <mergeCell ref="E46:M46"/>
    <mergeCell ref="N46:P46"/>
    <mergeCell ref="Q46:S46"/>
    <mergeCell ref="T46:V46"/>
    <mergeCell ref="W46:AF46"/>
    <mergeCell ref="A47:D48"/>
    <mergeCell ref="E47:M47"/>
    <mergeCell ref="N47:S47"/>
    <mergeCell ref="T47:V47"/>
    <mergeCell ref="W47:AF47"/>
    <mergeCell ref="E48:M48"/>
    <mergeCell ref="N48:S48"/>
    <mergeCell ref="T48:V48"/>
    <mergeCell ref="W48:AF48"/>
    <mergeCell ref="A51:D52"/>
    <mergeCell ref="E51:M51"/>
    <mergeCell ref="N51:S51"/>
    <mergeCell ref="T51:V51"/>
    <mergeCell ref="W51:AF52"/>
    <mergeCell ref="E52:M52"/>
    <mergeCell ref="N52:S52"/>
    <mergeCell ref="T52:V52"/>
    <mergeCell ref="A49:D50"/>
    <mergeCell ref="E49:M49"/>
    <mergeCell ref="N49:S49"/>
    <mergeCell ref="T49:V49"/>
    <mergeCell ref="W49:AF49"/>
    <mergeCell ref="E50:M50"/>
    <mergeCell ref="N50:S50"/>
    <mergeCell ref="T50:V50"/>
    <mergeCell ref="W50:AF50"/>
    <mergeCell ref="A55:D55"/>
    <mergeCell ref="E55:M55"/>
    <mergeCell ref="N55:P55"/>
    <mergeCell ref="Q55:S55"/>
    <mergeCell ref="T55:V55"/>
    <mergeCell ref="W55:AF55"/>
    <mergeCell ref="A53:D53"/>
    <mergeCell ref="E53:M53"/>
    <mergeCell ref="N53:S53"/>
    <mergeCell ref="T53:V53"/>
    <mergeCell ref="W53:AF53"/>
    <mergeCell ref="A54:D54"/>
    <mergeCell ref="E54:M54"/>
    <mergeCell ref="N54:S54"/>
    <mergeCell ref="T54:V54"/>
    <mergeCell ref="W54:AF54"/>
    <mergeCell ref="A56:AF56"/>
    <mergeCell ref="A57:AF57"/>
    <mergeCell ref="A58:AF58"/>
    <mergeCell ref="A61:C62"/>
    <mergeCell ref="D61:R61"/>
    <mergeCell ref="S61:AF61"/>
    <mergeCell ref="D62:H62"/>
    <mergeCell ref="I62:M62"/>
    <mergeCell ref="N62:R62"/>
    <mergeCell ref="S62:W62"/>
    <mergeCell ref="X62:AB62"/>
    <mergeCell ref="AC62:AF62"/>
    <mergeCell ref="A63:C63"/>
    <mergeCell ref="D63:H63"/>
    <mergeCell ref="I63:M63"/>
    <mergeCell ref="N63:R63"/>
    <mergeCell ref="S63:W63"/>
    <mergeCell ref="X63:AB63"/>
    <mergeCell ref="AC63:AF63"/>
    <mergeCell ref="AC64:AF64"/>
    <mergeCell ref="A65:C65"/>
    <mergeCell ref="D65:H65"/>
    <mergeCell ref="I65:M65"/>
    <mergeCell ref="N65:R65"/>
    <mergeCell ref="S65:W65"/>
    <mergeCell ref="X65:AB65"/>
    <mergeCell ref="AC65:AF65"/>
    <mergeCell ref="A64:C64"/>
    <mergeCell ref="D64:H64"/>
    <mergeCell ref="I64:M64"/>
    <mergeCell ref="N64:R64"/>
    <mergeCell ref="S64:W64"/>
    <mergeCell ref="X64:AB64"/>
    <mergeCell ref="AC66:AF66"/>
    <mergeCell ref="A67:C67"/>
    <mergeCell ref="D67:H67"/>
    <mergeCell ref="I67:M67"/>
    <mergeCell ref="N67:R67"/>
    <mergeCell ref="S67:W67"/>
    <mergeCell ref="X67:AB67"/>
    <mergeCell ref="AC67:AF67"/>
    <mergeCell ref="A66:C66"/>
    <mergeCell ref="D66:H66"/>
    <mergeCell ref="I66:M66"/>
    <mergeCell ref="N66:R66"/>
    <mergeCell ref="S66:W66"/>
    <mergeCell ref="X66:AB66"/>
    <mergeCell ref="AC68:AF68"/>
    <mergeCell ref="A71:C72"/>
    <mergeCell ref="D71:R71"/>
    <mergeCell ref="S71:AF71"/>
    <mergeCell ref="D72:H72"/>
    <mergeCell ref="I72:M72"/>
    <mergeCell ref="N72:R72"/>
    <mergeCell ref="S72:W72"/>
    <mergeCell ref="X72:AB72"/>
    <mergeCell ref="AC72:AF72"/>
    <mergeCell ref="A68:C68"/>
    <mergeCell ref="D68:H68"/>
    <mergeCell ref="I68:M68"/>
    <mergeCell ref="N68:R68"/>
    <mergeCell ref="S68:W68"/>
    <mergeCell ref="X68:AB68"/>
    <mergeCell ref="AC73:AF73"/>
    <mergeCell ref="A74:C74"/>
    <mergeCell ref="D74:H74"/>
    <mergeCell ref="I74:M74"/>
    <mergeCell ref="N74:R74"/>
    <mergeCell ref="S74:W74"/>
    <mergeCell ref="X74:AB74"/>
    <mergeCell ref="AC74:AF74"/>
    <mergeCell ref="A73:C73"/>
    <mergeCell ref="D73:H73"/>
    <mergeCell ref="I73:M73"/>
    <mergeCell ref="N73:R73"/>
    <mergeCell ref="S73:W73"/>
    <mergeCell ref="X73:AB73"/>
    <mergeCell ref="AC75:AF75"/>
    <mergeCell ref="A76:C76"/>
    <mergeCell ref="D76:H76"/>
    <mergeCell ref="I76:M76"/>
    <mergeCell ref="N76:R76"/>
    <mergeCell ref="S76:W76"/>
    <mergeCell ref="X76:AB76"/>
    <mergeCell ref="AC76:AF76"/>
    <mergeCell ref="A75:C75"/>
    <mergeCell ref="D75:H75"/>
    <mergeCell ref="I75:M75"/>
    <mergeCell ref="N75:R75"/>
    <mergeCell ref="S75:W75"/>
    <mergeCell ref="X75:AB75"/>
    <mergeCell ref="AC77:AF77"/>
    <mergeCell ref="A78:C78"/>
    <mergeCell ref="D78:H78"/>
    <mergeCell ref="I78:M78"/>
    <mergeCell ref="N78:R78"/>
    <mergeCell ref="S78:W78"/>
    <mergeCell ref="X78:AB78"/>
    <mergeCell ref="AC78:AF78"/>
    <mergeCell ref="A77:C77"/>
    <mergeCell ref="D77:H77"/>
    <mergeCell ref="I77:M77"/>
    <mergeCell ref="N77:R77"/>
    <mergeCell ref="S77:W77"/>
    <mergeCell ref="X77:AB77"/>
    <mergeCell ref="A97:H97"/>
    <mergeCell ref="I97:P97"/>
    <mergeCell ref="Q97:X97"/>
    <mergeCell ref="Y97:AF97"/>
    <mergeCell ref="A99:AF99"/>
    <mergeCell ref="B101:AF101"/>
    <mergeCell ref="A80:AF80"/>
    <mergeCell ref="F85:H85"/>
    <mergeCell ref="F88:H88"/>
    <mergeCell ref="F91:H91"/>
    <mergeCell ref="F94:H94"/>
    <mergeCell ref="A96:H96"/>
    <mergeCell ref="I96:P96"/>
    <mergeCell ref="Q96:X96"/>
    <mergeCell ref="Y96:AF96"/>
    <mergeCell ref="B108:AF108"/>
    <mergeCell ref="B109:AF109"/>
    <mergeCell ref="B110:AF110"/>
    <mergeCell ref="B102:AF102"/>
    <mergeCell ref="B103:AF103"/>
    <mergeCell ref="B104:AF104"/>
    <mergeCell ref="B105:AF105"/>
    <mergeCell ref="B106:AF106"/>
    <mergeCell ref="B107:AF107"/>
  </mergeCells>
  <dataValidations count="3">
    <dataValidation type="list" allowBlank="1" showInputMessage="1" showErrorMessage="1" sqref="F85:H85" xr:uid="{00000000-0002-0000-3A00-000000000000}">
      <formula1>"Cooler,Freezer"</formula1>
    </dataValidation>
    <dataValidation type="list" allowBlank="1" showInputMessage="1" showErrorMessage="1" sqref="F88:H88" xr:uid="{00000000-0002-0000-3A00-000001000000}">
      <formula1>"SP,ECM"</formula1>
    </dataValidation>
    <dataValidation type="list" allowBlank="1" showInputMessage="1" showErrorMessage="1" sqref="F91:H91" xr:uid="{00000000-0002-0000-3A00-000002000000}">
      <formula1>$A$73:$A$78</formula1>
    </dataValidation>
  </dataValidations>
  <hyperlinks>
    <hyperlink ref="A2" location="TOC!A1" display="Return to TOC" xr:uid="{00000000-0004-0000-3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8" numberStoredAsText="1"/>
    <ignoredError sqref="A63 A73 F91"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9">
    <pageSetUpPr autoPageBreaks="0"/>
  </sheetPr>
  <dimension ref="A1:AB20"/>
  <sheetViews>
    <sheetView showGridLines="0" workbookViewId="0"/>
  </sheetViews>
  <sheetFormatPr defaultColWidth="8.88671875" defaultRowHeight="14.4" x14ac:dyDescent="0.3"/>
  <cols>
    <col min="1" max="1" width="23.109375" style="156" customWidth="1"/>
    <col min="2" max="2" width="5.33203125" style="156" customWidth="1"/>
    <col min="3" max="3" width="3.6640625" style="156" customWidth="1"/>
    <col min="4" max="5" width="8.88671875" style="156"/>
    <col min="6" max="6" width="18.88671875" style="156" customWidth="1"/>
    <col min="7" max="7" width="4.5546875" style="156" customWidth="1"/>
    <col min="8" max="9" width="8.88671875" style="156"/>
  </cols>
  <sheetData>
    <row r="1" spans="1:28" s="131" customFormat="1" ht="18" customHeight="1" thickBot="1" x14ac:dyDescent="0.35">
      <c r="A1" s="208" t="s">
        <v>1076</v>
      </c>
      <c r="B1" s="209"/>
      <c r="C1" s="209"/>
      <c r="D1" s="209"/>
      <c r="E1" s="209"/>
      <c r="F1" s="209"/>
      <c r="G1" s="209"/>
      <c r="H1" s="209"/>
      <c r="I1" s="209"/>
      <c r="J1" s="176"/>
      <c r="K1" s="176"/>
      <c r="L1" s="176"/>
      <c r="M1" s="176"/>
      <c r="N1" s="176"/>
      <c r="O1" s="176"/>
      <c r="P1" s="176"/>
      <c r="Q1" s="176"/>
      <c r="R1" s="176"/>
      <c r="S1" s="176"/>
      <c r="T1" s="176"/>
      <c r="U1" s="176"/>
      <c r="V1" s="176"/>
      <c r="W1" s="176"/>
      <c r="X1" s="176"/>
      <c r="Y1" s="176"/>
      <c r="Z1" s="176"/>
      <c r="AA1" s="176"/>
      <c r="AB1" s="176"/>
    </row>
    <row r="2" spans="1:28" x14ac:dyDescent="0.3">
      <c r="A2" s="227" t="s">
        <v>1456</v>
      </c>
    </row>
    <row r="3" spans="1:28" x14ac:dyDescent="0.3">
      <c r="A3" s="156" t="s">
        <v>1126</v>
      </c>
      <c r="B3" s="156" t="s">
        <v>5927</v>
      </c>
    </row>
    <row r="4" spans="1:28" x14ac:dyDescent="0.3">
      <c r="A4" s="156" t="s">
        <v>4342</v>
      </c>
      <c r="B4" s="828" t="s">
        <v>6652</v>
      </c>
      <c r="C4" s="828"/>
      <c r="D4" s="94"/>
    </row>
    <row r="5" spans="1:28" x14ac:dyDescent="0.3">
      <c r="A5" s="156" t="s">
        <v>1127</v>
      </c>
      <c r="B5" s="177" t="s">
        <v>6649</v>
      </c>
    </row>
    <row r="6" spans="1:28" x14ac:dyDescent="0.3">
      <c r="B6" s="177"/>
    </row>
    <row r="7" spans="1:28" x14ac:dyDescent="0.3">
      <c r="A7" s="156" t="s">
        <v>1128</v>
      </c>
    </row>
    <row r="9" spans="1:28" ht="29.4" customHeight="1" x14ac:dyDescent="0.3">
      <c r="A9" s="164" t="s">
        <v>1132</v>
      </c>
    </row>
    <row r="10" spans="1:28" ht="29.4" customHeight="1" x14ac:dyDescent="0.3">
      <c r="A10" s="877" t="s">
        <v>6459</v>
      </c>
      <c r="B10" s="877"/>
      <c r="C10" s="211"/>
      <c r="D10" s="880" t="s">
        <v>4639</v>
      </c>
      <c r="E10" s="877"/>
      <c r="F10" s="877"/>
      <c r="G10" s="211"/>
      <c r="H10" s="873">
        <v>45251</v>
      </c>
      <c r="I10" s="874"/>
    </row>
    <row r="11" spans="1:28" ht="29.4" customHeight="1" x14ac:dyDescent="0.3">
      <c r="A11" s="876" t="s">
        <v>1129</v>
      </c>
      <c r="B11" s="876"/>
      <c r="D11" s="876" t="s">
        <v>1130</v>
      </c>
      <c r="E11" s="876"/>
      <c r="F11" s="876"/>
      <c r="G11"/>
      <c r="H11" s="875" t="s">
        <v>825</v>
      </c>
      <c r="I11" s="875"/>
    </row>
    <row r="12" spans="1:28" ht="29.4" customHeight="1" x14ac:dyDescent="0.3">
      <c r="A12" s="164" t="s">
        <v>1131</v>
      </c>
      <c r="H12"/>
      <c r="I12"/>
    </row>
    <row r="13" spans="1:28" ht="32.1" customHeight="1" x14ac:dyDescent="0.3">
      <c r="A13" s="877" t="s">
        <v>6457</v>
      </c>
      <c r="B13" s="877"/>
      <c r="D13" s="880" t="s">
        <v>4638</v>
      </c>
      <c r="E13" s="877"/>
      <c r="F13" s="877"/>
      <c r="H13" s="881">
        <v>45249</v>
      </c>
      <c r="I13" s="882"/>
    </row>
    <row r="14" spans="1:28" ht="29.4" customHeight="1" x14ac:dyDescent="0.3">
      <c r="A14" s="876" t="s">
        <v>1129</v>
      </c>
      <c r="B14" s="876"/>
      <c r="D14" s="876" t="s">
        <v>1130</v>
      </c>
      <c r="E14" s="876"/>
      <c r="F14" s="876"/>
      <c r="G14"/>
      <c r="H14" s="875" t="s">
        <v>825</v>
      </c>
      <c r="I14" s="875"/>
    </row>
    <row r="15" spans="1:28" ht="29.4" customHeight="1" x14ac:dyDescent="0.3">
      <c r="A15" s="164" t="s">
        <v>3680</v>
      </c>
      <c r="H15"/>
      <c r="I15"/>
    </row>
    <row r="16" spans="1:28" ht="32.1" customHeight="1" x14ac:dyDescent="0.3">
      <c r="A16" s="877" t="s">
        <v>6650</v>
      </c>
      <c r="B16" s="877"/>
      <c r="C16" s="211"/>
      <c r="D16" s="878" t="s">
        <v>6651</v>
      </c>
      <c r="E16" s="879"/>
      <c r="F16" s="879"/>
      <c r="G16" s="211"/>
      <c r="H16" s="873">
        <v>45280</v>
      </c>
      <c r="I16" s="874"/>
    </row>
    <row r="17" spans="1:9" ht="29.4" customHeight="1" x14ac:dyDescent="0.3">
      <c r="A17" s="876" t="s">
        <v>1129</v>
      </c>
      <c r="B17" s="876"/>
      <c r="D17" s="876" t="s">
        <v>1130</v>
      </c>
      <c r="E17" s="876"/>
      <c r="F17" s="876"/>
      <c r="G17"/>
      <c r="H17" s="875" t="s">
        <v>825</v>
      </c>
      <c r="I17" s="875"/>
    </row>
    <row r="18" spans="1:9" ht="29.4" customHeight="1" x14ac:dyDescent="0.3">
      <c r="A18" s="164" t="s">
        <v>3343</v>
      </c>
      <c r="H18"/>
      <c r="I18"/>
    </row>
    <row r="19" spans="1:9" ht="29.4" customHeight="1" x14ac:dyDescent="0.3">
      <c r="A19" s="877" t="s">
        <v>6460</v>
      </c>
      <c r="B19" s="877"/>
      <c r="C19" s="211"/>
      <c r="D19" s="878" t="s">
        <v>4640</v>
      </c>
      <c r="E19" s="879"/>
      <c r="F19" s="879"/>
      <c r="G19" s="211"/>
      <c r="H19" s="873">
        <v>45295</v>
      </c>
      <c r="I19" s="874"/>
    </row>
    <row r="20" spans="1:9" ht="29.4" customHeight="1" x14ac:dyDescent="0.3">
      <c r="A20" s="876" t="s">
        <v>1129</v>
      </c>
      <c r="B20" s="876"/>
      <c r="D20" s="876" t="s">
        <v>1130</v>
      </c>
      <c r="E20" s="876"/>
      <c r="F20" s="876"/>
      <c r="G20"/>
      <c r="H20" s="875" t="s">
        <v>825</v>
      </c>
      <c r="I20" s="875"/>
    </row>
  </sheetData>
  <sheetProtection algorithmName="SHA-512" hashValue="Aamh/fkTgcm9HM88n0EEz1ovFVpTRp6nRnI9HjA5fQp4/OXf1LY5mWs4NfXFaOT6iaJLXcpJrJyKk5LfNeaoMw==" saltValue="/6S3zUv8BkEit7YLZLj0GA==" spinCount="100000" sheet="1" objects="1" scenarios="1"/>
  <mergeCells count="24">
    <mergeCell ref="A14:B14"/>
    <mergeCell ref="D14:F14"/>
    <mergeCell ref="A11:B11"/>
    <mergeCell ref="D11:F11"/>
    <mergeCell ref="H14:I14"/>
    <mergeCell ref="A10:B10"/>
    <mergeCell ref="A13:B13"/>
    <mergeCell ref="D10:F10"/>
    <mergeCell ref="D13:F13"/>
    <mergeCell ref="H10:I10"/>
    <mergeCell ref="H13:I13"/>
    <mergeCell ref="H11:I11"/>
    <mergeCell ref="H19:I19"/>
    <mergeCell ref="H20:I20"/>
    <mergeCell ref="H16:I16"/>
    <mergeCell ref="A20:B20"/>
    <mergeCell ref="D20:F20"/>
    <mergeCell ref="A19:B19"/>
    <mergeCell ref="D19:F19"/>
    <mergeCell ref="A16:B16"/>
    <mergeCell ref="D16:F16"/>
    <mergeCell ref="A17:B17"/>
    <mergeCell ref="D17:F17"/>
    <mergeCell ref="H17:I17"/>
  </mergeCells>
  <hyperlinks>
    <hyperlink ref="A2" location="TOC!A1" display="Return to TOC" xr:uid="{00000000-0004-0000-0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pageSetUpPr autoPageBreaks="0"/>
  </sheetPr>
  <dimension ref="A1:AF85"/>
  <sheetViews>
    <sheetView workbookViewId="0">
      <selection activeCell="A2" sqref="A2"/>
    </sheetView>
  </sheetViews>
  <sheetFormatPr defaultColWidth="2.6640625" defaultRowHeight="14.4" x14ac:dyDescent="0.3"/>
  <sheetData>
    <row r="1" spans="1:32" ht="18" x14ac:dyDescent="0.3">
      <c r="A1" s="1131" t="s">
        <v>4417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512" t="s">
        <v>1456</v>
      </c>
      <c r="J2" s="94"/>
      <c r="K2" s="94"/>
      <c r="L2" s="94"/>
      <c r="M2" s="94"/>
      <c r="N2" s="94"/>
      <c r="O2" s="94"/>
      <c r="P2" s="94"/>
      <c r="Q2" s="94"/>
      <c r="R2" s="94"/>
      <c r="S2" s="94"/>
      <c r="T2" s="94"/>
      <c r="U2" s="94"/>
      <c r="V2" s="94"/>
      <c r="W2" s="94"/>
      <c r="X2" s="94"/>
      <c r="Y2" s="94"/>
      <c r="Z2" s="94"/>
      <c r="AA2" s="94"/>
      <c r="AB2" s="94"/>
      <c r="AC2" s="94"/>
      <c r="AD2" s="94"/>
      <c r="AE2" s="94"/>
      <c r="AF2" s="94"/>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4355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9" spans="1:32" x14ac:dyDescent="0.3">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29.4" customHeight="1" x14ac:dyDescent="0.3">
      <c r="B10" s="953" t="s">
        <v>4418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51" t="s">
        <v>4</v>
      </c>
      <c r="C12" s="51"/>
      <c r="D12" s="51"/>
      <c r="E12" s="51"/>
      <c r="F12" s="51"/>
      <c r="G12" s="51"/>
      <c r="H12" s="51"/>
      <c r="I12" s="51"/>
      <c r="J12" s="1"/>
      <c r="K12" s="1"/>
      <c r="L12" s="1"/>
      <c r="M12" s="1"/>
      <c r="N12" s="1"/>
      <c r="O12" s="1"/>
      <c r="P12" s="1"/>
      <c r="Q12" s="1"/>
      <c r="R12" s="1"/>
      <c r="S12" s="1"/>
      <c r="T12" s="1"/>
      <c r="U12" s="1"/>
      <c r="V12" s="1"/>
      <c r="W12" s="1"/>
      <c r="X12" s="1"/>
      <c r="Y12" s="1"/>
      <c r="Z12" s="1"/>
      <c r="AA12" s="1"/>
      <c r="AB12" s="1"/>
      <c r="AC12" s="1"/>
      <c r="AD12" s="1"/>
      <c r="AE12" s="1"/>
      <c r="AF12" s="1"/>
    </row>
    <row r="13" spans="1:32" ht="29.4" customHeight="1" x14ac:dyDescent="0.3">
      <c r="B13" s="184" t="s">
        <v>1190</v>
      </c>
      <c r="C13" s="953" t="s">
        <v>4419</v>
      </c>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ht="78" customHeight="1" x14ac:dyDescent="0.3">
      <c r="B14" s="184" t="s">
        <v>1191</v>
      </c>
      <c r="C14" s="953" t="s">
        <v>4420</v>
      </c>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row>
    <row r="16" spans="1:32" x14ac:dyDescent="0.3">
      <c r="B16" s="51" t="s">
        <v>5</v>
      </c>
      <c r="C16" s="51"/>
      <c r="D16" s="51"/>
      <c r="E16" s="51"/>
      <c r="F16" s="51"/>
      <c r="G16" s="51"/>
    </row>
    <row r="17" spans="1:32" x14ac:dyDescent="0.3">
      <c r="B17" s="1" t="s">
        <v>4421</v>
      </c>
      <c r="C17" s="1"/>
      <c r="D17" s="1"/>
      <c r="E17" s="1"/>
      <c r="F17" s="1"/>
      <c r="G17" s="1"/>
    </row>
    <row r="19" spans="1:32" x14ac:dyDescent="0.3">
      <c r="B19" s="51" t="s">
        <v>6</v>
      </c>
      <c r="C19" s="51"/>
      <c r="D19" s="51"/>
      <c r="E19" s="51"/>
      <c r="F19" s="51"/>
      <c r="G19" s="51"/>
      <c r="H19" s="51"/>
      <c r="I19" s="51"/>
      <c r="J19" s="1"/>
      <c r="K19" s="1"/>
      <c r="L19" s="1"/>
      <c r="M19" s="1"/>
    </row>
    <row r="20" spans="1:32" x14ac:dyDescent="0.3">
      <c r="B20" s="1" t="s">
        <v>4422</v>
      </c>
      <c r="C20" s="1"/>
      <c r="D20" s="1"/>
      <c r="E20" s="1"/>
      <c r="F20" s="1"/>
      <c r="G20" s="1"/>
      <c r="H20" s="1"/>
      <c r="I20" s="1"/>
      <c r="J20" s="1"/>
      <c r="K20" s="1"/>
      <c r="L20" s="1"/>
      <c r="M20" s="1"/>
    </row>
    <row r="22" spans="1:32" x14ac:dyDescent="0.3">
      <c r="B22" s="51" t="s">
        <v>13</v>
      </c>
      <c r="C22" s="51"/>
      <c r="D22" s="51"/>
      <c r="E22" s="51"/>
      <c r="F22" s="51"/>
      <c r="G22" s="51"/>
      <c r="H22" s="51"/>
      <c r="I22" s="51"/>
      <c r="J22" s="1"/>
      <c r="K22" s="1"/>
      <c r="L22" s="1"/>
      <c r="M22" s="1"/>
      <c r="N22" s="1"/>
    </row>
    <row r="23" spans="1:32" x14ac:dyDescent="0.3">
      <c r="B23" s="1" t="s">
        <v>4423</v>
      </c>
      <c r="C23" s="1"/>
      <c r="D23" s="1"/>
      <c r="E23" s="1"/>
      <c r="F23" s="1"/>
      <c r="G23" s="1"/>
      <c r="H23" s="1"/>
      <c r="I23" s="1"/>
      <c r="J23" s="1"/>
      <c r="K23" s="1"/>
      <c r="L23" s="1"/>
      <c r="M23" s="1"/>
      <c r="N23" s="1"/>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8" spans="1:32" x14ac:dyDescent="0.3">
      <c r="B28" s="372" t="s">
        <v>2137</v>
      </c>
    </row>
    <row r="30" spans="1:32" x14ac:dyDescent="0.3">
      <c r="AF30" s="19" t="s">
        <v>1463</v>
      </c>
    </row>
    <row r="33" spans="1:32" x14ac:dyDescent="0.3">
      <c r="B33" s="372" t="s">
        <v>2027</v>
      </c>
    </row>
    <row r="35" spans="1:32" x14ac:dyDescent="0.3">
      <c r="AF35" s="19" t="s">
        <v>1464</v>
      </c>
    </row>
    <row r="36" spans="1:32" x14ac:dyDescent="0.3">
      <c r="AF36" s="19"/>
    </row>
    <row r="37" spans="1:32" x14ac:dyDescent="0.3">
      <c r="B37" s="372" t="s">
        <v>1811</v>
      </c>
      <c r="AF37" s="19"/>
    </row>
    <row r="38" spans="1:32" x14ac:dyDescent="0.3">
      <c r="AF38" s="19"/>
    </row>
    <row r="39" spans="1:32" x14ac:dyDescent="0.3">
      <c r="AF39" s="19" t="s">
        <v>1465</v>
      </c>
    </row>
    <row r="42" spans="1:32" x14ac:dyDescent="0.3">
      <c r="A42" s="869" t="s">
        <v>8</v>
      </c>
      <c r="B42" s="870"/>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1"/>
    </row>
    <row r="43" spans="1:32" x14ac:dyDescent="0.3">
      <c r="A43" s="1143" t="s">
        <v>9</v>
      </c>
      <c r="B43" s="1143"/>
      <c r="C43" s="1143"/>
      <c r="D43" s="1143"/>
      <c r="E43" s="1143" t="s">
        <v>3</v>
      </c>
      <c r="F43" s="1143"/>
      <c r="G43" s="1143"/>
      <c r="H43" s="1143"/>
      <c r="I43" s="1143"/>
      <c r="J43" s="1143"/>
      <c r="K43" s="1143"/>
      <c r="L43" s="1143"/>
      <c r="M43" s="1143"/>
      <c r="N43" s="1143"/>
      <c r="O43" s="1143"/>
      <c r="P43" s="1143"/>
      <c r="Q43" s="1143" t="s">
        <v>10</v>
      </c>
      <c r="R43" s="1143"/>
      <c r="S43" s="1143"/>
      <c r="T43" s="1143" t="s">
        <v>11</v>
      </c>
      <c r="U43" s="1143"/>
      <c r="V43" s="1143"/>
      <c r="W43" s="1143" t="s">
        <v>1466</v>
      </c>
      <c r="X43" s="1143"/>
      <c r="Y43" s="1143"/>
      <c r="Z43" s="1143"/>
      <c r="AA43" s="1143"/>
      <c r="AB43" s="1143"/>
      <c r="AC43" s="1143"/>
      <c r="AD43" s="1143"/>
      <c r="AE43" s="1143"/>
      <c r="AF43" s="1143"/>
    </row>
    <row r="44" spans="1:32" ht="75.599999999999994" customHeight="1" x14ac:dyDescent="0.3">
      <c r="A44" s="2208" t="s">
        <v>4424</v>
      </c>
      <c r="B44" s="855"/>
      <c r="C44" s="855"/>
      <c r="D44" s="855"/>
      <c r="E44" s="856" t="s">
        <v>4425</v>
      </c>
      <c r="F44" s="856"/>
      <c r="G44" s="856"/>
      <c r="H44" s="856"/>
      <c r="I44" s="856"/>
      <c r="J44" s="856"/>
      <c r="K44" s="856"/>
      <c r="L44" s="856"/>
      <c r="M44" s="856"/>
      <c r="N44" s="856"/>
      <c r="O44" s="856"/>
      <c r="P44" s="856"/>
      <c r="Q44" s="2418">
        <f>20730/12</f>
        <v>1727.5</v>
      </c>
      <c r="R44" s="2418"/>
      <c r="S44" s="2418"/>
      <c r="T44" s="1586" t="s">
        <v>4426</v>
      </c>
      <c r="U44" s="1586"/>
      <c r="V44" s="1586"/>
      <c r="W44" s="1148" t="s">
        <v>4519</v>
      </c>
      <c r="X44" s="1149"/>
      <c r="Y44" s="1149"/>
      <c r="Z44" s="1149"/>
      <c r="AA44" s="1149"/>
      <c r="AB44" s="1149"/>
      <c r="AC44" s="1149"/>
      <c r="AD44" s="1149"/>
      <c r="AE44" s="1149"/>
      <c r="AF44" s="1150"/>
    </row>
    <row r="45" spans="1:32" ht="42.6" customHeight="1" x14ac:dyDescent="0.3">
      <c r="A45" s="2208" t="s">
        <v>4427</v>
      </c>
      <c r="B45" s="855"/>
      <c r="C45" s="855"/>
      <c r="D45" s="855"/>
      <c r="E45" s="856" t="s">
        <v>4428</v>
      </c>
      <c r="F45" s="856"/>
      <c r="G45" s="856"/>
      <c r="H45" s="856"/>
      <c r="I45" s="856"/>
      <c r="J45" s="856"/>
      <c r="K45" s="856"/>
      <c r="L45" s="856"/>
      <c r="M45" s="856"/>
      <c r="N45" s="856"/>
      <c r="O45" s="856"/>
      <c r="P45" s="856"/>
      <c r="Q45" s="2209">
        <v>0.73</v>
      </c>
      <c r="R45" s="2209"/>
      <c r="S45" s="2209"/>
      <c r="T45" s="1243" t="s">
        <v>20</v>
      </c>
      <c r="U45" s="1244"/>
      <c r="V45" s="1245"/>
      <c r="W45" s="856" t="s">
        <v>4520</v>
      </c>
      <c r="X45" s="856"/>
      <c r="Y45" s="856"/>
      <c r="Z45" s="856"/>
      <c r="AA45" s="856"/>
      <c r="AB45" s="856"/>
      <c r="AC45" s="856"/>
      <c r="AD45" s="856"/>
      <c r="AE45" s="856"/>
      <c r="AF45" s="856"/>
    </row>
    <row r="46" spans="1:32" ht="150.9" customHeight="1" x14ac:dyDescent="0.3">
      <c r="A46" s="1154" t="s">
        <v>4372</v>
      </c>
      <c r="B46" s="1155"/>
      <c r="C46" s="1155"/>
      <c r="D46" s="1156"/>
      <c r="E46" s="1148" t="s">
        <v>4429</v>
      </c>
      <c r="F46" s="1149"/>
      <c r="G46" s="1149"/>
      <c r="H46" s="1149"/>
      <c r="I46" s="1149"/>
      <c r="J46" s="1149"/>
      <c r="K46" s="1149"/>
      <c r="L46" s="1149"/>
      <c r="M46" s="1149"/>
      <c r="N46" s="1149"/>
      <c r="O46" s="1149"/>
      <c r="P46" s="1150"/>
      <c r="Q46" s="2209">
        <v>0.6</v>
      </c>
      <c r="R46" s="2209"/>
      <c r="S46" s="2209"/>
      <c r="T46" s="1243" t="s">
        <v>20</v>
      </c>
      <c r="U46" s="1244"/>
      <c r="V46" s="1245"/>
      <c r="W46" s="1148" t="s">
        <v>4430</v>
      </c>
      <c r="X46" s="1149"/>
      <c r="Y46" s="1149"/>
      <c r="Z46" s="1149"/>
      <c r="AA46" s="1149"/>
      <c r="AB46" s="1149"/>
      <c r="AC46" s="1149"/>
      <c r="AD46" s="1149"/>
      <c r="AE46" s="1149"/>
      <c r="AF46" s="1150"/>
    </row>
    <row r="47" spans="1:32" ht="29.4" customHeight="1" x14ac:dyDescent="0.3">
      <c r="A47" s="2526">
        <v>3412</v>
      </c>
      <c r="B47" s="2526"/>
      <c r="C47" s="2526"/>
      <c r="D47" s="2526"/>
      <c r="E47" s="856" t="s">
        <v>4431</v>
      </c>
      <c r="F47" s="856"/>
      <c r="G47" s="856"/>
      <c r="H47" s="856"/>
      <c r="I47" s="856"/>
      <c r="J47" s="856"/>
      <c r="K47" s="856"/>
      <c r="L47" s="856"/>
      <c r="M47" s="856"/>
      <c r="N47" s="856"/>
      <c r="O47" s="856"/>
      <c r="P47" s="856"/>
      <c r="Q47" s="1269">
        <v>3412</v>
      </c>
      <c r="R47" s="1269"/>
      <c r="S47" s="1269"/>
      <c r="T47" s="1275" t="s">
        <v>943</v>
      </c>
      <c r="U47" s="1275"/>
      <c r="V47" s="1275"/>
      <c r="W47" s="856"/>
      <c r="X47" s="856"/>
      <c r="Y47" s="856"/>
      <c r="Z47" s="856"/>
      <c r="AA47" s="856"/>
      <c r="AB47" s="856"/>
      <c r="AC47" s="856"/>
      <c r="AD47" s="856"/>
      <c r="AE47" s="856"/>
      <c r="AF47" s="856"/>
    </row>
    <row r="48" spans="1:32" ht="90.6" customHeight="1" x14ac:dyDescent="0.3">
      <c r="A48" s="855" t="s">
        <v>4432</v>
      </c>
      <c r="B48" s="855"/>
      <c r="C48" s="855"/>
      <c r="D48" s="855"/>
      <c r="E48" s="856" t="s">
        <v>4433</v>
      </c>
      <c r="F48" s="856"/>
      <c r="G48" s="856"/>
      <c r="H48" s="856"/>
      <c r="I48" s="856"/>
      <c r="J48" s="856"/>
      <c r="K48" s="856"/>
      <c r="L48" s="856"/>
      <c r="M48" s="856"/>
      <c r="N48" s="856"/>
      <c r="O48" s="856"/>
      <c r="P48" s="856"/>
      <c r="Q48" s="1586">
        <v>2.2799999999999998</v>
      </c>
      <c r="R48" s="1586"/>
      <c r="S48" s="1586"/>
      <c r="T48" s="1275" t="s">
        <v>20</v>
      </c>
      <c r="U48" s="1275"/>
      <c r="V48" s="1275"/>
      <c r="W48" s="856" t="s">
        <v>4521</v>
      </c>
      <c r="X48" s="856"/>
      <c r="Y48" s="856"/>
      <c r="Z48" s="856"/>
      <c r="AA48" s="856"/>
      <c r="AB48" s="856"/>
      <c r="AC48" s="856"/>
      <c r="AD48" s="856"/>
      <c r="AE48" s="856"/>
      <c r="AF48" s="856"/>
    </row>
    <row r="49" spans="1:32" ht="92.4" customHeight="1" x14ac:dyDescent="0.3">
      <c r="A49" s="855" t="s">
        <v>4434</v>
      </c>
      <c r="B49" s="855"/>
      <c r="C49" s="855"/>
      <c r="D49" s="855"/>
      <c r="E49" s="856" t="s">
        <v>4435</v>
      </c>
      <c r="F49" s="856"/>
      <c r="G49" s="856"/>
      <c r="H49" s="856"/>
      <c r="I49" s="856"/>
      <c r="J49" s="856"/>
      <c r="K49" s="856"/>
      <c r="L49" s="856"/>
      <c r="M49" s="856"/>
      <c r="N49" s="856"/>
      <c r="O49" s="856"/>
      <c r="P49" s="856"/>
      <c r="Q49" s="1586">
        <v>3.29</v>
      </c>
      <c r="R49" s="1586"/>
      <c r="S49" s="1586"/>
      <c r="T49" s="1243" t="s">
        <v>20</v>
      </c>
      <c r="U49" s="1244"/>
      <c r="V49" s="1245"/>
      <c r="W49" s="856" t="s">
        <v>4522</v>
      </c>
      <c r="X49" s="856"/>
      <c r="Y49" s="856"/>
      <c r="Z49" s="856"/>
      <c r="AA49" s="856"/>
      <c r="AB49" s="856"/>
      <c r="AC49" s="856"/>
      <c r="AD49" s="856"/>
      <c r="AE49" s="856"/>
      <c r="AF49" s="856"/>
    </row>
    <row r="50" spans="1:32" ht="30.6" customHeight="1" x14ac:dyDescent="0.3">
      <c r="A50" s="855">
        <v>24</v>
      </c>
      <c r="B50" s="855"/>
      <c r="C50" s="855"/>
      <c r="D50" s="855"/>
      <c r="E50" s="856" t="s">
        <v>4436</v>
      </c>
      <c r="F50" s="856"/>
      <c r="G50" s="856"/>
      <c r="H50" s="856"/>
      <c r="I50" s="856"/>
      <c r="J50" s="856"/>
      <c r="K50" s="856"/>
      <c r="L50" s="856"/>
      <c r="M50" s="856"/>
      <c r="N50" s="856"/>
      <c r="O50" s="856"/>
      <c r="P50" s="856"/>
      <c r="Q50" s="1586">
        <v>24</v>
      </c>
      <c r="R50" s="1586"/>
      <c r="S50" s="1586"/>
      <c r="T50" s="1275" t="s">
        <v>629</v>
      </c>
      <c r="U50" s="1275"/>
      <c r="V50" s="1275"/>
      <c r="W50" s="856"/>
      <c r="X50" s="856"/>
      <c r="Y50" s="856"/>
      <c r="Z50" s="856"/>
      <c r="AA50" s="856"/>
      <c r="AB50" s="856"/>
      <c r="AC50" s="856"/>
      <c r="AD50" s="856"/>
      <c r="AE50" s="856"/>
      <c r="AF50" s="856"/>
    </row>
    <row r="51" spans="1:32" ht="51.6" customHeight="1" x14ac:dyDescent="0.3">
      <c r="A51" s="855" t="s">
        <v>4437</v>
      </c>
      <c r="B51" s="855"/>
      <c r="C51" s="855"/>
      <c r="D51" s="855"/>
      <c r="E51" s="856" t="s">
        <v>4438</v>
      </c>
      <c r="F51" s="856"/>
      <c r="G51" s="856"/>
      <c r="H51" s="856"/>
      <c r="I51" s="856"/>
      <c r="J51" s="856"/>
      <c r="K51" s="856"/>
      <c r="L51" s="856"/>
      <c r="M51" s="856"/>
      <c r="N51" s="856"/>
      <c r="O51" s="856"/>
      <c r="P51" s="856"/>
      <c r="Q51" s="2313">
        <v>4560</v>
      </c>
      <c r="R51" s="1586"/>
      <c r="S51" s="1586"/>
      <c r="T51" s="2313" t="s">
        <v>4439</v>
      </c>
      <c r="U51" s="1586"/>
      <c r="V51" s="1586"/>
      <c r="W51" s="856" t="s">
        <v>4523</v>
      </c>
      <c r="X51" s="856"/>
      <c r="Y51" s="856"/>
      <c r="Z51" s="856"/>
      <c r="AA51" s="856"/>
      <c r="AB51" s="856"/>
      <c r="AC51" s="856"/>
      <c r="AD51" s="856"/>
      <c r="AE51" s="856"/>
      <c r="AF51" s="856"/>
    </row>
    <row r="52" spans="1:32" ht="75.599999999999994" customHeight="1" x14ac:dyDescent="0.3">
      <c r="A52" s="855" t="s">
        <v>4440</v>
      </c>
      <c r="B52" s="855"/>
      <c r="C52" s="855"/>
      <c r="D52" s="855"/>
      <c r="E52" s="856" t="s">
        <v>4441</v>
      </c>
      <c r="F52" s="856"/>
      <c r="G52" s="856"/>
      <c r="H52" s="856"/>
      <c r="I52" s="856"/>
      <c r="J52" s="856"/>
      <c r="K52" s="856"/>
      <c r="L52" s="856"/>
      <c r="M52" s="856"/>
      <c r="N52" s="856"/>
      <c r="O52" s="856"/>
      <c r="P52" s="856"/>
      <c r="Q52" s="1586">
        <v>75</v>
      </c>
      <c r="R52" s="1586"/>
      <c r="S52" s="1586"/>
      <c r="T52" s="2420" t="s">
        <v>158</v>
      </c>
      <c r="U52" s="1275"/>
      <c r="V52" s="1275"/>
      <c r="W52" s="856" t="s">
        <v>4524</v>
      </c>
      <c r="X52" s="856"/>
      <c r="Y52" s="856"/>
      <c r="Z52" s="856"/>
      <c r="AA52" s="856"/>
      <c r="AB52" s="856"/>
      <c r="AC52" s="856"/>
      <c r="AD52" s="856"/>
      <c r="AE52" s="856"/>
      <c r="AF52" s="856"/>
    </row>
    <row r="53" spans="1:32" ht="105.6" customHeight="1" x14ac:dyDescent="0.3">
      <c r="A53" s="855" t="s">
        <v>4442</v>
      </c>
      <c r="B53" s="855"/>
      <c r="C53" s="855"/>
      <c r="D53" s="855"/>
      <c r="E53" s="856" t="s">
        <v>4443</v>
      </c>
      <c r="F53" s="856"/>
      <c r="G53" s="856"/>
      <c r="H53" s="856"/>
      <c r="I53" s="856"/>
      <c r="J53" s="856"/>
      <c r="K53" s="856"/>
      <c r="L53" s="856"/>
      <c r="M53" s="856"/>
      <c r="N53" s="856"/>
      <c r="O53" s="856"/>
      <c r="P53" s="856"/>
      <c r="Q53" s="1586">
        <v>25</v>
      </c>
      <c r="R53" s="1586"/>
      <c r="S53" s="1586"/>
      <c r="T53" s="1275" t="s">
        <v>158</v>
      </c>
      <c r="U53" s="1275"/>
      <c r="V53" s="1275"/>
      <c r="W53" s="856" t="s">
        <v>4444</v>
      </c>
      <c r="X53" s="856"/>
      <c r="Y53" s="856"/>
      <c r="Z53" s="856"/>
      <c r="AA53" s="856"/>
      <c r="AB53" s="856"/>
      <c r="AC53" s="856"/>
      <c r="AD53" s="856"/>
      <c r="AE53" s="856"/>
      <c r="AF53" s="856"/>
    </row>
    <row r="54" spans="1:32" ht="33.6" customHeight="1" x14ac:dyDescent="0.3">
      <c r="A54" s="855" t="s">
        <v>24</v>
      </c>
      <c r="B54" s="855"/>
      <c r="C54" s="855"/>
      <c r="D54" s="855"/>
      <c r="E54" s="855" t="s">
        <v>106</v>
      </c>
      <c r="F54" s="855"/>
      <c r="G54" s="855"/>
      <c r="H54" s="855"/>
      <c r="I54" s="855"/>
      <c r="J54" s="855"/>
      <c r="K54" s="855"/>
      <c r="L54" s="855"/>
      <c r="M54" s="855"/>
      <c r="N54" s="855"/>
      <c r="O54" s="855"/>
      <c r="P54" s="855"/>
      <c r="Q54" s="2525">
        <v>8760</v>
      </c>
      <c r="R54" s="2525"/>
      <c r="S54" s="2525"/>
      <c r="T54" s="1275" t="s">
        <v>790</v>
      </c>
      <c r="U54" s="1275"/>
      <c r="V54" s="1275"/>
      <c r="W54" s="1148" t="s">
        <v>4525</v>
      </c>
      <c r="X54" s="1149"/>
      <c r="Y54" s="1149"/>
      <c r="Z54" s="1149"/>
      <c r="AA54" s="1149"/>
      <c r="AB54" s="1149"/>
      <c r="AC54" s="1149"/>
      <c r="AD54" s="1149"/>
      <c r="AE54" s="1149"/>
      <c r="AF54" s="1150"/>
    </row>
    <row r="55" spans="1:32" ht="32.4" customHeight="1" x14ac:dyDescent="0.3">
      <c r="A55" s="855" t="s">
        <v>4445</v>
      </c>
      <c r="B55" s="855"/>
      <c r="C55" s="855"/>
      <c r="D55" s="855"/>
      <c r="E55" s="856" t="s">
        <v>4446</v>
      </c>
      <c r="F55" s="856"/>
      <c r="G55" s="856"/>
      <c r="H55" s="856"/>
      <c r="I55" s="856"/>
      <c r="J55" s="856"/>
      <c r="K55" s="856"/>
      <c r="L55" s="856"/>
      <c r="M55" s="856"/>
      <c r="N55" s="856"/>
      <c r="O55" s="856"/>
      <c r="P55" s="856"/>
      <c r="Q55" s="1586" t="s">
        <v>2274</v>
      </c>
      <c r="R55" s="1586"/>
      <c r="S55" s="1586"/>
      <c r="T55" s="1586" t="s">
        <v>4447</v>
      </c>
      <c r="U55" s="1586"/>
      <c r="V55" s="1586"/>
      <c r="W55" s="856" t="s">
        <v>4526</v>
      </c>
      <c r="X55" s="856"/>
      <c r="Y55" s="856"/>
      <c r="Z55" s="856"/>
      <c r="AA55" s="856"/>
      <c r="AB55" s="856"/>
      <c r="AC55" s="856"/>
      <c r="AD55" s="856"/>
      <c r="AE55" s="856"/>
      <c r="AF55" s="856"/>
    </row>
    <row r="56" spans="1:32" ht="135" customHeight="1" x14ac:dyDescent="0.3">
      <c r="A56" s="855" t="s">
        <v>1869</v>
      </c>
      <c r="B56" s="855"/>
      <c r="C56" s="855"/>
      <c r="D56" s="855"/>
      <c r="E56" s="855" t="s">
        <v>2050</v>
      </c>
      <c r="F56" s="855"/>
      <c r="G56" s="855"/>
      <c r="H56" s="855"/>
      <c r="I56" s="855"/>
      <c r="J56" s="855"/>
      <c r="K56" s="855"/>
      <c r="L56" s="855"/>
      <c r="M56" s="855"/>
      <c r="N56" s="855"/>
      <c r="O56" s="855"/>
      <c r="P56" s="855"/>
      <c r="Q56" s="2524">
        <f>'Master EUL'!X93</f>
        <v>8</v>
      </c>
      <c r="R56" s="2524"/>
      <c r="S56" s="2524"/>
      <c r="T56" s="1275" t="s">
        <v>38</v>
      </c>
      <c r="U56" s="1275"/>
      <c r="V56" s="1275"/>
      <c r="W56" s="1148" t="s">
        <v>4448</v>
      </c>
      <c r="X56" s="1149"/>
      <c r="Y56" s="1149"/>
      <c r="Z56" s="1149"/>
      <c r="AA56" s="1149"/>
      <c r="AB56" s="1149"/>
      <c r="AC56" s="1149"/>
      <c r="AD56" s="1149"/>
      <c r="AE56" s="1149"/>
      <c r="AF56" s="1150"/>
    </row>
    <row r="57" spans="1:32" ht="53.4" customHeight="1" x14ac:dyDescent="0.3">
      <c r="A57" s="1406" t="s">
        <v>4449</v>
      </c>
      <c r="B57" s="1406"/>
      <c r="C57" s="1406"/>
      <c r="D57" s="1406"/>
      <c r="E57" s="1406"/>
      <c r="F57" s="1406"/>
      <c r="G57" s="1406"/>
      <c r="H57" s="1406"/>
      <c r="I57" s="1406"/>
      <c r="J57" s="1406"/>
      <c r="K57" s="1406"/>
      <c r="L57" s="1406"/>
      <c r="M57" s="1406"/>
      <c r="N57" s="1406"/>
      <c r="O57" s="1406"/>
      <c r="P57" s="1406"/>
      <c r="Q57" s="1406"/>
      <c r="R57" s="1406"/>
      <c r="S57" s="1406"/>
      <c r="T57" s="1406"/>
      <c r="U57" s="1406"/>
      <c r="V57" s="1406"/>
      <c r="W57" s="1406"/>
      <c r="X57" s="1406"/>
      <c r="Y57" s="1406"/>
      <c r="Z57" s="1406"/>
      <c r="AA57" s="1406"/>
      <c r="AB57" s="1406"/>
      <c r="AC57" s="1406"/>
      <c r="AD57" s="1406"/>
      <c r="AE57" s="1406"/>
      <c r="AF57" s="1406"/>
    </row>
    <row r="58" spans="1:32" ht="38.1" customHeight="1" x14ac:dyDescent="0.3">
      <c r="A58" s="998" t="s">
        <v>4450</v>
      </c>
      <c r="B58" s="998"/>
      <c r="C58" s="998"/>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998"/>
      <c r="AE58" s="998"/>
      <c r="AF58" s="998"/>
    </row>
    <row r="59" spans="1:32" ht="42.6" customHeight="1" x14ac:dyDescent="0.3">
      <c r="A59" s="998" t="s">
        <v>4451</v>
      </c>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998"/>
      <c r="Z59" s="998"/>
      <c r="AA59" s="998"/>
      <c r="AB59" s="998"/>
      <c r="AC59" s="998"/>
      <c r="AD59" s="998"/>
      <c r="AE59" s="998"/>
      <c r="AF59" s="998"/>
    </row>
    <row r="60" spans="1:32" ht="44.1" customHeight="1" x14ac:dyDescent="0.3">
      <c r="A60" s="998" t="s">
        <v>4452</v>
      </c>
      <c r="B60" s="998"/>
      <c r="C60" s="998"/>
      <c r="D60" s="998"/>
      <c r="E60" s="998"/>
      <c r="F60" s="998"/>
      <c r="G60" s="998"/>
      <c r="H60" s="998"/>
      <c r="I60" s="998"/>
      <c r="J60" s="998"/>
      <c r="K60" s="998"/>
      <c r="L60" s="998"/>
      <c r="M60" s="998"/>
      <c r="N60" s="998"/>
      <c r="O60" s="998"/>
      <c r="P60" s="998"/>
      <c r="Q60" s="998"/>
      <c r="R60" s="998"/>
      <c r="S60" s="998"/>
      <c r="T60" s="998"/>
      <c r="U60" s="998"/>
      <c r="V60" s="998"/>
      <c r="W60" s="998"/>
      <c r="X60" s="998"/>
      <c r="Y60" s="998"/>
      <c r="Z60" s="998"/>
      <c r="AA60" s="998"/>
      <c r="AB60" s="998"/>
      <c r="AC60" s="998"/>
      <c r="AD60" s="998"/>
      <c r="AE60" s="998"/>
      <c r="AF60" s="998"/>
    </row>
    <row r="61" spans="1:32" x14ac:dyDescent="0.3">
      <c r="A61" s="998" t="s">
        <v>4453</v>
      </c>
      <c r="B61" s="998"/>
      <c r="C61" s="998"/>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row>
    <row r="62" spans="1:32" x14ac:dyDescent="0.3">
      <c r="A62" s="998" t="s">
        <v>4454</v>
      </c>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c r="AE62" s="998"/>
      <c r="AF62" s="998"/>
    </row>
    <row r="63" spans="1:32" x14ac:dyDescent="0.3">
      <c r="A63" s="998" t="s">
        <v>4455</v>
      </c>
      <c r="B63" s="998"/>
      <c r="C63" s="998"/>
      <c r="D63" s="998"/>
      <c r="E63" s="998"/>
      <c r="F63" s="998"/>
      <c r="G63" s="998"/>
      <c r="H63" s="998"/>
      <c r="I63" s="998"/>
      <c r="J63" s="998"/>
      <c r="K63" s="998"/>
      <c r="L63" s="998"/>
      <c r="M63" s="998"/>
      <c r="N63" s="998"/>
      <c r="O63" s="998"/>
      <c r="P63" s="998"/>
      <c r="Q63" s="998"/>
      <c r="R63" s="998"/>
      <c r="S63" s="998"/>
      <c r="T63" s="998"/>
      <c r="U63" s="998"/>
      <c r="V63" s="998"/>
      <c r="W63" s="998"/>
      <c r="X63" s="998"/>
      <c r="Y63" s="998"/>
      <c r="Z63" s="998"/>
      <c r="AA63" s="998"/>
      <c r="AB63" s="998"/>
      <c r="AC63" s="998"/>
      <c r="AD63" s="998"/>
      <c r="AE63" s="998"/>
      <c r="AF63" s="998"/>
    </row>
    <row r="64" spans="1:32" x14ac:dyDescent="0.3">
      <c r="A64" s="438"/>
    </row>
    <row r="65" spans="1:32" x14ac:dyDescent="0.3">
      <c r="A65" s="1141" t="s">
        <v>14</v>
      </c>
      <c r="B65" s="1141"/>
      <c r="C65" s="1141"/>
      <c r="D65" s="1141"/>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c r="AE65" s="1141"/>
      <c r="AF65" s="1141"/>
    </row>
    <row r="66" spans="1:32" x14ac:dyDescent="0.3">
      <c r="A66" s="597"/>
      <c r="B66" s="597"/>
      <c r="C66" s="597"/>
      <c r="D66" s="597"/>
      <c r="E66" s="7"/>
      <c r="F66" s="7"/>
      <c r="G66" s="7"/>
      <c r="H66" s="7"/>
      <c r="I66" s="598"/>
      <c r="J66" s="598"/>
      <c r="K66" s="598"/>
      <c r="L66" s="598"/>
      <c r="M66" s="598"/>
      <c r="N66" s="598"/>
      <c r="O66" s="598"/>
      <c r="P66" s="598"/>
      <c r="Q66" s="599"/>
      <c r="R66" s="598"/>
      <c r="S66" s="598"/>
      <c r="T66" s="598"/>
      <c r="U66" s="599"/>
      <c r="V66" s="599"/>
      <c r="W66" s="599"/>
      <c r="X66" s="599"/>
      <c r="Y66" s="598"/>
      <c r="Z66" s="598"/>
      <c r="AA66" s="598"/>
      <c r="AB66" s="598"/>
      <c r="AC66" s="598"/>
      <c r="AD66" s="598"/>
      <c r="AE66" s="598"/>
      <c r="AF66" s="598"/>
    </row>
    <row r="67" spans="1:32" x14ac:dyDescent="0.3">
      <c r="A67" s="498" t="s">
        <v>4456</v>
      </c>
      <c r="B67" s="94"/>
      <c r="C67" s="94"/>
      <c r="D67" s="94"/>
      <c r="E67" s="94"/>
      <c r="F67" s="94"/>
      <c r="G67" s="94"/>
      <c r="H67" s="94"/>
      <c r="I67" s="94"/>
      <c r="J67" s="276"/>
      <c r="K67" s="276"/>
      <c r="L67" s="276"/>
      <c r="M67" s="276"/>
      <c r="N67" s="276"/>
      <c r="O67" s="276"/>
      <c r="P67" s="276"/>
      <c r="Q67" s="276"/>
      <c r="R67" s="276"/>
      <c r="S67" s="94"/>
      <c r="T67" s="94"/>
      <c r="U67" s="94"/>
      <c r="V67" s="94"/>
      <c r="W67" s="94"/>
      <c r="X67" s="94"/>
      <c r="Y67" s="94"/>
      <c r="Z67" s="94"/>
      <c r="AA67" s="94"/>
      <c r="AB67" s="94"/>
      <c r="AC67" s="94"/>
      <c r="AD67" s="94"/>
      <c r="AE67" s="94"/>
      <c r="AF67" s="94"/>
    </row>
    <row r="68" spans="1:32" x14ac:dyDescent="0.3">
      <c r="A68" s="94"/>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row>
    <row r="69" spans="1:32" x14ac:dyDescent="0.3">
      <c r="A69" s="94"/>
      <c r="B69" s="94"/>
      <c r="C69" s="94" t="s">
        <v>4457</v>
      </c>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row>
    <row r="70" spans="1:32" x14ac:dyDescent="0.3">
      <c r="A70" s="94"/>
      <c r="B70" s="94"/>
      <c r="C70" s="94"/>
      <c r="D70" s="94"/>
      <c r="E70" s="94"/>
      <c r="F70" s="2495">
        <v>1</v>
      </c>
      <c r="G70" s="2496"/>
      <c r="H70" s="2497"/>
      <c r="I70" s="94"/>
      <c r="J70" s="94"/>
      <c r="K70" s="94"/>
      <c r="L70" s="94"/>
      <c r="M70" s="94"/>
      <c r="N70" s="94"/>
      <c r="O70" s="94"/>
      <c r="P70" s="94"/>
      <c r="Q70" s="94"/>
      <c r="R70" s="94"/>
      <c r="S70" s="94"/>
      <c r="T70" s="94"/>
      <c r="U70" s="94"/>
      <c r="V70" s="94"/>
      <c r="W70" s="94"/>
      <c r="X70" s="94"/>
      <c r="Y70" s="94"/>
      <c r="Z70" s="94"/>
      <c r="AA70" s="94"/>
      <c r="AB70" s="94"/>
      <c r="AC70" s="94"/>
      <c r="AD70" s="94"/>
      <c r="AE70" s="94"/>
      <c r="AF70" s="94"/>
    </row>
    <row r="71" spans="1:32" ht="15" thickBot="1" x14ac:dyDescent="0.35">
      <c r="A71" s="94"/>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row>
    <row r="72" spans="1:32" ht="30.6" customHeight="1" x14ac:dyDescent="0.3">
      <c r="A72" s="1482" t="s">
        <v>15</v>
      </c>
      <c r="B72" s="1312"/>
      <c r="C72" s="1312"/>
      <c r="D72" s="1312"/>
      <c r="E72" s="1312"/>
      <c r="F72" s="1312"/>
      <c r="G72" s="1312"/>
      <c r="H72" s="1312"/>
      <c r="I72" s="1311" t="s">
        <v>2780</v>
      </c>
      <c r="J72" s="1312"/>
      <c r="K72" s="1312"/>
      <c r="L72" s="1312"/>
      <c r="M72" s="1312"/>
      <c r="N72" s="1312"/>
      <c r="O72" s="1312"/>
      <c r="P72" s="1312"/>
      <c r="Q72" s="1311" t="s">
        <v>2776</v>
      </c>
      <c r="R72" s="1312"/>
      <c r="S72" s="1312"/>
      <c r="T72" s="1312"/>
      <c r="U72" s="1312"/>
      <c r="V72" s="1312"/>
      <c r="W72" s="1312"/>
      <c r="X72" s="1312"/>
      <c r="Y72" s="1311" t="s">
        <v>1554</v>
      </c>
      <c r="Z72" s="1312"/>
      <c r="AA72" s="1312"/>
      <c r="AB72" s="1312"/>
      <c r="AC72" s="1312"/>
      <c r="AD72" s="1312"/>
      <c r="AE72" s="1312"/>
      <c r="AF72" s="1313"/>
    </row>
    <row r="73" spans="1:32" ht="30" customHeight="1" thickBot="1" x14ac:dyDescent="0.35">
      <c r="A73" s="1474" t="s">
        <v>4458</v>
      </c>
      <c r="B73" s="1560"/>
      <c r="C73" s="1560"/>
      <c r="D73" s="1560"/>
      <c r="E73" s="1560"/>
      <c r="F73" s="1560"/>
      <c r="G73" s="1560"/>
      <c r="H73" s="1560"/>
      <c r="I73" s="2491">
        <f>ROUND(Q44*Q45*(Q46/(Q47*Q48)-Q50*Q51/((Q52-Q53)*Q47*Q49*Q54))*F70,3)</f>
        <v>6.9000000000000006E-2</v>
      </c>
      <c r="J73" s="2491"/>
      <c r="K73" s="2491"/>
      <c r="L73" s="2491"/>
      <c r="M73" s="2491"/>
      <c r="N73" s="2491"/>
      <c r="O73" s="2491"/>
      <c r="P73" s="2491"/>
      <c r="Q73" s="2492">
        <f>ROUND(Q44*Q45*(Q46/(Q47*Q48)-Q50*Q51/((Q52-Q53)*Q47*Q49*Q54))*F70*Q54,2)</f>
        <v>606.13</v>
      </c>
      <c r="R73" s="2492"/>
      <c r="S73" s="2492"/>
      <c r="T73" s="2492"/>
      <c r="U73" s="2492"/>
      <c r="V73" s="2492"/>
      <c r="W73" s="2492"/>
      <c r="X73" s="2492"/>
      <c r="Y73" s="2493">
        <f>ROUND(Q73*Q56,2)</f>
        <v>4849.04</v>
      </c>
      <c r="Z73" s="2493"/>
      <c r="AA73" s="2493"/>
      <c r="AB73" s="2493"/>
      <c r="AC73" s="2493"/>
      <c r="AD73" s="2493"/>
      <c r="AE73" s="2493"/>
      <c r="AF73" s="2494"/>
    </row>
    <row r="74" spans="1:32" x14ac:dyDescent="0.3">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row>
    <row r="75" spans="1:32" x14ac:dyDescent="0.3">
      <c r="A75" s="1290" t="s">
        <v>1514</v>
      </c>
      <c r="B75" s="1290"/>
      <c r="C75" s="1290"/>
      <c r="D75" s="1290"/>
      <c r="E75" s="1290"/>
      <c r="F75" s="1290"/>
      <c r="G75" s="1290"/>
      <c r="H75" s="1290"/>
      <c r="I75" s="1290"/>
      <c r="J75" s="1290"/>
      <c r="K75" s="1290"/>
      <c r="L75" s="1290"/>
      <c r="M75" s="1290"/>
      <c r="N75" s="1290"/>
      <c r="O75" s="1290"/>
      <c r="P75" s="1290"/>
      <c r="Q75" s="1290"/>
      <c r="R75" s="1290"/>
      <c r="S75" s="1290"/>
      <c r="T75" s="1290"/>
      <c r="U75" s="1290"/>
      <c r="V75" s="1290"/>
      <c r="W75" s="1290"/>
      <c r="X75" s="1290"/>
      <c r="Y75" s="1290"/>
      <c r="Z75" s="1290"/>
      <c r="AA75" s="1290"/>
      <c r="AB75" s="1290"/>
      <c r="AC75" s="1290"/>
      <c r="AD75" s="1290"/>
      <c r="AE75" s="1290"/>
      <c r="AF75" s="1290"/>
    </row>
    <row r="76" spans="1:32" x14ac:dyDescent="0.3">
      <c r="A76" s="276"/>
      <c r="B76" s="600"/>
      <c r="C76" s="600"/>
      <c r="D76" s="600"/>
      <c r="E76" s="600"/>
      <c r="F76" s="600"/>
      <c r="G76" s="600"/>
      <c r="H76" s="600"/>
      <c r="I76" s="600"/>
      <c r="J76" s="600"/>
      <c r="K76" s="600"/>
      <c r="L76" s="600"/>
      <c r="M76" s="600"/>
      <c r="N76" s="600"/>
      <c r="O76" s="600"/>
      <c r="P76" s="600"/>
      <c r="Q76" s="600"/>
      <c r="R76" s="600"/>
      <c r="S76" s="494"/>
      <c r="T76" s="494"/>
      <c r="U76" s="494"/>
      <c r="V76" s="494"/>
      <c r="W76" s="494"/>
      <c r="X76" s="494"/>
      <c r="Y76" s="494"/>
      <c r="Z76" s="494"/>
      <c r="AA76" s="494"/>
      <c r="AB76" s="494"/>
      <c r="AC76" s="494"/>
      <c r="AD76" s="494"/>
      <c r="AE76" s="494"/>
      <c r="AF76" s="494"/>
    </row>
    <row r="77" spans="1:32" ht="30.6" customHeight="1" x14ac:dyDescent="0.3">
      <c r="A77" s="370" t="s">
        <v>803</v>
      </c>
      <c r="B77" s="889" t="s">
        <v>4459</v>
      </c>
      <c r="C77" s="889"/>
      <c r="D77" s="889"/>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row>
    <row r="78" spans="1:32" ht="45.6" customHeight="1" x14ac:dyDescent="0.3">
      <c r="A78" s="370" t="s">
        <v>803</v>
      </c>
      <c r="B78" s="889" t="s">
        <v>4460</v>
      </c>
      <c r="C78" s="889"/>
      <c r="D78" s="889"/>
      <c r="E78" s="889"/>
      <c r="F78" s="889"/>
      <c r="G78" s="889"/>
      <c r="H78" s="889"/>
      <c r="I78" s="889"/>
      <c r="J78" s="889"/>
      <c r="K78" s="889"/>
      <c r="L78" s="889"/>
      <c r="M78" s="889"/>
      <c r="N78" s="889"/>
      <c r="O78" s="889"/>
      <c r="P78" s="889"/>
      <c r="Q78" s="889"/>
      <c r="R78" s="889"/>
      <c r="S78" s="889"/>
      <c r="T78" s="889"/>
      <c r="U78" s="889"/>
      <c r="V78" s="889"/>
      <c r="W78" s="889"/>
      <c r="X78" s="889"/>
      <c r="Y78" s="889"/>
      <c r="Z78" s="889"/>
      <c r="AA78" s="889"/>
      <c r="AB78" s="889"/>
      <c r="AC78" s="889"/>
      <c r="AD78" s="889"/>
      <c r="AE78" s="889"/>
      <c r="AF78" s="889"/>
    </row>
    <row r="79" spans="1:32" x14ac:dyDescent="0.3">
      <c r="A79" s="370" t="s">
        <v>803</v>
      </c>
      <c r="B79" s="889" t="s">
        <v>4461</v>
      </c>
      <c r="C79" s="889"/>
      <c r="D79" s="88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row>
    <row r="80" spans="1:32" ht="75.900000000000006" customHeight="1" x14ac:dyDescent="0.3">
      <c r="A80" s="370" t="s">
        <v>803</v>
      </c>
      <c r="B80" s="889" t="s">
        <v>4462</v>
      </c>
      <c r="C80" s="889"/>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row>
    <row r="81" spans="1:32" ht="51.9" customHeight="1" x14ac:dyDescent="0.3">
      <c r="A81" s="370" t="s">
        <v>803</v>
      </c>
      <c r="B81" s="889" t="s">
        <v>4463</v>
      </c>
      <c r="C81" s="889"/>
      <c r="D81" s="88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row>
    <row r="82" spans="1:32" ht="47.4" customHeight="1" x14ac:dyDescent="0.3">
      <c r="A82" s="370" t="s">
        <v>803</v>
      </c>
      <c r="B82" s="889" t="s">
        <v>4464</v>
      </c>
      <c r="C82" s="889"/>
      <c r="D82" s="889"/>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c r="AE82" s="889"/>
      <c r="AF82" s="889"/>
    </row>
    <row r="83" spans="1:32" ht="44.4" customHeight="1" x14ac:dyDescent="0.3">
      <c r="A83" s="370" t="s">
        <v>803</v>
      </c>
      <c r="B83" s="889" t="s">
        <v>4465</v>
      </c>
      <c r="C83" s="889"/>
      <c r="D83" s="88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row>
    <row r="84" spans="1:32" ht="30.9" customHeight="1" x14ac:dyDescent="0.3">
      <c r="A84" s="370" t="s">
        <v>803</v>
      </c>
      <c r="B84" s="889" t="s">
        <v>4466</v>
      </c>
      <c r="C84" s="889"/>
      <c r="D84" s="889"/>
      <c r="E84" s="889"/>
      <c r="F84" s="889"/>
      <c r="G84" s="889"/>
      <c r="H84" s="889"/>
      <c r="I84" s="889"/>
      <c r="J84" s="889"/>
      <c r="K84" s="889"/>
      <c r="L84" s="889"/>
      <c r="M84" s="889"/>
      <c r="N84" s="889"/>
      <c r="O84" s="889"/>
      <c r="P84" s="889"/>
      <c r="Q84" s="889"/>
      <c r="R84" s="889"/>
      <c r="S84" s="889"/>
      <c r="T84" s="889"/>
      <c r="U84" s="889"/>
      <c r="V84" s="889"/>
      <c r="W84" s="889"/>
      <c r="X84" s="889"/>
      <c r="Y84" s="889"/>
      <c r="Z84" s="889"/>
      <c r="AA84" s="889"/>
      <c r="AB84" s="889"/>
      <c r="AC84" s="889"/>
      <c r="AD84" s="889"/>
      <c r="AE84" s="889"/>
      <c r="AF84" s="889"/>
    </row>
    <row r="85" spans="1:32" ht="32.4" customHeight="1" x14ac:dyDescent="0.3">
      <c r="A85" s="370" t="s">
        <v>803</v>
      </c>
      <c r="B85" s="889" t="s">
        <v>4467</v>
      </c>
      <c r="C85" s="889"/>
      <c r="D85" s="889"/>
      <c r="E85" s="889"/>
      <c r="F85" s="889"/>
      <c r="G85" s="889"/>
      <c r="H85" s="889"/>
      <c r="I85" s="889"/>
      <c r="J85" s="889"/>
      <c r="K85" s="889"/>
      <c r="L85" s="889"/>
      <c r="M85" s="889"/>
      <c r="N85" s="889"/>
      <c r="O85" s="889"/>
      <c r="P85" s="889"/>
      <c r="Q85" s="889"/>
      <c r="R85" s="889"/>
      <c r="S85" s="889"/>
      <c r="T85" s="889"/>
      <c r="U85" s="889"/>
      <c r="V85" s="889"/>
      <c r="W85" s="889"/>
      <c r="X85" s="889"/>
      <c r="Y85" s="889"/>
      <c r="Z85" s="889"/>
      <c r="AA85" s="889"/>
      <c r="AB85" s="889"/>
      <c r="AC85" s="889"/>
      <c r="AD85" s="889"/>
      <c r="AE85" s="889"/>
      <c r="AF85" s="889"/>
    </row>
  </sheetData>
  <sheetProtection algorithmName="SHA-512" hashValue="tOfFHyP99k9DD+Cd4n+NYjp0iLClmMtruslCQiRobOSniChmVroQMSpwNLIlCw6AoVhlClA5iGMG5Oz0mWsxcw==" saltValue="2/TR01SDNCgTAEfROGHGZQ==" spinCount="100000" sheet="1" objects="1" scenarios="1"/>
  <mergeCells count="106">
    <mergeCell ref="C14:AF14"/>
    <mergeCell ref="A26:AF26"/>
    <mergeCell ref="A42:AF42"/>
    <mergeCell ref="A43:D43"/>
    <mergeCell ref="E43:P43"/>
    <mergeCell ref="Q43:S43"/>
    <mergeCell ref="T43:V43"/>
    <mergeCell ref="W43:AF43"/>
    <mergeCell ref="A1:AF1"/>
    <mergeCell ref="A3:AF3"/>
    <mergeCell ref="B5:AF5"/>
    <mergeCell ref="A7:AF7"/>
    <mergeCell ref="B10:AF10"/>
    <mergeCell ref="C13:AF13"/>
    <mergeCell ref="A44:D44"/>
    <mergeCell ref="E44:P44"/>
    <mergeCell ref="Q44:S44"/>
    <mergeCell ref="T44:V44"/>
    <mergeCell ref="W44:AF44"/>
    <mergeCell ref="A45:D45"/>
    <mergeCell ref="E45:P45"/>
    <mergeCell ref="Q45:S45"/>
    <mergeCell ref="T45:V45"/>
    <mergeCell ref="W45:AF45"/>
    <mergeCell ref="A46:D46"/>
    <mergeCell ref="E46:P46"/>
    <mergeCell ref="Q46:S46"/>
    <mergeCell ref="T46:V46"/>
    <mergeCell ref="W46:AF46"/>
    <mergeCell ref="A47:D47"/>
    <mergeCell ref="E47:P47"/>
    <mergeCell ref="Q47:S47"/>
    <mergeCell ref="T47:V47"/>
    <mergeCell ref="W47:AF47"/>
    <mergeCell ref="A48:D48"/>
    <mergeCell ref="E48:P48"/>
    <mergeCell ref="Q48:S48"/>
    <mergeCell ref="T48:V48"/>
    <mergeCell ref="W48:AF48"/>
    <mergeCell ref="A49:D49"/>
    <mergeCell ref="E49:P49"/>
    <mergeCell ref="Q49:S49"/>
    <mergeCell ref="T49:V49"/>
    <mergeCell ref="W49:AF49"/>
    <mergeCell ref="A50:D50"/>
    <mergeCell ref="E50:P50"/>
    <mergeCell ref="Q50:S50"/>
    <mergeCell ref="T50:V50"/>
    <mergeCell ref="W50:AF50"/>
    <mergeCell ref="A51:D51"/>
    <mergeCell ref="E51:P51"/>
    <mergeCell ref="Q51:S51"/>
    <mergeCell ref="T51:V51"/>
    <mergeCell ref="W51:AF51"/>
    <mergeCell ref="A52:D52"/>
    <mergeCell ref="E52:P52"/>
    <mergeCell ref="Q52:S52"/>
    <mergeCell ref="T52:V52"/>
    <mergeCell ref="W52:AF52"/>
    <mergeCell ref="A53:D53"/>
    <mergeCell ref="E53:P53"/>
    <mergeCell ref="Q53:S53"/>
    <mergeCell ref="T53:V53"/>
    <mergeCell ref="W53:AF53"/>
    <mergeCell ref="A56:D56"/>
    <mergeCell ref="E56:P56"/>
    <mergeCell ref="Q56:S56"/>
    <mergeCell ref="T56:V56"/>
    <mergeCell ref="W56:AF56"/>
    <mergeCell ref="A57:AF57"/>
    <mergeCell ref="A54:D54"/>
    <mergeCell ref="E54:P54"/>
    <mergeCell ref="Q54:S54"/>
    <mergeCell ref="T54:V54"/>
    <mergeCell ref="W54:AF54"/>
    <mergeCell ref="A55:D55"/>
    <mergeCell ref="E55:P55"/>
    <mergeCell ref="Q55:S55"/>
    <mergeCell ref="T55:V55"/>
    <mergeCell ref="W55:AF55"/>
    <mergeCell ref="A65:AF65"/>
    <mergeCell ref="F70:H70"/>
    <mergeCell ref="A72:H72"/>
    <mergeCell ref="I72:P72"/>
    <mergeCell ref="Q72:X72"/>
    <mergeCell ref="Y72:AF72"/>
    <mergeCell ref="A58:AF58"/>
    <mergeCell ref="A59:AF59"/>
    <mergeCell ref="A60:AF60"/>
    <mergeCell ref="A61:AF61"/>
    <mergeCell ref="A62:AF62"/>
    <mergeCell ref="A63:AF63"/>
    <mergeCell ref="B84:AF84"/>
    <mergeCell ref="B85:AF85"/>
    <mergeCell ref="B78:AF78"/>
    <mergeCell ref="B79:AF79"/>
    <mergeCell ref="B80:AF80"/>
    <mergeCell ref="B81:AF81"/>
    <mergeCell ref="B82:AF82"/>
    <mergeCell ref="B83:AF83"/>
    <mergeCell ref="A73:H73"/>
    <mergeCell ref="I73:P73"/>
    <mergeCell ref="Q73:X73"/>
    <mergeCell ref="Y73:AF73"/>
    <mergeCell ref="A75:AF75"/>
    <mergeCell ref="B77:AF77"/>
  </mergeCells>
  <hyperlinks>
    <hyperlink ref="A2" location="TOC!A1" display="Return to TOC" xr:uid="{00000000-0004-0000-3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3:B14 AF30:AF39" numberStoredAsText="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pageSetUpPr autoPageBreaks="0"/>
  </sheetPr>
  <dimension ref="A1:AF507"/>
  <sheetViews>
    <sheetView workbookViewId="0">
      <selection sqref="A1:AF1"/>
    </sheetView>
  </sheetViews>
  <sheetFormatPr defaultColWidth="2.6640625" defaultRowHeight="14.4" x14ac:dyDescent="0.3"/>
  <sheetData>
    <row r="1" spans="1:32" ht="18" x14ac:dyDescent="0.3">
      <c r="A1" s="1806" t="s">
        <v>4468</v>
      </c>
      <c r="B1" s="1057"/>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row>
    <row r="2" spans="1:32" x14ac:dyDescent="0.3">
      <c r="A2" s="512" t="s">
        <v>1456</v>
      </c>
      <c r="J2" s="94"/>
      <c r="K2" s="94"/>
      <c r="L2" s="94"/>
      <c r="M2" s="94"/>
      <c r="N2" s="94"/>
      <c r="O2" s="94"/>
      <c r="P2" s="94"/>
      <c r="Q2" s="94"/>
      <c r="R2" s="94"/>
      <c r="S2" s="94"/>
      <c r="T2" s="94"/>
      <c r="U2" s="94"/>
      <c r="V2" s="94"/>
      <c r="W2" s="94"/>
      <c r="X2" s="94"/>
      <c r="Y2" s="94"/>
      <c r="Z2" s="94"/>
      <c r="AA2" s="94"/>
      <c r="AB2" s="94"/>
      <c r="AC2" s="94"/>
      <c r="AD2" s="94"/>
      <c r="AE2" s="94"/>
      <c r="AF2" s="94"/>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4355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r="9" spans="1:32" x14ac:dyDescent="0.3">
      <c r="A9" s="94"/>
      <c r="B9" s="267" t="s">
        <v>3</v>
      </c>
      <c r="C9" s="267"/>
      <c r="D9" s="267"/>
      <c r="E9" s="267"/>
      <c r="F9" s="267"/>
      <c r="G9" s="267"/>
      <c r="H9" s="267"/>
      <c r="I9" s="267"/>
      <c r="J9" s="121"/>
      <c r="K9" s="121"/>
      <c r="L9" s="121"/>
      <c r="M9" s="121"/>
      <c r="N9" s="121"/>
      <c r="O9" s="121"/>
      <c r="P9" s="121"/>
      <c r="Q9" s="121"/>
      <c r="R9" s="121"/>
      <c r="S9" s="121"/>
      <c r="T9" s="121"/>
      <c r="U9" s="121"/>
      <c r="V9" s="121"/>
      <c r="W9" s="121"/>
      <c r="X9" s="121"/>
      <c r="Y9" s="121"/>
      <c r="Z9" s="121"/>
      <c r="AA9" s="121"/>
      <c r="AB9" s="121"/>
      <c r="AC9" s="121"/>
      <c r="AD9" s="94"/>
      <c r="AE9" s="94"/>
      <c r="AF9" s="94"/>
    </row>
    <row r="10" spans="1:32" ht="60.9" customHeight="1" x14ac:dyDescent="0.3">
      <c r="A10" s="94"/>
      <c r="B10" s="889" t="s">
        <v>4469</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r="12" spans="1:32" x14ac:dyDescent="0.3">
      <c r="A12" s="94"/>
      <c r="B12" s="267" t="s">
        <v>4</v>
      </c>
      <c r="C12" s="267"/>
      <c r="D12" s="267"/>
      <c r="E12" s="267"/>
      <c r="F12" s="267"/>
      <c r="G12" s="267"/>
      <c r="H12" s="267"/>
      <c r="I12" s="267"/>
      <c r="J12" s="121"/>
      <c r="K12" s="121"/>
      <c r="L12" s="121"/>
      <c r="M12" s="121"/>
      <c r="N12" s="121"/>
      <c r="O12" s="121"/>
      <c r="P12" s="121"/>
      <c r="Q12" s="121"/>
      <c r="R12" s="121"/>
      <c r="S12" s="121"/>
      <c r="T12" s="121"/>
      <c r="U12" s="121"/>
      <c r="V12" s="121"/>
      <c r="W12" s="121"/>
      <c r="X12" s="121"/>
      <c r="Y12" s="121"/>
      <c r="Z12" s="121"/>
      <c r="AA12" s="121"/>
      <c r="AB12" s="121"/>
      <c r="AC12" s="121"/>
      <c r="AD12" s="94"/>
      <c r="AE12" s="94"/>
      <c r="AF12" s="94"/>
    </row>
    <row r="13" spans="1:32" ht="29.4" customHeight="1" x14ac:dyDescent="0.3">
      <c r="A13" s="94"/>
      <c r="B13" s="601" t="s">
        <v>1190</v>
      </c>
      <c r="C13" s="889" t="s">
        <v>4470</v>
      </c>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A14" s="94"/>
      <c r="B14" s="601" t="s">
        <v>1191</v>
      </c>
      <c r="C14" s="889" t="s">
        <v>4471</v>
      </c>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89"/>
    </row>
    <row r="15" spans="1:32" x14ac:dyDescent="0.3">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r="16" spans="1:32" x14ac:dyDescent="0.3">
      <c r="A16" s="94"/>
      <c r="B16" s="267" t="s">
        <v>5</v>
      </c>
      <c r="C16" s="267"/>
      <c r="D16" s="267"/>
      <c r="E16" s="267"/>
      <c r="F16" s="267"/>
      <c r="G16" s="267"/>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r="17" spans="1:32" x14ac:dyDescent="0.3">
      <c r="A17" s="94"/>
      <c r="B17" s="121" t="s">
        <v>4472</v>
      </c>
      <c r="C17" s="121"/>
      <c r="D17" s="121"/>
      <c r="E17" s="121"/>
      <c r="F17" s="121"/>
      <c r="G17" s="121"/>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r="18" spans="1:32" x14ac:dyDescent="0.3">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r="19" spans="1:32" x14ac:dyDescent="0.3">
      <c r="A19" s="94"/>
      <c r="B19" s="267" t="s">
        <v>6</v>
      </c>
      <c r="C19" s="267"/>
      <c r="D19" s="267"/>
      <c r="E19" s="267"/>
      <c r="F19" s="267"/>
      <c r="G19" s="267"/>
      <c r="H19" s="267"/>
      <c r="I19" s="267"/>
      <c r="J19" s="121"/>
      <c r="K19" s="121"/>
      <c r="L19" s="121"/>
      <c r="M19" s="121"/>
      <c r="N19" s="94"/>
      <c r="O19" s="94"/>
      <c r="P19" s="94"/>
      <c r="Q19" s="94"/>
      <c r="R19" s="94"/>
      <c r="S19" s="94"/>
      <c r="T19" s="94"/>
      <c r="U19" s="94"/>
      <c r="V19" s="94"/>
      <c r="W19" s="94"/>
      <c r="X19" s="94"/>
      <c r="Y19" s="94"/>
      <c r="Z19" s="94"/>
      <c r="AA19" s="94"/>
      <c r="AB19" s="94"/>
      <c r="AC19" s="94"/>
      <c r="AD19" s="94"/>
      <c r="AE19" s="94"/>
      <c r="AF19" s="94"/>
    </row>
    <row r="20" spans="1:32" x14ac:dyDescent="0.3">
      <c r="A20" s="94"/>
      <c r="B20" s="121" t="s">
        <v>4473</v>
      </c>
      <c r="C20" s="121"/>
      <c r="D20" s="121"/>
      <c r="E20" s="121"/>
      <c r="F20" s="121"/>
      <c r="G20" s="121"/>
      <c r="H20" s="121"/>
      <c r="I20" s="121"/>
      <c r="J20" s="121"/>
      <c r="K20" s="121"/>
      <c r="L20" s="121"/>
      <c r="M20" s="121"/>
      <c r="N20" s="94"/>
      <c r="O20" s="94"/>
      <c r="P20" s="94"/>
      <c r="Q20" s="94"/>
      <c r="R20" s="94"/>
      <c r="S20" s="94"/>
      <c r="T20" s="94"/>
      <c r="U20" s="94"/>
      <c r="V20" s="94"/>
      <c r="W20" s="94"/>
      <c r="X20" s="94"/>
      <c r="Y20" s="94"/>
      <c r="Z20" s="94"/>
      <c r="AA20" s="94"/>
      <c r="AB20" s="94"/>
      <c r="AC20" s="94"/>
      <c r="AD20" s="94"/>
      <c r="AE20" s="94"/>
      <c r="AF20" s="94"/>
    </row>
    <row r="21" spans="1:32" x14ac:dyDescent="0.3">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r="22" spans="1:32" x14ac:dyDescent="0.3">
      <c r="A22" s="94"/>
      <c r="B22" s="267" t="s">
        <v>13</v>
      </c>
      <c r="C22" s="267"/>
      <c r="D22" s="267"/>
      <c r="E22" s="267"/>
      <c r="F22" s="267"/>
      <c r="G22" s="267"/>
      <c r="H22" s="267"/>
      <c r="I22" s="267"/>
      <c r="J22" s="121"/>
      <c r="K22" s="121"/>
      <c r="L22" s="121"/>
      <c r="M22" s="121"/>
      <c r="N22" s="121"/>
      <c r="O22" s="94"/>
      <c r="P22" s="94"/>
      <c r="Q22" s="94"/>
      <c r="R22" s="94"/>
      <c r="S22" s="94"/>
      <c r="T22" s="94"/>
      <c r="U22" s="94"/>
      <c r="V22" s="94"/>
      <c r="W22" s="94"/>
      <c r="X22" s="94"/>
      <c r="Y22" s="94"/>
      <c r="Z22" s="94"/>
      <c r="AA22" s="94"/>
      <c r="AB22" s="94"/>
      <c r="AC22" s="94"/>
      <c r="AD22" s="94"/>
      <c r="AE22" s="94"/>
      <c r="AF22" s="94"/>
    </row>
    <row r="23" spans="1:32" x14ac:dyDescent="0.3">
      <c r="A23" s="94"/>
      <c r="B23" s="121" t="s">
        <v>4474</v>
      </c>
      <c r="C23" s="121"/>
      <c r="D23" s="121"/>
      <c r="E23" s="121"/>
      <c r="F23" s="121"/>
      <c r="G23" s="121"/>
      <c r="H23" s="121"/>
      <c r="I23" s="121"/>
      <c r="J23" s="121"/>
      <c r="K23" s="121"/>
      <c r="L23" s="121"/>
      <c r="M23" s="121"/>
      <c r="N23" s="121"/>
      <c r="O23" s="94"/>
      <c r="P23" s="94"/>
      <c r="Q23" s="94"/>
      <c r="R23" s="94"/>
      <c r="S23" s="94"/>
      <c r="T23" s="94"/>
      <c r="U23" s="94"/>
      <c r="V23" s="94"/>
      <c r="W23" s="94"/>
      <c r="X23" s="94"/>
      <c r="Y23" s="94"/>
      <c r="Z23" s="94"/>
      <c r="AA23" s="94"/>
      <c r="AB23" s="94"/>
      <c r="AC23" s="94"/>
      <c r="AD23" s="94"/>
      <c r="AE23" s="94"/>
      <c r="AF23" s="94"/>
    </row>
    <row r="24" spans="1:32" x14ac:dyDescent="0.3">
      <c r="A24" s="94"/>
      <c r="B24" s="9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row>
    <row r="25" spans="1:32" x14ac:dyDescent="0.3">
      <c r="A25" s="1290" t="s">
        <v>7</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row>
    <row r="26" spans="1:32" x14ac:dyDescent="0.3">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row>
    <row r="27" spans="1:32" x14ac:dyDescent="0.3">
      <c r="A27" s="187"/>
      <c r="B27" s="372" t="s">
        <v>2137</v>
      </c>
      <c r="C27" s="187"/>
      <c r="D27" s="187"/>
      <c r="E27" s="187"/>
      <c r="F27" s="187"/>
      <c r="G27" s="187"/>
      <c r="H27" s="187"/>
      <c r="I27" s="187"/>
      <c r="J27" s="187"/>
      <c r="K27" s="272"/>
      <c r="L27" s="121"/>
      <c r="M27" s="121"/>
      <c r="N27" s="121"/>
      <c r="O27" s="121"/>
      <c r="P27" s="121"/>
      <c r="Q27" s="121"/>
      <c r="R27" s="121"/>
      <c r="S27" s="121"/>
      <c r="T27" s="121"/>
      <c r="U27" s="121"/>
      <c r="V27" s="121"/>
      <c r="W27" s="121"/>
      <c r="X27" s="121"/>
      <c r="Y27" s="121"/>
      <c r="Z27" s="121"/>
      <c r="AA27" s="121"/>
      <c r="AB27" s="121"/>
      <c r="AC27" s="121"/>
      <c r="AD27" s="94"/>
      <c r="AE27" s="94"/>
      <c r="AF27" s="94"/>
    </row>
    <row r="28" spans="1:32" x14ac:dyDescent="0.3">
      <c r="A28" s="187"/>
      <c r="B28" s="372"/>
      <c r="C28" s="187"/>
      <c r="D28" s="187"/>
      <c r="E28" s="187"/>
      <c r="F28" s="187"/>
      <c r="G28" s="187"/>
      <c r="H28" s="187"/>
      <c r="I28" s="187"/>
      <c r="J28" s="187"/>
      <c r="K28" s="272"/>
      <c r="L28" s="121"/>
      <c r="M28" s="121"/>
      <c r="N28" s="121"/>
      <c r="O28" s="121"/>
      <c r="P28" s="121"/>
      <c r="Q28" s="121"/>
      <c r="R28" s="121"/>
      <c r="S28" s="121"/>
      <c r="T28" s="121"/>
      <c r="U28" s="121"/>
      <c r="V28" s="121"/>
      <c r="W28" s="121"/>
      <c r="X28" s="121"/>
      <c r="Y28" s="121"/>
      <c r="Z28" s="121"/>
      <c r="AA28" s="121"/>
      <c r="AB28" s="121"/>
      <c r="AC28" s="121"/>
      <c r="AD28" s="94"/>
      <c r="AE28" s="94"/>
      <c r="AF28" s="94"/>
    </row>
    <row r="29" spans="1:32" x14ac:dyDescent="0.3">
      <c r="A29" s="187"/>
      <c r="B29" s="187"/>
      <c r="C29" s="187"/>
      <c r="D29" s="187"/>
      <c r="E29" s="187"/>
      <c r="F29" s="187"/>
      <c r="G29" s="187"/>
      <c r="H29" s="187"/>
      <c r="I29" s="187"/>
      <c r="J29" s="187"/>
      <c r="K29" s="388"/>
      <c r="L29" s="94"/>
      <c r="M29" s="94"/>
      <c r="N29" s="94"/>
      <c r="O29" s="94"/>
      <c r="P29" s="94"/>
      <c r="Q29" s="94"/>
      <c r="R29" s="94"/>
      <c r="S29" s="94"/>
      <c r="T29" s="94"/>
      <c r="U29" s="94"/>
      <c r="V29" s="94"/>
      <c r="W29" s="94"/>
      <c r="X29" s="94"/>
      <c r="Y29" s="94"/>
      <c r="Z29" s="94"/>
      <c r="AA29" s="94"/>
      <c r="AB29" s="94"/>
      <c r="AC29" s="94"/>
      <c r="AD29" s="94"/>
      <c r="AE29" s="94"/>
      <c r="AF29" s="388" t="s">
        <v>1463</v>
      </c>
    </row>
    <row r="30" spans="1:32" x14ac:dyDescent="0.3">
      <c r="A30" s="187"/>
      <c r="B30" s="187"/>
      <c r="C30" s="187"/>
      <c r="D30" s="187"/>
      <c r="E30" s="187"/>
      <c r="F30" s="187"/>
      <c r="G30" s="187"/>
      <c r="H30" s="187"/>
      <c r="I30" s="187"/>
      <c r="J30" s="187"/>
      <c r="K30" s="388"/>
      <c r="L30" s="94"/>
      <c r="M30" s="94"/>
      <c r="N30" s="94"/>
      <c r="O30" s="94"/>
      <c r="P30" s="94"/>
      <c r="Q30" s="94"/>
      <c r="R30" s="94"/>
      <c r="S30" s="94"/>
      <c r="T30" s="94"/>
      <c r="U30" s="94"/>
      <c r="V30" s="94"/>
      <c r="W30" s="94"/>
      <c r="X30" s="94"/>
      <c r="Y30" s="94"/>
      <c r="Z30" s="94"/>
      <c r="AA30" s="94"/>
      <c r="AB30" s="94"/>
      <c r="AC30" s="94"/>
      <c r="AD30" s="94"/>
      <c r="AE30" s="94"/>
      <c r="AF30" s="94"/>
    </row>
    <row r="31" spans="1:32" x14ac:dyDescent="0.3">
      <c r="A31" s="187"/>
      <c r="B31" s="267" t="s">
        <v>2027</v>
      </c>
      <c r="C31" s="187"/>
      <c r="D31" s="187"/>
      <c r="E31" s="187"/>
      <c r="F31" s="187"/>
      <c r="G31" s="187"/>
      <c r="H31" s="187"/>
      <c r="I31" s="187"/>
      <c r="J31" s="187"/>
      <c r="K31" s="388"/>
      <c r="L31" s="94"/>
      <c r="M31" s="94"/>
      <c r="N31" s="94"/>
      <c r="O31" s="94"/>
      <c r="P31" s="94"/>
      <c r="Q31" s="94"/>
      <c r="R31" s="94"/>
      <c r="S31" s="94"/>
      <c r="T31" s="94"/>
      <c r="U31" s="94"/>
      <c r="V31" s="94"/>
      <c r="W31" s="94"/>
      <c r="X31" s="94"/>
      <c r="Y31" s="94"/>
      <c r="Z31" s="94"/>
      <c r="AA31" s="94"/>
      <c r="AB31" s="94"/>
      <c r="AC31" s="94"/>
      <c r="AD31" s="94"/>
      <c r="AE31" s="94"/>
      <c r="AF31" s="94"/>
    </row>
    <row r="32" spans="1:32" x14ac:dyDescent="0.3">
      <c r="A32" s="187"/>
      <c r="B32" s="187"/>
      <c r="C32" s="187"/>
      <c r="D32" s="187"/>
      <c r="E32" s="187"/>
      <c r="F32" s="187"/>
      <c r="G32" s="187"/>
      <c r="H32" s="187"/>
      <c r="I32" s="187"/>
      <c r="J32" s="187"/>
      <c r="K32" s="388"/>
      <c r="L32" s="94"/>
      <c r="M32" s="94"/>
      <c r="N32" s="94"/>
      <c r="O32" s="94"/>
      <c r="P32" s="94"/>
      <c r="Q32" s="94"/>
      <c r="R32" s="94"/>
      <c r="S32" s="94"/>
      <c r="T32" s="94"/>
      <c r="U32" s="94"/>
      <c r="V32" s="94"/>
      <c r="W32" s="94"/>
      <c r="X32" s="94"/>
      <c r="Y32" s="94"/>
      <c r="Z32" s="94"/>
      <c r="AA32" s="94"/>
      <c r="AB32" s="94"/>
      <c r="AC32" s="94"/>
      <c r="AD32" s="94"/>
      <c r="AE32" s="94"/>
      <c r="AF32" s="94"/>
    </row>
    <row r="33" spans="1:32" x14ac:dyDescent="0.3">
      <c r="A33" s="187"/>
      <c r="B33" s="187"/>
      <c r="C33" s="187"/>
      <c r="D33" s="187"/>
      <c r="E33" s="187"/>
      <c r="F33" s="187"/>
      <c r="G33" s="187"/>
      <c r="H33" s="187"/>
      <c r="I33" s="187"/>
      <c r="J33" s="187"/>
      <c r="K33" s="388"/>
      <c r="L33" s="94"/>
      <c r="M33" s="94"/>
      <c r="N33" s="94"/>
      <c r="O33" s="94"/>
      <c r="P33" s="94"/>
      <c r="Q33" s="94"/>
      <c r="R33" s="94"/>
      <c r="S33" s="94"/>
      <c r="T33" s="94"/>
      <c r="U33" s="94"/>
      <c r="V33" s="94"/>
      <c r="W33" s="94"/>
      <c r="X33" s="94"/>
      <c r="Y33" s="94"/>
      <c r="Z33" s="94"/>
      <c r="AA33" s="94"/>
      <c r="AB33" s="94"/>
      <c r="AC33" s="94"/>
      <c r="AD33" s="94"/>
      <c r="AE33" s="94"/>
      <c r="AF33" s="388" t="s">
        <v>1464</v>
      </c>
    </row>
    <row r="34" spans="1:32" x14ac:dyDescent="0.3">
      <c r="A34" s="187"/>
      <c r="B34" s="187"/>
      <c r="C34" s="187"/>
      <c r="D34" s="187"/>
      <c r="E34" s="187"/>
      <c r="F34" s="187"/>
      <c r="G34" s="187"/>
      <c r="H34" s="187"/>
      <c r="I34" s="187"/>
      <c r="J34" s="187"/>
      <c r="K34" s="388"/>
      <c r="L34" s="94"/>
      <c r="M34" s="94"/>
      <c r="N34" s="94"/>
      <c r="O34" s="94"/>
      <c r="P34" s="94"/>
      <c r="Q34" s="94"/>
      <c r="R34" s="94"/>
      <c r="S34" s="94"/>
      <c r="T34" s="94"/>
      <c r="U34" s="94"/>
      <c r="V34" s="94"/>
      <c r="W34" s="94"/>
      <c r="X34" s="94"/>
      <c r="Y34" s="94"/>
      <c r="Z34" s="94"/>
      <c r="AA34" s="94"/>
      <c r="AB34" s="94"/>
      <c r="AC34" s="94"/>
      <c r="AD34" s="94"/>
      <c r="AE34" s="94"/>
      <c r="AF34" s="94"/>
    </row>
    <row r="35" spans="1:32" x14ac:dyDescent="0.3">
      <c r="A35" s="187"/>
      <c r="B35" s="267" t="s">
        <v>1811</v>
      </c>
      <c r="C35" s="187"/>
      <c r="D35" s="187"/>
      <c r="E35" s="187"/>
      <c r="F35" s="187"/>
      <c r="G35" s="187"/>
      <c r="H35" s="187"/>
      <c r="I35" s="187"/>
      <c r="J35" s="187"/>
      <c r="K35" s="388"/>
      <c r="L35" s="94"/>
      <c r="M35" s="94"/>
      <c r="N35" s="94"/>
      <c r="O35" s="94"/>
      <c r="P35" s="94"/>
      <c r="Q35" s="94"/>
      <c r="R35" s="94"/>
      <c r="S35" s="94"/>
      <c r="T35" s="94"/>
      <c r="U35" s="94"/>
      <c r="V35" s="94"/>
      <c r="W35" s="94"/>
      <c r="X35" s="94"/>
      <c r="Y35" s="94"/>
      <c r="Z35" s="94"/>
      <c r="AA35" s="94"/>
      <c r="AB35" s="94"/>
      <c r="AC35" s="94"/>
      <c r="AD35" s="94"/>
      <c r="AE35" s="94"/>
      <c r="AF35" s="94"/>
    </row>
    <row r="36" spans="1:32" x14ac:dyDescent="0.3">
      <c r="A36" s="187"/>
      <c r="B36" s="267"/>
      <c r="C36" s="187"/>
      <c r="D36" s="187"/>
      <c r="E36" s="187"/>
      <c r="F36" s="187"/>
      <c r="G36" s="187"/>
      <c r="H36" s="187"/>
      <c r="I36" s="187"/>
      <c r="J36" s="187"/>
      <c r="K36" s="388"/>
      <c r="L36" s="94"/>
      <c r="M36" s="94"/>
      <c r="N36" s="94"/>
      <c r="O36" s="94"/>
      <c r="P36" s="94"/>
      <c r="Q36" s="94"/>
      <c r="R36" s="94"/>
      <c r="S36" s="94"/>
      <c r="T36" s="94"/>
      <c r="U36" s="94"/>
      <c r="V36" s="94"/>
      <c r="W36" s="94"/>
      <c r="X36" s="94"/>
      <c r="Y36" s="94"/>
      <c r="Z36" s="94"/>
      <c r="AA36" s="94"/>
      <c r="AB36" s="94"/>
      <c r="AC36" s="94"/>
      <c r="AD36" s="94"/>
      <c r="AE36" s="94"/>
      <c r="AF36" s="94"/>
    </row>
    <row r="37" spans="1:32" x14ac:dyDescent="0.3">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388" t="s">
        <v>1465</v>
      </c>
    </row>
    <row r="38" spans="1:32" x14ac:dyDescent="0.3">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388"/>
    </row>
    <row r="39" spans="1:32" x14ac:dyDescent="0.3">
      <c r="A39" s="1290" t="s">
        <v>8</v>
      </c>
      <c r="B39" s="1290"/>
      <c r="C39" s="1290"/>
      <c r="D39" s="1290"/>
      <c r="E39" s="1290"/>
      <c r="F39" s="1290"/>
      <c r="G39" s="1290"/>
      <c r="H39" s="1290"/>
      <c r="I39" s="1290"/>
      <c r="J39" s="1290"/>
      <c r="K39" s="1290"/>
      <c r="L39" s="1290"/>
      <c r="M39" s="1290"/>
      <c r="N39" s="1290"/>
      <c r="O39" s="1290"/>
      <c r="P39" s="1290"/>
      <c r="Q39" s="1290"/>
      <c r="R39" s="1290"/>
      <c r="S39" s="1290"/>
      <c r="T39" s="1290"/>
      <c r="U39" s="1290"/>
      <c r="V39" s="1290"/>
      <c r="W39" s="1290"/>
      <c r="X39" s="1290"/>
      <c r="Y39" s="1290"/>
      <c r="Z39" s="1290"/>
      <c r="AA39" s="1290"/>
      <c r="AB39" s="1290"/>
      <c r="AC39" s="1290"/>
      <c r="AD39" s="1290"/>
      <c r="AE39" s="1290"/>
      <c r="AF39" s="1290"/>
    </row>
    <row r="40" spans="1:32" x14ac:dyDescent="0.3">
      <c r="A40" s="2548" t="s">
        <v>9</v>
      </c>
      <c r="B40" s="2548"/>
      <c r="C40" s="2548"/>
      <c r="D40" s="2548"/>
      <c r="E40" s="2548"/>
      <c r="F40" s="2549" t="s">
        <v>3</v>
      </c>
      <c r="G40" s="2550"/>
      <c r="H40" s="2550"/>
      <c r="I40" s="2550"/>
      <c r="J40" s="2550"/>
      <c r="K40" s="2550"/>
      <c r="L40" s="2550"/>
      <c r="M40" s="2550"/>
      <c r="N40" s="2551"/>
      <c r="O40" s="2552" t="s">
        <v>10</v>
      </c>
      <c r="P40" s="2552"/>
      <c r="Q40" s="2552"/>
      <c r="R40" s="2552"/>
      <c r="S40" s="2552" t="s">
        <v>11</v>
      </c>
      <c r="T40" s="2552"/>
      <c r="U40" s="2552"/>
      <c r="V40" s="2552"/>
      <c r="W40" s="2553" t="s">
        <v>1466</v>
      </c>
      <c r="X40" s="2553"/>
      <c r="Y40" s="2553"/>
      <c r="Z40" s="2553"/>
      <c r="AA40" s="2553"/>
      <c r="AB40" s="2553"/>
      <c r="AC40" s="2553"/>
      <c r="AD40" s="2553"/>
      <c r="AE40" s="2553"/>
      <c r="AF40" s="2553"/>
    </row>
    <row r="41" spans="1:32" ht="186.9" customHeight="1" x14ac:dyDescent="0.3">
      <c r="A41" s="1399" t="s">
        <v>4475</v>
      </c>
      <c r="B41" s="1399"/>
      <c r="C41" s="1399"/>
      <c r="D41" s="1399"/>
      <c r="E41" s="1399"/>
      <c r="F41" s="1207" t="s">
        <v>4476</v>
      </c>
      <c r="G41" s="1208"/>
      <c r="H41" s="1208"/>
      <c r="I41" s="1208"/>
      <c r="J41" s="1208"/>
      <c r="K41" s="1208"/>
      <c r="L41" s="1208"/>
      <c r="M41" s="1208"/>
      <c r="N41" s="1209"/>
      <c r="O41" s="1514" t="s">
        <v>516</v>
      </c>
      <c r="P41" s="1514"/>
      <c r="Q41" s="1514"/>
      <c r="R41" s="1514"/>
      <c r="S41" s="1514" t="s">
        <v>4477</v>
      </c>
      <c r="T41" s="1514"/>
      <c r="U41" s="1514"/>
      <c r="V41" s="1514"/>
      <c r="W41" s="2542" t="s">
        <v>4478</v>
      </c>
      <c r="X41" s="2543"/>
      <c r="Y41" s="2543"/>
      <c r="Z41" s="2543"/>
      <c r="AA41" s="2543"/>
      <c r="AB41" s="2543"/>
      <c r="AC41" s="2543"/>
      <c r="AD41" s="2543"/>
      <c r="AE41" s="2543"/>
      <c r="AF41" s="2544"/>
    </row>
    <row r="42" spans="1:32" ht="122.1" customHeight="1" x14ac:dyDescent="0.3">
      <c r="A42" s="1399" t="s">
        <v>2294</v>
      </c>
      <c r="B42" s="1399"/>
      <c r="C42" s="1399"/>
      <c r="D42" s="1399"/>
      <c r="E42" s="1399"/>
      <c r="F42" s="1207" t="s">
        <v>4479</v>
      </c>
      <c r="G42" s="1208"/>
      <c r="H42" s="1208"/>
      <c r="I42" s="1208"/>
      <c r="J42" s="1208"/>
      <c r="K42" s="1208"/>
      <c r="L42" s="1208"/>
      <c r="M42" s="1208"/>
      <c r="N42" s="1209"/>
      <c r="O42" s="1514" t="s">
        <v>516</v>
      </c>
      <c r="P42" s="1514"/>
      <c r="Q42" s="1514"/>
      <c r="R42" s="1514"/>
      <c r="S42" s="1514" t="s">
        <v>2667</v>
      </c>
      <c r="T42" s="1514"/>
      <c r="U42" s="1514"/>
      <c r="V42" s="1514"/>
      <c r="W42" s="2545"/>
      <c r="X42" s="2546"/>
      <c r="Y42" s="2546"/>
      <c r="Z42" s="2546"/>
      <c r="AA42" s="2546"/>
      <c r="AB42" s="2546"/>
      <c r="AC42" s="2546"/>
      <c r="AD42" s="2546"/>
      <c r="AE42" s="2546"/>
      <c r="AF42" s="2547"/>
    </row>
    <row r="43" spans="1:32" ht="30.9" customHeight="1" x14ac:dyDescent="0.3">
      <c r="A43" s="1399" t="s">
        <v>4368</v>
      </c>
      <c r="B43" s="1399"/>
      <c r="C43" s="1399"/>
      <c r="D43" s="1399"/>
      <c r="E43" s="1399"/>
      <c r="F43" s="1207" t="s">
        <v>4480</v>
      </c>
      <c r="G43" s="1208"/>
      <c r="H43" s="1208"/>
      <c r="I43" s="1208"/>
      <c r="J43" s="1208"/>
      <c r="K43" s="1208"/>
      <c r="L43" s="1208"/>
      <c r="M43" s="1208"/>
      <c r="N43" s="1209"/>
      <c r="O43" s="1514" t="s">
        <v>2274</v>
      </c>
      <c r="P43" s="1514"/>
      <c r="Q43" s="1514"/>
      <c r="R43" s="1514"/>
      <c r="S43" s="1514" t="s">
        <v>4368</v>
      </c>
      <c r="T43" s="1514"/>
      <c r="U43" s="1514"/>
      <c r="V43" s="1514"/>
      <c r="W43" s="1439" t="s">
        <v>4481</v>
      </c>
      <c r="X43" s="1439"/>
      <c r="Y43" s="1439"/>
      <c r="Z43" s="1439"/>
      <c r="AA43" s="1439"/>
      <c r="AB43" s="1439"/>
      <c r="AC43" s="1439"/>
      <c r="AD43" s="1439"/>
      <c r="AE43" s="1439"/>
      <c r="AF43" s="1439"/>
    </row>
    <row r="44" spans="1:32" ht="99" customHeight="1" x14ac:dyDescent="0.3">
      <c r="A44" s="1399"/>
      <c r="B44" s="1399"/>
      <c r="C44" s="1399"/>
      <c r="D44" s="1399"/>
      <c r="E44" s="1399"/>
      <c r="F44" s="1207" t="s">
        <v>4482</v>
      </c>
      <c r="G44" s="1208"/>
      <c r="H44" s="1208"/>
      <c r="I44" s="1208"/>
      <c r="J44" s="1208"/>
      <c r="K44" s="1208"/>
      <c r="L44" s="1208"/>
      <c r="M44" s="1208"/>
      <c r="N44" s="1209"/>
      <c r="O44" s="2540">
        <v>72.338499999999996</v>
      </c>
      <c r="P44" s="2540"/>
      <c r="Q44" s="2540"/>
      <c r="R44" s="2540"/>
      <c r="S44" s="1514" t="s">
        <v>158</v>
      </c>
      <c r="T44" s="1514"/>
      <c r="U44" s="1514"/>
      <c r="V44" s="1514"/>
      <c r="W44" s="2541" t="s">
        <v>4483</v>
      </c>
      <c r="X44" s="2541"/>
      <c r="Y44" s="2541"/>
      <c r="Z44" s="2541"/>
      <c r="AA44" s="2541"/>
      <c r="AB44" s="2541"/>
      <c r="AC44" s="2541"/>
      <c r="AD44" s="2541"/>
      <c r="AE44" s="2541"/>
      <c r="AF44" s="2541"/>
    </row>
    <row r="45" spans="1:32" ht="99.6" customHeight="1" x14ac:dyDescent="0.3">
      <c r="A45" s="1399"/>
      <c r="B45" s="1399"/>
      <c r="C45" s="1399"/>
      <c r="D45" s="1399"/>
      <c r="E45" s="1399"/>
      <c r="F45" s="1207" t="s">
        <v>4484</v>
      </c>
      <c r="G45" s="1208"/>
      <c r="H45" s="1208"/>
      <c r="I45" s="1208"/>
      <c r="J45" s="1208"/>
      <c r="K45" s="1208"/>
      <c r="L45" s="1208"/>
      <c r="M45" s="1208"/>
      <c r="N45" s="1209"/>
      <c r="O45" s="2540">
        <v>70.901290000000003</v>
      </c>
      <c r="P45" s="2540"/>
      <c r="Q45" s="2540"/>
      <c r="R45" s="2540"/>
      <c r="S45" s="1514" t="s">
        <v>158</v>
      </c>
      <c r="T45" s="1514"/>
      <c r="U45" s="1514"/>
      <c r="V45" s="1514"/>
      <c r="W45" s="2541" t="s">
        <v>4483</v>
      </c>
      <c r="X45" s="2541"/>
      <c r="Y45" s="2541"/>
      <c r="Z45" s="2541"/>
      <c r="AA45" s="2541"/>
      <c r="AB45" s="2541"/>
      <c r="AC45" s="2541"/>
      <c r="AD45" s="2541"/>
      <c r="AE45" s="2541"/>
      <c r="AF45" s="2541"/>
    </row>
    <row r="46" spans="1:32" ht="62.1" customHeight="1" x14ac:dyDescent="0.3">
      <c r="A46" s="1399"/>
      <c r="B46" s="1399"/>
      <c r="C46" s="1399"/>
      <c r="D46" s="1399"/>
      <c r="E46" s="1399"/>
      <c r="F46" s="1207" t="s">
        <v>4485</v>
      </c>
      <c r="G46" s="1208"/>
      <c r="H46" s="1208"/>
      <c r="I46" s="1208"/>
      <c r="J46" s="1208"/>
      <c r="K46" s="1208"/>
      <c r="L46" s="1208"/>
      <c r="M46" s="1208"/>
      <c r="N46" s="1209"/>
      <c r="O46" s="1537">
        <v>2938</v>
      </c>
      <c r="P46" s="1537"/>
      <c r="Q46" s="1537"/>
      <c r="R46" s="1537"/>
      <c r="S46" s="1514" t="s">
        <v>37</v>
      </c>
      <c r="T46" s="1514"/>
      <c r="U46" s="1514"/>
      <c r="V46" s="1514"/>
      <c r="W46" s="1439" t="s">
        <v>4486</v>
      </c>
      <c r="X46" s="1439"/>
      <c r="Y46" s="1439"/>
      <c r="Z46" s="1439"/>
      <c r="AA46" s="1439"/>
      <c r="AB46" s="1439"/>
      <c r="AC46" s="1439"/>
      <c r="AD46" s="1439"/>
      <c r="AE46" s="1439"/>
      <c r="AF46" s="1439"/>
    </row>
    <row r="47" spans="1:32" ht="29.4" customHeight="1" x14ac:dyDescent="0.3">
      <c r="A47" s="1399" t="s">
        <v>3886</v>
      </c>
      <c r="B47" s="1399"/>
      <c r="C47" s="1399"/>
      <c r="D47" s="1399"/>
      <c r="E47" s="1399"/>
      <c r="F47" s="1207" t="s">
        <v>2050</v>
      </c>
      <c r="G47" s="1208"/>
      <c r="H47" s="1208"/>
      <c r="I47" s="1208"/>
      <c r="J47" s="1208"/>
      <c r="K47" s="1208"/>
      <c r="L47" s="1208"/>
      <c r="M47" s="1208"/>
      <c r="N47" s="1209"/>
      <c r="O47" s="1514">
        <f>'Master EUL'!X94</f>
        <v>15</v>
      </c>
      <c r="P47" s="1514"/>
      <c r="Q47" s="1514"/>
      <c r="R47" s="1514"/>
      <c r="S47" s="1514" t="s">
        <v>38</v>
      </c>
      <c r="T47" s="1514"/>
      <c r="U47" s="1514"/>
      <c r="V47" s="1514"/>
      <c r="W47" s="987" t="s">
        <v>1899</v>
      </c>
      <c r="X47" s="987"/>
      <c r="Y47" s="987"/>
      <c r="Z47" s="987"/>
      <c r="AA47" s="987"/>
      <c r="AB47" s="987"/>
      <c r="AC47" s="987"/>
      <c r="AD47" s="987"/>
      <c r="AE47" s="987"/>
      <c r="AF47" s="987"/>
    </row>
    <row r="48" spans="1:32" ht="66.599999999999994" customHeight="1" x14ac:dyDescent="0.3">
      <c r="A48" s="1406" t="s">
        <v>4487</v>
      </c>
      <c r="B48" s="1406"/>
      <c r="C48" s="1406"/>
      <c r="D48" s="1406"/>
      <c r="E48" s="1406"/>
      <c r="F48" s="1406"/>
      <c r="G48" s="1406"/>
      <c r="H48" s="1406"/>
      <c r="I48" s="1406"/>
      <c r="J48" s="1406"/>
      <c r="K48" s="1406"/>
      <c r="L48" s="1406"/>
      <c r="M48" s="1406"/>
      <c r="N48" s="1406"/>
      <c r="O48" s="1406"/>
      <c r="P48" s="1406"/>
      <c r="Q48" s="1406"/>
      <c r="R48" s="1406"/>
      <c r="S48" s="1406"/>
      <c r="T48" s="1406"/>
      <c r="U48" s="1406"/>
      <c r="V48" s="1406"/>
      <c r="W48" s="1406"/>
      <c r="X48" s="1406"/>
      <c r="Y48" s="1406"/>
      <c r="Z48" s="1406"/>
      <c r="AA48" s="1406"/>
      <c r="AB48" s="1406"/>
      <c r="AC48" s="1406"/>
      <c r="AD48" s="1406"/>
      <c r="AE48" s="1406"/>
      <c r="AF48" s="1406"/>
    </row>
    <row r="49" spans="1:32" ht="29.1" customHeight="1" x14ac:dyDescent="0.3">
      <c r="A49" s="998" t="s">
        <v>4488</v>
      </c>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row>
    <row r="50" spans="1:32" x14ac:dyDescent="0.3">
      <c r="A50" s="94"/>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row>
    <row r="51" spans="1:32" x14ac:dyDescent="0.3">
      <c r="A51" s="276" t="s">
        <v>4489</v>
      </c>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2" x14ac:dyDescent="0.3">
      <c r="A52" s="1405" t="s">
        <v>224</v>
      </c>
      <c r="B52" s="1405"/>
      <c r="C52" s="1405"/>
      <c r="D52" s="1405"/>
      <c r="E52" s="1405"/>
      <c r="F52" s="1405"/>
      <c r="G52" s="1405"/>
      <c r="H52" s="1405" t="s">
        <v>4490</v>
      </c>
      <c r="I52" s="1405"/>
      <c r="J52" s="1405"/>
      <c r="K52" s="1405"/>
      <c r="L52" s="1405"/>
      <c r="M52" s="1405"/>
      <c r="N52" s="1405"/>
      <c r="O52" s="1405"/>
      <c r="P52" s="1405" t="s">
        <v>4491</v>
      </c>
      <c r="Q52" s="1405"/>
      <c r="R52" s="1405"/>
      <c r="S52" s="1405"/>
      <c r="T52" s="1405"/>
      <c r="U52" s="1405"/>
      <c r="V52" s="1405"/>
      <c r="W52" s="1405"/>
      <c r="X52" s="94"/>
      <c r="Y52" s="94"/>
      <c r="Z52" s="94"/>
      <c r="AA52" s="94"/>
      <c r="AB52" s="94"/>
      <c r="AC52" s="94"/>
      <c r="AD52" s="94"/>
      <c r="AE52" s="94"/>
      <c r="AF52" s="94"/>
    </row>
    <row r="53" spans="1:32" x14ac:dyDescent="0.3">
      <c r="A53" s="1405"/>
      <c r="B53" s="1405"/>
      <c r="C53" s="1405"/>
      <c r="D53" s="1405"/>
      <c r="E53" s="1405"/>
      <c r="F53" s="1405"/>
      <c r="G53" s="1405"/>
      <c r="H53" s="1405" t="s">
        <v>4475</v>
      </c>
      <c r="I53" s="1405"/>
      <c r="J53" s="1405"/>
      <c r="K53" s="1405"/>
      <c r="L53" s="1405" t="s">
        <v>2294</v>
      </c>
      <c r="M53" s="1405"/>
      <c r="N53" s="1405"/>
      <c r="O53" s="1405"/>
      <c r="P53" s="1405" t="s">
        <v>4475</v>
      </c>
      <c r="Q53" s="1405"/>
      <c r="R53" s="1405"/>
      <c r="S53" s="1405"/>
      <c r="T53" s="1405" t="s">
        <v>2294</v>
      </c>
      <c r="U53" s="1405"/>
      <c r="V53" s="1405"/>
      <c r="W53" s="1405"/>
      <c r="X53" s="94"/>
      <c r="Y53" s="94"/>
      <c r="Z53" s="94"/>
      <c r="AA53" s="94"/>
      <c r="AB53" s="94"/>
      <c r="AC53" s="94"/>
      <c r="AD53" s="94"/>
      <c r="AE53" s="94"/>
      <c r="AF53" s="94"/>
    </row>
    <row r="54" spans="1:32" x14ac:dyDescent="0.3">
      <c r="A54" s="1405" t="s">
        <v>4492</v>
      </c>
      <c r="B54" s="1405"/>
      <c r="C54" s="1405"/>
      <c r="D54" s="1405"/>
      <c r="E54" s="1405"/>
      <c r="F54" s="1405"/>
      <c r="G54" s="1405"/>
      <c r="H54" s="2539">
        <v>-1.9628810140786884E-3</v>
      </c>
      <c r="I54" s="2539"/>
      <c r="J54" s="2539"/>
      <c r="K54" s="2539"/>
      <c r="L54" s="2539">
        <v>0.14721607605590165</v>
      </c>
      <c r="M54" s="2539"/>
      <c r="N54" s="2539"/>
      <c r="O54" s="2539"/>
      <c r="P54" s="2539">
        <v>-3.8653656892626478E-3</v>
      </c>
      <c r="Q54" s="2539"/>
      <c r="R54" s="2539"/>
      <c r="S54" s="2539"/>
      <c r="T54" s="2539">
        <v>0.28990242669469857</v>
      </c>
      <c r="U54" s="2539"/>
      <c r="V54" s="2539"/>
      <c r="W54" s="2539"/>
      <c r="X54" s="94"/>
      <c r="Y54" s="94"/>
      <c r="Z54" s="94"/>
      <c r="AA54" s="94"/>
      <c r="AB54" s="94"/>
      <c r="AC54" s="94"/>
      <c r="AD54" s="94"/>
      <c r="AE54" s="94"/>
      <c r="AF54" s="94"/>
    </row>
    <row r="55" spans="1:32" x14ac:dyDescent="0.3">
      <c r="A55" s="1405" t="s">
        <v>4493</v>
      </c>
      <c r="B55" s="1405"/>
      <c r="C55" s="1405"/>
      <c r="D55" s="1405"/>
      <c r="E55" s="1405"/>
      <c r="F55" s="1405"/>
      <c r="G55" s="1405"/>
      <c r="H55" s="2539">
        <v>-6.4624082617359899E-3</v>
      </c>
      <c r="I55" s="2539"/>
      <c r="J55" s="2539"/>
      <c r="K55" s="2539"/>
      <c r="L55" s="2539">
        <v>0.48468061963019926</v>
      </c>
      <c r="M55" s="2539"/>
      <c r="N55" s="2539"/>
      <c r="O55" s="2539"/>
      <c r="P55" s="2539">
        <v>-8.0780103271699873E-3</v>
      </c>
      <c r="Q55" s="2539"/>
      <c r="R55" s="2539"/>
      <c r="S55" s="2539"/>
      <c r="T55" s="2539">
        <v>0.60585077453774905</v>
      </c>
      <c r="U55" s="2539"/>
      <c r="V55" s="2539"/>
      <c r="W55" s="2539"/>
      <c r="X55" s="94"/>
      <c r="Y55" s="94"/>
      <c r="Z55" s="94"/>
      <c r="AA55" s="94"/>
      <c r="AB55" s="94"/>
      <c r="AC55" s="94"/>
      <c r="AD55" s="94"/>
      <c r="AE55" s="94"/>
      <c r="AF55" s="94"/>
    </row>
    <row r="56" spans="1:32" x14ac:dyDescent="0.3">
      <c r="A56" s="602"/>
      <c r="B56" s="602"/>
      <c r="C56" s="602"/>
      <c r="D56" s="602"/>
      <c r="E56" s="602"/>
      <c r="F56" s="602"/>
      <c r="G56" s="602"/>
      <c r="H56" s="603"/>
      <c r="I56" s="603"/>
      <c r="J56" s="603"/>
      <c r="K56" s="603"/>
      <c r="L56" s="603"/>
      <c r="M56" s="603"/>
      <c r="N56" s="603"/>
      <c r="O56" s="603"/>
      <c r="P56" s="603"/>
      <c r="Q56" s="603"/>
      <c r="R56" s="603"/>
      <c r="S56" s="603"/>
      <c r="T56" s="603"/>
      <c r="U56" s="603"/>
      <c r="V56" s="603"/>
      <c r="W56" s="603"/>
      <c r="X56" s="94"/>
      <c r="Y56" s="94"/>
      <c r="Z56" s="94"/>
      <c r="AA56" s="94"/>
      <c r="AB56" s="94"/>
      <c r="AC56" s="94"/>
      <c r="AD56" s="94"/>
      <c r="AE56" s="94"/>
      <c r="AF56" s="94"/>
    </row>
    <row r="57" spans="1:32" x14ac:dyDescent="0.3">
      <c r="A57" s="187" t="s">
        <v>4494</v>
      </c>
      <c r="B57" s="187"/>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94"/>
      <c r="AE57" s="94"/>
      <c r="AF57" s="94"/>
    </row>
    <row r="58" spans="1:32" x14ac:dyDescent="0.3">
      <c r="A58" s="1366" t="s">
        <v>224</v>
      </c>
      <c r="B58" s="1367"/>
      <c r="C58" s="1367"/>
      <c r="D58" s="1367"/>
      <c r="E58" s="1367"/>
      <c r="F58" s="1367"/>
      <c r="G58" s="1368"/>
      <c r="H58" s="1405" t="s">
        <v>4490</v>
      </c>
      <c r="I58" s="1405"/>
      <c r="J58" s="1405"/>
      <c r="K58" s="1405"/>
      <c r="L58" s="1405"/>
      <c r="M58" s="1405"/>
      <c r="N58" s="1405"/>
      <c r="O58" s="1405" t="s">
        <v>4491</v>
      </c>
      <c r="P58" s="1405"/>
      <c r="Q58" s="1405"/>
      <c r="R58" s="1405"/>
      <c r="S58" s="1405"/>
      <c r="T58" s="1405"/>
      <c r="U58" s="1405"/>
      <c r="V58" s="330"/>
      <c r="W58" s="330"/>
      <c r="X58" s="330"/>
      <c r="Y58" s="330"/>
      <c r="Z58" s="330"/>
      <c r="AA58" s="330"/>
      <c r="AB58" s="330"/>
      <c r="AC58" s="187"/>
      <c r="AD58" s="187"/>
      <c r="AE58" s="187"/>
      <c r="AF58" s="187"/>
    </row>
    <row r="59" spans="1:32" x14ac:dyDescent="0.3">
      <c r="A59" s="2530" t="s">
        <v>4492</v>
      </c>
      <c r="B59" s="2530"/>
      <c r="C59" s="2530"/>
      <c r="D59" s="2530"/>
      <c r="E59" s="2530"/>
      <c r="F59" s="2530"/>
      <c r="G59" s="2530"/>
      <c r="H59" s="2531">
        <v>0.375</v>
      </c>
      <c r="I59" s="2532"/>
      <c r="J59" s="2532"/>
      <c r="K59" s="2532"/>
      <c r="L59" s="2532"/>
      <c r="M59" s="2532"/>
      <c r="N59" s="2533"/>
      <c r="O59" s="2531">
        <v>0.125</v>
      </c>
      <c r="P59" s="2532"/>
      <c r="Q59" s="2532"/>
      <c r="R59" s="2532"/>
      <c r="S59" s="2532"/>
      <c r="T59" s="2532"/>
      <c r="U59" s="2533"/>
      <c r="V59" s="604"/>
      <c r="W59" s="604"/>
      <c r="X59" s="604"/>
      <c r="Y59" s="604"/>
      <c r="Z59" s="604"/>
      <c r="AA59" s="604"/>
      <c r="AB59" s="604"/>
      <c r="AC59" s="121"/>
      <c r="AD59" s="121"/>
      <c r="AE59" s="121"/>
      <c r="AF59" s="121"/>
    </row>
    <row r="60" spans="1:32" x14ac:dyDescent="0.3">
      <c r="A60" s="2530" t="s">
        <v>4493</v>
      </c>
      <c r="B60" s="2530"/>
      <c r="C60" s="2530"/>
      <c r="D60" s="2530"/>
      <c r="E60" s="2530"/>
      <c r="F60" s="2530"/>
      <c r="G60" s="2530"/>
      <c r="H60" s="2531">
        <v>0.375</v>
      </c>
      <c r="I60" s="2532"/>
      <c r="J60" s="2532"/>
      <c r="K60" s="2532"/>
      <c r="L60" s="2532"/>
      <c r="M60" s="2532"/>
      <c r="N60" s="2533"/>
      <c r="O60" s="2531">
        <v>0.125</v>
      </c>
      <c r="P60" s="2532"/>
      <c r="Q60" s="2532"/>
      <c r="R60" s="2532"/>
      <c r="S60" s="2532"/>
      <c r="T60" s="2532"/>
      <c r="U60" s="2533"/>
      <c r="V60" s="604"/>
      <c r="W60" s="604"/>
      <c r="X60" s="604"/>
      <c r="Y60" s="604"/>
      <c r="Z60" s="604"/>
      <c r="AA60" s="604"/>
      <c r="AB60" s="604"/>
      <c r="AC60" s="121"/>
      <c r="AD60" s="121"/>
      <c r="AE60" s="121"/>
      <c r="AF60" s="121"/>
    </row>
    <row r="61" spans="1:32" ht="29.1" customHeight="1" x14ac:dyDescent="0.3">
      <c r="A61" s="998" t="s">
        <v>4495</v>
      </c>
      <c r="B61" s="998"/>
      <c r="C61" s="998"/>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row>
    <row r="62" spans="1:32" x14ac:dyDescent="0.3">
      <c r="A62" s="511"/>
      <c r="B62" s="511"/>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11"/>
      <c r="AA62" s="511"/>
      <c r="AB62" s="511"/>
      <c r="AC62" s="511"/>
      <c r="AD62" s="511"/>
      <c r="AE62" s="511"/>
      <c r="AF62" s="511"/>
    </row>
    <row r="63" spans="1:32" x14ac:dyDescent="0.3">
      <c r="A63" s="57" t="s">
        <v>4496</v>
      </c>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94"/>
      <c r="AE63" s="94"/>
      <c r="AF63" s="94"/>
    </row>
    <row r="64" spans="1:32" ht="42.9" customHeight="1" x14ac:dyDescent="0.3">
      <c r="A64" s="1378" t="s">
        <v>224</v>
      </c>
      <c r="B64" s="1378"/>
      <c r="C64" s="1378"/>
      <c r="D64" s="1378"/>
      <c r="E64" s="1378"/>
      <c r="F64" s="1378"/>
      <c r="G64" s="1378"/>
      <c r="H64" s="1378"/>
      <c r="I64" s="1378"/>
      <c r="J64" s="1378"/>
      <c r="K64" s="1378"/>
      <c r="L64" s="1378"/>
      <c r="M64" s="1378"/>
      <c r="N64" s="2534" t="s">
        <v>16</v>
      </c>
      <c r="O64" s="2534"/>
      <c r="P64" s="2534"/>
      <c r="Q64" s="2534"/>
      <c r="R64" s="2534" t="s">
        <v>17</v>
      </c>
      <c r="S64" s="2534"/>
      <c r="T64" s="2534"/>
      <c r="U64" s="2534"/>
      <c r="V64" s="2534" t="s">
        <v>1826</v>
      </c>
      <c r="W64" s="2534"/>
      <c r="X64" s="2534"/>
      <c r="Y64" s="2534"/>
      <c r="Z64" s="1491" t="s">
        <v>4497</v>
      </c>
      <c r="AA64" s="1390"/>
      <c r="AB64" s="1390"/>
      <c r="AC64" s="2535"/>
      <c r="AD64" s="94"/>
      <c r="AE64" s="94"/>
      <c r="AF64" s="94"/>
    </row>
    <row r="65" spans="1:32" x14ac:dyDescent="0.3">
      <c r="A65" s="1378"/>
      <c r="B65" s="1378"/>
      <c r="C65" s="1378"/>
      <c r="D65" s="1378"/>
      <c r="E65" s="1378"/>
      <c r="F65" s="1378"/>
      <c r="G65" s="1378"/>
      <c r="H65" s="1378"/>
      <c r="I65" s="1378"/>
      <c r="J65" s="1378"/>
      <c r="K65" s="1378"/>
      <c r="L65" s="1378"/>
      <c r="M65" s="1378"/>
      <c r="N65" s="2529" t="s">
        <v>2667</v>
      </c>
      <c r="O65" s="2529"/>
      <c r="P65" s="2529"/>
      <c r="Q65" s="2529"/>
      <c r="R65" s="2529" t="s">
        <v>4498</v>
      </c>
      <c r="S65" s="2529"/>
      <c r="T65" s="2529"/>
      <c r="U65" s="2529"/>
      <c r="V65" s="2529" t="s">
        <v>4499</v>
      </c>
      <c r="W65" s="2529"/>
      <c r="X65" s="2529"/>
      <c r="Y65" s="2529"/>
      <c r="Z65" s="2536"/>
      <c r="AA65" s="2537"/>
      <c r="AB65" s="2537"/>
      <c r="AC65" s="2538"/>
      <c r="AD65" s="94"/>
      <c r="AE65" s="94"/>
      <c r="AF65" s="94"/>
    </row>
    <row r="66" spans="1:32" x14ac:dyDescent="0.3">
      <c r="A66" s="987" t="s">
        <v>4500</v>
      </c>
      <c r="B66" s="987"/>
      <c r="C66" s="987"/>
      <c r="D66" s="987"/>
      <c r="E66" s="987"/>
      <c r="F66" s="987"/>
      <c r="G66" s="987"/>
      <c r="H66" s="987"/>
      <c r="I66" s="987"/>
      <c r="J66" s="987"/>
      <c r="K66" s="987"/>
      <c r="L66" s="987"/>
      <c r="M66" s="987"/>
      <c r="N66" s="2527">
        <f>H54*$O$44+L54</f>
        <v>5.2242078189704555E-3</v>
      </c>
      <c r="O66" s="2527"/>
      <c r="P66" s="2527"/>
      <c r="Q66" s="2527"/>
      <c r="R66" s="1487">
        <f>(H54*$O$45+L54)*$O$46</f>
        <v>23.637032761088097</v>
      </c>
      <c r="S66" s="1487"/>
      <c r="T66" s="1487"/>
      <c r="U66" s="1487"/>
      <c r="V66" s="1429">
        <f>R66*$O$47</f>
        <v>354.55549141632144</v>
      </c>
      <c r="W66" s="1429"/>
      <c r="X66" s="1429"/>
      <c r="Y66" s="1429"/>
      <c r="Z66" s="2528">
        <f>H59</f>
        <v>0.375</v>
      </c>
      <c r="AA66" s="2528"/>
      <c r="AB66" s="2528"/>
      <c r="AC66" s="2528"/>
      <c r="AD66" s="94"/>
      <c r="AE66" s="94"/>
      <c r="AF66" s="94"/>
    </row>
    <row r="67" spans="1:32" x14ac:dyDescent="0.3">
      <c r="A67" s="987" t="s">
        <v>4501</v>
      </c>
      <c r="B67" s="987"/>
      <c r="C67" s="987"/>
      <c r="D67" s="987"/>
      <c r="E67" s="987"/>
      <c r="F67" s="987"/>
      <c r="G67" s="987"/>
      <c r="H67" s="987"/>
      <c r="I67" s="987"/>
      <c r="J67" s="987"/>
      <c r="K67" s="987"/>
      <c r="L67" s="987"/>
      <c r="M67" s="987"/>
      <c r="N67" s="2527">
        <f>H55*$O$44+L55</f>
        <v>1.7199699588610395E-2</v>
      </c>
      <c r="O67" s="2527"/>
      <c r="P67" s="2527"/>
      <c r="Q67" s="2527"/>
      <c r="R67" s="1487">
        <f>(H55*$O$45+L55)*$O$46</f>
        <v>77.820384782659261</v>
      </c>
      <c r="S67" s="1487"/>
      <c r="T67" s="1487"/>
      <c r="U67" s="1487"/>
      <c r="V67" s="1429">
        <f t="shared" ref="V67:V70" si="0">R67*$O$47</f>
        <v>1167.305771739889</v>
      </c>
      <c r="W67" s="1429"/>
      <c r="X67" s="1429"/>
      <c r="Y67" s="1429"/>
      <c r="Z67" s="2528">
        <f t="shared" ref="Z67" si="1">H60</f>
        <v>0.375</v>
      </c>
      <c r="AA67" s="2528"/>
      <c r="AB67" s="2528"/>
      <c r="AC67" s="2528"/>
      <c r="AD67" s="94"/>
      <c r="AE67" s="94"/>
      <c r="AF67" s="94"/>
    </row>
    <row r="68" spans="1:32" x14ac:dyDescent="0.3">
      <c r="A68" s="987" t="s">
        <v>4502</v>
      </c>
      <c r="B68" s="987"/>
      <c r="C68" s="987"/>
      <c r="D68" s="987"/>
      <c r="E68" s="987"/>
      <c r="F68" s="987"/>
      <c r="G68" s="987"/>
      <c r="H68" s="987"/>
      <c r="I68" s="987"/>
      <c r="J68" s="987"/>
      <c r="K68" s="987"/>
      <c r="L68" s="987"/>
      <c r="M68" s="987"/>
      <c r="N68" s="2527">
        <f>P54*$O$44+T54</f>
        <v>1.0287670781972513E-2</v>
      </c>
      <c r="O68" s="2527"/>
      <c r="P68" s="2527"/>
      <c r="Q68" s="2527"/>
      <c r="R68" s="1487">
        <f>(P54*$O$45+T54)*$O$46</f>
        <v>46.546772206450314</v>
      </c>
      <c r="S68" s="1487"/>
      <c r="T68" s="1487"/>
      <c r="U68" s="1487"/>
      <c r="V68" s="1429">
        <f t="shared" si="0"/>
        <v>698.20158309675469</v>
      </c>
      <c r="W68" s="1429"/>
      <c r="X68" s="1429"/>
      <c r="Y68" s="1429"/>
      <c r="Z68" s="2528">
        <f>O59</f>
        <v>0.125</v>
      </c>
      <c r="AA68" s="2528"/>
      <c r="AB68" s="2528"/>
      <c r="AC68" s="2528"/>
      <c r="AD68" s="94"/>
      <c r="AE68" s="94"/>
      <c r="AF68" s="94"/>
    </row>
    <row r="69" spans="1:32" x14ac:dyDescent="0.3">
      <c r="A69" s="987" t="s">
        <v>4503</v>
      </c>
      <c r="B69" s="987"/>
      <c r="C69" s="987"/>
      <c r="D69" s="987"/>
      <c r="E69" s="987"/>
      <c r="F69" s="987"/>
      <c r="G69" s="987"/>
      <c r="H69" s="987"/>
      <c r="I69" s="987"/>
      <c r="J69" s="987"/>
      <c r="K69" s="987"/>
      <c r="L69" s="987"/>
      <c r="M69" s="987"/>
      <c r="N69" s="2527">
        <f>P55*$O$44+T55</f>
        <v>2.1499624485762925E-2</v>
      </c>
      <c r="O69" s="2527"/>
      <c r="P69" s="2527"/>
      <c r="Q69" s="2527"/>
      <c r="R69" s="1487">
        <f>(P55*$O$45+T55)*$O$46</f>
        <v>97.275480978323912</v>
      </c>
      <c r="S69" s="1487"/>
      <c r="T69" s="1487"/>
      <c r="U69" s="1487"/>
      <c r="V69" s="1429">
        <f t="shared" si="0"/>
        <v>1459.1322146748587</v>
      </c>
      <c r="W69" s="1429"/>
      <c r="X69" s="1429"/>
      <c r="Y69" s="1429"/>
      <c r="Z69" s="2528">
        <f>O60</f>
        <v>0.125</v>
      </c>
      <c r="AA69" s="2528"/>
      <c r="AB69" s="2528"/>
      <c r="AC69" s="2528"/>
      <c r="AD69" s="94"/>
      <c r="AE69" s="94"/>
      <c r="AF69" s="94"/>
    </row>
    <row r="70" spans="1:32" x14ac:dyDescent="0.3">
      <c r="A70" s="987" t="s">
        <v>4504</v>
      </c>
      <c r="B70" s="987"/>
      <c r="C70" s="987"/>
      <c r="D70" s="987"/>
      <c r="E70" s="987"/>
      <c r="F70" s="987"/>
      <c r="G70" s="987"/>
      <c r="H70" s="987"/>
      <c r="I70" s="987"/>
      <c r="J70" s="987"/>
      <c r="K70" s="987"/>
      <c r="L70" s="987"/>
      <c r="M70" s="987"/>
      <c r="N70" s="2527">
        <f>SUMPRODUCT(N66:Q69,$Z$66:$AC$69)</f>
        <v>1.2382377186309749E-2</v>
      </c>
      <c r="O70" s="2527"/>
      <c r="P70" s="2527"/>
      <c r="Q70" s="2527"/>
      <c r="R70" s="1487">
        <f>SUMPRODUCT(R66:U69,$Z$66:$AC$69)</f>
        <v>56.02431322700204</v>
      </c>
      <c r="S70" s="1487"/>
      <c r="T70" s="1487"/>
      <c r="U70" s="1487"/>
      <c r="V70" s="1429">
        <f t="shared" si="0"/>
        <v>840.36469840503059</v>
      </c>
      <c r="W70" s="1429"/>
      <c r="X70" s="1429"/>
      <c r="Y70" s="1429"/>
      <c r="Z70" s="57"/>
      <c r="AA70" s="57"/>
      <c r="AB70" s="57"/>
      <c r="AC70" s="57"/>
      <c r="AD70" s="94"/>
      <c r="AE70" s="94"/>
      <c r="AF70" s="94"/>
    </row>
    <row r="71" spans="1:32" x14ac:dyDescent="0.3">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94"/>
      <c r="AE71" s="94"/>
      <c r="AF71" s="94"/>
    </row>
    <row r="72" spans="1:32" x14ac:dyDescent="0.3">
      <c r="A72" s="1290" t="s">
        <v>14</v>
      </c>
      <c r="B72" s="1290"/>
      <c r="C72" s="1290"/>
      <c r="D72" s="1290"/>
      <c r="E72" s="1290"/>
      <c r="F72" s="1290"/>
      <c r="G72" s="1290"/>
      <c r="H72" s="1290"/>
      <c r="I72" s="1290"/>
      <c r="J72" s="1290"/>
      <c r="K72" s="1290"/>
      <c r="L72" s="1290"/>
      <c r="M72" s="1290"/>
      <c r="N72" s="1290"/>
      <c r="O72" s="1290"/>
      <c r="P72" s="1290"/>
      <c r="Q72" s="1290"/>
      <c r="R72" s="1290"/>
      <c r="S72" s="1290"/>
      <c r="T72" s="1290"/>
      <c r="U72" s="1290"/>
      <c r="V72" s="1290"/>
      <c r="W72" s="1290"/>
      <c r="X72" s="1290"/>
      <c r="Y72" s="1290"/>
      <c r="Z72" s="1290"/>
      <c r="AA72" s="1290"/>
      <c r="AB72" s="1290"/>
      <c r="AC72" s="1290"/>
      <c r="AD72" s="1290"/>
      <c r="AE72" s="1290"/>
      <c r="AF72" s="1290"/>
    </row>
    <row r="73" spans="1:32" x14ac:dyDescent="0.3">
      <c r="A73" s="57"/>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94"/>
      <c r="AE73" s="94"/>
      <c r="AF73" s="94"/>
    </row>
    <row r="74" spans="1:32" x14ac:dyDescent="0.3">
      <c r="A74" s="498" t="s">
        <v>4402</v>
      </c>
      <c r="B74" s="94"/>
      <c r="C74" s="94"/>
      <c r="D74" s="94"/>
      <c r="E74" s="94"/>
      <c r="F74" s="94"/>
      <c r="G74" s="94"/>
      <c r="H74" s="94"/>
      <c r="I74" s="94"/>
      <c r="J74" s="276"/>
      <c r="K74" s="276"/>
      <c r="L74" s="276"/>
      <c r="M74" s="276"/>
      <c r="N74" s="276"/>
      <c r="O74" s="276"/>
      <c r="P74" s="276"/>
      <c r="Q74" s="276"/>
      <c r="R74" s="276"/>
      <c r="S74" s="94"/>
      <c r="T74" s="94"/>
      <c r="U74" s="94"/>
      <c r="V74" s="94"/>
      <c r="W74" s="94"/>
      <c r="X74" s="94"/>
      <c r="Y74" s="94"/>
      <c r="Z74" s="94"/>
      <c r="AA74" s="94"/>
      <c r="AB74" s="94"/>
      <c r="AC74" s="94"/>
      <c r="AD74" s="94"/>
      <c r="AE74" s="94"/>
      <c r="AF74" s="94"/>
    </row>
    <row r="75" spans="1:32" x14ac:dyDescent="0.3">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row>
    <row r="76" spans="1:32" x14ac:dyDescent="0.3">
      <c r="A76" s="94"/>
      <c r="B76" s="94"/>
      <c r="C76" s="94" t="s">
        <v>4505</v>
      </c>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row>
    <row r="77" spans="1:32" x14ac:dyDescent="0.3">
      <c r="A77" s="94"/>
      <c r="B77" s="94"/>
      <c r="C77" s="94"/>
      <c r="D77" s="94"/>
      <c r="E77" s="94"/>
      <c r="F77" s="1276" t="s">
        <v>4504</v>
      </c>
      <c r="G77" s="1276"/>
      <c r="H77" s="1276"/>
      <c r="I77" s="1276"/>
      <c r="J77" s="1276"/>
      <c r="K77" s="1276"/>
      <c r="L77" s="1276"/>
      <c r="M77" s="1276"/>
      <c r="N77" s="1276"/>
      <c r="O77" s="1276"/>
      <c r="P77" s="1276"/>
      <c r="Q77" s="1276"/>
      <c r="R77" s="1276"/>
      <c r="S77" s="1276"/>
      <c r="T77" s="1276"/>
      <c r="U77" s="1276"/>
      <c r="V77" s="1276"/>
      <c r="W77" s="94"/>
      <c r="X77" s="94"/>
      <c r="Y77" s="94"/>
      <c r="Z77" s="94"/>
      <c r="AA77" s="94"/>
      <c r="AB77" s="94"/>
      <c r="AC77" s="94"/>
      <c r="AD77" s="94"/>
      <c r="AE77" s="94"/>
      <c r="AF77" s="94"/>
    </row>
    <row r="78" spans="1:32" x14ac:dyDescent="0.3">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2" x14ac:dyDescent="0.3">
      <c r="A79" s="94"/>
      <c r="B79" s="94"/>
      <c r="C79" s="94" t="s">
        <v>4506</v>
      </c>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2" x14ac:dyDescent="0.3">
      <c r="A80" s="94"/>
      <c r="B80" s="94"/>
      <c r="C80" s="94"/>
      <c r="D80" s="94"/>
      <c r="E80" s="94"/>
      <c r="F80" s="2495">
        <v>1</v>
      </c>
      <c r="G80" s="2496"/>
      <c r="H80" s="2497"/>
      <c r="I80" s="94"/>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ht="15" thickBot="1" x14ac:dyDescent="0.35">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row>
    <row r="82" spans="1:32" ht="35.4" customHeight="1" x14ac:dyDescent="0.3">
      <c r="A82" s="1482" t="s">
        <v>15</v>
      </c>
      <c r="B82" s="1312"/>
      <c r="C82" s="1312"/>
      <c r="D82" s="1312"/>
      <c r="E82" s="1312"/>
      <c r="F82" s="1312"/>
      <c r="G82" s="1312"/>
      <c r="H82" s="1312"/>
      <c r="I82" s="1311" t="s">
        <v>2780</v>
      </c>
      <c r="J82" s="1312"/>
      <c r="K82" s="1312"/>
      <c r="L82" s="1312"/>
      <c r="M82" s="1312"/>
      <c r="N82" s="1312"/>
      <c r="O82" s="1312"/>
      <c r="P82" s="1312"/>
      <c r="Q82" s="1311" t="s">
        <v>2776</v>
      </c>
      <c r="R82" s="1312"/>
      <c r="S82" s="1312"/>
      <c r="T82" s="1312"/>
      <c r="U82" s="1312"/>
      <c r="V82" s="1312"/>
      <c r="W82" s="1312"/>
      <c r="X82" s="1312"/>
      <c r="Y82" s="1311" t="s">
        <v>1554</v>
      </c>
      <c r="Z82" s="1312"/>
      <c r="AA82" s="1312"/>
      <c r="AB82" s="1312"/>
      <c r="AC82" s="1312"/>
      <c r="AD82" s="1312"/>
      <c r="AE82" s="1312"/>
      <c r="AF82" s="1313"/>
    </row>
    <row r="83" spans="1:32" ht="30" customHeight="1" thickBot="1" x14ac:dyDescent="0.35">
      <c r="A83" s="1474" t="s">
        <v>4353</v>
      </c>
      <c r="B83" s="1560"/>
      <c r="C83" s="1560"/>
      <c r="D83" s="1560"/>
      <c r="E83" s="1560"/>
      <c r="F83" s="1560"/>
      <c r="G83" s="1560"/>
      <c r="H83" s="1560"/>
      <c r="I83" s="2491">
        <f>ROUND(VLOOKUP(F77,A66:Y70,14,FALSE)*F80,3)</f>
        <v>1.2E-2</v>
      </c>
      <c r="J83" s="2491"/>
      <c r="K83" s="2491"/>
      <c r="L83" s="2491"/>
      <c r="M83" s="2491"/>
      <c r="N83" s="2491"/>
      <c r="O83" s="2491"/>
      <c r="P83" s="2491"/>
      <c r="Q83" s="2492">
        <f>ROUND(VLOOKUP(F77,A66:Y70,18,FALSE)*F80,2)</f>
        <v>56.02</v>
      </c>
      <c r="R83" s="2492"/>
      <c r="S83" s="2492"/>
      <c r="T83" s="2492"/>
      <c r="U83" s="2492"/>
      <c r="V83" s="2492"/>
      <c r="W83" s="2492"/>
      <c r="X83" s="2492"/>
      <c r="Y83" s="2493">
        <f>ROUND(VLOOKUP(F77,A66:Y70,22,FALSE)*F80,2)</f>
        <v>840.36</v>
      </c>
      <c r="Z83" s="2493"/>
      <c r="AA83" s="2493"/>
      <c r="AB83" s="2493"/>
      <c r="AC83" s="2493"/>
      <c r="AD83" s="2493"/>
      <c r="AE83" s="2493"/>
      <c r="AF83" s="2494"/>
    </row>
    <row r="84" spans="1:32"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3">
      <c r="A85" s="1290" t="s">
        <v>1514</v>
      </c>
      <c r="B85" s="1290"/>
      <c r="C85" s="1290"/>
      <c r="D85" s="1290"/>
      <c r="E85" s="1290"/>
      <c r="F85" s="1290"/>
      <c r="G85" s="1290"/>
      <c r="H85" s="1290"/>
      <c r="I85" s="1290"/>
      <c r="J85" s="1290"/>
      <c r="K85" s="1290"/>
      <c r="L85" s="1290"/>
      <c r="M85" s="1290"/>
      <c r="N85" s="1290"/>
      <c r="O85" s="1290"/>
      <c r="P85" s="1290"/>
      <c r="Q85" s="1290"/>
      <c r="R85" s="1290"/>
      <c r="S85" s="1290"/>
      <c r="T85" s="1290"/>
      <c r="U85" s="1290"/>
      <c r="V85" s="1290"/>
      <c r="W85" s="1290"/>
      <c r="X85" s="1290"/>
      <c r="Y85" s="1290"/>
      <c r="Z85" s="1290"/>
      <c r="AA85" s="1290"/>
      <c r="AB85" s="1290"/>
      <c r="AC85" s="1290"/>
      <c r="AD85" s="1290"/>
      <c r="AE85" s="1290"/>
      <c r="AF85" s="1290"/>
    </row>
    <row r="86" spans="1:32" x14ac:dyDescent="0.3">
      <c r="A86" s="276"/>
      <c r="B86" s="600"/>
      <c r="C86" s="600"/>
      <c r="D86" s="600"/>
      <c r="E86" s="600"/>
      <c r="F86" s="600"/>
      <c r="G86" s="600"/>
      <c r="H86" s="600"/>
      <c r="I86" s="600"/>
      <c r="J86" s="600"/>
      <c r="K86" s="600"/>
      <c r="L86" s="600"/>
      <c r="M86" s="600"/>
      <c r="N86" s="600"/>
      <c r="O86" s="600"/>
      <c r="P86" s="600"/>
      <c r="Q86" s="600"/>
      <c r="R86" s="600"/>
      <c r="S86" s="494"/>
      <c r="T86" s="494"/>
      <c r="U86" s="494"/>
      <c r="V86" s="494"/>
      <c r="W86" s="494"/>
      <c r="X86" s="494"/>
      <c r="Y86" s="494"/>
      <c r="Z86" s="494"/>
      <c r="AA86" s="494"/>
      <c r="AB86" s="494"/>
      <c r="AC86" s="494"/>
      <c r="AD86" s="494"/>
      <c r="AE86" s="494"/>
      <c r="AF86" s="494"/>
    </row>
    <row r="87" spans="1:32" ht="30.6" customHeight="1" x14ac:dyDescent="0.3">
      <c r="A87" s="370" t="s">
        <v>803</v>
      </c>
      <c r="B87" s="889" t="s">
        <v>4459</v>
      </c>
      <c r="C87" s="889"/>
      <c r="D87" s="889"/>
      <c r="E87" s="889"/>
      <c r="F87" s="889"/>
      <c r="G87" s="889"/>
      <c r="H87" s="889"/>
      <c r="I87" s="889"/>
      <c r="J87" s="889"/>
      <c r="K87" s="889"/>
      <c r="L87" s="889"/>
      <c r="M87" s="889"/>
      <c r="N87" s="889"/>
      <c r="O87" s="889"/>
      <c r="P87" s="889"/>
      <c r="Q87" s="889"/>
      <c r="R87" s="889"/>
      <c r="S87" s="889"/>
      <c r="T87" s="889"/>
      <c r="U87" s="889"/>
      <c r="V87" s="889"/>
      <c r="W87" s="889"/>
      <c r="X87" s="889"/>
      <c r="Y87" s="889"/>
      <c r="Z87" s="889"/>
      <c r="AA87" s="889"/>
      <c r="AB87" s="889"/>
      <c r="AC87" s="889"/>
      <c r="AD87" s="889"/>
      <c r="AE87" s="889"/>
      <c r="AF87" s="889"/>
    </row>
    <row r="88" spans="1:32" ht="29.1" customHeight="1" x14ac:dyDescent="0.3">
      <c r="A88" s="370" t="s">
        <v>803</v>
      </c>
      <c r="B88" s="889" t="s">
        <v>4507</v>
      </c>
      <c r="C88" s="889"/>
      <c r="D88" s="889"/>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row>
    <row r="89" spans="1:32" ht="29.1" customHeight="1" x14ac:dyDescent="0.3">
      <c r="A89" s="370" t="s">
        <v>803</v>
      </c>
      <c r="B89" s="889" t="s">
        <v>4508</v>
      </c>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row>
    <row r="90" spans="1:32" ht="45.6" customHeight="1" x14ac:dyDescent="0.3">
      <c r="A90" s="370" t="s">
        <v>803</v>
      </c>
      <c r="B90" s="889" t="s">
        <v>4509</v>
      </c>
      <c r="C90" s="889"/>
      <c r="D90" s="889"/>
      <c r="E90" s="889"/>
      <c r="F90" s="889"/>
      <c r="G90" s="889"/>
      <c r="H90" s="889"/>
      <c r="I90" s="889"/>
      <c r="J90" s="889"/>
      <c r="K90" s="889"/>
      <c r="L90" s="889"/>
      <c r="M90" s="889"/>
      <c r="N90" s="889"/>
      <c r="O90" s="889"/>
      <c r="P90" s="889"/>
      <c r="Q90" s="889"/>
      <c r="R90" s="889"/>
      <c r="S90" s="889"/>
      <c r="T90" s="889"/>
      <c r="U90" s="889"/>
      <c r="V90" s="889"/>
      <c r="W90" s="889"/>
      <c r="X90" s="889"/>
      <c r="Y90" s="889"/>
      <c r="Z90" s="889"/>
      <c r="AA90" s="889"/>
      <c r="AB90" s="889"/>
      <c r="AC90" s="889"/>
      <c r="AD90" s="889"/>
      <c r="AE90" s="889"/>
      <c r="AF90" s="889"/>
    </row>
    <row r="91" spans="1:32"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row>
    <row r="97" spans="1:32"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row>
    <row r="98" spans="1:32"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row>
    <row r="101" spans="1:32"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row>
    <row r="104" spans="1:32"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row r="120" spans="1:32"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row>
    <row r="121" spans="1:32"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row>
    <row r="122" spans="1:32" x14ac:dyDescent="0.3">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row>
    <row r="123" spans="1:32" x14ac:dyDescent="0.3">
      <c r="A123" s="94"/>
      <c r="B123" s="94"/>
      <c r="C123" s="94"/>
      <c r="D123" s="94"/>
      <c r="E123" s="94"/>
      <c r="F123" s="94"/>
      <c r="G123" s="94"/>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row>
    <row r="124" spans="1:32" x14ac:dyDescent="0.3">
      <c r="A124" s="94"/>
      <c r="B124" s="94"/>
      <c r="C124" s="94"/>
      <c r="D124" s="94"/>
      <c r="E124" s="94"/>
      <c r="F124" s="94"/>
      <c r="G124" s="94"/>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row>
    <row r="125" spans="1:32" x14ac:dyDescent="0.3">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row>
    <row r="126" spans="1:32" x14ac:dyDescent="0.3">
      <c r="A126" s="94"/>
      <c r="B126" s="94"/>
      <c r="C126" s="94"/>
      <c r="D126" s="94"/>
      <c r="E126" s="94"/>
      <c r="F126" s="94"/>
      <c r="G126" s="94"/>
      <c r="H126" s="94"/>
      <c r="I126" s="94"/>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row>
    <row r="127" spans="1:32" x14ac:dyDescent="0.3">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row>
    <row r="128" spans="1:32" x14ac:dyDescent="0.3">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row>
    <row r="129" spans="1:32" x14ac:dyDescent="0.3">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row>
    <row r="130" spans="1:32" x14ac:dyDescent="0.3">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row>
    <row r="131" spans="1:32" x14ac:dyDescent="0.3">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row>
    <row r="132" spans="1:32" x14ac:dyDescent="0.3">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row>
    <row r="133" spans="1:32" x14ac:dyDescent="0.3">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row>
    <row r="134" spans="1:32" x14ac:dyDescent="0.3">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row>
    <row r="135" spans="1:32" x14ac:dyDescent="0.3">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row>
    <row r="136" spans="1:32" x14ac:dyDescent="0.3">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row>
    <row r="137" spans="1:32" x14ac:dyDescent="0.3">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row>
    <row r="138" spans="1:32" x14ac:dyDescent="0.3">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row>
    <row r="139" spans="1:32" x14ac:dyDescent="0.3">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row>
    <row r="140" spans="1:32" x14ac:dyDescent="0.3">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row>
    <row r="141" spans="1:32" x14ac:dyDescent="0.3">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row>
    <row r="142" spans="1:32" x14ac:dyDescent="0.3">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row>
    <row r="143" spans="1:32" x14ac:dyDescent="0.3">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row>
    <row r="144" spans="1:32" x14ac:dyDescent="0.3">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row>
    <row r="145" spans="1:32" x14ac:dyDescent="0.3">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row>
    <row r="146" spans="1:32" x14ac:dyDescent="0.3">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row>
    <row r="147" spans="1:32" x14ac:dyDescent="0.3">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row>
    <row r="148" spans="1:32" x14ac:dyDescent="0.3">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row>
    <row r="149" spans="1:32" x14ac:dyDescent="0.3">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row>
    <row r="150" spans="1:32" x14ac:dyDescent="0.3">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row>
    <row r="151" spans="1:32" x14ac:dyDescent="0.3">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row>
    <row r="152" spans="1:32" x14ac:dyDescent="0.3">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row>
    <row r="153" spans="1:32" x14ac:dyDescent="0.3">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row>
    <row r="154" spans="1:32" x14ac:dyDescent="0.3">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row>
    <row r="155" spans="1:32" x14ac:dyDescent="0.3">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row>
    <row r="156" spans="1:32" x14ac:dyDescent="0.3">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row>
    <row r="157" spans="1:32" x14ac:dyDescent="0.3">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row>
    <row r="158" spans="1:32" x14ac:dyDescent="0.3">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row>
    <row r="159" spans="1:32" x14ac:dyDescent="0.3">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row>
    <row r="160" spans="1:32" x14ac:dyDescent="0.3">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c r="Y160" s="94"/>
      <c r="Z160" s="94"/>
      <c r="AA160" s="94"/>
      <c r="AB160" s="94"/>
      <c r="AC160" s="94"/>
      <c r="AD160" s="94"/>
      <c r="AE160" s="94"/>
      <c r="AF160" s="94"/>
    </row>
    <row r="161" spans="1:32" x14ac:dyDescent="0.3">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row>
    <row r="162" spans="1:32" x14ac:dyDescent="0.3">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c r="Y162" s="94"/>
      <c r="Z162" s="94"/>
      <c r="AA162" s="94"/>
      <c r="AB162" s="94"/>
      <c r="AC162" s="94"/>
      <c r="AD162" s="94"/>
      <c r="AE162" s="94"/>
      <c r="AF162" s="94"/>
    </row>
    <row r="163" spans="1:32" x14ac:dyDescent="0.3">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row>
    <row r="164" spans="1:32" x14ac:dyDescent="0.3">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row>
    <row r="165" spans="1:32" x14ac:dyDescent="0.3">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row>
    <row r="166" spans="1:32" x14ac:dyDescent="0.3">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c r="Y166" s="94"/>
      <c r="Z166" s="94"/>
      <c r="AA166" s="94"/>
      <c r="AB166" s="94"/>
      <c r="AC166" s="94"/>
      <c r="AD166" s="94"/>
      <c r="AE166" s="94"/>
      <c r="AF166" s="94"/>
    </row>
    <row r="167" spans="1:32" x14ac:dyDescent="0.3">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row>
    <row r="168" spans="1:32" x14ac:dyDescent="0.3">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row>
    <row r="169" spans="1:32" x14ac:dyDescent="0.3">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row>
    <row r="170" spans="1:32" x14ac:dyDescent="0.3">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row>
    <row r="171" spans="1:32" x14ac:dyDescent="0.3">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row>
    <row r="172" spans="1:32" x14ac:dyDescent="0.3">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row>
    <row r="173" spans="1:32" x14ac:dyDescent="0.3">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c r="Y173" s="94"/>
      <c r="Z173" s="94"/>
      <c r="AA173" s="94"/>
      <c r="AB173" s="94"/>
      <c r="AC173" s="94"/>
      <c r="AD173" s="94"/>
      <c r="AE173" s="94"/>
      <c r="AF173" s="94"/>
    </row>
    <row r="174" spans="1:32" x14ac:dyDescent="0.3">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row>
    <row r="175" spans="1:32" x14ac:dyDescent="0.3">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row>
    <row r="176" spans="1:32" x14ac:dyDescent="0.3">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row>
    <row r="177" spans="1:32" x14ac:dyDescent="0.3">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row>
    <row r="178" spans="1:32" x14ac:dyDescent="0.3">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c r="Y178" s="94"/>
      <c r="Z178" s="94"/>
      <c r="AA178" s="94"/>
      <c r="AB178" s="94"/>
      <c r="AC178" s="94"/>
      <c r="AD178" s="94"/>
      <c r="AE178" s="94"/>
      <c r="AF178" s="94"/>
    </row>
    <row r="179" spans="1:32" x14ac:dyDescent="0.3">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row>
    <row r="180" spans="1:32" x14ac:dyDescent="0.3">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row>
    <row r="181" spans="1:32" x14ac:dyDescent="0.3">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row>
    <row r="182" spans="1:32" x14ac:dyDescent="0.3">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row>
    <row r="183" spans="1:32" x14ac:dyDescent="0.3">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row>
    <row r="184" spans="1:32" x14ac:dyDescent="0.3">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row>
    <row r="185" spans="1:32" x14ac:dyDescent="0.3">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row>
    <row r="186" spans="1:32" x14ac:dyDescent="0.3">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row>
    <row r="187" spans="1:32" x14ac:dyDescent="0.3">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row>
    <row r="188" spans="1:32" x14ac:dyDescent="0.3">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row>
    <row r="189" spans="1:32" x14ac:dyDescent="0.3">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row>
    <row r="190" spans="1:32" x14ac:dyDescent="0.3">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row>
    <row r="191" spans="1:32" x14ac:dyDescent="0.3">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row>
    <row r="192" spans="1:32" x14ac:dyDescent="0.3">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row>
    <row r="193" spans="1:32" x14ac:dyDescent="0.3">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row>
    <row r="194" spans="1:32" x14ac:dyDescent="0.3">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row>
    <row r="195" spans="1:32" x14ac:dyDescent="0.3">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row>
    <row r="196" spans="1:32" x14ac:dyDescent="0.3">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row>
    <row r="197" spans="1:32" x14ac:dyDescent="0.3">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row>
    <row r="198" spans="1:32" x14ac:dyDescent="0.3">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row>
    <row r="199" spans="1:32" x14ac:dyDescent="0.3">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row>
    <row r="200" spans="1:32" x14ac:dyDescent="0.3">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row>
    <row r="201" spans="1:32" x14ac:dyDescent="0.3">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row>
    <row r="202" spans="1:32" x14ac:dyDescent="0.3">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row>
    <row r="203" spans="1:32" x14ac:dyDescent="0.3">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row>
    <row r="204" spans="1:32" x14ac:dyDescent="0.3">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row>
    <row r="205" spans="1:32" x14ac:dyDescent="0.3">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row>
    <row r="206" spans="1:32" x14ac:dyDescent="0.3">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row>
    <row r="207" spans="1:32" x14ac:dyDescent="0.3">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row>
    <row r="208" spans="1:32" x14ac:dyDescent="0.3">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row>
    <row r="209" spans="1:32" x14ac:dyDescent="0.3">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row>
    <row r="210" spans="1:32" x14ac:dyDescent="0.3">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row>
    <row r="211" spans="1:32" x14ac:dyDescent="0.3">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row>
    <row r="212" spans="1:32" x14ac:dyDescent="0.3">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row>
    <row r="213" spans="1:32" x14ac:dyDescent="0.3">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row>
    <row r="214" spans="1:32" x14ac:dyDescent="0.3">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row>
    <row r="215" spans="1:32" x14ac:dyDescent="0.3">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row>
    <row r="216" spans="1:32" x14ac:dyDescent="0.3">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row>
    <row r="217" spans="1:32" x14ac:dyDescent="0.3">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row>
    <row r="218" spans="1:32" x14ac:dyDescent="0.3">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row>
    <row r="219" spans="1:32" x14ac:dyDescent="0.3">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row>
    <row r="220" spans="1:32" x14ac:dyDescent="0.3">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row>
    <row r="221" spans="1:32" x14ac:dyDescent="0.3">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row>
    <row r="222" spans="1:32" x14ac:dyDescent="0.3">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row>
    <row r="223" spans="1:32" x14ac:dyDescent="0.3">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row>
    <row r="224" spans="1:32" x14ac:dyDescent="0.3">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row>
    <row r="225" spans="1:32" x14ac:dyDescent="0.3">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row>
    <row r="226" spans="1:32" x14ac:dyDescent="0.3">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row>
    <row r="227" spans="1:32" x14ac:dyDescent="0.3">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row>
    <row r="228" spans="1:32" x14ac:dyDescent="0.3">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row>
    <row r="229" spans="1:32" x14ac:dyDescent="0.3">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row>
    <row r="230" spans="1:32" x14ac:dyDescent="0.3">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row>
    <row r="231" spans="1:32" x14ac:dyDescent="0.3">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row>
    <row r="232" spans="1:32" x14ac:dyDescent="0.3">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row>
    <row r="233" spans="1:32" x14ac:dyDescent="0.3">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row>
    <row r="234" spans="1:32" x14ac:dyDescent="0.3">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row>
    <row r="235" spans="1:32" x14ac:dyDescent="0.3">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row>
    <row r="236" spans="1:32" x14ac:dyDescent="0.3">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row>
    <row r="237" spans="1:32" x14ac:dyDescent="0.3">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row>
    <row r="238" spans="1:32" x14ac:dyDescent="0.3">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row>
    <row r="239" spans="1:32" x14ac:dyDescent="0.3">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row>
    <row r="240" spans="1:32" x14ac:dyDescent="0.3">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row>
    <row r="241" spans="1:32" x14ac:dyDescent="0.3">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row>
    <row r="242" spans="1:32" x14ac:dyDescent="0.3">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row>
    <row r="243" spans="1:32" x14ac:dyDescent="0.3">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row>
    <row r="244" spans="1:32" x14ac:dyDescent="0.3">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row>
    <row r="245" spans="1:32" x14ac:dyDescent="0.3">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row>
    <row r="246" spans="1:32" x14ac:dyDescent="0.3">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row>
    <row r="247" spans="1:32" x14ac:dyDescent="0.3">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row>
    <row r="248" spans="1:32" x14ac:dyDescent="0.3">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row>
    <row r="249" spans="1:32" x14ac:dyDescent="0.3">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row>
    <row r="250" spans="1:32" x14ac:dyDescent="0.3">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row>
    <row r="251" spans="1:32" x14ac:dyDescent="0.3">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row>
    <row r="252" spans="1:32" x14ac:dyDescent="0.3">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row>
    <row r="253" spans="1:32" x14ac:dyDescent="0.3">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row>
    <row r="254" spans="1:32" x14ac:dyDescent="0.3">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row>
    <row r="255" spans="1:32" x14ac:dyDescent="0.3">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row>
    <row r="256" spans="1:32" x14ac:dyDescent="0.3">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row>
    <row r="257" spans="1:32" x14ac:dyDescent="0.3">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row>
    <row r="258" spans="1:32" x14ac:dyDescent="0.3">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row>
    <row r="259" spans="1:32" x14ac:dyDescent="0.3">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row>
    <row r="260" spans="1:32" x14ac:dyDescent="0.3">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row>
    <row r="261" spans="1:32" x14ac:dyDescent="0.3">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row>
    <row r="262" spans="1:32" x14ac:dyDescent="0.3">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row>
    <row r="263" spans="1:32" x14ac:dyDescent="0.3">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row>
    <row r="264" spans="1:32" x14ac:dyDescent="0.3">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row>
    <row r="265" spans="1:32" x14ac:dyDescent="0.3">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row>
    <row r="266" spans="1:32" x14ac:dyDescent="0.3">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row>
    <row r="267" spans="1:32" x14ac:dyDescent="0.3">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row>
    <row r="268" spans="1:32" x14ac:dyDescent="0.3">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row>
    <row r="269" spans="1:32" x14ac:dyDescent="0.3">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row>
    <row r="270" spans="1:32" x14ac:dyDescent="0.3">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c r="Y270" s="94"/>
      <c r="Z270" s="94"/>
      <c r="AA270" s="94"/>
      <c r="AB270" s="94"/>
      <c r="AC270" s="94"/>
      <c r="AD270" s="94"/>
      <c r="AE270" s="94"/>
      <c r="AF270" s="94"/>
    </row>
    <row r="271" spans="1:32" x14ac:dyDescent="0.3">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row>
    <row r="272" spans="1:32" x14ac:dyDescent="0.3">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c r="Y272" s="94"/>
      <c r="Z272" s="94"/>
      <c r="AA272" s="94"/>
      <c r="AB272" s="94"/>
      <c r="AC272" s="94"/>
      <c r="AD272" s="94"/>
      <c r="AE272" s="94"/>
      <c r="AF272" s="94"/>
    </row>
    <row r="273" spans="1:32" x14ac:dyDescent="0.3">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row>
    <row r="274" spans="1:32" x14ac:dyDescent="0.3">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row>
    <row r="275" spans="1:32" x14ac:dyDescent="0.3">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row>
    <row r="276" spans="1:32" x14ac:dyDescent="0.3">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c r="Y276" s="94"/>
      <c r="Z276" s="94"/>
      <c r="AA276" s="94"/>
      <c r="AB276" s="94"/>
      <c r="AC276" s="94"/>
      <c r="AD276" s="94"/>
      <c r="AE276" s="94"/>
      <c r="AF276" s="94"/>
    </row>
    <row r="277" spans="1:32" x14ac:dyDescent="0.3">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row>
    <row r="278" spans="1:32" x14ac:dyDescent="0.3">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c r="Y278" s="94"/>
      <c r="Z278" s="94"/>
      <c r="AA278" s="94"/>
      <c r="AB278" s="94"/>
      <c r="AC278" s="94"/>
      <c r="AD278" s="94"/>
      <c r="AE278" s="94"/>
      <c r="AF278" s="94"/>
    </row>
    <row r="279" spans="1:32" x14ac:dyDescent="0.3">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row>
    <row r="280" spans="1:32" x14ac:dyDescent="0.3">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row>
    <row r="281" spans="1:32" x14ac:dyDescent="0.3">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c r="Y281" s="94"/>
      <c r="Z281" s="94"/>
      <c r="AA281" s="94"/>
      <c r="AB281" s="94"/>
      <c r="AC281" s="94"/>
      <c r="AD281" s="94"/>
      <c r="AE281" s="94"/>
      <c r="AF281" s="94"/>
    </row>
    <row r="282" spans="1:32" x14ac:dyDescent="0.3">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row>
    <row r="283" spans="1:32" x14ac:dyDescent="0.3">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row>
    <row r="284" spans="1:32" x14ac:dyDescent="0.3">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c r="Y284" s="94"/>
      <c r="Z284" s="94"/>
      <c r="AA284" s="94"/>
      <c r="AB284" s="94"/>
      <c r="AC284" s="94"/>
      <c r="AD284" s="94"/>
      <c r="AE284" s="94"/>
      <c r="AF284" s="94"/>
    </row>
    <row r="285" spans="1:32" x14ac:dyDescent="0.3">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row>
    <row r="286" spans="1:32" x14ac:dyDescent="0.3">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c r="AA286" s="94"/>
      <c r="AB286" s="94"/>
      <c r="AC286" s="94"/>
      <c r="AD286" s="94"/>
      <c r="AE286" s="94"/>
      <c r="AF286" s="94"/>
    </row>
    <row r="287" spans="1:32" x14ac:dyDescent="0.3">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row>
    <row r="288" spans="1:32" x14ac:dyDescent="0.3">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row>
    <row r="289" spans="1:32" x14ac:dyDescent="0.3">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row>
    <row r="290" spans="1:32" x14ac:dyDescent="0.3">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4"/>
      <c r="AB290" s="94"/>
      <c r="AC290" s="94"/>
      <c r="AD290" s="94"/>
      <c r="AE290" s="94"/>
      <c r="AF290" s="94"/>
    </row>
    <row r="291" spans="1:32" x14ac:dyDescent="0.3">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c r="Y291" s="94"/>
      <c r="Z291" s="94"/>
      <c r="AA291" s="94"/>
      <c r="AB291" s="94"/>
      <c r="AC291" s="94"/>
      <c r="AD291" s="94"/>
      <c r="AE291" s="94"/>
      <c r="AF291" s="94"/>
    </row>
    <row r="292" spans="1:32" x14ac:dyDescent="0.3">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row>
    <row r="293" spans="1:32" x14ac:dyDescent="0.3">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row>
    <row r="294" spans="1:32" x14ac:dyDescent="0.3">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row>
    <row r="295" spans="1:32" x14ac:dyDescent="0.3">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row>
    <row r="296" spans="1:32" x14ac:dyDescent="0.3">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row>
    <row r="297" spans="1:32" x14ac:dyDescent="0.3">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row>
    <row r="298" spans="1:32" x14ac:dyDescent="0.3">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row>
    <row r="299" spans="1:32" x14ac:dyDescent="0.3">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row>
    <row r="300" spans="1:32" x14ac:dyDescent="0.3">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row>
    <row r="301" spans="1:32" x14ac:dyDescent="0.3">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c r="Y301" s="94"/>
      <c r="Z301" s="94"/>
      <c r="AA301" s="94"/>
      <c r="AB301" s="94"/>
      <c r="AC301" s="94"/>
      <c r="AD301" s="94"/>
      <c r="AE301" s="94"/>
      <c r="AF301" s="94"/>
    </row>
    <row r="302" spans="1:32" x14ac:dyDescent="0.3">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row>
    <row r="303" spans="1:32" x14ac:dyDescent="0.3">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c r="Y303" s="94"/>
      <c r="Z303" s="94"/>
      <c r="AA303" s="94"/>
      <c r="AB303" s="94"/>
      <c r="AC303" s="94"/>
      <c r="AD303" s="94"/>
      <c r="AE303" s="94"/>
      <c r="AF303" s="94"/>
    </row>
    <row r="304" spans="1:32" x14ac:dyDescent="0.3">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row>
    <row r="305" spans="1:32" x14ac:dyDescent="0.3">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row>
    <row r="306" spans="1:32" x14ac:dyDescent="0.3">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row>
    <row r="307" spans="1:32" x14ac:dyDescent="0.3">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row>
    <row r="308" spans="1:32" x14ac:dyDescent="0.3">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row>
    <row r="309" spans="1:32" x14ac:dyDescent="0.3">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row>
    <row r="310" spans="1:32" x14ac:dyDescent="0.3">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row>
    <row r="311" spans="1:32" x14ac:dyDescent="0.3">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row>
    <row r="312" spans="1:32" x14ac:dyDescent="0.3">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c r="Z312" s="94"/>
      <c r="AA312" s="94"/>
      <c r="AB312" s="94"/>
      <c r="AC312" s="94"/>
      <c r="AD312" s="94"/>
      <c r="AE312" s="94"/>
      <c r="AF312" s="94"/>
    </row>
    <row r="313" spans="1:32" x14ac:dyDescent="0.3">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row>
    <row r="314" spans="1:32" x14ac:dyDescent="0.3">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row>
    <row r="315" spans="1:32" x14ac:dyDescent="0.3">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c r="Z315" s="94"/>
      <c r="AA315" s="94"/>
      <c r="AB315" s="94"/>
      <c r="AC315" s="94"/>
      <c r="AD315" s="94"/>
      <c r="AE315" s="94"/>
      <c r="AF315" s="94"/>
    </row>
    <row r="316" spans="1:32" x14ac:dyDescent="0.3">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row>
    <row r="317" spans="1:32" x14ac:dyDescent="0.3">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row>
    <row r="318" spans="1:32" x14ac:dyDescent="0.3">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row>
    <row r="319" spans="1:32" x14ac:dyDescent="0.3">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row>
    <row r="320" spans="1:32" x14ac:dyDescent="0.3">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row>
    <row r="321" spans="1:32" x14ac:dyDescent="0.3">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row>
    <row r="322" spans="1:32" x14ac:dyDescent="0.3">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row>
    <row r="323" spans="1:32" x14ac:dyDescent="0.3">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row>
    <row r="324" spans="1:32" x14ac:dyDescent="0.3">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row>
    <row r="325" spans="1:32" x14ac:dyDescent="0.3">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row>
    <row r="326" spans="1:32" x14ac:dyDescent="0.3">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c r="Z326" s="94"/>
      <c r="AA326" s="94"/>
      <c r="AB326" s="94"/>
      <c r="AC326" s="94"/>
      <c r="AD326" s="94"/>
      <c r="AE326" s="94"/>
      <c r="AF326" s="94"/>
    </row>
    <row r="327" spans="1:32" x14ac:dyDescent="0.3">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row>
    <row r="328" spans="1:32" x14ac:dyDescent="0.3">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4"/>
      <c r="AE328" s="94"/>
      <c r="AF328" s="94"/>
    </row>
    <row r="329" spans="1:32" x14ac:dyDescent="0.3">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row>
    <row r="330" spans="1:32" x14ac:dyDescent="0.3">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row>
    <row r="331" spans="1:32" x14ac:dyDescent="0.3">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c r="Z331" s="94"/>
      <c r="AA331" s="94"/>
      <c r="AB331" s="94"/>
      <c r="AC331" s="94"/>
      <c r="AD331" s="94"/>
      <c r="AE331" s="94"/>
      <c r="AF331" s="94"/>
    </row>
    <row r="332" spans="1:32" x14ac:dyDescent="0.3">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row>
    <row r="333" spans="1:32" x14ac:dyDescent="0.3">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row>
    <row r="334" spans="1:32" x14ac:dyDescent="0.3">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c r="Z334" s="94"/>
      <c r="AA334" s="94"/>
      <c r="AB334" s="94"/>
      <c r="AC334" s="94"/>
      <c r="AD334" s="94"/>
      <c r="AE334" s="94"/>
      <c r="AF334" s="94"/>
    </row>
    <row r="335" spans="1:32" x14ac:dyDescent="0.3">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row>
    <row r="336" spans="1:32" x14ac:dyDescent="0.3">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row>
    <row r="337" spans="1:32" x14ac:dyDescent="0.3">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row>
    <row r="338" spans="1:32" x14ac:dyDescent="0.3">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row>
    <row r="339" spans="1:32" x14ac:dyDescent="0.3">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row>
    <row r="340" spans="1:32" x14ac:dyDescent="0.3">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row>
    <row r="341" spans="1:32" x14ac:dyDescent="0.3">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row>
    <row r="342" spans="1:32" x14ac:dyDescent="0.3">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c r="Z342" s="94"/>
      <c r="AA342" s="94"/>
      <c r="AB342" s="94"/>
      <c r="AC342" s="94"/>
      <c r="AD342" s="94"/>
      <c r="AE342" s="94"/>
      <c r="AF342" s="94"/>
    </row>
    <row r="343" spans="1:32" x14ac:dyDescent="0.3">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row>
    <row r="344" spans="1:32" x14ac:dyDescent="0.3">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row>
    <row r="345" spans="1:32" x14ac:dyDescent="0.3">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row>
    <row r="346" spans="1:32" x14ac:dyDescent="0.3">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row>
    <row r="347" spans="1:32" x14ac:dyDescent="0.3">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row>
    <row r="348" spans="1:32" x14ac:dyDescent="0.3">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row>
    <row r="349" spans="1:32" x14ac:dyDescent="0.3">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c r="Z349" s="94"/>
      <c r="AA349" s="94"/>
      <c r="AB349" s="94"/>
      <c r="AC349" s="94"/>
      <c r="AD349" s="94"/>
      <c r="AE349" s="94"/>
      <c r="AF349" s="94"/>
    </row>
    <row r="350" spans="1:32" x14ac:dyDescent="0.3">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row>
    <row r="351" spans="1:32" x14ac:dyDescent="0.3">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c r="Z351" s="94"/>
      <c r="AA351" s="94"/>
      <c r="AB351" s="94"/>
      <c r="AC351" s="94"/>
      <c r="AD351" s="94"/>
      <c r="AE351" s="94"/>
      <c r="AF351" s="94"/>
    </row>
    <row r="352" spans="1:32" x14ac:dyDescent="0.3">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c r="Z352" s="94"/>
      <c r="AA352" s="94"/>
      <c r="AB352" s="94"/>
      <c r="AC352" s="94"/>
      <c r="AD352" s="94"/>
      <c r="AE352" s="94"/>
      <c r="AF352" s="94"/>
    </row>
    <row r="353" spans="1:32" x14ac:dyDescent="0.3">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row>
    <row r="354" spans="1:32" x14ac:dyDescent="0.3">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row>
    <row r="355" spans="1:32" x14ac:dyDescent="0.3">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c r="Z355" s="94"/>
      <c r="AA355" s="94"/>
      <c r="AB355" s="94"/>
      <c r="AC355" s="94"/>
      <c r="AD355" s="94"/>
      <c r="AE355" s="94"/>
      <c r="AF355" s="94"/>
    </row>
    <row r="356" spans="1:32" x14ac:dyDescent="0.3">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row>
    <row r="357" spans="1:32" x14ac:dyDescent="0.3">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row>
    <row r="358" spans="1:32" x14ac:dyDescent="0.3">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94"/>
      <c r="AF358" s="94"/>
    </row>
    <row r="359" spans="1:32" x14ac:dyDescent="0.3">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row>
    <row r="360" spans="1:32" x14ac:dyDescent="0.3">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row>
    <row r="361" spans="1:32" x14ac:dyDescent="0.3">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row>
    <row r="362" spans="1:32" x14ac:dyDescent="0.3">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94"/>
      <c r="AF362" s="94"/>
    </row>
    <row r="363" spans="1:32" x14ac:dyDescent="0.3">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row>
    <row r="364" spans="1:32" x14ac:dyDescent="0.3">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row>
    <row r="365" spans="1:32" x14ac:dyDescent="0.3">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row>
    <row r="366" spans="1:32" x14ac:dyDescent="0.3">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94"/>
      <c r="AF366" s="94"/>
    </row>
    <row r="367" spans="1:32" x14ac:dyDescent="0.3">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row>
    <row r="368" spans="1:32" x14ac:dyDescent="0.3">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row>
    <row r="369" spans="1:32" x14ac:dyDescent="0.3">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c r="Z369" s="94"/>
      <c r="AA369" s="94"/>
      <c r="AB369" s="94"/>
      <c r="AC369" s="94"/>
      <c r="AD369" s="94"/>
      <c r="AE369" s="94"/>
      <c r="AF369" s="94"/>
    </row>
    <row r="370" spans="1:32" x14ac:dyDescent="0.3">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94"/>
      <c r="AF370" s="94"/>
    </row>
    <row r="371" spans="1:32" x14ac:dyDescent="0.3">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row>
    <row r="372" spans="1:32" x14ac:dyDescent="0.3">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row>
    <row r="373" spans="1:32" x14ac:dyDescent="0.3">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row>
    <row r="374" spans="1:32" x14ac:dyDescent="0.3">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row>
    <row r="375" spans="1:32" x14ac:dyDescent="0.3">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c r="Z375" s="94"/>
      <c r="AA375" s="94"/>
      <c r="AB375" s="94"/>
      <c r="AC375" s="94"/>
      <c r="AD375" s="94"/>
      <c r="AE375" s="94"/>
      <c r="AF375" s="94"/>
    </row>
    <row r="376" spans="1:32" x14ac:dyDescent="0.3">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row>
    <row r="377" spans="1:32" x14ac:dyDescent="0.3">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row>
    <row r="378" spans="1:32" x14ac:dyDescent="0.3">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row>
    <row r="379" spans="1:32" x14ac:dyDescent="0.3">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row>
    <row r="380" spans="1:32" x14ac:dyDescent="0.3">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row>
    <row r="381" spans="1:32" x14ac:dyDescent="0.3">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row>
    <row r="382" spans="1:32" x14ac:dyDescent="0.3">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c r="Z382" s="94"/>
      <c r="AA382" s="94"/>
      <c r="AB382" s="94"/>
      <c r="AC382" s="94"/>
      <c r="AD382" s="94"/>
      <c r="AE382" s="94"/>
      <c r="AF382" s="94"/>
    </row>
    <row r="383" spans="1:32" x14ac:dyDescent="0.3">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row>
    <row r="384" spans="1:32" x14ac:dyDescent="0.3">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row>
    <row r="385" spans="1:32" x14ac:dyDescent="0.3">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c r="Z385" s="94"/>
      <c r="AA385" s="94"/>
      <c r="AB385" s="94"/>
      <c r="AC385" s="94"/>
      <c r="AD385" s="94"/>
      <c r="AE385" s="94"/>
      <c r="AF385" s="94"/>
    </row>
    <row r="386" spans="1:32" x14ac:dyDescent="0.3">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row>
    <row r="387" spans="1:32" x14ac:dyDescent="0.3">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c r="Z387" s="94"/>
      <c r="AA387" s="94"/>
      <c r="AB387" s="94"/>
      <c r="AC387" s="94"/>
      <c r="AD387" s="94"/>
      <c r="AE387" s="94"/>
      <c r="AF387" s="94"/>
    </row>
    <row r="388" spans="1:32" x14ac:dyDescent="0.3">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row>
    <row r="389" spans="1:32" x14ac:dyDescent="0.3">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row>
    <row r="390" spans="1:32" x14ac:dyDescent="0.3">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row>
    <row r="391" spans="1:32" x14ac:dyDescent="0.3">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row>
    <row r="392" spans="1:32" x14ac:dyDescent="0.3">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row>
    <row r="393" spans="1:32" x14ac:dyDescent="0.3">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row>
    <row r="394" spans="1:32" x14ac:dyDescent="0.3">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c r="Z394" s="94"/>
      <c r="AA394" s="94"/>
      <c r="AB394" s="94"/>
      <c r="AC394" s="94"/>
      <c r="AD394" s="94"/>
      <c r="AE394" s="94"/>
      <c r="AF394" s="94"/>
    </row>
    <row r="395" spans="1:32" x14ac:dyDescent="0.3">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row>
    <row r="396" spans="1:32" x14ac:dyDescent="0.3">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row>
    <row r="397" spans="1:32" x14ac:dyDescent="0.3">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c r="Z397" s="94"/>
      <c r="AA397" s="94"/>
      <c r="AB397" s="94"/>
      <c r="AC397" s="94"/>
      <c r="AD397" s="94"/>
      <c r="AE397" s="94"/>
      <c r="AF397" s="94"/>
    </row>
    <row r="398" spans="1:32" x14ac:dyDescent="0.3">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row>
    <row r="399" spans="1:32" x14ac:dyDescent="0.3">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c r="Z399" s="94"/>
      <c r="AA399" s="94"/>
      <c r="AB399" s="94"/>
      <c r="AC399" s="94"/>
      <c r="AD399" s="94"/>
      <c r="AE399" s="94"/>
      <c r="AF399" s="94"/>
    </row>
    <row r="400" spans="1:32" x14ac:dyDescent="0.3">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94"/>
      <c r="AF400" s="94"/>
    </row>
    <row r="401" spans="1:32" x14ac:dyDescent="0.3">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row>
    <row r="402" spans="1:32" x14ac:dyDescent="0.3">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94"/>
      <c r="AF402" s="94"/>
    </row>
    <row r="403" spans="1:32" x14ac:dyDescent="0.3">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row>
    <row r="404" spans="1:32" x14ac:dyDescent="0.3">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row>
    <row r="405" spans="1:32" x14ac:dyDescent="0.3">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row>
    <row r="406" spans="1:32" x14ac:dyDescent="0.3">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94"/>
      <c r="AF406" s="94"/>
    </row>
    <row r="407" spans="1:32" x14ac:dyDescent="0.3">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row>
    <row r="408" spans="1:32" x14ac:dyDescent="0.3">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94"/>
      <c r="AF408" s="94"/>
    </row>
    <row r="409" spans="1:32" x14ac:dyDescent="0.3">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c r="Z409" s="94"/>
      <c r="AA409" s="94"/>
      <c r="AB409" s="94"/>
      <c r="AC409" s="94"/>
      <c r="AD409" s="94"/>
      <c r="AE409" s="94"/>
      <c r="AF409" s="94"/>
    </row>
    <row r="410" spans="1:32" x14ac:dyDescent="0.3">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row>
    <row r="411" spans="1:32" x14ac:dyDescent="0.3">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c r="Z411" s="94"/>
      <c r="AA411" s="94"/>
      <c r="AB411" s="94"/>
      <c r="AC411" s="94"/>
      <c r="AD411" s="94"/>
      <c r="AE411" s="94"/>
      <c r="AF411" s="94"/>
    </row>
    <row r="412" spans="1:32" x14ac:dyDescent="0.3">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row>
    <row r="413" spans="1:32" x14ac:dyDescent="0.3">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row>
    <row r="414" spans="1:32" x14ac:dyDescent="0.3">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row>
    <row r="415" spans="1:32" x14ac:dyDescent="0.3">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row>
    <row r="416" spans="1:32" x14ac:dyDescent="0.3">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c r="Z416" s="94"/>
      <c r="AA416" s="94"/>
      <c r="AB416" s="94"/>
      <c r="AC416" s="94"/>
      <c r="AD416" s="94"/>
      <c r="AE416" s="94"/>
      <c r="AF416" s="94"/>
    </row>
    <row r="417" spans="1:32" x14ac:dyDescent="0.3">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row>
    <row r="418" spans="1:32" x14ac:dyDescent="0.3">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c r="Z418" s="94"/>
      <c r="AA418" s="94"/>
      <c r="AB418" s="94"/>
      <c r="AC418" s="94"/>
      <c r="AD418" s="94"/>
      <c r="AE418" s="94"/>
      <c r="AF418" s="94"/>
    </row>
    <row r="419" spans="1:32" x14ac:dyDescent="0.3">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row>
    <row r="420" spans="1:32" x14ac:dyDescent="0.3">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row>
    <row r="421" spans="1:32" x14ac:dyDescent="0.3">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row>
    <row r="422" spans="1:32" x14ac:dyDescent="0.3">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row>
    <row r="423" spans="1:32" x14ac:dyDescent="0.3">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row>
    <row r="424" spans="1:32" x14ac:dyDescent="0.3">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c r="Z424" s="94"/>
      <c r="AA424" s="94"/>
      <c r="AB424" s="94"/>
      <c r="AC424" s="94"/>
      <c r="AD424" s="94"/>
      <c r="AE424" s="94"/>
      <c r="AF424" s="94"/>
    </row>
    <row r="425" spans="1:32" x14ac:dyDescent="0.3">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c r="Z425" s="94"/>
      <c r="AA425" s="94"/>
      <c r="AB425" s="94"/>
      <c r="AC425" s="94"/>
      <c r="AD425" s="94"/>
      <c r="AE425" s="94"/>
      <c r="AF425" s="94"/>
    </row>
    <row r="426" spans="1:32" x14ac:dyDescent="0.3">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row>
    <row r="427" spans="1:32" x14ac:dyDescent="0.3">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c r="Z427" s="94"/>
      <c r="AA427" s="94"/>
      <c r="AB427" s="94"/>
      <c r="AC427" s="94"/>
      <c r="AD427" s="94"/>
      <c r="AE427" s="94"/>
      <c r="AF427" s="94"/>
    </row>
    <row r="428" spans="1:32" x14ac:dyDescent="0.3">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c r="Z428" s="94"/>
      <c r="AA428" s="94"/>
      <c r="AB428" s="94"/>
      <c r="AC428" s="94"/>
      <c r="AD428" s="94"/>
      <c r="AE428" s="94"/>
      <c r="AF428" s="94"/>
    </row>
    <row r="429" spans="1:32" x14ac:dyDescent="0.3">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row>
    <row r="430" spans="1:32" x14ac:dyDescent="0.3">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row>
    <row r="431" spans="1:32" x14ac:dyDescent="0.3">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row>
    <row r="432" spans="1:32" x14ac:dyDescent="0.3">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row>
    <row r="433" spans="1:32" x14ac:dyDescent="0.3">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c r="Z433" s="94"/>
      <c r="AA433" s="94"/>
      <c r="AB433" s="94"/>
      <c r="AC433" s="94"/>
      <c r="AD433" s="94"/>
      <c r="AE433" s="94"/>
      <c r="AF433" s="94"/>
    </row>
    <row r="434" spans="1:32" x14ac:dyDescent="0.3">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row>
    <row r="435" spans="1:32" x14ac:dyDescent="0.3">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row>
    <row r="436" spans="1:32" x14ac:dyDescent="0.3">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row>
    <row r="437" spans="1:32" x14ac:dyDescent="0.3">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row>
    <row r="438" spans="1:32" x14ac:dyDescent="0.3">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c r="Z438" s="94"/>
      <c r="AA438" s="94"/>
      <c r="AB438" s="94"/>
      <c r="AC438" s="94"/>
      <c r="AD438" s="94"/>
      <c r="AE438" s="94"/>
      <c r="AF438" s="94"/>
    </row>
    <row r="439" spans="1:32" x14ac:dyDescent="0.3">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row>
    <row r="440" spans="1:32" x14ac:dyDescent="0.3">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row>
    <row r="441" spans="1:32" x14ac:dyDescent="0.3">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row>
    <row r="442" spans="1:32" x14ac:dyDescent="0.3">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row>
    <row r="443" spans="1:32" x14ac:dyDescent="0.3">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row>
    <row r="444" spans="1:32" x14ac:dyDescent="0.3">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c r="Z444" s="94"/>
      <c r="AA444" s="94"/>
      <c r="AB444" s="94"/>
      <c r="AC444" s="94"/>
      <c r="AD444" s="94"/>
      <c r="AE444" s="94"/>
      <c r="AF444" s="94"/>
    </row>
    <row r="445" spans="1:32" x14ac:dyDescent="0.3">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c r="Z445" s="94"/>
      <c r="AA445" s="94"/>
      <c r="AB445" s="94"/>
      <c r="AC445" s="94"/>
      <c r="AD445" s="94"/>
      <c r="AE445" s="94"/>
      <c r="AF445" s="94"/>
    </row>
    <row r="446" spans="1:32" x14ac:dyDescent="0.3">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row>
    <row r="447" spans="1:32" x14ac:dyDescent="0.3">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row>
    <row r="448" spans="1:32" x14ac:dyDescent="0.3">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c r="Z448" s="94"/>
      <c r="AA448" s="94"/>
      <c r="AB448" s="94"/>
      <c r="AC448" s="94"/>
      <c r="AD448" s="94"/>
      <c r="AE448" s="94"/>
      <c r="AF448" s="94"/>
    </row>
    <row r="449" spans="1:32" x14ac:dyDescent="0.3">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row>
    <row r="450" spans="1:32" x14ac:dyDescent="0.3">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row>
    <row r="451" spans="1:32" x14ac:dyDescent="0.3">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c r="Z451" s="94"/>
      <c r="AA451" s="94"/>
      <c r="AB451" s="94"/>
      <c r="AC451" s="94"/>
      <c r="AD451" s="94"/>
      <c r="AE451" s="94"/>
      <c r="AF451" s="94"/>
    </row>
    <row r="452" spans="1:32" x14ac:dyDescent="0.3">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row>
    <row r="453" spans="1:32" x14ac:dyDescent="0.3">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row>
    <row r="454" spans="1:32" x14ac:dyDescent="0.3">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row>
    <row r="455" spans="1:32" x14ac:dyDescent="0.3">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c r="Z455" s="94"/>
      <c r="AA455" s="94"/>
      <c r="AB455" s="94"/>
      <c r="AC455" s="94"/>
      <c r="AD455" s="94"/>
      <c r="AE455" s="94"/>
      <c r="AF455" s="94"/>
    </row>
    <row r="456" spans="1:32" x14ac:dyDescent="0.3">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row>
    <row r="457" spans="1:32" x14ac:dyDescent="0.3">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row>
    <row r="458" spans="1:32" x14ac:dyDescent="0.3">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row>
    <row r="459" spans="1:32" x14ac:dyDescent="0.3">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row>
    <row r="460" spans="1:32" x14ac:dyDescent="0.3">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row>
    <row r="461" spans="1:32" x14ac:dyDescent="0.3">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row>
    <row r="462" spans="1:32" x14ac:dyDescent="0.3">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row>
    <row r="463" spans="1:32" x14ac:dyDescent="0.3">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row>
    <row r="464" spans="1:32" x14ac:dyDescent="0.3">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row>
    <row r="465" spans="1:32" x14ac:dyDescent="0.3">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row>
    <row r="466" spans="1:32" x14ac:dyDescent="0.3">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row>
    <row r="467" spans="1:32" x14ac:dyDescent="0.3">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c r="Z467" s="94"/>
      <c r="AA467" s="94"/>
      <c r="AB467" s="94"/>
      <c r="AC467" s="94"/>
      <c r="AD467" s="94"/>
      <c r="AE467" s="94"/>
      <c r="AF467" s="94"/>
    </row>
    <row r="468" spans="1:32" x14ac:dyDescent="0.3">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row>
    <row r="469" spans="1:32" x14ac:dyDescent="0.3">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row>
    <row r="470" spans="1:32" x14ac:dyDescent="0.3">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c r="Z470" s="94"/>
      <c r="AA470" s="94"/>
      <c r="AB470" s="94"/>
      <c r="AC470" s="94"/>
      <c r="AD470" s="94"/>
      <c r="AE470" s="94"/>
      <c r="AF470" s="94"/>
    </row>
    <row r="471" spans="1:32" x14ac:dyDescent="0.3">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row>
    <row r="472" spans="1:32" x14ac:dyDescent="0.3">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row>
    <row r="473" spans="1:32" x14ac:dyDescent="0.3">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row>
    <row r="474" spans="1:32" x14ac:dyDescent="0.3">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row>
    <row r="475" spans="1:32" x14ac:dyDescent="0.3">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row>
    <row r="476" spans="1:32" x14ac:dyDescent="0.3">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row>
    <row r="477" spans="1:32" x14ac:dyDescent="0.3">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row>
    <row r="478" spans="1:32" x14ac:dyDescent="0.3">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c r="Z478" s="94"/>
      <c r="AA478" s="94"/>
      <c r="AB478" s="94"/>
      <c r="AC478" s="94"/>
      <c r="AD478" s="94"/>
      <c r="AE478" s="94"/>
      <c r="AF478" s="94"/>
    </row>
    <row r="479" spans="1:32" x14ac:dyDescent="0.3">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row>
    <row r="480" spans="1:32" x14ac:dyDescent="0.3">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row>
    <row r="481" spans="1:32" x14ac:dyDescent="0.3">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c r="Z481" s="94"/>
      <c r="AA481" s="94"/>
      <c r="AB481" s="94"/>
      <c r="AC481" s="94"/>
      <c r="AD481" s="94"/>
      <c r="AE481" s="94"/>
      <c r="AF481" s="94"/>
    </row>
    <row r="482" spans="1:32" x14ac:dyDescent="0.3">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row>
    <row r="483" spans="1:32" x14ac:dyDescent="0.3">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c r="Z483" s="94"/>
      <c r="AA483" s="94"/>
      <c r="AB483" s="94"/>
      <c r="AC483" s="94"/>
      <c r="AD483" s="94"/>
      <c r="AE483" s="94"/>
      <c r="AF483" s="94"/>
    </row>
    <row r="484" spans="1:32" x14ac:dyDescent="0.3">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row>
    <row r="485" spans="1:32" x14ac:dyDescent="0.3">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row>
    <row r="486" spans="1:32" x14ac:dyDescent="0.3">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row>
    <row r="487" spans="1:32" x14ac:dyDescent="0.3">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c r="Z487" s="94"/>
      <c r="AA487" s="94"/>
      <c r="AB487" s="94"/>
      <c r="AC487" s="94"/>
      <c r="AD487" s="94"/>
      <c r="AE487" s="94"/>
      <c r="AF487" s="94"/>
    </row>
    <row r="488" spans="1:32" x14ac:dyDescent="0.3">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row>
    <row r="489" spans="1:32" x14ac:dyDescent="0.3">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row>
    <row r="490" spans="1:32" x14ac:dyDescent="0.3">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c r="Z490" s="94"/>
      <c r="AA490" s="94"/>
      <c r="AB490" s="94"/>
      <c r="AC490" s="94"/>
      <c r="AD490" s="94"/>
      <c r="AE490" s="94"/>
      <c r="AF490" s="94"/>
    </row>
    <row r="491" spans="1:32" x14ac:dyDescent="0.3">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row>
    <row r="492" spans="1:32" x14ac:dyDescent="0.3">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c r="Z492" s="94"/>
      <c r="AA492" s="94"/>
      <c r="AB492" s="94"/>
      <c r="AC492" s="94"/>
      <c r="AD492" s="94"/>
      <c r="AE492" s="94"/>
      <c r="AF492" s="94"/>
    </row>
    <row r="493" spans="1:32" x14ac:dyDescent="0.3">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row>
    <row r="494" spans="1:32" x14ac:dyDescent="0.3">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row>
    <row r="495" spans="1:32" x14ac:dyDescent="0.3">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row>
    <row r="496" spans="1:32" x14ac:dyDescent="0.3">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row>
    <row r="497" spans="1:32" x14ac:dyDescent="0.3">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row>
    <row r="498" spans="1:32" x14ac:dyDescent="0.3">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row>
    <row r="499" spans="1:32" x14ac:dyDescent="0.3">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row>
    <row r="500" spans="1:32" x14ac:dyDescent="0.3">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row>
    <row r="501" spans="1:32" x14ac:dyDescent="0.3">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row>
    <row r="502" spans="1:32" x14ac:dyDescent="0.3">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row>
    <row r="503" spans="1:32" x14ac:dyDescent="0.3">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c r="Z503" s="94"/>
      <c r="AA503" s="94"/>
      <c r="AB503" s="94"/>
      <c r="AC503" s="94"/>
      <c r="AD503" s="94"/>
      <c r="AE503" s="94"/>
      <c r="AF503" s="94"/>
    </row>
    <row r="504" spans="1:32" x14ac:dyDescent="0.3">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row>
    <row r="505" spans="1:32" x14ac:dyDescent="0.3">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row>
    <row r="506" spans="1:32" x14ac:dyDescent="0.3">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c r="Z506" s="94"/>
      <c r="AA506" s="94"/>
      <c r="AB506" s="94"/>
      <c r="AC506" s="94"/>
      <c r="AD506" s="94"/>
      <c r="AE506" s="94"/>
      <c r="AF506" s="94"/>
    </row>
    <row r="507" spans="1:32" x14ac:dyDescent="0.3">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4"/>
      <c r="AC507" s="94"/>
      <c r="AD507" s="94"/>
      <c r="AE507" s="94"/>
      <c r="AF507" s="94"/>
    </row>
  </sheetData>
  <sheetProtection algorithmName="SHA-512" hashValue="NV+fGPFI0UVWDHDzHTHcVIEro1nUIjOwpyDe3qfgf29CVMcPkRrRuddIVxcKW7vgla0xY1J18D7iJF+VoyTm0A==" saltValue="+LAcB8tsF4nmYZ6+fzmQ+g==" spinCount="100000" sheet="1" objects="1" scenarios="1"/>
  <mergeCells count="125">
    <mergeCell ref="C14:AF14"/>
    <mergeCell ref="A25:AF25"/>
    <mergeCell ref="A39:AF39"/>
    <mergeCell ref="A40:E40"/>
    <mergeCell ref="F40:N40"/>
    <mergeCell ref="O40:R40"/>
    <mergeCell ref="S40:V40"/>
    <mergeCell ref="W40:AF40"/>
    <mergeCell ref="A1:AF1"/>
    <mergeCell ref="A3:AF3"/>
    <mergeCell ref="B5:AF5"/>
    <mergeCell ref="A7:AF7"/>
    <mergeCell ref="B10:AF10"/>
    <mergeCell ref="C13:AF13"/>
    <mergeCell ref="A41:E41"/>
    <mergeCell ref="F41:N41"/>
    <mergeCell ref="O41:R41"/>
    <mergeCell ref="S41:V41"/>
    <mergeCell ref="W41:AF42"/>
    <mergeCell ref="A42:E42"/>
    <mergeCell ref="F42:N42"/>
    <mergeCell ref="O42:R42"/>
    <mergeCell ref="S42:V42"/>
    <mergeCell ref="A43:E43"/>
    <mergeCell ref="F43:N43"/>
    <mergeCell ref="O43:R43"/>
    <mergeCell ref="S43:V43"/>
    <mergeCell ref="W43:AF43"/>
    <mergeCell ref="A44:E44"/>
    <mergeCell ref="F44:N44"/>
    <mergeCell ref="O44:R44"/>
    <mergeCell ref="S44:V44"/>
    <mergeCell ref="W44:AF44"/>
    <mergeCell ref="A45:E45"/>
    <mergeCell ref="F45:N45"/>
    <mergeCell ref="O45:R45"/>
    <mergeCell ref="S45:V45"/>
    <mergeCell ref="W45:AF45"/>
    <mergeCell ref="A46:E46"/>
    <mergeCell ref="F46:N46"/>
    <mergeCell ref="O46:R46"/>
    <mergeCell ref="S46:V46"/>
    <mergeCell ref="W46:AF46"/>
    <mergeCell ref="A49:AF49"/>
    <mergeCell ref="A52:G53"/>
    <mergeCell ref="H52:O52"/>
    <mergeCell ref="P52:W52"/>
    <mergeCell ref="H53:K53"/>
    <mergeCell ref="L53:O53"/>
    <mergeCell ref="P53:S53"/>
    <mergeCell ref="T53:W53"/>
    <mergeCell ref="A47:E47"/>
    <mergeCell ref="F47:N47"/>
    <mergeCell ref="O47:R47"/>
    <mergeCell ref="S47:V47"/>
    <mergeCell ref="W47:AF47"/>
    <mergeCell ref="A48:AF48"/>
    <mergeCell ref="A58:G58"/>
    <mergeCell ref="H58:N58"/>
    <mergeCell ref="O58:U58"/>
    <mergeCell ref="A59:G59"/>
    <mergeCell ref="H59:N59"/>
    <mergeCell ref="O59:U59"/>
    <mergeCell ref="A54:G54"/>
    <mergeCell ref="H54:K54"/>
    <mergeCell ref="L54:O54"/>
    <mergeCell ref="P54:S54"/>
    <mergeCell ref="T54:W54"/>
    <mergeCell ref="A55:G55"/>
    <mergeCell ref="H55:K55"/>
    <mergeCell ref="L55:O55"/>
    <mergeCell ref="P55:S55"/>
    <mergeCell ref="T55:W55"/>
    <mergeCell ref="A60:G60"/>
    <mergeCell ref="H60:N60"/>
    <mergeCell ref="O60:U60"/>
    <mergeCell ref="A61:AF61"/>
    <mergeCell ref="A64:M65"/>
    <mergeCell ref="N64:Q64"/>
    <mergeCell ref="R64:U64"/>
    <mergeCell ref="V64:Y64"/>
    <mergeCell ref="Z64:AC65"/>
    <mergeCell ref="N65:Q65"/>
    <mergeCell ref="Z66:AC66"/>
    <mergeCell ref="A67:M67"/>
    <mergeCell ref="N67:Q67"/>
    <mergeCell ref="R67:U67"/>
    <mergeCell ref="V67:Y67"/>
    <mergeCell ref="Z67:AC67"/>
    <mergeCell ref="R65:U65"/>
    <mergeCell ref="V65:Y65"/>
    <mergeCell ref="A66:M66"/>
    <mergeCell ref="N66:Q66"/>
    <mergeCell ref="R66:U66"/>
    <mergeCell ref="V66:Y66"/>
    <mergeCell ref="A70:M70"/>
    <mergeCell ref="N70:Q70"/>
    <mergeCell ref="R70:U70"/>
    <mergeCell ref="V70:Y70"/>
    <mergeCell ref="A72:AF72"/>
    <mergeCell ref="F77:V77"/>
    <mergeCell ref="A68:M68"/>
    <mergeCell ref="N68:Q68"/>
    <mergeCell ref="R68:U68"/>
    <mergeCell ref="V68:Y68"/>
    <mergeCell ref="Z68:AC68"/>
    <mergeCell ref="A69:M69"/>
    <mergeCell ref="N69:Q69"/>
    <mergeCell ref="R69:U69"/>
    <mergeCell ref="V69:Y69"/>
    <mergeCell ref="Z69:AC69"/>
    <mergeCell ref="A85:AF85"/>
    <mergeCell ref="B87:AF87"/>
    <mergeCell ref="B88:AF88"/>
    <mergeCell ref="B89:AF89"/>
    <mergeCell ref="B90:AF90"/>
    <mergeCell ref="F80:H80"/>
    <mergeCell ref="A82:H82"/>
    <mergeCell ref="I82:P82"/>
    <mergeCell ref="Q82:X82"/>
    <mergeCell ref="Y82:AF82"/>
    <mergeCell ref="A83:H83"/>
    <mergeCell ref="I83:P83"/>
    <mergeCell ref="Q83:X83"/>
    <mergeCell ref="Y83:AF83"/>
  </mergeCells>
  <dataValidations count="1">
    <dataValidation type="list" allowBlank="1" showInputMessage="1" showErrorMessage="1" sqref="F77:V77" xr:uid="{00000000-0002-0000-3C00-000000000000}">
      <formula1>"Medium Temp with Unitary Condenser, Medium Temp with Remote Condenser, Low Temp with Unitary Condenser, Low Temp with Remote Condenser, Unknown"</formula1>
    </dataValidation>
  </dataValidations>
  <hyperlinks>
    <hyperlink ref="A2" location="TOC!A1" display="Return to TOC" xr:uid="{00000000-0004-0000-3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B13:B14"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1">
    <tabColor theme="8" tint="0.59999389629810485"/>
    <pageSetUpPr autoPageBreaks="0"/>
  </sheetPr>
  <dimension ref="A1:AF52"/>
  <sheetViews>
    <sheetView workbookViewId="0">
      <selection sqref="A1:AF1"/>
    </sheetView>
  </sheetViews>
  <sheetFormatPr defaultColWidth="2.6640625" defaultRowHeight="14.4" x14ac:dyDescent="0.3"/>
  <cols>
    <col min="1" max="16384" width="2.6640625" style="1"/>
  </cols>
  <sheetData>
    <row r="1" spans="1:32" ht="18" x14ac:dyDescent="0.3">
      <c r="A1" s="1131" t="s">
        <v>892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124.5" customHeight="1" x14ac:dyDescent="0.3">
      <c r="B6" s="953" t="s">
        <v>350</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row>
    <row r="8" spans="1:32" x14ac:dyDescent="0.3">
      <c r="B8" s="51" t="s">
        <v>4</v>
      </c>
      <c r="C8" s="51"/>
      <c r="D8" s="51"/>
      <c r="E8" s="51"/>
      <c r="F8" s="51"/>
      <c r="G8" s="51"/>
      <c r="H8" s="51"/>
      <c r="I8" s="51"/>
    </row>
    <row r="9" spans="1:32" ht="214.5" customHeight="1" x14ac:dyDescent="0.3">
      <c r="B9" s="953" t="s">
        <v>2827</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row>
    <row r="11" spans="1:32" x14ac:dyDescent="0.3">
      <c r="B11" s="51" t="s">
        <v>5</v>
      </c>
      <c r="C11" s="51"/>
      <c r="D11" s="51"/>
      <c r="E11" s="51"/>
      <c r="F11" s="51"/>
      <c r="G11" s="51"/>
      <c r="H11" s="51"/>
      <c r="I11" s="51"/>
    </row>
    <row r="12" spans="1:32" s="4" customFormat="1" ht="14.4" customHeight="1" x14ac:dyDescent="0.3">
      <c r="B12" s="1058" t="s">
        <v>1041</v>
      </c>
      <c r="C12" s="1058"/>
      <c r="D12" s="1058"/>
      <c r="E12" s="1058"/>
      <c r="F12" s="1058"/>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row>
    <row r="14" spans="1:32" x14ac:dyDescent="0.3">
      <c r="B14" s="51" t="s">
        <v>6</v>
      </c>
      <c r="C14" s="51"/>
      <c r="D14" s="51"/>
      <c r="E14" s="51"/>
      <c r="F14" s="51"/>
      <c r="G14" s="51"/>
      <c r="H14" s="51"/>
      <c r="I14" s="51"/>
    </row>
    <row r="15" spans="1:32" ht="64.5" customHeight="1" x14ac:dyDescent="0.3">
      <c r="B15" s="872" t="s">
        <v>351</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22" spans="1:32" x14ac:dyDescent="0.3">
      <c r="B22" s="51" t="s">
        <v>13</v>
      </c>
      <c r="C22" s="51"/>
      <c r="D22" s="51"/>
      <c r="E22" s="51"/>
      <c r="F22" s="51"/>
      <c r="G22" s="51"/>
      <c r="H22" s="51"/>
      <c r="I22" s="51"/>
    </row>
    <row r="23" spans="1:32" s="4" customFormat="1" ht="28.95" customHeight="1" x14ac:dyDescent="0.3">
      <c r="B23" s="872" t="s">
        <v>352</v>
      </c>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row>
    <row r="24" spans="1:32" s="4" customFormat="1" ht="14.4" customHeight="1" x14ac:dyDescent="0.3"/>
    <row r="25" spans="1:32" s="4" customFormat="1" ht="14.4" customHeight="1" x14ac:dyDescent="0.3"/>
    <row r="26" spans="1:32" s="4" customFormat="1" ht="14.4" customHeight="1" x14ac:dyDescent="0.3"/>
    <row r="27" spans="1:32" s="4" customFormat="1" ht="14.4" customHeight="1" x14ac:dyDescent="0.3"/>
    <row r="28" spans="1:32" s="4" customFormat="1" ht="14.4" customHeight="1" x14ac:dyDescent="0.3"/>
    <row r="31" spans="1:32" x14ac:dyDescent="0.3">
      <c r="A31" s="1141" t="s">
        <v>7</v>
      </c>
      <c r="B31" s="1141"/>
      <c r="C31" s="1141"/>
      <c r="D31" s="114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row>
    <row r="50" spans="1:32" x14ac:dyDescent="0.3">
      <c r="A50" s="1141" t="s">
        <v>14</v>
      </c>
      <c r="B50" s="1141"/>
      <c r="C50" s="1141"/>
      <c r="D50" s="1141"/>
      <c r="E50" s="1141"/>
      <c r="F50" s="1141"/>
      <c r="G50" s="1141"/>
      <c r="H50" s="1141"/>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row>
    <row r="52" spans="1:32" x14ac:dyDescent="0.3">
      <c r="A52" s="2554" t="s">
        <v>157</v>
      </c>
      <c r="B52" s="2554"/>
      <c r="C52" s="2554"/>
      <c r="D52" s="2554"/>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2554"/>
      <c r="AB52" s="2554"/>
      <c r="AC52" s="2554"/>
      <c r="AD52" s="2554"/>
      <c r="AE52" s="2554"/>
      <c r="AF52" s="2554"/>
    </row>
  </sheetData>
  <sheetProtection algorithmName="SHA-512" hashValue="tnUoXnKGR2XsY+LL+y5kBQ+Ppk9bR4YWvwQfSfwnL1muF+IjEK5fJj/vMJzGYppPiPKDmPF5pNsL7kyRK9T3nw==" saltValue="fYVGTbaARxQHMzFM/PcNFQ==" spinCount="100000" sheet="1" objects="1" scenarios="1"/>
  <mergeCells count="10">
    <mergeCell ref="B23:AF23"/>
    <mergeCell ref="A52:AF52"/>
    <mergeCell ref="A50:AF50"/>
    <mergeCell ref="A31:AF31"/>
    <mergeCell ref="B12:AF12"/>
    <mergeCell ref="A3:AF3"/>
    <mergeCell ref="A1:AF1"/>
    <mergeCell ref="B6:AF6"/>
    <mergeCell ref="B9:AF9"/>
    <mergeCell ref="B15:AF15"/>
  </mergeCells>
  <hyperlinks>
    <hyperlink ref="A2" location="TOC!A1" display="Return to TOC" xr:uid="{00000000-0004-0000-3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theme="8" tint="0.59999389629810485"/>
    <pageSetUpPr autoPageBreaks="0"/>
  </sheetPr>
  <dimension ref="A1:AF40"/>
  <sheetViews>
    <sheetView workbookViewId="0">
      <selection sqref="A1:AF1"/>
    </sheetView>
  </sheetViews>
  <sheetFormatPr defaultColWidth="2.6640625" defaultRowHeight="14.4" x14ac:dyDescent="0.3"/>
  <cols>
    <col min="1" max="16384" width="2.6640625" style="1"/>
  </cols>
  <sheetData>
    <row r="1" spans="1:32" ht="18" x14ac:dyDescent="0.3">
      <c r="A1" s="1131" t="s">
        <v>893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ht="95.25" customHeight="1" x14ac:dyDescent="0.3">
      <c r="B6" s="953" t="s">
        <v>353</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row>
    <row r="8" spans="1:32" x14ac:dyDescent="0.3">
      <c r="B8" s="51" t="s">
        <v>4</v>
      </c>
      <c r="C8" s="51"/>
      <c r="D8" s="51"/>
      <c r="E8" s="51"/>
      <c r="F8" s="51"/>
      <c r="G8" s="51"/>
      <c r="H8" s="51"/>
      <c r="I8" s="51"/>
    </row>
    <row r="9" spans="1:32" ht="217.5" customHeight="1" x14ac:dyDescent="0.3">
      <c r="B9" s="953" t="s">
        <v>2828</v>
      </c>
      <c r="C9" s="1145"/>
      <c r="D9" s="1145"/>
      <c r="E9" s="1145"/>
      <c r="F9" s="1145"/>
      <c r="G9" s="1145"/>
      <c r="H9" s="1145"/>
      <c r="I9" s="1145"/>
      <c r="J9" s="1145"/>
      <c r="K9" s="1145"/>
      <c r="L9" s="1145"/>
      <c r="M9" s="1145"/>
      <c r="N9" s="1145"/>
      <c r="O9" s="1145"/>
      <c r="P9" s="1145"/>
      <c r="Q9" s="1145"/>
      <c r="R9" s="1145"/>
      <c r="S9" s="1145"/>
      <c r="T9" s="1145"/>
      <c r="U9" s="1145"/>
      <c r="V9" s="1145"/>
      <c r="W9" s="1145"/>
      <c r="X9" s="1145"/>
      <c r="Y9" s="1145"/>
      <c r="Z9" s="1145"/>
      <c r="AA9" s="1145"/>
      <c r="AB9" s="1145"/>
      <c r="AC9" s="1145"/>
      <c r="AD9" s="1145"/>
      <c r="AE9" s="1145"/>
      <c r="AF9" s="1145"/>
    </row>
    <row r="11" spans="1:32" x14ac:dyDescent="0.3">
      <c r="B11" s="51" t="s">
        <v>5</v>
      </c>
      <c r="C11" s="51"/>
      <c r="D11" s="51"/>
      <c r="E11" s="51"/>
      <c r="F11" s="51"/>
      <c r="G11" s="51"/>
      <c r="H11" s="51"/>
      <c r="I11" s="51"/>
    </row>
    <row r="12" spans="1:32" s="4" customFormat="1" ht="14.4" customHeight="1" x14ac:dyDescent="0.3"/>
    <row r="14" spans="1:32" x14ac:dyDescent="0.3">
      <c r="B14" s="51" t="s">
        <v>6</v>
      </c>
      <c r="C14" s="51"/>
      <c r="D14" s="51"/>
      <c r="E14" s="51"/>
      <c r="F14" s="51"/>
      <c r="G14" s="51"/>
      <c r="H14" s="51"/>
      <c r="I14" s="51"/>
    </row>
    <row r="15" spans="1:32" ht="14.4" customHeight="1" x14ac:dyDescent="0.3">
      <c r="B15" s="872" t="s">
        <v>354</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22" spans="1:32" x14ac:dyDescent="0.3">
      <c r="B22" s="51" t="s">
        <v>13</v>
      </c>
      <c r="C22" s="51"/>
      <c r="D22" s="51"/>
      <c r="E22" s="51"/>
      <c r="F22" s="51"/>
      <c r="G22" s="51"/>
      <c r="H22" s="51"/>
      <c r="I22" s="51"/>
    </row>
    <row r="23" spans="1:32" s="4" customFormat="1" ht="14.4" customHeight="1" x14ac:dyDescent="0.3">
      <c r="B23" s="872" t="s">
        <v>355</v>
      </c>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row>
    <row r="24" spans="1:32" s="4" customFormat="1" ht="14.4" customHeight="1" x14ac:dyDescent="0.3"/>
    <row r="25" spans="1:32" s="4" customFormat="1" ht="14.4" customHeight="1" x14ac:dyDescent="0.3"/>
    <row r="26" spans="1:32" s="4" customFormat="1" ht="14.4" customHeight="1" x14ac:dyDescent="0.3"/>
    <row r="27" spans="1:32" s="4" customFormat="1" ht="14.4" customHeight="1" x14ac:dyDescent="0.3"/>
    <row r="28" spans="1:32" s="4" customFormat="1" ht="14.4" customHeight="1" x14ac:dyDescent="0.3"/>
    <row r="30" spans="1:32" x14ac:dyDescent="0.3">
      <c r="A30" s="1141" t="s">
        <v>7</v>
      </c>
      <c r="B30" s="1141"/>
      <c r="C30" s="1141"/>
      <c r="D30" s="1141"/>
      <c r="E30" s="1141"/>
      <c r="F30" s="1141"/>
      <c r="G30" s="1141"/>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row>
    <row r="32" spans="1:32" ht="28.95" customHeight="1" x14ac:dyDescent="0.3">
      <c r="B32" s="2555" t="s">
        <v>46</v>
      </c>
      <c r="C32" s="2555"/>
      <c r="D32" s="2555"/>
      <c r="E32" s="2555"/>
      <c r="F32" s="2555"/>
      <c r="G32" s="2555"/>
      <c r="H32" s="2555"/>
      <c r="I32" s="2555"/>
      <c r="J32" s="2555"/>
      <c r="K32" s="2555"/>
      <c r="L32" s="2555"/>
      <c r="M32" s="2555"/>
      <c r="N32" s="2555" t="s">
        <v>357</v>
      </c>
      <c r="O32" s="2555"/>
      <c r="P32" s="2555"/>
      <c r="Q32" s="2555"/>
      <c r="R32" s="2555"/>
      <c r="S32" s="2555"/>
      <c r="T32" s="2555"/>
      <c r="U32" s="2555"/>
      <c r="V32" s="2555" t="s">
        <v>358</v>
      </c>
      <c r="W32" s="2555"/>
      <c r="X32" s="2555"/>
      <c r="Y32" s="2555"/>
      <c r="Z32" s="2555"/>
      <c r="AA32" s="2555"/>
      <c r="AB32" s="2555"/>
      <c r="AC32" s="2555"/>
      <c r="AD32" s="2555"/>
      <c r="AE32" s="2555"/>
    </row>
    <row r="33" spans="1:32" x14ac:dyDescent="0.3">
      <c r="B33" s="949" t="s">
        <v>356</v>
      </c>
      <c r="C33" s="949"/>
      <c r="D33" s="949"/>
      <c r="E33" s="949"/>
      <c r="F33" s="949"/>
      <c r="G33" s="949"/>
      <c r="H33" s="949"/>
      <c r="I33" s="949"/>
      <c r="J33" s="949"/>
      <c r="K33" s="949"/>
      <c r="L33" s="949"/>
      <c r="M33" s="949"/>
      <c r="N33" s="949">
        <v>0.24</v>
      </c>
      <c r="O33" s="949"/>
      <c r="P33" s="949"/>
      <c r="Q33" s="949"/>
      <c r="R33" s="949"/>
      <c r="S33" s="949"/>
      <c r="T33" s="949"/>
      <c r="U33" s="949"/>
      <c r="V33" s="949">
        <v>1080</v>
      </c>
      <c r="W33" s="949"/>
      <c r="X33" s="949"/>
      <c r="Y33" s="949"/>
      <c r="Z33" s="949"/>
      <c r="AA33" s="949"/>
      <c r="AB33" s="949"/>
      <c r="AC33" s="949"/>
      <c r="AD33" s="949"/>
      <c r="AE33" s="949"/>
    </row>
    <row r="35" spans="1:32" x14ac:dyDescent="0.3">
      <c r="B35" s="2556" t="s">
        <v>360</v>
      </c>
      <c r="C35" s="2556"/>
      <c r="D35" s="2556"/>
      <c r="E35" s="2556"/>
      <c r="F35" s="2556"/>
      <c r="G35" s="2556"/>
      <c r="H35" s="2556"/>
      <c r="I35" s="2556"/>
      <c r="J35" s="2556"/>
      <c r="K35" s="2556"/>
      <c r="L35" s="2556"/>
      <c r="M35" s="2556"/>
      <c r="N35" s="2556" t="s">
        <v>359</v>
      </c>
      <c r="O35" s="2556"/>
      <c r="P35" s="2556"/>
      <c r="Q35" s="2556"/>
      <c r="R35" s="2556"/>
      <c r="S35" s="2556"/>
      <c r="T35" s="2556"/>
      <c r="U35" s="2556"/>
      <c r="V35" s="2556"/>
      <c r="W35" s="2556"/>
      <c r="X35" s="2556"/>
      <c r="Y35" s="2556"/>
    </row>
    <row r="36" spans="1:32" x14ac:dyDescent="0.3">
      <c r="B36" s="949" t="s">
        <v>361</v>
      </c>
      <c r="C36" s="949"/>
      <c r="D36" s="949"/>
      <c r="E36" s="949"/>
      <c r="F36" s="949"/>
      <c r="G36" s="949"/>
      <c r="H36" s="949"/>
      <c r="I36" s="949"/>
      <c r="J36" s="949"/>
      <c r="K36" s="949"/>
      <c r="L36" s="949"/>
      <c r="M36" s="949"/>
      <c r="N36" s="949">
        <v>1</v>
      </c>
      <c r="O36" s="949"/>
      <c r="P36" s="949"/>
      <c r="Q36" s="949"/>
      <c r="R36" s="949"/>
      <c r="S36" s="949"/>
      <c r="T36" s="949"/>
      <c r="U36" s="949"/>
      <c r="V36" s="949"/>
      <c r="W36" s="949"/>
      <c r="X36" s="949"/>
      <c r="Y36" s="949"/>
    </row>
    <row r="37" spans="1:32" x14ac:dyDescent="0.3">
      <c r="B37" s="949" t="s">
        <v>362</v>
      </c>
      <c r="C37" s="949"/>
      <c r="D37" s="949"/>
      <c r="E37" s="949"/>
      <c r="F37" s="949"/>
      <c r="G37" s="949"/>
      <c r="H37" s="949"/>
      <c r="I37" s="949"/>
      <c r="J37" s="949"/>
      <c r="K37" s="949"/>
      <c r="L37" s="949"/>
      <c r="M37" s="949"/>
      <c r="N37" s="949">
        <v>1</v>
      </c>
      <c r="O37" s="949"/>
      <c r="P37" s="949"/>
      <c r="Q37" s="949"/>
      <c r="R37" s="949"/>
      <c r="S37" s="949"/>
      <c r="T37" s="949"/>
      <c r="U37" s="949"/>
      <c r="V37" s="949"/>
      <c r="W37" s="949"/>
      <c r="X37" s="949"/>
      <c r="Y37" s="949"/>
    </row>
    <row r="38" spans="1:32" ht="12" customHeight="1" x14ac:dyDescent="0.3">
      <c r="P38" s="1449"/>
      <c r="Q38" s="1449"/>
      <c r="R38" s="1449"/>
      <c r="S38" s="1449"/>
      <c r="T38" s="1449"/>
      <c r="U38" s="1449"/>
      <c r="V38" s="1449"/>
      <c r="W38" s="1449"/>
      <c r="X38" s="1449"/>
      <c r="Y38" s="1449"/>
      <c r="Z38" s="1449"/>
      <c r="AA38" s="1449"/>
    </row>
    <row r="39" spans="1:32" x14ac:dyDescent="0.3">
      <c r="A39" s="1141" t="s">
        <v>14</v>
      </c>
      <c r="B39" s="1141"/>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row>
    <row r="40" spans="1:32" x14ac:dyDescent="0.3">
      <c r="A40" s="2554" t="s">
        <v>157</v>
      </c>
      <c r="B40" s="2554"/>
      <c r="C40" s="2554"/>
      <c r="D40" s="2554"/>
      <c r="E40" s="2554"/>
      <c r="F40" s="2554"/>
      <c r="G40" s="2554"/>
      <c r="H40" s="2554"/>
      <c r="I40" s="2554"/>
      <c r="J40" s="2554"/>
      <c r="K40" s="2554"/>
      <c r="L40" s="2554"/>
      <c r="M40" s="2554"/>
      <c r="N40" s="2554"/>
      <c r="O40" s="2554"/>
      <c r="P40" s="2554"/>
      <c r="Q40" s="2554"/>
      <c r="R40" s="2554"/>
      <c r="S40" s="2554"/>
      <c r="T40" s="2554"/>
      <c r="U40" s="2554"/>
      <c r="V40" s="2554"/>
      <c r="W40" s="2554"/>
      <c r="X40" s="2554"/>
      <c r="Y40" s="2554"/>
      <c r="Z40" s="2554"/>
      <c r="AA40" s="2554"/>
      <c r="AB40" s="2554"/>
      <c r="AC40" s="2554"/>
      <c r="AD40" s="2554"/>
      <c r="AE40" s="2554"/>
      <c r="AF40" s="2554"/>
    </row>
  </sheetData>
  <sheetProtection algorithmName="SHA-512" hashValue="I5HXuzq1H3IXZeuggfBpzGeUnhxj4LBDrdHIsU2w08R/r58ygWJbTde12KE87W2/eNLZY9+wxWb8oPDWygUrlA==" saltValue="t44HcbdfiQKpOBc5u4iS6w==" spinCount="100000" sheet="1" objects="1" scenarios="1"/>
  <mergeCells count="22">
    <mergeCell ref="A1:AF1"/>
    <mergeCell ref="A30:AF30"/>
    <mergeCell ref="B23:AF23"/>
    <mergeCell ref="A3:AF3"/>
    <mergeCell ref="B6:AF6"/>
    <mergeCell ref="B9:AF9"/>
    <mergeCell ref="B15:AF15"/>
    <mergeCell ref="A39:AF39"/>
    <mergeCell ref="A40:AF40"/>
    <mergeCell ref="B32:M32"/>
    <mergeCell ref="N32:U32"/>
    <mergeCell ref="V32:AE32"/>
    <mergeCell ref="B33:M33"/>
    <mergeCell ref="N33:U33"/>
    <mergeCell ref="V33:AE33"/>
    <mergeCell ref="P38:AA38"/>
    <mergeCell ref="B35:M35"/>
    <mergeCell ref="N35:Y35"/>
    <mergeCell ref="B36:M36"/>
    <mergeCell ref="N36:Y36"/>
    <mergeCell ref="B37:M37"/>
    <mergeCell ref="N37:Y37"/>
  </mergeCells>
  <hyperlinks>
    <hyperlink ref="A2" location="TOC!A1" display="Return to TOC" xr:uid="{00000000-0004-0000-3E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CCFF"/>
    <pageSetUpPr autoPageBreaks="0"/>
  </sheetPr>
  <dimension ref="A1:U21"/>
  <sheetViews>
    <sheetView workbookViewId="0"/>
  </sheetViews>
  <sheetFormatPr defaultRowHeight="14.4" x14ac:dyDescent="0.3"/>
  <cols>
    <col min="1" max="1" width="13" bestFit="1" customWidth="1"/>
    <col min="14" max="14" width="26.44140625" bestFit="1" customWidth="1"/>
    <col min="15" max="15" width="21.6640625" bestFit="1" customWidth="1"/>
    <col min="17" max="17" width="12.33203125" customWidth="1"/>
  </cols>
  <sheetData>
    <row r="1" spans="1:21" x14ac:dyDescent="0.3">
      <c r="A1" s="228"/>
    </row>
    <row r="4" spans="1:21" x14ac:dyDescent="0.3">
      <c r="A4" t="s">
        <v>1082</v>
      </c>
      <c r="D4" t="s">
        <v>1045</v>
      </c>
      <c r="I4" t="s">
        <v>1346</v>
      </c>
      <c r="N4" t="s">
        <v>1346</v>
      </c>
      <c r="O4" t="s">
        <v>1346</v>
      </c>
      <c r="Q4" t="s">
        <v>1337</v>
      </c>
      <c r="U4" t="s">
        <v>2772</v>
      </c>
    </row>
    <row r="5" spans="1:21" ht="15" customHeight="1" x14ac:dyDescent="0.3">
      <c r="A5" t="s">
        <v>1563</v>
      </c>
      <c r="D5" t="s">
        <v>2198</v>
      </c>
      <c r="I5" t="s">
        <v>2218</v>
      </c>
      <c r="N5" s="26" t="s">
        <v>2224</v>
      </c>
      <c r="O5" s="26" t="s">
        <v>348</v>
      </c>
      <c r="Q5" t="s">
        <v>2572</v>
      </c>
      <c r="R5" t="s">
        <v>2571</v>
      </c>
      <c r="U5" s="94" t="s">
        <v>3546</v>
      </c>
    </row>
    <row r="6" spans="1:21" ht="15" customHeight="1" x14ac:dyDescent="0.3">
      <c r="A6" s="150">
        <v>40</v>
      </c>
      <c r="B6" s="150"/>
      <c r="C6" s="150"/>
      <c r="D6" t="s">
        <v>1578</v>
      </c>
      <c r="E6" s="150"/>
      <c r="I6" s="166" t="s">
        <v>1796</v>
      </c>
      <c r="N6" s="322" t="s">
        <v>2230</v>
      </c>
      <c r="O6" s="322" t="s">
        <v>2226</v>
      </c>
      <c r="Q6" t="s">
        <v>2575</v>
      </c>
      <c r="R6" t="s">
        <v>603</v>
      </c>
      <c r="U6" s="94" t="s">
        <v>3544</v>
      </c>
    </row>
    <row r="7" spans="1:21" x14ac:dyDescent="0.3">
      <c r="A7" s="150">
        <v>60</v>
      </c>
      <c r="B7" s="150"/>
      <c r="C7" s="150"/>
      <c r="D7" s="150" t="s">
        <v>2197</v>
      </c>
      <c r="E7" s="150"/>
      <c r="I7" s="317" t="s">
        <v>212</v>
      </c>
      <c r="N7" s="322" t="s">
        <v>2231</v>
      </c>
      <c r="O7" s="322" t="s">
        <v>2227</v>
      </c>
      <c r="Q7" t="s">
        <v>2576</v>
      </c>
      <c r="R7" t="s">
        <v>604</v>
      </c>
      <c r="U7" s="94" t="s">
        <v>3486</v>
      </c>
    </row>
    <row r="8" spans="1:21" x14ac:dyDescent="0.3">
      <c r="A8" s="150">
        <v>75</v>
      </c>
      <c r="B8" s="150"/>
      <c r="C8" s="150"/>
      <c r="D8" s="150"/>
      <c r="E8" s="150"/>
      <c r="I8" s="317" t="s">
        <v>213</v>
      </c>
      <c r="N8" s="322" t="s">
        <v>2232</v>
      </c>
      <c r="O8" s="322" t="s">
        <v>2228</v>
      </c>
      <c r="R8" t="s">
        <v>605</v>
      </c>
    </row>
    <row r="9" spans="1:21" x14ac:dyDescent="0.3">
      <c r="A9" s="150">
        <v>100</v>
      </c>
      <c r="B9" s="150"/>
      <c r="C9" s="150"/>
      <c r="D9" s="150"/>
      <c r="E9" s="150"/>
      <c r="I9" s="317" t="s">
        <v>214</v>
      </c>
      <c r="N9" s="322" t="s">
        <v>2236</v>
      </c>
      <c r="O9" s="322" t="s">
        <v>2229</v>
      </c>
      <c r="R9" t="s">
        <v>606</v>
      </c>
    </row>
    <row r="10" spans="1:21" x14ac:dyDescent="0.3">
      <c r="A10" s="150"/>
      <c r="I10" s="317" t="s">
        <v>215</v>
      </c>
      <c r="N10" s="322" t="s">
        <v>2237</v>
      </c>
      <c r="O10" s="322" t="s">
        <v>2225</v>
      </c>
      <c r="R10" t="s">
        <v>607</v>
      </c>
    </row>
    <row r="11" spans="1:21" x14ac:dyDescent="0.3">
      <c r="I11" s="317" t="s">
        <v>47</v>
      </c>
      <c r="N11" s="322" t="s">
        <v>2233</v>
      </c>
      <c r="O11" s="322">
        <v>60</v>
      </c>
      <c r="R11" t="s">
        <v>608</v>
      </c>
    </row>
    <row r="12" spans="1:21" x14ac:dyDescent="0.3">
      <c r="I12" s="317" t="s">
        <v>217</v>
      </c>
      <c r="N12" s="31" t="s">
        <v>2234</v>
      </c>
      <c r="O12" s="321"/>
    </row>
    <row r="13" spans="1:21" x14ac:dyDescent="0.3">
      <c r="N13" s="31" t="s">
        <v>2235</v>
      </c>
      <c r="O13" s="321"/>
    </row>
    <row r="14" spans="1:21" x14ac:dyDescent="0.3">
      <c r="N14" s="322" t="s">
        <v>349</v>
      </c>
      <c r="O14" s="321"/>
    </row>
    <row r="16" spans="1:21" x14ac:dyDescent="0.3">
      <c r="A16" t="s">
        <v>2906</v>
      </c>
    </row>
    <row r="17" spans="1:1" x14ac:dyDescent="0.3">
      <c r="A17" t="s">
        <v>1495</v>
      </c>
    </row>
    <row r="18" spans="1:1" x14ac:dyDescent="0.3">
      <c r="A18" t="s">
        <v>1486</v>
      </c>
    </row>
    <row r="19" spans="1:1" x14ac:dyDescent="0.3">
      <c r="A19" t="s">
        <v>2990</v>
      </c>
    </row>
    <row r="20" spans="1:1" x14ac:dyDescent="0.3">
      <c r="A20" t="s">
        <v>658</v>
      </c>
    </row>
    <row r="21" spans="1:1" x14ac:dyDescent="0.3">
      <c r="A21" t="s">
        <v>2789</v>
      </c>
    </row>
  </sheetData>
  <sheetProtection algorithmName="SHA-512" hashValue="M2j3XigeR767DOc8c2DsRwSwiadbDdcLI7NLXzL/QhJc+SMLpoM5N6LjQ0yClaJzeMU8j9Mdbvf3cmkJMhjbiA==" saltValue="1/atJoB/1ePsMp22awpV2A==" spinCount="100000" sheet="1" objects="1" scenarios="1"/>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5">
    <tabColor theme="4" tint="0.39997558519241921"/>
    <pageSetUpPr autoPageBreaks="0"/>
  </sheetPr>
  <dimension ref="A1:AF143"/>
  <sheetViews>
    <sheetView zoomScaleNormal="100" workbookViewId="0">
      <selection activeCell="A2" sqref="A2"/>
    </sheetView>
  </sheetViews>
  <sheetFormatPr defaultColWidth="2.6640625" defaultRowHeight="14.4" x14ac:dyDescent="0.3"/>
  <sheetData>
    <row r="1" spans="1:32" s="1" customFormat="1" ht="18" x14ac:dyDescent="0.3">
      <c r="A1" s="1131" t="s">
        <v>895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ht="14.4" customHeight="1" x14ac:dyDescent="0.3">
      <c r="A5" s="121"/>
      <c r="B5" s="872" t="s">
        <v>3304</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ht="15"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x14ac:dyDescent="0.3">
      <c r="A9" s="1"/>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81" customHeight="1" x14ac:dyDescent="0.3">
      <c r="A10" s="1"/>
      <c r="B10" s="863" t="s">
        <v>2203</v>
      </c>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row>
    <row r="11" spans="1:32" x14ac:dyDescent="0.3">
      <c r="A11" s="1"/>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97.5" customHeight="1" x14ac:dyDescent="0.3">
      <c r="A12" s="1"/>
      <c r="B12" s="863" t="s">
        <v>2999</v>
      </c>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row>
    <row r="13" spans="1:32" x14ac:dyDescent="0.3">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row>
    <row r="14" spans="1:32" x14ac:dyDescent="0.3">
      <c r="A14" s="1"/>
      <c r="B14" s="51" t="s">
        <v>4</v>
      </c>
      <c r="C14" s="51"/>
      <c r="D14" s="51"/>
      <c r="E14" s="51"/>
      <c r="F14" s="51"/>
      <c r="G14" s="51"/>
      <c r="H14" s="51"/>
      <c r="I14" s="51"/>
      <c r="J14" s="1"/>
      <c r="K14" s="1"/>
      <c r="L14" s="1"/>
      <c r="M14" s="1"/>
      <c r="N14" s="1"/>
      <c r="O14" s="1"/>
      <c r="P14" s="1"/>
      <c r="Q14" s="1"/>
      <c r="R14" s="1"/>
      <c r="S14" s="1"/>
      <c r="T14" s="1"/>
      <c r="U14" s="1"/>
      <c r="V14" s="1"/>
      <c r="W14" s="1"/>
      <c r="X14" s="1"/>
      <c r="Y14" s="1"/>
      <c r="Z14" s="1"/>
      <c r="AA14" s="1"/>
      <c r="AB14" s="1"/>
      <c r="AC14" s="1"/>
      <c r="AD14" s="1"/>
      <c r="AE14" s="1"/>
      <c r="AF14" s="1"/>
    </row>
    <row r="15" spans="1:32" ht="54.75" customHeight="1" x14ac:dyDescent="0.3">
      <c r="A15" s="4"/>
      <c r="B15" s="953" t="s">
        <v>3000</v>
      </c>
      <c r="C15" s="953"/>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6" spans="1:32"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3">
      <c r="A17" s="1"/>
      <c r="B17" s="51" t="s">
        <v>5</v>
      </c>
      <c r="C17" s="51"/>
      <c r="D17" s="51"/>
      <c r="E17" s="51"/>
      <c r="F17" s="51"/>
      <c r="G17" s="51"/>
      <c r="H17" s="51"/>
      <c r="I17" s="5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 t="s">
        <v>3305</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row>
    <row r="20" spans="1:32" x14ac:dyDescent="0.3">
      <c r="A20" s="1"/>
      <c r="B20" s="51" t="s">
        <v>6</v>
      </c>
      <c r="C20" s="51"/>
      <c r="D20" s="51"/>
      <c r="E20" s="51"/>
      <c r="F20" s="51"/>
      <c r="G20" s="51"/>
      <c r="H20" s="51"/>
      <c r="I20" s="51"/>
      <c r="J20" s="1"/>
      <c r="K20" s="1"/>
      <c r="L20" s="1"/>
      <c r="M20" s="1"/>
      <c r="N20" s="1"/>
      <c r="O20" s="1"/>
      <c r="P20" s="1"/>
      <c r="Q20" s="1"/>
      <c r="R20" s="1"/>
      <c r="S20" s="1"/>
      <c r="T20" s="1"/>
      <c r="U20" s="1"/>
      <c r="V20" s="1"/>
      <c r="W20" s="1"/>
      <c r="X20" s="1"/>
      <c r="Y20" s="1"/>
      <c r="Z20" s="1"/>
      <c r="AA20" s="1"/>
      <c r="AB20" s="1"/>
      <c r="AC20" s="1"/>
      <c r="AD20" s="1"/>
      <c r="AE20" s="1"/>
      <c r="AF20" s="1"/>
    </row>
    <row r="21" spans="1:32" ht="84" customHeight="1" x14ac:dyDescent="0.3">
      <c r="A21" s="1"/>
      <c r="B21" s="953" t="s">
        <v>3021</v>
      </c>
      <c r="C21" s="953"/>
      <c r="D21" s="953"/>
      <c r="E21" s="953"/>
      <c r="F21" s="953"/>
      <c r="G21" s="953"/>
      <c r="H21" s="953"/>
      <c r="I21" s="953"/>
      <c r="J21" s="953"/>
      <c r="K21" s="953"/>
      <c r="L21" s="953"/>
      <c r="M21" s="953"/>
      <c r="N21" s="953"/>
      <c r="O21" s="953"/>
      <c r="P21" s="953"/>
      <c r="Q21" s="953"/>
      <c r="R21" s="953"/>
      <c r="S21" s="953"/>
      <c r="T21" s="953"/>
      <c r="U21" s="953"/>
      <c r="V21" s="953"/>
      <c r="W21" s="953"/>
      <c r="X21" s="953"/>
      <c r="Y21" s="953"/>
      <c r="Z21" s="953"/>
      <c r="AA21" s="953"/>
      <c r="AB21" s="953"/>
      <c r="AC21" s="953"/>
      <c r="AD21" s="953"/>
      <c r="AE21" s="953"/>
      <c r="AF21" s="953"/>
    </row>
    <row r="22" spans="1:32"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3">
      <c r="A23" s="1"/>
      <c r="B23" s="51" t="s">
        <v>13</v>
      </c>
      <c r="C23" s="51"/>
      <c r="D23" s="51"/>
      <c r="E23" s="51"/>
      <c r="F23" s="51"/>
      <c r="G23" s="51"/>
      <c r="H23" s="51"/>
      <c r="I23" s="51"/>
      <c r="J23" s="1"/>
      <c r="K23" s="1"/>
      <c r="L23" s="1"/>
      <c r="M23" s="1"/>
      <c r="N23" s="1"/>
      <c r="O23" s="1"/>
      <c r="P23" s="1"/>
      <c r="Q23" s="1"/>
      <c r="R23" s="1"/>
      <c r="S23" s="1"/>
      <c r="T23" s="1"/>
      <c r="U23" s="1"/>
      <c r="V23" s="1"/>
      <c r="W23" s="1"/>
      <c r="X23" s="1"/>
      <c r="Y23" s="1"/>
      <c r="Z23" s="1"/>
      <c r="AA23" s="1"/>
      <c r="AB23" s="1"/>
      <c r="AC23" s="1"/>
      <c r="AD23" s="1"/>
      <c r="AE23" s="1"/>
      <c r="AF23" s="1"/>
    </row>
    <row r="24" spans="1:32" ht="97.5" customHeight="1" x14ac:dyDescent="0.3">
      <c r="A24" s="1"/>
      <c r="B24" s="953" t="s">
        <v>2968</v>
      </c>
      <c r="C24" s="953"/>
      <c r="D24" s="953"/>
      <c r="E24" s="953"/>
      <c r="F24" s="953"/>
      <c r="G24" s="953"/>
      <c r="H24" s="953"/>
      <c r="I24" s="953"/>
      <c r="J24" s="953"/>
      <c r="K24" s="953"/>
      <c r="L24" s="953"/>
      <c r="M24" s="953"/>
      <c r="N24" s="953"/>
      <c r="O24" s="953"/>
      <c r="P24" s="953"/>
      <c r="Q24" s="953"/>
      <c r="R24" s="953"/>
      <c r="S24" s="953"/>
      <c r="T24" s="953"/>
      <c r="U24" s="953"/>
      <c r="V24" s="953"/>
      <c r="W24" s="953"/>
      <c r="X24" s="953"/>
      <c r="Y24" s="953"/>
      <c r="Z24" s="953"/>
      <c r="AA24" s="953"/>
      <c r="AB24" s="953"/>
      <c r="AC24" s="953"/>
      <c r="AD24" s="953"/>
      <c r="AE24" s="953"/>
      <c r="AF24" s="953"/>
    </row>
    <row r="25" spans="1:32"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7" spans="1:32" x14ac:dyDescent="0.3">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x14ac:dyDescent="0.3">
      <c r="A28" s="3"/>
      <c r="B28" s="231" t="s">
        <v>1498</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x14ac:dyDescent="0.3">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x14ac:dyDescent="0.3">
      <c r="A30" s="3"/>
      <c r="B30" s="3"/>
      <c r="C30" s="3"/>
      <c r="D30" s="3"/>
      <c r="E30" s="3"/>
      <c r="F30" s="3"/>
      <c r="G30" s="3"/>
      <c r="H30" s="3"/>
      <c r="I30" s="3"/>
      <c r="J30" s="3"/>
      <c r="K30" s="3"/>
      <c r="L30" s="3"/>
      <c r="M30" s="3"/>
      <c r="N30" s="3"/>
      <c r="O30" s="3"/>
      <c r="P30" s="3"/>
      <c r="Q30" s="3"/>
      <c r="R30" s="3"/>
      <c r="S30" s="3"/>
      <c r="T30" s="3"/>
      <c r="U30" s="3"/>
      <c r="V30" s="3"/>
      <c r="W30" s="3"/>
      <c r="X30" s="3"/>
      <c r="Y30" s="3"/>
      <c r="Z30" s="3"/>
      <c r="AB30" s="3"/>
      <c r="AC30" s="3"/>
      <c r="AD30" s="3"/>
      <c r="AE30" s="3"/>
      <c r="AF30" s="162" t="s">
        <v>1463</v>
      </c>
    </row>
    <row r="31" spans="1:32" x14ac:dyDescent="0.3">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x14ac:dyDescent="0.3">
      <c r="A32" s="3"/>
      <c r="B32" s="231" t="s">
        <v>2204</v>
      </c>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x14ac:dyDescent="0.3">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3">
      <c r="A34" s="3"/>
      <c r="B34" s="3"/>
      <c r="C34" s="3"/>
      <c r="D34" s="3"/>
      <c r="E34" s="3"/>
      <c r="F34" s="3"/>
      <c r="G34" s="3"/>
      <c r="H34" s="3"/>
      <c r="I34" s="3"/>
      <c r="J34" s="3"/>
      <c r="K34" s="3"/>
      <c r="L34" s="3"/>
      <c r="M34" s="3"/>
      <c r="N34" s="3"/>
      <c r="O34" s="3"/>
      <c r="P34" s="3"/>
      <c r="Q34" s="3"/>
      <c r="R34" s="3"/>
      <c r="S34" s="3"/>
      <c r="T34" s="3"/>
      <c r="U34" s="3"/>
      <c r="V34" s="3"/>
      <c r="W34" s="3"/>
      <c r="X34" s="3"/>
      <c r="Y34" s="3"/>
      <c r="Z34" s="3"/>
      <c r="AB34" s="3"/>
      <c r="AC34" s="3"/>
      <c r="AD34" s="3"/>
      <c r="AE34" s="3"/>
      <c r="AF34" s="162" t="s">
        <v>1464</v>
      </c>
    </row>
    <row r="35" spans="1:32" x14ac:dyDescent="0.3">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3">
      <c r="A36" s="3"/>
      <c r="B36" s="231" t="s">
        <v>2969</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3">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3">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162" t="s">
        <v>1465</v>
      </c>
    </row>
    <row r="39" spans="1:32" x14ac:dyDescent="0.3">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3">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3">
      <c r="A41" s="3"/>
      <c r="B41" s="231" t="s">
        <v>2970</v>
      </c>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3">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3">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162" t="s">
        <v>1517</v>
      </c>
    </row>
    <row r="44" spans="1:32" x14ac:dyDescent="0.3">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3">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3"/>
      <c r="B46" s="231" t="s">
        <v>2027</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3">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3">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162" t="s">
        <v>1556</v>
      </c>
    </row>
    <row r="49" spans="1:32" x14ac:dyDescent="0.3">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162"/>
    </row>
    <row r="50" spans="1:32" x14ac:dyDescent="0.3">
      <c r="A50" s="3"/>
      <c r="B50" s="231" t="s">
        <v>2137</v>
      </c>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162" t="s">
        <v>1558</v>
      </c>
    </row>
    <row r="53" spans="1:32"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3"/>
      <c r="B55" s="231" t="s">
        <v>1811</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162" t="s">
        <v>1607</v>
      </c>
    </row>
    <row r="58" spans="1:32" x14ac:dyDescent="0.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3">
      <c r="A59" s="18"/>
      <c r="I59" s="20"/>
    </row>
    <row r="60" spans="1:32" x14ac:dyDescent="0.3">
      <c r="A60" s="1141" t="s">
        <v>8</v>
      </c>
      <c r="B60" s="1141"/>
      <c r="C60" s="1141"/>
      <c r="D60" s="1141"/>
      <c r="E60" s="1141"/>
      <c r="F60" s="1141"/>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row>
    <row r="61" spans="1:32" x14ac:dyDescent="0.3">
      <c r="A61" s="1274" t="s">
        <v>9</v>
      </c>
      <c r="B61" s="1274"/>
      <c r="C61" s="1274"/>
      <c r="D61" s="1274"/>
      <c r="E61" s="1271" t="s">
        <v>3</v>
      </c>
      <c r="F61" s="1271"/>
      <c r="G61" s="1271"/>
      <c r="H61" s="1271"/>
      <c r="I61" s="1271"/>
      <c r="J61" s="1271"/>
      <c r="K61" s="1271"/>
      <c r="L61" s="1271"/>
      <c r="M61" s="1271"/>
      <c r="N61" s="1271"/>
      <c r="O61" s="1271"/>
      <c r="P61" s="2561" t="s">
        <v>10</v>
      </c>
      <c r="Q61" s="2561"/>
      <c r="R61" s="2561"/>
      <c r="S61" s="2561"/>
      <c r="T61" s="2562" t="s">
        <v>11</v>
      </c>
      <c r="U61" s="1143"/>
      <c r="V61" s="1143"/>
      <c r="W61" s="1143"/>
      <c r="X61" s="2563" t="s">
        <v>1466</v>
      </c>
      <c r="Y61" s="2563"/>
      <c r="Z61" s="2563"/>
      <c r="AA61" s="2563"/>
      <c r="AB61" s="2563"/>
      <c r="AC61" s="2563"/>
      <c r="AD61" s="2563"/>
      <c r="AE61" s="2563"/>
      <c r="AF61" s="2563"/>
    </row>
    <row r="62" spans="1:32" ht="47.25" customHeight="1" x14ac:dyDescent="0.3">
      <c r="A62" s="855" t="s">
        <v>1461</v>
      </c>
      <c r="B62" s="855"/>
      <c r="C62" s="855"/>
      <c r="D62" s="855"/>
      <c r="E62" s="856" t="s">
        <v>3009</v>
      </c>
      <c r="F62" s="856"/>
      <c r="G62" s="856"/>
      <c r="H62" s="856"/>
      <c r="I62" s="856"/>
      <c r="J62" s="856"/>
      <c r="K62" s="856"/>
      <c r="L62" s="856"/>
      <c r="M62" s="856"/>
      <c r="N62" s="856"/>
      <c r="O62" s="856"/>
      <c r="P62" s="2557" t="s">
        <v>2207</v>
      </c>
      <c r="Q62" s="2557"/>
      <c r="R62" s="2557"/>
      <c r="S62" s="2557"/>
      <c r="T62" s="2146" t="s">
        <v>20</v>
      </c>
      <c r="U62" s="1275"/>
      <c r="V62" s="1275"/>
      <c r="W62" s="1275"/>
      <c r="X62" s="1385" t="s">
        <v>3029</v>
      </c>
      <c r="Y62" s="1385"/>
      <c r="Z62" s="1385"/>
      <c r="AA62" s="1385"/>
      <c r="AB62" s="1385"/>
      <c r="AC62" s="1385"/>
      <c r="AD62" s="1385"/>
      <c r="AE62" s="1385"/>
      <c r="AF62" s="1385"/>
    </row>
    <row r="63" spans="1:32" ht="39" customHeight="1" x14ac:dyDescent="0.3">
      <c r="A63" s="855" t="s">
        <v>2205</v>
      </c>
      <c r="B63" s="855"/>
      <c r="C63" s="855"/>
      <c r="D63" s="855"/>
      <c r="E63" s="856" t="s">
        <v>2217</v>
      </c>
      <c r="F63" s="856"/>
      <c r="G63" s="856"/>
      <c r="H63" s="856"/>
      <c r="I63" s="856"/>
      <c r="J63" s="856"/>
      <c r="K63" s="856"/>
      <c r="L63" s="856"/>
      <c r="M63" s="856"/>
      <c r="N63" s="856"/>
      <c r="O63" s="856"/>
      <c r="P63" s="2557" t="s">
        <v>156</v>
      </c>
      <c r="Q63" s="2557"/>
      <c r="R63" s="2557"/>
      <c r="S63" s="2557"/>
      <c r="T63" s="2146" t="s">
        <v>2206</v>
      </c>
      <c r="U63" s="1275"/>
      <c r="V63" s="1275"/>
      <c r="W63" s="1275"/>
      <c r="X63" s="1538" t="s">
        <v>20</v>
      </c>
      <c r="Y63" s="1343"/>
      <c r="Z63" s="1343"/>
      <c r="AA63" s="1343"/>
      <c r="AB63" s="1343"/>
      <c r="AC63" s="1343"/>
      <c r="AD63" s="1343"/>
      <c r="AE63" s="1343"/>
      <c r="AF63" s="1343"/>
    </row>
    <row r="64" spans="1:32" ht="48.75" customHeight="1" x14ac:dyDescent="0.3">
      <c r="A64" s="855" t="s">
        <v>2208</v>
      </c>
      <c r="B64" s="855"/>
      <c r="C64" s="855"/>
      <c r="D64" s="855"/>
      <c r="E64" s="856" t="s">
        <v>2209</v>
      </c>
      <c r="F64" s="856"/>
      <c r="G64" s="856"/>
      <c r="H64" s="856"/>
      <c r="I64" s="856"/>
      <c r="J64" s="856"/>
      <c r="K64" s="856"/>
      <c r="L64" s="856"/>
      <c r="M64" s="856"/>
      <c r="N64" s="856"/>
      <c r="O64" s="856"/>
      <c r="P64" s="1586" t="s">
        <v>516</v>
      </c>
      <c r="Q64" s="1586"/>
      <c r="R64" s="1586"/>
      <c r="S64" s="1586"/>
      <c r="T64" s="1275" t="s">
        <v>2210</v>
      </c>
      <c r="U64" s="1275"/>
      <c r="V64" s="1275"/>
      <c r="W64" s="1275"/>
      <c r="X64" s="1186" t="s">
        <v>2684</v>
      </c>
      <c r="Y64" s="1186"/>
      <c r="Z64" s="1186"/>
      <c r="AA64" s="1186"/>
      <c r="AB64" s="1186"/>
      <c r="AC64" s="1186"/>
      <c r="AD64" s="1186"/>
      <c r="AE64" s="1186"/>
      <c r="AF64" s="1186"/>
    </row>
    <row r="65" spans="1:32" ht="42" customHeight="1" x14ac:dyDescent="0.3">
      <c r="A65" s="855" t="s">
        <v>2083</v>
      </c>
      <c r="B65" s="855"/>
      <c r="C65" s="855"/>
      <c r="D65" s="855"/>
      <c r="E65" s="856" t="s">
        <v>2213</v>
      </c>
      <c r="F65" s="856"/>
      <c r="G65" s="856"/>
      <c r="H65" s="856"/>
      <c r="I65" s="856"/>
      <c r="J65" s="856"/>
      <c r="K65" s="856"/>
      <c r="L65" s="856"/>
      <c r="M65" s="856"/>
      <c r="N65" s="856"/>
      <c r="O65" s="856"/>
      <c r="P65" s="2557" t="s">
        <v>156</v>
      </c>
      <c r="Q65" s="2557"/>
      <c r="R65" s="2557"/>
      <c r="S65" s="2557"/>
      <c r="T65" s="1275" t="s">
        <v>2214</v>
      </c>
      <c r="U65" s="1275"/>
      <c r="V65" s="1275"/>
      <c r="W65" s="1275"/>
      <c r="X65" s="1538" t="s">
        <v>20</v>
      </c>
      <c r="Y65" s="1343"/>
      <c r="Z65" s="1343"/>
      <c r="AA65" s="1343"/>
      <c r="AB65" s="1343"/>
      <c r="AC65" s="1343"/>
      <c r="AD65" s="1343"/>
      <c r="AE65" s="1343"/>
      <c r="AF65" s="1343"/>
    </row>
    <row r="66" spans="1:32" ht="35.25" customHeight="1" x14ac:dyDescent="0.3">
      <c r="A66" s="2559" t="s">
        <v>1472</v>
      </c>
      <c r="B66" s="2560"/>
      <c r="C66" s="2560"/>
      <c r="D66" s="2560"/>
      <c r="E66" s="856" t="s">
        <v>1473</v>
      </c>
      <c r="F66" s="856"/>
      <c r="G66" s="856"/>
      <c r="H66" s="856"/>
      <c r="I66" s="856"/>
      <c r="J66" s="856"/>
      <c r="K66" s="856"/>
      <c r="L66" s="856"/>
      <c r="M66" s="856"/>
      <c r="N66" s="856"/>
      <c r="O66" s="856"/>
      <c r="P66" s="1586">
        <v>8.3000000000000007</v>
      </c>
      <c r="Q66" s="1586"/>
      <c r="R66" s="1586"/>
      <c r="S66" s="1586"/>
      <c r="T66" s="1275" t="s">
        <v>1474</v>
      </c>
      <c r="U66" s="1275"/>
      <c r="V66" s="1275"/>
      <c r="W66" s="1275"/>
      <c r="X66" s="1538" t="s">
        <v>20</v>
      </c>
      <c r="Y66" s="1343"/>
      <c r="Z66" s="1343"/>
      <c r="AA66" s="1343"/>
      <c r="AB66" s="1343"/>
      <c r="AC66" s="1343"/>
      <c r="AD66" s="1343"/>
      <c r="AE66" s="1343"/>
      <c r="AF66" s="1343"/>
    </row>
    <row r="67" spans="1:32" ht="35.25" customHeight="1" x14ac:dyDescent="0.3">
      <c r="A67" s="2560" t="s">
        <v>1476</v>
      </c>
      <c r="B67" s="2560"/>
      <c r="C67" s="2560"/>
      <c r="D67" s="2560"/>
      <c r="E67" s="856" t="s">
        <v>1477</v>
      </c>
      <c r="F67" s="856"/>
      <c r="G67" s="856"/>
      <c r="H67" s="856"/>
      <c r="I67" s="856"/>
      <c r="J67" s="856"/>
      <c r="K67" s="856"/>
      <c r="L67" s="856"/>
      <c r="M67" s="856"/>
      <c r="N67" s="856"/>
      <c r="O67" s="856"/>
      <c r="P67" s="1586">
        <v>1</v>
      </c>
      <c r="Q67" s="1586"/>
      <c r="R67" s="1586"/>
      <c r="S67" s="1586"/>
      <c r="T67" s="1275" t="s">
        <v>1475</v>
      </c>
      <c r="U67" s="1275"/>
      <c r="V67" s="1275"/>
      <c r="W67" s="1275"/>
      <c r="X67" s="1538" t="s">
        <v>20</v>
      </c>
      <c r="Y67" s="1343"/>
      <c r="Z67" s="1343"/>
      <c r="AA67" s="1343"/>
      <c r="AB67" s="1343"/>
      <c r="AC67" s="1343"/>
      <c r="AD67" s="1343"/>
      <c r="AE67" s="1343"/>
      <c r="AF67" s="1343"/>
    </row>
    <row r="68" spans="1:32" ht="36.75" customHeight="1" x14ac:dyDescent="0.3">
      <c r="A68" s="855" t="s">
        <v>1478</v>
      </c>
      <c r="B68" s="855"/>
      <c r="C68" s="855"/>
      <c r="D68" s="855"/>
      <c r="E68" s="856" t="s">
        <v>1480</v>
      </c>
      <c r="F68" s="856"/>
      <c r="G68" s="856"/>
      <c r="H68" s="856"/>
      <c r="I68" s="856"/>
      <c r="J68" s="856"/>
      <c r="K68" s="856"/>
      <c r="L68" s="856"/>
      <c r="M68" s="856"/>
      <c r="N68" s="856"/>
      <c r="O68" s="856"/>
      <c r="P68" s="1586" t="s">
        <v>156</v>
      </c>
      <c r="Q68" s="1586"/>
      <c r="R68" s="1586"/>
      <c r="S68" s="1586"/>
      <c r="T68" s="1275" t="s">
        <v>158</v>
      </c>
      <c r="U68" s="1275"/>
      <c r="V68" s="1275"/>
      <c r="W68" s="1275"/>
      <c r="X68" s="1538" t="s">
        <v>20</v>
      </c>
      <c r="Y68" s="1343"/>
      <c r="Z68" s="1343"/>
      <c r="AA68" s="1343"/>
      <c r="AB68" s="1343"/>
      <c r="AC68" s="1343"/>
      <c r="AD68" s="1343"/>
      <c r="AE68" s="1343"/>
      <c r="AF68" s="1343"/>
    </row>
    <row r="69" spans="1:32" ht="35.25" customHeight="1" x14ac:dyDescent="0.3">
      <c r="A69" s="855" t="s">
        <v>1479</v>
      </c>
      <c r="B69" s="855"/>
      <c r="C69" s="855"/>
      <c r="D69" s="855"/>
      <c r="E69" s="856" t="s">
        <v>1481</v>
      </c>
      <c r="F69" s="856"/>
      <c r="G69" s="856"/>
      <c r="H69" s="856"/>
      <c r="I69" s="856"/>
      <c r="J69" s="856"/>
      <c r="K69" s="856"/>
      <c r="L69" s="856"/>
      <c r="M69" s="856"/>
      <c r="N69" s="856"/>
      <c r="O69" s="856"/>
      <c r="P69" s="1586" t="s">
        <v>156</v>
      </c>
      <c r="Q69" s="1586"/>
      <c r="R69" s="1586"/>
      <c r="S69" s="1586"/>
      <c r="T69" s="1275" t="s">
        <v>1482</v>
      </c>
      <c r="U69" s="1275"/>
      <c r="V69" s="1275"/>
      <c r="W69" s="1275"/>
      <c r="X69" s="1538" t="s">
        <v>20</v>
      </c>
      <c r="Y69" s="1343"/>
      <c r="Z69" s="1343"/>
      <c r="AA69" s="1343"/>
      <c r="AB69" s="1343"/>
      <c r="AC69" s="1343"/>
      <c r="AD69" s="1343"/>
      <c r="AE69" s="1343"/>
      <c r="AF69" s="1343"/>
    </row>
    <row r="70" spans="1:32" ht="32.25" customHeight="1" x14ac:dyDescent="0.3">
      <c r="A70" s="855" t="s">
        <v>2973</v>
      </c>
      <c r="B70" s="855"/>
      <c r="C70" s="855"/>
      <c r="D70" s="855"/>
      <c r="E70" s="856" t="s">
        <v>2974</v>
      </c>
      <c r="F70" s="856"/>
      <c r="G70" s="856"/>
      <c r="H70" s="856"/>
      <c r="I70" s="856"/>
      <c r="J70" s="856"/>
      <c r="K70" s="856"/>
      <c r="L70" s="856"/>
      <c r="M70" s="856"/>
      <c r="N70" s="856"/>
      <c r="O70" s="856"/>
      <c r="P70" s="1586" t="s">
        <v>156</v>
      </c>
      <c r="Q70" s="1586"/>
      <c r="R70" s="1586"/>
      <c r="S70" s="1586"/>
      <c r="T70" s="2564" t="s">
        <v>20</v>
      </c>
      <c r="U70" s="2564"/>
      <c r="V70" s="2564"/>
      <c r="W70" s="2564"/>
      <c r="X70" s="1385" t="s">
        <v>3001</v>
      </c>
      <c r="Y70" s="1385"/>
      <c r="Z70" s="1385"/>
      <c r="AA70" s="1385"/>
      <c r="AB70" s="1385"/>
      <c r="AC70" s="1385"/>
      <c r="AD70" s="1385"/>
      <c r="AE70" s="1385"/>
      <c r="AF70" s="1385"/>
    </row>
    <row r="71" spans="1:32" ht="78" customHeight="1" x14ac:dyDescent="0.3">
      <c r="A71" s="2208" t="s">
        <v>2975</v>
      </c>
      <c r="B71" s="855"/>
      <c r="C71" s="855"/>
      <c r="D71" s="855"/>
      <c r="E71" s="856" t="s">
        <v>2983</v>
      </c>
      <c r="F71" s="856"/>
      <c r="G71" s="856"/>
      <c r="H71" s="856"/>
      <c r="I71" s="856"/>
      <c r="J71" s="856"/>
      <c r="K71" s="856"/>
      <c r="L71" s="856"/>
      <c r="M71" s="856"/>
      <c r="N71" s="856"/>
      <c r="O71" s="856"/>
      <c r="P71" s="1586">
        <v>0.9</v>
      </c>
      <c r="Q71" s="1586"/>
      <c r="R71" s="1586"/>
      <c r="S71" s="1586"/>
      <c r="T71" s="2564" t="s">
        <v>20</v>
      </c>
      <c r="U71" s="2564"/>
      <c r="V71" s="2564"/>
      <c r="W71" s="2564"/>
      <c r="X71" s="1385" t="s">
        <v>2976</v>
      </c>
      <c r="Y71" s="1385"/>
      <c r="Z71" s="1385"/>
      <c r="AA71" s="1385"/>
      <c r="AB71" s="1385"/>
      <c r="AC71" s="1385"/>
      <c r="AD71" s="1385"/>
      <c r="AE71" s="1385"/>
      <c r="AF71" s="1385"/>
    </row>
    <row r="72" spans="1:32" ht="60.75" customHeight="1" x14ac:dyDescent="0.3">
      <c r="A72" s="2208" t="s">
        <v>2977</v>
      </c>
      <c r="B72" s="855"/>
      <c r="C72" s="855"/>
      <c r="D72" s="855"/>
      <c r="E72" s="856" t="s">
        <v>2978</v>
      </c>
      <c r="F72" s="856"/>
      <c r="G72" s="856"/>
      <c r="H72" s="856"/>
      <c r="I72" s="856"/>
      <c r="J72" s="856"/>
      <c r="K72" s="856"/>
      <c r="L72" s="856"/>
      <c r="M72" s="856"/>
      <c r="N72" s="856"/>
      <c r="O72" s="856"/>
      <c r="P72" s="1586">
        <v>8.2000000000000003E-2</v>
      </c>
      <c r="Q72" s="1586"/>
      <c r="R72" s="1586"/>
      <c r="S72" s="1586"/>
      <c r="T72" s="1275" t="s">
        <v>18</v>
      </c>
      <c r="U72" s="1275"/>
      <c r="V72" s="1275"/>
      <c r="W72" s="1275"/>
      <c r="X72" s="1385" t="s">
        <v>3002</v>
      </c>
      <c r="Y72" s="1385"/>
      <c r="Z72" s="1385"/>
      <c r="AA72" s="1385"/>
      <c r="AB72" s="1385"/>
      <c r="AC72" s="1385"/>
      <c r="AD72" s="1385"/>
      <c r="AE72" s="1385"/>
      <c r="AF72" s="1385"/>
    </row>
    <row r="73" spans="1:32" ht="66.75" customHeight="1" x14ac:dyDescent="0.3">
      <c r="A73" s="2208" t="s">
        <v>2980</v>
      </c>
      <c r="B73" s="855"/>
      <c r="C73" s="855"/>
      <c r="D73" s="855"/>
      <c r="E73" s="856" t="s">
        <v>2981</v>
      </c>
      <c r="F73" s="856"/>
      <c r="G73" s="856"/>
      <c r="H73" s="856"/>
      <c r="I73" s="856"/>
      <c r="J73" s="856"/>
      <c r="K73" s="856"/>
      <c r="L73" s="856"/>
      <c r="M73" s="856"/>
      <c r="N73" s="856"/>
      <c r="O73" s="856"/>
      <c r="P73" s="2312">
        <v>1292</v>
      </c>
      <c r="Q73" s="2312"/>
      <c r="R73" s="2312"/>
      <c r="S73" s="2312"/>
      <c r="T73" s="1275" t="s">
        <v>1597</v>
      </c>
      <c r="U73" s="1275"/>
      <c r="V73" s="1275"/>
      <c r="W73" s="1275"/>
      <c r="X73" s="1385" t="s">
        <v>3002</v>
      </c>
      <c r="Y73" s="1385"/>
      <c r="Z73" s="1385"/>
      <c r="AA73" s="1385"/>
      <c r="AB73" s="1385"/>
      <c r="AC73" s="1385"/>
      <c r="AD73" s="1385"/>
      <c r="AE73" s="1385"/>
      <c r="AF73" s="1385"/>
    </row>
    <row r="74" spans="1:32" ht="63" customHeight="1" x14ac:dyDescent="0.3">
      <c r="A74" s="855" t="s">
        <v>34</v>
      </c>
      <c r="B74" s="855" t="s">
        <v>34</v>
      </c>
      <c r="C74" s="855" t="s">
        <v>34</v>
      </c>
      <c r="D74" s="855" t="s">
        <v>34</v>
      </c>
      <c r="E74" s="856" t="s">
        <v>644</v>
      </c>
      <c r="F74" s="856" t="s">
        <v>446</v>
      </c>
      <c r="G74" s="856" t="s">
        <v>446</v>
      </c>
      <c r="H74" s="856" t="s">
        <v>446</v>
      </c>
      <c r="I74" s="856" t="s">
        <v>446</v>
      </c>
      <c r="J74" s="856" t="s">
        <v>446</v>
      </c>
      <c r="K74" s="856" t="s">
        <v>446</v>
      </c>
      <c r="L74" s="856" t="s">
        <v>446</v>
      </c>
      <c r="M74" s="856" t="s">
        <v>446</v>
      </c>
      <c r="N74" s="856" t="s">
        <v>446</v>
      </c>
      <c r="O74" s="856" t="s">
        <v>446</v>
      </c>
      <c r="P74" s="1586">
        <v>0.93</v>
      </c>
      <c r="Q74" s="1586">
        <v>0.93</v>
      </c>
      <c r="R74" s="1586">
        <v>0.93</v>
      </c>
      <c r="S74" s="1586">
        <v>0.93</v>
      </c>
      <c r="T74" s="1275" t="s">
        <v>20</v>
      </c>
      <c r="U74" s="1275"/>
      <c r="V74" s="1275"/>
      <c r="W74" s="1275"/>
      <c r="X74" s="1385" t="s">
        <v>3002</v>
      </c>
      <c r="Y74" s="1385"/>
      <c r="Z74" s="1385"/>
      <c r="AA74" s="1385"/>
      <c r="AB74" s="1385"/>
      <c r="AC74" s="1385"/>
      <c r="AD74" s="1385"/>
      <c r="AE74" s="1385"/>
      <c r="AF74" s="1385"/>
    </row>
    <row r="75" spans="1:32" ht="135" customHeight="1" x14ac:dyDescent="0.3">
      <c r="A75" s="2208" t="s">
        <v>3010</v>
      </c>
      <c r="B75" s="855"/>
      <c r="C75" s="855"/>
      <c r="D75" s="855"/>
      <c r="E75" s="856" t="s">
        <v>3012</v>
      </c>
      <c r="F75" s="856"/>
      <c r="G75" s="856"/>
      <c r="H75" s="856"/>
      <c r="I75" s="856"/>
      <c r="J75" s="856"/>
      <c r="K75" s="856"/>
      <c r="L75" s="856"/>
      <c r="M75" s="856"/>
      <c r="N75" s="856"/>
      <c r="O75" s="856"/>
      <c r="P75" s="2312" t="s">
        <v>3011</v>
      </c>
      <c r="Q75" s="2312"/>
      <c r="R75" s="2312"/>
      <c r="S75" s="2312"/>
      <c r="T75" s="1275" t="s">
        <v>20</v>
      </c>
      <c r="U75" s="1275"/>
      <c r="V75" s="1275"/>
      <c r="W75" s="1275"/>
      <c r="X75" s="1385" t="s">
        <v>3016</v>
      </c>
      <c r="Y75" s="1385"/>
      <c r="Z75" s="1385"/>
      <c r="AA75" s="1385"/>
      <c r="AB75" s="1385"/>
      <c r="AC75" s="1385"/>
      <c r="AD75" s="1385"/>
      <c r="AE75" s="1385"/>
      <c r="AF75" s="1385"/>
    </row>
    <row r="76" spans="1:32" ht="71.25" customHeight="1" x14ac:dyDescent="0.3">
      <c r="A76" s="855" t="s">
        <v>235</v>
      </c>
      <c r="B76" s="855" t="s">
        <v>206</v>
      </c>
      <c r="C76" s="855" t="s">
        <v>206</v>
      </c>
      <c r="D76" s="855" t="s">
        <v>206</v>
      </c>
      <c r="E76" s="856" t="s">
        <v>1535</v>
      </c>
      <c r="F76" s="856" t="s">
        <v>523</v>
      </c>
      <c r="G76" s="856" t="s">
        <v>523</v>
      </c>
      <c r="H76" s="856" t="s">
        <v>523</v>
      </c>
      <c r="I76" s="856" t="s">
        <v>523</v>
      </c>
      <c r="J76" s="856" t="s">
        <v>523</v>
      </c>
      <c r="K76" s="856" t="s">
        <v>523</v>
      </c>
      <c r="L76" s="856" t="s">
        <v>523</v>
      </c>
      <c r="M76" s="856" t="s">
        <v>523</v>
      </c>
      <c r="N76" s="856" t="s">
        <v>523</v>
      </c>
      <c r="O76" s="856" t="s">
        <v>523</v>
      </c>
      <c r="P76" s="1586" t="s">
        <v>516</v>
      </c>
      <c r="Q76" s="1586"/>
      <c r="R76" s="1586"/>
      <c r="S76" s="1586"/>
      <c r="T76" s="1275" t="s">
        <v>37</v>
      </c>
      <c r="U76" s="1275"/>
      <c r="V76" s="1275"/>
      <c r="W76" s="1275"/>
      <c r="X76" s="1186" t="s">
        <v>2829</v>
      </c>
      <c r="Y76" s="1186"/>
      <c r="Z76" s="1186"/>
      <c r="AA76" s="1186"/>
      <c r="AB76" s="1186"/>
      <c r="AC76" s="1186"/>
      <c r="AD76" s="1186"/>
      <c r="AE76" s="1186"/>
      <c r="AF76" s="1186"/>
    </row>
    <row r="77" spans="1:32" ht="94.5" customHeight="1" x14ac:dyDescent="0.3">
      <c r="A77" s="855" t="s">
        <v>443</v>
      </c>
      <c r="B77" s="855" t="s">
        <v>443</v>
      </c>
      <c r="C77" s="855" t="s">
        <v>443</v>
      </c>
      <c r="D77" s="855" t="s">
        <v>443</v>
      </c>
      <c r="E77" s="856" t="s">
        <v>1460</v>
      </c>
      <c r="F77" s="856" t="s">
        <v>444</v>
      </c>
      <c r="G77" s="856" t="s">
        <v>444</v>
      </c>
      <c r="H77" s="856" t="s">
        <v>444</v>
      </c>
      <c r="I77" s="856" t="s">
        <v>444</v>
      </c>
      <c r="J77" s="856" t="s">
        <v>444</v>
      </c>
      <c r="K77" s="856" t="s">
        <v>444</v>
      </c>
      <c r="L77" s="856" t="s">
        <v>444</v>
      </c>
      <c r="M77" s="856" t="s">
        <v>444</v>
      </c>
      <c r="N77" s="856" t="s">
        <v>444</v>
      </c>
      <c r="O77" s="856" t="s">
        <v>444</v>
      </c>
      <c r="P77" s="1586" t="s">
        <v>516</v>
      </c>
      <c r="Q77" s="1586"/>
      <c r="R77" s="1586"/>
      <c r="S77" s="1586"/>
      <c r="T77" s="1275" t="s">
        <v>20</v>
      </c>
      <c r="U77" s="1275"/>
      <c r="V77" s="1275"/>
      <c r="W77" s="1275"/>
      <c r="X77" s="1186" t="s">
        <v>2830</v>
      </c>
      <c r="Y77" s="1186"/>
      <c r="Z77" s="1186"/>
      <c r="AA77" s="1186"/>
      <c r="AB77" s="1186"/>
      <c r="AC77" s="1186"/>
      <c r="AD77" s="1186"/>
      <c r="AE77" s="1186"/>
      <c r="AF77" s="1186"/>
    </row>
    <row r="78" spans="1:32" ht="33" customHeight="1" x14ac:dyDescent="0.3">
      <c r="A78" s="1154" t="s">
        <v>1869</v>
      </c>
      <c r="B78" s="1155" t="s">
        <v>26</v>
      </c>
      <c r="C78" s="1155" t="s">
        <v>26</v>
      </c>
      <c r="D78" s="1156" t="s">
        <v>26</v>
      </c>
      <c r="E78" s="856" t="s">
        <v>2050</v>
      </c>
      <c r="F78" s="856" t="s">
        <v>208</v>
      </c>
      <c r="G78" s="856" t="s">
        <v>208</v>
      </c>
      <c r="H78" s="856" t="s">
        <v>208</v>
      </c>
      <c r="I78" s="856" t="s">
        <v>208</v>
      </c>
      <c r="J78" s="856" t="s">
        <v>208</v>
      </c>
      <c r="K78" s="856" t="s">
        <v>208</v>
      </c>
      <c r="L78" s="856" t="s">
        <v>208</v>
      </c>
      <c r="M78" s="856" t="s">
        <v>208</v>
      </c>
      <c r="N78" s="856" t="s">
        <v>208</v>
      </c>
      <c r="O78" s="856" t="s">
        <v>208</v>
      </c>
      <c r="P78" s="1586">
        <f>'Master EUL'!X63</f>
        <v>18</v>
      </c>
      <c r="Q78" s="1586" t="s">
        <v>347</v>
      </c>
      <c r="R78" s="1586" t="s">
        <v>347</v>
      </c>
      <c r="S78" s="1586" t="s">
        <v>347</v>
      </c>
      <c r="T78" s="1275" t="s">
        <v>38</v>
      </c>
      <c r="U78" s="1275"/>
      <c r="V78" s="1275"/>
      <c r="W78" s="1275"/>
      <c r="X78" s="1186" t="s">
        <v>1518</v>
      </c>
      <c r="Y78" s="1186"/>
      <c r="Z78" s="1186"/>
      <c r="AA78" s="1186"/>
      <c r="AB78" s="1186"/>
      <c r="AC78" s="1186"/>
      <c r="AD78" s="1186"/>
      <c r="AE78" s="1186"/>
      <c r="AF78" s="1186"/>
    </row>
    <row r="79" spans="1:32" ht="54" customHeight="1" x14ac:dyDescent="0.3">
      <c r="A79" s="1082" t="s">
        <v>2686</v>
      </c>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c r="AA79" s="1082"/>
      <c r="AB79" s="1082"/>
      <c r="AC79" s="1082"/>
      <c r="AD79" s="1082"/>
      <c r="AE79" s="1082"/>
      <c r="AF79" s="1082"/>
    </row>
    <row r="80" spans="1:32" ht="30" customHeight="1" x14ac:dyDescent="0.3">
      <c r="A80" s="1082" t="s">
        <v>3003</v>
      </c>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c r="AA80" s="1082"/>
      <c r="AB80" s="1082"/>
      <c r="AC80" s="1082"/>
      <c r="AD80" s="1082"/>
      <c r="AE80" s="1082"/>
      <c r="AF80" s="1082"/>
    </row>
    <row r="81" spans="1:32" ht="31.5" customHeight="1" x14ac:dyDescent="0.3">
      <c r="A81" s="1082" t="s">
        <v>3004</v>
      </c>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c r="AA81" s="1082"/>
      <c r="AB81" s="1082"/>
      <c r="AC81" s="1082"/>
      <c r="AD81" s="1082"/>
      <c r="AE81" s="1082"/>
      <c r="AF81" s="1082"/>
    </row>
    <row r="82" spans="1:32" ht="68.25" customHeight="1" x14ac:dyDescent="0.3">
      <c r="A82" s="1082" t="s">
        <v>3013</v>
      </c>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1082"/>
      <c r="AD82" s="1082"/>
      <c r="AE82" s="1082"/>
      <c r="AF82" s="1082"/>
    </row>
    <row r="84" spans="1:32" x14ac:dyDescent="0.3">
      <c r="A84" s="23" t="s">
        <v>2211</v>
      </c>
    </row>
    <row r="85" spans="1:32" x14ac:dyDescent="0.3">
      <c r="A85" s="1102" t="s">
        <v>46</v>
      </c>
      <c r="B85" s="1102"/>
      <c r="C85" s="1102"/>
      <c r="D85" s="1102"/>
      <c r="E85" s="1102"/>
      <c r="F85" s="1102"/>
      <c r="G85" s="1102"/>
      <c r="H85" s="1102"/>
      <c r="I85" s="1102"/>
      <c r="J85" s="1102"/>
      <c r="K85" s="2558" t="s">
        <v>2212</v>
      </c>
      <c r="L85" s="2558"/>
      <c r="M85" s="2558"/>
      <c r="N85" s="2558"/>
      <c r="O85" s="2558"/>
      <c r="P85" s="1102" t="s">
        <v>235</v>
      </c>
      <c r="Q85" s="1102"/>
      <c r="R85" s="1102"/>
      <c r="S85" s="1102"/>
      <c r="T85" s="1102"/>
      <c r="U85" s="1102" t="s">
        <v>21</v>
      </c>
      <c r="V85" s="1102"/>
      <c r="W85" s="1102"/>
      <c r="X85" s="1102"/>
      <c r="Y85" s="1102"/>
    </row>
    <row r="86" spans="1:32" x14ac:dyDescent="0.3">
      <c r="A86" s="951" t="s">
        <v>1796</v>
      </c>
      <c r="B86" s="951"/>
      <c r="C86" s="951"/>
      <c r="D86" s="951"/>
      <c r="E86" s="951"/>
      <c r="F86" s="951"/>
      <c r="G86" s="951"/>
      <c r="H86" s="951"/>
      <c r="I86" s="951"/>
      <c r="J86" s="951"/>
      <c r="K86" s="2565">
        <v>9.7799999999999994</v>
      </c>
      <c r="L86" s="2565"/>
      <c r="M86" s="2565"/>
      <c r="N86" s="2565"/>
      <c r="O86" s="2565"/>
      <c r="P86" s="2566">
        <f>'EFLH &amp; CF'!I73</f>
        <v>2322</v>
      </c>
      <c r="Q86" s="2566"/>
      <c r="R86" s="2566"/>
      <c r="S86" s="2566"/>
      <c r="T86" s="2566"/>
      <c r="U86" s="2567">
        <f>'EFLH &amp; CF'!M73</f>
        <v>0.28999999999999998</v>
      </c>
      <c r="V86" s="2568"/>
      <c r="W86" s="2568"/>
      <c r="X86" s="2568"/>
      <c r="Y86" s="2569"/>
    </row>
    <row r="87" spans="1:32" x14ac:dyDescent="0.3">
      <c r="A87" s="951" t="s">
        <v>211</v>
      </c>
      <c r="B87" s="951"/>
      <c r="C87" s="951"/>
      <c r="D87" s="951"/>
      <c r="E87" s="951"/>
      <c r="F87" s="951"/>
      <c r="G87" s="951"/>
      <c r="H87" s="951"/>
      <c r="I87" s="951"/>
      <c r="J87" s="951"/>
      <c r="K87" s="2565">
        <v>0.23</v>
      </c>
      <c r="L87" s="2565"/>
      <c r="M87" s="2565"/>
      <c r="N87" s="2565"/>
      <c r="O87" s="2565"/>
      <c r="P87" s="2566" t="str">
        <f>'EFLH &amp; CF'!I74</f>
        <v>Varies</v>
      </c>
      <c r="Q87" s="2566"/>
      <c r="R87" s="2566"/>
      <c r="S87" s="2566"/>
      <c r="T87" s="2566"/>
      <c r="U87" s="2567" t="str">
        <f>'EFLH &amp; CF'!M74</f>
        <v>Varies</v>
      </c>
      <c r="V87" s="2568"/>
      <c r="W87" s="2568"/>
      <c r="X87" s="2568"/>
      <c r="Y87" s="2569"/>
    </row>
    <row r="88" spans="1:32" x14ac:dyDescent="0.3">
      <c r="A88" s="951" t="s">
        <v>212</v>
      </c>
      <c r="B88" s="951"/>
      <c r="C88" s="951"/>
      <c r="D88" s="951"/>
      <c r="E88" s="951"/>
      <c r="F88" s="951"/>
      <c r="G88" s="951"/>
      <c r="H88" s="951"/>
      <c r="I88" s="951"/>
      <c r="J88" s="951"/>
      <c r="K88" s="2565">
        <v>7.58</v>
      </c>
      <c r="L88" s="2565"/>
      <c r="M88" s="2565"/>
      <c r="N88" s="2565"/>
      <c r="O88" s="2565"/>
      <c r="P88" s="2566">
        <f>'EFLH &amp; CF'!I75</f>
        <v>1916</v>
      </c>
      <c r="Q88" s="2566"/>
      <c r="R88" s="2566"/>
      <c r="S88" s="2566"/>
      <c r="T88" s="2566"/>
      <c r="U88" s="2567">
        <f>'EFLH &amp; CF'!M75</f>
        <v>0.25</v>
      </c>
      <c r="V88" s="2568"/>
      <c r="W88" s="2568"/>
      <c r="X88" s="2568"/>
      <c r="Y88" s="2569"/>
    </row>
    <row r="89" spans="1:32" x14ac:dyDescent="0.3">
      <c r="A89" s="951" t="s">
        <v>213</v>
      </c>
      <c r="B89" s="951"/>
      <c r="C89" s="951"/>
      <c r="D89" s="951"/>
      <c r="E89" s="951"/>
      <c r="F89" s="951"/>
      <c r="G89" s="951"/>
      <c r="H89" s="951"/>
      <c r="I89" s="951"/>
      <c r="J89" s="951"/>
      <c r="K89" s="2565">
        <v>10.6</v>
      </c>
      <c r="L89" s="2565"/>
      <c r="M89" s="2565"/>
      <c r="N89" s="2565"/>
      <c r="O89" s="2565"/>
      <c r="P89" s="2566">
        <f>'EFLH &amp; CF'!I76</f>
        <v>4406</v>
      </c>
      <c r="Q89" s="2566"/>
      <c r="R89" s="2566"/>
      <c r="S89" s="2566"/>
      <c r="T89" s="2566"/>
      <c r="U89" s="2567">
        <f>'EFLH &amp; CF'!M76</f>
        <v>0.6</v>
      </c>
      <c r="V89" s="2568"/>
      <c r="W89" s="2568"/>
      <c r="X89" s="2568"/>
      <c r="Y89" s="2569"/>
    </row>
    <row r="90" spans="1:32" x14ac:dyDescent="0.3">
      <c r="A90" s="951" t="s">
        <v>214</v>
      </c>
      <c r="B90" s="951"/>
      <c r="C90" s="951"/>
      <c r="D90" s="951"/>
      <c r="E90" s="951"/>
      <c r="F90" s="951"/>
      <c r="G90" s="951"/>
      <c r="H90" s="951"/>
      <c r="I90" s="951"/>
      <c r="J90" s="951"/>
      <c r="K90" s="2565">
        <v>22.7</v>
      </c>
      <c r="L90" s="2565"/>
      <c r="M90" s="2565"/>
      <c r="N90" s="2565"/>
      <c r="O90" s="2565"/>
      <c r="P90" s="2566">
        <f>'EFLH &amp; CF'!I77</f>
        <v>2247</v>
      </c>
      <c r="Q90" s="2566"/>
      <c r="R90" s="2566"/>
      <c r="S90" s="2566"/>
      <c r="T90" s="2566"/>
      <c r="U90" s="2567">
        <f>'EFLH &amp; CF'!M77</f>
        <v>0.2</v>
      </c>
      <c r="V90" s="2568"/>
      <c r="W90" s="2568"/>
      <c r="X90" s="2568"/>
      <c r="Y90" s="2569"/>
    </row>
    <row r="91" spans="1:32" x14ac:dyDescent="0.3">
      <c r="A91" s="951" t="s">
        <v>215</v>
      </c>
      <c r="B91" s="951"/>
      <c r="C91" s="951"/>
      <c r="D91" s="951"/>
      <c r="E91" s="951"/>
      <c r="F91" s="951"/>
      <c r="G91" s="951"/>
      <c r="H91" s="951"/>
      <c r="I91" s="951"/>
      <c r="J91" s="951"/>
      <c r="K91" s="2565">
        <v>12.61</v>
      </c>
      <c r="L91" s="2565"/>
      <c r="M91" s="2565"/>
      <c r="N91" s="2565"/>
      <c r="O91" s="2565"/>
      <c r="P91" s="2566">
        <f>'EFLH &amp; CF'!I78</f>
        <v>3008</v>
      </c>
      <c r="Q91" s="2566"/>
      <c r="R91" s="2566"/>
      <c r="S91" s="2566"/>
      <c r="T91" s="2566"/>
      <c r="U91" s="2567">
        <f>'EFLH &amp; CF'!M78</f>
        <v>0.35</v>
      </c>
      <c r="V91" s="2568"/>
      <c r="W91" s="2568"/>
      <c r="X91" s="2568"/>
      <c r="Y91" s="2569"/>
    </row>
    <row r="92" spans="1:32" x14ac:dyDescent="0.3">
      <c r="A92" s="951" t="s">
        <v>216</v>
      </c>
      <c r="B92" s="951"/>
      <c r="C92" s="951"/>
      <c r="D92" s="951"/>
      <c r="E92" s="951"/>
      <c r="F92" s="951"/>
      <c r="G92" s="951"/>
      <c r="H92" s="951"/>
      <c r="I92" s="951"/>
      <c r="J92" s="951"/>
      <c r="K92" s="2565">
        <v>2.83</v>
      </c>
      <c r="L92" s="2565"/>
      <c r="M92" s="2565"/>
      <c r="N92" s="2565"/>
      <c r="O92" s="2565"/>
      <c r="P92" s="2566" t="str">
        <f>'EFLH &amp; CF'!I79</f>
        <v>Varies</v>
      </c>
      <c r="Q92" s="2566"/>
      <c r="R92" s="2566"/>
      <c r="S92" s="2566"/>
      <c r="T92" s="2566"/>
      <c r="U92" s="2567" t="str">
        <f>'EFLH &amp; CF'!M79</f>
        <v>Varies</v>
      </c>
      <c r="V92" s="2568"/>
      <c r="W92" s="2568"/>
      <c r="X92" s="2568"/>
      <c r="Y92" s="2569"/>
    </row>
    <row r="93" spans="1:32" x14ac:dyDescent="0.3">
      <c r="A93" s="951" t="s">
        <v>47</v>
      </c>
      <c r="B93" s="951"/>
      <c r="C93" s="951"/>
      <c r="D93" s="951"/>
      <c r="E93" s="951"/>
      <c r="F93" s="951"/>
      <c r="G93" s="951"/>
      <c r="H93" s="951"/>
      <c r="I93" s="951"/>
      <c r="J93" s="951"/>
      <c r="K93" s="2565">
        <v>2.0699999999999998</v>
      </c>
      <c r="L93" s="2565"/>
      <c r="M93" s="2565"/>
      <c r="N93" s="2565"/>
      <c r="O93" s="2565"/>
      <c r="P93" s="2566">
        <f>'EFLH &amp; CF'!I80</f>
        <v>2632</v>
      </c>
      <c r="Q93" s="2566"/>
      <c r="R93" s="2566"/>
      <c r="S93" s="2566"/>
      <c r="T93" s="2566"/>
      <c r="U93" s="2567">
        <f>'EFLH &amp; CF'!M80</f>
        <v>0.3</v>
      </c>
      <c r="V93" s="2568"/>
      <c r="W93" s="2568"/>
      <c r="X93" s="2568"/>
      <c r="Y93" s="2569"/>
    </row>
    <row r="94" spans="1:32" x14ac:dyDescent="0.3">
      <c r="A94" s="951" t="s">
        <v>217</v>
      </c>
      <c r="B94" s="951"/>
      <c r="C94" s="951"/>
      <c r="D94" s="951"/>
      <c r="E94" s="951"/>
      <c r="F94" s="951"/>
      <c r="G94" s="951"/>
      <c r="H94" s="951"/>
      <c r="I94" s="951"/>
      <c r="J94" s="951"/>
      <c r="K94" s="2565">
        <v>74.91</v>
      </c>
      <c r="L94" s="2565"/>
      <c r="M94" s="2565"/>
      <c r="N94" s="2565"/>
      <c r="O94" s="2565"/>
      <c r="P94" s="2566">
        <f>'EFLH &amp; CF'!I81</f>
        <v>3947</v>
      </c>
      <c r="Q94" s="2566"/>
      <c r="R94" s="2566"/>
      <c r="S94" s="2566"/>
      <c r="T94" s="2566"/>
      <c r="U94" s="2567">
        <f>'EFLH &amp; CF'!M81</f>
        <v>0.74</v>
      </c>
      <c r="V94" s="2568"/>
      <c r="W94" s="2568"/>
      <c r="X94" s="2568"/>
      <c r="Y94" s="2569"/>
    </row>
    <row r="95" spans="1:32" x14ac:dyDescent="0.3">
      <c r="A95" s="951" t="s">
        <v>218</v>
      </c>
      <c r="B95" s="951"/>
      <c r="C95" s="951"/>
      <c r="D95" s="951"/>
      <c r="E95" s="951"/>
      <c r="F95" s="951"/>
      <c r="G95" s="951"/>
      <c r="H95" s="951"/>
      <c r="I95" s="951"/>
      <c r="J95" s="951"/>
      <c r="K95" s="2565">
        <v>1.49</v>
      </c>
      <c r="L95" s="2565"/>
      <c r="M95" s="2565"/>
      <c r="N95" s="2565"/>
      <c r="O95" s="2565"/>
      <c r="P95" s="2566" t="str">
        <f>'EFLH &amp; CF'!I82</f>
        <v>Varies</v>
      </c>
      <c r="Q95" s="2566"/>
      <c r="R95" s="2566"/>
      <c r="S95" s="2566"/>
      <c r="T95" s="2566"/>
      <c r="U95" s="2567" t="str">
        <f>'EFLH &amp; CF'!M82</f>
        <v>Varies</v>
      </c>
      <c r="V95" s="2568"/>
      <c r="W95" s="2568"/>
      <c r="X95" s="2568"/>
      <c r="Y95" s="2569"/>
    </row>
    <row r="96" spans="1:32" x14ac:dyDescent="0.3">
      <c r="A96" s="951" t="s">
        <v>219</v>
      </c>
      <c r="B96" s="951"/>
      <c r="C96" s="951"/>
      <c r="D96" s="951"/>
      <c r="E96" s="951"/>
      <c r="F96" s="951"/>
      <c r="G96" s="951"/>
      <c r="H96" s="951"/>
      <c r="I96" s="951"/>
      <c r="J96" s="951"/>
      <c r="K96" s="2565">
        <v>0.23</v>
      </c>
      <c r="L96" s="2565"/>
      <c r="M96" s="2565"/>
      <c r="N96" s="2565"/>
      <c r="O96" s="2565"/>
      <c r="P96" s="2566" t="str">
        <f>'EFLH &amp; CF'!I83</f>
        <v>Varies</v>
      </c>
      <c r="Q96" s="2566"/>
      <c r="R96" s="2566"/>
      <c r="S96" s="2566"/>
      <c r="T96" s="2566"/>
      <c r="U96" s="2567" t="str">
        <f>'EFLH &amp; CF'!M83</f>
        <v>Varies</v>
      </c>
      <c r="V96" s="2568"/>
      <c r="W96" s="2568"/>
      <c r="X96" s="2568"/>
      <c r="Y96" s="2569"/>
    </row>
    <row r="97" spans="1:32" x14ac:dyDescent="0.3">
      <c r="A97" s="318" t="s">
        <v>2521</v>
      </c>
    </row>
    <row r="98" spans="1:32" x14ac:dyDescent="0.3">
      <c r="A98" s="319">
        <v>1</v>
      </c>
      <c r="B98" s="319">
        <v>2</v>
      </c>
      <c r="C98" s="319">
        <v>3</v>
      </c>
      <c r="D98" s="319">
        <v>4</v>
      </c>
      <c r="E98" s="319">
        <v>5</v>
      </c>
      <c r="F98" s="319">
        <v>6</v>
      </c>
      <c r="G98" s="319">
        <v>7</v>
      </c>
      <c r="H98" s="319">
        <v>8</v>
      </c>
      <c r="I98" s="319">
        <v>9</v>
      </c>
      <c r="J98" s="319">
        <v>10</v>
      </c>
      <c r="K98" s="319">
        <v>11</v>
      </c>
      <c r="L98" s="319">
        <v>12</v>
      </c>
      <c r="M98" s="319">
        <v>13</v>
      </c>
      <c r="N98" s="319">
        <v>14</v>
      </c>
      <c r="O98" s="319">
        <v>15</v>
      </c>
      <c r="P98" s="319">
        <v>16</v>
      </c>
      <c r="Q98" s="319">
        <v>17</v>
      </c>
      <c r="R98" s="319">
        <v>18</v>
      </c>
      <c r="S98" s="319">
        <v>19</v>
      </c>
      <c r="T98" s="319">
        <v>20</v>
      </c>
      <c r="U98" s="319">
        <v>21</v>
      </c>
      <c r="V98" s="319">
        <v>22</v>
      </c>
      <c r="W98" s="319">
        <v>23</v>
      </c>
      <c r="X98" s="319">
        <v>24</v>
      </c>
      <c r="Y98" s="319">
        <v>25</v>
      </c>
    </row>
    <row r="99" spans="1:32"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row>
    <row r="100" spans="1:32" x14ac:dyDescent="0.3">
      <c r="A100" s="1141" t="s">
        <v>14</v>
      </c>
      <c r="B100" s="1141"/>
      <c r="C100" s="1141"/>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c r="AE100" s="1141"/>
      <c r="AF100" s="1141"/>
    </row>
    <row r="101" spans="1:32" x14ac:dyDescent="0.3">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x14ac:dyDescent="0.3">
      <c r="B102" s="232" t="s">
        <v>1497</v>
      </c>
    </row>
    <row r="104" spans="1:32" x14ac:dyDescent="0.3">
      <c r="C104" t="s">
        <v>2216</v>
      </c>
    </row>
    <row r="105" spans="1:32" x14ac:dyDescent="0.3">
      <c r="D105" s="2495">
        <v>50</v>
      </c>
      <c r="E105" s="2496"/>
      <c r="F105" s="2497"/>
      <c r="J105" t="s">
        <v>1500</v>
      </c>
      <c r="L105" s="2570">
        <f>IF(D105&gt;55,2.057-0.00113*D105,0.96-0.0003*D105)</f>
        <v>0.94499999999999995</v>
      </c>
      <c r="M105" s="1001"/>
      <c r="N105" s="2571"/>
      <c r="Q105" t="s">
        <v>3014</v>
      </c>
      <c r="S105" s="2587">
        <f>IF(D105&gt;55,1.5,1)</f>
        <v>1</v>
      </c>
      <c r="T105" s="2587"/>
      <c r="U105" s="2587"/>
    </row>
    <row r="107" spans="1:32" x14ac:dyDescent="0.3">
      <c r="C107" t="s">
        <v>3005</v>
      </c>
    </row>
    <row r="108" spans="1:32" x14ac:dyDescent="0.3">
      <c r="D108" s="2572">
        <v>0.9</v>
      </c>
      <c r="E108" s="2573"/>
      <c r="F108" s="2574"/>
    </row>
    <row r="110" spans="1:32" x14ac:dyDescent="0.3">
      <c r="C110" t="s">
        <v>2219</v>
      </c>
    </row>
    <row r="111" spans="1:32" ht="15.6" x14ac:dyDescent="0.35">
      <c r="D111" s="2495" t="s">
        <v>213</v>
      </c>
      <c r="E111" s="2496"/>
      <c r="F111" s="2496"/>
      <c r="G111" s="2496"/>
      <c r="H111" s="2496"/>
      <c r="I111" s="2496"/>
      <c r="J111" s="2496"/>
      <c r="K111" s="2497"/>
      <c r="M111" t="s">
        <v>2220</v>
      </c>
      <c r="Q111" s="2567">
        <f>VLOOKUP(D111,A86:Y96,11,FALSE)</f>
        <v>10.6</v>
      </c>
      <c r="R111" s="2568"/>
      <c r="S111" s="2569"/>
      <c r="U111" t="s">
        <v>1501</v>
      </c>
      <c r="X111" s="2575">
        <f>VLOOKUP(D111,A86:Y96,16,FALSE)</f>
        <v>4406</v>
      </c>
      <c r="Y111" s="2576"/>
      <c r="Z111" s="2577"/>
      <c r="AB111" t="s">
        <v>1502</v>
      </c>
      <c r="AD111" s="2578">
        <f>VLOOKUP(D111,A86:Y96,21,FALSE)</f>
        <v>0.6</v>
      </c>
      <c r="AE111" s="2579"/>
      <c r="AF111" s="2580"/>
    </row>
    <row r="113" spans="1:32" x14ac:dyDescent="0.3">
      <c r="C113" t="s">
        <v>2215</v>
      </c>
    </row>
    <row r="114" spans="1:32" x14ac:dyDescent="0.3">
      <c r="D114" s="2581">
        <v>1800</v>
      </c>
      <c r="E114" s="2582"/>
      <c r="F114" s="2583"/>
      <c r="G114" t="s">
        <v>2214</v>
      </c>
    </row>
    <row r="115" spans="1:32" x14ac:dyDescent="0.3">
      <c r="D115" s="320"/>
      <c r="E115" s="320"/>
      <c r="F115" s="320"/>
    </row>
    <row r="116" spans="1:32" ht="15.6" x14ac:dyDescent="0.35">
      <c r="C116" t="s">
        <v>3006</v>
      </c>
      <c r="D116" s="320"/>
      <c r="E116" s="320"/>
      <c r="F116" s="320"/>
    </row>
    <row r="117" spans="1:32" x14ac:dyDescent="0.3">
      <c r="C117" t="s">
        <v>3007</v>
      </c>
      <c r="D117" s="320"/>
      <c r="E117" s="320"/>
      <c r="F117" s="320"/>
    </row>
    <row r="118" spans="1:32" x14ac:dyDescent="0.3">
      <c r="D118" s="2584">
        <v>75</v>
      </c>
      <c r="E118" s="2585"/>
      <c r="F118" s="2586"/>
      <c r="G118" t="s">
        <v>2238</v>
      </c>
    </row>
    <row r="119" spans="1:32" x14ac:dyDescent="0.3">
      <c r="D119" s="320"/>
      <c r="E119" s="320"/>
      <c r="F119" s="320"/>
    </row>
    <row r="120" spans="1:32" ht="15.6" x14ac:dyDescent="0.35">
      <c r="C120" t="s">
        <v>3008</v>
      </c>
      <c r="D120" s="320"/>
      <c r="E120" s="320"/>
      <c r="F120" s="320"/>
    </row>
    <row r="121" spans="1:32" x14ac:dyDescent="0.3">
      <c r="D121" s="2584">
        <v>130</v>
      </c>
      <c r="E121" s="2585"/>
      <c r="F121" s="2586"/>
      <c r="G121" t="s">
        <v>2238</v>
      </c>
    </row>
    <row r="122" spans="1:32" ht="15" thickBot="1" x14ac:dyDescent="0.35"/>
    <row r="123" spans="1:32" x14ac:dyDescent="0.3">
      <c r="A123" s="1252" t="s">
        <v>15</v>
      </c>
      <c r="B123" s="1253"/>
      <c r="C123" s="1253"/>
      <c r="D123" s="1253"/>
      <c r="E123" s="1253"/>
      <c r="F123" s="1253"/>
      <c r="G123" s="1253"/>
      <c r="H123" s="1253"/>
      <c r="I123" s="1278" t="s">
        <v>2780</v>
      </c>
      <c r="J123" s="1278"/>
      <c r="K123" s="1278"/>
      <c r="L123" s="1278"/>
      <c r="M123" s="1278"/>
      <c r="N123" s="1278"/>
      <c r="O123" s="1278"/>
      <c r="P123" s="1278"/>
      <c r="Q123" s="1278" t="s">
        <v>2781</v>
      </c>
      <c r="R123" s="1278"/>
      <c r="S123" s="1278"/>
      <c r="T123" s="1278"/>
      <c r="U123" s="1278"/>
      <c r="V123" s="1278"/>
      <c r="W123" s="1278"/>
      <c r="X123" s="1278"/>
      <c r="Y123" s="1278" t="s">
        <v>1554</v>
      </c>
      <c r="Z123" s="1253"/>
      <c r="AA123" s="1253"/>
      <c r="AB123" s="1253"/>
      <c r="AC123" s="1253"/>
      <c r="AD123" s="1253"/>
      <c r="AE123" s="1253"/>
      <c r="AF123" s="1254"/>
    </row>
    <row r="124" spans="1:32" ht="33" customHeight="1" thickBot="1" x14ac:dyDescent="0.35">
      <c r="A124" s="1408" t="s">
        <v>2223</v>
      </c>
      <c r="B124" s="1409"/>
      <c r="C124" s="1409"/>
      <c r="D124" s="1409"/>
      <c r="E124" s="1409"/>
      <c r="F124" s="1409"/>
      <c r="G124" s="1409"/>
      <c r="H124" s="1409"/>
      <c r="I124" s="2491">
        <f>ROUND($Q$124*$AD$111/$X$111,3)</f>
        <v>0.29299999999999998</v>
      </c>
      <c r="J124" s="2491"/>
      <c r="K124" s="2491"/>
      <c r="L124" s="2491"/>
      <c r="M124" s="2491"/>
      <c r="N124" s="2491"/>
      <c r="O124" s="2491"/>
      <c r="P124" s="2491"/>
      <c r="Q124" s="2492">
        <f>ROUND(((1/$L$105-(1-$D$108)/$P$71)*($Q$111*$D$114*$P$66*$P$67*($D$121-$D$118)/3412)-$P$72*$P$73*$S$105)*$P$74,2)</f>
        <v>2149.9299999999998</v>
      </c>
      <c r="R124" s="2492"/>
      <c r="S124" s="2492"/>
      <c r="T124" s="2492"/>
      <c r="U124" s="2492"/>
      <c r="V124" s="2492"/>
      <c r="W124" s="2492"/>
      <c r="X124" s="2492"/>
      <c r="Y124" s="2493">
        <f>ROUND($Q$124*$P$78,2)</f>
        <v>38698.74</v>
      </c>
      <c r="Z124" s="2493"/>
      <c r="AA124" s="2493"/>
      <c r="AB124" s="2493"/>
      <c r="AC124" s="2493"/>
      <c r="AD124" s="2493"/>
      <c r="AE124" s="2493"/>
      <c r="AF124" s="2494"/>
    </row>
    <row r="125" spans="1:32" x14ac:dyDescent="0.3">
      <c r="C125" s="269" t="s">
        <v>2221</v>
      </c>
    </row>
    <row r="127" spans="1:32" x14ac:dyDescent="0.3">
      <c r="A127" s="1141" t="s">
        <v>1514</v>
      </c>
      <c r="B127" s="1141"/>
      <c r="C127" s="1141"/>
      <c r="D127" s="1141"/>
      <c r="E127" s="1141"/>
      <c r="F127" s="1141"/>
      <c r="G127" s="1141"/>
      <c r="H127" s="1141"/>
      <c r="I127" s="1141"/>
      <c r="J127" s="1141"/>
      <c r="K127" s="1141"/>
      <c r="L127" s="1141"/>
      <c r="M127" s="1141"/>
      <c r="N127" s="1141"/>
      <c r="O127" s="1141"/>
      <c r="P127" s="1141"/>
      <c r="Q127" s="1141"/>
      <c r="R127" s="1141"/>
      <c r="S127" s="1141"/>
      <c r="T127" s="1141"/>
      <c r="U127" s="1141"/>
      <c r="V127" s="1141"/>
      <c r="W127" s="1141"/>
      <c r="X127" s="1141"/>
      <c r="Y127" s="1141"/>
      <c r="Z127" s="1141"/>
      <c r="AA127" s="1141"/>
      <c r="AB127" s="1141"/>
      <c r="AC127" s="1141"/>
      <c r="AD127" s="1141"/>
      <c r="AE127" s="1141"/>
      <c r="AF127" s="1141"/>
    </row>
    <row r="129" spans="1:32" ht="49.5" customHeight="1" x14ac:dyDescent="0.3">
      <c r="A129" s="368" t="s">
        <v>803</v>
      </c>
      <c r="B129" s="889" t="s">
        <v>2239</v>
      </c>
      <c r="C129" s="889"/>
      <c r="D129" s="889"/>
      <c r="E129" s="889"/>
      <c r="F129" s="889"/>
      <c r="G129" s="889"/>
      <c r="H129" s="889"/>
      <c r="I129" s="889"/>
      <c r="J129" s="889"/>
      <c r="K129" s="889"/>
      <c r="L129" s="889"/>
      <c r="M129" s="889"/>
      <c r="N129" s="889"/>
      <c r="O129" s="889"/>
      <c r="P129" s="889"/>
      <c r="Q129" s="889"/>
      <c r="R129" s="889"/>
      <c r="S129" s="889"/>
      <c r="T129" s="889"/>
      <c r="U129" s="889"/>
      <c r="V129" s="889"/>
      <c r="W129" s="889"/>
      <c r="X129" s="889"/>
      <c r="Y129" s="889"/>
      <c r="Z129" s="889"/>
      <c r="AA129" s="889"/>
      <c r="AB129" s="889"/>
      <c r="AC129" s="889"/>
      <c r="AD129" s="889"/>
      <c r="AE129" s="889"/>
      <c r="AF129" s="889"/>
    </row>
    <row r="130" spans="1:32" ht="33.75" customHeight="1" x14ac:dyDescent="0.3">
      <c r="A130" s="368" t="s">
        <v>803</v>
      </c>
      <c r="B130" s="889" t="s">
        <v>3015</v>
      </c>
      <c r="C130" s="889"/>
      <c r="D130" s="889"/>
      <c r="E130" s="889"/>
      <c r="F130" s="889"/>
      <c r="G130" s="889"/>
      <c r="H130" s="889"/>
      <c r="I130" s="889"/>
      <c r="J130" s="889"/>
      <c r="K130" s="889"/>
      <c r="L130" s="889"/>
      <c r="M130" s="889"/>
      <c r="N130" s="889"/>
      <c r="O130" s="889"/>
      <c r="P130" s="889"/>
      <c r="Q130" s="889"/>
      <c r="R130" s="889"/>
      <c r="S130" s="889"/>
      <c r="T130" s="889"/>
      <c r="U130" s="889"/>
      <c r="V130" s="889"/>
      <c r="W130" s="889"/>
      <c r="X130" s="889"/>
      <c r="Y130" s="889"/>
      <c r="Z130" s="889"/>
      <c r="AA130" s="889"/>
      <c r="AB130" s="889"/>
      <c r="AC130" s="889"/>
      <c r="AD130" s="889"/>
      <c r="AE130" s="889"/>
      <c r="AF130" s="889"/>
    </row>
    <row r="131" spans="1:32" ht="92.25" customHeight="1" x14ac:dyDescent="0.3">
      <c r="A131" s="368" t="s">
        <v>803</v>
      </c>
      <c r="B131" s="889" t="s">
        <v>2831</v>
      </c>
      <c r="C131" s="889"/>
      <c r="D131" s="889"/>
      <c r="E131" s="889"/>
      <c r="F131" s="889"/>
      <c r="G131" s="889"/>
      <c r="H131" s="889"/>
      <c r="I131" s="889"/>
      <c r="J131" s="889"/>
      <c r="K131" s="889"/>
      <c r="L131" s="889"/>
      <c r="M131" s="889"/>
      <c r="N131" s="889"/>
      <c r="O131" s="889"/>
      <c r="P131" s="889"/>
      <c r="Q131" s="889"/>
      <c r="R131" s="889"/>
      <c r="S131" s="889"/>
      <c r="T131" s="889"/>
      <c r="U131" s="889"/>
      <c r="V131" s="889"/>
      <c r="W131" s="889"/>
      <c r="X131" s="889"/>
      <c r="Y131" s="889"/>
      <c r="Z131" s="889"/>
      <c r="AA131" s="889"/>
      <c r="AB131" s="889"/>
      <c r="AC131" s="889"/>
      <c r="AD131" s="889"/>
      <c r="AE131" s="889"/>
      <c r="AF131" s="889"/>
    </row>
    <row r="132" spans="1:32" ht="81.75" customHeight="1" x14ac:dyDescent="0.3">
      <c r="A132" s="368" t="s">
        <v>803</v>
      </c>
      <c r="B132" s="889" t="s">
        <v>2240</v>
      </c>
      <c r="C132" s="889"/>
      <c r="D132" s="889"/>
      <c r="E132" s="889"/>
      <c r="F132" s="889"/>
      <c r="G132" s="889"/>
      <c r="H132" s="889"/>
      <c r="I132" s="889"/>
      <c r="J132" s="889"/>
      <c r="K132" s="889"/>
      <c r="L132" s="889"/>
      <c r="M132" s="889"/>
      <c r="N132" s="889"/>
      <c r="O132" s="889"/>
      <c r="P132" s="889"/>
      <c r="Q132" s="889"/>
      <c r="R132" s="889"/>
      <c r="S132" s="889"/>
      <c r="T132" s="889"/>
      <c r="U132" s="889"/>
      <c r="V132" s="889"/>
      <c r="W132" s="889"/>
      <c r="X132" s="889"/>
      <c r="Y132" s="889"/>
      <c r="Z132" s="889"/>
      <c r="AA132" s="889"/>
      <c r="AB132" s="889"/>
      <c r="AC132" s="889"/>
      <c r="AD132" s="889"/>
      <c r="AE132" s="889"/>
      <c r="AF132" s="889"/>
    </row>
    <row r="133" spans="1:32" ht="49.5" customHeight="1" x14ac:dyDescent="0.3">
      <c r="A133" s="368" t="s">
        <v>803</v>
      </c>
      <c r="B133" s="889" t="s">
        <v>3345</v>
      </c>
      <c r="C133" s="889"/>
      <c r="D133" s="889"/>
      <c r="E133" s="889"/>
      <c r="F133" s="889"/>
      <c r="G133" s="889"/>
      <c r="H133" s="889"/>
      <c r="I133" s="889"/>
      <c r="J133" s="889"/>
      <c r="K133" s="889"/>
      <c r="L133" s="889"/>
      <c r="M133" s="889"/>
      <c r="N133" s="889"/>
      <c r="O133" s="889"/>
      <c r="P133" s="889"/>
      <c r="Q133" s="889"/>
      <c r="R133" s="889"/>
      <c r="S133" s="889"/>
      <c r="T133" s="889"/>
      <c r="U133" s="889"/>
      <c r="V133" s="889"/>
      <c r="W133" s="889"/>
      <c r="X133" s="889"/>
      <c r="Y133" s="889"/>
      <c r="Z133" s="889"/>
      <c r="AA133" s="889"/>
      <c r="AB133" s="889"/>
      <c r="AC133" s="889"/>
      <c r="AD133" s="889"/>
      <c r="AE133" s="889"/>
      <c r="AF133" s="889"/>
    </row>
    <row r="134" spans="1:32" ht="52.5" customHeight="1" x14ac:dyDescent="0.3">
      <c r="A134" s="368" t="s">
        <v>803</v>
      </c>
      <c r="B134" s="889" t="s">
        <v>2241</v>
      </c>
      <c r="C134" s="889"/>
      <c r="D134" s="889"/>
      <c r="E134" s="889"/>
      <c r="F134" s="889"/>
      <c r="G134" s="889"/>
      <c r="H134" s="889"/>
      <c r="I134" s="889"/>
      <c r="J134" s="889"/>
      <c r="K134" s="889"/>
      <c r="L134" s="889"/>
      <c r="M134" s="889"/>
      <c r="N134" s="889"/>
      <c r="O134" s="889"/>
      <c r="P134" s="889"/>
      <c r="Q134" s="889"/>
      <c r="R134" s="889"/>
      <c r="S134" s="889"/>
      <c r="T134" s="889"/>
      <c r="U134" s="889"/>
      <c r="V134" s="889"/>
      <c r="W134" s="889"/>
      <c r="X134" s="889"/>
      <c r="Y134" s="889"/>
      <c r="Z134" s="889"/>
      <c r="AA134" s="889"/>
      <c r="AB134" s="889"/>
      <c r="AC134" s="889"/>
      <c r="AD134" s="889"/>
      <c r="AE134" s="889"/>
      <c r="AF134" s="889"/>
    </row>
    <row r="135" spans="1:32" ht="33.75" customHeight="1" x14ac:dyDescent="0.3">
      <c r="A135" s="368" t="s">
        <v>803</v>
      </c>
      <c r="B135" s="889" t="s">
        <v>1508</v>
      </c>
      <c r="C135" s="889"/>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row>
    <row r="136" spans="1:32" ht="51" customHeight="1" x14ac:dyDescent="0.3">
      <c r="A136" s="368" t="s">
        <v>803</v>
      </c>
      <c r="B136" s="889" t="s">
        <v>2687</v>
      </c>
      <c r="C136" s="889"/>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row>
    <row r="137" spans="1:32" ht="66.75" customHeight="1" x14ac:dyDescent="0.3">
      <c r="A137" s="368" t="s">
        <v>803</v>
      </c>
      <c r="B137" s="889" t="s">
        <v>2685</v>
      </c>
      <c r="C137" s="889"/>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row>
    <row r="138" spans="1:32" ht="66.75" customHeight="1" x14ac:dyDescent="0.3">
      <c r="A138" s="368" t="s">
        <v>803</v>
      </c>
      <c r="B138" s="889" t="s">
        <v>2832</v>
      </c>
      <c r="C138" s="889"/>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row>
    <row r="139" spans="1:32" ht="51" customHeight="1" x14ac:dyDescent="0.3">
      <c r="A139" s="368" t="s">
        <v>803</v>
      </c>
      <c r="B139" s="889" t="s">
        <v>3419</v>
      </c>
      <c r="C139" s="889"/>
      <c r="D139" s="889"/>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c r="AE139" s="889"/>
      <c r="AF139" s="889"/>
    </row>
    <row r="140" spans="1:32" ht="51.75" customHeight="1" x14ac:dyDescent="0.3">
      <c r="A140" s="368" t="s">
        <v>803</v>
      </c>
      <c r="B140" s="889" t="s">
        <v>1506</v>
      </c>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row>
    <row r="141" spans="1:32" ht="35.25" customHeight="1" x14ac:dyDescent="0.3">
      <c r="A141" s="368" t="s">
        <v>803</v>
      </c>
      <c r="B141" s="889" t="s">
        <v>1504</v>
      </c>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row>
    <row r="142" spans="1:32" ht="66.75" customHeight="1" x14ac:dyDescent="0.3">
      <c r="A142" s="368" t="s">
        <v>803</v>
      </c>
      <c r="B142" s="889" t="s">
        <v>2688</v>
      </c>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row>
    <row r="143" spans="1:32" ht="54" customHeight="1" x14ac:dyDescent="0.3">
      <c r="A143" s="368" t="s">
        <v>803</v>
      </c>
      <c r="B143" s="889" t="s">
        <v>1505</v>
      </c>
      <c r="C143" s="889"/>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row>
  </sheetData>
  <sheetProtection algorithmName="SHA-512" hashValue="Z6G/xaKxqm8uGGhzBEGIxt5EgWXYJZujHMGb0g0kvVb3cutpE/te8LR9WYtCgsD4eIRvGBCympMOJ2cN3lDWqA==" saltValue="z99UTucR5zBEHEB2SOcpnw==" spinCount="100000" sheet="1" objects="1" scenarios="1"/>
  <mergeCells count="189">
    <mergeCell ref="B137:AF137"/>
    <mergeCell ref="B138:AF138"/>
    <mergeCell ref="B139:AF139"/>
    <mergeCell ref="B140:AF140"/>
    <mergeCell ref="B141:AF141"/>
    <mergeCell ref="B142:AF142"/>
    <mergeCell ref="B143:AF143"/>
    <mergeCell ref="A82:AF82"/>
    <mergeCell ref="S105:U105"/>
    <mergeCell ref="A127:AF127"/>
    <mergeCell ref="B129:AF129"/>
    <mergeCell ref="B130:AF130"/>
    <mergeCell ref="B131:AF131"/>
    <mergeCell ref="B132:AF132"/>
    <mergeCell ref="B133:AF133"/>
    <mergeCell ref="B134:AF134"/>
    <mergeCell ref="B135:AF135"/>
    <mergeCell ref="B136:AF136"/>
    <mergeCell ref="D121:F121"/>
    <mergeCell ref="A123:H123"/>
    <mergeCell ref="I123:P123"/>
    <mergeCell ref="Q123:X123"/>
    <mergeCell ref="Y123:AF123"/>
    <mergeCell ref="D105:F105"/>
    <mergeCell ref="L105:N105"/>
    <mergeCell ref="D108:F108"/>
    <mergeCell ref="D111:K111"/>
    <mergeCell ref="Q111:S111"/>
    <mergeCell ref="X111:Z111"/>
    <mergeCell ref="AD111:AF111"/>
    <mergeCell ref="D114:F114"/>
    <mergeCell ref="D118:F118"/>
    <mergeCell ref="A100:AF100"/>
    <mergeCell ref="A94:J94"/>
    <mergeCell ref="K94:O94"/>
    <mergeCell ref="P94:T94"/>
    <mergeCell ref="U94:Y94"/>
    <mergeCell ref="A95:J95"/>
    <mergeCell ref="K95:O95"/>
    <mergeCell ref="P95:T95"/>
    <mergeCell ref="U95:Y95"/>
    <mergeCell ref="A96:J96"/>
    <mergeCell ref="K96:O96"/>
    <mergeCell ref="P96:T96"/>
    <mergeCell ref="U96:Y96"/>
    <mergeCell ref="A91:J91"/>
    <mergeCell ref="K91:O91"/>
    <mergeCell ref="P91:T91"/>
    <mergeCell ref="U91:Y91"/>
    <mergeCell ref="A92:J92"/>
    <mergeCell ref="K92:O92"/>
    <mergeCell ref="P92:T92"/>
    <mergeCell ref="U92:Y92"/>
    <mergeCell ref="A93:J93"/>
    <mergeCell ref="K93:O93"/>
    <mergeCell ref="P93:T93"/>
    <mergeCell ref="U93:Y93"/>
    <mergeCell ref="A88:J88"/>
    <mergeCell ref="K88:O88"/>
    <mergeCell ref="P88:T88"/>
    <mergeCell ref="U88:Y88"/>
    <mergeCell ref="A89:J89"/>
    <mergeCell ref="K89:O89"/>
    <mergeCell ref="P89:T89"/>
    <mergeCell ref="U89:Y89"/>
    <mergeCell ref="A90:J90"/>
    <mergeCell ref="K90:O90"/>
    <mergeCell ref="P90:T90"/>
    <mergeCell ref="U90:Y90"/>
    <mergeCell ref="A79:AF79"/>
    <mergeCell ref="A80:AF80"/>
    <mergeCell ref="A81:AF81"/>
    <mergeCell ref="A86:J86"/>
    <mergeCell ref="K86:O86"/>
    <mergeCell ref="P86:T86"/>
    <mergeCell ref="U86:Y86"/>
    <mergeCell ref="A87:J87"/>
    <mergeCell ref="K87:O87"/>
    <mergeCell ref="P87:T87"/>
    <mergeCell ref="U87:Y87"/>
    <mergeCell ref="A85:J85"/>
    <mergeCell ref="A77:D77"/>
    <mergeCell ref="E77:O77"/>
    <mergeCell ref="P77:S77"/>
    <mergeCell ref="T77:W77"/>
    <mergeCell ref="X77:AF77"/>
    <mergeCell ref="A78:D78"/>
    <mergeCell ref="E78:O78"/>
    <mergeCell ref="P78:S78"/>
    <mergeCell ref="T78:W78"/>
    <mergeCell ref="X78:AF78"/>
    <mergeCell ref="A76:D76"/>
    <mergeCell ref="E76:O76"/>
    <mergeCell ref="P76:S76"/>
    <mergeCell ref="T76:W76"/>
    <mergeCell ref="X76:AF76"/>
    <mergeCell ref="A75:D75"/>
    <mergeCell ref="E75:O75"/>
    <mergeCell ref="P75:S75"/>
    <mergeCell ref="T75:W75"/>
    <mergeCell ref="X75:AF75"/>
    <mergeCell ref="A73:D73"/>
    <mergeCell ref="E73:O73"/>
    <mergeCell ref="P73:S73"/>
    <mergeCell ref="T73:W73"/>
    <mergeCell ref="X73:AF73"/>
    <mergeCell ref="A74:D74"/>
    <mergeCell ref="E74:O74"/>
    <mergeCell ref="P74:S74"/>
    <mergeCell ref="T74:W74"/>
    <mergeCell ref="X74:AF74"/>
    <mergeCell ref="A71:D71"/>
    <mergeCell ref="E71:O71"/>
    <mergeCell ref="P71:S71"/>
    <mergeCell ref="T71:W71"/>
    <mergeCell ref="X71:AF71"/>
    <mergeCell ref="A72:D72"/>
    <mergeCell ref="E72:O72"/>
    <mergeCell ref="P72:S72"/>
    <mergeCell ref="T72:W72"/>
    <mergeCell ref="X72:AF72"/>
    <mergeCell ref="P68:S68"/>
    <mergeCell ref="T68:W68"/>
    <mergeCell ref="X68:AF68"/>
    <mergeCell ref="A69:D69"/>
    <mergeCell ref="E69:O69"/>
    <mergeCell ref="P69:S69"/>
    <mergeCell ref="T69:W69"/>
    <mergeCell ref="X69:AF69"/>
    <mergeCell ref="A70:D70"/>
    <mergeCell ref="E70:O70"/>
    <mergeCell ref="P70:S70"/>
    <mergeCell ref="T70:W70"/>
    <mergeCell ref="X70:AF70"/>
    <mergeCell ref="A1:AF1"/>
    <mergeCell ref="A26:AF26"/>
    <mergeCell ref="B21:AF21"/>
    <mergeCell ref="A7:AF7"/>
    <mergeCell ref="B10:AF10"/>
    <mergeCell ref="A3:AF3"/>
    <mergeCell ref="B5:AF5"/>
    <mergeCell ref="B15:AF15"/>
    <mergeCell ref="B24:AF24"/>
    <mergeCell ref="B12:AF12"/>
    <mergeCell ref="A60:AF60"/>
    <mergeCell ref="E64:O64"/>
    <mergeCell ref="A61:D61"/>
    <mergeCell ref="E61:O61"/>
    <mergeCell ref="P61:S61"/>
    <mergeCell ref="T61:W61"/>
    <mergeCell ref="X61:AF61"/>
    <mergeCell ref="A62:D62"/>
    <mergeCell ref="E62:O62"/>
    <mergeCell ref="P62:S62"/>
    <mergeCell ref="T62:W62"/>
    <mergeCell ref="X62:AF62"/>
    <mergeCell ref="A63:D63"/>
    <mergeCell ref="E63:O63"/>
    <mergeCell ref="P63:S63"/>
    <mergeCell ref="T63:W63"/>
    <mergeCell ref="X63:AF63"/>
    <mergeCell ref="A64:D64"/>
    <mergeCell ref="P64:S64"/>
    <mergeCell ref="T64:W64"/>
    <mergeCell ref="X64:AF64"/>
    <mergeCell ref="A65:D65"/>
    <mergeCell ref="E65:O65"/>
    <mergeCell ref="P65:S65"/>
    <mergeCell ref="T65:W65"/>
    <mergeCell ref="X65:AF65"/>
    <mergeCell ref="K85:O85"/>
    <mergeCell ref="P85:T85"/>
    <mergeCell ref="U85:Y85"/>
    <mergeCell ref="A124:H124"/>
    <mergeCell ref="I124:P124"/>
    <mergeCell ref="Q124:X124"/>
    <mergeCell ref="Y124:AF124"/>
    <mergeCell ref="A66:D66"/>
    <mergeCell ref="E66:O66"/>
    <mergeCell ref="P66:S66"/>
    <mergeCell ref="T66:W66"/>
    <mergeCell ref="X66:AF66"/>
    <mergeCell ref="A67:D67"/>
    <mergeCell ref="E67:O67"/>
    <mergeCell ref="P67:S67"/>
    <mergeCell ref="T67:W67"/>
    <mergeCell ref="X67:AF67"/>
    <mergeCell ref="A68:D68"/>
    <mergeCell ref="E68:O68"/>
  </mergeCells>
  <hyperlinks>
    <hyperlink ref="A2" location="TOC!A1" display="Return to TOC" xr:uid="{00000000-0004-0000-4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57"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000-000000000000}">
          <x14:formula1>
            <xm:f>Dropdown!$I$6:$I$12</xm:f>
          </x14:formula1>
          <xm:sqref>D111:K111</xm:sqref>
        </x14:dataValidation>
        <x14:dataValidation type="list" allowBlank="1" showInputMessage="1" showErrorMessage="1" xr:uid="{00000000-0002-0000-4000-000001000000}">
          <x14:formula1>
            <xm:f>'C:\Users\kparmenter\OneDrive - AMERESCO\Documents\AEG\2018\Hawaii PUC\Task 3 - TRM\0 - Measure Update Worksheets\[PY19 TRM Working Draft.xlsm]Dropdown'!#REF!</xm:f>
          </x14:formula1>
          <xm:sqref>L111</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4" tint="0.39997558519241921"/>
    <pageSetUpPr autoPageBreaks="0"/>
  </sheetPr>
  <dimension ref="A1:AF131"/>
  <sheetViews>
    <sheetView workbookViewId="0">
      <selection activeCell="A2" sqref="A2"/>
    </sheetView>
  </sheetViews>
  <sheetFormatPr defaultColWidth="2.6640625" defaultRowHeight="14.4" x14ac:dyDescent="0.3"/>
  <sheetData>
    <row r="1" spans="1:32" ht="18.600000000000001" thickBot="1" x14ac:dyDescent="0.35">
      <c r="A1" s="979" t="s">
        <v>894</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ht="15" customHeight="1" x14ac:dyDescent="0.3">
      <c r="A2" s="228" t="s">
        <v>1456</v>
      </c>
      <c r="B2" s="145"/>
      <c r="C2" s="145"/>
      <c r="D2" s="145"/>
      <c r="E2" s="145"/>
      <c r="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872" t="s">
        <v>5232</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3">
      <c r="B9" s="231" t="s">
        <v>3</v>
      </c>
      <c r="C9" s="8"/>
      <c r="D9" s="8"/>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ht="51.75" customHeight="1" x14ac:dyDescent="0.3">
      <c r="B10" s="884" t="s">
        <v>5233</v>
      </c>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row>
    <row r="11" spans="1:32" x14ac:dyDescent="0.3">
      <c r="B11" s="8"/>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row>
    <row r="12" spans="1:32" ht="77.25" customHeight="1" x14ac:dyDescent="0.3">
      <c r="B12" s="863" t="s">
        <v>5234</v>
      </c>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row>
    <row r="13" spans="1:32" x14ac:dyDescent="0.3">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row>
    <row r="14" spans="1:32" x14ac:dyDescent="0.3">
      <c r="B14" s="231" t="s">
        <v>4</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row>
    <row r="15" spans="1:32" ht="50.25" customHeight="1" x14ac:dyDescent="0.3">
      <c r="B15" s="863" t="s">
        <v>528</v>
      </c>
      <c r="C15" s="863"/>
      <c r="D15" s="863"/>
      <c r="E15" s="863"/>
      <c r="F15" s="863"/>
      <c r="G15" s="863"/>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row>
    <row r="16" spans="1:32" x14ac:dyDescent="0.3">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row>
    <row r="17" spans="1:32" x14ac:dyDescent="0.3">
      <c r="B17" s="231" t="s">
        <v>5</v>
      </c>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row>
    <row r="18" spans="1:32" x14ac:dyDescent="0.3">
      <c r="B18" s="1423" t="s">
        <v>5235</v>
      </c>
      <c r="C18" s="1423"/>
      <c r="D18" s="1423"/>
      <c r="E18" s="1423"/>
      <c r="F18" s="1423"/>
      <c r="G18" s="1423"/>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row>
    <row r="19" spans="1:32" x14ac:dyDescent="0.3">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row>
    <row r="20" spans="1:32" x14ac:dyDescent="0.3">
      <c r="B20" s="231" t="s">
        <v>6</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82.5" customHeight="1" x14ac:dyDescent="0.3">
      <c r="B21" s="884" t="s">
        <v>5236</v>
      </c>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row>
    <row r="22" spans="1:32" x14ac:dyDescent="0.3">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row>
    <row r="23" spans="1:32" x14ac:dyDescent="0.3">
      <c r="B23" s="231" t="s">
        <v>13</v>
      </c>
      <c r="C23" s="8"/>
      <c r="D23" s="713"/>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row>
    <row r="24" spans="1:32" ht="52.5" customHeight="1" x14ac:dyDescent="0.3">
      <c r="B24" s="884" t="s">
        <v>5237</v>
      </c>
      <c r="C24" s="884"/>
      <c r="D24" s="884"/>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4"/>
    </row>
    <row r="25" spans="1:32"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3">
      <c r="A26" s="1141" t="s">
        <v>7</v>
      </c>
      <c r="B26" s="1141"/>
      <c r="C26" s="1141"/>
      <c r="D26" s="1141"/>
      <c r="E26" s="1141"/>
      <c r="F26" s="1141"/>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row>
    <row r="27" spans="1:32" x14ac:dyDescent="0.3">
      <c r="A27" s="1"/>
    </row>
    <row r="28" spans="1:32" x14ac:dyDescent="0.3">
      <c r="B28" s="372" t="s">
        <v>2027</v>
      </c>
      <c r="C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21"/>
    </row>
    <row r="29" spans="1:32" x14ac:dyDescent="0.3">
      <c r="A29" s="3"/>
      <c r="B29" s="1"/>
      <c r="C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x14ac:dyDescent="0.3">
      <c r="A30" s="3"/>
      <c r="B30" s="1"/>
      <c r="C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2588" t="s">
        <v>1463</v>
      </c>
    </row>
    <row r="31" spans="1:32" x14ac:dyDescent="0.3">
      <c r="A31" s="3"/>
      <c r="B31" s="162"/>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2588"/>
    </row>
    <row r="32" spans="1:32" x14ac:dyDescent="0.3">
      <c r="A32" s="3"/>
      <c r="B32" s="40"/>
      <c r="C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2588"/>
    </row>
    <row r="33" spans="1:32" x14ac:dyDescent="0.3">
      <c r="A33" s="3"/>
      <c r="B33" s="40"/>
      <c r="C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169"/>
    </row>
    <row r="34" spans="1:32" x14ac:dyDescent="0.3">
      <c r="B34" s="231" t="s">
        <v>2137</v>
      </c>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2" x14ac:dyDescent="0.3">
      <c r="A35" s="40"/>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2" x14ac:dyDescent="0.3">
      <c r="A36" s="40"/>
      <c r="B36" s="40"/>
      <c r="C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2588" t="s">
        <v>1464</v>
      </c>
    </row>
    <row r="37" spans="1:32" x14ac:dyDescent="0.3">
      <c r="A37" s="40"/>
      <c r="B37" s="162"/>
      <c r="C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2589"/>
    </row>
    <row r="38" spans="1:32" x14ac:dyDescent="0.3">
      <c r="A38" s="40"/>
      <c r="B38" s="40"/>
      <c r="C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169"/>
    </row>
    <row r="39" spans="1:32" x14ac:dyDescent="0.3">
      <c r="B39" s="231" t="s">
        <v>1811</v>
      </c>
      <c r="C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169"/>
    </row>
    <row r="40" spans="1:32" x14ac:dyDescent="0.3">
      <c r="A40" s="40"/>
      <c r="B40" s="40"/>
      <c r="C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169"/>
    </row>
    <row r="41" spans="1:32" x14ac:dyDescent="0.3">
      <c r="A41" s="40"/>
      <c r="B41" s="162"/>
      <c r="C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188" t="s">
        <v>1465</v>
      </c>
    </row>
    <row r="42" spans="1:32"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3">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1:32" x14ac:dyDescent="0.3">
      <c r="A44" s="1141" t="s">
        <v>8</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x14ac:dyDescent="0.3">
      <c r="A45" s="1143" t="s">
        <v>9</v>
      </c>
      <c r="B45" s="1143"/>
      <c r="C45" s="1143"/>
      <c r="D45" s="1143"/>
      <c r="E45" s="1143" t="s">
        <v>3</v>
      </c>
      <c r="F45" s="1143"/>
      <c r="G45" s="1143"/>
      <c r="H45" s="1143"/>
      <c r="I45" s="1143"/>
      <c r="J45" s="1143"/>
      <c r="K45" s="1143"/>
      <c r="L45" s="1143"/>
      <c r="M45" s="1143"/>
      <c r="N45" s="1143"/>
      <c r="O45" s="1143"/>
      <c r="P45" s="1143" t="s">
        <v>10</v>
      </c>
      <c r="Q45" s="1143"/>
      <c r="R45" s="1143"/>
      <c r="S45" s="1143"/>
      <c r="T45" s="1143" t="s">
        <v>11</v>
      </c>
      <c r="U45" s="1143"/>
      <c r="V45" s="1143"/>
      <c r="W45" s="1143"/>
      <c r="X45" s="1143" t="s">
        <v>1466</v>
      </c>
      <c r="Y45" s="1143"/>
      <c r="Z45" s="1143"/>
      <c r="AA45" s="1143"/>
      <c r="AB45" s="1143"/>
      <c r="AC45" s="1143"/>
      <c r="AD45" s="1143"/>
      <c r="AE45" s="1143"/>
      <c r="AF45" s="1143"/>
    </row>
    <row r="46" spans="1:32" ht="36" customHeight="1" x14ac:dyDescent="0.3">
      <c r="A46" s="855" t="s">
        <v>3911</v>
      </c>
      <c r="B46" s="855"/>
      <c r="C46" s="855"/>
      <c r="D46" s="855"/>
      <c r="E46" s="856" t="s">
        <v>5238</v>
      </c>
      <c r="F46" s="856"/>
      <c r="G46" s="856"/>
      <c r="H46" s="856"/>
      <c r="I46" s="856"/>
      <c r="J46" s="856"/>
      <c r="K46" s="856"/>
      <c r="L46" s="856"/>
      <c r="M46" s="856"/>
      <c r="N46" s="856"/>
      <c r="O46" s="856"/>
      <c r="P46" s="2557" t="s">
        <v>5239</v>
      </c>
      <c r="Q46" s="2557"/>
      <c r="R46" s="2557"/>
      <c r="S46" s="2557"/>
      <c r="T46" s="2313" t="s">
        <v>20</v>
      </c>
      <c r="U46" s="1586"/>
      <c r="V46" s="1586"/>
      <c r="W46" s="1586"/>
      <c r="X46" s="2590" t="s">
        <v>5240</v>
      </c>
      <c r="Y46" s="1385"/>
      <c r="Z46" s="1385"/>
      <c r="AA46" s="1385"/>
      <c r="AB46" s="1385"/>
      <c r="AC46" s="1385"/>
      <c r="AD46" s="1385"/>
      <c r="AE46" s="1385"/>
      <c r="AF46" s="1385"/>
    </row>
    <row r="47" spans="1:32" ht="51" customHeight="1" x14ac:dyDescent="0.3">
      <c r="A47" s="855" t="s">
        <v>5241</v>
      </c>
      <c r="B47" s="855"/>
      <c r="C47" s="855"/>
      <c r="D47" s="855"/>
      <c r="E47" s="856" t="s">
        <v>5242</v>
      </c>
      <c r="F47" s="856"/>
      <c r="G47" s="856"/>
      <c r="H47" s="856"/>
      <c r="I47" s="856"/>
      <c r="J47" s="856"/>
      <c r="K47" s="856"/>
      <c r="L47" s="856"/>
      <c r="M47" s="856"/>
      <c r="N47" s="856"/>
      <c r="O47" s="856"/>
      <c r="P47" s="2557" t="s">
        <v>1591</v>
      </c>
      <c r="Q47" s="2557"/>
      <c r="R47" s="2557"/>
      <c r="S47" s="2557"/>
      <c r="T47" s="2146" t="s">
        <v>20</v>
      </c>
      <c r="U47" s="1275"/>
      <c r="V47" s="1275"/>
      <c r="W47" s="1275"/>
      <c r="X47" s="2353" t="s">
        <v>5243</v>
      </c>
      <c r="Y47" s="854"/>
      <c r="Z47" s="854"/>
      <c r="AA47" s="854"/>
      <c r="AB47" s="854"/>
      <c r="AC47" s="854"/>
      <c r="AD47" s="854"/>
      <c r="AE47" s="854"/>
      <c r="AF47" s="854"/>
    </row>
    <row r="48" spans="1:32" ht="84" customHeight="1" x14ac:dyDescent="0.3">
      <c r="A48" s="855" t="s">
        <v>5244</v>
      </c>
      <c r="B48" s="855"/>
      <c r="C48" s="855"/>
      <c r="D48" s="855"/>
      <c r="E48" s="856" t="s">
        <v>5245</v>
      </c>
      <c r="F48" s="856"/>
      <c r="G48" s="856"/>
      <c r="H48" s="856"/>
      <c r="I48" s="856"/>
      <c r="J48" s="856"/>
      <c r="K48" s="856"/>
      <c r="L48" s="856"/>
      <c r="M48" s="856"/>
      <c r="N48" s="856"/>
      <c r="O48" s="856"/>
      <c r="P48" s="2557" t="s">
        <v>1591</v>
      </c>
      <c r="Q48" s="2557"/>
      <c r="R48" s="2557"/>
      <c r="S48" s="2557"/>
      <c r="T48" s="2146" t="s">
        <v>2206</v>
      </c>
      <c r="U48" s="1275"/>
      <c r="V48" s="1275"/>
      <c r="W48" s="1275"/>
      <c r="X48" s="2353" t="s">
        <v>5246</v>
      </c>
      <c r="Y48" s="854"/>
      <c r="Z48" s="854"/>
      <c r="AA48" s="854"/>
      <c r="AB48" s="854"/>
      <c r="AC48" s="854"/>
      <c r="AD48" s="854"/>
      <c r="AE48" s="854"/>
      <c r="AF48" s="854"/>
    </row>
    <row r="49" spans="1:32" ht="87" customHeight="1" x14ac:dyDescent="0.3">
      <c r="A49" s="856" t="s">
        <v>5247</v>
      </c>
      <c r="B49" s="856"/>
      <c r="C49" s="856"/>
      <c r="D49" s="856"/>
      <c r="E49" s="856" t="s">
        <v>3912</v>
      </c>
      <c r="F49" s="856"/>
      <c r="G49" s="856"/>
      <c r="H49" s="856"/>
      <c r="I49" s="856"/>
      <c r="J49" s="856"/>
      <c r="K49" s="856"/>
      <c r="L49" s="856"/>
      <c r="M49" s="856"/>
      <c r="N49" s="856"/>
      <c r="O49" s="856"/>
      <c r="P49" s="1586">
        <v>3.45</v>
      </c>
      <c r="Q49" s="1586"/>
      <c r="R49" s="1586"/>
      <c r="S49" s="1586"/>
      <c r="T49" s="2146" t="s">
        <v>20</v>
      </c>
      <c r="U49" s="1275"/>
      <c r="V49" s="1275"/>
      <c r="W49" s="1275"/>
      <c r="X49" s="1385" t="s">
        <v>5248</v>
      </c>
      <c r="Y49" s="1385"/>
      <c r="Z49" s="1385"/>
      <c r="AA49" s="1385"/>
      <c r="AB49" s="1385"/>
      <c r="AC49" s="1385"/>
      <c r="AD49" s="1385"/>
      <c r="AE49" s="1385"/>
      <c r="AF49" s="1385"/>
    </row>
    <row r="50" spans="1:32" ht="86.25" customHeight="1" x14ac:dyDescent="0.3">
      <c r="A50" s="856" t="s">
        <v>5249</v>
      </c>
      <c r="B50" s="856"/>
      <c r="C50" s="856"/>
      <c r="D50" s="856"/>
      <c r="E50" s="856" t="s">
        <v>5250</v>
      </c>
      <c r="F50" s="856"/>
      <c r="G50" s="856"/>
      <c r="H50" s="856"/>
      <c r="I50" s="856"/>
      <c r="J50" s="856"/>
      <c r="K50" s="856"/>
      <c r="L50" s="856"/>
      <c r="M50" s="856"/>
      <c r="N50" s="856"/>
      <c r="O50" s="856"/>
      <c r="P50" s="1586">
        <v>3.45</v>
      </c>
      <c r="Q50" s="1586"/>
      <c r="R50" s="1586"/>
      <c r="S50" s="1586"/>
      <c r="T50" s="2146" t="s">
        <v>20</v>
      </c>
      <c r="U50" s="1275"/>
      <c r="V50" s="1275"/>
      <c r="W50" s="1275"/>
      <c r="X50" s="1385" t="s">
        <v>5248</v>
      </c>
      <c r="Y50" s="1385"/>
      <c r="Z50" s="1385"/>
      <c r="AA50" s="1385"/>
      <c r="AB50" s="1385"/>
      <c r="AC50" s="1385"/>
      <c r="AD50" s="1385"/>
      <c r="AE50" s="1385"/>
      <c r="AF50" s="1385"/>
    </row>
    <row r="51" spans="1:32" ht="48" customHeight="1" x14ac:dyDescent="0.3">
      <c r="A51" s="855" t="s">
        <v>2208</v>
      </c>
      <c r="B51" s="855"/>
      <c r="C51" s="855"/>
      <c r="D51" s="855"/>
      <c r="E51" s="856" t="s">
        <v>2209</v>
      </c>
      <c r="F51" s="856"/>
      <c r="G51" s="856"/>
      <c r="H51" s="856"/>
      <c r="I51" s="856"/>
      <c r="J51" s="856"/>
      <c r="K51" s="856"/>
      <c r="L51" s="856"/>
      <c r="M51" s="856"/>
      <c r="N51" s="856"/>
      <c r="O51" s="856"/>
      <c r="P51" s="1586" t="s">
        <v>1591</v>
      </c>
      <c r="Q51" s="1586"/>
      <c r="R51" s="1586"/>
      <c r="S51" s="1586"/>
      <c r="T51" s="1275" t="s">
        <v>2210</v>
      </c>
      <c r="U51" s="1275"/>
      <c r="V51" s="1275"/>
      <c r="W51" s="1275"/>
      <c r="X51" s="1186" t="s">
        <v>5251</v>
      </c>
      <c r="Y51" s="1186"/>
      <c r="Z51" s="1186"/>
      <c r="AA51" s="1186"/>
      <c r="AB51" s="1186"/>
      <c r="AC51" s="1186"/>
      <c r="AD51" s="1186"/>
      <c r="AE51" s="1186"/>
      <c r="AF51" s="1186"/>
    </row>
    <row r="52" spans="1:32" ht="71.25" customHeight="1" x14ac:dyDescent="0.3">
      <c r="A52" s="855" t="s">
        <v>2083</v>
      </c>
      <c r="B52" s="855"/>
      <c r="C52" s="855"/>
      <c r="D52" s="855"/>
      <c r="E52" s="856" t="s">
        <v>2213</v>
      </c>
      <c r="F52" s="856"/>
      <c r="G52" s="856"/>
      <c r="H52" s="856"/>
      <c r="I52" s="856"/>
      <c r="J52" s="856"/>
      <c r="K52" s="856"/>
      <c r="L52" s="856"/>
      <c r="M52" s="856"/>
      <c r="N52" s="856"/>
      <c r="O52" s="856"/>
      <c r="P52" s="2557" t="s">
        <v>5252</v>
      </c>
      <c r="Q52" s="2557"/>
      <c r="R52" s="2557"/>
      <c r="S52" s="2557"/>
      <c r="T52" s="1275" t="s">
        <v>2214</v>
      </c>
      <c r="U52" s="1275"/>
      <c r="V52" s="1275"/>
      <c r="W52" s="1275"/>
      <c r="X52" s="2353" t="s">
        <v>5253</v>
      </c>
      <c r="Y52" s="854"/>
      <c r="Z52" s="854"/>
      <c r="AA52" s="854"/>
      <c r="AB52" s="854"/>
      <c r="AC52" s="854"/>
      <c r="AD52" s="854"/>
      <c r="AE52" s="854"/>
      <c r="AF52" s="854"/>
    </row>
    <row r="53" spans="1:32" ht="30" customHeight="1" x14ac:dyDescent="0.3">
      <c r="A53" s="2559" t="s">
        <v>1472</v>
      </c>
      <c r="B53" s="2560"/>
      <c r="C53" s="2560"/>
      <c r="D53" s="2560"/>
      <c r="E53" s="856" t="s">
        <v>1473</v>
      </c>
      <c r="F53" s="856"/>
      <c r="G53" s="856"/>
      <c r="H53" s="856"/>
      <c r="I53" s="856"/>
      <c r="J53" s="856"/>
      <c r="K53" s="856"/>
      <c r="L53" s="856"/>
      <c r="M53" s="856"/>
      <c r="N53" s="856"/>
      <c r="O53" s="856"/>
      <c r="P53" s="1586">
        <v>8.3000000000000007</v>
      </c>
      <c r="Q53" s="1586"/>
      <c r="R53" s="1586"/>
      <c r="S53" s="1586"/>
      <c r="T53" s="1275" t="s">
        <v>1474</v>
      </c>
      <c r="U53" s="1275"/>
      <c r="V53" s="1275"/>
      <c r="W53" s="1275"/>
      <c r="X53" s="1538" t="s">
        <v>20</v>
      </c>
      <c r="Y53" s="1343"/>
      <c r="Z53" s="1343"/>
      <c r="AA53" s="1343"/>
      <c r="AB53" s="1343"/>
      <c r="AC53" s="1343"/>
      <c r="AD53" s="1343"/>
      <c r="AE53" s="1343"/>
      <c r="AF53" s="1343"/>
    </row>
    <row r="54" spans="1:32" ht="30" customHeight="1" x14ac:dyDescent="0.3">
      <c r="A54" s="2560" t="s">
        <v>1476</v>
      </c>
      <c r="B54" s="2560"/>
      <c r="C54" s="2560"/>
      <c r="D54" s="2560"/>
      <c r="E54" s="856" t="s">
        <v>1477</v>
      </c>
      <c r="F54" s="856"/>
      <c r="G54" s="856"/>
      <c r="H54" s="856"/>
      <c r="I54" s="856"/>
      <c r="J54" s="856"/>
      <c r="K54" s="856"/>
      <c r="L54" s="856"/>
      <c r="M54" s="856"/>
      <c r="N54" s="856"/>
      <c r="O54" s="856"/>
      <c r="P54" s="1586">
        <v>1</v>
      </c>
      <c r="Q54" s="1586"/>
      <c r="R54" s="1586"/>
      <c r="S54" s="1586"/>
      <c r="T54" s="1275" t="s">
        <v>1475</v>
      </c>
      <c r="U54" s="1275"/>
      <c r="V54" s="1275"/>
      <c r="W54" s="1275"/>
      <c r="X54" s="1538" t="s">
        <v>20</v>
      </c>
      <c r="Y54" s="1343"/>
      <c r="Z54" s="1343"/>
      <c r="AA54" s="1343"/>
      <c r="AB54" s="1343"/>
      <c r="AC54" s="1343"/>
      <c r="AD54" s="1343"/>
      <c r="AE54" s="1343"/>
      <c r="AF54" s="1343"/>
    </row>
    <row r="55" spans="1:32" ht="122.25" customHeight="1" x14ac:dyDescent="0.3">
      <c r="A55" s="855" t="s">
        <v>1478</v>
      </c>
      <c r="B55" s="855"/>
      <c r="C55" s="855"/>
      <c r="D55" s="855"/>
      <c r="E55" s="856" t="s">
        <v>1480</v>
      </c>
      <c r="F55" s="856"/>
      <c r="G55" s="856"/>
      <c r="H55" s="856"/>
      <c r="I55" s="856"/>
      <c r="J55" s="856"/>
      <c r="K55" s="856"/>
      <c r="L55" s="856"/>
      <c r="M55" s="856"/>
      <c r="N55" s="856"/>
      <c r="O55" s="856"/>
      <c r="P55" s="1586">
        <v>125</v>
      </c>
      <c r="Q55" s="1586"/>
      <c r="R55" s="1586"/>
      <c r="S55" s="1586"/>
      <c r="T55" s="1275" t="s">
        <v>158</v>
      </c>
      <c r="U55" s="1275"/>
      <c r="V55" s="1275"/>
      <c r="W55" s="1275"/>
      <c r="X55" s="1385" t="s">
        <v>5254</v>
      </c>
      <c r="Y55" s="1385"/>
      <c r="Z55" s="1385"/>
      <c r="AA55" s="1385"/>
      <c r="AB55" s="1385"/>
      <c r="AC55" s="1385"/>
      <c r="AD55" s="1385"/>
      <c r="AE55" s="1385"/>
      <c r="AF55" s="1385"/>
    </row>
    <row r="56" spans="1:32" ht="30" customHeight="1" x14ac:dyDescent="0.3">
      <c r="A56" s="855" t="s">
        <v>1479</v>
      </c>
      <c r="B56" s="855"/>
      <c r="C56" s="855"/>
      <c r="D56" s="855"/>
      <c r="E56" s="856" t="s">
        <v>1481</v>
      </c>
      <c r="F56" s="856"/>
      <c r="G56" s="856"/>
      <c r="H56" s="856"/>
      <c r="I56" s="856"/>
      <c r="J56" s="856"/>
      <c r="K56" s="856"/>
      <c r="L56" s="856"/>
      <c r="M56" s="856"/>
      <c r="N56" s="856"/>
      <c r="O56" s="856"/>
      <c r="P56" s="2312">
        <v>75</v>
      </c>
      <c r="Q56" s="2312">
        <v>8760</v>
      </c>
      <c r="R56" s="2312">
        <v>8760</v>
      </c>
      <c r="S56" s="2312">
        <v>8760</v>
      </c>
      <c r="T56" s="1275" t="s">
        <v>1482</v>
      </c>
      <c r="U56" s="1275"/>
      <c r="V56" s="1275"/>
      <c r="W56" s="1275"/>
      <c r="X56" s="1385" t="s">
        <v>5255</v>
      </c>
      <c r="Y56" s="1385"/>
      <c r="Z56" s="1385"/>
      <c r="AA56" s="1385"/>
      <c r="AB56" s="1385"/>
      <c r="AC56" s="1385"/>
      <c r="AD56" s="1385"/>
      <c r="AE56" s="1385"/>
      <c r="AF56" s="1385"/>
    </row>
    <row r="57" spans="1:32" ht="73.5" customHeight="1" x14ac:dyDescent="0.3">
      <c r="A57" s="855" t="s">
        <v>235</v>
      </c>
      <c r="B57" s="855" t="s">
        <v>206</v>
      </c>
      <c r="C57" s="855" t="s">
        <v>206</v>
      </c>
      <c r="D57" s="855" t="s">
        <v>206</v>
      </c>
      <c r="E57" s="856" t="s">
        <v>1535</v>
      </c>
      <c r="F57" s="856" t="s">
        <v>523</v>
      </c>
      <c r="G57" s="856" t="s">
        <v>523</v>
      </c>
      <c r="H57" s="856" t="s">
        <v>523</v>
      </c>
      <c r="I57" s="856" t="s">
        <v>523</v>
      </c>
      <c r="J57" s="856" t="s">
        <v>523</v>
      </c>
      <c r="K57" s="856" t="s">
        <v>523</v>
      </c>
      <c r="L57" s="856" t="s">
        <v>523</v>
      </c>
      <c r="M57" s="856" t="s">
        <v>523</v>
      </c>
      <c r="N57" s="856" t="s">
        <v>523</v>
      </c>
      <c r="O57" s="856" t="s">
        <v>523</v>
      </c>
      <c r="P57" s="1586" t="s">
        <v>1591</v>
      </c>
      <c r="Q57" s="1586"/>
      <c r="R57" s="1586"/>
      <c r="S57" s="1586"/>
      <c r="T57" s="1275" t="s">
        <v>37</v>
      </c>
      <c r="U57" s="1275"/>
      <c r="V57" s="1275"/>
      <c r="W57" s="1275"/>
      <c r="X57" s="1186" t="s">
        <v>5256</v>
      </c>
      <c r="Y57" s="1186"/>
      <c r="Z57" s="1186"/>
      <c r="AA57" s="1186"/>
      <c r="AB57" s="1186"/>
      <c r="AC57" s="1186"/>
      <c r="AD57" s="1186"/>
      <c r="AE57" s="1186"/>
      <c r="AF57" s="1186"/>
    </row>
    <row r="58" spans="1:32" ht="90.75" customHeight="1" x14ac:dyDescent="0.3">
      <c r="A58" s="855" t="s">
        <v>443</v>
      </c>
      <c r="B58" s="855" t="s">
        <v>443</v>
      </c>
      <c r="C58" s="855" t="s">
        <v>443</v>
      </c>
      <c r="D58" s="855" t="s">
        <v>443</v>
      </c>
      <c r="E58" s="856" t="s">
        <v>1460</v>
      </c>
      <c r="F58" s="856" t="s">
        <v>444</v>
      </c>
      <c r="G58" s="856" t="s">
        <v>444</v>
      </c>
      <c r="H58" s="856" t="s">
        <v>444</v>
      </c>
      <c r="I58" s="856" t="s">
        <v>444</v>
      </c>
      <c r="J58" s="856" t="s">
        <v>444</v>
      </c>
      <c r="K58" s="856" t="s">
        <v>444</v>
      </c>
      <c r="L58" s="856" t="s">
        <v>444</v>
      </c>
      <c r="M58" s="856" t="s">
        <v>444</v>
      </c>
      <c r="N58" s="856" t="s">
        <v>444</v>
      </c>
      <c r="O58" s="856" t="s">
        <v>444</v>
      </c>
      <c r="P58" s="2591" t="s">
        <v>1591</v>
      </c>
      <c r="Q58" s="2591"/>
      <c r="R58" s="2591"/>
      <c r="S58" s="2591"/>
      <c r="T58" s="1275" t="s">
        <v>20</v>
      </c>
      <c r="U58" s="1275"/>
      <c r="V58" s="1275"/>
      <c r="W58" s="1275"/>
      <c r="X58" s="1186" t="s">
        <v>5257</v>
      </c>
      <c r="Y58" s="1186"/>
      <c r="Z58" s="1186"/>
      <c r="AA58" s="1186"/>
      <c r="AB58" s="1186"/>
      <c r="AC58" s="1186"/>
      <c r="AD58" s="1186"/>
      <c r="AE58" s="1186"/>
      <c r="AF58" s="1186"/>
    </row>
    <row r="59" spans="1:32" ht="30" customHeight="1" x14ac:dyDescent="0.3">
      <c r="A59" s="1154" t="s">
        <v>1869</v>
      </c>
      <c r="B59" s="1155" t="s">
        <v>26</v>
      </c>
      <c r="C59" s="1155" t="s">
        <v>26</v>
      </c>
      <c r="D59" s="1156" t="s">
        <v>26</v>
      </c>
      <c r="E59" s="856" t="s">
        <v>2050</v>
      </c>
      <c r="F59" s="856" t="s">
        <v>208</v>
      </c>
      <c r="G59" s="856" t="s">
        <v>208</v>
      </c>
      <c r="H59" s="856" t="s">
        <v>208</v>
      </c>
      <c r="I59" s="856" t="s">
        <v>208</v>
      </c>
      <c r="J59" s="856" t="s">
        <v>208</v>
      </c>
      <c r="K59" s="856" t="s">
        <v>208</v>
      </c>
      <c r="L59" s="856" t="s">
        <v>208</v>
      </c>
      <c r="M59" s="856" t="s">
        <v>208</v>
      </c>
      <c r="N59" s="856" t="s">
        <v>208</v>
      </c>
      <c r="O59" s="856" t="s">
        <v>208</v>
      </c>
      <c r="P59" s="1586">
        <f>'Master EUL'!X65</f>
        <v>10</v>
      </c>
      <c r="Q59" s="1586"/>
      <c r="R59" s="1586"/>
      <c r="S59" s="1586"/>
      <c r="T59" s="1275" t="s">
        <v>38</v>
      </c>
      <c r="U59" s="1275"/>
      <c r="V59" s="1275"/>
      <c r="W59" s="1275"/>
      <c r="X59" s="1385" t="s">
        <v>1899</v>
      </c>
      <c r="Y59" s="1385"/>
      <c r="Z59" s="1385"/>
      <c r="AA59" s="1385"/>
      <c r="AB59" s="1385"/>
      <c r="AC59" s="1385"/>
      <c r="AD59" s="1385"/>
      <c r="AE59" s="1385"/>
      <c r="AF59" s="1385"/>
    </row>
    <row r="60" spans="1:32" ht="30" customHeight="1" x14ac:dyDescent="0.3">
      <c r="A60" s="1406" t="s">
        <v>5258</v>
      </c>
      <c r="B60" s="1406"/>
      <c r="C60" s="1406"/>
      <c r="D60" s="1406"/>
      <c r="E60" s="1406"/>
      <c r="F60" s="1406"/>
      <c r="G60" s="1406"/>
      <c r="H60" s="1406"/>
      <c r="I60" s="1406"/>
      <c r="J60" s="1406"/>
      <c r="K60" s="1406"/>
      <c r="L60" s="1406"/>
      <c r="M60" s="1406"/>
      <c r="N60" s="1406"/>
      <c r="O60" s="1406"/>
      <c r="P60" s="1406"/>
      <c r="Q60" s="1406"/>
      <c r="R60" s="1406"/>
      <c r="S60" s="1406"/>
      <c r="T60" s="1406"/>
      <c r="U60" s="1406"/>
      <c r="V60" s="1406"/>
      <c r="W60" s="1406"/>
      <c r="X60" s="1406"/>
      <c r="Y60" s="1406"/>
      <c r="Z60" s="1406"/>
      <c r="AA60" s="1406"/>
      <c r="AB60" s="1406"/>
      <c r="AC60" s="1406"/>
      <c r="AD60" s="1406"/>
      <c r="AE60" s="1406"/>
      <c r="AF60" s="1406"/>
    </row>
    <row r="61" spans="1:32" ht="30" customHeight="1" x14ac:dyDescent="0.3">
      <c r="A61" s="998" t="s">
        <v>5259</v>
      </c>
      <c r="B61" s="998"/>
      <c r="C61" s="998"/>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row>
    <row r="62" spans="1:32" ht="30" customHeight="1" x14ac:dyDescent="0.3">
      <c r="A62" s="998" t="s">
        <v>5260</v>
      </c>
      <c r="B62" s="998"/>
      <c r="C62" s="998"/>
      <c r="D62" s="998"/>
      <c r="E62" s="998"/>
      <c r="F62" s="998"/>
      <c r="G62" s="998"/>
      <c r="H62" s="998"/>
      <c r="I62" s="998"/>
      <c r="J62" s="998"/>
      <c r="K62" s="998"/>
      <c r="L62" s="998"/>
      <c r="M62" s="998"/>
      <c r="N62" s="998"/>
      <c r="O62" s="998"/>
      <c r="P62" s="998"/>
      <c r="Q62" s="998"/>
      <c r="R62" s="998"/>
      <c r="S62" s="998"/>
      <c r="T62" s="998"/>
      <c r="U62" s="998"/>
      <c r="V62" s="998"/>
      <c r="W62" s="998"/>
      <c r="X62" s="998"/>
      <c r="Y62" s="998"/>
      <c r="Z62" s="998"/>
      <c r="AA62" s="998"/>
      <c r="AB62" s="998"/>
      <c r="AC62" s="998"/>
      <c r="AD62" s="998"/>
      <c r="AE62" s="998"/>
      <c r="AF62" s="998"/>
    </row>
    <row r="63" spans="1:32" ht="30" customHeight="1" x14ac:dyDescent="0.3">
      <c r="A63" s="998" t="s">
        <v>5261</v>
      </c>
      <c r="B63" s="998"/>
      <c r="C63" s="998"/>
      <c r="D63" s="998"/>
      <c r="E63" s="998"/>
      <c r="F63" s="998"/>
      <c r="G63" s="998"/>
      <c r="H63" s="998"/>
      <c r="I63" s="998"/>
      <c r="J63" s="998"/>
      <c r="K63" s="998"/>
      <c r="L63" s="998"/>
      <c r="M63" s="998"/>
      <c r="N63" s="998"/>
      <c r="O63" s="998"/>
      <c r="P63" s="998"/>
      <c r="Q63" s="998"/>
      <c r="R63" s="998"/>
      <c r="S63" s="998"/>
      <c r="T63" s="998"/>
      <c r="U63" s="998"/>
      <c r="V63" s="998"/>
      <c r="W63" s="998"/>
      <c r="X63" s="998"/>
      <c r="Y63" s="998"/>
      <c r="Z63" s="998"/>
      <c r="AA63" s="998"/>
      <c r="AB63" s="998"/>
      <c r="AC63" s="998"/>
      <c r="AD63" s="998"/>
      <c r="AE63" s="998"/>
      <c r="AF63" s="998"/>
    </row>
    <row r="64" spans="1:32" x14ac:dyDescent="0.3">
      <c r="A64" s="998" t="s">
        <v>5262</v>
      </c>
      <c r="B64" s="998"/>
      <c r="C64" s="998"/>
      <c r="D64" s="998"/>
      <c r="E64" s="998"/>
      <c r="F64" s="998"/>
      <c r="G64" s="998"/>
      <c r="H64" s="998"/>
      <c r="I64" s="998"/>
      <c r="J64" s="998"/>
      <c r="K64" s="998"/>
      <c r="L64" s="998"/>
      <c r="M64" s="998"/>
      <c r="N64" s="998"/>
      <c r="O64" s="998"/>
      <c r="P64" s="998"/>
      <c r="Q64" s="998"/>
      <c r="R64" s="998"/>
      <c r="S64" s="998"/>
      <c r="T64" s="998"/>
      <c r="U64" s="998"/>
      <c r="V64" s="998"/>
      <c r="W64" s="998"/>
      <c r="X64" s="998"/>
      <c r="Y64" s="998"/>
      <c r="Z64" s="998"/>
      <c r="AA64" s="998"/>
      <c r="AB64" s="998"/>
      <c r="AC64" s="998"/>
      <c r="AD64" s="998"/>
      <c r="AE64" s="998"/>
      <c r="AF64" s="998"/>
    </row>
    <row r="65" spans="1:32" x14ac:dyDescent="0.3">
      <c r="A65" s="316"/>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row>
    <row r="66" spans="1:32" x14ac:dyDescent="0.3">
      <c r="A66" s="276" t="s">
        <v>5263</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row>
    <row r="67" spans="1:32" x14ac:dyDescent="0.3">
      <c r="A67" s="714"/>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row>
    <row r="68" spans="1:32" x14ac:dyDescent="0.3">
      <c r="A68" s="714"/>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row>
    <row r="69" spans="1:32" x14ac:dyDescent="0.3">
      <c r="A69" s="714"/>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row>
    <row r="70" spans="1:32" x14ac:dyDescent="0.3">
      <c r="A70" s="714"/>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row>
    <row r="71" spans="1:32" x14ac:dyDescent="0.3">
      <c r="A71" s="714"/>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row>
    <row r="72" spans="1:32" x14ac:dyDescent="0.3">
      <c r="A72" s="714"/>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row>
    <row r="73" spans="1:32" x14ac:dyDescent="0.3">
      <c r="A73" s="714"/>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row>
    <row r="74" spans="1:32" x14ac:dyDescent="0.3">
      <c r="A74" s="714"/>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row>
    <row r="75" spans="1:32" x14ac:dyDescent="0.3">
      <c r="A75" s="714"/>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row>
    <row r="76" spans="1:32" x14ac:dyDescent="0.3">
      <c r="A76" s="714"/>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row>
    <row r="77" spans="1:32" ht="37.5" customHeight="1" x14ac:dyDescent="0.3">
      <c r="A77" s="998" t="s">
        <v>5264</v>
      </c>
      <c r="B77" s="998"/>
      <c r="C77" s="998"/>
      <c r="D77" s="998"/>
      <c r="E77" s="998"/>
      <c r="F77" s="998"/>
      <c r="G77" s="998"/>
      <c r="H77" s="998"/>
      <c r="I77" s="998"/>
      <c r="J77" s="998"/>
      <c r="K77" s="998"/>
      <c r="L77" s="998"/>
      <c r="M77" s="998"/>
      <c r="N77" s="998"/>
      <c r="O77" s="998"/>
      <c r="P77" s="998"/>
      <c r="Q77" s="998"/>
      <c r="R77" s="998"/>
      <c r="S77" s="998"/>
      <c r="T77" s="998"/>
      <c r="U77" s="998"/>
      <c r="V77" s="998"/>
      <c r="W77" s="998"/>
      <c r="X77" s="998"/>
      <c r="Y77" s="998"/>
      <c r="Z77" s="998"/>
      <c r="AA77" s="998"/>
      <c r="AB77" s="998"/>
      <c r="AC77" s="998"/>
      <c r="AD77" s="998"/>
      <c r="AE77" s="998"/>
      <c r="AF77" s="316"/>
    </row>
    <row r="78" spans="1:32" x14ac:dyDescent="0.3">
      <c r="A78" s="709"/>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316"/>
      <c r="AF78" s="316"/>
    </row>
    <row r="79" spans="1:32" x14ac:dyDescent="0.3">
      <c r="A79" s="548" t="s">
        <v>5265</v>
      </c>
      <c r="B79" s="8"/>
      <c r="C79" s="8"/>
      <c r="D79" s="548"/>
      <c r="E79" s="548"/>
      <c r="F79" s="548"/>
      <c r="G79" s="548"/>
      <c r="H79" s="548"/>
      <c r="I79" s="548"/>
      <c r="J79" s="548"/>
      <c r="K79" s="548"/>
      <c r="L79" s="548"/>
      <c r="M79" s="548"/>
      <c r="N79" s="548"/>
      <c r="O79" s="548"/>
      <c r="P79" s="548"/>
      <c r="Q79" s="548"/>
      <c r="R79" s="548"/>
      <c r="S79" s="148"/>
      <c r="T79" s="7"/>
      <c r="U79" s="7"/>
      <c r="V79" s="7"/>
      <c r="W79" s="7"/>
      <c r="X79" s="7"/>
      <c r="Y79" s="7"/>
      <c r="Z79" s="7"/>
      <c r="AA79" s="7"/>
      <c r="AB79" s="7"/>
      <c r="AC79" s="7"/>
      <c r="AD79" s="7"/>
      <c r="AE79" s="7"/>
      <c r="AF79" s="7"/>
    </row>
    <row r="80" spans="1:32" ht="30" customHeight="1" x14ac:dyDescent="0.3">
      <c r="A80" s="2594" t="s">
        <v>3914</v>
      </c>
      <c r="B80" s="2594"/>
      <c r="C80" s="2594"/>
      <c r="D80" s="2594"/>
      <c r="E80" s="2594"/>
      <c r="F80" s="2594"/>
      <c r="G80" s="2594"/>
      <c r="H80" s="2594"/>
      <c r="I80" s="2594"/>
      <c r="J80" s="2594"/>
      <c r="K80" s="2594"/>
      <c r="L80" s="2594"/>
      <c r="M80" s="2594"/>
      <c r="N80" s="2594"/>
      <c r="O80" s="2594"/>
      <c r="P80" s="2594"/>
      <c r="Q80" s="2594"/>
      <c r="R80" s="2594"/>
      <c r="S80" s="2594" t="s">
        <v>5266</v>
      </c>
      <c r="T80" s="2594"/>
      <c r="U80" s="2594"/>
      <c r="V80" s="2594"/>
      <c r="W80" s="2594"/>
      <c r="X80" s="2594"/>
      <c r="Y80" s="2594"/>
      <c r="Z80" s="2594"/>
      <c r="AA80" s="2594"/>
      <c r="AB80" s="2594"/>
      <c r="AC80" s="2594"/>
      <c r="AD80" s="2594"/>
      <c r="AE80" s="2594"/>
      <c r="AF80" s="7"/>
    </row>
    <row r="81" spans="1:32" x14ac:dyDescent="0.3">
      <c r="A81" s="2595" t="s">
        <v>3915</v>
      </c>
      <c r="B81" s="2596"/>
      <c r="C81" s="2596"/>
      <c r="D81" s="2596"/>
      <c r="E81" s="2596"/>
      <c r="F81" s="2596"/>
      <c r="G81" s="2596"/>
      <c r="H81" s="2597"/>
      <c r="I81" s="2604" t="s">
        <v>5267</v>
      </c>
      <c r="J81" s="2605"/>
      <c r="K81" s="2605"/>
      <c r="L81" s="2605"/>
      <c r="M81" s="2605"/>
      <c r="N81" s="2605"/>
      <c r="O81" s="2605"/>
      <c r="P81" s="2605"/>
      <c r="Q81" s="2605"/>
      <c r="R81" s="2606"/>
      <c r="S81" s="2593" t="s">
        <v>5268</v>
      </c>
      <c r="T81" s="2593"/>
      <c r="U81" s="2593"/>
      <c r="V81" s="2593"/>
      <c r="W81" s="2593"/>
      <c r="X81" s="2593"/>
      <c r="Y81" s="2593"/>
      <c r="Z81" s="2593"/>
      <c r="AA81" s="2593"/>
      <c r="AB81" s="2593"/>
      <c r="AC81" s="2593"/>
      <c r="AD81" s="2593"/>
      <c r="AE81" s="2593"/>
      <c r="AF81" s="7"/>
    </row>
    <row r="82" spans="1:32" ht="30" customHeight="1" x14ac:dyDescent="0.3">
      <c r="A82" s="2598"/>
      <c r="B82" s="2599"/>
      <c r="C82" s="2599"/>
      <c r="D82" s="2599"/>
      <c r="E82" s="2599"/>
      <c r="F82" s="2599"/>
      <c r="G82" s="2599"/>
      <c r="H82" s="2600"/>
      <c r="I82" s="2604" t="s">
        <v>5269</v>
      </c>
      <c r="J82" s="2605"/>
      <c r="K82" s="2605"/>
      <c r="L82" s="2605"/>
      <c r="M82" s="2605"/>
      <c r="N82" s="2605"/>
      <c r="O82" s="2605"/>
      <c r="P82" s="2605"/>
      <c r="Q82" s="2605"/>
      <c r="R82" s="2606"/>
      <c r="S82" s="2592" t="s">
        <v>5270</v>
      </c>
      <c r="T82" s="2592"/>
      <c r="U82" s="2592"/>
      <c r="V82" s="2592"/>
      <c r="W82" s="2592"/>
      <c r="X82" s="2592"/>
      <c r="Y82" s="2592"/>
      <c r="Z82" s="2592"/>
      <c r="AA82" s="2592"/>
      <c r="AB82" s="2592"/>
      <c r="AC82" s="2592"/>
      <c r="AD82" s="2592"/>
      <c r="AE82" s="2592"/>
      <c r="AF82" s="7"/>
    </row>
    <row r="83" spans="1:32" x14ac:dyDescent="0.3">
      <c r="A83" s="2601"/>
      <c r="B83" s="2602"/>
      <c r="C83" s="2602"/>
      <c r="D83" s="2602"/>
      <c r="E83" s="2602"/>
      <c r="F83" s="2602"/>
      <c r="G83" s="2602"/>
      <c r="H83" s="2603"/>
      <c r="I83" s="2604" t="s">
        <v>5271</v>
      </c>
      <c r="J83" s="2605"/>
      <c r="K83" s="2605"/>
      <c r="L83" s="2605"/>
      <c r="M83" s="2605"/>
      <c r="N83" s="2605"/>
      <c r="O83" s="2605"/>
      <c r="P83" s="2605"/>
      <c r="Q83" s="2605"/>
      <c r="R83" s="2606"/>
      <c r="S83" s="2593" t="s">
        <v>5270</v>
      </c>
      <c r="T83" s="2593"/>
      <c r="U83" s="2593"/>
      <c r="V83" s="2593"/>
      <c r="W83" s="2593"/>
      <c r="X83" s="2593"/>
      <c r="Y83" s="2593"/>
      <c r="Z83" s="2593"/>
      <c r="AA83" s="2593"/>
      <c r="AB83" s="2593"/>
      <c r="AC83" s="2593"/>
      <c r="AD83" s="2593"/>
      <c r="AE83" s="2593"/>
      <c r="AF83" s="7"/>
    </row>
    <row r="84" spans="1:32" x14ac:dyDescent="0.3">
      <c r="A84" s="2592" t="s">
        <v>3916</v>
      </c>
      <c r="B84" s="2592"/>
      <c r="C84" s="2592"/>
      <c r="D84" s="2592"/>
      <c r="E84" s="2592"/>
      <c r="F84" s="2592"/>
      <c r="G84" s="2592"/>
      <c r="H84" s="2592"/>
      <c r="I84" s="2592"/>
      <c r="J84" s="2592"/>
      <c r="K84" s="2592"/>
      <c r="L84" s="2592"/>
      <c r="M84" s="2592"/>
      <c r="N84" s="2592"/>
      <c r="O84" s="2592"/>
      <c r="P84" s="2592"/>
      <c r="Q84" s="2592"/>
      <c r="R84" s="2592"/>
      <c r="S84" s="2593" t="s">
        <v>3917</v>
      </c>
      <c r="T84" s="2593"/>
      <c r="U84" s="2593"/>
      <c r="V84" s="2593"/>
      <c r="W84" s="2593"/>
      <c r="X84" s="2593"/>
      <c r="Y84" s="2593"/>
      <c r="Z84" s="2593"/>
      <c r="AA84" s="2593"/>
      <c r="AB84" s="2593"/>
      <c r="AC84" s="2593"/>
      <c r="AD84" s="2593"/>
      <c r="AE84" s="2593"/>
      <c r="AF84" s="7"/>
    </row>
    <row r="85" spans="1:32" x14ac:dyDescent="0.3">
      <c r="A85" s="2592" t="s">
        <v>3918</v>
      </c>
      <c r="B85" s="2592"/>
      <c r="C85" s="2592"/>
      <c r="D85" s="2592"/>
      <c r="E85" s="2592"/>
      <c r="F85" s="2592"/>
      <c r="G85" s="2592"/>
      <c r="H85" s="2592"/>
      <c r="I85" s="2592"/>
      <c r="J85" s="2592"/>
      <c r="K85" s="2592"/>
      <c r="L85" s="2592"/>
      <c r="M85" s="2592"/>
      <c r="N85" s="2592"/>
      <c r="O85" s="2592"/>
      <c r="P85" s="2592"/>
      <c r="Q85" s="2592"/>
      <c r="R85" s="2592"/>
      <c r="S85" s="2593" t="s">
        <v>3919</v>
      </c>
      <c r="T85" s="2593"/>
      <c r="U85" s="2593"/>
      <c r="V85" s="2593"/>
      <c r="W85" s="2593"/>
      <c r="X85" s="2593"/>
      <c r="Y85" s="2593"/>
      <c r="Z85" s="2593"/>
      <c r="AA85" s="2593"/>
      <c r="AB85" s="2593"/>
      <c r="AC85" s="2593"/>
      <c r="AD85" s="2593"/>
      <c r="AE85" s="2593"/>
      <c r="AF85" s="7"/>
    </row>
    <row r="86" spans="1:32" x14ac:dyDescent="0.3">
      <c r="A86" s="2592" t="s">
        <v>3920</v>
      </c>
      <c r="B86" s="2592"/>
      <c r="C86" s="2592"/>
      <c r="D86" s="2592"/>
      <c r="E86" s="2592"/>
      <c r="F86" s="2592"/>
      <c r="G86" s="2592"/>
      <c r="H86" s="2592"/>
      <c r="I86" s="2592"/>
      <c r="J86" s="2592"/>
      <c r="K86" s="2592"/>
      <c r="L86" s="2592"/>
      <c r="M86" s="2592"/>
      <c r="N86" s="2592"/>
      <c r="O86" s="2592"/>
      <c r="P86" s="2592"/>
      <c r="Q86" s="2592"/>
      <c r="R86" s="2592"/>
      <c r="S86" s="2593" t="s">
        <v>3921</v>
      </c>
      <c r="T86" s="2593"/>
      <c r="U86" s="2593"/>
      <c r="V86" s="2593"/>
      <c r="W86" s="2593"/>
      <c r="X86" s="2593"/>
      <c r="Y86" s="2593"/>
      <c r="Z86" s="2593"/>
      <c r="AA86" s="2593"/>
      <c r="AB86" s="2593"/>
      <c r="AC86" s="2593"/>
      <c r="AD86" s="2593"/>
      <c r="AE86" s="2593"/>
      <c r="AF86" s="7"/>
    </row>
    <row r="87" spans="1:32" ht="61.5" customHeight="1" x14ac:dyDescent="0.3">
      <c r="A87" s="2592" t="s">
        <v>3922</v>
      </c>
      <c r="B87" s="2592"/>
      <c r="C87" s="2592"/>
      <c r="D87" s="2592"/>
      <c r="E87" s="2592"/>
      <c r="F87" s="2592"/>
      <c r="G87" s="2592"/>
      <c r="H87" s="2592"/>
      <c r="I87" s="2592"/>
      <c r="J87" s="2592"/>
      <c r="K87" s="2592"/>
      <c r="L87" s="2592"/>
      <c r="M87" s="2592"/>
      <c r="N87" s="2592"/>
      <c r="O87" s="2592"/>
      <c r="P87" s="2592"/>
      <c r="Q87" s="2592"/>
      <c r="R87" s="2592"/>
      <c r="S87" s="2593" t="s">
        <v>3923</v>
      </c>
      <c r="T87" s="2593"/>
      <c r="U87" s="2593"/>
      <c r="V87" s="2593"/>
      <c r="W87" s="2593"/>
      <c r="X87" s="2593"/>
      <c r="Y87" s="2593"/>
      <c r="Z87" s="2593"/>
      <c r="AA87" s="2593"/>
      <c r="AB87" s="2593"/>
      <c r="AC87" s="2593"/>
      <c r="AD87" s="2593"/>
      <c r="AE87" s="2593"/>
      <c r="AF87" s="7"/>
    </row>
    <row r="88" spans="1:32" ht="41.25" customHeight="1" x14ac:dyDescent="0.3">
      <c r="A88" s="998" t="s">
        <v>5272</v>
      </c>
      <c r="B88" s="998"/>
      <c r="C88" s="998"/>
      <c r="D88" s="998"/>
      <c r="E88" s="998"/>
      <c r="F88" s="998"/>
      <c r="G88" s="998"/>
      <c r="H88" s="998"/>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7"/>
    </row>
    <row r="89" spans="1:32" x14ac:dyDescent="0.3">
      <c r="A89" s="511"/>
      <c r="B89" s="511"/>
      <c r="C89" s="511"/>
      <c r="D89" s="511"/>
      <c r="E89" s="511"/>
      <c r="F89" s="511"/>
      <c r="G89" s="511"/>
      <c r="H89" s="511"/>
      <c r="I89" s="511"/>
      <c r="J89" s="511"/>
      <c r="K89" s="511"/>
      <c r="L89" s="511"/>
      <c r="M89" s="511"/>
      <c r="N89" s="511"/>
      <c r="O89" s="511"/>
      <c r="P89" s="511"/>
      <c r="Q89" s="511"/>
      <c r="R89" s="511"/>
      <c r="S89" s="511"/>
      <c r="T89" s="511"/>
      <c r="U89" s="511"/>
      <c r="V89" s="511"/>
      <c r="W89" s="511"/>
      <c r="X89" s="511"/>
      <c r="Y89" s="511"/>
      <c r="Z89" s="511"/>
      <c r="AA89" s="511"/>
      <c r="AB89" s="511"/>
      <c r="AC89" s="511"/>
      <c r="AD89" s="511"/>
      <c r="AE89" s="511"/>
      <c r="AF89" s="7"/>
    </row>
    <row r="90" spans="1:32" x14ac:dyDescent="0.3">
      <c r="A90" s="600" t="s">
        <v>5273</v>
      </c>
    </row>
    <row r="91" spans="1:32" ht="33" customHeight="1" x14ac:dyDescent="0.3">
      <c r="A91" s="2430" t="s">
        <v>46</v>
      </c>
      <c r="B91" s="2430"/>
      <c r="C91" s="2430"/>
      <c r="D91" s="2430"/>
      <c r="E91" s="2430" t="s">
        <v>5274</v>
      </c>
      <c r="F91" s="2430"/>
      <c r="G91" s="2430"/>
      <c r="H91" s="2430"/>
      <c r="I91" s="2430" t="s">
        <v>5242</v>
      </c>
      <c r="J91" s="2430"/>
      <c r="K91" s="2430"/>
      <c r="L91" s="2430"/>
      <c r="M91" s="2430" t="s">
        <v>5275</v>
      </c>
      <c r="N91" s="2430"/>
      <c r="O91" s="2430"/>
      <c r="P91" s="2430"/>
      <c r="Q91" s="2430" t="s">
        <v>5276</v>
      </c>
      <c r="R91" s="2430"/>
      <c r="S91" s="2430"/>
      <c r="T91" s="2430"/>
      <c r="U91" s="2430" t="s">
        <v>5277</v>
      </c>
      <c r="V91" s="2430"/>
      <c r="W91" s="2430"/>
      <c r="X91" s="2430"/>
      <c r="Y91" s="2430" t="s">
        <v>235</v>
      </c>
      <c r="Z91" s="2430"/>
      <c r="AA91" s="2430"/>
      <c r="AB91" s="2430"/>
      <c r="AC91" s="2430" t="s">
        <v>21</v>
      </c>
      <c r="AD91" s="2430"/>
      <c r="AE91" s="2430"/>
      <c r="AF91" s="2430"/>
    </row>
    <row r="92" spans="1:32" x14ac:dyDescent="0.3">
      <c r="A92" s="2424" t="s">
        <v>47</v>
      </c>
      <c r="B92" s="2424"/>
      <c r="C92" s="2424"/>
      <c r="D92" s="2424"/>
      <c r="E92" s="2424">
        <v>48</v>
      </c>
      <c r="F92" s="2424"/>
      <c r="G92" s="2424"/>
      <c r="H92" s="2424"/>
      <c r="I92" s="2424" t="s">
        <v>5278</v>
      </c>
      <c r="J92" s="2424"/>
      <c r="K92" s="2424"/>
      <c r="L92" s="2424"/>
      <c r="M92" s="2424">
        <v>0.84240000000000004</v>
      </c>
      <c r="N92" s="2424"/>
      <c r="O92" s="2424"/>
      <c r="P92" s="2424"/>
      <c r="Q92" s="2607">
        <v>2.0699999999999998</v>
      </c>
      <c r="R92" s="2607"/>
      <c r="S92" s="2607"/>
      <c r="T92" s="2607"/>
      <c r="U92" s="2608">
        <v>2690</v>
      </c>
      <c r="V92" s="2608"/>
      <c r="W92" s="2608"/>
      <c r="X92" s="2608"/>
      <c r="Y92" s="2608">
        <f>'EFLH &amp; CF'!I80</f>
        <v>2632</v>
      </c>
      <c r="Z92" s="2608"/>
      <c r="AA92" s="2608"/>
      <c r="AB92" s="2608"/>
      <c r="AC92" s="2607">
        <f>'EFLH &amp; CF'!M80</f>
        <v>0.3</v>
      </c>
      <c r="AD92" s="2607"/>
      <c r="AE92" s="2607"/>
      <c r="AF92" s="2607"/>
    </row>
    <row r="93" spans="1:32" x14ac:dyDescent="0.3">
      <c r="A93" s="2424" t="s">
        <v>213</v>
      </c>
      <c r="B93" s="2424"/>
      <c r="C93" s="2424"/>
      <c r="D93" s="2424"/>
      <c r="E93" s="2424">
        <v>50</v>
      </c>
      <c r="F93" s="2424"/>
      <c r="G93" s="2424"/>
      <c r="H93" s="2424"/>
      <c r="I93" s="2424" t="s">
        <v>5279</v>
      </c>
      <c r="J93" s="2424"/>
      <c r="K93" s="2424"/>
      <c r="L93" s="2424"/>
      <c r="M93" s="2424">
        <v>0.91039999999999999</v>
      </c>
      <c r="N93" s="2424"/>
      <c r="O93" s="2424"/>
      <c r="P93" s="2424"/>
      <c r="Q93" s="2607">
        <v>10.6</v>
      </c>
      <c r="R93" s="2607"/>
      <c r="S93" s="2607"/>
      <c r="T93" s="2607"/>
      <c r="U93" s="2608">
        <v>1980</v>
      </c>
      <c r="V93" s="2608"/>
      <c r="W93" s="2608"/>
      <c r="X93" s="2608"/>
      <c r="Y93" s="2608">
        <f>'EFLH &amp; CF'!I76</f>
        <v>4406</v>
      </c>
      <c r="Z93" s="2608"/>
      <c r="AA93" s="2608"/>
      <c r="AB93" s="2608"/>
      <c r="AC93" s="2607">
        <f>'EFLH &amp; CF'!M76</f>
        <v>0.6</v>
      </c>
      <c r="AD93" s="2607"/>
      <c r="AE93" s="2607"/>
      <c r="AF93" s="2607"/>
    </row>
    <row r="94" spans="1:32" x14ac:dyDescent="0.3">
      <c r="A94" s="2424" t="s">
        <v>217</v>
      </c>
      <c r="B94" s="2424"/>
      <c r="C94" s="2424"/>
      <c r="D94" s="2424"/>
      <c r="E94" s="2424">
        <v>65</v>
      </c>
      <c r="F94" s="2424"/>
      <c r="G94" s="2424"/>
      <c r="H94" s="2424"/>
      <c r="I94" s="2424" t="s">
        <v>5280</v>
      </c>
      <c r="J94" s="2424"/>
      <c r="K94" s="2424"/>
      <c r="L94" s="2424"/>
      <c r="M94" s="2424">
        <v>2.1703000000000001</v>
      </c>
      <c r="N94" s="2424"/>
      <c r="O94" s="2424"/>
      <c r="P94" s="2424"/>
      <c r="Q94" s="2607">
        <v>74.91</v>
      </c>
      <c r="R94" s="2607"/>
      <c r="S94" s="2607"/>
      <c r="T94" s="2607"/>
      <c r="U94" s="2608">
        <v>2060</v>
      </c>
      <c r="V94" s="2608"/>
      <c r="W94" s="2608"/>
      <c r="X94" s="2608"/>
      <c r="Y94" s="2608">
        <f>'EFLH &amp; CF'!I81</f>
        <v>3947</v>
      </c>
      <c r="Z94" s="2608"/>
      <c r="AA94" s="2608"/>
      <c r="AB94" s="2608"/>
      <c r="AC94" s="2607">
        <f>'EFLH &amp; CF'!M81</f>
        <v>0.74</v>
      </c>
      <c r="AD94" s="2607"/>
      <c r="AE94" s="2607"/>
      <c r="AF94" s="2607"/>
    </row>
    <row r="96" spans="1:32" x14ac:dyDescent="0.3">
      <c r="M96" s="319"/>
      <c r="N96" s="319"/>
      <c r="O96" s="319"/>
      <c r="P96" s="319"/>
      <c r="Q96" s="319"/>
      <c r="R96" s="319"/>
      <c r="S96" s="319"/>
      <c r="T96" s="319"/>
      <c r="U96" s="319"/>
      <c r="V96" s="319"/>
      <c r="W96" s="319"/>
      <c r="X96" s="319"/>
    </row>
    <row r="97" spans="1:32" x14ac:dyDescent="0.3">
      <c r="A97" s="1141" t="s">
        <v>14</v>
      </c>
      <c r="B97" s="1141"/>
      <c r="C97" s="1141"/>
      <c r="D97" s="1141"/>
      <c r="E97" s="1141"/>
      <c r="F97" s="1141"/>
      <c r="G97" s="1141"/>
      <c r="H97" s="1141"/>
      <c r="I97" s="1141"/>
      <c r="J97" s="1141"/>
      <c r="K97" s="1141"/>
      <c r="L97" s="1141"/>
      <c r="M97" s="1141"/>
      <c r="N97" s="1141"/>
      <c r="O97" s="1141"/>
      <c r="P97" s="1141"/>
      <c r="Q97" s="1141"/>
      <c r="R97" s="1141"/>
      <c r="S97" s="1141"/>
      <c r="T97" s="1141"/>
      <c r="U97" s="1141"/>
      <c r="V97" s="1141"/>
      <c r="W97" s="1141"/>
      <c r="X97" s="1141"/>
      <c r="Y97" s="1141"/>
      <c r="Z97" s="1141"/>
      <c r="AA97" s="1141"/>
      <c r="AB97" s="1141"/>
      <c r="AC97" s="1141"/>
      <c r="AD97" s="1141"/>
      <c r="AE97" s="1141"/>
      <c r="AF97" s="1141"/>
    </row>
    <row r="99" spans="1:32" x14ac:dyDescent="0.3">
      <c r="B99" s="232" t="s">
        <v>1496</v>
      </c>
      <c r="S99" s="1"/>
    </row>
    <row r="100" spans="1:32" ht="16.2" thickBot="1" x14ac:dyDescent="0.35">
      <c r="A100" s="21"/>
      <c r="B100" s="21"/>
      <c r="C100" s="21"/>
      <c r="D100" s="21"/>
      <c r="E100" s="21"/>
      <c r="F100" s="21"/>
      <c r="G100" s="21"/>
      <c r="H100" s="21"/>
      <c r="I100" s="21"/>
    </row>
    <row r="101" spans="1:32" ht="30.75" customHeight="1" x14ac:dyDescent="0.3">
      <c r="A101" s="1252" t="s">
        <v>15</v>
      </c>
      <c r="B101" s="1253"/>
      <c r="C101" s="1253"/>
      <c r="D101" s="1253"/>
      <c r="E101" s="1253"/>
      <c r="F101" s="1253"/>
      <c r="G101" s="1253"/>
      <c r="H101" s="1253"/>
      <c r="I101" s="1278" t="s">
        <v>2780</v>
      </c>
      <c r="J101" s="1253"/>
      <c r="K101" s="1253"/>
      <c r="L101" s="1253"/>
      <c r="M101" s="1253"/>
      <c r="N101" s="1253"/>
      <c r="O101" s="1253"/>
      <c r="P101" s="1253"/>
      <c r="Q101" s="1278" t="s">
        <v>2776</v>
      </c>
      <c r="R101" s="1253"/>
      <c r="S101" s="1253"/>
      <c r="T101" s="1253"/>
      <c r="U101" s="1253"/>
      <c r="V101" s="1253"/>
      <c r="W101" s="1253"/>
      <c r="X101" s="1253"/>
      <c r="Y101" s="1278" t="s">
        <v>1554</v>
      </c>
      <c r="Z101" s="1253"/>
      <c r="AA101" s="1253"/>
      <c r="AB101" s="1253"/>
      <c r="AC101" s="1253"/>
      <c r="AD101" s="1253"/>
      <c r="AE101" s="1253"/>
      <c r="AF101" s="1254"/>
    </row>
    <row r="102" spans="1:32" x14ac:dyDescent="0.3">
      <c r="A102" s="2385" t="s">
        <v>47</v>
      </c>
      <c r="B102" s="2386"/>
      <c r="C102" s="2386"/>
      <c r="D102" s="2386"/>
      <c r="E102" s="2386"/>
      <c r="F102" s="2386"/>
      <c r="G102" s="2386"/>
      <c r="H102" s="2387"/>
      <c r="I102" s="2612">
        <f>ROUND(Q102*AC92/Y92,3)</f>
        <v>6.9000000000000006E-2</v>
      </c>
      <c r="J102" s="2613"/>
      <c r="K102" s="2613"/>
      <c r="L102" s="2613"/>
      <c r="M102" s="2613"/>
      <c r="N102" s="2613"/>
      <c r="O102" s="2613"/>
      <c r="P102" s="2614"/>
      <c r="Q102" s="2615">
        <f>ROUND(((1/M92)-(1/$P$49))*Q92*U92*$P$53*$P$54*($P$55-$P$56)/3412,2)</f>
        <v>607.66999999999996</v>
      </c>
      <c r="R102" s="2616"/>
      <c r="S102" s="2616"/>
      <c r="T102" s="2616"/>
      <c r="U102" s="2616"/>
      <c r="V102" s="2616"/>
      <c r="W102" s="2616"/>
      <c r="X102" s="2617"/>
      <c r="Y102" s="2618">
        <f>ROUND(Q102*$P$59,2)</f>
        <v>6076.7</v>
      </c>
      <c r="Z102" s="2618"/>
      <c r="AA102" s="2618"/>
      <c r="AB102" s="2618"/>
      <c r="AC102" s="2618"/>
      <c r="AD102" s="2618"/>
      <c r="AE102" s="2618"/>
      <c r="AF102" s="2619"/>
    </row>
    <row r="103" spans="1:32" x14ac:dyDescent="0.3">
      <c r="A103" s="2609" t="s">
        <v>213</v>
      </c>
      <c r="B103" s="2610"/>
      <c r="C103" s="2610"/>
      <c r="D103" s="2610"/>
      <c r="E103" s="2610"/>
      <c r="F103" s="2610"/>
      <c r="G103" s="2610"/>
      <c r="H103" s="2611"/>
      <c r="I103" s="2612">
        <f>ROUND(Q103*AC93/Y93,3)</f>
        <v>0.28100000000000003</v>
      </c>
      <c r="J103" s="2613"/>
      <c r="K103" s="2613"/>
      <c r="L103" s="2613"/>
      <c r="M103" s="2613"/>
      <c r="N103" s="2613"/>
      <c r="O103" s="2613"/>
      <c r="P103" s="2614"/>
      <c r="Q103" s="2615">
        <f>ROUND(((1/M93)-(1/$P$49))*Q93*U93*$P$53*$P$54*($P$55-$P$56)/3412,2)</f>
        <v>2064.0700000000002</v>
      </c>
      <c r="R103" s="2616"/>
      <c r="S103" s="2616"/>
      <c r="T103" s="2616"/>
      <c r="U103" s="2616"/>
      <c r="V103" s="2616"/>
      <c r="W103" s="2616"/>
      <c r="X103" s="2617"/>
      <c r="Y103" s="2618">
        <f>ROUND(Q103*$P$59,2)</f>
        <v>20640.7</v>
      </c>
      <c r="Z103" s="2618"/>
      <c r="AA103" s="2618"/>
      <c r="AB103" s="2618"/>
      <c r="AC103" s="2618"/>
      <c r="AD103" s="2618"/>
      <c r="AE103" s="2618"/>
      <c r="AF103" s="2619"/>
    </row>
    <row r="104" spans="1:32" ht="15" thickBot="1" x14ac:dyDescent="0.35">
      <c r="A104" s="1408" t="s">
        <v>217</v>
      </c>
      <c r="B104" s="1409"/>
      <c r="C104" s="1409"/>
      <c r="D104" s="1409"/>
      <c r="E104" s="1409"/>
      <c r="F104" s="1409"/>
      <c r="G104" s="1409"/>
      <c r="H104" s="1409"/>
      <c r="I104" s="2620">
        <f>ROUND(Q104*AC94/Y94,3)</f>
        <v>0.60099999999999998</v>
      </c>
      <c r="J104" s="2621"/>
      <c r="K104" s="2621"/>
      <c r="L104" s="2621"/>
      <c r="M104" s="2621"/>
      <c r="N104" s="2621"/>
      <c r="O104" s="2621"/>
      <c r="P104" s="2622"/>
      <c r="Q104" s="2623">
        <f>ROUND(((1/M94)-(1/$P$50))*Q94*U94*$P$53*$P$54*($P$55-$P$56)/3412,2)</f>
        <v>3207.86</v>
      </c>
      <c r="R104" s="2624"/>
      <c r="S104" s="2624"/>
      <c r="T104" s="2624"/>
      <c r="U104" s="2624"/>
      <c r="V104" s="2624"/>
      <c r="W104" s="2624"/>
      <c r="X104" s="2625"/>
      <c r="Y104" s="2626">
        <f>ROUND(Q104*$P$59,2)</f>
        <v>32078.6</v>
      </c>
      <c r="Z104" s="2626"/>
      <c r="AA104" s="2626"/>
      <c r="AB104" s="2626"/>
      <c r="AC104" s="2626"/>
      <c r="AD104" s="2626"/>
      <c r="AE104" s="2626"/>
      <c r="AF104" s="2627"/>
    </row>
    <row r="106" spans="1:32" x14ac:dyDescent="0.3">
      <c r="B106" s="232" t="s">
        <v>1497</v>
      </c>
    </row>
    <row r="107" spans="1:32" x14ac:dyDescent="0.3">
      <c r="B107" s="232"/>
    </row>
    <row r="108" spans="1:32" x14ac:dyDescent="0.3">
      <c r="B108" s="232"/>
      <c r="C108" t="s">
        <v>5281</v>
      </c>
      <c r="P108" t="s">
        <v>5282</v>
      </c>
    </row>
    <row r="109" spans="1:32" x14ac:dyDescent="0.3">
      <c r="B109" s="232"/>
      <c r="F109" s="1276" t="s">
        <v>47</v>
      </c>
      <c r="G109" s="1276"/>
      <c r="H109" s="1276"/>
      <c r="I109" s="1276"/>
      <c r="J109" s="1276"/>
      <c r="U109" s="2581">
        <v>2690</v>
      </c>
      <c r="V109" s="2582"/>
      <c r="W109" s="2583"/>
    </row>
    <row r="110" spans="1:32" x14ac:dyDescent="0.3">
      <c r="B110" s="232"/>
    </row>
    <row r="111" spans="1:32" x14ac:dyDescent="0.3">
      <c r="C111" t="s">
        <v>5283</v>
      </c>
      <c r="P111" t="s">
        <v>5284</v>
      </c>
    </row>
    <row r="112" spans="1:32" x14ac:dyDescent="0.3">
      <c r="F112" s="2495">
        <v>0.84240000000000004</v>
      </c>
      <c r="G112" s="2496"/>
      <c r="H112" s="2497"/>
      <c r="U112" s="2495">
        <v>3.45</v>
      </c>
      <c r="V112" s="2496"/>
      <c r="W112" s="2497"/>
    </row>
    <row r="113" spans="1:32" x14ac:dyDescent="0.3">
      <c r="F113" s="237"/>
      <c r="G113" s="237"/>
      <c r="H113" s="237"/>
      <c r="U113" s="237"/>
      <c r="V113" s="237"/>
      <c r="W113" s="237"/>
    </row>
    <row r="114" spans="1:32" ht="15.6" x14ac:dyDescent="0.35">
      <c r="C114" t="s">
        <v>5285</v>
      </c>
      <c r="G114" s="2634">
        <f>VLOOKUP(F109,A92:AF94,17,FALSE)</f>
        <v>2.0699999999999998</v>
      </c>
      <c r="H114" s="2635"/>
      <c r="I114" s="2636"/>
      <c r="K114" t="s">
        <v>5286</v>
      </c>
      <c r="N114" s="1115">
        <f>VLOOKUP(F109,A92:AF94,25,FALSE)</f>
        <v>2632</v>
      </c>
      <c r="O114" s="2637"/>
      <c r="P114" s="2638"/>
      <c r="Q114" s="94"/>
      <c r="R114" s="94" t="s">
        <v>1502</v>
      </c>
      <c r="S114" s="94"/>
      <c r="T114" s="94"/>
      <c r="U114" s="2639">
        <f>VLOOKUP(F109,A92:AF94,29,FALSE)</f>
        <v>0.3</v>
      </c>
      <c r="V114" s="1116"/>
      <c r="W114" s="1117"/>
    </row>
    <row r="115" spans="1:32" x14ac:dyDescent="0.3">
      <c r="F115" s="237"/>
      <c r="G115" s="237"/>
      <c r="H115" s="237"/>
      <c r="U115" s="237"/>
      <c r="V115" s="237"/>
      <c r="W115" s="237"/>
    </row>
    <row r="116" spans="1:32" ht="15" thickBot="1" x14ac:dyDescent="0.35"/>
    <row r="117" spans="1:32" ht="30.75" customHeight="1" x14ac:dyDescent="0.3">
      <c r="A117" s="1252" t="s">
        <v>15</v>
      </c>
      <c r="B117" s="1253"/>
      <c r="C117" s="1253"/>
      <c r="D117" s="1253"/>
      <c r="E117" s="1253"/>
      <c r="F117" s="1253"/>
      <c r="G117" s="1253"/>
      <c r="H117" s="1253"/>
      <c r="I117" s="1278" t="s">
        <v>2780</v>
      </c>
      <c r="J117" s="1253"/>
      <c r="K117" s="1253"/>
      <c r="L117" s="1253"/>
      <c r="M117" s="1253"/>
      <c r="N117" s="1253"/>
      <c r="O117" s="1253"/>
      <c r="P117" s="1253"/>
      <c r="Q117" s="1278" t="s">
        <v>2776</v>
      </c>
      <c r="R117" s="1253"/>
      <c r="S117" s="1253"/>
      <c r="T117" s="1253"/>
      <c r="U117" s="1253"/>
      <c r="V117" s="1253"/>
      <c r="W117" s="1253"/>
      <c r="X117" s="1253"/>
      <c r="Y117" s="1278" t="s">
        <v>1554</v>
      </c>
      <c r="Z117" s="1253"/>
      <c r="AA117" s="1253"/>
      <c r="AB117" s="1253"/>
      <c r="AC117" s="1253"/>
      <c r="AD117" s="1253"/>
      <c r="AE117" s="1253"/>
      <c r="AF117" s="1254"/>
    </row>
    <row r="118" spans="1:32" ht="15" thickBot="1" x14ac:dyDescent="0.35">
      <c r="A118" s="2489" t="str">
        <f>F109</f>
        <v>Office</v>
      </c>
      <c r="B118" s="2490"/>
      <c r="C118" s="2490"/>
      <c r="D118" s="2490"/>
      <c r="E118" s="2490"/>
      <c r="F118" s="2490"/>
      <c r="G118" s="2490"/>
      <c r="H118" s="2490"/>
      <c r="I118" s="2628">
        <f>ROUND(Q118*$U$114/$N$114,3)</f>
        <v>6.9000000000000006E-2</v>
      </c>
      <c r="J118" s="2629"/>
      <c r="K118" s="2629"/>
      <c r="L118" s="2629"/>
      <c r="M118" s="2629"/>
      <c r="N118" s="2629"/>
      <c r="O118" s="2629"/>
      <c r="P118" s="2630"/>
      <c r="Q118" s="2631">
        <f>ROUND(((1/$F$112)-(1/$U$112))*$G$114*$U$109*$P$53*$P$54*($P$55-$P$56)/3412,2)</f>
        <v>607.66999999999996</v>
      </c>
      <c r="R118" s="2632"/>
      <c r="S118" s="2632"/>
      <c r="T118" s="2632"/>
      <c r="U118" s="2632"/>
      <c r="V118" s="2632"/>
      <c r="W118" s="2632"/>
      <c r="X118" s="2633"/>
      <c r="Y118" s="2493">
        <f>ROUND(Q118*$P$59,2)</f>
        <v>6076.7</v>
      </c>
      <c r="Z118" s="2493"/>
      <c r="AA118" s="2493"/>
      <c r="AB118" s="2493"/>
      <c r="AC118" s="2493"/>
      <c r="AD118" s="2493"/>
      <c r="AE118" s="2493"/>
      <c r="AF118" s="2494"/>
    </row>
    <row r="119" spans="1:32" x14ac:dyDescent="0.3">
      <c r="B119" s="269" t="s">
        <v>2221</v>
      </c>
    </row>
    <row r="120" spans="1:32" x14ac:dyDescent="0.3">
      <c r="B120" s="269"/>
    </row>
    <row r="121" spans="1:32" x14ac:dyDescent="0.3">
      <c r="A121" s="1141" t="s">
        <v>1514</v>
      </c>
      <c r="B121" s="1141"/>
      <c r="C121" s="1141"/>
      <c r="D121" s="1141"/>
      <c r="E121" s="1141"/>
      <c r="F121" s="1141"/>
      <c r="G121" s="1141"/>
      <c r="H121" s="1141"/>
      <c r="I121" s="1141"/>
      <c r="J121" s="1141"/>
      <c r="K121" s="1141"/>
      <c r="L121" s="1141"/>
      <c r="M121" s="1141"/>
      <c r="N121" s="1141"/>
      <c r="O121" s="1141"/>
      <c r="P121" s="1141"/>
      <c r="Q121" s="1141"/>
      <c r="R121" s="1141"/>
      <c r="S121" s="1141"/>
      <c r="T121" s="1141"/>
      <c r="U121" s="1141"/>
      <c r="V121" s="1141"/>
      <c r="W121" s="1141"/>
      <c r="X121" s="1141"/>
      <c r="Y121" s="1141"/>
      <c r="Z121" s="1141"/>
      <c r="AA121" s="1141"/>
      <c r="AB121" s="1141"/>
      <c r="AC121" s="1141"/>
      <c r="AD121" s="1141"/>
      <c r="AE121" s="1141"/>
      <c r="AF121" s="1141"/>
    </row>
    <row r="123" spans="1:32" x14ac:dyDescent="0.3">
      <c r="A123" s="368" t="s">
        <v>803</v>
      </c>
      <c r="B123" s="953" t="s">
        <v>5287</v>
      </c>
      <c r="C123" s="953"/>
      <c r="D123" s="953"/>
      <c r="E123" s="953"/>
      <c r="F123" s="953"/>
      <c r="G123" s="953"/>
      <c r="H123" s="953"/>
      <c r="I123" s="953"/>
      <c r="J123" s="953"/>
      <c r="K123" s="953"/>
      <c r="L123" s="953"/>
      <c r="M123" s="953"/>
      <c r="N123" s="953"/>
      <c r="O123" s="953"/>
      <c r="P123" s="953"/>
      <c r="Q123" s="953"/>
      <c r="R123" s="953"/>
      <c r="S123" s="953"/>
      <c r="T123" s="953"/>
      <c r="U123" s="953"/>
      <c r="V123" s="953"/>
      <c r="W123" s="953"/>
      <c r="X123" s="953"/>
      <c r="Y123" s="953"/>
      <c r="Z123" s="953"/>
      <c r="AA123" s="953"/>
      <c r="AB123" s="953"/>
      <c r="AC123" s="953"/>
      <c r="AD123" s="953"/>
      <c r="AE123" s="953"/>
      <c r="AF123" s="953"/>
    </row>
    <row r="124" spans="1:32" ht="90.75" customHeight="1" x14ac:dyDescent="0.3">
      <c r="A124" s="368" t="s">
        <v>803</v>
      </c>
      <c r="B124" s="889" t="s">
        <v>5288</v>
      </c>
      <c r="C124" s="889"/>
      <c r="D124" s="889"/>
      <c r="E124" s="889"/>
      <c r="F124" s="889"/>
      <c r="G124" s="889"/>
      <c r="H124" s="889"/>
      <c r="I124" s="889"/>
      <c r="J124" s="889"/>
      <c r="K124" s="889"/>
      <c r="L124" s="889"/>
      <c r="M124" s="889"/>
      <c r="N124" s="889"/>
      <c r="O124" s="889"/>
      <c r="P124" s="889"/>
      <c r="Q124" s="889"/>
      <c r="R124" s="889"/>
      <c r="S124" s="889"/>
      <c r="T124" s="889"/>
      <c r="U124" s="889"/>
      <c r="V124" s="889"/>
      <c r="W124" s="889"/>
      <c r="X124" s="889"/>
      <c r="Y124" s="889"/>
      <c r="Z124" s="889"/>
      <c r="AA124" s="889"/>
      <c r="AB124" s="889"/>
      <c r="AC124" s="889"/>
      <c r="AD124" s="889"/>
      <c r="AE124" s="889"/>
      <c r="AF124" s="889"/>
    </row>
    <row r="125" spans="1:32" ht="50.25" customHeight="1" x14ac:dyDescent="0.3">
      <c r="A125" s="368" t="s">
        <v>803</v>
      </c>
      <c r="B125" s="953" t="s">
        <v>5289</v>
      </c>
      <c r="C125" s="953"/>
      <c r="D125" s="953"/>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row>
    <row r="126" spans="1:32" ht="49.5" customHeight="1" x14ac:dyDescent="0.3">
      <c r="A126" s="368" t="s">
        <v>803</v>
      </c>
      <c r="B126" s="889" t="s">
        <v>2241</v>
      </c>
      <c r="C126" s="889"/>
      <c r="D126" s="889"/>
      <c r="E126" s="889"/>
      <c r="F126" s="889"/>
      <c r="G126" s="889"/>
      <c r="H126" s="889"/>
      <c r="I126" s="889"/>
      <c r="J126" s="889"/>
      <c r="K126" s="889"/>
      <c r="L126" s="889"/>
      <c r="M126" s="889"/>
      <c r="N126" s="889"/>
      <c r="O126" s="889"/>
      <c r="P126" s="889"/>
      <c r="Q126" s="889"/>
      <c r="R126" s="889"/>
      <c r="S126" s="889"/>
      <c r="T126" s="889"/>
      <c r="U126" s="889"/>
      <c r="V126" s="889"/>
      <c r="W126" s="889"/>
      <c r="X126" s="889"/>
      <c r="Y126" s="889"/>
      <c r="Z126" s="889"/>
      <c r="AA126" s="889"/>
      <c r="AB126" s="889"/>
      <c r="AC126" s="889"/>
      <c r="AD126" s="889"/>
      <c r="AE126" s="889"/>
      <c r="AF126" s="889"/>
    </row>
    <row r="127" spans="1:32" x14ac:dyDescent="0.3">
      <c r="A127" s="368" t="s">
        <v>803</v>
      </c>
      <c r="B127" s="953" t="s">
        <v>5290</v>
      </c>
      <c r="C127" s="953"/>
      <c r="D127" s="953"/>
      <c r="E127" s="953"/>
      <c r="F127" s="953"/>
      <c r="G127" s="953"/>
      <c r="H127" s="953"/>
      <c r="I127" s="953"/>
      <c r="J127" s="953"/>
      <c r="K127" s="953"/>
      <c r="L127" s="953"/>
      <c r="M127" s="953"/>
      <c r="N127" s="953"/>
      <c r="O127" s="953"/>
      <c r="P127" s="953"/>
      <c r="Q127" s="953"/>
      <c r="R127" s="953"/>
      <c r="S127" s="953"/>
      <c r="T127" s="953"/>
      <c r="U127" s="953"/>
      <c r="V127" s="953"/>
      <c r="W127" s="953"/>
      <c r="X127" s="953"/>
      <c r="Y127" s="953"/>
      <c r="Z127" s="953"/>
      <c r="AA127" s="953"/>
      <c r="AB127" s="953"/>
      <c r="AC127" s="953"/>
      <c r="AD127" s="953"/>
      <c r="AE127" s="953"/>
      <c r="AF127" s="953"/>
    </row>
    <row r="128" spans="1:32" ht="59.25" customHeight="1" x14ac:dyDescent="0.3">
      <c r="A128" s="368" t="s">
        <v>803</v>
      </c>
      <c r="B128" s="953" t="s">
        <v>5291</v>
      </c>
      <c r="C128" s="953"/>
      <c r="D128" s="953"/>
      <c r="E128" s="953"/>
      <c r="F128" s="953"/>
      <c r="G128" s="953"/>
      <c r="H128" s="953"/>
      <c r="I128" s="953"/>
      <c r="J128" s="953"/>
      <c r="K128" s="953"/>
      <c r="L128" s="953"/>
      <c r="M128" s="953"/>
      <c r="N128" s="953"/>
      <c r="O128" s="953"/>
      <c r="P128" s="953"/>
      <c r="Q128" s="953"/>
      <c r="R128" s="953"/>
      <c r="S128" s="953"/>
      <c r="T128" s="953"/>
      <c r="U128" s="953"/>
      <c r="V128" s="953"/>
      <c r="W128" s="953"/>
      <c r="X128" s="953"/>
      <c r="Y128" s="953"/>
      <c r="Z128" s="953"/>
      <c r="AA128" s="953"/>
      <c r="AB128" s="953"/>
      <c r="AC128" s="953"/>
      <c r="AD128" s="953"/>
      <c r="AE128" s="953"/>
      <c r="AF128" s="953"/>
    </row>
    <row r="129" spans="1:32" ht="35.25" customHeight="1" x14ac:dyDescent="0.3">
      <c r="A129" s="368" t="s">
        <v>803</v>
      </c>
      <c r="B129" s="953" t="s">
        <v>5292</v>
      </c>
      <c r="C129" s="953"/>
      <c r="D129" s="953"/>
      <c r="E129" s="953"/>
      <c r="F129" s="953"/>
      <c r="G129" s="953"/>
      <c r="H129" s="953"/>
      <c r="I129" s="953"/>
      <c r="J129" s="953"/>
      <c r="K129" s="953"/>
      <c r="L129" s="953"/>
      <c r="M129" s="953"/>
      <c r="N129" s="953"/>
      <c r="O129" s="953"/>
      <c r="P129" s="953"/>
      <c r="Q129" s="953"/>
      <c r="R129" s="953"/>
      <c r="S129" s="953"/>
      <c r="T129" s="953"/>
      <c r="U129" s="953"/>
      <c r="V129" s="953"/>
      <c r="W129" s="953"/>
      <c r="X129" s="953"/>
      <c r="Y129" s="953"/>
      <c r="Z129" s="953"/>
      <c r="AA129" s="953"/>
      <c r="AB129" s="953"/>
      <c r="AC129" s="953"/>
      <c r="AD129" s="953"/>
      <c r="AE129" s="953"/>
      <c r="AF129" s="953"/>
    </row>
    <row r="130" spans="1:32" ht="34.5" customHeight="1" x14ac:dyDescent="0.3">
      <c r="A130" s="368" t="s">
        <v>803</v>
      </c>
      <c r="B130" s="953" t="s">
        <v>5293</v>
      </c>
      <c r="C130" s="953"/>
      <c r="D130" s="953"/>
      <c r="E130" s="953"/>
      <c r="F130" s="953"/>
      <c r="G130" s="953"/>
      <c r="H130" s="953"/>
      <c r="I130" s="953"/>
      <c r="J130" s="953"/>
      <c r="K130" s="953"/>
      <c r="L130" s="953"/>
      <c r="M130" s="953"/>
      <c r="N130" s="953"/>
      <c r="O130" s="953"/>
      <c r="P130" s="953"/>
      <c r="Q130" s="953"/>
      <c r="R130" s="953"/>
      <c r="S130" s="953"/>
      <c r="T130" s="953"/>
      <c r="U130" s="953"/>
      <c r="V130" s="953"/>
      <c r="W130" s="953"/>
      <c r="X130" s="953"/>
      <c r="Y130" s="953"/>
      <c r="Z130" s="953"/>
      <c r="AA130" s="953"/>
      <c r="AB130" s="953"/>
      <c r="AC130" s="953"/>
      <c r="AD130" s="953"/>
      <c r="AE130" s="953"/>
      <c r="AF130" s="953"/>
    </row>
    <row r="131" spans="1:32" ht="63.75" customHeight="1" x14ac:dyDescent="0.3">
      <c r="A131" s="368" t="s">
        <v>803</v>
      </c>
      <c r="B131" s="953" t="s">
        <v>5294</v>
      </c>
      <c r="C131" s="953"/>
      <c r="D131" s="953"/>
      <c r="E131" s="953"/>
      <c r="F131" s="953"/>
      <c r="G131" s="953"/>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row>
  </sheetData>
  <sheetProtection algorithmName="SHA-512" hashValue="EI5YziV6hhyT/wvKQbXiBfLdniy9AGp88ygT+0vlGefABI8JVW4UgOO0oaF+VGEw8rQNNSlPVUMWee1vCRD/Mg==" saltValue="vvKzwqSNZSQutkMON1/dyg==" spinCount="100000" sheet="1" objects="1" scenarios="1"/>
  <mergeCells count="187">
    <mergeCell ref="B128:AF128"/>
    <mergeCell ref="B129:AF129"/>
    <mergeCell ref="B130:AF130"/>
    <mergeCell ref="B131:AF131"/>
    <mergeCell ref="A121:AF121"/>
    <mergeCell ref="B123:AF123"/>
    <mergeCell ref="B124:AF124"/>
    <mergeCell ref="B125:AF125"/>
    <mergeCell ref="B126:AF126"/>
    <mergeCell ref="B127:AF127"/>
    <mergeCell ref="A117:H117"/>
    <mergeCell ref="I117:P117"/>
    <mergeCell ref="Q117:X117"/>
    <mergeCell ref="Y117:AF117"/>
    <mergeCell ref="A118:H118"/>
    <mergeCell ref="I118:P118"/>
    <mergeCell ref="Q118:X118"/>
    <mergeCell ref="Y118:AF118"/>
    <mergeCell ref="F109:J109"/>
    <mergeCell ref="U109:W109"/>
    <mergeCell ref="F112:H112"/>
    <mergeCell ref="U112:W112"/>
    <mergeCell ref="G114:I114"/>
    <mergeCell ref="N114:P114"/>
    <mergeCell ref="U114:W114"/>
    <mergeCell ref="A103:H103"/>
    <mergeCell ref="I103:P103"/>
    <mergeCell ref="Q103:X103"/>
    <mergeCell ref="Y103:AF103"/>
    <mergeCell ref="A104:H104"/>
    <mergeCell ref="I104:P104"/>
    <mergeCell ref="Q104:X104"/>
    <mergeCell ref="Y104:AF104"/>
    <mergeCell ref="A97:AF97"/>
    <mergeCell ref="A101:H101"/>
    <mergeCell ref="I101:P101"/>
    <mergeCell ref="Q101:X101"/>
    <mergeCell ref="Y101:AF101"/>
    <mergeCell ref="A102:H102"/>
    <mergeCell ref="I102:P102"/>
    <mergeCell ref="Q102:X102"/>
    <mergeCell ref="Y102:AF102"/>
    <mergeCell ref="A94:D94"/>
    <mergeCell ref="E94:H94"/>
    <mergeCell ref="I94:L94"/>
    <mergeCell ref="M94:P94"/>
    <mergeCell ref="Q94:T94"/>
    <mergeCell ref="U94:X94"/>
    <mergeCell ref="Y94:AB94"/>
    <mergeCell ref="AC94:AF94"/>
    <mergeCell ref="A93:D93"/>
    <mergeCell ref="E93:H93"/>
    <mergeCell ref="I93:L93"/>
    <mergeCell ref="M93:P93"/>
    <mergeCell ref="Q93:T93"/>
    <mergeCell ref="U93:X93"/>
    <mergeCell ref="A92:D92"/>
    <mergeCell ref="E92:H92"/>
    <mergeCell ref="I92:L92"/>
    <mergeCell ref="M92:P92"/>
    <mergeCell ref="Q92:T92"/>
    <mergeCell ref="U92:X92"/>
    <mergeCell ref="Y92:AB92"/>
    <mergeCell ref="AC92:AF92"/>
    <mergeCell ref="Y93:AB93"/>
    <mergeCell ref="AC93:AF93"/>
    <mergeCell ref="A87:R87"/>
    <mergeCell ref="S87:AE87"/>
    <mergeCell ref="A88:AE88"/>
    <mergeCell ref="A91:D91"/>
    <mergeCell ref="E91:H91"/>
    <mergeCell ref="I91:L91"/>
    <mergeCell ref="M91:P91"/>
    <mergeCell ref="Q91:T91"/>
    <mergeCell ref="U91:X91"/>
    <mergeCell ref="Y91:AB91"/>
    <mergeCell ref="AC91:AF91"/>
    <mergeCell ref="A84:R84"/>
    <mergeCell ref="S84:AE84"/>
    <mergeCell ref="A85:R85"/>
    <mergeCell ref="S85:AE85"/>
    <mergeCell ref="A86:R86"/>
    <mergeCell ref="S86:AE86"/>
    <mergeCell ref="A80:R80"/>
    <mergeCell ref="S80:AE80"/>
    <mergeCell ref="A81:H83"/>
    <mergeCell ref="I81:R81"/>
    <mergeCell ref="S81:AE81"/>
    <mergeCell ref="I82:R82"/>
    <mergeCell ref="S82:AE82"/>
    <mergeCell ref="I83:R83"/>
    <mergeCell ref="S83:AE83"/>
    <mergeCell ref="A60:AF60"/>
    <mergeCell ref="A61:AF61"/>
    <mergeCell ref="A62:AF62"/>
    <mergeCell ref="A63:AF63"/>
    <mergeCell ref="A64:AF64"/>
    <mergeCell ref="A77:AE77"/>
    <mergeCell ref="A58:D58"/>
    <mergeCell ref="E58:O58"/>
    <mergeCell ref="P58:S58"/>
    <mergeCell ref="T58:W58"/>
    <mergeCell ref="X58:AF58"/>
    <mergeCell ref="A59:D59"/>
    <mergeCell ref="E59:O59"/>
    <mergeCell ref="P59:S59"/>
    <mergeCell ref="T59:W59"/>
    <mergeCell ref="X59:AF59"/>
    <mergeCell ref="A56:D56"/>
    <mergeCell ref="E56:O56"/>
    <mergeCell ref="P56:S56"/>
    <mergeCell ref="T56:W56"/>
    <mergeCell ref="X56:AF56"/>
    <mergeCell ref="A57:D57"/>
    <mergeCell ref="E57:O57"/>
    <mergeCell ref="P57:S57"/>
    <mergeCell ref="T57:W57"/>
    <mergeCell ref="X57:AF57"/>
    <mergeCell ref="A54:D54"/>
    <mergeCell ref="E54:O54"/>
    <mergeCell ref="P54:S54"/>
    <mergeCell ref="T54:W54"/>
    <mergeCell ref="X54:AF54"/>
    <mergeCell ref="A55:D55"/>
    <mergeCell ref="E55:O55"/>
    <mergeCell ref="P55:S55"/>
    <mergeCell ref="T55:W55"/>
    <mergeCell ref="X55:AF55"/>
    <mergeCell ref="A52:D52"/>
    <mergeCell ref="E52:O52"/>
    <mergeCell ref="P52:S52"/>
    <mergeCell ref="T52:W52"/>
    <mergeCell ref="X52:AF52"/>
    <mergeCell ref="A53:D53"/>
    <mergeCell ref="E53:O53"/>
    <mergeCell ref="P53:S53"/>
    <mergeCell ref="T53:W53"/>
    <mergeCell ref="X53:AF53"/>
    <mergeCell ref="A50:D50"/>
    <mergeCell ref="E50:O50"/>
    <mergeCell ref="P50:S50"/>
    <mergeCell ref="T50:W50"/>
    <mergeCell ref="X50:AF50"/>
    <mergeCell ref="A51:D51"/>
    <mergeCell ref="E51:O51"/>
    <mergeCell ref="P51:S51"/>
    <mergeCell ref="T51:W51"/>
    <mergeCell ref="X51:AF51"/>
    <mergeCell ref="A48:D48"/>
    <mergeCell ref="E48:O48"/>
    <mergeCell ref="P48:S48"/>
    <mergeCell ref="T48:W48"/>
    <mergeCell ref="X48:AF48"/>
    <mergeCell ref="A49:D49"/>
    <mergeCell ref="E49:O49"/>
    <mergeCell ref="P49:S49"/>
    <mergeCell ref="T49:W49"/>
    <mergeCell ref="X49:AF49"/>
    <mergeCell ref="A46:D46"/>
    <mergeCell ref="E46:O46"/>
    <mergeCell ref="P46:S46"/>
    <mergeCell ref="T46:W46"/>
    <mergeCell ref="X46:AF46"/>
    <mergeCell ref="A47:D47"/>
    <mergeCell ref="E47:O47"/>
    <mergeCell ref="P47:S47"/>
    <mergeCell ref="T47:W47"/>
    <mergeCell ref="X47:AF47"/>
    <mergeCell ref="A1:AF1"/>
    <mergeCell ref="A3:AF3"/>
    <mergeCell ref="B5:AF5"/>
    <mergeCell ref="A7:AF7"/>
    <mergeCell ref="B10:AF10"/>
    <mergeCell ref="B12:AF12"/>
    <mergeCell ref="AF36:AF37"/>
    <mergeCell ref="A44:AF44"/>
    <mergeCell ref="A45:D45"/>
    <mergeCell ref="E45:O45"/>
    <mergeCell ref="P45:S45"/>
    <mergeCell ref="T45:W45"/>
    <mergeCell ref="X45:AF45"/>
    <mergeCell ref="B15:AF15"/>
    <mergeCell ref="B18:AF18"/>
    <mergeCell ref="B21:AF21"/>
    <mergeCell ref="B24:AF24"/>
    <mergeCell ref="A26:AF26"/>
    <mergeCell ref="AF30:AF32"/>
  </mergeCells>
  <dataValidations count="1">
    <dataValidation type="list" allowBlank="1" showInputMessage="1" showErrorMessage="1" sqref="F109:J109" xr:uid="{00000000-0002-0000-4100-000000000000}">
      <formula1>$A$102:$A$104</formula1>
    </dataValidation>
  </dataValidations>
  <hyperlinks>
    <hyperlink ref="A2" location="TOC!A1" display="Return to TOC" xr:uid="{00000000-0004-0000-4100-000000000000}"/>
  </hyperlinks>
  <pageMargins left="0.7" right="0.7" top="0.75" bottom="0.75" header="0.3" footer="0.3"/>
  <pageSetup orientation="portrait" r:id="rId1"/>
  <headerFooter>
    <oddHeader>&amp;C&amp;"Arial,Regular"&amp;09&amp;I&amp;K000000Leidos Proprietary</oddHeader>
    <oddFooter>&amp;C&amp;"Calibri,Regular"&amp;10</oddFooter>
    <evenHeader>&amp;C&amp;"Arial,Regular"&amp;09&amp;I&amp;K000000Leidos Proprietary</evenHeader>
    <evenFooter>&amp;C&amp;"Calibri,Regular"&amp;10</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36">
    <tabColor theme="5" tint="0.39997558519241921"/>
    <pageSetUpPr autoPageBreaks="0"/>
  </sheetPr>
  <dimension ref="A1:AG55"/>
  <sheetViews>
    <sheetView showGridLines="0" workbookViewId="0">
      <selection sqref="A1:AF1"/>
    </sheetView>
  </sheetViews>
  <sheetFormatPr defaultColWidth="2.6640625" defaultRowHeight="14.4" x14ac:dyDescent="0.3"/>
  <cols>
    <col min="1" max="2" width="2.6640625" style="1"/>
    <col min="3" max="3" width="2.6640625" style="1" customWidth="1"/>
    <col min="4" max="16384" width="2.6640625" style="1"/>
  </cols>
  <sheetData>
    <row r="1" spans="1:32" ht="18" x14ac:dyDescent="0.3">
      <c r="A1" s="1131" t="s">
        <v>896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251" t="s">
        <v>2</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row>
    <row r="4" spans="1:32" x14ac:dyDescent="0.3">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x14ac:dyDescent="0.3">
      <c r="B5" s="51" t="s">
        <v>3</v>
      </c>
      <c r="C5" s="51"/>
      <c r="D5" s="51"/>
      <c r="E5" s="51"/>
      <c r="F5" s="51"/>
      <c r="G5" s="51"/>
      <c r="H5" s="51"/>
      <c r="I5" s="51"/>
    </row>
    <row r="6" spans="1:32" s="8" customFormat="1" ht="43.2" customHeight="1" x14ac:dyDescent="0.3">
      <c r="B6" s="1058" t="s">
        <v>2833</v>
      </c>
      <c r="C6" s="1423"/>
      <c r="D6" s="1423"/>
      <c r="E6" s="1423"/>
      <c r="F6" s="1423"/>
      <c r="G6" s="1423"/>
      <c r="H6" s="1423"/>
      <c r="I6" s="1423"/>
      <c r="J6" s="1423"/>
      <c r="K6" s="1423"/>
      <c r="L6" s="1423"/>
      <c r="M6" s="1423"/>
      <c r="N6" s="1423"/>
      <c r="O6" s="1423"/>
      <c r="P6" s="1423"/>
      <c r="Q6" s="1423"/>
      <c r="R6" s="1423"/>
      <c r="S6" s="1423"/>
      <c r="T6" s="1423"/>
      <c r="U6" s="1423"/>
      <c r="V6" s="1423"/>
      <c r="W6" s="1423"/>
      <c r="X6" s="1423"/>
      <c r="Y6" s="1423"/>
      <c r="Z6" s="1423"/>
      <c r="AA6" s="1423"/>
      <c r="AB6" s="1423"/>
      <c r="AC6" s="1423"/>
      <c r="AD6" s="1423"/>
      <c r="AE6" s="1423"/>
      <c r="AF6" s="1423"/>
    </row>
    <row r="7" spans="1:32" x14ac:dyDescent="0.3">
      <c r="B7" s="182" t="s">
        <v>20</v>
      </c>
      <c r="C7" s="864" t="s">
        <v>1173</v>
      </c>
      <c r="D7" s="864"/>
      <c r="E7" s="864"/>
      <c r="F7" s="864"/>
      <c r="G7" s="864"/>
      <c r="H7" s="864"/>
      <c r="I7" s="864"/>
      <c r="J7" s="864"/>
      <c r="K7" s="864"/>
      <c r="L7" s="864"/>
      <c r="M7" s="864"/>
      <c r="N7" s="864"/>
      <c r="O7" s="864"/>
      <c r="P7" s="864"/>
      <c r="Q7" s="864"/>
      <c r="R7" s="864"/>
      <c r="S7" s="864"/>
      <c r="T7" s="864"/>
      <c r="U7" s="864"/>
      <c r="V7" s="864"/>
      <c r="W7" s="864"/>
      <c r="X7" s="864"/>
      <c r="Y7" s="864"/>
      <c r="Z7" s="864"/>
      <c r="AA7" s="864"/>
      <c r="AB7" s="864"/>
      <c r="AC7" s="864"/>
      <c r="AD7" s="864"/>
      <c r="AE7" s="864"/>
      <c r="AF7" s="864"/>
    </row>
    <row r="8" spans="1:32" s="4" customFormat="1" ht="32.25" customHeight="1" x14ac:dyDescent="0.3">
      <c r="B8" s="183" t="s">
        <v>20</v>
      </c>
      <c r="C8" s="863" t="s">
        <v>1174</v>
      </c>
      <c r="D8" s="863"/>
      <c r="E8" s="863"/>
      <c r="F8" s="863"/>
      <c r="G8" s="863"/>
      <c r="H8" s="863"/>
      <c r="I8" s="863"/>
      <c r="J8" s="863"/>
      <c r="K8" s="863"/>
      <c r="L8" s="863"/>
      <c r="M8" s="863"/>
      <c r="N8" s="863"/>
      <c r="O8" s="863"/>
      <c r="P8" s="863"/>
      <c r="Q8" s="863"/>
      <c r="R8" s="863"/>
      <c r="S8" s="863"/>
      <c r="T8" s="863"/>
      <c r="U8" s="863"/>
      <c r="V8" s="863"/>
      <c r="W8" s="863"/>
      <c r="X8" s="863"/>
      <c r="Y8" s="863"/>
      <c r="Z8" s="863"/>
      <c r="AA8" s="863"/>
      <c r="AB8" s="863"/>
      <c r="AC8" s="863"/>
      <c r="AD8" s="863"/>
      <c r="AE8" s="863"/>
      <c r="AF8" s="863"/>
    </row>
    <row r="9" spans="1:32" ht="30.6" customHeight="1" x14ac:dyDescent="0.3">
      <c r="B9" s="182" t="s">
        <v>20</v>
      </c>
      <c r="C9" s="863" t="s">
        <v>1175</v>
      </c>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863"/>
      <c r="AF9" s="863"/>
    </row>
    <row r="10" spans="1:32" x14ac:dyDescent="0.3">
      <c r="B10" s="182" t="s">
        <v>20</v>
      </c>
      <c r="C10" s="863" t="s">
        <v>1176</v>
      </c>
      <c r="D10" s="863"/>
      <c r="E10" s="863"/>
      <c r="F10" s="863"/>
      <c r="G10" s="863"/>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row>
    <row r="11" spans="1:32" x14ac:dyDescent="0.3">
      <c r="B11" s="182" t="s">
        <v>20</v>
      </c>
      <c r="C11" s="863" t="s">
        <v>1177</v>
      </c>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2" ht="33" customHeight="1" x14ac:dyDescent="0.3">
      <c r="B12" s="182" t="s">
        <v>20</v>
      </c>
      <c r="C12" s="863" t="s">
        <v>1178</v>
      </c>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c r="AD12" s="863"/>
      <c r="AE12" s="863"/>
      <c r="AF12" s="863"/>
    </row>
    <row r="13" spans="1:32" x14ac:dyDescent="0.3">
      <c r="B13" s="182" t="s">
        <v>20</v>
      </c>
      <c r="C13" s="863" t="s">
        <v>1179</v>
      </c>
      <c r="D13" s="863"/>
      <c r="E13" s="863"/>
      <c r="F13" s="863"/>
      <c r="G13" s="863"/>
      <c r="H13" s="863"/>
      <c r="I13" s="863"/>
      <c r="J13" s="863"/>
      <c r="K13" s="863"/>
      <c r="L13" s="863"/>
      <c r="M13" s="863"/>
      <c r="N13" s="863"/>
      <c r="O13" s="863"/>
      <c r="P13" s="863"/>
      <c r="Q13" s="863"/>
      <c r="R13" s="863"/>
      <c r="S13" s="863"/>
      <c r="T13" s="863"/>
      <c r="U13" s="863"/>
      <c r="V13" s="863"/>
      <c r="W13" s="863"/>
      <c r="X13" s="863"/>
      <c r="Y13" s="863"/>
      <c r="Z13" s="863"/>
      <c r="AA13" s="863"/>
      <c r="AB13" s="863"/>
      <c r="AC13" s="863"/>
      <c r="AD13" s="863"/>
      <c r="AE13" s="863"/>
      <c r="AF13" s="863"/>
    </row>
    <row r="14" spans="1:32" x14ac:dyDescent="0.3">
      <c r="B14" s="182" t="s">
        <v>20</v>
      </c>
      <c r="C14" s="863" t="s">
        <v>1180</v>
      </c>
      <c r="D14" s="863"/>
      <c r="E14" s="863"/>
      <c r="F14" s="863"/>
      <c r="G14" s="863"/>
      <c r="H14" s="863"/>
      <c r="I14" s="863"/>
      <c r="J14" s="863"/>
      <c r="K14" s="863"/>
      <c r="L14" s="863"/>
      <c r="M14" s="863"/>
      <c r="N14" s="863"/>
      <c r="O14" s="863"/>
      <c r="P14" s="863"/>
      <c r="Q14" s="863"/>
      <c r="R14" s="863"/>
      <c r="S14" s="863"/>
      <c r="T14" s="863"/>
      <c r="U14" s="863"/>
      <c r="V14" s="863"/>
      <c r="W14" s="863"/>
      <c r="X14" s="863"/>
      <c r="Y14" s="863"/>
      <c r="Z14" s="863"/>
      <c r="AA14" s="863"/>
      <c r="AB14" s="863"/>
      <c r="AC14" s="863"/>
      <c r="AD14" s="863"/>
      <c r="AE14" s="863"/>
      <c r="AF14" s="863"/>
    </row>
    <row r="15" spans="1:32" x14ac:dyDescent="0.3">
      <c r="B15" s="182" t="s">
        <v>20</v>
      </c>
      <c r="C15" s="863" t="s">
        <v>1181</v>
      </c>
      <c r="D15" s="863"/>
      <c r="E15" s="863"/>
      <c r="F15" s="863"/>
      <c r="G15" s="863"/>
      <c r="H15" s="863"/>
      <c r="I15" s="863"/>
      <c r="J15" s="863"/>
      <c r="K15" s="863"/>
      <c r="L15" s="863"/>
      <c r="M15" s="863"/>
      <c r="N15" s="863"/>
      <c r="O15" s="863"/>
      <c r="P15" s="863"/>
      <c r="Q15" s="863"/>
      <c r="R15" s="863"/>
      <c r="S15" s="863"/>
      <c r="T15" s="863"/>
      <c r="U15" s="863"/>
      <c r="V15" s="863"/>
      <c r="W15" s="863"/>
      <c r="X15" s="863"/>
      <c r="Y15" s="863"/>
      <c r="Z15" s="863"/>
      <c r="AA15" s="863"/>
      <c r="AB15" s="863"/>
      <c r="AC15" s="863"/>
      <c r="AD15" s="863"/>
      <c r="AE15" s="863"/>
      <c r="AF15" s="863"/>
    </row>
    <row r="16" spans="1:32" x14ac:dyDescent="0.3">
      <c r="B16" s="182" t="s">
        <v>20</v>
      </c>
      <c r="C16" s="863" t="s">
        <v>1182</v>
      </c>
      <c r="D16" s="863"/>
      <c r="E16" s="863"/>
      <c r="F16" s="863"/>
      <c r="G16" s="863"/>
      <c r="H16" s="863"/>
      <c r="I16" s="863"/>
      <c r="J16" s="863"/>
      <c r="K16" s="863"/>
      <c r="L16" s="863"/>
      <c r="M16" s="863"/>
      <c r="N16" s="863"/>
      <c r="O16" s="863"/>
      <c r="P16" s="863"/>
      <c r="Q16" s="863"/>
      <c r="R16" s="863"/>
      <c r="S16" s="863"/>
      <c r="T16" s="863"/>
      <c r="U16" s="863"/>
      <c r="V16" s="863"/>
      <c r="W16" s="863"/>
      <c r="X16" s="863"/>
      <c r="Y16" s="863"/>
      <c r="Z16" s="863"/>
      <c r="AA16" s="863"/>
      <c r="AB16" s="863"/>
      <c r="AC16" s="863"/>
      <c r="AD16" s="863"/>
      <c r="AE16" s="863"/>
      <c r="AF16" s="863"/>
    </row>
    <row r="17" spans="2:33" x14ac:dyDescent="0.3">
      <c r="B17" s="182" t="s">
        <v>20</v>
      </c>
      <c r="C17" s="863" t="s">
        <v>1183</v>
      </c>
      <c r="D17" s="863"/>
      <c r="E17" s="863"/>
      <c r="F17" s="863"/>
      <c r="G17" s="863"/>
      <c r="H17" s="863"/>
      <c r="I17" s="863"/>
      <c r="J17" s="863"/>
      <c r="K17" s="863"/>
      <c r="L17" s="863"/>
      <c r="M17" s="863"/>
      <c r="N17" s="863"/>
      <c r="O17" s="863"/>
      <c r="P17" s="863"/>
      <c r="Q17" s="863"/>
      <c r="R17" s="863"/>
      <c r="S17" s="863"/>
      <c r="T17" s="863"/>
      <c r="U17" s="863"/>
      <c r="V17" s="863"/>
      <c r="W17" s="863"/>
      <c r="X17" s="863"/>
      <c r="Y17" s="863"/>
      <c r="Z17" s="863"/>
      <c r="AA17" s="863"/>
      <c r="AB17" s="863"/>
      <c r="AC17" s="863"/>
      <c r="AD17" s="863"/>
      <c r="AE17" s="863"/>
      <c r="AF17" s="863"/>
    </row>
    <row r="18" spans="2:33" ht="45.75" customHeight="1" x14ac:dyDescent="0.3">
      <c r="B18" s="182" t="s">
        <v>20</v>
      </c>
      <c r="C18" s="863" t="s">
        <v>1184</v>
      </c>
      <c r="D18" s="863"/>
      <c r="E18" s="863"/>
      <c r="F18" s="863"/>
      <c r="G18" s="863"/>
      <c r="H18" s="863"/>
      <c r="I18" s="863"/>
      <c r="J18" s="863"/>
      <c r="K18" s="863"/>
      <c r="L18" s="863"/>
      <c r="M18" s="863"/>
      <c r="N18" s="863"/>
      <c r="O18" s="863"/>
      <c r="P18" s="863"/>
      <c r="Q18" s="863"/>
      <c r="R18" s="863"/>
      <c r="S18" s="863"/>
      <c r="T18" s="863"/>
      <c r="U18" s="863"/>
      <c r="V18" s="863"/>
      <c r="W18" s="863"/>
      <c r="X18" s="863"/>
      <c r="Y18" s="863"/>
      <c r="Z18" s="863"/>
      <c r="AA18" s="863"/>
      <c r="AB18" s="863"/>
      <c r="AC18" s="863"/>
      <c r="AD18" s="863"/>
      <c r="AE18" s="863"/>
      <c r="AF18" s="863"/>
    </row>
    <row r="19" spans="2:33" x14ac:dyDescent="0.3">
      <c r="B19" s="7"/>
    </row>
    <row r="20" spans="2:33" x14ac:dyDescent="0.3">
      <c r="B20" s="51" t="s">
        <v>4</v>
      </c>
      <c r="C20" s="51"/>
      <c r="D20" s="51"/>
      <c r="E20" s="51"/>
      <c r="F20" s="51"/>
      <c r="G20" s="51"/>
      <c r="H20" s="51"/>
      <c r="I20" s="51"/>
    </row>
    <row r="21" spans="2:33" ht="43.2" customHeight="1" x14ac:dyDescent="0.3">
      <c r="B21" s="872" t="s">
        <v>2834</v>
      </c>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row>
    <row r="22" spans="2:33" ht="29.25" customHeight="1" x14ac:dyDescent="0.3">
      <c r="B22" s="182" t="s">
        <v>20</v>
      </c>
      <c r="C22" s="2640" t="s">
        <v>1186</v>
      </c>
      <c r="D22" s="2640"/>
      <c r="E22" s="2640"/>
      <c r="F22" s="2640"/>
      <c r="G22" s="2640"/>
      <c r="H22" s="2640"/>
      <c r="I22" s="2640"/>
      <c r="J22" s="2640"/>
      <c r="K22" s="2640"/>
      <c r="L22" s="2640"/>
      <c r="M22" s="2640"/>
      <c r="N22" s="2640"/>
      <c r="O22" s="2640"/>
      <c r="P22" s="2640"/>
      <c r="Q22" s="2640"/>
      <c r="R22" s="2640"/>
      <c r="S22" s="2640"/>
      <c r="T22" s="2640"/>
      <c r="U22" s="2640"/>
      <c r="V22" s="2640"/>
      <c r="W22" s="2640"/>
      <c r="X22" s="2640"/>
      <c r="Y22" s="2640"/>
      <c r="Z22" s="2640"/>
      <c r="AA22" s="2640"/>
      <c r="AB22" s="2640"/>
      <c r="AC22" s="2640"/>
      <c r="AD22" s="2640"/>
      <c r="AE22" s="2640"/>
      <c r="AF22" s="2640"/>
    </row>
    <row r="23" spans="2:33" ht="32.25" customHeight="1" x14ac:dyDescent="0.3">
      <c r="B23" s="182" t="s">
        <v>20</v>
      </c>
      <c r="C23" s="2640" t="s">
        <v>2853</v>
      </c>
      <c r="D23" s="2640"/>
      <c r="E23" s="2640"/>
      <c r="F23" s="2640"/>
      <c r="G23" s="2640"/>
      <c r="H23" s="2640"/>
      <c r="I23" s="2640"/>
      <c r="J23" s="2640"/>
      <c r="K23" s="2640"/>
      <c r="L23" s="2640"/>
      <c r="M23" s="2640"/>
      <c r="N23" s="2640"/>
      <c r="O23" s="2640"/>
      <c r="P23" s="2640"/>
      <c r="Q23" s="2640"/>
      <c r="R23" s="2640"/>
      <c r="S23" s="2640"/>
      <c r="T23" s="2640"/>
      <c r="U23" s="2640"/>
      <c r="V23" s="2640"/>
      <c r="W23" s="2640"/>
      <c r="X23" s="2640"/>
      <c r="Y23" s="2640"/>
      <c r="Z23" s="2640"/>
      <c r="AA23" s="2640"/>
      <c r="AB23" s="2640"/>
      <c r="AC23" s="2640"/>
      <c r="AD23" s="2640"/>
      <c r="AE23" s="2640"/>
      <c r="AF23" s="2640"/>
    </row>
    <row r="24" spans="2:33" ht="49.5" customHeight="1" x14ac:dyDescent="0.3">
      <c r="B24" s="182" t="s">
        <v>20</v>
      </c>
      <c r="C24" s="2640" t="s">
        <v>1187</v>
      </c>
      <c r="D24" s="2640"/>
      <c r="E24" s="2640"/>
      <c r="F24" s="2640"/>
      <c r="G24" s="2640"/>
      <c r="H24" s="2640"/>
      <c r="I24" s="2640"/>
      <c r="J24" s="2640"/>
      <c r="K24" s="2640"/>
      <c r="L24" s="2640"/>
      <c r="M24" s="2640"/>
      <c r="N24" s="2640"/>
      <c r="O24" s="2640"/>
      <c r="P24" s="2640"/>
      <c r="Q24" s="2640"/>
      <c r="R24" s="2640"/>
      <c r="S24" s="2640"/>
      <c r="T24" s="2640"/>
      <c r="U24" s="2640"/>
      <c r="V24" s="2640"/>
      <c r="W24" s="2640"/>
      <c r="X24" s="2640"/>
      <c r="Y24" s="2640"/>
      <c r="Z24" s="2640"/>
      <c r="AA24" s="2640"/>
      <c r="AB24" s="2640"/>
      <c r="AC24" s="2640"/>
      <c r="AD24" s="2640"/>
      <c r="AE24" s="2640"/>
      <c r="AF24" s="2640"/>
    </row>
    <row r="25" spans="2:33" ht="48" customHeight="1" x14ac:dyDescent="0.3">
      <c r="B25" s="182" t="s">
        <v>20</v>
      </c>
      <c r="C25" s="2640" t="s">
        <v>2835</v>
      </c>
      <c r="D25" s="2640"/>
      <c r="E25" s="2640"/>
      <c r="F25" s="2640"/>
      <c r="G25" s="2640"/>
      <c r="H25" s="2640"/>
      <c r="I25" s="2640"/>
      <c r="J25" s="2640"/>
      <c r="K25" s="2640"/>
      <c r="L25" s="2640"/>
      <c r="M25" s="2640"/>
      <c r="N25" s="2640"/>
      <c r="O25" s="2640"/>
      <c r="P25" s="2640"/>
      <c r="Q25" s="2640"/>
      <c r="R25" s="2640"/>
      <c r="S25" s="2640"/>
      <c r="T25" s="2640"/>
      <c r="U25" s="2640"/>
      <c r="V25" s="2640"/>
      <c r="W25" s="2640"/>
      <c r="X25" s="2640"/>
      <c r="Y25" s="2640"/>
      <c r="Z25" s="2640"/>
      <c r="AA25" s="2640"/>
      <c r="AB25" s="2640"/>
      <c r="AC25" s="2640"/>
      <c r="AD25" s="2640"/>
      <c r="AE25" s="2640"/>
      <c r="AF25" s="2640"/>
    </row>
    <row r="26" spans="2:33" ht="33" customHeight="1" x14ac:dyDescent="0.3">
      <c r="B26" s="182" t="s">
        <v>20</v>
      </c>
      <c r="C26" s="2640" t="s">
        <v>2836</v>
      </c>
      <c r="D26" s="2640"/>
      <c r="E26" s="2640"/>
      <c r="F26" s="2640"/>
      <c r="G26" s="2640"/>
      <c r="H26" s="2640"/>
      <c r="I26" s="2640"/>
      <c r="J26" s="2640"/>
      <c r="K26" s="2640"/>
      <c r="L26" s="2640"/>
      <c r="M26" s="2640"/>
      <c r="N26" s="2640"/>
      <c r="O26" s="2640"/>
      <c r="P26" s="2640"/>
      <c r="Q26" s="2640"/>
      <c r="R26" s="2640"/>
      <c r="S26" s="2640"/>
      <c r="T26" s="2640"/>
      <c r="U26" s="2640"/>
      <c r="V26" s="2640"/>
      <c r="W26" s="2640"/>
      <c r="X26" s="2640"/>
      <c r="Y26" s="2640"/>
      <c r="Z26" s="2640"/>
      <c r="AA26" s="2640"/>
      <c r="AB26" s="2640"/>
      <c r="AC26" s="2640"/>
      <c r="AD26" s="2640"/>
      <c r="AE26" s="2640"/>
      <c r="AF26" s="2640"/>
    </row>
    <row r="27" spans="2:33" ht="33.75" customHeight="1" x14ac:dyDescent="0.3">
      <c r="B27" s="182" t="s">
        <v>20</v>
      </c>
      <c r="C27" s="2640" t="s">
        <v>2837</v>
      </c>
      <c r="D27" s="2640"/>
      <c r="E27" s="2640"/>
      <c r="F27" s="2640"/>
      <c r="G27" s="2640"/>
      <c r="H27" s="2640"/>
      <c r="I27" s="2640"/>
      <c r="J27" s="2640"/>
      <c r="K27" s="2640"/>
      <c r="L27" s="2640"/>
      <c r="M27" s="2640"/>
      <c r="N27" s="2640"/>
      <c r="O27" s="2640"/>
      <c r="P27" s="2640"/>
      <c r="Q27" s="2640"/>
      <c r="R27" s="2640"/>
      <c r="S27" s="2640"/>
      <c r="T27" s="2640"/>
      <c r="U27" s="2640"/>
      <c r="V27" s="2640"/>
      <c r="W27" s="2640"/>
      <c r="X27" s="2640"/>
      <c r="Y27" s="2640"/>
      <c r="Z27" s="2640"/>
      <c r="AA27" s="2640"/>
      <c r="AB27" s="2640"/>
      <c r="AC27" s="2640"/>
      <c r="AD27" s="2640"/>
      <c r="AE27" s="2640"/>
      <c r="AF27" s="2640"/>
    </row>
    <row r="28" spans="2:33" ht="31.5" customHeight="1" x14ac:dyDescent="0.3">
      <c r="B28" s="182" t="s">
        <v>20</v>
      </c>
      <c r="C28" s="2640" t="s">
        <v>1188</v>
      </c>
      <c r="D28" s="2640"/>
      <c r="E28" s="2640"/>
      <c r="F28" s="2640"/>
      <c r="G28" s="2640"/>
      <c r="H28" s="2640"/>
      <c r="I28" s="2640"/>
      <c r="J28" s="2640"/>
      <c r="K28" s="2640"/>
      <c r="L28" s="2640"/>
      <c r="M28" s="2640"/>
      <c r="N28" s="2640"/>
      <c r="O28" s="2640"/>
      <c r="P28" s="2640"/>
      <c r="Q28" s="2640"/>
      <c r="R28" s="2640"/>
      <c r="S28" s="2640"/>
      <c r="T28" s="2640"/>
      <c r="U28" s="2640"/>
      <c r="V28" s="2640"/>
      <c r="W28" s="2640"/>
      <c r="X28" s="2640"/>
      <c r="Y28" s="2640"/>
      <c r="Z28" s="2640"/>
      <c r="AA28" s="2640"/>
      <c r="AB28" s="2640"/>
      <c r="AC28" s="2640"/>
      <c r="AD28" s="2640"/>
      <c r="AE28" s="2640"/>
      <c r="AF28" s="2640"/>
    </row>
    <row r="29" spans="2:33" ht="60.75" customHeight="1" x14ac:dyDescent="0.3">
      <c r="B29" s="182" t="s">
        <v>20</v>
      </c>
      <c r="C29" s="2640" t="s">
        <v>1189</v>
      </c>
      <c r="D29" s="2640"/>
      <c r="E29" s="2640"/>
      <c r="F29" s="2640"/>
      <c r="G29" s="2640"/>
      <c r="H29" s="2640"/>
      <c r="I29" s="2640"/>
      <c r="J29" s="2640"/>
      <c r="K29" s="2640"/>
      <c r="L29" s="2640"/>
      <c r="M29" s="2640"/>
      <c r="N29" s="2640"/>
      <c r="O29" s="2640"/>
      <c r="P29" s="2640"/>
      <c r="Q29" s="2640"/>
      <c r="R29" s="2640"/>
      <c r="S29" s="2640"/>
      <c r="T29" s="2640"/>
      <c r="U29" s="2640"/>
      <c r="V29" s="2640"/>
      <c r="W29" s="2640"/>
      <c r="X29" s="2640"/>
      <c r="Y29" s="2640"/>
      <c r="Z29" s="2640"/>
      <c r="AA29" s="2640"/>
      <c r="AB29" s="2640"/>
      <c r="AC29" s="2640"/>
      <c r="AD29" s="2640"/>
      <c r="AE29" s="2640"/>
      <c r="AF29" s="2640"/>
    </row>
    <row r="30" spans="2:33" ht="81" customHeight="1" x14ac:dyDescent="0.3">
      <c r="B30" s="182" t="s">
        <v>20</v>
      </c>
      <c r="C30" s="2640" t="s">
        <v>2838</v>
      </c>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row>
    <row r="31" spans="2:33" ht="48" customHeight="1" x14ac:dyDescent="0.3">
      <c r="B31" s="182" t="s">
        <v>20</v>
      </c>
      <c r="C31" s="2640" t="s">
        <v>2839</v>
      </c>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row>
    <row r="32" spans="2:33" s="56" customFormat="1" ht="43.5" customHeight="1" x14ac:dyDescent="0.3">
      <c r="B32" s="182"/>
      <c r="C32" s="185" t="s">
        <v>1190</v>
      </c>
      <c r="D32" s="2640" t="s">
        <v>1192</v>
      </c>
      <c r="E32" s="2640"/>
      <c r="F32" s="2640"/>
      <c r="G32" s="2640"/>
      <c r="H32" s="2640"/>
      <c r="I32" s="2640"/>
      <c r="J32" s="2640"/>
      <c r="K32" s="2640"/>
      <c r="L32" s="2640"/>
      <c r="M32" s="2640"/>
      <c r="N32" s="2640"/>
      <c r="O32" s="2640"/>
      <c r="P32" s="2640"/>
      <c r="Q32" s="2640"/>
      <c r="R32" s="2640"/>
      <c r="S32" s="2640"/>
      <c r="T32" s="2640"/>
      <c r="U32" s="2640"/>
      <c r="V32" s="2640"/>
      <c r="W32" s="2640"/>
      <c r="X32" s="2640"/>
      <c r="Y32" s="2640"/>
      <c r="Z32" s="2640"/>
      <c r="AA32" s="2640"/>
      <c r="AB32" s="2640"/>
      <c r="AC32" s="2640"/>
      <c r="AD32" s="2640"/>
      <c r="AE32" s="2640"/>
      <c r="AF32" s="2640"/>
      <c r="AG32" s="184"/>
    </row>
    <row r="33" spans="1:33" ht="33.75" customHeight="1" x14ac:dyDescent="0.3">
      <c r="B33" s="182"/>
      <c r="C33" s="185" t="s">
        <v>1191</v>
      </c>
      <c r="D33" s="2640" t="s">
        <v>1436</v>
      </c>
      <c r="E33" s="2640"/>
      <c r="F33" s="2640"/>
      <c r="G33" s="2640"/>
      <c r="H33" s="2640"/>
      <c r="I33" s="2640"/>
      <c r="J33" s="2640"/>
      <c r="K33" s="2640"/>
      <c r="L33" s="2640"/>
      <c r="M33" s="2640"/>
      <c r="N33" s="2640"/>
      <c r="O33" s="2640"/>
      <c r="P33" s="2640"/>
      <c r="Q33" s="2640"/>
      <c r="R33" s="2640"/>
      <c r="S33" s="2640"/>
      <c r="T33" s="2640"/>
      <c r="U33" s="2640"/>
      <c r="V33" s="2640"/>
      <c r="W33" s="2640"/>
      <c r="X33" s="2640"/>
      <c r="Y33" s="2640"/>
      <c r="Z33" s="2640"/>
      <c r="AA33" s="2640"/>
      <c r="AB33" s="2640"/>
      <c r="AC33" s="2640"/>
      <c r="AD33" s="2640"/>
      <c r="AE33" s="2640"/>
      <c r="AF33" s="2640"/>
      <c r="AG33" s="184"/>
    </row>
    <row r="34" spans="1:33" s="4" customFormat="1" ht="66.75" customHeight="1" x14ac:dyDescent="0.3">
      <c r="B34" s="182" t="s">
        <v>20</v>
      </c>
      <c r="C34" s="2640" t="s">
        <v>1193</v>
      </c>
      <c r="D34" s="2640"/>
      <c r="E34" s="2640"/>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row>
    <row r="35" spans="1:33" s="4" customFormat="1" ht="47.25" customHeight="1" x14ac:dyDescent="0.3">
      <c r="B35" s="182" t="s">
        <v>20</v>
      </c>
      <c r="C35" s="2640" t="s">
        <v>1194</v>
      </c>
      <c r="D35" s="2640"/>
      <c r="E35" s="2640"/>
      <c r="F35" s="2640"/>
      <c r="G35" s="2640"/>
      <c r="H35" s="2640"/>
      <c r="I35" s="2640"/>
      <c r="J35" s="2640"/>
      <c r="K35" s="2640"/>
      <c r="L35" s="2640"/>
      <c r="M35" s="2640"/>
      <c r="N35" s="2640"/>
      <c r="O35" s="2640"/>
      <c r="P35" s="2640"/>
      <c r="Q35" s="2640"/>
      <c r="R35" s="2640"/>
      <c r="S35" s="2640"/>
      <c r="T35" s="2640"/>
      <c r="U35" s="2640"/>
      <c r="V35" s="2640"/>
      <c r="W35" s="2640"/>
      <c r="X35" s="2640"/>
      <c r="Y35" s="2640"/>
      <c r="Z35" s="2640"/>
      <c r="AA35" s="2640"/>
      <c r="AB35" s="2640"/>
      <c r="AC35" s="2640"/>
      <c r="AD35" s="2640"/>
      <c r="AE35" s="2640"/>
      <c r="AF35" s="2640"/>
    </row>
    <row r="36" spans="1:33" s="4" customFormat="1" ht="14.4" customHeight="1" x14ac:dyDescent="0.3">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row>
    <row r="37" spans="1:33" x14ac:dyDescent="0.3">
      <c r="B37" s="51" t="s">
        <v>5</v>
      </c>
      <c r="C37" s="51"/>
      <c r="D37" s="51"/>
      <c r="E37" s="51"/>
      <c r="F37" s="51"/>
      <c r="G37" s="51"/>
      <c r="H37" s="51"/>
      <c r="I37" s="51"/>
    </row>
    <row r="38" spans="1:33" s="4" customFormat="1" ht="30.75" customHeight="1" x14ac:dyDescent="0.3">
      <c r="B38" s="872" t="s">
        <v>1185</v>
      </c>
      <c r="C38" s="872"/>
      <c r="D38" s="872"/>
      <c r="E38" s="872"/>
      <c r="F38" s="872"/>
      <c r="G38" s="872"/>
      <c r="H38" s="872"/>
      <c r="I38" s="872"/>
      <c r="J38" s="872"/>
      <c r="K38" s="872"/>
      <c r="L38" s="872"/>
      <c r="M38" s="872"/>
      <c r="N38" s="872"/>
      <c r="O38" s="872"/>
      <c r="P38" s="872"/>
      <c r="Q38" s="872"/>
      <c r="R38" s="872"/>
      <c r="S38" s="872"/>
      <c r="T38" s="872"/>
      <c r="U38" s="872"/>
      <c r="V38" s="872"/>
      <c r="W38" s="872"/>
      <c r="X38" s="872"/>
      <c r="Y38" s="872"/>
      <c r="Z38" s="872"/>
      <c r="AA38" s="872"/>
      <c r="AB38" s="872"/>
      <c r="AC38" s="872"/>
      <c r="AD38" s="872"/>
      <c r="AE38" s="872"/>
      <c r="AF38" s="872"/>
    </row>
    <row r="40" spans="1:33" x14ac:dyDescent="0.3">
      <c r="B40" s="51" t="s">
        <v>6</v>
      </c>
      <c r="C40" s="51"/>
      <c r="D40" s="51"/>
      <c r="E40" s="51"/>
      <c r="F40" s="51"/>
      <c r="G40" s="51"/>
      <c r="H40" s="51"/>
      <c r="I40" s="51"/>
    </row>
    <row r="41" spans="1:33" ht="14.4" customHeight="1" x14ac:dyDescent="0.3">
      <c r="B41" s="872" t="s">
        <v>363</v>
      </c>
      <c r="C41" s="872"/>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row>
    <row r="43" spans="1:33" x14ac:dyDescent="0.3">
      <c r="B43" s="51" t="s">
        <v>13</v>
      </c>
      <c r="C43" s="51"/>
      <c r="D43" s="51"/>
      <c r="E43" s="51"/>
      <c r="F43" s="51"/>
      <c r="G43" s="51"/>
      <c r="H43" s="51"/>
      <c r="I43" s="51"/>
    </row>
    <row r="44" spans="1:33" s="4" customFormat="1" ht="14.4" customHeight="1" x14ac:dyDescent="0.3">
      <c r="B44" s="872" t="s">
        <v>364</v>
      </c>
      <c r="C44" s="872"/>
      <c r="D44" s="872"/>
      <c r="E44" s="872"/>
      <c r="F44" s="872"/>
      <c r="G44" s="872"/>
      <c r="H44" s="872"/>
      <c r="I44" s="872"/>
      <c r="J44" s="872"/>
      <c r="K44" s="872"/>
      <c r="L44" s="872"/>
      <c r="M44" s="872"/>
      <c r="N44" s="872"/>
      <c r="O44" s="872"/>
      <c r="P44" s="872"/>
      <c r="Q44" s="872"/>
      <c r="R44" s="872"/>
      <c r="S44" s="872"/>
      <c r="T44" s="872"/>
      <c r="U44" s="872"/>
      <c r="V44" s="872"/>
      <c r="W44" s="872"/>
      <c r="X44" s="872"/>
      <c r="Y44" s="872"/>
      <c r="Z44" s="872"/>
      <c r="AA44" s="872"/>
      <c r="AB44" s="872"/>
      <c r="AC44" s="872"/>
      <c r="AD44" s="872"/>
      <c r="AE44" s="872"/>
      <c r="AF44" s="872"/>
    </row>
    <row r="45" spans="1:33" s="4" customFormat="1" ht="14.4" customHeight="1" x14ac:dyDescent="0.3"/>
    <row r="47" spans="1:33" x14ac:dyDescent="0.3">
      <c r="A47" s="1141" t="s">
        <v>7</v>
      </c>
      <c r="B47" s="1141"/>
      <c r="C47" s="1141"/>
      <c r="D47" s="1141"/>
      <c r="E47" s="1141"/>
      <c r="F47" s="1141"/>
      <c r="G47" s="1141"/>
      <c r="H47" s="1141"/>
      <c r="I47" s="1141"/>
      <c r="J47" s="1141"/>
      <c r="K47" s="1141"/>
      <c r="L47" s="1141"/>
      <c r="M47" s="1141"/>
      <c r="N47" s="1141"/>
      <c r="O47" s="1141"/>
      <c r="P47" s="1141"/>
      <c r="Q47" s="1141"/>
      <c r="R47" s="1141"/>
      <c r="S47" s="1141"/>
      <c r="T47" s="1141"/>
      <c r="U47" s="1141"/>
      <c r="V47" s="1141"/>
      <c r="W47" s="1141"/>
      <c r="X47" s="1141"/>
      <c r="Y47" s="1141"/>
      <c r="Z47" s="1141"/>
      <c r="AA47" s="1141"/>
      <c r="AB47" s="1141"/>
      <c r="AC47" s="1141"/>
      <c r="AD47" s="1141"/>
      <c r="AE47" s="1141"/>
      <c r="AF47" s="1141"/>
    </row>
    <row r="49" spans="1:32" x14ac:dyDescent="0.3">
      <c r="A49" s="1449" t="s">
        <v>1195</v>
      </c>
      <c r="B49" s="1449"/>
      <c r="C49" s="1449"/>
      <c r="D49" s="1449"/>
      <c r="E49" s="1449"/>
      <c r="F49" s="1449"/>
      <c r="G49" s="1449"/>
      <c r="H49" s="1449"/>
      <c r="I49" s="1449"/>
      <c r="J49" s="1449"/>
      <c r="K49" s="1449"/>
      <c r="L49" s="1449"/>
      <c r="M49" s="1449"/>
      <c r="N49" s="1449"/>
      <c r="O49" s="1449"/>
      <c r="P49" s="1449"/>
      <c r="Q49" s="1449"/>
      <c r="R49" s="1449"/>
      <c r="S49" s="1449"/>
      <c r="T49" s="1449"/>
      <c r="U49" s="1449"/>
      <c r="V49" s="1449"/>
      <c r="W49" s="1449"/>
      <c r="X49" s="1449"/>
      <c r="Y49" s="1449"/>
      <c r="Z49" s="1449"/>
      <c r="AA49" s="1449"/>
      <c r="AB49" s="1449"/>
      <c r="AC49" s="1449"/>
      <c r="AD49" s="1449"/>
      <c r="AE49" s="1449"/>
      <c r="AF49" s="1449"/>
    </row>
    <row r="52" spans="1:32" x14ac:dyDescent="0.3">
      <c r="A52" s="1141" t="s">
        <v>14</v>
      </c>
      <c r="B52" s="1141"/>
      <c r="C52" s="1141"/>
      <c r="D52" s="1141"/>
      <c r="E52" s="1141"/>
      <c r="F52" s="1141"/>
      <c r="G52" s="1141"/>
      <c r="H52" s="1141"/>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c r="AE52" s="1141"/>
      <c r="AF52" s="1141"/>
    </row>
    <row r="53" spans="1:32" ht="15" thickBot="1" x14ac:dyDescent="0.35"/>
    <row r="54" spans="1:32" x14ac:dyDescent="0.3">
      <c r="A54" s="1252" t="s">
        <v>15</v>
      </c>
      <c r="B54" s="1253"/>
      <c r="C54" s="1253"/>
      <c r="D54" s="1253"/>
      <c r="E54" s="1253"/>
      <c r="F54" s="1253"/>
      <c r="G54" s="1253"/>
      <c r="H54" s="1253"/>
      <c r="I54" s="1253" t="s">
        <v>16</v>
      </c>
      <c r="J54" s="1253"/>
      <c r="K54" s="1253"/>
      <c r="L54" s="1253"/>
      <c r="M54" s="1253"/>
      <c r="N54" s="1253"/>
      <c r="O54" s="1253"/>
      <c r="P54" s="1253"/>
      <c r="Q54" s="1253" t="s">
        <v>17</v>
      </c>
      <c r="R54" s="1253"/>
      <c r="S54" s="1253"/>
      <c r="T54" s="1253"/>
      <c r="U54" s="1253"/>
      <c r="V54" s="1253"/>
      <c r="W54" s="1253"/>
      <c r="X54" s="1254"/>
    </row>
    <row r="55" spans="1:32" ht="15" thickBot="1" x14ac:dyDescent="0.35">
      <c r="A55" s="2413" t="s">
        <v>365</v>
      </c>
      <c r="B55" s="2414"/>
      <c r="C55" s="2414"/>
      <c r="D55" s="2414"/>
      <c r="E55" s="2414"/>
      <c r="F55" s="2414"/>
      <c r="G55" s="2414"/>
      <c r="H55" s="2414"/>
      <c r="I55" s="1249" t="s">
        <v>366</v>
      </c>
      <c r="J55" s="1249"/>
      <c r="K55" s="1249"/>
      <c r="L55" s="1249"/>
      <c r="M55" s="1249"/>
      <c r="N55" s="1249"/>
      <c r="O55" s="1249"/>
      <c r="P55" s="1249"/>
      <c r="Q55" s="1249" t="s">
        <v>366</v>
      </c>
      <c r="R55" s="1249"/>
      <c r="S55" s="1249"/>
      <c r="T55" s="1249"/>
      <c r="U55" s="1249"/>
      <c r="V55" s="1249"/>
      <c r="W55" s="1249"/>
      <c r="X55" s="1250"/>
    </row>
  </sheetData>
  <sheetProtection algorithmName="SHA-512" hashValue="evR1S3EJXsgtq/PjrT6PARXv6Lyu+2wUSFKdqJfBD3JEzwxa/VcIKHC8nmhbe3mhKrfewWR57BHy5m+l3l7Mag==" saltValue="ygBjMLaLz4hheTqw+iR6iA==" spinCount="100000" sheet="1" objects="1" scenarios="1"/>
  <mergeCells count="42">
    <mergeCell ref="C31:AF31"/>
    <mergeCell ref="C34:AF34"/>
    <mergeCell ref="C35:AF35"/>
    <mergeCell ref="D32:AF32"/>
    <mergeCell ref="D33:AF33"/>
    <mergeCell ref="C26:AF26"/>
    <mergeCell ref="C27:AF27"/>
    <mergeCell ref="C28:AF28"/>
    <mergeCell ref="C29:AF29"/>
    <mergeCell ref="C30:AF30"/>
    <mergeCell ref="C16:AF16"/>
    <mergeCell ref="C17:AF17"/>
    <mergeCell ref="Q54:X54"/>
    <mergeCell ref="A55:H55"/>
    <mergeCell ref="I55:P55"/>
    <mergeCell ref="Q55:X55"/>
    <mergeCell ref="A47:AF47"/>
    <mergeCell ref="A54:H54"/>
    <mergeCell ref="I54:P54"/>
    <mergeCell ref="A52:AF52"/>
    <mergeCell ref="A49:AF49"/>
    <mergeCell ref="C18:AF18"/>
    <mergeCell ref="C22:AF22"/>
    <mergeCell ref="C23:AF23"/>
    <mergeCell ref="C24:AF24"/>
    <mergeCell ref="C25:AF25"/>
    <mergeCell ref="A1:AF1"/>
    <mergeCell ref="B6:AF6"/>
    <mergeCell ref="B44:AF44"/>
    <mergeCell ref="B41:AF41"/>
    <mergeCell ref="A3:AF3"/>
    <mergeCell ref="B38:AF38"/>
    <mergeCell ref="B21:AF21"/>
    <mergeCell ref="C7:AF7"/>
    <mergeCell ref="C8:AF8"/>
    <mergeCell ref="C9:AF9"/>
    <mergeCell ref="C10:AF10"/>
    <mergeCell ref="C11:AF11"/>
    <mergeCell ref="C12:AF12"/>
    <mergeCell ref="C13:AF13"/>
    <mergeCell ref="C14:AF14"/>
    <mergeCell ref="C15:AF15"/>
  </mergeCells>
  <hyperlinks>
    <hyperlink ref="A2" location="TOC!A1" display="Return to TOC" xr:uid="{00000000-0004-0000-4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C32:C33"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37">
    <tabColor theme="1"/>
    <pageSetUpPr autoPageBreaks="0"/>
  </sheetPr>
  <dimension ref="A1"/>
  <sheetViews>
    <sheetView workbookViewId="0">
      <selection sqref="A1:AF1"/>
    </sheetView>
  </sheetViews>
  <sheetFormatPr defaultRowHeight="14.4" x14ac:dyDescent="0.3"/>
  <sheetData/>
  <sheetProtection algorithmName="SHA-512" hashValue="/KBhELJaOSIiheMnFEzTr9DHebd5iy5uVaQ9piOwUriK9tZDZeAqFplVb4Usrtuvn00ne35Xlf6y8Cb1wj8aoQ==" saltValue="HvWguIORvgZo/u3xVcnq9A==" spinCount="100000" sheet="1" objects="1" scenarios="1"/>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8">
    <tabColor theme="4" tint="0.79998168889431442"/>
    <pageSetUpPr autoPageBreaks="0"/>
  </sheetPr>
  <dimension ref="A1:BG122"/>
  <sheetViews>
    <sheetView workbookViewId="0">
      <selection activeCell="A2" sqref="A2"/>
    </sheetView>
  </sheetViews>
  <sheetFormatPr defaultColWidth="2.6640625" defaultRowHeight="14.4" x14ac:dyDescent="0.3"/>
  <cols>
    <col min="1" max="16384" width="2.6640625" style="1"/>
  </cols>
  <sheetData>
    <row r="1" spans="1:38" customFormat="1" ht="18" x14ac:dyDescent="0.3">
      <c r="A1" s="1131" t="s">
        <v>897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
      <c r="AH1" s="1"/>
      <c r="AI1" s="1"/>
      <c r="AL1" s="775"/>
    </row>
    <row r="2" spans="1:38" customFormat="1" ht="18"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L2" s="766"/>
    </row>
    <row r="3" spans="1:38" customFormat="1"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c r="AG3" s="1"/>
      <c r="AH3" s="1"/>
      <c r="AI3" s="1"/>
      <c r="AL3" s="709"/>
    </row>
    <row r="4" spans="1:38" customFormat="1"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1"/>
      <c r="AH4" s="1"/>
      <c r="AI4" s="1"/>
      <c r="AL4" s="709"/>
    </row>
    <row r="5" spans="1:38" customFormat="1" x14ac:dyDescent="0.3">
      <c r="A5" s="121"/>
      <c r="B5" s="1258" t="s">
        <v>5928</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c r="AG5" s="1"/>
      <c r="AH5" s="1"/>
      <c r="AI5" s="1"/>
      <c r="AL5" s="478"/>
    </row>
    <row r="6" spans="1:38" customFormat="1" x14ac:dyDescent="0.3">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L6" s="709"/>
    </row>
    <row r="7" spans="1:38" customForma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c r="AG7" s="1"/>
      <c r="AH7" s="1"/>
      <c r="AI7" s="1"/>
      <c r="AL7" s="709"/>
    </row>
    <row r="8" spans="1:38" customFormat="1"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1"/>
      <c r="AH8" s="1"/>
      <c r="AI8" s="1"/>
      <c r="AL8" s="709"/>
    </row>
    <row r="9" spans="1:38" customFormat="1"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L9" s="709"/>
    </row>
    <row r="10" spans="1:38" customFormat="1" ht="31.5" customHeight="1" x14ac:dyDescent="0.3">
      <c r="A10" s="121"/>
      <c r="B10" s="889" t="s">
        <v>6367</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1"/>
      <c r="AH10" s="1"/>
      <c r="AI10" s="1"/>
      <c r="AL10" s="478"/>
    </row>
    <row r="11" spans="1:38" customFormat="1"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L11" s="709"/>
    </row>
    <row r="12" spans="1:38" customFormat="1"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L12" s="709"/>
    </row>
    <row r="13" spans="1:38" customFormat="1" ht="33" customHeight="1" x14ac:dyDescent="0.3">
      <c r="A13" s="121"/>
      <c r="B13" s="889" t="s">
        <v>6368</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1"/>
      <c r="AH13" s="1"/>
      <c r="AI13" s="1"/>
      <c r="AL13" s="478"/>
    </row>
    <row r="14" spans="1:38" customFormat="1"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
      <c r="AH14" s="1"/>
      <c r="AI14" s="1"/>
      <c r="AL14" s="709"/>
    </row>
    <row r="15" spans="1:38" customFormat="1"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
      <c r="AH15" s="1"/>
      <c r="AI15" s="1"/>
      <c r="AL15" s="709"/>
    </row>
    <row r="16" spans="1:38" customFormat="1" x14ac:dyDescent="0.3">
      <c r="A16" s="121"/>
      <c r="B16" s="1372" t="s">
        <v>6369</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
      <c r="AH16" s="1"/>
      <c r="AI16" s="1"/>
      <c r="AL16" s="478"/>
    </row>
    <row r="17" spans="1:38" customFormat="1"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
      <c r="AH17" s="1"/>
      <c r="AI17" s="1"/>
      <c r="AL17" s="709"/>
    </row>
    <row r="18" spans="1:38" customFormat="1"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L18" s="709"/>
    </row>
    <row r="19" spans="1:38" customFormat="1" ht="75" customHeight="1" x14ac:dyDescent="0.3">
      <c r="A19" s="121"/>
      <c r="B19" s="889" t="s">
        <v>6370</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G19" s="1"/>
      <c r="AH19" s="1"/>
      <c r="AI19" s="1"/>
      <c r="AL19" s="478"/>
    </row>
    <row r="20" spans="1:38" customFormat="1" x14ac:dyDescent="0.3">
      <c r="A20" s="121"/>
      <c r="B20" s="503"/>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1"/>
      <c r="AH20" s="1"/>
      <c r="AI20" s="1"/>
      <c r="AL20" s="478"/>
    </row>
    <row r="21" spans="1:38" customFormat="1" ht="36.75" customHeight="1" x14ac:dyDescent="0.3">
      <c r="A21" s="121"/>
      <c r="B21" s="2666" t="s">
        <v>6429</v>
      </c>
      <c r="C21" s="2666"/>
      <c r="D21" s="2666"/>
      <c r="E21" s="2666"/>
      <c r="F21" s="2666"/>
      <c r="G21" s="2666"/>
      <c r="H21" s="2666"/>
      <c r="I21" s="2666"/>
      <c r="J21" s="2666"/>
      <c r="K21" s="2666"/>
      <c r="L21" s="2666"/>
      <c r="M21" s="2666"/>
      <c r="N21" s="2666"/>
      <c r="O21" s="2666"/>
      <c r="P21" s="2666"/>
      <c r="Q21" s="2666"/>
      <c r="R21" s="2666"/>
      <c r="S21" s="2666"/>
      <c r="T21" s="2666"/>
      <c r="U21" s="2666"/>
      <c r="V21" s="2666"/>
      <c r="W21" s="2666"/>
      <c r="X21" s="2666"/>
      <c r="Y21" s="2666"/>
      <c r="Z21" s="2666"/>
      <c r="AA21" s="2666"/>
      <c r="AB21" s="2666"/>
      <c r="AC21" s="2666"/>
      <c r="AD21" s="2666"/>
      <c r="AE21" s="2666"/>
      <c r="AF21" s="2666"/>
      <c r="AG21" s="1"/>
      <c r="AH21" s="1"/>
      <c r="AI21" s="1"/>
      <c r="AL21" s="478"/>
    </row>
    <row r="22" spans="1:38" customFormat="1" ht="58.5" customHeight="1" x14ac:dyDescent="0.3">
      <c r="A22" s="121"/>
      <c r="B22" s="1206" t="s">
        <v>6371</v>
      </c>
      <c r="C22" s="1206"/>
      <c r="D22" s="1206"/>
      <c r="E22" s="1206"/>
      <c r="F22" s="1206"/>
      <c r="G22" s="1206"/>
      <c r="H22" s="1206"/>
      <c r="I22" s="1206"/>
      <c r="J22" s="1206"/>
      <c r="K22" s="1206"/>
      <c r="L22" s="1206" t="s">
        <v>6372</v>
      </c>
      <c r="M22" s="1206"/>
      <c r="N22" s="1206"/>
      <c r="O22" s="1206"/>
      <c r="P22" s="1206"/>
      <c r="Q22" s="1206"/>
      <c r="R22" s="1206"/>
      <c r="S22" s="1206" t="s">
        <v>6373</v>
      </c>
      <c r="T22" s="1206"/>
      <c r="U22" s="1206"/>
      <c r="V22" s="1206"/>
      <c r="W22" s="1206"/>
      <c r="X22" s="1206"/>
      <c r="Y22" s="1206"/>
      <c r="Z22" s="1206" t="s">
        <v>6374</v>
      </c>
      <c r="AA22" s="1206"/>
      <c r="AB22" s="1206"/>
      <c r="AC22" s="1206"/>
      <c r="AD22" s="1206"/>
      <c r="AE22" s="1206"/>
      <c r="AF22" s="1206"/>
      <c r="AG22" s="1"/>
      <c r="AH22" s="1"/>
      <c r="AI22" s="1"/>
      <c r="AL22" s="478"/>
    </row>
    <row r="23" spans="1:38" customFormat="1" ht="35.25" customHeight="1" x14ac:dyDescent="0.3">
      <c r="A23" s="121"/>
      <c r="B23" s="1163" t="s">
        <v>6375</v>
      </c>
      <c r="C23" s="1164"/>
      <c r="D23" s="1164"/>
      <c r="E23" s="1164"/>
      <c r="F23" s="1164"/>
      <c r="G23" s="1164"/>
      <c r="H23" s="1164"/>
      <c r="I23" s="1164"/>
      <c r="J23" s="1164"/>
      <c r="K23" s="1165"/>
      <c r="L23" s="1343">
        <v>1.57</v>
      </c>
      <c r="M23" s="1343"/>
      <c r="N23" s="1343"/>
      <c r="O23" s="1343"/>
      <c r="P23" s="1343"/>
      <c r="Q23" s="1343"/>
      <c r="R23" s="1343"/>
      <c r="S23" s="1343">
        <v>6.5</v>
      </c>
      <c r="T23" s="1343"/>
      <c r="U23" s="1343"/>
      <c r="V23" s="1343"/>
      <c r="W23" s="1343"/>
      <c r="X23" s="1343"/>
      <c r="Y23" s="1343"/>
      <c r="Z23" s="2667">
        <v>0.75316776482513936</v>
      </c>
      <c r="AA23" s="2667"/>
      <c r="AB23" s="2667"/>
      <c r="AC23" s="2667"/>
      <c r="AD23" s="2667"/>
      <c r="AE23" s="2667"/>
      <c r="AF23" s="2667"/>
      <c r="AG23" s="1"/>
      <c r="AH23" s="1"/>
      <c r="AI23" s="1"/>
      <c r="AL23" s="478"/>
    </row>
    <row r="24" spans="1:38" customFormat="1" ht="35.25" customHeight="1" x14ac:dyDescent="0.3">
      <c r="A24" s="121"/>
      <c r="B24" s="1163" t="s">
        <v>6376</v>
      </c>
      <c r="C24" s="1164"/>
      <c r="D24" s="1164"/>
      <c r="E24" s="1164"/>
      <c r="F24" s="1164"/>
      <c r="G24" s="1164"/>
      <c r="H24" s="1164"/>
      <c r="I24" s="1164"/>
      <c r="J24" s="1164"/>
      <c r="K24" s="1165"/>
      <c r="L24" s="1343">
        <v>1.84</v>
      </c>
      <c r="M24" s="1343"/>
      <c r="N24" s="1343"/>
      <c r="O24" s="1343"/>
      <c r="P24" s="1343"/>
      <c r="Q24" s="1343"/>
      <c r="R24" s="1343"/>
      <c r="S24" s="1343">
        <v>4.7</v>
      </c>
      <c r="T24" s="1343"/>
      <c r="U24" s="1343"/>
      <c r="V24" s="1343"/>
      <c r="W24" s="1343"/>
      <c r="X24" s="1343"/>
      <c r="Y24" s="1343"/>
      <c r="Z24" s="2667">
        <v>0.24683223517486061</v>
      </c>
      <c r="AA24" s="2667"/>
      <c r="AB24" s="2667"/>
      <c r="AC24" s="2667"/>
      <c r="AD24" s="2667"/>
      <c r="AE24" s="2667"/>
      <c r="AF24" s="2667"/>
      <c r="AG24" s="1"/>
      <c r="AH24" s="1"/>
      <c r="AI24" s="1"/>
      <c r="AL24" s="478"/>
    </row>
    <row r="25" spans="1:38" customFormat="1" ht="45.75" customHeight="1" x14ac:dyDescent="0.3">
      <c r="A25" s="121"/>
      <c r="B25" s="2668" t="s">
        <v>6377</v>
      </c>
      <c r="C25" s="2669"/>
      <c r="D25" s="2669"/>
      <c r="E25" s="2669"/>
      <c r="F25" s="2669"/>
      <c r="G25" s="2669"/>
      <c r="H25" s="2669"/>
      <c r="I25" s="2669"/>
      <c r="J25" s="2669"/>
      <c r="K25" s="2670"/>
      <c r="L25" s="1206">
        <f>ROUND(SUMPRODUCT(L23:R24,$Z23:$AF24),2)</f>
        <v>1.64</v>
      </c>
      <c r="M25" s="1206"/>
      <c r="N25" s="1206"/>
      <c r="O25" s="1206"/>
      <c r="P25" s="1206"/>
      <c r="Q25" s="1206"/>
      <c r="R25" s="1206"/>
      <c r="S25" s="1206">
        <f>ROUND(SUMPRODUCT(S23:Y24,$Z23:$AF24),2)</f>
        <v>6.06</v>
      </c>
      <c r="T25" s="1206"/>
      <c r="U25" s="1206"/>
      <c r="V25" s="1206"/>
      <c r="W25" s="1206"/>
      <c r="X25" s="1206"/>
      <c r="Y25" s="1206"/>
      <c r="Z25" s="2671">
        <f>SUM(Z23:AF24)</f>
        <v>1</v>
      </c>
      <c r="AA25" s="1206"/>
      <c r="AB25" s="1206"/>
      <c r="AC25" s="1206"/>
      <c r="AD25" s="1206"/>
      <c r="AE25" s="1206"/>
      <c r="AF25" s="1206"/>
      <c r="AG25" s="1"/>
      <c r="AH25" s="1"/>
      <c r="AI25" s="1"/>
      <c r="AL25" s="478"/>
    </row>
    <row r="26" spans="1:38" customFormat="1" x14ac:dyDescent="0.3">
      <c r="A26" s="121"/>
      <c r="B26" s="552" t="s">
        <v>830</v>
      </c>
      <c r="C26" s="538"/>
      <c r="D26" s="538"/>
      <c r="E26" s="538"/>
      <c r="F26" s="538"/>
      <c r="G26" s="538"/>
      <c r="H26" s="538"/>
      <c r="I26" s="538"/>
      <c r="J26" s="538"/>
      <c r="K26" s="538"/>
      <c r="L26" s="799"/>
      <c r="M26" s="799"/>
      <c r="N26" s="799"/>
      <c r="O26" s="799"/>
      <c r="P26" s="799"/>
      <c r="Q26" s="799"/>
      <c r="R26" s="799"/>
      <c r="S26" s="799"/>
      <c r="T26" s="799"/>
      <c r="U26" s="799"/>
      <c r="V26" s="799"/>
      <c r="W26" s="799"/>
      <c r="X26" s="799"/>
      <c r="Y26" s="799"/>
      <c r="Z26" s="800"/>
      <c r="AA26" s="799"/>
      <c r="AB26" s="799"/>
      <c r="AC26" s="799"/>
      <c r="AD26" s="799"/>
      <c r="AE26" s="799"/>
      <c r="AF26" s="799"/>
      <c r="AG26" s="1"/>
      <c r="AH26" s="1"/>
      <c r="AI26" s="1"/>
      <c r="AL26" s="478"/>
    </row>
    <row r="27" spans="1:38" customFormat="1" ht="51" customHeight="1" x14ac:dyDescent="0.3">
      <c r="A27" s="121"/>
      <c r="B27" s="1355" t="s">
        <v>6378</v>
      </c>
      <c r="C27" s="1355"/>
      <c r="D27" s="1355"/>
      <c r="E27" s="1355"/>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
      <c r="AH27" s="1"/>
      <c r="AI27" s="1"/>
      <c r="AL27" s="478"/>
    </row>
    <row r="28" spans="1:38" customFormat="1" ht="37.5" customHeight="1" x14ac:dyDescent="0.3">
      <c r="A28" s="121"/>
      <c r="B28" s="1355" t="s">
        <v>6379</v>
      </c>
      <c r="C28" s="1355"/>
      <c r="D28" s="1355"/>
      <c r="E28" s="1355"/>
      <c r="F28" s="1355"/>
      <c r="G28" s="1355"/>
      <c r="H28" s="1355"/>
      <c r="I28" s="1355"/>
      <c r="J28" s="1355"/>
      <c r="K28" s="1355"/>
      <c r="L28" s="1355"/>
      <c r="M28" s="1355"/>
      <c r="N28" s="1355"/>
      <c r="O28" s="1355"/>
      <c r="P28" s="1355"/>
      <c r="Q28" s="1355"/>
      <c r="R28" s="1355"/>
      <c r="S28" s="1355"/>
      <c r="T28" s="1355"/>
      <c r="U28" s="1355"/>
      <c r="V28" s="1355"/>
      <c r="W28" s="1355"/>
      <c r="X28" s="1355"/>
      <c r="Y28" s="1355"/>
      <c r="Z28" s="1355"/>
      <c r="AA28" s="1355"/>
      <c r="AB28" s="1355"/>
      <c r="AC28" s="1355"/>
      <c r="AD28" s="1355"/>
      <c r="AE28" s="1355"/>
      <c r="AF28" s="1355"/>
      <c r="AG28" s="1"/>
      <c r="AH28" s="1"/>
      <c r="AI28" s="1"/>
      <c r="AL28" s="478"/>
    </row>
    <row r="29" spans="1:38" customFormat="1" x14ac:dyDescent="0.3">
      <c r="A29" s="121"/>
      <c r="B29" s="121"/>
      <c r="C29" s="121"/>
      <c r="D29" s="121"/>
      <c r="E29" s="121"/>
      <c r="F29" s="121"/>
      <c r="G29" s="121"/>
      <c r="H29" s="121"/>
      <c r="I29" s="121"/>
      <c r="J29" s="121"/>
      <c r="K29" s="121"/>
      <c r="L29" s="121"/>
      <c r="M29" s="121"/>
      <c r="N29" s="121"/>
      <c r="O29" s="94"/>
      <c r="P29" s="94"/>
      <c r="Q29" s="94"/>
      <c r="R29" s="121"/>
      <c r="S29" s="121"/>
      <c r="T29" s="121"/>
      <c r="U29" s="121"/>
      <c r="V29" s="121"/>
      <c r="W29" s="121"/>
      <c r="X29" s="121"/>
      <c r="Y29" s="121"/>
      <c r="Z29" s="121"/>
      <c r="AA29" s="121"/>
      <c r="AB29" s="121"/>
      <c r="AC29" s="121"/>
      <c r="AD29" s="121"/>
      <c r="AE29" s="121"/>
      <c r="AF29" s="121"/>
      <c r="AG29" s="1"/>
      <c r="AH29" s="1"/>
      <c r="AI29" s="1"/>
      <c r="AL29" s="709"/>
    </row>
    <row r="30" spans="1:38" customFormat="1" x14ac:dyDescent="0.3">
      <c r="A30" s="121"/>
      <c r="B30" s="267" t="s">
        <v>13</v>
      </c>
      <c r="C30" s="267"/>
      <c r="D30" s="267"/>
      <c r="E30" s="267"/>
      <c r="F30" s="267"/>
      <c r="G30" s="267"/>
      <c r="H30" s="267"/>
      <c r="I30" s="267"/>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
      <c r="AH30" s="1"/>
      <c r="AI30" s="1"/>
      <c r="AL30" s="709"/>
    </row>
    <row r="31" spans="1:38" customFormat="1" x14ac:dyDescent="0.3">
      <c r="A31" s="121"/>
      <c r="B31" s="889" t="s">
        <v>6380</v>
      </c>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1"/>
      <c r="AH31" s="1"/>
      <c r="AI31" s="1"/>
      <c r="AL31" s="478"/>
    </row>
    <row r="32" spans="1:38" customFormat="1" x14ac:dyDescent="0.3">
      <c r="A32" s="121"/>
      <c r="B32" s="889" t="s">
        <v>6381</v>
      </c>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1"/>
      <c r="AH32" s="1"/>
      <c r="AI32" s="1"/>
      <c r="AL32" s="709"/>
    </row>
    <row r="33" spans="1:38" customFormat="1" x14ac:dyDescent="0.3">
      <c r="A33" s="121"/>
      <c r="B33" s="889" t="s">
        <v>6382</v>
      </c>
      <c r="C33" s="996"/>
      <c r="D33" s="996"/>
      <c r="E33" s="996"/>
      <c r="F33" s="996"/>
      <c r="G33" s="996"/>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1"/>
      <c r="AH33" s="1"/>
      <c r="AI33" s="1"/>
      <c r="AL33" s="709"/>
    </row>
    <row r="34" spans="1:38" customFormat="1" x14ac:dyDescent="0.3">
      <c r="A34" s="121"/>
      <c r="B34" s="889" t="s">
        <v>6383</v>
      </c>
      <c r="C34" s="996"/>
      <c r="D34" s="996"/>
      <c r="E34" s="996"/>
      <c r="F34" s="996"/>
      <c r="G34" s="996"/>
      <c r="H34" s="996"/>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1"/>
      <c r="AH34" s="1"/>
      <c r="AI34" s="1"/>
      <c r="AL34" s="709"/>
    </row>
    <row r="35" spans="1:38" customFormat="1" x14ac:dyDescent="0.3">
      <c r="A35" s="121"/>
      <c r="B35" s="889" t="s">
        <v>6384</v>
      </c>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1"/>
      <c r="AH35" s="1"/>
      <c r="AI35" s="1"/>
      <c r="AL35" s="709"/>
    </row>
    <row r="36" spans="1:38" customFormat="1" x14ac:dyDescent="0.3">
      <c r="A36" s="121"/>
      <c r="B36" s="503"/>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c r="AA36" s="494"/>
      <c r="AB36" s="494"/>
      <c r="AC36" s="494"/>
      <c r="AD36" s="494"/>
      <c r="AE36" s="494"/>
      <c r="AF36" s="494"/>
      <c r="AG36" s="1"/>
      <c r="AH36" s="1"/>
      <c r="AI36" s="1"/>
      <c r="AL36" s="709"/>
    </row>
    <row r="37" spans="1:38" customFormat="1" ht="17.25" customHeight="1" x14ac:dyDescent="0.3">
      <c r="A37" s="121"/>
      <c r="B37" s="2666" t="s">
        <v>6430</v>
      </c>
      <c r="C37" s="2666"/>
      <c r="D37" s="2666"/>
      <c r="E37" s="2666"/>
      <c r="F37" s="2666"/>
      <c r="G37" s="2666"/>
      <c r="H37" s="2666"/>
      <c r="I37" s="2666"/>
      <c r="J37" s="2666"/>
      <c r="K37" s="2666"/>
      <c r="L37" s="2666"/>
      <c r="M37" s="2666"/>
      <c r="N37" s="2666"/>
      <c r="O37" s="2666"/>
      <c r="P37" s="2666"/>
      <c r="Q37" s="2666"/>
      <c r="R37" s="2666"/>
      <c r="S37" s="2666"/>
      <c r="T37" s="2666"/>
      <c r="U37" s="2666"/>
      <c r="V37" s="2666"/>
      <c r="W37" s="2666"/>
      <c r="X37" s="2666"/>
      <c r="Y37" s="2666"/>
      <c r="Z37" s="2666"/>
      <c r="AA37" s="2666"/>
      <c r="AB37" s="2666"/>
      <c r="AC37" s="2666"/>
      <c r="AD37" s="2666"/>
      <c r="AE37" s="2666"/>
      <c r="AF37" s="2666"/>
      <c r="AG37" s="1"/>
      <c r="AH37" s="1"/>
      <c r="AI37" s="1"/>
      <c r="AL37" s="478"/>
    </row>
    <row r="38" spans="1:38" customFormat="1" x14ac:dyDescent="0.3">
      <c r="A38" s="121"/>
      <c r="B38" s="1197" t="s">
        <v>6385</v>
      </c>
      <c r="C38" s="1198"/>
      <c r="D38" s="1198"/>
      <c r="E38" s="1198"/>
      <c r="F38" s="1198"/>
      <c r="G38" s="1198"/>
      <c r="H38" s="1198"/>
      <c r="I38" s="1198"/>
      <c r="J38" s="1198"/>
      <c r="K38" s="1199"/>
      <c r="L38" s="1203" t="s">
        <v>6386</v>
      </c>
      <c r="M38" s="1204"/>
      <c r="N38" s="1204"/>
      <c r="O38" s="1204"/>
      <c r="P38" s="1204"/>
      <c r="Q38" s="1204"/>
      <c r="R38" s="1204"/>
      <c r="S38" s="1204"/>
      <c r="T38" s="1204"/>
      <c r="U38" s="1204"/>
      <c r="V38" s="1204"/>
      <c r="W38" s="1204"/>
      <c r="X38" s="1204"/>
      <c r="Y38" s="1205"/>
      <c r="Z38" s="1197" t="s">
        <v>6387</v>
      </c>
      <c r="AA38" s="1198"/>
      <c r="AB38" s="1198"/>
      <c r="AC38" s="1198"/>
      <c r="AD38" s="1198"/>
      <c r="AE38" s="1198"/>
      <c r="AF38" s="1199"/>
      <c r="AG38" s="1"/>
      <c r="AH38" s="1"/>
      <c r="AI38" s="1"/>
      <c r="AL38" s="478"/>
    </row>
    <row r="39" spans="1:38" customFormat="1" ht="15" customHeight="1" x14ac:dyDescent="0.3">
      <c r="A39" s="121"/>
      <c r="B39" s="1200"/>
      <c r="C39" s="1201"/>
      <c r="D39" s="1201"/>
      <c r="E39" s="1201"/>
      <c r="F39" s="1201"/>
      <c r="G39" s="1201"/>
      <c r="H39" s="1201"/>
      <c r="I39" s="1201"/>
      <c r="J39" s="1201"/>
      <c r="K39" s="1202"/>
      <c r="L39" s="1206" t="s">
        <v>6388</v>
      </c>
      <c r="M39" s="1206"/>
      <c r="N39" s="1206"/>
      <c r="O39" s="1206"/>
      <c r="P39" s="1206"/>
      <c r="Q39" s="1206"/>
      <c r="R39" s="1206"/>
      <c r="S39" s="1206" t="s">
        <v>6431</v>
      </c>
      <c r="T39" s="1206"/>
      <c r="U39" s="1206"/>
      <c r="V39" s="1206"/>
      <c r="W39" s="1206"/>
      <c r="X39" s="1206"/>
      <c r="Y39" s="1206"/>
      <c r="Z39" s="1200"/>
      <c r="AA39" s="1201"/>
      <c r="AB39" s="1201"/>
      <c r="AC39" s="1201"/>
      <c r="AD39" s="1201"/>
      <c r="AE39" s="1201"/>
      <c r="AF39" s="1202"/>
      <c r="AG39" s="1"/>
      <c r="AH39" s="1"/>
      <c r="AI39" s="1"/>
      <c r="AL39" s="478"/>
    </row>
    <row r="40" spans="1:38" customFormat="1" ht="40.5" customHeight="1" x14ac:dyDescent="0.3">
      <c r="A40" s="121"/>
      <c r="B40" s="1163" t="s">
        <v>6432</v>
      </c>
      <c r="C40" s="1164"/>
      <c r="D40" s="1164"/>
      <c r="E40" s="1164"/>
      <c r="F40" s="1164"/>
      <c r="G40" s="1164"/>
      <c r="H40" s="1164"/>
      <c r="I40" s="1164"/>
      <c r="J40" s="1164"/>
      <c r="K40" s="1165"/>
      <c r="L40" s="1341">
        <v>2.0699999999999998</v>
      </c>
      <c r="M40" s="1341"/>
      <c r="N40" s="1341"/>
      <c r="O40" s="1341"/>
      <c r="P40" s="1341"/>
      <c r="Q40" s="1341"/>
      <c r="R40" s="1341"/>
      <c r="S40" s="1341">
        <f t="shared" ref="S40" si="0">L40-0.05*L40</f>
        <v>1.9664999999999999</v>
      </c>
      <c r="T40" s="1341"/>
      <c r="U40" s="1341"/>
      <c r="V40" s="1341"/>
      <c r="W40" s="1341"/>
      <c r="X40" s="1341"/>
      <c r="Y40" s="1341"/>
      <c r="Z40" s="1343">
        <v>4.2</v>
      </c>
      <c r="AA40" s="1343"/>
      <c r="AB40" s="1343"/>
      <c r="AC40" s="1343"/>
      <c r="AD40" s="1343"/>
      <c r="AE40" s="1343"/>
      <c r="AF40" s="1343"/>
      <c r="AG40" s="1"/>
      <c r="AH40" s="1"/>
      <c r="AI40" s="1"/>
      <c r="AL40" s="478"/>
    </row>
    <row r="41" spans="1:38" customFormat="1" ht="35.25" customHeight="1" x14ac:dyDescent="0.3">
      <c r="A41" s="121"/>
      <c r="B41" s="1163" t="s">
        <v>6389</v>
      </c>
      <c r="C41" s="1164"/>
      <c r="D41" s="1164"/>
      <c r="E41" s="1164"/>
      <c r="F41" s="1164"/>
      <c r="G41" s="1164"/>
      <c r="H41" s="1164"/>
      <c r="I41" s="1164"/>
      <c r="J41" s="1164"/>
      <c r="K41" s="1165"/>
      <c r="L41" s="1341">
        <v>2.06</v>
      </c>
      <c r="M41" s="1341"/>
      <c r="N41" s="1341"/>
      <c r="O41" s="1341"/>
      <c r="P41" s="1341"/>
      <c r="Q41" s="1341"/>
      <c r="R41" s="1341"/>
      <c r="S41" s="1341">
        <f>L41-0.05*L41</f>
        <v>1.9570000000000001</v>
      </c>
      <c r="T41" s="1341"/>
      <c r="U41" s="1341"/>
      <c r="V41" s="1341"/>
      <c r="W41" s="1341"/>
      <c r="X41" s="1341"/>
      <c r="Y41" s="1341"/>
      <c r="Z41" s="1343">
        <v>4.3</v>
      </c>
      <c r="AA41" s="1343"/>
      <c r="AB41" s="1343"/>
      <c r="AC41" s="1343"/>
      <c r="AD41" s="1343"/>
      <c r="AE41" s="1343"/>
      <c r="AF41" s="1343"/>
      <c r="AG41" s="1"/>
      <c r="AH41" s="1"/>
      <c r="AI41" s="1"/>
      <c r="AL41" s="478"/>
    </row>
    <row r="42" spans="1:38" customFormat="1" ht="43.5" customHeight="1" x14ac:dyDescent="0.3">
      <c r="A42" s="121"/>
      <c r="B42" s="1163" t="s">
        <v>6390</v>
      </c>
      <c r="C42" s="1164"/>
      <c r="D42" s="1164"/>
      <c r="E42" s="1164"/>
      <c r="F42" s="1164"/>
      <c r="G42" s="1164"/>
      <c r="H42" s="1164"/>
      <c r="I42" s="1164"/>
      <c r="J42" s="1164"/>
      <c r="K42" s="1165"/>
      <c r="L42" s="1341">
        <v>2.76</v>
      </c>
      <c r="M42" s="1341"/>
      <c r="N42" s="1341"/>
      <c r="O42" s="1341"/>
      <c r="P42" s="1341"/>
      <c r="Q42" s="1341"/>
      <c r="R42" s="1341"/>
      <c r="S42" s="1341">
        <f t="shared" ref="S42" si="1">L42-0.05*L42</f>
        <v>2.6219999999999999</v>
      </c>
      <c r="T42" s="1341"/>
      <c r="U42" s="1341"/>
      <c r="V42" s="1341"/>
      <c r="W42" s="1341"/>
      <c r="X42" s="1341"/>
      <c r="Y42" s="1341"/>
      <c r="Z42" s="1343">
        <v>3.2</v>
      </c>
      <c r="AA42" s="1343"/>
      <c r="AB42" s="1343"/>
      <c r="AC42" s="1343"/>
      <c r="AD42" s="1343"/>
      <c r="AE42" s="1343"/>
      <c r="AF42" s="1343"/>
      <c r="AG42" s="1"/>
      <c r="AH42" s="1"/>
      <c r="AI42" s="1"/>
      <c r="AL42" s="478"/>
    </row>
    <row r="43" spans="1:38" customFormat="1" ht="43.5" customHeight="1" x14ac:dyDescent="0.3">
      <c r="A43" s="121"/>
      <c r="B43" s="1163" t="s">
        <v>6433</v>
      </c>
      <c r="C43" s="1164"/>
      <c r="D43" s="1164"/>
      <c r="E43" s="1164"/>
      <c r="F43" s="1164"/>
      <c r="G43" s="1164"/>
      <c r="H43" s="1164"/>
      <c r="I43" s="1164"/>
      <c r="J43" s="1164"/>
      <c r="K43" s="1165"/>
      <c r="L43" s="1341">
        <v>2.76</v>
      </c>
      <c r="M43" s="1341"/>
      <c r="N43" s="1341"/>
      <c r="O43" s="1341"/>
      <c r="P43" s="1341"/>
      <c r="Q43" s="1341"/>
      <c r="R43" s="1341"/>
      <c r="S43" s="2665" t="s">
        <v>20</v>
      </c>
      <c r="T43" s="1341"/>
      <c r="U43" s="1341"/>
      <c r="V43" s="1341"/>
      <c r="W43" s="1341"/>
      <c r="X43" s="1341"/>
      <c r="Y43" s="1341"/>
      <c r="Z43" s="1343">
        <v>3.2</v>
      </c>
      <c r="AA43" s="1343"/>
      <c r="AB43" s="1343"/>
      <c r="AC43" s="1343"/>
      <c r="AD43" s="1343"/>
      <c r="AE43" s="1343"/>
      <c r="AF43" s="1343"/>
      <c r="AG43" s="1"/>
      <c r="AH43" s="1"/>
      <c r="AI43" s="1"/>
      <c r="AL43" s="478"/>
    </row>
    <row r="44" spans="1:38" customFormat="1" ht="48.75" customHeight="1" x14ac:dyDescent="0.3">
      <c r="A44" s="121"/>
      <c r="B44" s="1163" t="s">
        <v>6391</v>
      </c>
      <c r="C44" s="1164"/>
      <c r="D44" s="1164"/>
      <c r="E44" s="1164"/>
      <c r="F44" s="1164"/>
      <c r="G44" s="1164"/>
      <c r="H44" s="1164"/>
      <c r="I44" s="1164"/>
      <c r="J44" s="1164"/>
      <c r="K44" s="1165"/>
      <c r="L44" s="1330">
        <v>2.2000000000000002</v>
      </c>
      <c r="M44" s="1331"/>
      <c r="N44" s="1331"/>
      <c r="O44" s="1331"/>
      <c r="P44" s="1331"/>
      <c r="Q44" s="1331"/>
      <c r="R44" s="1331"/>
      <c r="S44" s="1331"/>
      <c r="T44" s="1331"/>
      <c r="U44" s="1331"/>
      <c r="V44" s="1331"/>
      <c r="W44" s="1331"/>
      <c r="X44" s="1331"/>
      <c r="Y44" s="1332"/>
      <c r="Z44" s="1343">
        <v>3.7</v>
      </c>
      <c r="AA44" s="1343"/>
      <c r="AB44" s="1343"/>
      <c r="AC44" s="1343"/>
      <c r="AD44" s="1343"/>
      <c r="AE44" s="1343"/>
      <c r="AF44" s="1343"/>
      <c r="AG44" s="1"/>
      <c r="AH44" s="1"/>
      <c r="AI44" s="1"/>
      <c r="AL44" s="478"/>
    </row>
    <row r="45" spans="1:38" customFormat="1" ht="50.25" customHeight="1" x14ac:dyDescent="0.3">
      <c r="A45" s="121"/>
      <c r="B45" s="1163" t="s">
        <v>6392</v>
      </c>
      <c r="C45" s="1164"/>
      <c r="D45" s="1164"/>
      <c r="E45" s="1164"/>
      <c r="F45" s="1164"/>
      <c r="G45" s="1164"/>
      <c r="H45" s="1164"/>
      <c r="I45" s="1164"/>
      <c r="J45" s="1164"/>
      <c r="K45" s="1165"/>
      <c r="L45" s="1330">
        <v>2.92</v>
      </c>
      <c r="M45" s="1331"/>
      <c r="N45" s="1331"/>
      <c r="O45" s="1331"/>
      <c r="P45" s="1331"/>
      <c r="Q45" s="1331"/>
      <c r="R45" s="1331"/>
      <c r="S45" s="1331"/>
      <c r="T45" s="1331"/>
      <c r="U45" s="1331"/>
      <c r="V45" s="1331"/>
      <c r="W45" s="1331"/>
      <c r="X45" s="1331"/>
      <c r="Y45" s="1332"/>
      <c r="Z45" s="1343">
        <v>3.2</v>
      </c>
      <c r="AA45" s="1343"/>
      <c r="AB45" s="1343"/>
      <c r="AC45" s="1343"/>
      <c r="AD45" s="1343"/>
      <c r="AE45" s="1343"/>
      <c r="AF45" s="1343"/>
      <c r="AG45" s="1"/>
      <c r="AH45" s="1"/>
      <c r="AI45" s="1"/>
      <c r="AL45" s="478"/>
    </row>
    <row r="46" spans="1:38" customFormat="1" ht="33.75" customHeight="1" x14ac:dyDescent="0.3">
      <c r="A46" s="121"/>
      <c r="B46" s="1163" t="s">
        <v>6393</v>
      </c>
      <c r="C46" s="1164"/>
      <c r="D46" s="1164"/>
      <c r="E46" s="1164"/>
      <c r="F46" s="1164"/>
      <c r="G46" s="1164"/>
      <c r="H46" s="1164"/>
      <c r="I46" s="1164"/>
      <c r="J46" s="1164"/>
      <c r="K46" s="1165"/>
      <c r="L46" s="1330">
        <v>3.1</v>
      </c>
      <c r="M46" s="1331"/>
      <c r="N46" s="1331"/>
      <c r="O46" s="1331"/>
      <c r="P46" s="1331"/>
      <c r="Q46" s="1331"/>
      <c r="R46" s="1331"/>
      <c r="S46" s="1331"/>
      <c r="T46" s="1331"/>
      <c r="U46" s="1331"/>
      <c r="V46" s="1331"/>
      <c r="W46" s="1331"/>
      <c r="X46" s="1331"/>
      <c r="Y46" s="1332"/>
      <c r="Z46" s="2664">
        <v>3</v>
      </c>
      <c r="AA46" s="2664"/>
      <c r="AB46" s="2664"/>
      <c r="AC46" s="2664"/>
      <c r="AD46" s="2664"/>
      <c r="AE46" s="2664"/>
      <c r="AF46" s="2664"/>
      <c r="AG46" s="1"/>
      <c r="AH46" s="1"/>
      <c r="AI46" s="1"/>
      <c r="AL46" s="478"/>
    </row>
    <row r="47" spans="1:38" customFormat="1" x14ac:dyDescent="0.3">
      <c r="A47" s="121"/>
      <c r="B47" s="552" t="s">
        <v>830</v>
      </c>
      <c r="C47" s="538"/>
      <c r="D47" s="538"/>
      <c r="E47" s="538"/>
      <c r="F47" s="538"/>
      <c r="G47" s="538"/>
      <c r="H47" s="538"/>
      <c r="I47" s="538"/>
      <c r="J47" s="538"/>
      <c r="K47" s="538"/>
      <c r="L47" s="799"/>
      <c r="M47" s="799"/>
      <c r="N47" s="799"/>
      <c r="O47" s="799"/>
      <c r="P47" s="799"/>
      <c r="Q47" s="799"/>
      <c r="R47" s="799"/>
      <c r="S47" s="799"/>
      <c r="T47" s="799"/>
      <c r="U47" s="799"/>
      <c r="V47" s="799"/>
      <c r="W47" s="799"/>
      <c r="X47" s="799"/>
      <c r="Y47" s="799"/>
      <c r="Z47" s="800"/>
      <c r="AA47" s="799"/>
      <c r="AB47" s="799"/>
      <c r="AC47" s="799"/>
      <c r="AD47" s="799"/>
      <c r="AE47" s="799"/>
      <c r="AF47" s="799"/>
      <c r="AG47" s="1"/>
      <c r="AH47" s="1"/>
      <c r="AI47" s="1"/>
      <c r="AL47" s="478"/>
    </row>
    <row r="48" spans="1:38" customFormat="1" ht="51" customHeight="1" x14ac:dyDescent="0.3">
      <c r="A48" s="121"/>
      <c r="B48" s="1355" t="s">
        <v>6394</v>
      </c>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c r="AF48" s="1355"/>
      <c r="AG48" s="1"/>
      <c r="AH48" s="1"/>
      <c r="AI48" s="1"/>
      <c r="AL48" s="478"/>
    </row>
    <row r="49" spans="1:59" customFormat="1" ht="51" customHeight="1" x14ac:dyDescent="0.3">
      <c r="A49" s="121"/>
      <c r="B49" s="1355" t="s">
        <v>6395</v>
      </c>
      <c r="C49" s="1355"/>
      <c r="D49" s="1355"/>
      <c r="E49" s="1355"/>
      <c r="F49" s="1355"/>
      <c r="G49" s="1355"/>
      <c r="H49" s="1355"/>
      <c r="I49" s="1355"/>
      <c r="J49" s="1355"/>
      <c r="K49" s="1355"/>
      <c r="L49" s="1355"/>
      <c r="M49" s="1355"/>
      <c r="N49" s="1355"/>
      <c r="O49" s="1355"/>
      <c r="P49" s="1355"/>
      <c r="Q49" s="1355"/>
      <c r="R49" s="1355"/>
      <c r="S49" s="1355"/>
      <c r="T49" s="1355"/>
      <c r="U49" s="1355"/>
      <c r="V49" s="1355"/>
      <c r="W49" s="1355"/>
      <c r="X49" s="1355"/>
      <c r="Y49" s="1355"/>
      <c r="Z49" s="1355"/>
      <c r="AA49" s="1355"/>
      <c r="AB49" s="1355"/>
      <c r="AC49" s="1355"/>
      <c r="AD49" s="1355"/>
      <c r="AE49" s="1355"/>
      <c r="AF49" s="1355"/>
      <c r="AG49" s="1"/>
      <c r="AH49" s="1"/>
      <c r="AI49" s="1"/>
      <c r="AL49" s="478"/>
    </row>
    <row r="50" spans="1:59" customFormat="1" ht="29.25" customHeight="1" x14ac:dyDescent="0.3">
      <c r="A50" s="121"/>
      <c r="B50" s="1355" t="s">
        <v>6396</v>
      </c>
      <c r="C50" s="1355"/>
      <c r="D50" s="1355"/>
      <c r="E50" s="1355"/>
      <c r="F50" s="1355"/>
      <c r="G50" s="1355"/>
      <c r="H50" s="1355"/>
      <c r="I50" s="1355"/>
      <c r="J50" s="1355"/>
      <c r="K50" s="1355"/>
      <c r="L50" s="1355"/>
      <c r="M50" s="1355"/>
      <c r="N50" s="1355"/>
      <c r="O50" s="1355"/>
      <c r="P50" s="1355"/>
      <c r="Q50" s="1355"/>
      <c r="R50" s="1355"/>
      <c r="S50" s="1355"/>
      <c r="T50" s="1355"/>
      <c r="U50" s="1355"/>
      <c r="V50" s="1355"/>
      <c r="W50" s="1355"/>
      <c r="X50" s="1355"/>
      <c r="Y50" s="1355"/>
      <c r="Z50" s="1355"/>
      <c r="AA50" s="1355"/>
      <c r="AB50" s="1355"/>
      <c r="AC50" s="1355"/>
      <c r="AD50" s="1355"/>
      <c r="AE50" s="1355"/>
      <c r="AF50" s="1355"/>
      <c r="AG50" s="1"/>
      <c r="AH50" s="1"/>
      <c r="AI50" s="1"/>
      <c r="AL50" s="709"/>
    </row>
    <row r="51" spans="1:59" customFormat="1"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
      <c r="AH51" s="1"/>
      <c r="AI51" s="1"/>
      <c r="AL51" s="709"/>
    </row>
    <row r="52" spans="1:59" customFormat="1" x14ac:dyDescent="0.3">
      <c r="A52" s="1290" t="s">
        <v>7</v>
      </c>
      <c r="B52" s="1290"/>
      <c r="C52" s="1290"/>
      <c r="D52" s="1290"/>
      <c r="E52" s="1290"/>
      <c r="F52" s="1290"/>
      <c r="G52" s="1290"/>
      <c r="H52" s="1290"/>
      <c r="I52" s="1290"/>
      <c r="J52" s="1290"/>
      <c r="K52" s="1290"/>
      <c r="L52" s="1290"/>
      <c r="M52" s="1290"/>
      <c r="N52" s="1290"/>
      <c r="O52" s="1290"/>
      <c r="P52" s="1290"/>
      <c r="Q52" s="1290"/>
      <c r="R52" s="1290"/>
      <c r="S52" s="1290"/>
      <c r="T52" s="1290"/>
      <c r="U52" s="1290"/>
      <c r="V52" s="1290"/>
      <c r="W52" s="1290"/>
      <c r="X52" s="1290"/>
      <c r="Y52" s="1290"/>
      <c r="Z52" s="1290"/>
      <c r="AA52" s="1290"/>
      <c r="AB52" s="1290"/>
      <c r="AC52" s="1290"/>
      <c r="AD52" s="1290"/>
      <c r="AE52" s="1290"/>
      <c r="AF52" s="1290"/>
      <c r="AG52" s="1"/>
      <c r="AH52" s="1"/>
      <c r="AI52" s="1"/>
      <c r="AL52" s="478"/>
    </row>
    <row r="53" spans="1:59" customFormat="1"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
      <c r="AH53" s="1"/>
      <c r="AI53" s="1"/>
      <c r="AL53" s="71"/>
    </row>
    <row r="54" spans="1:59" customFormat="1" x14ac:dyDescent="0.3">
      <c r="A54" s="372" t="s">
        <v>2027</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
      <c r="AH54" s="1"/>
      <c r="AI54" s="1"/>
      <c r="AL54" s="709"/>
    </row>
    <row r="55" spans="1:59" customFormat="1" x14ac:dyDescent="0.3">
      <c r="A55" s="801"/>
      <c r="B55" s="494"/>
      <c r="C55" s="494"/>
      <c r="D55" s="494"/>
      <c r="E55" s="494"/>
      <c r="F55" s="494"/>
      <c r="G55" s="494"/>
      <c r="H55" s="63"/>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94"/>
      <c r="AG55" s="1"/>
      <c r="AH55" s="1"/>
      <c r="AI55" s="1"/>
      <c r="AL55" s="709"/>
    </row>
    <row r="56" spans="1:59" customFormat="1" ht="42.75" customHeight="1" x14ac:dyDescent="0.3">
      <c r="A56" s="370"/>
      <c r="B56" s="802"/>
      <c r="C56" s="802"/>
      <c r="D56" s="802"/>
      <c r="E56" s="802"/>
      <c r="F56" s="802"/>
      <c r="G56" s="802"/>
      <c r="H56" s="37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272" t="s">
        <v>1463</v>
      </c>
      <c r="AG56" s="1"/>
      <c r="AH56" s="1"/>
      <c r="AI56" s="1"/>
      <c r="AL56" s="709"/>
    </row>
    <row r="57" spans="1:59" customFormat="1" x14ac:dyDescent="0.3">
      <c r="A57" s="370"/>
      <c r="B57" s="802"/>
      <c r="C57" s="802"/>
      <c r="D57" s="802"/>
      <c r="E57" s="802"/>
      <c r="F57" s="802"/>
      <c r="G57" s="802"/>
      <c r="H57" s="37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1"/>
      <c r="AH57" s="1"/>
      <c r="AI57" s="1"/>
      <c r="AL57" s="709"/>
    </row>
    <row r="58" spans="1:59" customFormat="1" x14ac:dyDescent="0.3">
      <c r="A58" s="372" t="s">
        <v>2137</v>
      </c>
      <c r="B58" s="802"/>
      <c r="C58" s="802"/>
      <c r="D58" s="802"/>
      <c r="E58" s="802"/>
      <c r="F58" s="802"/>
      <c r="G58" s="802"/>
      <c r="H58" s="37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1"/>
      <c r="AH58" s="1"/>
      <c r="AI58" s="1"/>
      <c r="AL58" s="709"/>
    </row>
    <row r="59" spans="1:59" customFormat="1" x14ac:dyDescent="0.3">
      <c r="A59" s="778"/>
      <c r="B59" s="121"/>
      <c r="C59" s="121"/>
      <c r="D59" s="121"/>
      <c r="E59" s="121"/>
      <c r="F59" s="121"/>
      <c r="G59" s="121"/>
      <c r="H59" s="272"/>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
      <c r="AH59" s="1"/>
      <c r="AI59" s="1"/>
      <c r="AL59" s="709"/>
      <c r="BG59" s="553"/>
    </row>
    <row r="60" spans="1:59" customFormat="1" ht="16.5" customHeight="1" x14ac:dyDescent="0.3">
      <c r="A60" s="741"/>
      <c r="B60" s="742"/>
      <c r="C60" s="742"/>
      <c r="D60" s="742"/>
      <c r="E60" s="742"/>
      <c r="F60" s="742"/>
      <c r="G60" s="742"/>
      <c r="H60" s="188"/>
      <c r="I60" s="59"/>
      <c r="J60" s="59"/>
      <c r="K60" s="59"/>
      <c r="L60" s="59"/>
      <c r="M60" s="59"/>
      <c r="N60" s="59"/>
      <c r="O60" s="59"/>
      <c r="P60" s="59"/>
      <c r="Q60" s="59"/>
      <c r="R60" s="59"/>
      <c r="S60" s="59"/>
      <c r="T60" s="59"/>
      <c r="U60" s="59"/>
      <c r="V60" s="59"/>
      <c r="W60" s="59"/>
      <c r="X60" s="59"/>
      <c r="Y60" s="59"/>
      <c r="Z60" s="59"/>
      <c r="AA60" s="59"/>
      <c r="AB60" s="59"/>
      <c r="AC60" s="59"/>
      <c r="AD60" s="59"/>
      <c r="AE60" s="59"/>
      <c r="AF60" s="272" t="s">
        <v>1464</v>
      </c>
      <c r="AG60" s="1"/>
      <c r="AH60" s="1"/>
      <c r="AI60" s="1"/>
      <c r="AL60" s="709"/>
      <c r="BG60" s="553"/>
    </row>
    <row r="61" spans="1:59" customFormat="1" x14ac:dyDescent="0.3">
      <c r="A61" s="741"/>
      <c r="B61" s="742"/>
      <c r="C61" s="742"/>
      <c r="D61" s="742"/>
      <c r="E61" s="742"/>
      <c r="F61" s="742"/>
      <c r="G61" s="742"/>
      <c r="H61" s="188"/>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1"/>
      <c r="AH61" s="1"/>
      <c r="AI61" s="1"/>
      <c r="AL61" s="709"/>
      <c r="BG61" s="553"/>
    </row>
    <row r="62" spans="1:59" customFormat="1" x14ac:dyDescent="0.3">
      <c r="A62" s="372" t="s">
        <v>1811</v>
      </c>
      <c r="B62" s="742"/>
      <c r="C62" s="742"/>
      <c r="D62" s="742"/>
      <c r="E62" s="742"/>
      <c r="F62" s="742"/>
      <c r="G62" s="742"/>
      <c r="H62" s="188"/>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1"/>
      <c r="AH62" s="1"/>
      <c r="AI62" s="1"/>
      <c r="AL62" s="709"/>
      <c r="BG62" s="553"/>
    </row>
    <row r="63" spans="1:59" customFormat="1" x14ac:dyDescent="0.3">
      <c r="A63" s="778"/>
      <c r="B63" s="121"/>
      <c r="C63" s="121"/>
      <c r="D63" s="121"/>
      <c r="E63" s="121"/>
      <c r="F63" s="121"/>
      <c r="G63" s="121"/>
      <c r="H63" s="272"/>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
      <c r="AH63" s="1"/>
      <c r="AI63" s="1"/>
      <c r="AL63" s="709"/>
    </row>
    <row r="64" spans="1:59" customFormat="1" ht="20.25" customHeight="1" x14ac:dyDescent="0.3">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272" t="s">
        <v>1465</v>
      </c>
      <c r="AG64" s="1"/>
      <c r="AH64" s="1"/>
      <c r="AI64" s="1"/>
      <c r="AL64" s="709"/>
    </row>
    <row r="65" spans="1:38" customFormat="1" x14ac:dyDescent="0.3">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272"/>
      <c r="AG65" s="1"/>
      <c r="AH65" s="1"/>
      <c r="AI65" s="1"/>
      <c r="AL65" s="709"/>
    </row>
    <row r="66" spans="1:38" customFormat="1" x14ac:dyDescent="0.3">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
      <c r="AH66" s="1"/>
      <c r="AI66" s="1"/>
      <c r="AL66" s="709"/>
    </row>
    <row r="67" spans="1:38" customFormat="1" x14ac:dyDescent="0.3">
      <c r="A67" s="1290" t="s">
        <v>8</v>
      </c>
      <c r="B67" s="1290"/>
      <c r="C67" s="1290"/>
      <c r="D67" s="1290"/>
      <c r="E67" s="1290"/>
      <c r="F67" s="1290"/>
      <c r="G67" s="1290"/>
      <c r="H67" s="1290"/>
      <c r="I67" s="1290"/>
      <c r="J67" s="1290"/>
      <c r="K67" s="1290"/>
      <c r="L67" s="1290"/>
      <c r="M67" s="1290"/>
      <c r="N67" s="1290"/>
      <c r="O67" s="1290"/>
      <c r="P67" s="1290"/>
      <c r="Q67" s="1290"/>
      <c r="R67" s="1290"/>
      <c r="S67" s="1290"/>
      <c r="T67" s="1290"/>
      <c r="U67" s="1290"/>
      <c r="V67" s="1290"/>
      <c r="W67" s="1290"/>
      <c r="X67" s="1290"/>
      <c r="Y67" s="1290"/>
      <c r="Z67" s="1290"/>
      <c r="AA67" s="1290"/>
      <c r="AB67" s="1290"/>
      <c r="AC67" s="1290"/>
      <c r="AD67" s="1290"/>
      <c r="AE67" s="1290"/>
      <c r="AF67" s="1290"/>
      <c r="AG67" s="1"/>
      <c r="AH67" s="1"/>
      <c r="AI67" s="1"/>
      <c r="AL67" s="478"/>
    </row>
    <row r="68" spans="1:38" customFormat="1" x14ac:dyDescent="0.3">
      <c r="A68" s="1366" t="s">
        <v>9</v>
      </c>
      <c r="B68" s="1367"/>
      <c r="C68" s="1367"/>
      <c r="D68" s="1367"/>
      <c r="E68" s="1367"/>
      <c r="F68" s="1368"/>
      <c r="G68" s="1366" t="s">
        <v>3</v>
      </c>
      <c r="H68" s="1367"/>
      <c r="I68" s="1367"/>
      <c r="J68" s="1367"/>
      <c r="K68" s="1367"/>
      <c r="L68" s="1367"/>
      <c r="M68" s="1367"/>
      <c r="N68" s="1367"/>
      <c r="O68" s="1368"/>
      <c r="P68" s="1366" t="s">
        <v>343</v>
      </c>
      <c r="Q68" s="1368"/>
      <c r="R68" s="1366" t="s">
        <v>344</v>
      </c>
      <c r="S68" s="1368"/>
      <c r="T68" s="1366" t="s">
        <v>381</v>
      </c>
      <c r="U68" s="1368"/>
      <c r="V68" s="1366" t="s">
        <v>11</v>
      </c>
      <c r="W68" s="1367"/>
      <c r="X68" s="1368"/>
      <c r="Y68" s="1366" t="s">
        <v>1466</v>
      </c>
      <c r="Z68" s="1367"/>
      <c r="AA68" s="1367"/>
      <c r="AB68" s="1367"/>
      <c r="AC68" s="1367"/>
      <c r="AD68" s="1367"/>
      <c r="AE68" s="1367"/>
      <c r="AF68" s="1368"/>
      <c r="AG68" s="1"/>
      <c r="AH68" s="1"/>
      <c r="AI68" s="1"/>
      <c r="AL68" s="709"/>
    </row>
    <row r="69" spans="1:38" customFormat="1" ht="157.5" customHeight="1" x14ac:dyDescent="0.3">
      <c r="A69" s="1349" t="s">
        <v>70</v>
      </c>
      <c r="B69" s="1350"/>
      <c r="C69" s="1350"/>
      <c r="D69" s="1350"/>
      <c r="E69" s="1350"/>
      <c r="F69" s="1351"/>
      <c r="G69" s="1163" t="s">
        <v>6397</v>
      </c>
      <c r="H69" s="1164"/>
      <c r="I69" s="1164"/>
      <c r="J69" s="1164"/>
      <c r="K69" s="1164"/>
      <c r="L69" s="1164"/>
      <c r="M69" s="1164"/>
      <c r="N69" s="1164"/>
      <c r="O69" s="1165"/>
      <c r="P69" s="1166">
        <v>4.22</v>
      </c>
      <c r="Q69" s="1167"/>
      <c r="R69" s="1167"/>
      <c r="S69" s="1167"/>
      <c r="T69" s="1167"/>
      <c r="U69" s="1168"/>
      <c r="V69" s="1166" t="s">
        <v>6398</v>
      </c>
      <c r="W69" s="1167"/>
      <c r="X69" s="1168"/>
      <c r="Y69" s="1163" t="s">
        <v>6434</v>
      </c>
      <c r="Z69" s="1164"/>
      <c r="AA69" s="1164"/>
      <c r="AB69" s="1164"/>
      <c r="AC69" s="1164"/>
      <c r="AD69" s="1164"/>
      <c r="AE69" s="1164"/>
      <c r="AF69" s="1165"/>
      <c r="AG69" s="1"/>
      <c r="AH69" s="1"/>
      <c r="AI69" s="1"/>
      <c r="AL69" s="709"/>
    </row>
    <row r="70" spans="1:38" customFormat="1" ht="147.75" customHeight="1" x14ac:dyDescent="0.3">
      <c r="A70" s="1349" t="s">
        <v>370</v>
      </c>
      <c r="B70" s="1350"/>
      <c r="C70" s="1350"/>
      <c r="D70" s="1350"/>
      <c r="E70" s="1350"/>
      <c r="F70" s="1351"/>
      <c r="G70" s="1163" t="s">
        <v>382</v>
      </c>
      <c r="H70" s="1164"/>
      <c r="I70" s="1164"/>
      <c r="J70" s="1164"/>
      <c r="K70" s="1164"/>
      <c r="L70" s="1164"/>
      <c r="M70" s="1164"/>
      <c r="N70" s="1164"/>
      <c r="O70" s="1165"/>
      <c r="P70" s="1166">
        <f>L25</f>
        <v>1.64</v>
      </c>
      <c r="Q70" s="1167"/>
      <c r="R70" s="1167"/>
      <c r="S70" s="1167"/>
      <c r="T70" s="1167"/>
      <c r="U70" s="1168"/>
      <c r="V70" s="1166" t="s">
        <v>6399</v>
      </c>
      <c r="W70" s="1167"/>
      <c r="X70" s="1168"/>
      <c r="Y70" s="1163" t="s">
        <v>6400</v>
      </c>
      <c r="Z70" s="1164"/>
      <c r="AA70" s="1164"/>
      <c r="AB70" s="1164"/>
      <c r="AC70" s="1164"/>
      <c r="AD70" s="1164"/>
      <c r="AE70" s="1164"/>
      <c r="AF70" s="1165"/>
      <c r="AG70" s="1"/>
      <c r="AH70" s="1"/>
      <c r="AI70" s="1"/>
      <c r="AL70" s="709"/>
    </row>
    <row r="71" spans="1:38" customFormat="1" ht="147.75" customHeight="1" x14ac:dyDescent="0.3">
      <c r="A71" s="1349" t="s">
        <v>371</v>
      </c>
      <c r="B71" s="1350"/>
      <c r="C71" s="1350"/>
      <c r="D71" s="1350"/>
      <c r="E71" s="1350"/>
      <c r="F71" s="1351"/>
      <c r="G71" s="1163" t="s">
        <v>383</v>
      </c>
      <c r="H71" s="1164"/>
      <c r="I71" s="1164"/>
      <c r="J71" s="1164"/>
      <c r="K71" s="1164"/>
      <c r="L71" s="1164"/>
      <c r="M71" s="1164"/>
      <c r="N71" s="1164"/>
      <c r="O71" s="1165"/>
      <c r="P71" s="1330">
        <v>2.42</v>
      </c>
      <c r="Q71" s="1168"/>
      <c r="R71" s="1330">
        <v>2.86</v>
      </c>
      <c r="S71" s="1168"/>
      <c r="T71" s="1330">
        <v>3.1</v>
      </c>
      <c r="U71" s="1168"/>
      <c r="V71" s="1166" t="s">
        <v>6399</v>
      </c>
      <c r="W71" s="1167"/>
      <c r="X71" s="1168"/>
      <c r="Y71" s="1163" t="s">
        <v>6435</v>
      </c>
      <c r="Z71" s="1164"/>
      <c r="AA71" s="1164"/>
      <c r="AB71" s="1164"/>
      <c r="AC71" s="1164"/>
      <c r="AD71" s="1164"/>
      <c r="AE71" s="1164"/>
      <c r="AF71" s="1165"/>
      <c r="AG71" s="1"/>
      <c r="AH71" s="1"/>
      <c r="AI71" s="1"/>
      <c r="AL71" s="709"/>
    </row>
    <row r="72" spans="1:38" customFormat="1" ht="150.75" customHeight="1" x14ac:dyDescent="0.3">
      <c r="A72" s="1349" t="s">
        <v>372</v>
      </c>
      <c r="B72" s="1350"/>
      <c r="C72" s="1350"/>
      <c r="D72" s="1350"/>
      <c r="E72" s="1350"/>
      <c r="F72" s="1351"/>
      <c r="G72" s="1163" t="s">
        <v>384</v>
      </c>
      <c r="H72" s="1164"/>
      <c r="I72" s="1164"/>
      <c r="J72" s="1164"/>
      <c r="K72" s="1164"/>
      <c r="L72" s="1164"/>
      <c r="M72" s="1164"/>
      <c r="N72" s="1164"/>
      <c r="O72" s="1165"/>
      <c r="P72" s="1166">
        <v>219</v>
      </c>
      <c r="Q72" s="1167"/>
      <c r="R72" s="1167"/>
      <c r="S72" s="1167"/>
      <c r="T72" s="1167"/>
      <c r="U72" s="1168"/>
      <c r="V72" s="1166" t="s">
        <v>20</v>
      </c>
      <c r="W72" s="1167"/>
      <c r="X72" s="1168"/>
      <c r="Y72" s="1163" t="s">
        <v>6436</v>
      </c>
      <c r="Z72" s="1164"/>
      <c r="AA72" s="1164"/>
      <c r="AB72" s="1164"/>
      <c r="AC72" s="1164"/>
      <c r="AD72" s="1164"/>
      <c r="AE72" s="1164"/>
      <c r="AF72" s="1165"/>
      <c r="AG72" s="1"/>
      <c r="AH72" s="1"/>
      <c r="AI72" s="1"/>
      <c r="AL72" s="709"/>
    </row>
    <row r="73" spans="1:38" customFormat="1" ht="75.75" customHeight="1" x14ac:dyDescent="0.3">
      <c r="A73" s="1349" t="s">
        <v>373</v>
      </c>
      <c r="B73" s="1350"/>
      <c r="C73" s="1350"/>
      <c r="D73" s="1350"/>
      <c r="E73" s="1350"/>
      <c r="F73" s="1351"/>
      <c r="G73" s="1163" t="s">
        <v>385</v>
      </c>
      <c r="H73" s="1164"/>
      <c r="I73" s="1164"/>
      <c r="J73" s="1164"/>
      <c r="K73" s="1164"/>
      <c r="L73" s="1164"/>
      <c r="M73" s="1164"/>
      <c r="N73" s="1164"/>
      <c r="O73" s="1165"/>
      <c r="P73" s="2658">
        <v>7.0000000000000007E-2</v>
      </c>
      <c r="Q73" s="2659"/>
      <c r="R73" s="2659"/>
      <c r="S73" s="2659"/>
      <c r="T73" s="2659"/>
      <c r="U73" s="2660"/>
      <c r="V73" s="1166" t="s">
        <v>22</v>
      </c>
      <c r="W73" s="1167"/>
      <c r="X73" s="1168"/>
      <c r="Y73" s="2147" t="s">
        <v>6437</v>
      </c>
      <c r="Z73" s="2148"/>
      <c r="AA73" s="2148"/>
      <c r="AB73" s="2148"/>
      <c r="AC73" s="2148"/>
      <c r="AD73" s="2148"/>
      <c r="AE73" s="2148"/>
      <c r="AF73" s="2149"/>
      <c r="AG73" s="1"/>
      <c r="AH73" s="1"/>
      <c r="AI73" s="1"/>
      <c r="AL73" s="709"/>
    </row>
    <row r="74" spans="1:38" customFormat="1" ht="53.25" customHeight="1" x14ac:dyDescent="0.3">
      <c r="A74" s="1349" t="s">
        <v>374</v>
      </c>
      <c r="B74" s="1350"/>
      <c r="C74" s="1350"/>
      <c r="D74" s="1350"/>
      <c r="E74" s="1350"/>
      <c r="F74" s="1351"/>
      <c r="G74" s="1163" t="s">
        <v>386</v>
      </c>
      <c r="H74" s="1164"/>
      <c r="I74" s="1164"/>
      <c r="J74" s="1164"/>
      <c r="K74" s="1164"/>
      <c r="L74" s="1164"/>
      <c r="M74" s="1164"/>
      <c r="N74" s="1164"/>
      <c r="O74" s="1165"/>
      <c r="P74" s="2658">
        <v>0.28000000000000003</v>
      </c>
      <c r="Q74" s="2659"/>
      <c r="R74" s="2659"/>
      <c r="S74" s="2659"/>
      <c r="T74" s="2659"/>
      <c r="U74" s="2660"/>
      <c r="V74" s="1166" t="s">
        <v>22</v>
      </c>
      <c r="W74" s="1167"/>
      <c r="X74" s="1168"/>
      <c r="Y74" s="2661"/>
      <c r="Z74" s="2662"/>
      <c r="AA74" s="2662"/>
      <c r="AB74" s="2662"/>
      <c r="AC74" s="2662"/>
      <c r="AD74" s="2662"/>
      <c r="AE74" s="2662"/>
      <c r="AF74" s="2663"/>
      <c r="AG74" s="1"/>
      <c r="AH74" s="1"/>
      <c r="AI74" s="1"/>
      <c r="AL74" s="709"/>
    </row>
    <row r="75" spans="1:38" customFormat="1" ht="54.75" customHeight="1" x14ac:dyDescent="0.3">
      <c r="A75" s="1349" t="s">
        <v>375</v>
      </c>
      <c r="B75" s="1350"/>
      <c r="C75" s="1350"/>
      <c r="D75" s="1350"/>
      <c r="E75" s="1350"/>
      <c r="F75" s="1351"/>
      <c r="G75" s="1163" t="s">
        <v>387</v>
      </c>
      <c r="H75" s="1164"/>
      <c r="I75" s="1164"/>
      <c r="J75" s="1164"/>
      <c r="K75" s="1164"/>
      <c r="L75" s="1164"/>
      <c r="M75" s="1164"/>
      <c r="N75" s="1164"/>
      <c r="O75" s="1165"/>
      <c r="P75" s="2658">
        <v>0.65</v>
      </c>
      <c r="Q75" s="2659"/>
      <c r="R75" s="2659"/>
      <c r="S75" s="2659"/>
      <c r="T75" s="2659"/>
      <c r="U75" s="2660"/>
      <c r="V75" s="1166" t="s">
        <v>22</v>
      </c>
      <c r="W75" s="1167"/>
      <c r="X75" s="1168"/>
      <c r="Y75" s="2661"/>
      <c r="Z75" s="2662"/>
      <c r="AA75" s="2662"/>
      <c r="AB75" s="2662"/>
      <c r="AC75" s="2662"/>
      <c r="AD75" s="2662"/>
      <c r="AE75" s="2662"/>
      <c r="AF75" s="2663"/>
      <c r="AG75" s="1"/>
      <c r="AH75" s="1"/>
      <c r="AI75" s="1"/>
      <c r="AL75" s="709"/>
    </row>
    <row r="76" spans="1:38" customFormat="1" ht="66.75" customHeight="1" x14ac:dyDescent="0.3">
      <c r="A76" s="1349" t="s">
        <v>376</v>
      </c>
      <c r="B76" s="1350"/>
      <c r="C76" s="1350"/>
      <c r="D76" s="1350"/>
      <c r="E76" s="1350"/>
      <c r="F76" s="1351"/>
      <c r="G76" s="1163" t="s">
        <v>388</v>
      </c>
      <c r="H76" s="1164"/>
      <c r="I76" s="1164"/>
      <c r="J76" s="1164"/>
      <c r="K76" s="1164"/>
      <c r="L76" s="1164"/>
      <c r="M76" s="1164"/>
      <c r="N76" s="1164"/>
      <c r="O76" s="1165"/>
      <c r="P76" s="2658">
        <v>5.7500000000000009E-2</v>
      </c>
      <c r="Q76" s="2660"/>
      <c r="R76" s="2658">
        <v>9.7674418604651175E-2</v>
      </c>
      <c r="S76" s="2660"/>
      <c r="T76" s="2658">
        <v>0.1</v>
      </c>
      <c r="U76" s="2660"/>
      <c r="V76" s="1166" t="s">
        <v>22</v>
      </c>
      <c r="W76" s="1167"/>
      <c r="X76" s="1168"/>
      <c r="Y76" s="2661"/>
      <c r="Z76" s="2662"/>
      <c r="AA76" s="2662"/>
      <c r="AB76" s="2662"/>
      <c r="AC76" s="2662"/>
      <c r="AD76" s="2662"/>
      <c r="AE76" s="2662"/>
      <c r="AF76" s="2663"/>
      <c r="AG76" s="1"/>
      <c r="AH76" s="1"/>
      <c r="AI76" s="1"/>
      <c r="AL76" s="709"/>
    </row>
    <row r="77" spans="1:38" customFormat="1" ht="54" customHeight="1" x14ac:dyDescent="0.3">
      <c r="A77" s="1349" t="s">
        <v>377</v>
      </c>
      <c r="B77" s="1350"/>
      <c r="C77" s="1350"/>
      <c r="D77" s="1350"/>
      <c r="E77" s="1350"/>
      <c r="F77" s="1351"/>
      <c r="G77" s="1163" t="s">
        <v>389</v>
      </c>
      <c r="H77" s="1164"/>
      <c r="I77" s="1164"/>
      <c r="J77" s="1164"/>
      <c r="K77" s="1164"/>
      <c r="L77" s="1164"/>
      <c r="M77" s="1164"/>
      <c r="N77" s="1164"/>
      <c r="O77" s="1165"/>
      <c r="P77" s="2658">
        <v>0.28999999999999998</v>
      </c>
      <c r="Q77" s="2660"/>
      <c r="R77" s="2658">
        <v>4.9767441860465111E-2</v>
      </c>
      <c r="S77" s="2660"/>
      <c r="T77" s="2658">
        <v>0.03</v>
      </c>
      <c r="U77" s="2660"/>
      <c r="V77" s="1166" t="s">
        <v>22</v>
      </c>
      <c r="W77" s="1167"/>
      <c r="X77" s="1168"/>
      <c r="Y77" s="2661"/>
      <c r="Z77" s="2662"/>
      <c r="AA77" s="2662"/>
      <c r="AB77" s="2662"/>
      <c r="AC77" s="2662"/>
      <c r="AD77" s="2662"/>
      <c r="AE77" s="2662"/>
      <c r="AF77" s="2663"/>
      <c r="AG77" s="1"/>
      <c r="AH77" s="1"/>
      <c r="AI77" s="1"/>
      <c r="AL77" s="709"/>
    </row>
    <row r="78" spans="1:38" customFormat="1" ht="73.5" customHeight="1" x14ac:dyDescent="0.3">
      <c r="A78" s="1349" t="s">
        <v>378</v>
      </c>
      <c r="B78" s="1350"/>
      <c r="C78" s="1350"/>
      <c r="D78" s="1350"/>
      <c r="E78" s="1350"/>
      <c r="F78" s="1351"/>
      <c r="G78" s="1163" t="s">
        <v>390</v>
      </c>
      <c r="H78" s="1164"/>
      <c r="I78" s="1164"/>
      <c r="J78" s="1164"/>
      <c r="K78" s="1164"/>
      <c r="L78" s="1164"/>
      <c r="M78" s="1164"/>
      <c r="N78" s="1164"/>
      <c r="O78" s="1165"/>
      <c r="P78" s="2658">
        <v>0.65250000000000008</v>
      </c>
      <c r="Q78" s="2660"/>
      <c r="R78" s="2658">
        <v>0.85255813953488369</v>
      </c>
      <c r="S78" s="2660"/>
      <c r="T78" s="2658">
        <v>0.87</v>
      </c>
      <c r="U78" s="2660"/>
      <c r="V78" s="1166" t="s">
        <v>22</v>
      </c>
      <c r="W78" s="1167"/>
      <c r="X78" s="1168"/>
      <c r="Y78" s="2150"/>
      <c r="Z78" s="2151"/>
      <c r="AA78" s="2151"/>
      <c r="AB78" s="2151"/>
      <c r="AC78" s="2151"/>
      <c r="AD78" s="2151"/>
      <c r="AE78" s="2151"/>
      <c r="AF78" s="2152"/>
      <c r="AG78" s="1"/>
      <c r="AH78" s="1"/>
      <c r="AI78" s="1"/>
      <c r="AL78" s="709"/>
    </row>
    <row r="79" spans="1:38" customFormat="1" ht="166.5" customHeight="1" x14ac:dyDescent="0.3">
      <c r="A79" s="1349" t="s">
        <v>379</v>
      </c>
      <c r="B79" s="1350"/>
      <c r="C79" s="1350"/>
      <c r="D79" s="1350"/>
      <c r="E79" s="1350"/>
      <c r="F79" s="1351"/>
      <c r="G79" s="1163" t="s">
        <v>391</v>
      </c>
      <c r="H79" s="1164"/>
      <c r="I79" s="1164"/>
      <c r="J79" s="1164"/>
      <c r="K79" s="1164"/>
      <c r="L79" s="1164"/>
      <c r="M79" s="1164"/>
      <c r="N79" s="1164"/>
      <c r="O79" s="1165"/>
      <c r="P79" s="2658">
        <v>0.69</v>
      </c>
      <c r="Q79" s="2659"/>
      <c r="R79" s="2659"/>
      <c r="S79" s="2659"/>
      <c r="T79" s="2659"/>
      <c r="U79" s="2660"/>
      <c r="V79" s="1166" t="s">
        <v>22</v>
      </c>
      <c r="W79" s="1167"/>
      <c r="X79" s="1168"/>
      <c r="Y79" s="1163" t="s">
        <v>3900</v>
      </c>
      <c r="Z79" s="1164"/>
      <c r="AA79" s="1164"/>
      <c r="AB79" s="1164"/>
      <c r="AC79" s="1164"/>
      <c r="AD79" s="1164"/>
      <c r="AE79" s="1164"/>
      <c r="AF79" s="1165"/>
      <c r="AG79" s="1"/>
      <c r="AH79" s="1"/>
      <c r="AI79" s="1"/>
      <c r="AL79" s="478"/>
    </row>
    <row r="80" spans="1:38" customFormat="1" ht="170.25" customHeight="1" x14ac:dyDescent="0.3">
      <c r="A80" s="1349" t="s">
        <v>380</v>
      </c>
      <c r="B80" s="1350"/>
      <c r="C80" s="1350"/>
      <c r="D80" s="1350"/>
      <c r="E80" s="1350"/>
      <c r="F80" s="1351"/>
      <c r="G80" s="1163" t="s">
        <v>392</v>
      </c>
      <c r="H80" s="1164"/>
      <c r="I80" s="1164"/>
      <c r="J80" s="1164"/>
      <c r="K80" s="1164"/>
      <c r="L80" s="1164"/>
      <c r="M80" s="1164"/>
      <c r="N80" s="1164"/>
      <c r="O80" s="1165"/>
      <c r="P80" s="2658">
        <v>0.59</v>
      </c>
      <c r="Q80" s="2659"/>
      <c r="R80" s="2659"/>
      <c r="S80" s="2659"/>
      <c r="T80" s="2659"/>
      <c r="U80" s="2660"/>
      <c r="V80" s="1166" t="s">
        <v>22</v>
      </c>
      <c r="W80" s="1167"/>
      <c r="X80" s="1168"/>
      <c r="Y80" s="1163" t="s">
        <v>3901</v>
      </c>
      <c r="Z80" s="1164"/>
      <c r="AA80" s="1164"/>
      <c r="AB80" s="1164"/>
      <c r="AC80" s="1164"/>
      <c r="AD80" s="1164"/>
      <c r="AE80" s="1164"/>
      <c r="AF80" s="1165"/>
      <c r="AG80" s="1"/>
      <c r="AH80" s="1"/>
      <c r="AI80" s="1"/>
      <c r="AL80" s="478"/>
    </row>
    <row r="81" spans="1:38" customFormat="1" ht="75.75" customHeight="1" x14ac:dyDescent="0.3">
      <c r="A81" s="1349" t="s">
        <v>235</v>
      </c>
      <c r="B81" s="1350"/>
      <c r="C81" s="1350"/>
      <c r="D81" s="1350"/>
      <c r="E81" s="1350"/>
      <c r="F81" s="1351"/>
      <c r="G81" s="1163" t="s">
        <v>6401</v>
      </c>
      <c r="H81" s="1164"/>
      <c r="I81" s="1164"/>
      <c r="J81" s="1164"/>
      <c r="K81" s="1164"/>
      <c r="L81" s="1164"/>
      <c r="M81" s="1164"/>
      <c r="N81" s="1164"/>
      <c r="O81" s="1165"/>
      <c r="P81" s="1166">
        <v>2448</v>
      </c>
      <c r="Q81" s="1167"/>
      <c r="R81" s="1167"/>
      <c r="S81" s="1167"/>
      <c r="T81" s="1167"/>
      <c r="U81" s="1168"/>
      <c r="V81" s="1166" t="s">
        <v>790</v>
      </c>
      <c r="W81" s="1167"/>
      <c r="X81" s="1168"/>
      <c r="Y81" s="1163" t="s">
        <v>6438</v>
      </c>
      <c r="Z81" s="1164"/>
      <c r="AA81" s="1164"/>
      <c r="AB81" s="1164"/>
      <c r="AC81" s="1164"/>
      <c r="AD81" s="1164"/>
      <c r="AE81" s="1164"/>
      <c r="AF81" s="1165"/>
      <c r="AG81" s="1"/>
      <c r="AH81" s="1"/>
      <c r="AI81" s="1"/>
      <c r="AL81" s="709"/>
    </row>
    <row r="82" spans="1:38" customFormat="1" ht="67.5" customHeight="1" x14ac:dyDescent="0.3">
      <c r="A82" s="1349" t="s">
        <v>21</v>
      </c>
      <c r="B82" s="1350"/>
      <c r="C82" s="1350"/>
      <c r="D82" s="1350"/>
      <c r="E82" s="1350"/>
      <c r="F82" s="1351"/>
      <c r="G82" s="1163" t="s">
        <v>393</v>
      </c>
      <c r="H82" s="1164"/>
      <c r="I82" s="1164"/>
      <c r="J82" s="1164"/>
      <c r="K82" s="1164"/>
      <c r="L82" s="1164"/>
      <c r="M82" s="1164"/>
      <c r="N82" s="1164"/>
      <c r="O82" s="1165"/>
      <c r="P82" s="2655">
        <v>0.31</v>
      </c>
      <c r="Q82" s="2656"/>
      <c r="R82" s="2656"/>
      <c r="S82" s="2656"/>
      <c r="T82" s="2656"/>
      <c r="U82" s="2657"/>
      <c r="V82" s="1166" t="s">
        <v>22</v>
      </c>
      <c r="W82" s="1167"/>
      <c r="X82" s="1168"/>
      <c r="Y82" s="1163" t="s">
        <v>6439</v>
      </c>
      <c r="Z82" s="1164"/>
      <c r="AA82" s="1164"/>
      <c r="AB82" s="1164"/>
      <c r="AC82" s="1164"/>
      <c r="AD82" s="1164"/>
      <c r="AE82" s="1164"/>
      <c r="AF82" s="1165"/>
      <c r="AG82" s="1"/>
      <c r="AH82" s="1"/>
      <c r="AI82" s="1"/>
      <c r="AL82" s="238"/>
    </row>
    <row r="83" spans="1:38" customFormat="1" ht="175.5" customHeight="1" x14ac:dyDescent="0.3">
      <c r="A83" s="1349" t="s">
        <v>3886</v>
      </c>
      <c r="B83" s="1350"/>
      <c r="C83" s="1350"/>
      <c r="D83" s="1350"/>
      <c r="E83" s="1350"/>
      <c r="F83" s="1351"/>
      <c r="G83" s="1163" t="s">
        <v>2050</v>
      </c>
      <c r="H83" s="1164"/>
      <c r="I83" s="1164"/>
      <c r="J83" s="1164"/>
      <c r="K83" s="1164"/>
      <c r="L83" s="1164"/>
      <c r="M83" s="1164"/>
      <c r="N83" s="1164"/>
      <c r="O83" s="1165"/>
      <c r="P83" s="1166">
        <f>'Master EUL'!X32</f>
        <v>12</v>
      </c>
      <c r="Q83" s="1167"/>
      <c r="R83" s="1167"/>
      <c r="S83" s="1167"/>
      <c r="T83" s="1167"/>
      <c r="U83" s="1168"/>
      <c r="V83" s="1166" t="s">
        <v>38</v>
      </c>
      <c r="W83" s="1167"/>
      <c r="X83" s="1168"/>
      <c r="Y83" s="1163" t="s">
        <v>6440</v>
      </c>
      <c r="Z83" s="1164"/>
      <c r="AA83" s="1164"/>
      <c r="AB83" s="1164"/>
      <c r="AC83" s="1164"/>
      <c r="AD83" s="1164"/>
      <c r="AE83" s="1164"/>
      <c r="AF83" s="1165"/>
      <c r="AG83" s="1"/>
      <c r="AH83" s="1"/>
      <c r="AI83" s="1"/>
      <c r="AL83" s="766"/>
    </row>
    <row r="84" spans="1:38" customFormat="1" x14ac:dyDescent="0.3">
      <c r="A84" s="482" t="s">
        <v>830</v>
      </c>
      <c r="B84" s="483"/>
      <c r="C84" s="483"/>
      <c r="D84" s="483"/>
      <c r="E84" s="483"/>
      <c r="F84" s="483"/>
      <c r="G84" s="484"/>
      <c r="H84" s="484"/>
      <c r="I84" s="484"/>
      <c r="J84" s="484"/>
      <c r="K84" s="484"/>
      <c r="L84" s="484"/>
      <c r="M84" s="484"/>
      <c r="N84" s="484"/>
      <c r="O84" s="484"/>
      <c r="P84" s="761"/>
      <c r="Q84" s="761"/>
      <c r="R84" s="761"/>
      <c r="S84" s="761"/>
      <c r="T84" s="761"/>
      <c r="U84" s="761"/>
      <c r="V84" s="761"/>
      <c r="W84" s="761"/>
      <c r="X84" s="761"/>
      <c r="Y84" s="484"/>
      <c r="Z84" s="484"/>
      <c r="AA84" s="484"/>
      <c r="AB84" s="484"/>
      <c r="AC84" s="484"/>
      <c r="AD84" s="484"/>
      <c r="AE84" s="484"/>
      <c r="AF84" s="484"/>
      <c r="AG84" s="1"/>
      <c r="AH84" s="1"/>
      <c r="AI84" s="1"/>
      <c r="AL84" s="709"/>
    </row>
    <row r="85" spans="1:38" customFormat="1" ht="30" customHeight="1" x14ac:dyDescent="0.3">
      <c r="A85" s="1355" t="s">
        <v>6402</v>
      </c>
      <c r="B85" s="1355"/>
      <c r="C85" s="1355"/>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1355"/>
      <c r="AA85" s="1355"/>
      <c r="AB85" s="1355"/>
      <c r="AC85" s="1355"/>
      <c r="AD85" s="1355"/>
      <c r="AE85" s="1355"/>
      <c r="AF85" s="1355"/>
      <c r="AG85" s="1"/>
      <c r="AH85" s="1"/>
      <c r="AI85" s="1"/>
      <c r="AL85" s="709"/>
    </row>
    <row r="86" spans="1:38" customFormat="1" ht="30" customHeight="1" x14ac:dyDescent="0.3">
      <c r="A86" s="1355" t="s">
        <v>6403</v>
      </c>
      <c r="B86" s="1355"/>
      <c r="C86" s="1355"/>
      <c r="D86" s="1355"/>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c r="AF86" s="1355"/>
      <c r="AG86" s="1"/>
      <c r="AH86" s="1"/>
      <c r="AI86" s="1"/>
      <c r="AL86" s="709"/>
    </row>
    <row r="87" spans="1:38" customFormat="1" ht="36" customHeight="1" x14ac:dyDescent="0.3">
      <c r="A87" s="1355" t="s">
        <v>6404</v>
      </c>
      <c r="B87" s="1355"/>
      <c r="C87" s="1355"/>
      <c r="D87" s="1355"/>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1355"/>
      <c r="AA87" s="1355"/>
      <c r="AB87" s="1355"/>
      <c r="AC87" s="1355"/>
      <c r="AD87" s="1355"/>
      <c r="AE87" s="1355"/>
      <c r="AF87" s="1355"/>
      <c r="AG87" s="1"/>
      <c r="AH87" s="1"/>
      <c r="AI87" s="1"/>
      <c r="AL87" s="709"/>
    </row>
    <row r="88" spans="1:38" customFormat="1" ht="27.75" customHeight="1" x14ac:dyDescent="0.3">
      <c r="A88" s="1355" t="s">
        <v>6405</v>
      </c>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1355"/>
      <c r="AA88" s="1355"/>
      <c r="AB88" s="1355"/>
      <c r="AC88" s="1355"/>
      <c r="AD88" s="1355"/>
      <c r="AE88" s="1355"/>
      <c r="AF88" s="1355"/>
      <c r="AG88" s="1"/>
      <c r="AH88" s="1"/>
      <c r="AI88" s="1"/>
      <c r="AL88" s="709"/>
    </row>
    <row r="89" spans="1:38" customFormat="1" ht="27" customHeight="1" x14ac:dyDescent="0.3">
      <c r="A89" s="1355" t="s">
        <v>6406</v>
      </c>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
      <c r="AH89" s="1"/>
      <c r="AI89" s="1"/>
      <c r="AL89" s="709"/>
    </row>
    <row r="90" spans="1:38" customFormat="1" ht="75" customHeight="1" x14ac:dyDescent="0.3">
      <c r="A90" s="1355" t="s">
        <v>6441</v>
      </c>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
      <c r="AH90" s="1"/>
      <c r="AI90" s="1"/>
      <c r="AL90" s="709"/>
    </row>
    <row r="91" spans="1:38" customFormat="1" ht="75" customHeight="1" x14ac:dyDescent="0.3">
      <c r="A91" s="1355" t="s">
        <v>6442</v>
      </c>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
      <c r="AH91" s="1"/>
      <c r="AI91" s="1"/>
      <c r="AL91" s="709"/>
    </row>
    <row r="92" spans="1:38" customFormat="1" x14ac:dyDescent="0.3">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
      <c r="AH92" s="1"/>
      <c r="AI92" s="1"/>
      <c r="AL92" s="709"/>
    </row>
    <row r="93" spans="1:38" customFormat="1" x14ac:dyDescent="0.3">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
      <c r="AH93" s="1"/>
      <c r="AI93" s="1"/>
    </row>
    <row r="94" spans="1:38" customFormat="1" x14ac:dyDescent="0.3">
      <c r="A94" s="1290" t="s">
        <v>14</v>
      </c>
      <c r="B94" s="1290"/>
      <c r="C94" s="1290"/>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c r="AG94" s="1"/>
      <c r="AH94" s="1"/>
      <c r="AI94" s="1"/>
      <c r="AL94" s="478"/>
    </row>
    <row r="95" spans="1:38" customFormat="1" ht="15" thickBot="1" x14ac:dyDescent="0.35">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
      <c r="AH95" s="1"/>
      <c r="AI95" s="1"/>
      <c r="AL95" s="709"/>
    </row>
    <row r="96" spans="1:38" customFormat="1" x14ac:dyDescent="0.3">
      <c r="A96" s="1482" t="s">
        <v>15</v>
      </c>
      <c r="B96" s="1312"/>
      <c r="C96" s="1312"/>
      <c r="D96" s="1312"/>
      <c r="E96" s="1312"/>
      <c r="F96" s="1312"/>
      <c r="G96" s="1312"/>
      <c r="H96" s="1312"/>
      <c r="I96" s="1312" t="s">
        <v>16</v>
      </c>
      <c r="J96" s="1312"/>
      <c r="K96" s="1312"/>
      <c r="L96" s="1312"/>
      <c r="M96" s="1312"/>
      <c r="N96" s="1312"/>
      <c r="O96" s="1312"/>
      <c r="P96" s="1312"/>
      <c r="Q96" s="1312" t="s">
        <v>17</v>
      </c>
      <c r="R96" s="1312"/>
      <c r="S96" s="1312"/>
      <c r="T96" s="1312"/>
      <c r="U96" s="1312"/>
      <c r="V96" s="1312"/>
      <c r="W96" s="1312"/>
      <c r="X96" s="1312"/>
      <c r="Y96" s="2654" t="s">
        <v>1826</v>
      </c>
      <c r="Z96" s="1312"/>
      <c r="AA96" s="1312"/>
      <c r="AB96" s="1312"/>
      <c r="AC96" s="1312"/>
      <c r="AD96" s="1312"/>
      <c r="AE96" s="1312"/>
      <c r="AF96" s="1313"/>
      <c r="AG96" s="1"/>
      <c r="AH96" s="1"/>
      <c r="AI96" s="1"/>
      <c r="AL96" s="709"/>
    </row>
    <row r="97" spans="1:38" customFormat="1" x14ac:dyDescent="0.3">
      <c r="A97" s="2641" t="s">
        <v>394</v>
      </c>
      <c r="B97" s="993"/>
      <c r="C97" s="993"/>
      <c r="D97" s="993"/>
      <c r="E97" s="993"/>
      <c r="F97" s="993"/>
      <c r="G97" s="993"/>
      <c r="H97" s="993"/>
      <c r="I97" s="1293">
        <f>ROUND(Q97*$P$82/$P$81,3)</f>
        <v>1.6E-2</v>
      </c>
      <c r="J97" s="1293"/>
      <c r="K97" s="1293"/>
      <c r="L97" s="1293"/>
      <c r="M97" s="1293"/>
      <c r="N97" s="1293"/>
      <c r="O97" s="1293"/>
      <c r="P97" s="1293"/>
      <c r="Q97" s="2642">
        <f>ROUND(P69*P72*((1/P70)*(P73+(P74*P80)+(P75*P79))-(1/P71)*(P76+(P77*P80)+(P78*P79))),2)</f>
        <v>126.04</v>
      </c>
      <c r="R97" s="2643"/>
      <c r="S97" s="2643"/>
      <c r="T97" s="2643"/>
      <c r="U97" s="2643"/>
      <c r="V97" s="2643"/>
      <c r="W97" s="2643"/>
      <c r="X97" s="2644"/>
      <c r="Y97" s="2645">
        <f>ROUND(Q97*$P$83,2)</f>
        <v>1512.48</v>
      </c>
      <c r="Z97" s="2645"/>
      <c r="AA97" s="2645"/>
      <c r="AB97" s="2645"/>
      <c r="AC97" s="2645"/>
      <c r="AD97" s="2645"/>
      <c r="AE97" s="2645"/>
      <c r="AF97" s="2646"/>
      <c r="AG97" s="1"/>
      <c r="AH97" s="1"/>
      <c r="AI97" s="1"/>
      <c r="AL97" s="709"/>
    </row>
    <row r="98" spans="1:38" customFormat="1" x14ac:dyDescent="0.3">
      <c r="A98" s="2641" t="s">
        <v>395</v>
      </c>
      <c r="B98" s="993"/>
      <c r="C98" s="993"/>
      <c r="D98" s="993"/>
      <c r="E98" s="993"/>
      <c r="F98" s="993"/>
      <c r="G98" s="993"/>
      <c r="H98" s="993"/>
      <c r="I98" s="1293">
        <f t="shared" ref="I98:I99" si="2">ROUND(Q98*$P$82/$P$81,3)</f>
        <v>0.02</v>
      </c>
      <c r="J98" s="1293"/>
      <c r="K98" s="1293"/>
      <c r="L98" s="1293"/>
      <c r="M98" s="1293"/>
      <c r="N98" s="1293"/>
      <c r="O98" s="1293"/>
      <c r="P98" s="1293"/>
      <c r="Q98" s="2642">
        <f>ROUND(P69*P72*((1/P70)*(P73+(P74*P80)+(P75*P79))-(1/R71)*(R76+(R77*P80)+(R78*P79))),2)</f>
        <v>154.13999999999999</v>
      </c>
      <c r="R98" s="2643"/>
      <c r="S98" s="2643"/>
      <c r="T98" s="2643"/>
      <c r="U98" s="2643"/>
      <c r="V98" s="2643"/>
      <c r="W98" s="2643"/>
      <c r="X98" s="2644"/>
      <c r="Y98" s="2645">
        <f>ROUND(Q98*$P$83,2)</f>
        <v>1849.68</v>
      </c>
      <c r="Z98" s="2645"/>
      <c r="AA98" s="2645"/>
      <c r="AB98" s="2645"/>
      <c r="AC98" s="2645"/>
      <c r="AD98" s="2645"/>
      <c r="AE98" s="2645"/>
      <c r="AF98" s="2646"/>
      <c r="AG98" s="1"/>
      <c r="AH98" s="1"/>
      <c r="AI98" s="1"/>
      <c r="AL98" s="709"/>
    </row>
    <row r="99" spans="1:38" customFormat="1" ht="15" thickBot="1" x14ac:dyDescent="0.35">
      <c r="A99" s="2647" t="s">
        <v>396</v>
      </c>
      <c r="B99" s="1475"/>
      <c r="C99" s="1475"/>
      <c r="D99" s="1475"/>
      <c r="E99" s="1475"/>
      <c r="F99" s="1475"/>
      <c r="G99" s="1475"/>
      <c r="H99" s="1475"/>
      <c r="I99" s="1303">
        <f t="shared" si="2"/>
        <v>2.1999999999999999E-2</v>
      </c>
      <c r="J99" s="1303"/>
      <c r="K99" s="1303"/>
      <c r="L99" s="1303"/>
      <c r="M99" s="1303"/>
      <c r="N99" s="1303"/>
      <c r="O99" s="1303"/>
      <c r="P99" s="1303"/>
      <c r="Q99" s="2648">
        <f>ROUND(P69*P72*((1/P70)*(P73+(P74*P80)+(P75*P79))-(1/T71)*(T76+(T77*P80)+(T78*P79))),2)</f>
        <v>171.23</v>
      </c>
      <c r="R99" s="2649"/>
      <c r="S99" s="2649"/>
      <c r="T99" s="2649"/>
      <c r="U99" s="2649"/>
      <c r="V99" s="2649"/>
      <c r="W99" s="2649"/>
      <c r="X99" s="2650"/>
      <c r="Y99" s="2651">
        <f>ROUND(Q99*$P$83,2)</f>
        <v>2054.7600000000002</v>
      </c>
      <c r="Z99" s="2652"/>
      <c r="AA99" s="2652"/>
      <c r="AB99" s="2652"/>
      <c r="AC99" s="2652"/>
      <c r="AD99" s="2652"/>
      <c r="AE99" s="2652"/>
      <c r="AF99" s="2653"/>
      <c r="AG99" s="1"/>
      <c r="AH99" s="1"/>
      <c r="AI99" s="1"/>
      <c r="AL99" s="709"/>
    </row>
    <row r="100" spans="1:38" customFormat="1" x14ac:dyDescent="0.3">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
      <c r="AH100" s="1"/>
      <c r="AI100" s="1"/>
      <c r="AL100" s="709"/>
    </row>
    <row r="101" spans="1:38" customFormat="1" x14ac:dyDescent="0.3">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
      <c r="AH101" s="1"/>
      <c r="AI101" s="1"/>
      <c r="AL101" s="709"/>
    </row>
    <row r="102" spans="1:38" customFormat="1" x14ac:dyDescent="0.3">
      <c r="A102" s="1290" t="s">
        <v>1514</v>
      </c>
      <c r="B102" s="1290"/>
      <c r="C102" s="1290"/>
      <c r="D102" s="1290"/>
      <c r="E102" s="1290"/>
      <c r="F102" s="1290"/>
      <c r="G102" s="1290"/>
      <c r="H102" s="1290"/>
      <c r="I102" s="1290"/>
      <c r="J102" s="1290"/>
      <c r="K102" s="1290"/>
      <c r="L102" s="1290"/>
      <c r="M102" s="1290"/>
      <c r="N102" s="1290"/>
      <c r="O102" s="1290"/>
      <c r="P102" s="1290"/>
      <c r="Q102" s="1290"/>
      <c r="R102" s="1290"/>
      <c r="S102" s="1290"/>
      <c r="T102" s="1290"/>
      <c r="U102" s="1290"/>
      <c r="V102" s="1290"/>
      <c r="W102" s="1290"/>
      <c r="X102" s="1290"/>
      <c r="Y102" s="1290"/>
      <c r="Z102" s="1290"/>
      <c r="AA102" s="1290"/>
      <c r="AB102" s="1290"/>
      <c r="AC102" s="1290"/>
      <c r="AD102" s="1290"/>
      <c r="AE102" s="1290"/>
      <c r="AF102" s="1290"/>
      <c r="AL102" s="478"/>
    </row>
    <row r="103" spans="1:38" customFormat="1" x14ac:dyDescent="0.3">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
      <c r="AH103" s="1"/>
      <c r="AI103" s="1"/>
      <c r="AL103" s="709"/>
    </row>
    <row r="104" spans="1:38" customFormat="1" x14ac:dyDescent="0.3">
      <c r="A104" s="370" t="s">
        <v>803</v>
      </c>
      <c r="B104" s="889" t="s">
        <v>6407</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c r="AG104" s="1"/>
      <c r="AH104" s="1"/>
      <c r="AI104" s="1"/>
      <c r="AL104" s="709"/>
    </row>
    <row r="105" spans="1:38" customFormat="1" x14ac:dyDescent="0.3">
      <c r="A105" s="370" t="s">
        <v>803</v>
      </c>
      <c r="B105" s="889" t="s">
        <v>6443</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c r="AG105" s="1"/>
      <c r="AH105" s="1"/>
      <c r="AI105" s="1"/>
      <c r="AL105" s="709"/>
    </row>
    <row r="106" spans="1:38" customFormat="1" ht="30" customHeight="1" x14ac:dyDescent="0.3">
      <c r="A106" s="370" t="s">
        <v>803</v>
      </c>
      <c r="B106" s="889" t="s">
        <v>6408</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c r="AG106" s="1"/>
      <c r="AH106" s="1"/>
      <c r="AI106" s="1"/>
      <c r="AL106" s="709"/>
    </row>
    <row r="107" spans="1:38" customFormat="1" ht="45" customHeight="1" x14ac:dyDescent="0.3">
      <c r="A107" s="370" t="s">
        <v>803</v>
      </c>
      <c r="B107" s="889" t="s">
        <v>6409</v>
      </c>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c r="AG107" s="1"/>
      <c r="AH107" s="1"/>
      <c r="AI107" s="1"/>
      <c r="AL107" s="709"/>
    </row>
    <row r="108" spans="1:38" customFormat="1" ht="60.75" customHeight="1" x14ac:dyDescent="0.3">
      <c r="A108" s="370" t="s">
        <v>803</v>
      </c>
      <c r="B108" s="889" t="s">
        <v>6410</v>
      </c>
      <c r="C108" s="889"/>
      <c r="D108" s="889"/>
      <c r="E108" s="889"/>
      <c r="F108" s="889"/>
      <c r="G108" s="889"/>
      <c r="H108" s="889"/>
      <c r="I108" s="889"/>
      <c r="J108" s="889"/>
      <c r="K108" s="889"/>
      <c r="L108" s="889"/>
      <c r="M108" s="889"/>
      <c r="N108" s="889"/>
      <c r="O108" s="889"/>
      <c r="P108" s="889"/>
      <c r="Q108" s="889"/>
      <c r="R108" s="889"/>
      <c r="S108" s="889"/>
      <c r="T108" s="889"/>
      <c r="U108" s="889"/>
      <c r="V108" s="889"/>
      <c r="W108" s="889"/>
      <c r="X108" s="889"/>
      <c r="Y108" s="889"/>
      <c r="Z108" s="889"/>
      <c r="AA108" s="889"/>
      <c r="AB108" s="889"/>
      <c r="AC108" s="889"/>
      <c r="AD108" s="889"/>
      <c r="AE108" s="889"/>
      <c r="AF108" s="889"/>
      <c r="AG108" s="1"/>
      <c r="AH108" s="1"/>
      <c r="AI108" s="1"/>
      <c r="AL108" s="709"/>
    </row>
    <row r="109" spans="1:38" customFormat="1" ht="60.75" customHeight="1" x14ac:dyDescent="0.3">
      <c r="A109" s="370" t="s">
        <v>803</v>
      </c>
      <c r="B109" s="889" t="s">
        <v>6411</v>
      </c>
      <c r="C109" s="889"/>
      <c r="D109" s="889"/>
      <c r="E109" s="889"/>
      <c r="F109" s="889"/>
      <c r="G109" s="889"/>
      <c r="H109" s="889"/>
      <c r="I109" s="889"/>
      <c r="J109" s="889"/>
      <c r="K109" s="889"/>
      <c r="L109" s="889"/>
      <c r="M109" s="889"/>
      <c r="N109" s="889"/>
      <c r="O109" s="889"/>
      <c r="P109" s="889"/>
      <c r="Q109" s="889"/>
      <c r="R109" s="889"/>
      <c r="S109" s="889"/>
      <c r="T109" s="889"/>
      <c r="U109" s="889"/>
      <c r="V109" s="889"/>
      <c r="W109" s="889"/>
      <c r="X109" s="889"/>
      <c r="Y109" s="889"/>
      <c r="Z109" s="889"/>
      <c r="AA109" s="889"/>
      <c r="AB109" s="889"/>
      <c r="AC109" s="889"/>
      <c r="AD109" s="889"/>
      <c r="AE109" s="889"/>
      <c r="AF109" s="889"/>
      <c r="AG109" s="1"/>
      <c r="AH109" s="1"/>
      <c r="AI109" s="1"/>
      <c r="AL109" s="709"/>
    </row>
    <row r="110" spans="1:38" customFormat="1" ht="30" customHeight="1" x14ac:dyDescent="0.3">
      <c r="A110" s="370" t="s">
        <v>803</v>
      </c>
      <c r="B110" s="889" t="s">
        <v>6412</v>
      </c>
      <c r="C110" s="889"/>
      <c r="D110" s="889"/>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c r="AE110" s="889"/>
      <c r="AF110" s="889"/>
      <c r="AG110" s="1"/>
      <c r="AH110" s="1"/>
      <c r="AI110" s="1"/>
      <c r="AL110" s="709"/>
    </row>
    <row r="111" spans="1:38" customFormat="1" ht="63" customHeight="1" x14ac:dyDescent="0.3">
      <c r="A111" s="370" t="s">
        <v>803</v>
      </c>
      <c r="B111" s="889" t="s">
        <v>6413</v>
      </c>
      <c r="C111" s="889"/>
      <c r="D111" s="889"/>
      <c r="E111" s="889"/>
      <c r="F111" s="889"/>
      <c r="G111" s="889"/>
      <c r="H111" s="889"/>
      <c r="I111" s="889"/>
      <c r="J111" s="889"/>
      <c r="K111" s="889"/>
      <c r="L111" s="889"/>
      <c r="M111" s="889"/>
      <c r="N111" s="889"/>
      <c r="O111" s="889"/>
      <c r="P111" s="889"/>
      <c r="Q111" s="889"/>
      <c r="R111" s="889"/>
      <c r="S111" s="889"/>
      <c r="T111" s="889"/>
      <c r="U111" s="889"/>
      <c r="V111" s="889"/>
      <c r="W111" s="889"/>
      <c r="X111" s="889"/>
      <c r="Y111" s="889"/>
      <c r="Z111" s="889"/>
      <c r="AA111" s="889"/>
      <c r="AB111" s="889"/>
      <c r="AC111" s="889"/>
      <c r="AD111" s="889"/>
      <c r="AE111" s="889"/>
      <c r="AF111" s="889"/>
      <c r="AG111" s="1"/>
      <c r="AH111" s="1"/>
      <c r="AI111" s="1"/>
      <c r="AL111" s="709"/>
    </row>
    <row r="112" spans="1:38" customFormat="1" ht="45" customHeight="1" x14ac:dyDescent="0.3">
      <c r="A112" s="370" t="s">
        <v>803</v>
      </c>
      <c r="B112" s="889" t="s">
        <v>6414</v>
      </c>
      <c r="C112" s="889"/>
      <c r="D112" s="889"/>
      <c r="E112" s="889"/>
      <c r="F112" s="889"/>
      <c r="G112" s="889"/>
      <c r="H112" s="889"/>
      <c r="I112" s="889"/>
      <c r="J112" s="889"/>
      <c r="K112" s="889"/>
      <c r="L112" s="889"/>
      <c r="M112" s="889"/>
      <c r="N112" s="889"/>
      <c r="O112" s="889"/>
      <c r="P112" s="889"/>
      <c r="Q112" s="889"/>
      <c r="R112" s="889"/>
      <c r="S112" s="889"/>
      <c r="T112" s="889"/>
      <c r="U112" s="889"/>
      <c r="V112" s="889"/>
      <c r="W112" s="889"/>
      <c r="X112" s="889"/>
      <c r="Y112" s="889"/>
      <c r="Z112" s="889"/>
      <c r="AA112" s="889"/>
      <c r="AB112" s="889"/>
      <c r="AC112" s="889"/>
      <c r="AD112" s="889"/>
      <c r="AE112" s="889"/>
      <c r="AF112" s="889"/>
      <c r="AG112" s="1"/>
      <c r="AH112" s="1"/>
      <c r="AI112" s="1"/>
      <c r="AL112" s="709"/>
    </row>
    <row r="113" spans="1:38" customFormat="1" ht="30.75" customHeight="1" x14ac:dyDescent="0.3">
      <c r="A113" s="370" t="s">
        <v>803</v>
      </c>
      <c r="B113" s="889" t="s">
        <v>3908</v>
      </c>
      <c r="C113" s="889"/>
      <c r="D113" s="889"/>
      <c r="E113" s="889"/>
      <c r="F113" s="889"/>
      <c r="G113" s="889"/>
      <c r="H113" s="889"/>
      <c r="I113" s="889"/>
      <c r="J113" s="889"/>
      <c r="K113" s="889"/>
      <c r="L113" s="889"/>
      <c r="M113" s="889"/>
      <c r="N113" s="889"/>
      <c r="O113" s="889"/>
      <c r="P113" s="889"/>
      <c r="Q113" s="889"/>
      <c r="R113" s="889"/>
      <c r="S113" s="889"/>
      <c r="T113" s="889"/>
      <c r="U113" s="889"/>
      <c r="V113" s="889"/>
      <c r="W113" s="889"/>
      <c r="X113" s="889"/>
      <c r="Y113" s="889"/>
      <c r="Z113" s="889"/>
      <c r="AA113" s="889"/>
      <c r="AB113" s="889"/>
      <c r="AC113" s="889"/>
      <c r="AD113" s="889"/>
      <c r="AE113" s="889"/>
      <c r="AF113" s="889"/>
      <c r="AG113" s="1"/>
      <c r="AH113" s="1"/>
      <c r="AI113" s="1"/>
      <c r="AL113" s="709"/>
    </row>
    <row r="114" spans="1:38" customFormat="1" ht="30" customHeight="1" x14ac:dyDescent="0.3">
      <c r="A114" s="370" t="s">
        <v>803</v>
      </c>
      <c r="B114" s="889" t="s">
        <v>6415</v>
      </c>
      <c r="C114" s="889"/>
      <c r="D114" s="889"/>
      <c r="E114" s="889"/>
      <c r="F114" s="889"/>
      <c r="G114" s="889"/>
      <c r="H114" s="889"/>
      <c r="I114" s="889"/>
      <c r="J114" s="889"/>
      <c r="K114" s="889"/>
      <c r="L114" s="889"/>
      <c r="M114" s="889"/>
      <c r="N114" s="889"/>
      <c r="O114" s="889"/>
      <c r="P114" s="889"/>
      <c r="Q114" s="889"/>
      <c r="R114" s="889"/>
      <c r="S114" s="889"/>
      <c r="T114" s="889"/>
      <c r="U114" s="889"/>
      <c r="V114" s="889"/>
      <c r="W114" s="889"/>
      <c r="X114" s="889"/>
      <c r="Y114" s="889"/>
      <c r="Z114" s="889"/>
      <c r="AA114" s="889"/>
      <c r="AB114" s="889"/>
      <c r="AC114" s="889"/>
      <c r="AD114" s="889"/>
      <c r="AE114" s="889"/>
      <c r="AF114" s="889"/>
      <c r="AG114" s="1"/>
      <c r="AH114" s="1"/>
      <c r="AI114" s="1"/>
      <c r="AL114" s="709"/>
    </row>
    <row r="115" spans="1:38" customFormat="1" ht="30" customHeight="1" x14ac:dyDescent="0.3">
      <c r="A115" s="370" t="s">
        <v>803</v>
      </c>
      <c r="B115" s="889" t="s">
        <v>6267</v>
      </c>
      <c r="C115" s="889"/>
      <c r="D115" s="889"/>
      <c r="E115" s="889"/>
      <c r="F115" s="889"/>
      <c r="G115" s="889"/>
      <c r="H115" s="889"/>
      <c r="I115" s="889"/>
      <c r="J115" s="889"/>
      <c r="K115" s="889"/>
      <c r="L115" s="889"/>
      <c r="M115" s="889"/>
      <c r="N115" s="889"/>
      <c r="O115" s="889"/>
      <c r="P115" s="889"/>
      <c r="Q115" s="889"/>
      <c r="R115" s="889"/>
      <c r="S115" s="889"/>
      <c r="T115" s="889"/>
      <c r="U115" s="889"/>
      <c r="V115" s="889"/>
      <c r="W115" s="889"/>
      <c r="X115" s="889"/>
      <c r="Y115" s="889"/>
      <c r="Z115" s="889"/>
      <c r="AA115" s="889"/>
      <c r="AB115" s="889"/>
      <c r="AC115" s="889"/>
      <c r="AD115" s="889"/>
      <c r="AE115" s="889"/>
      <c r="AF115" s="889"/>
      <c r="AG115" s="1"/>
      <c r="AH115" s="1"/>
      <c r="AI115" s="1"/>
      <c r="AL115" s="709"/>
    </row>
    <row r="116" spans="1:38" customFormat="1" ht="45" customHeight="1" x14ac:dyDescent="0.3">
      <c r="A116" s="370" t="s">
        <v>803</v>
      </c>
      <c r="B116" s="889" t="s">
        <v>6268</v>
      </c>
      <c r="C116" s="889"/>
      <c r="D116" s="889"/>
      <c r="E116" s="889"/>
      <c r="F116" s="889"/>
      <c r="G116" s="889"/>
      <c r="H116" s="889"/>
      <c r="I116" s="889"/>
      <c r="J116" s="889"/>
      <c r="K116" s="889"/>
      <c r="L116" s="889"/>
      <c r="M116" s="889"/>
      <c r="N116" s="889"/>
      <c r="O116" s="889"/>
      <c r="P116" s="889"/>
      <c r="Q116" s="889"/>
      <c r="R116" s="889"/>
      <c r="S116" s="889"/>
      <c r="T116" s="889"/>
      <c r="U116" s="889"/>
      <c r="V116" s="889"/>
      <c r="W116" s="889"/>
      <c r="X116" s="889"/>
      <c r="Y116" s="889"/>
      <c r="Z116" s="889"/>
      <c r="AA116" s="889"/>
      <c r="AB116" s="889"/>
      <c r="AC116" s="889"/>
      <c r="AD116" s="889"/>
      <c r="AE116" s="889"/>
      <c r="AF116" s="889"/>
      <c r="AG116" s="1"/>
      <c r="AH116" s="1"/>
      <c r="AI116" s="1"/>
      <c r="AL116" s="709"/>
    </row>
    <row r="117" spans="1:38" customFormat="1" ht="30" customHeight="1" x14ac:dyDescent="0.3">
      <c r="A117" s="370" t="s">
        <v>803</v>
      </c>
      <c r="B117" s="889" t="s">
        <v>6269</v>
      </c>
      <c r="C117" s="889"/>
      <c r="D117" s="889"/>
      <c r="E117" s="889"/>
      <c r="F117" s="889"/>
      <c r="G117" s="889"/>
      <c r="H117" s="889"/>
      <c r="I117" s="889"/>
      <c r="J117" s="889"/>
      <c r="K117" s="889"/>
      <c r="L117" s="889"/>
      <c r="M117" s="889"/>
      <c r="N117" s="889"/>
      <c r="O117" s="889"/>
      <c r="P117" s="889"/>
      <c r="Q117" s="889"/>
      <c r="R117" s="889"/>
      <c r="S117" s="889"/>
      <c r="T117" s="889"/>
      <c r="U117" s="889"/>
      <c r="V117" s="889"/>
      <c r="W117" s="889"/>
      <c r="X117" s="889"/>
      <c r="Y117" s="889"/>
      <c r="Z117" s="889"/>
      <c r="AA117" s="889"/>
      <c r="AB117" s="889"/>
      <c r="AC117" s="889"/>
      <c r="AD117" s="889"/>
      <c r="AE117" s="889"/>
      <c r="AF117" s="889"/>
      <c r="AG117" s="1"/>
      <c r="AH117" s="1"/>
      <c r="AI117" s="1"/>
      <c r="AL117" s="709"/>
    </row>
    <row r="118" spans="1:38" customFormat="1" ht="30" customHeight="1" x14ac:dyDescent="0.3">
      <c r="A118" s="370" t="s">
        <v>803</v>
      </c>
      <c r="B118" s="889" t="s">
        <v>6416</v>
      </c>
      <c r="C118" s="889"/>
      <c r="D118" s="889"/>
      <c r="E118" s="889"/>
      <c r="F118" s="889"/>
      <c r="G118" s="889"/>
      <c r="H118" s="889"/>
      <c r="I118" s="889"/>
      <c r="J118" s="889"/>
      <c r="K118" s="889"/>
      <c r="L118" s="889"/>
      <c r="M118" s="889"/>
      <c r="N118" s="889"/>
      <c r="O118" s="889"/>
      <c r="P118" s="889"/>
      <c r="Q118" s="889"/>
      <c r="R118" s="889"/>
      <c r="S118" s="889"/>
      <c r="T118" s="889"/>
      <c r="U118" s="889"/>
      <c r="V118" s="889"/>
      <c r="W118" s="889"/>
      <c r="X118" s="889"/>
      <c r="Y118" s="889"/>
      <c r="Z118" s="889"/>
      <c r="AA118" s="889"/>
      <c r="AB118" s="889"/>
      <c r="AC118" s="889"/>
      <c r="AD118" s="889"/>
      <c r="AE118" s="889"/>
      <c r="AF118" s="889"/>
      <c r="AG118" s="1"/>
      <c r="AH118" s="1"/>
      <c r="AI118" s="1"/>
      <c r="AL118" s="709"/>
    </row>
    <row r="119" spans="1:38" customFormat="1" ht="61.5" customHeight="1" x14ac:dyDescent="0.3">
      <c r="A119" s="370" t="s">
        <v>803</v>
      </c>
      <c r="B119" s="889" t="s">
        <v>6417</v>
      </c>
      <c r="C119" s="889"/>
      <c r="D119" s="889"/>
      <c r="E119" s="889"/>
      <c r="F119" s="889"/>
      <c r="G119" s="889"/>
      <c r="H119" s="889"/>
      <c r="I119" s="889"/>
      <c r="J119" s="889"/>
      <c r="K119" s="889"/>
      <c r="L119" s="889"/>
      <c r="M119" s="889"/>
      <c r="N119" s="889"/>
      <c r="O119" s="889"/>
      <c r="P119" s="889"/>
      <c r="Q119" s="889"/>
      <c r="R119" s="889"/>
      <c r="S119" s="889"/>
      <c r="T119" s="889"/>
      <c r="U119" s="889"/>
      <c r="V119" s="889"/>
      <c r="W119" s="889"/>
      <c r="X119" s="889"/>
      <c r="Y119" s="889"/>
      <c r="Z119" s="889"/>
      <c r="AA119" s="889"/>
      <c r="AB119" s="889"/>
      <c r="AC119" s="889"/>
      <c r="AD119" s="889"/>
      <c r="AE119" s="889"/>
      <c r="AF119" s="889"/>
      <c r="AG119" s="1"/>
      <c r="AH119" s="1"/>
      <c r="AI119" s="1"/>
      <c r="AL119" s="709"/>
    </row>
    <row r="120" spans="1:38" customFormat="1" ht="60" customHeight="1" x14ac:dyDescent="0.3">
      <c r="A120" s="370" t="s">
        <v>803</v>
      </c>
      <c r="B120" s="889" t="s">
        <v>6418</v>
      </c>
      <c r="C120" s="889"/>
      <c r="D120" s="889"/>
      <c r="E120" s="889"/>
      <c r="F120" s="889"/>
      <c r="G120" s="889"/>
      <c r="H120" s="889"/>
      <c r="I120" s="889"/>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1"/>
      <c r="AH120" s="1"/>
      <c r="AI120" s="1"/>
      <c r="AL120" s="709"/>
    </row>
    <row r="121" spans="1:38" customFormat="1" ht="33" customHeight="1" x14ac:dyDescent="0.3">
      <c r="A121" s="370" t="s">
        <v>803</v>
      </c>
      <c r="B121" s="889" t="s">
        <v>6419</v>
      </c>
      <c r="C121" s="889"/>
      <c r="D121" s="889"/>
      <c r="E121" s="889"/>
      <c r="F121" s="889"/>
      <c r="G121" s="889"/>
      <c r="H121" s="889"/>
      <c r="I121" s="889"/>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1"/>
      <c r="AH121" s="1"/>
      <c r="AI121" s="1"/>
      <c r="AL121" s="709"/>
    </row>
    <row r="122" spans="1:38" customFormat="1" ht="45" customHeight="1" x14ac:dyDescent="0.3">
      <c r="A122" s="370" t="s">
        <v>803</v>
      </c>
      <c r="B122" s="889" t="s">
        <v>6420</v>
      </c>
      <c r="C122" s="889"/>
      <c r="D122" s="889"/>
      <c r="E122" s="889"/>
      <c r="F122" s="889"/>
      <c r="G122" s="889"/>
      <c r="H122" s="889"/>
      <c r="I122" s="889"/>
      <c r="J122" s="889"/>
      <c r="K122" s="889"/>
      <c r="L122" s="889"/>
      <c r="M122" s="889"/>
      <c r="N122" s="889"/>
      <c r="O122" s="889"/>
      <c r="P122" s="889"/>
      <c r="Q122" s="889"/>
      <c r="R122" s="889"/>
      <c r="S122" s="889"/>
      <c r="T122" s="889"/>
      <c r="U122" s="889"/>
      <c r="V122" s="889"/>
      <c r="W122" s="889"/>
      <c r="X122" s="889"/>
      <c r="Y122" s="889"/>
      <c r="Z122" s="889"/>
      <c r="AA122" s="889"/>
      <c r="AB122" s="889"/>
      <c r="AC122" s="889"/>
      <c r="AD122" s="889"/>
      <c r="AE122" s="889"/>
      <c r="AF122" s="889"/>
      <c r="AG122" s="1"/>
      <c r="AH122" s="1"/>
      <c r="AI122" s="1"/>
      <c r="AL122" s="709"/>
    </row>
  </sheetData>
  <sheetProtection algorithmName="SHA-512" hashValue="tMTjmayF4Uj6Lm1TJJV72ZIh1+gjF1iQ0SCe1K2A9GJHoZTmojnFQ7261BMnIFWbM32KOvfTdjXZBDDFMvzf0A==" saltValue="617Pmc0n7WwWPiA6MpYZjg==" spinCount="100000" sheet="1" objects="1" scenarios="1"/>
  <mergeCells count="201">
    <mergeCell ref="A3:AF3"/>
    <mergeCell ref="B5:AF5"/>
    <mergeCell ref="A1:AF1"/>
    <mergeCell ref="B21:AF21"/>
    <mergeCell ref="B22:K22"/>
    <mergeCell ref="L22:R22"/>
    <mergeCell ref="S22:Y22"/>
    <mergeCell ref="Z22:AF22"/>
    <mergeCell ref="B23:K23"/>
    <mergeCell ref="L23:R23"/>
    <mergeCell ref="S23:Y23"/>
    <mergeCell ref="Z23:AF23"/>
    <mergeCell ref="A7:AF7"/>
    <mergeCell ref="B9:I9"/>
    <mergeCell ref="B10:AF10"/>
    <mergeCell ref="B12:I12"/>
    <mergeCell ref="B13:AF13"/>
    <mergeCell ref="B15:I15"/>
    <mergeCell ref="B16:AF16"/>
    <mergeCell ref="B18:I18"/>
    <mergeCell ref="B19:AF19"/>
    <mergeCell ref="B24:K24"/>
    <mergeCell ref="L24:R24"/>
    <mergeCell ref="S24:Y24"/>
    <mergeCell ref="Z24:AF24"/>
    <mergeCell ref="B25:K25"/>
    <mergeCell ref="L25:R25"/>
    <mergeCell ref="S25:Y25"/>
    <mergeCell ref="Z25:AF25"/>
    <mergeCell ref="B27:AF27"/>
    <mergeCell ref="B28:AF28"/>
    <mergeCell ref="B31:AF31"/>
    <mergeCell ref="B32:AF32"/>
    <mergeCell ref="B33:AF33"/>
    <mergeCell ref="B34:AF34"/>
    <mergeCell ref="B35:AF35"/>
    <mergeCell ref="B37:AF37"/>
    <mergeCell ref="B38:K39"/>
    <mergeCell ref="L38:Y38"/>
    <mergeCell ref="Z38:AF39"/>
    <mergeCell ref="L39:R39"/>
    <mergeCell ref="S39:Y39"/>
    <mergeCell ref="Z40:AF40"/>
    <mergeCell ref="B41:K41"/>
    <mergeCell ref="L41:R41"/>
    <mergeCell ref="S41:Y41"/>
    <mergeCell ref="Z41:AF41"/>
    <mergeCell ref="B42:K42"/>
    <mergeCell ref="L42:R42"/>
    <mergeCell ref="S42:Y42"/>
    <mergeCell ref="Z42:AF42"/>
    <mergeCell ref="B40:K40"/>
    <mergeCell ref="L40:R40"/>
    <mergeCell ref="S40:Y40"/>
    <mergeCell ref="L43:R43"/>
    <mergeCell ref="S43:Y43"/>
    <mergeCell ref="Z43:AF43"/>
    <mergeCell ref="B44:K44"/>
    <mergeCell ref="L44:Y44"/>
    <mergeCell ref="Z44:AF44"/>
    <mergeCell ref="B45:K45"/>
    <mergeCell ref="L45:Y45"/>
    <mergeCell ref="Z45:AF45"/>
    <mergeCell ref="B43:K43"/>
    <mergeCell ref="B46:K46"/>
    <mergeCell ref="L46:Y46"/>
    <mergeCell ref="Z46:AF46"/>
    <mergeCell ref="B48:AF48"/>
    <mergeCell ref="B49:AF49"/>
    <mergeCell ref="B50:AF50"/>
    <mergeCell ref="A52:AF52"/>
    <mergeCell ref="A67:AF67"/>
    <mergeCell ref="A68:F68"/>
    <mergeCell ref="G68:O68"/>
    <mergeCell ref="P68:Q68"/>
    <mergeCell ref="R68:S68"/>
    <mergeCell ref="T68:U68"/>
    <mergeCell ref="V68:X68"/>
    <mergeCell ref="Y68:AF68"/>
    <mergeCell ref="A69:F69"/>
    <mergeCell ref="G69:O69"/>
    <mergeCell ref="P69:U69"/>
    <mergeCell ref="V69:X69"/>
    <mergeCell ref="Y69:AF69"/>
    <mergeCell ref="A70:F70"/>
    <mergeCell ref="G70:O70"/>
    <mergeCell ref="P70:U70"/>
    <mergeCell ref="V70:X70"/>
    <mergeCell ref="Y70:AF70"/>
    <mergeCell ref="A71:F71"/>
    <mergeCell ref="G71:O71"/>
    <mergeCell ref="P71:Q71"/>
    <mergeCell ref="R71:S71"/>
    <mergeCell ref="T71:U71"/>
    <mergeCell ref="V71:X71"/>
    <mergeCell ref="Y71:AF71"/>
    <mergeCell ref="A72:F72"/>
    <mergeCell ref="G72:O72"/>
    <mergeCell ref="P72:U72"/>
    <mergeCell ref="V72:X72"/>
    <mergeCell ref="Y72:AF72"/>
    <mergeCell ref="A73:F73"/>
    <mergeCell ref="G73:O73"/>
    <mergeCell ref="P73:U73"/>
    <mergeCell ref="V73:X73"/>
    <mergeCell ref="Y73:AF78"/>
    <mergeCell ref="A74:F74"/>
    <mergeCell ref="G74:O74"/>
    <mergeCell ref="P74:U74"/>
    <mergeCell ref="V74:X74"/>
    <mergeCell ref="A75:F75"/>
    <mergeCell ref="G75:O75"/>
    <mergeCell ref="P75:U75"/>
    <mergeCell ref="V75:X75"/>
    <mergeCell ref="A76:F76"/>
    <mergeCell ref="G76:O76"/>
    <mergeCell ref="P76:Q76"/>
    <mergeCell ref="R76:S76"/>
    <mergeCell ref="T76:U76"/>
    <mergeCell ref="V76:X76"/>
    <mergeCell ref="A77:F77"/>
    <mergeCell ref="G77:O77"/>
    <mergeCell ref="P77:Q77"/>
    <mergeCell ref="R77:S77"/>
    <mergeCell ref="T77:U77"/>
    <mergeCell ref="V77:X77"/>
    <mergeCell ref="A78:F78"/>
    <mergeCell ref="G78:O78"/>
    <mergeCell ref="P78:Q78"/>
    <mergeCell ref="R78:S78"/>
    <mergeCell ref="T78:U78"/>
    <mergeCell ref="V78:X78"/>
    <mergeCell ref="A79:F79"/>
    <mergeCell ref="G79:O79"/>
    <mergeCell ref="P79:U79"/>
    <mergeCell ref="V79:X79"/>
    <mergeCell ref="Y79:AF79"/>
    <mergeCell ref="A80:F80"/>
    <mergeCell ref="G80:O80"/>
    <mergeCell ref="P80:U80"/>
    <mergeCell ref="V80:X80"/>
    <mergeCell ref="Y80:AF80"/>
    <mergeCell ref="A81:F81"/>
    <mergeCell ref="G81:O81"/>
    <mergeCell ref="P81:U81"/>
    <mergeCell ref="V81:X81"/>
    <mergeCell ref="Y81:AF81"/>
    <mergeCell ref="A82:F82"/>
    <mergeCell ref="G82:O82"/>
    <mergeCell ref="P82:U82"/>
    <mergeCell ref="V82:X82"/>
    <mergeCell ref="Y82:AF82"/>
    <mergeCell ref="A83:F83"/>
    <mergeCell ref="G83:O83"/>
    <mergeCell ref="P83:U83"/>
    <mergeCell ref="V83:X83"/>
    <mergeCell ref="Y83:AF83"/>
    <mergeCell ref="A85:AF85"/>
    <mergeCell ref="A86:AF86"/>
    <mergeCell ref="A87:AF87"/>
    <mergeCell ref="A88:AF88"/>
    <mergeCell ref="A89:AF89"/>
    <mergeCell ref="A90:AF90"/>
    <mergeCell ref="A91:AF91"/>
    <mergeCell ref="A94:AF94"/>
    <mergeCell ref="A96:H96"/>
    <mergeCell ref="I96:P96"/>
    <mergeCell ref="Q96:X96"/>
    <mergeCell ref="Y96:AF96"/>
    <mergeCell ref="A97:H97"/>
    <mergeCell ref="I97:P97"/>
    <mergeCell ref="Q97:X97"/>
    <mergeCell ref="Y97:AF97"/>
    <mergeCell ref="A98:H98"/>
    <mergeCell ref="I98:P98"/>
    <mergeCell ref="Q98:X98"/>
    <mergeCell ref="Y98:AF98"/>
    <mergeCell ref="A99:H99"/>
    <mergeCell ref="I99:P99"/>
    <mergeCell ref="Q99:X99"/>
    <mergeCell ref="Y99:AF99"/>
    <mergeCell ref="A102:AF102"/>
    <mergeCell ref="B104:AF104"/>
    <mergeCell ref="B105:AF105"/>
    <mergeCell ref="B106:AF106"/>
    <mergeCell ref="B107:AF107"/>
    <mergeCell ref="B108:AF108"/>
    <mergeCell ref="B109:AF109"/>
    <mergeCell ref="B110:AF110"/>
    <mergeCell ref="B111:AF111"/>
    <mergeCell ref="B121:AF121"/>
    <mergeCell ref="B122:AF122"/>
    <mergeCell ref="B112:AF112"/>
    <mergeCell ref="B113:AF113"/>
    <mergeCell ref="B114:AF114"/>
    <mergeCell ref="B115:AF115"/>
    <mergeCell ref="B116:AF116"/>
    <mergeCell ref="B117:AF117"/>
    <mergeCell ref="B118:AF118"/>
    <mergeCell ref="B119:AF119"/>
    <mergeCell ref="B120:AF120"/>
  </mergeCells>
  <hyperlinks>
    <hyperlink ref="A2" location="TOC!A1" display="Return to TOC" xr:uid="{0724FFD2-D520-4CE8-B3BA-811AC1679455}"/>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56:AF6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8">
    <pageSetUpPr autoPageBreaks="0"/>
  </sheetPr>
  <dimension ref="A1:XFD168"/>
  <sheetViews>
    <sheetView showGridLines="0" workbookViewId="0">
      <selection activeCell="A2" sqref="A2"/>
    </sheetView>
  </sheetViews>
  <sheetFormatPr defaultColWidth="2.6640625" defaultRowHeight="14.4" x14ac:dyDescent="0.3"/>
  <cols>
    <col min="1" max="1" width="2.6640625" style="132"/>
    <col min="2" max="16384" width="2.6640625" style="131"/>
  </cols>
  <sheetData>
    <row r="1" spans="1:32" ht="18" customHeight="1" thickBot="1" x14ac:dyDescent="0.35">
      <c r="A1" s="886" t="s">
        <v>828</v>
      </c>
      <c r="B1" s="887"/>
      <c r="C1" s="887"/>
      <c r="D1" s="887"/>
      <c r="E1" s="887"/>
      <c r="F1" s="887"/>
      <c r="G1" s="887"/>
      <c r="H1" s="887"/>
      <c r="I1" s="887"/>
      <c r="J1" s="887"/>
      <c r="K1" s="887"/>
      <c r="L1" s="887"/>
      <c r="M1" s="887"/>
      <c r="N1" s="887"/>
      <c r="O1" s="887"/>
      <c r="P1" s="887"/>
      <c r="Q1" s="887"/>
      <c r="R1" s="887"/>
      <c r="S1" s="887"/>
      <c r="T1" s="887"/>
      <c r="U1" s="887"/>
      <c r="V1" s="887"/>
      <c r="W1" s="887"/>
      <c r="X1" s="887"/>
      <c r="Y1" s="887"/>
      <c r="Z1" s="887"/>
      <c r="AA1" s="887"/>
      <c r="AB1" s="887"/>
      <c r="AC1" s="887"/>
      <c r="AD1" s="887"/>
      <c r="AE1" s="887"/>
      <c r="AF1" s="888"/>
    </row>
    <row r="2" spans="1:32" x14ac:dyDescent="0.3">
      <c r="A2" s="228" t="s">
        <v>1456</v>
      </c>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customFormat="1" ht="14.4" customHeight="1" x14ac:dyDescent="0.3">
      <c r="A6" s="121"/>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customFormat="1" ht="14.4" customHeight="1" x14ac:dyDescent="0.3">
      <c r="A7" s="869" t="s">
        <v>2356</v>
      </c>
      <c r="B7" s="870"/>
      <c r="C7" s="870"/>
      <c r="D7" s="870"/>
      <c r="E7" s="870"/>
      <c r="F7" s="870"/>
      <c r="G7" s="870"/>
      <c r="H7" s="870"/>
      <c r="I7" s="870"/>
      <c r="J7" s="870" t="s">
        <v>2357</v>
      </c>
      <c r="K7" s="870"/>
      <c r="L7" s="870"/>
      <c r="M7" s="870"/>
      <c r="N7" s="870"/>
      <c r="O7" s="870"/>
      <c r="P7" s="870"/>
      <c r="Q7" s="870"/>
      <c r="R7" s="870"/>
      <c r="S7" s="870"/>
      <c r="T7" s="870"/>
      <c r="U7" s="870"/>
      <c r="V7" s="870"/>
      <c r="W7" s="870"/>
      <c r="X7" s="870"/>
      <c r="Y7" s="870"/>
      <c r="Z7" s="870"/>
      <c r="AA7" s="870"/>
      <c r="AB7" s="870"/>
      <c r="AC7" s="870"/>
      <c r="AD7" s="870"/>
      <c r="AE7" s="870"/>
      <c r="AF7" s="871"/>
    </row>
    <row r="8" spans="1:32" customFormat="1" ht="14.4" customHeight="1" x14ac:dyDescent="0.3">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2" ht="36" customHeight="1" x14ac:dyDescent="0.3">
      <c r="A9" s="883" t="s">
        <v>2358</v>
      </c>
      <c r="B9" s="883"/>
      <c r="C9" s="883"/>
      <c r="D9" s="883"/>
      <c r="E9" s="883"/>
      <c r="F9" s="883"/>
      <c r="G9" s="883"/>
      <c r="H9" s="883"/>
      <c r="I9" s="883"/>
      <c r="J9" s="863" t="s">
        <v>2359</v>
      </c>
      <c r="K9" s="863"/>
      <c r="L9" s="863"/>
      <c r="M9" s="863"/>
      <c r="N9" s="863"/>
      <c r="O9" s="863"/>
      <c r="P9" s="863"/>
      <c r="Q9" s="863"/>
      <c r="R9" s="863"/>
      <c r="S9" s="863"/>
      <c r="T9" s="863"/>
      <c r="U9" s="863"/>
      <c r="V9" s="863"/>
      <c r="W9" s="863"/>
      <c r="X9" s="863"/>
      <c r="Y9" s="863"/>
      <c r="Z9" s="863"/>
      <c r="AA9" s="863"/>
      <c r="AB9" s="863"/>
      <c r="AC9" s="863"/>
      <c r="AD9" s="863"/>
      <c r="AE9" s="863"/>
      <c r="AF9" s="863"/>
    </row>
    <row r="10" spans="1:32" x14ac:dyDescent="0.3">
      <c r="A10" s="133"/>
      <c r="B10" s="133"/>
      <c r="C10" s="133"/>
      <c r="D10" s="133"/>
      <c r="E10" s="133"/>
      <c r="F10" s="133"/>
      <c r="G10" s="133"/>
      <c r="H10" s="133"/>
      <c r="I10" s="133"/>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row>
    <row r="11" spans="1:32" ht="72" customHeight="1" x14ac:dyDescent="0.3">
      <c r="A11" s="883" t="s">
        <v>2360</v>
      </c>
      <c r="B11" s="883"/>
      <c r="C11" s="883"/>
      <c r="D11" s="883"/>
      <c r="E11" s="883"/>
      <c r="F11" s="883"/>
      <c r="G11" s="883"/>
      <c r="H11" s="883"/>
      <c r="I11" s="883"/>
      <c r="J11" s="863" t="s">
        <v>2361</v>
      </c>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2" x14ac:dyDescent="0.3">
      <c r="A12" s="133"/>
      <c r="B12" s="133"/>
      <c r="C12" s="133"/>
      <c r="D12" s="133"/>
      <c r="E12" s="133"/>
      <c r="F12" s="133"/>
      <c r="G12" s="133"/>
      <c r="H12" s="133"/>
      <c r="I12" s="133"/>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row>
    <row r="13" spans="1:32" ht="81.75" customHeight="1" x14ac:dyDescent="0.3">
      <c r="A13" s="883" t="s">
        <v>2362</v>
      </c>
      <c r="B13" s="883"/>
      <c r="C13" s="883"/>
      <c r="D13" s="883"/>
      <c r="E13" s="883"/>
      <c r="F13" s="883"/>
      <c r="G13" s="883"/>
      <c r="H13" s="883"/>
      <c r="I13" s="883"/>
      <c r="J13" s="863" t="s">
        <v>2363</v>
      </c>
      <c r="K13" s="863"/>
      <c r="L13" s="863"/>
      <c r="M13" s="863"/>
      <c r="N13" s="863"/>
      <c r="O13" s="863"/>
      <c r="P13" s="863"/>
      <c r="Q13" s="863"/>
      <c r="R13" s="863"/>
      <c r="S13" s="863"/>
      <c r="T13" s="863"/>
      <c r="U13" s="863"/>
      <c r="V13" s="863"/>
      <c r="W13" s="863"/>
      <c r="X13" s="863"/>
      <c r="Y13" s="863"/>
      <c r="Z13" s="863"/>
      <c r="AA13" s="863"/>
      <c r="AB13" s="863"/>
      <c r="AC13" s="863"/>
      <c r="AD13" s="863"/>
      <c r="AE13" s="863"/>
      <c r="AF13" s="863"/>
    </row>
    <row r="14" spans="1:32" x14ac:dyDescent="0.3">
      <c r="A14" s="133"/>
      <c r="B14" s="133"/>
      <c r="C14" s="133"/>
      <c r="D14" s="133"/>
      <c r="E14" s="133"/>
      <c r="F14" s="133"/>
      <c r="G14" s="133"/>
      <c r="H14" s="133"/>
      <c r="I14" s="133"/>
    </row>
    <row r="15" spans="1:32" ht="43.2" customHeight="1" x14ac:dyDescent="0.3">
      <c r="A15" s="883" t="s">
        <v>2364</v>
      </c>
      <c r="B15" s="883"/>
      <c r="C15" s="883"/>
      <c r="D15" s="883"/>
      <c r="E15" s="883"/>
      <c r="F15" s="883"/>
      <c r="G15" s="883"/>
      <c r="H15" s="883"/>
      <c r="I15" s="883"/>
      <c r="J15" s="863" t="s">
        <v>2365</v>
      </c>
      <c r="K15" s="863"/>
      <c r="L15" s="863"/>
      <c r="M15" s="863"/>
      <c r="N15" s="863"/>
      <c r="O15" s="863"/>
      <c r="P15" s="863"/>
      <c r="Q15" s="863"/>
      <c r="R15" s="863"/>
      <c r="S15" s="863"/>
      <c r="T15" s="863"/>
      <c r="U15" s="863"/>
      <c r="V15" s="863"/>
      <c r="W15" s="863"/>
      <c r="X15" s="863"/>
      <c r="Y15" s="863"/>
      <c r="Z15" s="863"/>
      <c r="AA15" s="863"/>
      <c r="AB15" s="863"/>
      <c r="AC15" s="863"/>
      <c r="AD15" s="863"/>
      <c r="AE15" s="863"/>
      <c r="AF15" s="863"/>
    </row>
    <row r="16" spans="1:32" x14ac:dyDescent="0.3">
      <c r="A16" s="133"/>
      <c r="B16" s="133"/>
      <c r="C16" s="133"/>
      <c r="D16" s="133"/>
      <c r="E16" s="133"/>
      <c r="F16" s="133"/>
      <c r="G16" s="133"/>
      <c r="H16" s="133"/>
      <c r="I16" s="133"/>
    </row>
    <row r="17" spans="1:32" ht="43.2" customHeight="1" x14ac:dyDescent="0.3">
      <c r="A17" s="883" t="s">
        <v>2366</v>
      </c>
      <c r="B17" s="883"/>
      <c r="C17" s="883"/>
      <c r="D17" s="883"/>
      <c r="E17" s="883"/>
      <c r="F17" s="883"/>
      <c r="G17" s="883"/>
      <c r="H17" s="883"/>
      <c r="I17" s="883"/>
      <c r="J17" s="863" t="s">
        <v>2367</v>
      </c>
      <c r="K17" s="863"/>
      <c r="L17" s="863"/>
      <c r="M17" s="863"/>
      <c r="N17" s="863"/>
      <c r="O17" s="863"/>
      <c r="P17" s="863"/>
      <c r="Q17" s="863"/>
      <c r="R17" s="863"/>
      <c r="S17" s="863"/>
      <c r="T17" s="863"/>
      <c r="U17" s="863"/>
      <c r="V17" s="863"/>
      <c r="W17" s="863"/>
      <c r="X17" s="863"/>
      <c r="Y17" s="863"/>
      <c r="Z17" s="863"/>
      <c r="AA17" s="863"/>
      <c r="AB17" s="863"/>
      <c r="AC17" s="863"/>
      <c r="AD17" s="863"/>
      <c r="AE17" s="863"/>
      <c r="AF17" s="863"/>
    </row>
    <row r="18" spans="1:32" x14ac:dyDescent="0.3">
      <c r="A18" s="133"/>
      <c r="B18" s="133"/>
      <c r="C18" s="133"/>
      <c r="D18" s="133"/>
      <c r="E18" s="133"/>
      <c r="F18" s="133"/>
      <c r="G18" s="133"/>
      <c r="H18" s="133"/>
      <c r="I18" s="133"/>
    </row>
    <row r="19" spans="1:32" ht="83.25" customHeight="1" x14ac:dyDescent="0.3">
      <c r="A19" s="883" t="s">
        <v>2368</v>
      </c>
      <c r="B19" s="883"/>
      <c r="C19" s="883"/>
      <c r="D19" s="883"/>
      <c r="E19" s="883"/>
      <c r="F19" s="883"/>
      <c r="G19" s="883"/>
      <c r="H19" s="883"/>
      <c r="I19" s="883"/>
      <c r="J19" s="863" t="s">
        <v>3030</v>
      </c>
      <c r="K19" s="863"/>
      <c r="L19" s="863"/>
      <c r="M19" s="863"/>
      <c r="N19" s="863"/>
      <c r="O19" s="863"/>
      <c r="P19" s="863"/>
      <c r="Q19" s="863"/>
      <c r="R19" s="863"/>
      <c r="S19" s="863"/>
      <c r="T19" s="863"/>
      <c r="U19" s="863"/>
      <c r="V19" s="863"/>
      <c r="W19" s="863"/>
      <c r="X19" s="863"/>
      <c r="Y19" s="863"/>
      <c r="Z19" s="863"/>
      <c r="AA19" s="863"/>
      <c r="AB19" s="863"/>
      <c r="AC19" s="863"/>
      <c r="AD19" s="863"/>
      <c r="AE19" s="863"/>
      <c r="AF19" s="863"/>
    </row>
    <row r="20" spans="1:32" x14ac:dyDescent="0.3">
      <c r="A20" s="133"/>
      <c r="B20" s="133"/>
      <c r="C20" s="133"/>
      <c r="D20" s="133"/>
      <c r="E20" s="133"/>
      <c r="F20" s="133"/>
      <c r="G20" s="133"/>
      <c r="H20" s="133"/>
      <c r="I20" s="133"/>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row>
    <row r="21" spans="1:32" ht="149.25" customHeight="1" x14ac:dyDescent="0.3">
      <c r="A21" s="883" t="s">
        <v>2369</v>
      </c>
      <c r="B21" s="883"/>
      <c r="C21" s="883"/>
      <c r="D21" s="883"/>
      <c r="E21" s="883"/>
      <c r="F21" s="883"/>
      <c r="G21" s="883"/>
      <c r="H21" s="883"/>
      <c r="I21" s="883"/>
      <c r="J21" s="863" t="s">
        <v>2370</v>
      </c>
      <c r="K21" s="863"/>
      <c r="L21" s="863"/>
      <c r="M21" s="863"/>
      <c r="N21" s="863"/>
      <c r="O21" s="863"/>
      <c r="P21" s="863"/>
      <c r="Q21" s="863"/>
      <c r="R21" s="863"/>
      <c r="S21" s="863"/>
      <c r="T21" s="863"/>
      <c r="U21" s="863"/>
      <c r="V21" s="863"/>
      <c r="W21" s="863"/>
      <c r="X21" s="863"/>
      <c r="Y21" s="863"/>
      <c r="Z21" s="863"/>
      <c r="AA21" s="863"/>
      <c r="AB21" s="863"/>
      <c r="AC21" s="863"/>
      <c r="AD21" s="863"/>
      <c r="AE21" s="863"/>
      <c r="AF21" s="863"/>
    </row>
    <row r="22" spans="1:32" x14ac:dyDescent="0.3">
      <c r="A22" s="133"/>
      <c r="B22" s="133"/>
      <c r="C22" s="133"/>
      <c r="D22" s="133"/>
      <c r="E22" s="133"/>
      <c r="F22" s="133"/>
      <c r="G22" s="133"/>
      <c r="H22" s="133"/>
      <c r="I22" s="133"/>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row>
    <row r="23" spans="1:32" ht="79.5" customHeight="1" x14ac:dyDescent="0.3">
      <c r="A23" s="883" t="s">
        <v>2862</v>
      </c>
      <c r="B23" s="883"/>
      <c r="C23" s="883"/>
      <c r="D23" s="883"/>
      <c r="E23" s="883"/>
      <c r="F23" s="883"/>
      <c r="G23" s="883"/>
      <c r="H23" s="883"/>
      <c r="I23" s="883"/>
      <c r="J23" s="863" t="s">
        <v>3344</v>
      </c>
      <c r="K23" s="863"/>
      <c r="L23" s="863"/>
      <c r="M23" s="863"/>
      <c r="N23" s="863"/>
      <c r="O23" s="863"/>
      <c r="P23" s="863"/>
      <c r="Q23" s="863"/>
      <c r="R23" s="863"/>
      <c r="S23" s="863"/>
      <c r="T23" s="863"/>
      <c r="U23" s="863"/>
      <c r="V23" s="863"/>
      <c r="W23" s="863"/>
      <c r="X23" s="863"/>
      <c r="Y23" s="863"/>
      <c r="Z23" s="863"/>
      <c r="AA23" s="863"/>
      <c r="AB23" s="863"/>
      <c r="AC23" s="863"/>
      <c r="AD23" s="863"/>
      <c r="AE23" s="863"/>
      <c r="AF23" s="863"/>
    </row>
    <row r="24" spans="1:32" x14ac:dyDescent="0.3">
      <c r="A24" s="133"/>
      <c r="B24" s="133"/>
      <c r="C24" s="133"/>
      <c r="D24" s="133"/>
      <c r="E24" s="133"/>
      <c r="F24" s="133"/>
      <c r="G24" s="133"/>
      <c r="H24" s="133"/>
      <c r="I24" s="133"/>
    </row>
    <row r="25" spans="1:32" ht="50.25" customHeight="1" x14ac:dyDescent="0.3">
      <c r="A25" s="883" t="s">
        <v>2371</v>
      </c>
      <c r="B25" s="883"/>
      <c r="C25" s="883"/>
      <c r="D25" s="883"/>
      <c r="E25" s="883"/>
      <c r="F25" s="883"/>
      <c r="G25" s="883"/>
      <c r="H25" s="883"/>
      <c r="I25" s="883"/>
      <c r="J25" s="863" t="s">
        <v>2372</v>
      </c>
      <c r="K25" s="863"/>
      <c r="L25" s="863"/>
      <c r="M25" s="863"/>
      <c r="N25" s="863"/>
      <c r="O25" s="863"/>
      <c r="P25" s="863"/>
      <c r="Q25" s="863"/>
      <c r="R25" s="863"/>
      <c r="S25" s="863"/>
      <c r="T25" s="863"/>
      <c r="U25" s="863"/>
      <c r="V25" s="863"/>
      <c r="W25" s="863"/>
      <c r="X25" s="863"/>
      <c r="Y25" s="863"/>
      <c r="Z25" s="863"/>
      <c r="AA25" s="863"/>
      <c r="AB25" s="863"/>
      <c r="AC25" s="863"/>
      <c r="AD25" s="863"/>
      <c r="AE25" s="863"/>
      <c r="AF25" s="863"/>
    </row>
    <row r="26" spans="1:32" x14ac:dyDescent="0.3">
      <c r="A26" s="133"/>
      <c r="B26" s="133"/>
      <c r="C26" s="133"/>
      <c r="D26" s="133"/>
      <c r="E26" s="133"/>
      <c r="F26" s="133"/>
      <c r="G26" s="133"/>
      <c r="H26" s="133"/>
      <c r="I26" s="133"/>
    </row>
    <row r="27" spans="1:32" ht="36.75" customHeight="1" x14ac:dyDescent="0.3">
      <c r="A27" s="883" t="s">
        <v>2373</v>
      </c>
      <c r="B27" s="883"/>
      <c r="C27" s="883"/>
      <c r="D27" s="883"/>
      <c r="E27" s="883"/>
      <c r="F27" s="883"/>
      <c r="G27" s="883"/>
      <c r="H27" s="883"/>
      <c r="I27" s="883"/>
      <c r="J27" s="863" t="s">
        <v>2374</v>
      </c>
      <c r="K27" s="863"/>
      <c r="L27" s="863"/>
      <c r="M27" s="863"/>
      <c r="N27" s="863"/>
      <c r="O27" s="863"/>
      <c r="P27" s="863"/>
      <c r="Q27" s="863"/>
      <c r="R27" s="863"/>
      <c r="S27" s="863"/>
      <c r="T27" s="863"/>
      <c r="U27" s="863"/>
      <c r="V27" s="863"/>
      <c r="W27" s="863"/>
      <c r="X27" s="863"/>
      <c r="Y27" s="863"/>
      <c r="Z27" s="863"/>
      <c r="AA27" s="863"/>
      <c r="AB27" s="863"/>
      <c r="AC27" s="863"/>
      <c r="AD27" s="863"/>
      <c r="AE27" s="863"/>
      <c r="AF27" s="863"/>
    </row>
    <row r="28" spans="1:32" x14ac:dyDescent="0.3">
      <c r="A28" s="133"/>
      <c r="B28" s="133"/>
      <c r="C28" s="133"/>
      <c r="D28" s="133"/>
      <c r="E28" s="133"/>
      <c r="F28" s="133"/>
      <c r="G28" s="133"/>
      <c r="H28" s="133"/>
      <c r="I28" s="133"/>
    </row>
    <row r="29" spans="1:32" ht="111.75" customHeight="1" x14ac:dyDescent="0.3">
      <c r="A29" s="883" t="s">
        <v>2375</v>
      </c>
      <c r="B29" s="883"/>
      <c r="C29" s="883"/>
      <c r="D29" s="883"/>
      <c r="E29" s="883"/>
      <c r="F29" s="883"/>
      <c r="G29" s="883"/>
      <c r="H29" s="883"/>
      <c r="I29" s="883"/>
      <c r="J29" s="863" t="s">
        <v>2376</v>
      </c>
      <c r="K29" s="863"/>
      <c r="L29" s="863"/>
      <c r="M29" s="863"/>
      <c r="N29" s="863"/>
      <c r="O29" s="863"/>
      <c r="P29" s="863"/>
      <c r="Q29" s="863"/>
      <c r="R29" s="863"/>
      <c r="S29" s="863"/>
      <c r="T29" s="863"/>
      <c r="U29" s="863"/>
      <c r="V29" s="863"/>
      <c r="W29" s="863"/>
      <c r="X29" s="863"/>
      <c r="Y29" s="863"/>
      <c r="Z29" s="863"/>
      <c r="AA29" s="863"/>
      <c r="AB29" s="863"/>
      <c r="AC29" s="863"/>
      <c r="AD29" s="863"/>
      <c r="AE29" s="863"/>
      <c r="AF29" s="863"/>
    </row>
    <row r="31" spans="1:32" ht="99" customHeight="1" x14ac:dyDescent="0.3">
      <c r="A31" s="883" t="s">
        <v>922</v>
      </c>
      <c r="B31" s="883"/>
      <c r="C31" s="883"/>
      <c r="D31" s="883"/>
      <c r="E31" s="883"/>
      <c r="F31" s="883"/>
      <c r="G31" s="883"/>
      <c r="H31" s="883"/>
      <c r="I31" s="883"/>
      <c r="J31" s="863" t="s">
        <v>2377</v>
      </c>
      <c r="K31" s="863"/>
      <c r="L31" s="863"/>
      <c r="M31" s="863"/>
      <c r="N31" s="863"/>
      <c r="O31" s="863"/>
      <c r="P31" s="863"/>
      <c r="Q31" s="863"/>
      <c r="R31" s="863"/>
      <c r="S31" s="863"/>
      <c r="T31" s="863"/>
      <c r="U31" s="863"/>
      <c r="V31" s="863"/>
      <c r="W31" s="863"/>
      <c r="X31" s="863"/>
      <c r="Y31" s="863"/>
      <c r="Z31" s="863"/>
      <c r="AA31" s="863"/>
      <c r="AB31" s="863"/>
      <c r="AC31" s="863"/>
      <c r="AD31" s="863"/>
      <c r="AE31" s="863"/>
      <c r="AF31" s="863"/>
    </row>
    <row r="33" spans="1:16384" ht="127.5" customHeight="1" x14ac:dyDescent="0.3">
      <c r="A33" s="883" t="s">
        <v>2378</v>
      </c>
      <c r="B33" s="883"/>
      <c r="C33" s="883"/>
      <c r="D33" s="883"/>
      <c r="E33" s="883"/>
      <c r="F33" s="883"/>
      <c r="G33" s="883"/>
      <c r="H33" s="883"/>
      <c r="I33" s="883"/>
      <c r="J33" s="863" t="s">
        <v>2379</v>
      </c>
      <c r="K33" s="863"/>
      <c r="L33" s="863"/>
      <c r="M33" s="863"/>
      <c r="N33" s="863"/>
      <c r="O33" s="863"/>
      <c r="P33" s="863"/>
      <c r="Q33" s="863"/>
      <c r="R33" s="863"/>
      <c r="S33" s="863"/>
      <c r="T33" s="863"/>
      <c r="U33" s="863"/>
      <c r="V33" s="863"/>
      <c r="W33" s="863"/>
      <c r="X33" s="863"/>
      <c r="Y33" s="863"/>
      <c r="Z33" s="863"/>
      <c r="AA33" s="863"/>
      <c r="AB33" s="863"/>
      <c r="AC33" s="863"/>
      <c r="AD33" s="863"/>
      <c r="AE33" s="863"/>
      <c r="AF33" s="863"/>
    </row>
    <row r="35" spans="1:16384" x14ac:dyDescent="0.3">
      <c r="A35" s="883" t="s">
        <v>2380</v>
      </c>
      <c r="B35" s="883"/>
      <c r="C35" s="883"/>
      <c r="D35" s="883"/>
      <c r="E35" s="883"/>
      <c r="F35" s="883"/>
      <c r="G35" s="883"/>
      <c r="H35" s="883"/>
      <c r="I35" s="883"/>
      <c r="J35" s="863" t="s">
        <v>2381</v>
      </c>
      <c r="K35" s="863"/>
      <c r="L35" s="863"/>
      <c r="M35" s="863"/>
      <c r="N35" s="863"/>
      <c r="O35" s="863"/>
      <c r="P35" s="863"/>
      <c r="Q35" s="863"/>
      <c r="R35" s="863"/>
      <c r="S35" s="863"/>
      <c r="T35" s="863"/>
      <c r="U35" s="863"/>
      <c r="V35" s="863"/>
      <c r="W35" s="863"/>
      <c r="X35" s="863"/>
      <c r="Y35" s="863"/>
      <c r="Z35" s="863"/>
      <c r="AA35" s="863"/>
      <c r="AB35" s="863"/>
      <c r="AC35" s="863"/>
      <c r="AD35" s="863"/>
      <c r="AE35" s="863"/>
      <c r="AF35" s="863"/>
    </row>
    <row r="37" spans="1:16384" ht="124.5" customHeight="1" x14ac:dyDescent="0.3">
      <c r="A37" s="883" t="s">
        <v>2382</v>
      </c>
      <c r="B37" s="883"/>
      <c r="C37" s="883"/>
      <c r="D37" s="883"/>
      <c r="E37" s="883"/>
      <c r="F37" s="883"/>
      <c r="G37" s="883"/>
      <c r="H37" s="883"/>
      <c r="I37" s="883"/>
      <c r="J37" s="863" t="s">
        <v>2383</v>
      </c>
      <c r="K37" s="863"/>
      <c r="L37" s="863"/>
      <c r="M37" s="863"/>
      <c r="N37" s="863"/>
      <c r="O37" s="863"/>
      <c r="P37" s="863"/>
      <c r="Q37" s="863"/>
      <c r="R37" s="863"/>
      <c r="S37" s="863"/>
      <c r="T37" s="863"/>
      <c r="U37" s="863"/>
      <c r="V37" s="863"/>
      <c r="W37" s="863"/>
      <c r="X37" s="863"/>
      <c r="Y37" s="863"/>
      <c r="Z37" s="863"/>
      <c r="AA37" s="863"/>
      <c r="AB37" s="863"/>
      <c r="AC37" s="863"/>
      <c r="AD37" s="863"/>
      <c r="AE37" s="863"/>
      <c r="AF37" s="863"/>
    </row>
    <row r="38" spans="1:16384" ht="36.75" customHeight="1" x14ac:dyDescent="0.3">
      <c r="A38" s="885" t="s">
        <v>2384</v>
      </c>
      <c r="B38" s="885"/>
      <c r="C38" s="885"/>
      <c r="D38" s="885"/>
      <c r="E38" s="885"/>
      <c r="F38" s="885"/>
      <c r="G38" s="885"/>
      <c r="H38" s="885"/>
      <c r="I38" s="885"/>
      <c r="J38" s="863" t="s">
        <v>2385</v>
      </c>
      <c r="K38" s="863"/>
      <c r="L38" s="863"/>
      <c r="M38" s="863"/>
      <c r="N38" s="863"/>
      <c r="O38" s="863"/>
      <c r="P38" s="863"/>
      <c r="Q38" s="863"/>
      <c r="R38" s="863"/>
      <c r="S38" s="863"/>
      <c r="T38" s="863"/>
      <c r="U38" s="863"/>
      <c r="V38" s="863"/>
      <c r="W38" s="863"/>
      <c r="X38" s="863"/>
      <c r="Y38" s="863"/>
      <c r="Z38" s="863"/>
      <c r="AA38" s="863"/>
      <c r="AB38" s="863"/>
      <c r="AC38" s="863"/>
      <c r="AD38" s="863"/>
      <c r="AE38" s="863"/>
      <c r="AF38" s="863"/>
    </row>
    <row r="39" spans="1:16384" ht="74.25" customHeight="1" x14ac:dyDescent="0.3">
      <c r="A39" s="885" t="s">
        <v>2384</v>
      </c>
      <c r="B39" s="885"/>
      <c r="C39" s="885"/>
      <c r="D39" s="885"/>
      <c r="E39" s="885"/>
      <c r="F39" s="885"/>
      <c r="G39" s="885"/>
      <c r="H39" s="885"/>
      <c r="I39" s="885"/>
      <c r="J39" s="863" t="s">
        <v>2386</v>
      </c>
      <c r="K39" s="863"/>
      <c r="L39" s="863"/>
      <c r="M39" s="863"/>
      <c r="N39" s="863"/>
      <c r="O39" s="863"/>
      <c r="P39" s="863"/>
      <c r="Q39" s="863"/>
      <c r="R39" s="863"/>
      <c r="S39" s="863"/>
      <c r="T39" s="863"/>
      <c r="U39" s="863"/>
      <c r="V39" s="863"/>
      <c r="W39" s="863"/>
      <c r="X39" s="863"/>
      <c r="Y39" s="863"/>
      <c r="Z39" s="863"/>
      <c r="AA39" s="863"/>
      <c r="AB39" s="863"/>
      <c r="AC39" s="863"/>
      <c r="AD39" s="863"/>
      <c r="AE39" s="863"/>
      <c r="AF39" s="863"/>
    </row>
    <row r="40" spans="1:16384" ht="51.75" customHeight="1" x14ac:dyDescent="0.3">
      <c r="A40" s="883" t="s">
        <v>2387</v>
      </c>
      <c r="B40" s="883"/>
      <c r="C40" s="883"/>
      <c r="D40" s="883"/>
      <c r="E40" s="883"/>
      <c r="F40" s="883"/>
      <c r="G40" s="883"/>
      <c r="H40" s="883"/>
      <c r="I40" s="883"/>
      <c r="J40" s="863" t="s">
        <v>2388</v>
      </c>
      <c r="K40" s="863"/>
      <c r="L40" s="863"/>
      <c r="M40" s="863"/>
      <c r="N40" s="863"/>
      <c r="O40" s="863"/>
      <c r="P40" s="863"/>
      <c r="Q40" s="863"/>
      <c r="R40" s="863"/>
      <c r="S40" s="863"/>
      <c r="T40" s="863"/>
      <c r="U40" s="863"/>
      <c r="V40" s="863"/>
      <c r="W40" s="863"/>
      <c r="X40" s="863"/>
      <c r="Y40" s="863"/>
      <c r="Z40" s="863"/>
      <c r="AA40" s="863"/>
      <c r="AB40" s="863"/>
      <c r="AC40" s="863"/>
      <c r="AD40" s="863"/>
      <c r="AE40" s="863"/>
      <c r="AF40" s="863"/>
      <c r="AG40" s="883"/>
      <c r="AH40" s="883"/>
      <c r="AI40" s="883"/>
      <c r="AJ40" s="883"/>
      <c r="AK40" s="883"/>
      <c r="AL40" s="883"/>
      <c r="AM40" s="883"/>
      <c r="AN40" s="883"/>
      <c r="AO40" s="883"/>
      <c r="AP40" s="863"/>
      <c r="AQ40" s="863"/>
      <c r="AR40" s="863"/>
      <c r="AS40" s="863"/>
      <c r="AT40" s="863"/>
      <c r="AU40" s="863"/>
      <c r="AV40" s="863"/>
      <c r="AW40" s="863"/>
      <c r="AX40" s="863"/>
      <c r="AY40" s="863"/>
      <c r="AZ40" s="863"/>
      <c r="BA40" s="863"/>
      <c r="BB40" s="863"/>
      <c r="BC40" s="863"/>
      <c r="BD40" s="863"/>
      <c r="BE40" s="863"/>
      <c r="BF40" s="863"/>
      <c r="BG40" s="863"/>
      <c r="BH40" s="863"/>
      <c r="BI40" s="863"/>
      <c r="BJ40" s="863"/>
      <c r="BK40" s="863"/>
      <c r="BL40" s="863"/>
      <c r="BM40" s="883"/>
      <c r="BN40" s="883"/>
      <c r="BO40" s="883"/>
      <c r="BP40" s="883"/>
      <c r="BQ40" s="883"/>
      <c r="BR40" s="883"/>
      <c r="BS40" s="883"/>
      <c r="BT40" s="883"/>
      <c r="BU40" s="883"/>
      <c r="BV40" s="863"/>
      <c r="BW40" s="863"/>
      <c r="BX40" s="863"/>
      <c r="BY40" s="863"/>
      <c r="BZ40" s="863"/>
      <c r="CA40" s="863"/>
      <c r="CB40" s="863"/>
      <c r="CC40" s="863"/>
      <c r="CD40" s="863"/>
      <c r="CE40" s="863"/>
      <c r="CF40" s="863"/>
      <c r="CG40" s="863"/>
      <c r="CH40" s="863"/>
      <c r="CI40" s="863"/>
      <c r="CJ40" s="863"/>
      <c r="CK40" s="863"/>
      <c r="CL40" s="863"/>
      <c r="CM40" s="863"/>
      <c r="CN40" s="863"/>
      <c r="CO40" s="863"/>
      <c r="CP40" s="863"/>
      <c r="CQ40" s="863"/>
      <c r="CR40" s="863"/>
      <c r="CS40" s="883"/>
      <c r="CT40" s="883"/>
      <c r="CU40" s="883"/>
      <c r="CV40" s="883"/>
      <c r="CW40" s="883"/>
      <c r="CX40" s="883"/>
      <c r="CY40" s="883"/>
      <c r="CZ40" s="883"/>
      <c r="DA40" s="883"/>
      <c r="DB40" s="863"/>
      <c r="DC40" s="863"/>
      <c r="DD40" s="863"/>
      <c r="DE40" s="863"/>
      <c r="DF40" s="863"/>
      <c r="DG40" s="863"/>
      <c r="DH40" s="863"/>
      <c r="DI40" s="863"/>
      <c r="DJ40" s="863"/>
      <c r="DK40" s="863"/>
      <c r="DL40" s="863"/>
      <c r="DM40" s="863"/>
      <c r="DN40" s="863"/>
      <c r="DO40" s="863"/>
      <c r="DP40" s="863"/>
      <c r="DQ40" s="863"/>
      <c r="DR40" s="863"/>
      <c r="DS40" s="863"/>
      <c r="DT40" s="863"/>
      <c r="DU40" s="863"/>
      <c r="DV40" s="863"/>
      <c r="DW40" s="863"/>
      <c r="DX40" s="863"/>
      <c r="DY40" s="883"/>
      <c r="DZ40" s="883"/>
      <c r="EA40" s="883"/>
      <c r="EB40" s="883"/>
      <c r="EC40" s="883"/>
      <c r="ED40" s="883"/>
      <c r="EE40" s="883"/>
      <c r="EF40" s="883"/>
      <c r="EG40" s="883"/>
      <c r="EH40" s="863"/>
      <c r="EI40" s="863"/>
      <c r="EJ40" s="863"/>
      <c r="EK40" s="863"/>
      <c r="EL40" s="863"/>
      <c r="EM40" s="863"/>
      <c r="EN40" s="863"/>
      <c r="EO40" s="863"/>
      <c r="EP40" s="863"/>
      <c r="EQ40" s="863"/>
      <c r="ER40" s="863"/>
      <c r="ES40" s="863"/>
      <c r="ET40" s="863"/>
      <c r="EU40" s="863"/>
      <c r="EV40" s="863"/>
      <c r="EW40" s="863"/>
      <c r="EX40" s="863"/>
      <c r="EY40" s="863"/>
      <c r="EZ40" s="863"/>
      <c r="FA40" s="863"/>
      <c r="FB40" s="863"/>
      <c r="FC40" s="863"/>
      <c r="FD40" s="863"/>
      <c r="FE40" s="883"/>
      <c r="FF40" s="883"/>
      <c r="FG40" s="883"/>
      <c r="FH40" s="883"/>
      <c r="FI40" s="883"/>
      <c r="FJ40" s="883"/>
      <c r="FK40" s="883"/>
      <c r="FL40" s="883"/>
      <c r="FM40" s="883"/>
      <c r="FN40" s="863"/>
      <c r="FO40" s="863"/>
      <c r="FP40" s="863"/>
      <c r="FQ40" s="863"/>
      <c r="FR40" s="863"/>
      <c r="FS40" s="863"/>
      <c r="FT40" s="863"/>
      <c r="FU40" s="863"/>
      <c r="FV40" s="863"/>
      <c r="FW40" s="863"/>
      <c r="FX40" s="863"/>
      <c r="FY40" s="863"/>
      <c r="FZ40" s="863"/>
      <c r="GA40" s="863"/>
      <c r="GB40" s="863"/>
      <c r="GC40" s="863"/>
      <c r="GD40" s="863"/>
      <c r="GE40" s="863"/>
      <c r="GF40" s="863"/>
      <c r="GG40" s="863"/>
      <c r="GH40" s="863"/>
      <c r="GI40" s="863"/>
      <c r="GJ40" s="863"/>
      <c r="GK40" s="883"/>
      <c r="GL40" s="883"/>
      <c r="GM40" s="883"/>
      <c r="GN40" s="883"/>
      <c r="GO40" s="883"/>
      <c r="GP40" s="883"/>
      <c r="GQ40" s="883"/>
      <c r="GR40" s="883"/>
      <c r="GS40" s="883"/>
      <c r="GT40" s="863"/>
      <c r="GU40" s="863"/>
      <c r="GV40" s="863"/>
      <c r="GW40" s="863"/>
      <c r="GX40" s="863"/>
      <c r="GY40" s="863"/>
      <c r="GZ40" s="863"/>
      <c r="HA40" s="863"/>
      <c r="HB40" s="863"/>
      <c r="HC40" s="863"/>
      <c r="HD40" s="863"/>
      <c r="HE40" s="863"/>
      <c r="HF40" s="863"/>
      <c r="HG40" s="863"/>
      <c r="HH40" s="863"/>
      <c r="HI40" s="863"/>
      <c r="HJ40" s="863"/>
      <c r="HK40" s="863"/>
      <c r="HL40" s="863"/>
      <c r="HM40" s="863"/>
      <c r="HN40" s="863"/>
      <c r="HO40" s="863"/>
      <c r="HP40" s="863"/>
      <c r="HQ40" s="883"/>
      <c r="HR40" s="883"/>
      <c r="HS40" s="883"/>
      <c r="HT40" s="883"/>
      <c r="HU40" s="883"/>
      <c r="HV40" s="883"/>
      <c r="HW40" s="883"/>
      <c r="HX40" s="883"/>
      <c r="HY40" s="883"/>
      <c r="HZ40" s="863"/>
      <c r="IA40" s="863"/>
      <c r="IB40" s="863"/>
      <c r="IC40" s="863"/>
      <c r="ID40" s="863"/>
      <c r="IE40" s="863"/>
      <c r="IF40" s="863"/>
      <c r="IG40" s="863"/>
      <c r="IH40" s="863"/>
      <c r="II40" s="863"/>
      <c r="IJ40" s="863"/>
      <c r="IK40" s="863"/>
      <c r="IL40" s="863"/>
      <c r="IM40" s="863"/>
      <c r="IN40" s="863"/>
      <c r="IO40" s="863"/>
      <c r="IP40" s="863"/>
      <c r="IQ40" s="863"/>
      <c r="IR40" s="863"/>
      <c r="IS40" s="863"/>
      <c r="IT40" s="863"/>
      <c r="IU40" s="863"/>
      <c r="IV40" s="863"/>
      <c r="IW40" s="883"/>
      <c r="IX40" s="883"/>
      <c r="IY40" s="883"/>
      <c r="IZ40" s="883"/>
      <c r="JA40" s="883"/>
      <c r="JB40" s="883"/>
      <c r="JC40" s="883"/>
      <c r="JD40" s="883"/>
      <c r="JE40" s="883"/>
      <c r="JF40" s="863"/>
      <c r="JG40" s="863"/>
      <c r="JH40" s="863"/>
      <c r="JI40" s="863"/>
      <c r="JJ40" s="863"/>
      <c r="JK40" s="863"/>
      <c r="JL40" s="863"/>
      <c r="JM40" s="863"/>
      <c r="JN40" s="863"/>
      <c r="JO40" s="863"/>
      <c r="JP40" s="863"/>
      <c r="JQ40" s="863"/>
      <c r="JR40" s="863"/>
      <c r="JS40" s="863"/>
      <c r="JT40" s="863"/>
      <c r="JU40" s="863"/>
      <c r="JV40" s="863"/>
      <c r="JW40" s="863"/>
      <c r="JX40" s="863"/>
      <c r="JY40" s="863"/>
      <c r="JZ40" s="863"/>
      <c r="KA40" s="863"/>
      <c r="KB40" s="863"/>
      <c r="KC40" s="883"/>
      <c r="KD40" s="883"/>
      <c r="KE40" s="883"/>
      <c r="KF40" s="883"/>
      <c r="KG40" s="883"/>
      <c r="KH40" s="883"/>
      <c r="KI40" s="883"/>
      <c r="KJ40" s="883"/>
      <c r="KK40" s="883"/>
      <c r="KL40" s="863"/>
      <c r="KM40" s="863"/>
      <c r="KN40" s="863"/>
      <c r="KO40" s="863"/>
      <c r="KP40" s="863"/>
      <c r="KQ40" s="863"/>
      <c r="KR40" s="863"/>
      <c r="KS40" s="863"/>
      <c r="KT40" s="863"/>
      <c r="KU40" s="863"/>
      <c r="KV40" s="863"/>
      <c r="KW40" s="863"/>
      <c r="KX40" s="863"/>
      <c r="KY40" s="863"/>
      <c r="KZ40" s="863"/>
      <c r="LA40" s="863"/>
      <c r="LB40" s="863"/>
      <c r="LC40" s="863"/>
      <c r="LD40" s="863"/>
      <c r="LE40" s="863"/>
      <c r="LF40" s="863"/>
      <c r="LG40" s="863"/>
      <c r="LH40" s="863"/>
      <c r="LI40" s="883"/>
      <c r="LJ40" s="883"/>
      <c r="LK40" s="883"/>
      <c r="LL40" s="883"/>
      <c r="LM40" s="883"/>
      <c r="LN40" s="883"/>
      <c r="LO40" s="883"/>
      <c r="LP40" s="883"/>
      <c r="LQ40" s="883"/>
      <c r="LR40" s="863"/>
      <c r="LS40" s="863"/>
      <c r="LT40" s="863"/>
      <c r="LU40" s="863"/>
      <c r="LV40" s="863"/>
      <c r="LW40" s="863"/>
      <c r="LX40" s="863"/>
      <c r="LY40" s="863"/>
      <c r="LZ40" s="863"/>
      <c r="MA40" s="863"/>
      <c r="MB40" s="863"/>
      <c r="MC40" s="863"/>
      <c r="MD40" s="863"/>
      <c r="ME40" s="863"/>
      <c r="MF40" s="863"/>
      <c r="MG40" s="863"/>
      <c r="MH40" s="863"/>
      <c r="MI40" s="863"/>
      <c r="MJ40" s="863"/>
      <c r="MK40" s="863"/>
      <c r="ML40" s="863"/>
      <c r="MM40" s="863"/>
      <c r="MN40" s="863"/>
      <c r="MO40" s="883"/>
      <c r="MP40" s="883"/>
      <c r="MQ40" s="883"/>
      <c r="MR40" s="883"/>
      <c r="MS40" s="883"/>
      <c r="MT40" s="883"/>
      <c r="MU40" s="883"/>
      <c r="MV40" s="883"/>
      <c r="MW40" s="883"/>
      <c r="MX40" s="863"/>
      <c r="MY40" s="863"/>
      <c r="MZ40" s="863"/>
      <c r="NA40" s="863"/>
      <c r="NB40" s="863"/>
      <c r="NC40" s="863"/>
      <c r="ND40" s="863"/>
      <c r="NE40" s="863"/>
      <c r="NF40" s="863"/>
      <c r="NG40" s="863"/>
      <c r="NH40" s="863"/>
      <c r="NI40" s="863"/>
      <c r="NJ40" s="863"/>
      <c r="NK40" s="863"/>
      <c r="NL40" s="863"/>
      <c r="NM40" s="863"/>
      <c r="NN40" s="863"/>
      <c r="NO40" s="863"/>
      <c r="NP40" s="863"/>
      <c r="NQ40" s="863"/>
      <c r="NR40" s="863"/>
      <c r="NS40" s="863"/>
      <c r="NT40" s="863"/>
      <c r="NU40" s="883"/>
      <c r="NV40" s="883"/>
      <c r="NW40" s="883"/>
      <c r="NX40" s="883"/>
      <c r="NY40" s="883"/>
      <c r="NZ40" s="883"/>
      <c r="OA40" s="883"/>
      <c r="OB40" s="883"/>
      <c r="OC40" s="883"/>
      <c r="OD40" s="863"/>
      <c r="OE40" s="863"/>
      <c r="OF40" s="863"/>
      <c r="OG40" s="863"/>
      <c r="OH40" s="863"/>
      <c r="OI40" s="863"/>
      <c r="OJ40" s="863"/>
      <c r="OK40" s="863"/>
      <c r="OL40" s="863"/>
      <c r="OM40" s="863"/>
      <c r="ON40" s="863"/>
      <c r="OO40" s="863"/>
      <c r="OP40" s="863"/>
      <c r="OQ40" s="863"/>
      <c r="OR40" s="863"/>
      <c r="OS40" s="863"/>
      <c r="OT40" s="863"/>
      <c r="OU40" s="863"/>
      <c r="OV40" s="863"/>
      <c r="OW40" s="863"/>
      <c r="OX40" s="863"/>
      <c r="OY40" s="863"/>
      <c r="OZ40" s="863"/>
      <c r="PA40" s="883"/>
      <c r="PB40" s="883"/>
      <c r="PC40" s="883"/>
      <c r="PD40" s="883"/>
      <c r="PE40" s="883"/>
      <c r="PF40" s="883"/>
      <c r="PG40" s="883"/>
      <c r="PH40" s="883"/>
      <c r="PI40" s="883"/>
      <c r="PJ40" s="863"/>
      <c r="PK40" s="863"/>
      <c r="PL40" s="863"/>
      <c r="PM40" s="863"/>
      <c r="PN40" s="863"/>
      <c r="PO40" s="863"/>
      <c r="PP40" s="863"/>
      <c r="PQ40" s="863"/>
      <c r="PR40" s="863"/>
      <c r="PS40" s="863"/>
      <c r="PT40" s="863"/>
      <c r="PU40" s="863"/>
      <c r="PV40" s="863"/>
      <c r="PW40" s="863"/>
      <c r="PX40" s="863"/>
      <c r="PY40" s="863"/>
      <c r="PZ40" s="863"/>
      <c r="QA40" s="863"/>
      <c r="QB40" s="863"/>
      <c r="QC40" s="863"/>
      <c r="QD40" s="863"/>
      <c r="QE40" s="863"/>
      <c r="QF40" s="863"/>
      <c r="QG40" s="883"/>
      <c r="QH40" s="883"/>
      <c r="QI40" s="883"/>
      <c r="QJ40" s="883"/>
      <c r="QK40" s="883"/>
      <c r="QL40" s="883"/>
      <c r="QM40" s="883"/>
      <c r="QN40" s="883"/>
      <c r="QO40" s="883"/>
      <c r="QP40" s="863"/>
      <c r="QQ40" s="863"/>
      <c r="QR40" s="863"/>
      <c r="QS40" s="863"/>
      <c r="QT40" s="863"/>
      <c r="QU40" s="863"/>
      <c r="QV40" s="863"/>
      <c r="QW40" s="863"/>
      <c r="QX40" s="863"/>
      <c r="QY40" s="863"/>
      <c r="QZ40" s="863"/>
      <c r="RA40" s="863"/>
      <c r="RB40" s="863"/>
      <c r="RC40" s="863"/>
      <c r="RD40" s="863"/>
      <c r="RE40" s="863"/>
      <c r="RF40" s="863"/>
      <c r="RG40" s="863"/>
      <c r="RH40" s="863"/>
      <c r="RI40" s="863"/>
      <c r="RJ40" s="863"/>
      <c r="RK40" s="863"/>
      <c r="RL40" s="863"/>
      <c r="RM40" s="883"/>
      <c r="RN40" s="883"/>
      <c r="RO40" s="883"/>
      <c r="RP40" s="883"/>
      <c r="RQ40" s="883"/>
      <c r="RR40" s="883"/>
      <c r="RS40" s="883"/>
      <c r="RT40" s="883"/>
      <c r="RU40" s="883"/>
      <c r="RV40" s="863"/>
      <c r="RW40" s="863"/>
      <c r="RX40" s="863"/>
      <c r="RY40" s="863"/>
      <c r="RZ40" s="863"/>
      <c r="SA40" s="863"/>
      <c r="SB40" s="863"/>
      <c r="SC40" s="863"/>
      <c r="SD40" s="863"/>
      <c r="SE40" s="863"/>
      <c r="SF40" s="863"/>
      <c r="SG40" s="863"/>
      <c r="SH40" s="863"/>
      <c r="SI40" s="863"/>
      <c r="SJ40" s="863"/>
      <c r="SK40" s="863"/>
      <c r="SL40" s="863"/>
      <c r="SM40" s="863"/>
      <c r="SN40" s="863"/>
      <c r="SO40" s="863"/>
      <c r="SP40" s="863"/>
      <c r="SQ40" s="863"/>
      <c r="SR40" s="863"/>
      <c r="SS40" s="883"/>
      <c r="ST40" s="883"/>
      <c r="SU40" s="883"/>
      <c r="SV40" s="883"/>
      <c r="SW40" s="883"/>
      <c r="SX40" s="883"/>
      <c r="SY40" s="883"/>
      <c r="SZ40" s="883"/>
      <c r="TA40" s="883"/>
      <c r="TB40" s="863"/>
      <c r="TC40" s="863"/>
      <c r="TD40" s="863"/>
      <c r="TE40" s="863"/>
      <c r="TF40" s="863"/>
      <c r="TG40" s="863"/>
      <c r="TH40" s="863"/>
      <c r="TI40" s="863"/>
      <c r="TJ40" s="863"/>
      <c r="TK40" s="863"/>
      <c r="TL40" s="863"/>
      <c r="TM40" s="863"/>
      <c r="TN40" s="863"/>
      <c r="TO40" s="863"/>
      <c r="TP40" s="863"/>
      <c r="TQ40" s="863"/>
      <c r="TR40" s="863"/>
      <c r="TS40" s="863"/>
      <c r="TT40" s="863"/>
      <c r="TU40" s="863"/>
      <c r="TV40" s="863"/>
      <c r="TW40" s="863"/>
      <c r="TX40" s="863"/>
      <c r="TY40" s="883"/>
      <c r="TZ40" s="883"/>
      <c r="UA40" s="883"/>
      <c r="UB40" s="883"/>
      <c r="UC40" s="883"/>
      <c r="UD40" s="883"/>
      <c r="UE40" s="883"/>
      <c r="UF40" s="883"/>
      <c r="UG40" s="883"/>
      <c r="UH40" s="863"/>
      <c r="UI40" s="863"/>
      <c r="UJ40" s="863"/>
      <c r="UK40" s="863"/>
      <c r="UL40" s="863"/>
      <c r="UM40" s="863"/>
      <c r="UN40" s="863"/>
      <c r="UO40" s="863"/>
      <c r="UP40" s="863"/>
      <c r="UQ40" s="863"/>
      <c r="UR40" s="863"/>
      <c r="US40" s="863"/>
      <c r="UT40" s="863"/>
      <c r="UU40" s="863"/>
      <c r="UV40" s="863"/>
      <c r="UW40" s="863"/>
      <c r="UX40" s="863"/>
      <c r="UY40" s="863"/>
      <c r="UZ40" s="863"/>
      <c r="VA40" s="863"/>
      <c r="VB40" s="863"/>
      <c r="VC40" s="863"/>
      <c r="VD40" s="863"/>
      <c r="VE40" s="883"/>
      <c r="VF40" s="883"/>
      <c r="VG40" s="883"/>
      <c r="VH40" s="883"/>
      <c r="VI40" s="883"/>
      <c r="VJ40" s="883"/>
      <c r="VK40" s="883"/>
      <c r="VL40" s="883"/>
      <c r="VM40" s="883"/>
      <c r="VN40" s="863"/>
      <c r="VO40" s="863"/>
      <c r="VP40" s="863"/>
      <c r="VQ40" s="863"/>
      <c r="VR40" s="863"/>
      <c r="VS40" s="863"/>
      <c r="VT40" s="863"/>
      <c r="VU40" s="863"/>
      <c r="VV40" s="863"/>
      <c r="VW40" s="863"/>
      <c r="VX40" s="863"/>
      <c r="VY40" s="863"/>
      <c r="VZ40" s="863"/>
      <c r="WA40" s="863"/>
      <c r="WB40" s="863"/>
      <c r="WC40" s="863"/>
      <c r="WD40" s="863"/>
      <c r="WE40" s="863"/>
      <c r="WF40" s="863"/>
      <c r="WG40" s="863"/>
      <c r="WH40" s="863"/>
      <c r="WI40" s="863"/>
      <c r="WJ40" s="863"/>
      <c r="WK40" s="883"/>
      <c r="WL40" s="883"/>
      <c r="WM40" s="883"/>
      <c r="WN40" s="883"/>
      <c r="WO40" s="883"/>
      <c r="WP40" s="883"/>
      <c r="WQ40" s="883"/>
      <c r="WR40" s="883"/>
      <c r="WS40" s="883"/>
      <c r="WT40" s="863"/>
      <c r="WU40" s="863"/>
      <c r="WV40" s="863"/>
      <c r="WW40" s="863"/>
      <c r="WX40" s="863"/>
      <c r="WY40" s="863"/>
      <c r="WZ40" s="863"/>
      <c r="XA40" s="863"/>
      <c r="XB40" s="863"/>
      <c r="XC40" s="863"/>
      <c r="XD40" s="863"/>
      <c r="XE40" s="863"/>
      <c r="XF40" s="863"/>
      <c r="XG40" s="863"/>
      <c r="XH40" s="863"/>
      <c r="XI40" s="863"/>
      <c r="XJ40" s="863"/>
      <c r="XK40" s="863"/>
      <c r="XL40" s="863"/>
      <c r="XM40" s="863"/>
      <c r="XN40" s="863"/>
      <c r="XO40" s="863"/>
      <c r="XP40" s="863"/>
      <c r="XQ40" s="883"/>
      <c r="XR40" s="883"/>
      <c r="XS40" s="883"/>
      <c r="XT40" s="883"/>
      <c r="XU40" s="883"/>
      <c r="XV40" s="883"/>
      <c r="XW40" s="883"/>
      <c r="XX40" s="883"/>
      <c r="XY40" s="883"/>
      <c r="XZ40" s="863"/>
      <c r="YA40" s="863"/>
      <c r="YB40" s="863"/>
      <c r="YC40" s="863"/>
      <c r="YD40" s="863"/>
      <c r="YE40" s="863"/>
      <c r="YF40" s="863"/>
      <c r="YG40" s="863"/>
      <c r="YH40" s="863"/>
      <c r="YI40" s="863"/>
      <c r="YJ40" s="863"/>
      <c r="YK40" s="863"/>
      <c r="YL40" s="863"/>
      <c r="YM40" s="863"/>
      <c r="YN40" s="863"/>
      <c r="YO40" s="863"/>
      <c r="YP40" s="863"/>
      <c r="YQ40" s="863"/>
      <c r="YR40" s="863"/>
      <c r="YS40" s="863"/>
      <c r="YT40" s="863"/>
      <c r="YU40" s="863"/>
      <c r="YV40" s="863"/>
      <c r="YW40" s="883"/>
      <c r="YX40" s="883"/>
      <c r="YY40" s="883"/>
      <c r="YZ40" s="883"/>
      <c r="ZA40" s="883"/>
      <c r="ZB40" s="883"/>
      <c r="ZC40" s="883"/>
      <c r="ZD40" s="883"/>
      <c r="ZE40" s="883"/>
      <c r="ZF40" s="863"/>
      <c r="ZG40" s="863"/>
      <c r="ZH40" s="863"/>
      <c r="ZI40" s="863"/>
      <c r="ZJ40" s="863"/>
      <c r="ZK40" s="863"/>
      <c r="ZL40" s="863"/>
      <c r="ZM40" s="863"/>
      <c r="ZN40" s="863"/>
      <c r="ZO40" s="863"/>
      <c r="ZP40" s="863"/>
      <c r="ZQ40" s="863"/>
      <c r="ZR40" s="863"/>
      <c r="ZS40" s="863"/>
      <c r="ZT40" s="863"/>
      <c r="ZU40" s="863"/>
      <c r="ZV40" s="863"/>
      <c r="ZW40" s="863"/>
      <c r="ZX40" s="863"/>
      <c r="ZY40" s="863"/>
      <c r="ZZ40" s="863"/>
      <c r="AAA40" s="863"/>
      <c r="AAB40" s="863"/>
      <c r="AAC40" s="883"/>
      <c r="AAD40" s="883"/>
      <c r="AAE40" s="883"/>
      <c r="AAF40" s="883"/>
      <c r="AAG40" s="883"/>
      <c r="AAH40" s="883"/>
      <c r="AAI40" s="883"/>
      <c r="AAJ40" s="883"/>
      <c r="AAK40" s="883"/>
      <c r="AAL40" s="863"/>
      <c r="AAM40" s="863"/>
      <c r="AAN40" s="863"/>
      <c r="AAO40" s="863"/>
      <c r="AAP40" s="863"/>
      <c r="AAQ40" s="863"/>
      <c r="AAR40" s="863"/>
      <c r="AAS40" s="863"/>
      <c r="AAT40" s="863"/>
      <c r="AAU40" s="863"/>
      <c r="AAV40" s="863"/>
      <c r="AAW40" s="863"/>
      <c r="AAX40" s="863"/>
      <c r="AAY40" s="863"/>
      <c r="AAZ40" s="863"/>
      <c r="ABA40" s="863"/>
      <c r="ABB40" s="863"/>
      <c r="ABC40" s="863"/>
      <c r="ABD40" s="863"/>
      <c r="ABE40" s="863"/>
      <c r="ABF40" s="863"/>
      <c r="ABG40" s="863"/>
      <c r="ABH40" s="863"/>
      <c r="ABI40" s="883"/>
      <c r="ABJ40" s="883"/>
      <c r="ABK40" s="883"/>
      <c r="ABL40" s="883"/>
      <c r="ABM40" s="883"/>
      <c r="ABN40" s="883"/>
      <c r="ABO40" s="883"/>
      <c r="ABP40" s="883"/>
      <c r="ABQ40" s="883"/>
      <c r="ABR40" s="863"/>
      <c r="ABS40" s="863"/>
      <c r="ABT40" s="863"/>
      <c r="ABU40" s="863"/>
      <c r="ABV40" s="863"/>
      <c r="ABW40" s="863"/>
      <c r="ABX40" s="863"/>
      <c r="ABY40" s="863"/>
      <c r="ABZ40" s="863"/>
      <c r="ACA40" s="863"/>
      <c r="ACB40" s="863"/>
      <c r="ACC40" s="863"/>
      <c r="ACD40" s="863"/>
      <c r="ACE40" s="863"/>
      <c r="ACF40" s="863"/>
      <c r="ACG40" s="863"/>
      <c r="ACH40" s="863"/>
      <c r="ACI40" s="863"/>
      <c r="ACJ40" s="863"/>
      <c r="ACK40" s="863"/>
      <c r="ACL40" s="863"/>
      <c r="ACM40" s="863"/>
      <c r="ACN40" s="863"/>
      <c r="ACO40" s="883"/>
      <c r="ACP40" s="883"/>
      <c r="ACQ40" s="883"/>
      <c r="ACR40" s="883"/>
      <c r="ACS40" s="883"/>
      <c r="ACT40" s="883"/>
      <c r="ACU40" s="883"/>
      <c r="ACV40" s="883"/>
      <c r="ACW40" s="883"/>
      <c r="ACX40" s="863"/>
      <c r="ACY40" s="863"/>
      <c r="ACZ40" s="863"/>
      <c r="ADA40" s="863"/>
      <c r="ADB40" s="863"/>
      <c r="ADC40" s="863"/>
      <c r="ADD40" s="863"/>
      <c r="ADE40" s="863"/>
      <c r="ADF40" s="863"/>
      <c r="ADG40" s="863"/>
      <c r="ADH40" s="863"/>
      <c r="ADI40" s="863"/>
      <c r="ADJ40" s="863"/>
      <c r="ADK40" s="863"/>
      <c r="ADL40" s="863"/>
      <c r="ADM40" s="863"/>
      <c r="ADN40" s="863"/>
      <c r="ADO40" s="863"/>
      <c r="ADP40" s="863"/>
      <c r="ADQ40" s="863"/>
      <c r="ADR40" s="863"/>
      <c r="ADS40" s="863"/>
      <c r="ADT40" s="863"/>
      <c r="ADU40" s="883"/>
      <c r="ADV40" s="883"/>
      <c r="ADW40" s="883"/>
      <c r="ADX40" s="883"/>
      <c r="ADY40" s="883"/>
      <c r="ADZ40" s="883"/>
      <c r="AEA40" s="883"/>
      <c r="AEB40" s="883"/>
      <c r="AEC40" s="883"/>
      <c r="AED40" s="863"/>
      <c r="AEE40" s="863"/>
      <c r="AEF40" s="863"/>
      <c r="AEG40" s="863"/>
      <c r="AEH40" s="863"/>
      <c r="AEI40" s="863"/>
      <c r="AEJ40" s="863"/>
      <c r="AEK40" s="863"/>
      <c r="AEL40" s="863"/>
      <c r="AEM40" s="863"/>
      <c r="AEN40" s="863"/>
      <c r="AEO40" s="863"/>
      <c r="AEP40" s="863"/>
      <c r="AEQ40" s="863"/>
      <c r="AER40" s="863"/>
      <c r="AES40" s="863"/>
      <c r="AET40" s="863"/>
      <c r="AEU40" s="863"/>
      <c r="AEV40" s="863"/>
      <c r="AEW40" s="863"/>
      <c r="AEX40" s="863"/>
      <c r="AEY40" s="863"/>
      <c r="AEZ40" s="863"/>
      <c r="AFA40" s="883"/>
      <c r="AFB40" s="883"/>
      <c r="AFC40" s="883"/>
      <c r="AFD40" s="883"/>
      <c r="AFE40" s="883"/>
      <c r="AFF40" s="883"/>
      <c r="AFG40" s="883"/>
      <c r="AFH40" s="883"/>
      <c r="AFI40" s="883"/>
      <c r="AFJ40" s="863"/>
      <c r="AFK40" s="863"/>
      <c r="AFL40" s="863"/>
      <c r="AFM40" s="863"/>
      <c r="AFN40" s="863"/>
      <c r="AFO40" s="863"/>
      <c r="AFP40" s="863"/>
      <c r="AFQ40" s="863"/>
      <c r="AFR40" s="863"/>
      <c r="AFS40" s="863"/>
      <c r="AFT40" s="863"/>
      <c r="AFU40" s="863"/>
      <c r="AFV40" s="863"/>
      <c r="AFW40" s="863"/>
      <c r="AFX40" s="863"/>
      <c r="AFY40" s="863"/>
      <c r="AFZ40" s="863"/>
      <c r="AGA40" s="863"/>
      <c r="AGB40" s="863"/>
      <c r="AGC40" s="863"/>
      <c r="AGD40" s="863"/>
      <c r="AGE40" s="863"/>
      <c r="AGF40" s="863"/>
      <c r="AGG40" s="883"/>
      <c r="AGH40" s="883"/>
      <c r="AGI40" s="883"/>
      <c r="AGJ40" s="883"/>
      <c r="AGK40" s="883"/>
      <c r="AGL40" s="883"/>
      <c r="AGM40" s="883"/>
      <c r="AGN40" s="883"/>
      <c r="AGO40" s="883"/>
      <c r="AGP40" s="863"/>
      <c r="AGQ40" s="863"/>
      <c r="AGR40" s="863"/>
      <c r="AGS40" s="863"/>
      <c r="AGT40" s="863"/>
      <c r="AGU40" s="863"/>
      <c r="AGV40" s="863"/>
      <c r="AGW40" s="863"/>
      <c r="AGX40" s="863"/>
      <c r="AGY40" s="863"/>
      <c r="AGZ40" s="863"/>
      <c r="AHA40" s="863"/>
      <c r="AHB40" s="863"/>
      <c r="AHC40" s="863"/>
      <c r="AHD40" s="863"/>
      <c r="AHE40" s="863"/>
      <c r="AHF40" s="863"/>
      <c r="AHG40" s="863"/>
      <c r="AHH40" s="863"/>
      <c r="AHI40" s="863"/>
      <c r="AHJ40" s="863"/>
      <c r="AHK40" s="863"/>
      <c r="AHL40" s="863"/>
      <c r="AHM40" s="883"/>
      <c r="AHN40" s="883"/>
      <c r="AHO40" s="883"/>
      <c r="AHP40" s="883"/>
      <c r="AHQ40" s="883"/>
      <c r="AHR40" s="883"/>
      <c r="AHS40" s="883"/>
      <c r="AHT40" s="883"/>
      <c r="AHU40" s="883"/>
      <c r="AHV40" s="863"/>
      <c r="AHW40" s="863"/>
      <c r="AHX40" s="863"/>
      <c r="AHY40" s="863"/>
      <c r="AHZ40" s="863"/>
      <c r="AIA40" s="863"/>
      <c r="AIB40" s="863"/>
      <c r="AIC40" s="863"/>
      <c r="AID40" s="863"/>
      <c r="AIE40" s="863"/>
      <c r="AIF40" s="863"/>
      <c r="AIG40" s="863"/>
      <c r="AIH40" s="863"/>
      <c r="AII40" s="863"/>
      <c r="AIJ40" s="863"/>
      <c r="AIK40" s="863"/>
      <c r="AIL40" s="863"/>
      <c r="AIM40" s="863"/>
      <c r="AIN40" s="863"/>
      <c r="AIO40" s="863"/>
      <c r="AIP40" s="863"/>
      <c r="AIQ40" s="863"/>
      <c r="AIR40" s="863"/>
      <c r="AIS40" s="883"/>
      <c r="AIT40" s="883"/>
      <c r="AIU40" s="883"/>
      <c r="AIV40" s="883"/>
      <c r="AIW40" s="883"/>
      <c r="AIX40" s="883"/>
      <c r="AIY40" s="883"/>
      <c r="AIZ40" s="883"/>
      <c r="AJA40" s="883"/>
      <c r="AJB40" s="863"/>
      <c r="AJC40" s="863"/>
      <c r="AJD40" s="863"/>
      <c r="AJE40" s="863"/>
      <c r="AJF40" s="863"/>
      <c r="AJG40" s="863"/>
      <c r="AJH40" s="863"/>
      <c r="AJI40" s="863"/>
      <c r="AJJ40" s="863"/>
      <c r="AJK40" s="863"/>
      <c r="AJL40" s="863"/>
      <c r="AJM40" s="863"/>
      <c r="AJN40" s="863"/>
      <c r="AJO40" s="863"/>
      <c r="AJP40" s="863"/>
      <c r="AJQ40" s="863"/>
      <c r="AJR40" s="863"/>
      <c r="AJS40" s="863"/>
      <c r="AJT40" s="863"/>
      <c r="AJU40" s="863"/>
      <c r="AJV40" s="863"/>
      <c r="AJW40" s="863"/>
      <c r="AJX40" s="863"/>
      <c r="AJY40" s="883"/>
      <c r="AJZ40" s="883"/>
      <c r="AKA40" s="883"/>
      <c r="AKB40" s="883"/>
      <c r="AKC40" s="883"/>
      <c r="AKD40" s="883"/>
      <c r="AKE40" s="883"/>
      <c r="AKF40" s="883"/>
      <c r="AKG40" s="883"/>
      <c r="AKH40" s="863"/>
      <c r="AKI40" s="863"/>
      <c r="AKJ40" s="863"/>
      <c r="AKK40" s="863"/>
      <c r="AKL40" s="863"/>
      <c r="AKM40" s="863"/>
      <c r="AKN40" s="863"/>
      <c r="AKO40" s="863"/>
      <c r="AKP40" s="863"/>
      <c r="AKQ40" s="863"/>
      <c r="AKR40" s="863"/>
      <c r="AKS40" s="863"/>
      <c r="AKT40" s="863"/>
      <c r="AKU40" s="863"/>
      <c r="AKV40" s="863"/>
      <c r="AKW40" s="863"/>
      <c r="AKX40" s="863"/>
      <c r="AKY40" s="863"/>
      <c r="AKZ40" s="863"/>
      <c r="ALA40" s="863"/>
      <c r="ALB40" s="863"/>
      <c r="ALC40" s="863"/>
      <c r="ALD40" s="863"/>
      <c r="ALE40" s="883"/>
      <c r="ALF40" s="883"/>
      <c r="ALG40" s="883"/>
      <c r="ALH40" s="883"/>
      <c r="ALI40" s="883"/>
      <c r="ALJ40" s="883"/>
      <c r="ALK40" s="883"/>
      <c r="ALL40" s="883"/>
      <c r="ALM40" s="883"/>
      <c r="ALN40" s="863"/>
      <c r="ALO40" s="863"/>
      <c r="ALP40" s="863"/>
      <c r="ALQ40" s="863"/>
      <c r="ALR40" s="863"/>
      <c r="ALS40" s="863"/>
      <c r="ALT40" s="863"/>
      <c r="ALU40" s="863"/>
      <c r="ALV40" s="863"/>
      <c r="ALW40" s="863"/>
      <c r="ALX40" s="863"/>
      <c r="ALY40" s="863"/>
      <c r="ALZ40" s="863"/>
      <c r="AMA40" s="863"/>
      <c r="AMB40" s="863"/>
      <c r="AMC40" s="863"/>
      <c r="AMD40" s="863"/>
      <c r="AME40" s="863"/>
      <c r="AMF40" s="863"/>
      <c r="AMG40" s="863"/>
      <c r="AMH40" s="863"/>
      <c r="AMI40" s="863"/>
      <c r="AMJ40" s="863"/>
      <c r="AMK40" s="883"/>
      <c r="AML40" s="883"/>
      <c r="AMM40" s="883"/>
      <c r="AMN40" s="883"/>
      <c r="AMO40" s="883"/>
      <c r="AMP40" s="883"/>
      <c r="AMQ40" s="883"/>
      <c r="AMR40" s="883"/>
      <c r="AMS40" s="883"/>
      <c r="AMT40" s="863"/>
      <c r="AMU40" s="863"/>
      <c r="AMV40" s="863"/>
      <c r="AMW40" s="863"/>
      <c r="AMX40" s="863"/>
      <c r="AMY40" s="863"/>
      <c r="AMZ40" s="863"/>
      <c r="ANA40" s="863"/>
      <c r="ANB40" s="863"/>
      <c r="ANC40" s="863"/>
      <c r="AND40" s="863"/>
      <c r="ANE40" s="863"/>
      <c r="ANF40" s="863"/>
      <c r="ANG40" s="863"/>
      <c r="ANH40" s="863"/>
      <c r="ANI40" s="863"/>
      <c r="ANJ40" s="863"/>
      <c r="ANK40" s="863"/>
      <c r="ANL40" s="863"/>
      <c r="ANM40" s="863"/>
      <c r="ANN40" s="863"/>
      <c r="ANO40" s="863"/>
      <c r="ANP40" s="863"/>
      <c r="ANQ40" s="883"/>
      <c r="ANR40" s="883"/>
      <c r="ANS40" s="883"/>
      <c r="ANT40" s="883"/>
      <c r="ANU40" s="883"/>
      <c r="ANV40" s="883"/>
      <c r="ANW40" s="883"/>
      <c r="ANX40" s="883"/>
      <c r="ANY40" s="883"/>
      <c r="ANZ40" s="863"/>
      <c r="AOA40" s="863"/>
      <c r="AOB40" s="863"/>
      <c r="AOC40" s="863"/>
      <c r="AOD40" s="863"/>
      <c r="AOE40" s="863"/>
      <c r="AOF40" s="863"/>
      <c r="AOG40" s="863"/>
      <c r="AOH40" s="863"/>
      <c r="AOI40" s="863"/>
      <c r="AOJ40" s="863"/>
      <c r="AOK40" s="863"/>
      <c r="AOL40" s="863"/>
      <c r="AOM40" s="863"/>
      <c r="AON40" s="863"/>
      <c r="AOO40" s="863"/>
      <c r="AOP40" s="863"/>
      <c r="AOQ40" s="863"/>
      <c r="AOR40" s="863"/>
      <c r="AOS40" s="863"/>
      <c r="AOT40" s="863"/>
      <c r="AOU40" s="863"/>
      <c r="AOV40" s="863"/>
      <c r="AOW40" s="883"/>
      <c r="AOX40" s="883"/>
      <c r="AOY40" s="883"/>
      <c r="AOZ40" s="883"/>
      <c r="APA40" s="883"/>
      <c r="APB40" s="883"/>
      <c r="APC40" s="883"/>
      <c r="APD40" s="883"/>
      <c r="APE40" s="883"/>
      <c r="APF40" s="863"/>
      <c r="APG40" s="863"/>
      <c r="APH40" s="863"/>
      <c r="API40" s="863"/>
      <c r="APJ40" s="863"/>
      <c r="APK40" s="863"/>
      <c r="APL40" s="863"/>
      <c r="APM40" s="863"/>
      <c r="APN40" s="863"/>
      <c r="APO40" s="863"/>
      <c r="APP40" s="863"/>
      <c r="APQ40" s="863"/>
      <c r="APR40" s="863"/>
      <c r="APS40" s="863"/>
      <c r="APT40" s="863"/>
      <c r="APU40" s="863"/>
      <c r="APV40" s="863"/>
      <c r="APW40" s="863"/>
      <c r="APX40" s="863"/>
      <c r="APY40" s="863"/>
      <c r="APZ40" s="863"/>
      <c r="AQA40" s="863"/>
      <c r="AQB40" s="863"/>
      <c r="AQC40" s="883"/>
      <c r="AQD40" s="883"/>
      <c r="AQE40" s="883"/>
      <c r="AQF40" s="883"/>
      <c r="AQG40" s="883"/>
      <c r="AQH40" s="883"/>
      <c r="AQI40" s="883"/>
      <c r="AQJ40" s="883"/>
      <c r="AQK40" s="883"/>
      <c r="AQL40" s="863"/>
      <c r="AQM40" s="863"/>
      <c r="AQN40" s="863"/>
      <c r="AQO40" s="863"/>
      <c r="AQP40" s="863"/>
      <c r="AQQ40" s="863"/>
      <c r="AQR40" s="863"/>
      <c r="AQS40" s="863"/>
      <c r="AQT40" s="863"/>
      <c r="AQU40" s="863"/>
      <c r="AQV40" s="863"/>
      <c r="AQW40" s="863"/>
      <c r="AQX40" s="863"/>
      <c r="AQY40" s="863"/>
      <c r="AQZ40" s="863"/>
      <c r="ARA40" s="863"/>
      <c r="ARB40" s="863"/>
      <c r="ARC40" s="863"/>
      <c r="ARD40" s="863"/>
      <c r="ARE40" s="863"/>
      <c r="ARF40" s="863"/>
      <c r="ARG40" s="863"/>
      <c r="ARH40" s="863"/>
      <c r="ARI40" s="883"/>
      <c r="ARJ40" s="883"/>
      <c r="ARK40" s="883"/>
      <c r="ARL40" s="883"/>
      <c r="ARM40" s="883"/>
      <c r="ARN40" s="883"/>
      <c r="ARO40" s="883"/>
      <c r="ARP40" s="883"/>
      <c r="ARQ40" s="883"/>
      <c r="ARR40" s="863"/>
      <c r="ARS40" s="863"/>
      <c r="ART40" s="863"/>
      <c r="ARU40" s="863"/>
      <c r="ARV40" s="863"/>
      <c r="ARW40" s="863"/>
      <c r="ARX40" s="863"/>
      <c r="ARY40" s="863"/>
      <c r="ARZ40" s="863"/>
      <c r="ASA40" s="863"/>
      <c r="ASB40" s="863"/>
      <c r="ASC40" s="863"/>
      <c r="ASD40" s="863"/>
      <c r="ASE40" s="863"/>
      <c r="ASF40" s="863"/>
      <c r="ASG40" s="863"/>
      <c r="ASH40" s="863"/>
      <c r="ASI40" s="863"/>
      <c r="ASJ40" s="863"/>
      <c r="ASK40" s="863"/>
      <c r="ASL40" s="863"/>
      <c r="ASM40" s="863"/>
      <c r="ASN40" s="863"/>
      <c r="ASO40" s="883"/>
      <c r="ASP40" s="883"/>
      <c r="ASQ40" s="883"/>
      <c r="ASR40" s="883"/>
      <c r="ASS40" s="883"/>
      <c r="AST40" s="883"/>
      <c r="ASU40" s="883"/>
      <c r="ASV40" s="883"/>
      <c r="ASW40" s="883"/>
      <c r="ASX40" s="863"/>
      <c r="ASY40" s="863"/>
      <c r="ASZ40" s="863"/>
      <c r="ATA40" s="863"/>
      <c r="ATB40" s="863"/>
      <c r="ATC40" s="863"/>
      <c r="ATD40" s="863"/>
      <c r="ATE40" s="863"/>
      <c r="ATF40" s="863"/>
      <c r="ATG40" s="863"/>
      <c r="ATH40" s="863"/>
      <c r="ATI40" s="863"/>
      <c r="ATJ40" s="863"/>
      <c r="ATK40" s="863"/>
      <c r="ATL40" s="863"/>
      <c r="ATM40" s="863"/>
      <c r="ATN40" s="863"/>
      <c r="ATO40" s="863"/>
      <c r="ATP40" s="863"/>
      <c r="ATQ40" s="863"/>
      <c r="ATR40" s="863"/>
      <c r="ATS40" s="863"/>
      <c r="ATT40" s="863"/>
      <c r="ATU40" s="883"/>
      <c r="ATV40" s="883"/>
      <c r="ATW40" s="883"/>
      <c r="ATX40" s="883"/>
      <c r="ATY40" s="883"/>
      <c r="ATZ40" s="883"/>
      <c r="AUA40" s="883"/>
      <c r="AUB40" s="883"/>
      <c r="AUC40" s="883"/>
      <c r="AUD40" s="863"/>
      <c r="AUE40" s="863"/>
      <c r="AUF40" s="863"/>
      <c r="AUG40" s="863"/>
      <c r="AUH40" s="863"/>
      <c r="AUI40" s="863"/>
      <c r="AUJ40" s="863"/>
      <c r="AUK40" s="863"/>
      <c r="AUL40" s="863"/>
      <c r="AUM40" s="863"/>
      <c r="AUN40" s="863"/>
      <c r="AUO40" s="863"/>
      <c r="AUP40" s="863"/>
      <c r="AUQ40" s="863"/>
      <c r="AUR40" s="863"/>
      <c r="AUS40" s="863"/>
      <c r="AUT40" s="863"/>
      <c r="AUU40" s="863"/>
      <c r="AUV40" s="863"/>
      <c r="AUW40" s="863"/>
      <c r="AUX40" s="863"/>
      <c r="AUY40" s="863"/>
      <c r="AUZ40" s="863"/>
      <c r="AVA40" s="883"/>
      <c r="AVB40" s="883"/>
      <c r="AVC40" s="883"/>
      <c r="AVD40" s="883"/>
      <c r="AVE40" s="883"/>
      <c r="AVF40" s="883"/>
      <c r="AVG40" s="883"/>
      <c r="AVH40" s="883"/>
      <c r="AVI40" s="883"/>
      <c r="AVJ40" s="863"/>
      <c r="AVK40" s="863"/>
      <c r="AVL40" s="863"/>
      <c r="AVM40" s="863"/>
      <c r="AVN40" s="863"/>
      <c r="AVO40" s="863"/>
      <c r="AVP40" s="863"/>
      <c r="AVQ40" s="863"/>
      <c r="AVR40" s="863"/>
      <c r="AVS40" s="863"/>
      <c r="AVT40" s="863"/>
      <c r="AVU40" s="863"/>
      <c r="AVV40" s="863"/>
      <c r="AVW40" s="863"/>
      <c r="AVX40" s="863"/>
      <c r="AVY40" s="863"/>
      <c r="AVZ40" s="863"/>
      <c r="AWA40" s="863"/>
      <c r="AWB40" s="863"/>
      <c r="AWC40" s="863"/>
      <c r="AWD40" s="863"/>
      <c r="AWE40" s="863"/>
      <c r="AWF40" s="863"/>
      <c r="AWG40" s="883"/>
      <c r="AWH40" s="883"/>
      <c r="AWI40" s="883"/>
      <c r="AWJ40" s="883"/>
      <c r="AWK40" s="883"/>
      <c r="AWL40" s="883"/>
      <c r="AWM40" s="883"/>
      <c r="AWN40" s="883"/>
      <c r="AWO40" s="883"/>
      <c r="AWP40" s="863"/>
      <c r="AWQ40" s="863"/>
      <c r="AWR40" s="863"/>
      <c r="AWS40" s="863"/>
      <c r="AWT40" s="863"/>
      <c r="AWU40" s="863"/>
      <c r="AWV40" s="863"/>
      <c r="AWW40" s="863"/>
      <c r="AWX40" s="863"/>
      <c r="AWY40" s="863"/>
      <c r="AWZ40" s="863"/>
      <c r="AXA40" s="863"/>
      <c r="AXB40" s="863"/>
      <c r="AXC40" s="863"/>
      <c r="AXD40" s="863"/>
      <c r="AXE40" s="863"/>
      <c r="AXF40" s="863"/>
      <c r="AXG40" s="863"/>
      <c r="AXH40" s="863"/>
      <c r="AXI40" s="863"/>
      <c r="AXJ40" s="863"/>
      <c r="AXK40" s="863"/>
      <c r="AXL40" s="863"/>
      <c r="AXM40" s="883"/>
      <c r="AXN40" s="883"/>
      <c r="AXO40" s="883"/>
      <c r="AXP40" s="883"/>
      <c r="AXQ40" s="883"/>
      <c r="AXR40" s="883"/>
      <c r="AXS40" s="883"/>
      <c r="AXT40" s="883"/>
      <c r="AXU40" s="883"/>
      <c r="AXV40" s="863"/>
      <c r="AXW40" s="863"/>
      <c r="AXX40" s="863"/>
      <c r="AXY40" s="863"/>
      <c r="AXZ40" s="863"/>
      <c r="AYA40" s="863"/>
      <c r="AYB40" s="863"/>
      <c r="AYC40" s="863"/>
      <c r="AYD40" s="863"/>
      <c r="AYE40" s="863"/>
      <c r="AYF40" s="863"/>
      <c r="AYG40" s="863"/>
      <c r="AYH40" s="863"/>
      <c r="AYI40" s="863"/>
      <c r="AYJ40" s="863"/>
      <c r="AYK40" s="863"/>
      <c r="AYL40" s="863"/>
      <c r="AYM40" s="863"/>
      <c r="AYN40" s="863"/>
      <c r="AYO40" s="863"/>
      <c r="AYP40" s="863"/>
      <c r="AYQ40" s="863"/>
      <c r="AYR40" s="863"/>
      <c r="AYS40" s="883"/>
      <c r="AYT40" s="883"/>
      <c r="AYU40" s="883"/>
      <c r="AYV40" s="883"/>
      <c r="AYW40" s="883"/>
      <c r="AYX40" s="883"/>
      <c r="AYY40" s="883"/>
      <c r="AYZ40" s="883"/>
      <c r="AZA40" s="883"/>
      <c r="AZB40" s="863"/>
      <c r="AZC40" s="863"/>
      <c r="AZD40" s="863"/>
      <c r="AZE40" s="863"/>
      <c r="AZF40" s="863"/>
      <c r="AZG40" s="863"/>
      <c r="AZH40" s="863"/>
      <c r="AZI40" s="863"/>
      <c r="AZJ40" s="863"/>
      <c r="AZK40" s="863"/>
      <c r="AZL40" s="863"/>
      <c r="AZM40" s="863"/>
      <c r="AZN40" s="863"/>
      <c r="AZO40" s="863"/>
      <c r="AZP40" s="863"/>
      <c r="AZQ40" s="863"/>
      <c r="AZR40" s="863"/>
      <c r="AZS40" s="863"/>
      <c r="AZT40" s="863"/>
      <c r="AZU40" s="863"/>
      <c r="AZV40" s="863"/>
      <c r="AZW40" s="863"/>
      <c r="AZX40" s="863"/>
      <c r="AZY40" s="883"/>
      <c r="AZZ40" s="883"/>
      <c r="BAA40" s="883"/>
      <c r="BAB40" s="883"/>
      <c r="BAC40" s="883"/>
      <c r="BAD40" s="883"/>
      <c r="BAE40" s="883"/>
      <c r="BAF40" s="883"/>
      <c r="BAG40" s="883"/>
      <c r="BAH40" s="863"/>
      <c r="BAI40" s="863"/>
      <c r="BAJ40" s="863"/>
      <c r="BAK40" s="863"/>
      <c r="BAL40" s="863"/>
      <c r="BAM40" s="863"/>
      <c r="BAN40" s="863"/>
      <c r="BAO40" s="863"/>
      <c r="BAP40" s="863"/>
      <c r="BAQ40" s="863"/>
      <c r="BAR40" s="863"/>
      <c r="BAS40" s="863"/>
      <c r="BAT40" s="863"/>
      <c r="BAU40" s="863"/>
      <c r="BAV40" s="863"/>
      <c r="BAW40" s="863"/>
      <c r="BAX40" s="863"/>
      <c r="BAY40" s="863"/>
      <c r="BAZ40" s="863"/>
      <c r="BBA40" s="863"/>
      <c r="BBB40" s="863"/>
      <c r="BBC40" s="863"/>
      <c r="BBD40" s="863"/>
      <c r="BBE40" s="883"/>
      <c r="BBF40" s="883"/>
      <c r="BBG40" s="883"/>
      <c r="BBH40" s="883"/>
      <c r="BBI40" s="883"/>
      <c r="BBJ40" s="883"/>
      <c r="BBK40" s="883"/>
      <c r="BBL40" s="883"/>
      <c r="BBM40" s="883"/>
      <c r="BBN40" s="863"/>
      <c r="BBO40" s="863"/>
      <c r="BBP40" s="863"/>
      <c r="BBQ40" s="863"/>
      <c r="BBR40" s="863"/>
      <c r="BBS40" s="863"/>
      <c r="BBT40" s="863"/>
      <c r="BBU40" s="863"/>
      <c r="BBV40" s="863"/>
      <c r="BBW40" s="863"/>
      <c r="BBX40" s="863"/>
      <c r="BBY40" s="863"/>
      <c r="BBZ40" s="863"/>
      <c r="BCA40" s="863"/>
      <c r="BCB40" s="863"/>
      <c r="BCC40" s="863"/>
      <c r="BCD40" s="863"/>
      <c r="BCE40" s="863"/>
      <c r="BCF40" s="863"/>
      <c r="BCG40" s="863"/>
      <c r="BCH40" s="863"/>
      <c r="BCI40" s="863"/>
      <c r="BCJ40" s="863"/>
      <c r="BCK40" s="883"/>
      <c r="BCL40" s="883"/>
      <c r="BCM40" s="883"/>
      <c r="BCN40" s="883"/>
      <c r="BCO40" s="883"/>
      <c r="BCP40" s="883"/>
      <c r="BCQ40" s="883"/>
      <c r="BCR40" s="883"/>
      <c r="BCS40" s="883"/>
      <c r="BCT40" s="863"/>
      <c r="BCU40" s="863"/>
      <c r="BCV40" s="863"/>
      <c r="BCW40" s="863"/>
      <c r="BCX40" s="863"/>
      <c r="BCY40" s="863"/>
      <c r="BCZ40" s="863"/>
      <c r="BDA40" s="863"/>
      <c r="BDB40" s="863"/>
      <c r="BDC40" s="863"/>
      <c r="BDD40" s="863"/>
      <c r="BDE40" s="863"/>
      <c r="BDF40" s="863"/>
      <c r="BDG40" s="863"/>
      <c r="BDH40" s="863"/>
      <c r="BDI40" s="863"/>
      <c r="BDJ40" s="863"/>
      <c r="BDK40" s="863"/>
      <c r="BDL40" s="863"/>
      <c r="BDM40" s="863"/>
      <c r="BDN40" s="863"/>
      <c r="BDO40" s="863"/>
      <c r="BDP40" s="863"/>
      <c r="BDQ40" s="883"/>
      <c r="BDR40" s="883"/>
      <c r="BDS40" s="883"/>
      <c r="BDT40" s="883"/>
      <c r="BDU40" s="883"/>
      <c r="BDV40" s="883"/>
      <c r="BDW40" s="883"/>
      <c r="BDX40" s="883"/>
      <c r="BDY40" s="883"/>
      <c r="BDZ40" s="863"/>
      <c r="BEA40" s="863"/>
      <c r="BEB40" s="863"/>
      <c r="BEC40" s="863"/>
      <c r="BED40" s="863"/>
      <c r="BEE40" s="863"/>
      <c r="BEF40" s="863"/>
      <c r="BEG40" s="863"/>
      <c r="BEH40" s="863"/>
      <c r="BEI40" s="863"/>
      <c r="BEJ40" s="863"/>
      <c r="BEK40" s="863"/>
      <c r="BEL40" s="863"/>
      <c r="BEM40" s="863"/>
      <c r="BEN40" s="863"/>
      <c r="BEO40" s="863"/>
      <c r="BEP40" s="863"/>
      <c r="BEQ40" s="863"/>
      <c r="BER40" s="863"/>
      <c r="BES40" s="863"/>
      <c r="BET40" s="863"/>
      <c r="BEU40" s="863"/>
      <c r="BEV40" s="863"/>
      <c r="BEW40" s="883"/>
      <c r="BEX40" s="883"/>
      <c r="BEY40" s="883"/>
      <c r="BEZ40" s="883"/>
      <c r="BFA40" s="883"/>
      <c r="BFB40" s="883"/>
      <c r="BFC40" s="883"/>
      <c r="BFD40" s="883"/>
      <c r="BFE40" s="883"/>
      <c r="BFF40" s="863"/>
      <c r="BFG40" s="863"/>
      <c r="BFH40" s="863"/>
      <c r="BFI40" s="863"/>
      <c r="BFJ40" s="863"/>
      <c r="BFK40" s="863"/>
      <c r="BFL40" s="863"/>
      <c r="BFM40" s="863"/>
      <c r="BFN40" s="863"/>
      <c r="BFO40" s="863"/>
      <c r="BFP40" s="863"/>
      <c r="BFQ40" s="863"/>
      <c r="BFR40" s="863"/>
      <c r="BFS40" s="863"/>
      <c r="BFT40" s="863"/>
      <c r="BFU40" s="863"/>
      <c r="BFV40" s="863"/>
      <c r="BFW40" s="863"/>
      <c r="BFX40" s="863"/>
      <c r="BFY40" s="863"/>
      <c r="BFZ40" s="863"/>
      <c r="BGA40" s="863"/>
      <c r="BGB40" s="863"/>
      <c r="BGC40" s="883"/>
      <c r="BGD40" s="883"/>
      <c r="BGE40" s="883"/>
      <c r="BGF40" s="883"/>
      <c r="BGG40" s="883"/>
      <c r="BGH40" s="883"/>
      <c r="BGI40" s="883"/>
      <c r="BGJ40" s="883"/>
      <c r="BGK40" s="883"/>
      <c r="BGL40" s="863"/>
      <c r="BGM40" s="863"/>
      <c r="BGN40" s="863"/>
      <c r="BGO40" s="863"/>
      <c r="BGP40" s="863"/>
      <c r="BGQ40" s="863"/>
      <c r="BGR40" s="863"/>
      <c r="BGS40" s="863"/>
      <c r="BGT40" s="863"/>
      <c r="BGU40" s="863"/>
      <c r="BGV40" s="863"/>
      <c r="BGW40" s="863"/>
      <c r="BGX40" s="863"/>
      <c r="BGY40" s="863"/>
      <c r="BGZ40" s="863"/>
      <c r="BHA40" s="863"/>
      <c r="BHB40" s="863"/>
      <c r="BHC40" s="863"/>
      <c r="BHD40" s="863"/>
      <c r="BHE40" s="863"/>
      <c r="BHF40" s="863"/>
      <c r="BHG40" s="863"/>
      <c r="BHH40" s="863"/>
      <c r="BHI40" s="883"/>
      <c r="BHJ40" s="883"/>
      <c r="BHK40" s="883"/>
      <c r="BHL40" s="883"/>
      <c r="BHM40" s="883"/>
      <c r="BHN40" s="883"/>
      <c r="BHO40" s="883"/>
      <c r="BHP40" s="883"/>
      <c r="BHQ40" s="883"/>
      <c r="BHR40" s="863"/>
      <c r="BHS40" s="863"/>
      <c r="BHT40" s="863"/>
      <c r="BHU40" s="863"/>
      <c r="BHV40" s="863"/>
      <c r="BHW40" s="863"/>
      <c r="BHX40" s="863"/>
      <c r="BHY40" s="863"/>
      <c r="BHZ40" s="863"/>
      <c r="BIA40" s="863"/>
      <c r="BIB40" s="863"/>
      <c r="BIC40" s="863"/>
      <c r="BID40" s="863"/>
      <c r="BIE40" s="863"/>
      <c r="BIF40" s="863"/>
      <c r="BIG40" s="863"/>
      <c r="BIH40" s="863"/>
      <c r="BII40" s="863"/>
      <c r="BIJ40" s="863"/>
      <c r="BIK40" s="863"/>
      <c r="BIL40" s="863"/>
      <c r="BIM40" s="863"/>
      <c r="BIN40" s="863"/>
      <c r="BIO40" s="883"/>
      <c r="BIP40" s="883"/>
      <c r="BIQ40" s="883"/>
      <c r="BIR40" s="883"/>
      <c r="BIS40" s="883"/>
      <c r="BIT40" s="883"/>
      <c r="BIU40" s="883"/>
      <c r="BIV40" s="883"/>
      <c r="BIW40" s="883"/>
      <c r="BIX40" s="863"/>
      <c r="BIY40" s="863"/>
      <c r="BIZ40" s="863"/>
      <c r="BJA40" s="863"/>
      <c r="BJB40" s="863"/>
      <c r="BJC40" s="863"/>
      <c r="BJD40" s="863"/>
      <c r="BJE40" s="863"/>
      <c r="BJF40" s="863"/>
      <c r="BJG40" s="863"/>
      <c r="BJH40" s="863"/>
      <c r="BJI40" s="863"/>
      <c r="BJJ40" s="863"/>
      <c r="BJK40" s="863"/>
      <c r="BJL40" s="863"/>
      <c r="BJM40" s="863"/>
      <c r="BJN40" s="863"/>
      <c r="BJO40" s="863"/>
      <c r="BJP40" s="863"/>
      <c r="BJQ40" s="863"/>
      <c r="BJR40" s="863"/>
      <c r="BJS40" s="863"/>
      <c r="BJT40" s="863"/>
      <c r="BJU40" s="883"/>
      <c r="BJV40" s="883"/>
      <c r="BJW40" s="883"/>
      <c r="BJX40" s="883"/>
      <c r="BJY40" s="883"/>
      <c r="BJZ40" s="883"/>
      <c r="BKA40" s="883"/>
      <c r="BKB40" s="883"/>
      <c r="BKC40" s="883"/>
      <c r="BKD40" s="863"/>
      <c r="BKE40" s="863"/>
      <c r="BKF40" s="863"/>
      <c r="BKG40" s="863"/>
      <c r="BKH40" s="863"/>
      <c r="BKI40" s="863"/>
      <c r="BKJ40" s="863"/>
      <c r="BKK40" s="863"/>
      <c r="BKL40" s="863"/>
      <c r="BKM40" s="863"/>
      <c r="BKN40" s="863"/>
      <c r="BKO40" s="863"/>
      <c r="BKP40" s="863"/>
      <c r="BKQ40" s="863"/>
      <c r="BKR40" s="863"/>
      <c r="BKS40" s="863"/>
      <c r="BKT40" s="863"/>
      <c r="BKU40" s="863"/>
      <c r="BKV40" s="863"/>
      <c r="BKW40" s="863"/>
      <c r="BKX40" s="863"/>
      <c r="BKY40" s="863"/>
      <c r="BKZ40" s="863"/>
      <c r="BLA40" s="883"/>
      <c r="BLB40" s="883"/>
      <c r="BLC40" s="883"/>
      <c r="BLD40" s="883"/>
      <c r="BLE40" s="883"/>
      <c r="BLF40" s="883"/>
      <c r="BLG40" s="883"/>
      <c r="BLH40" s="883"/>
      <c r="BLI40" s="883"/>
      <c r="BLJ40" s="863"/>
      <c r="BLK40" s="863"/>
      <c r="BLL40" s="863"/>
      <c r="BLM40" s="863"/>
      <c r="BLN40" s="863"/>
      <c r="BLO40" s="863"/>
      <c r="BLP40" s="863"/>
      <c r="BLQ40" s="863"/>
      <c r="BLR40" s="863"/>
      <c r="BLS40" s="863"/>
      <c r="BLT40" s="863"/>
      <c r="BLU40" s="863"/>
      <c r="BLV40" s="863"/>
      <c r="BLW40" s="863"/>
      <c r="BLX40" s="863"/>
      <c r="BLY40" s="863"/>
      <c r="BLZ40" s="863"/>
      <c r="BMA40" s="863"/>
      <c r="BMB40" s="863"/>
      <c r="BMC40" s="863"/>
      <c r="BMD40" s="863"/>
      <c r="BME40" s="863"/>
      <c r="BMF40" s="863"/>
      <c r="BMG40" s="883"/>
      <c r="BMH40" s="883"/>
      <c r="BMI40" s="883"/>
      <c r="BMJ40" s="883"/>
      <c r="BMK40" s="883"/>
      <c r="BML40" s="883"/>
      <c r="BMM40" s="883"/>
      <c r="BMN40" s="883"/>
      <c r="BMO40" s="883"/>
      <c r="BMP40" s="863"/>
      <c r="BMQ40" s="863"/>
      <c r="BMR40" s="863"/>
      <c r="BMS40" s="863"/>
      <c r="BMT40" s="863"/>
      <c r="BMU40" s="863"/>
      <c r="BMV40" s="863"/>
      <c r="BMW40" s="863"/>
      <c r="BMX40" s="863"/>
      <c r="BMY40" s="863"/>
      <c r="BMZ40" s="863"/>
      <c r="BNA40" s="863"/>
      <c r="BNB40" s="863"/>
      <c r="BNC40" s="863"/>
      <c r="BND40" s="863"/>
      <c r="BNE40" s="863"/>
      <c r="BNF40" s="863"/>
      <c r="BNG40" s="863"/>
      <c r="BNH40" s="863"/>
      <c r="BNI40" s="863"/>
      <c r="BNJ40" s="863"/>
      <c r="BNK40" s="863"/>
      <c r="BNL40" s="863"/>
      <c r="BNM40" s="883"/>
      <c r="BNN40" s="883"/>
      <c r="BNO40" s="883"/>
      <c r="BNP40" s="883"/>
      <c r="BNQ40" s="883"/>
      <c r="BNR40" s="883"/>
      <c r="BNS40" s="883"/>
      <c r="BNT40" s="883"/>
      <c r="BNU40" s="883"/>
      <c r="BNV40" s="863"/>
      <c r="BNW40" s="863"/>
      <c r="BNX40" s="863"/>
      <c r="BNY40" s="863"/>
      <c r="BNZ40" s="863"/>
      <c r="BOA40" s="863"/>
      <c r="BOB40" s="863"/>
      <c r="BOC40" s="863"/>
      <c r="BOD40" s="863"/>
      <c r="BOE40" s="863"/>
      <c r="BOF40" s="863"/>
      <c r="BOG40" s="863"/>
      <c r="BOH40" s="863"/>
      <c r="BOI40" s="863"/>
      <c r="BOJ40" s="863"/>
      <c r="BOK40" s="863"/>
      <c r="BOL40" s="863"/>
      <c r="BOM40" s="863"/>
      <c r="BON40" s="863"/>
      <c r="BOO40" s="863"/>
      <c r="BOP40" s="863"/>
      <c r="BOQ40" s="863"/>
      <c r="BOR40" s="863"/>
      <c r="BOS40" s="883"/>
      <c r="BOT40" s="883"/>
      <c r="BOU40" s="883"/>
      <c r="BOV40" s="883"/>
      <c r="BOW40" s="883"/>
      <c r="BOX40" s="883"/>
      <c r="BOY40" s="883"/>
      <c r="BOZ40" s="883"/>
      <c r="BPA40" s="883"/>
      <c r="BPB40" s="863"/>
      <c r="BPC40" s="863"/>
      <c r="BPD40" s="863"/>
      <c r="BPE40" s="863"/>
      <c r="BPF40" s="863"/>
      <c r="BPG40" s="863"/>
      <c r="BPH40" s="863"/>
      <c r="BPI40" s="863"/>
      <c r="BPJ40" s="863"/>
      <c r="BPK40" s="863"/>
      <c r="BPL40" s="863"/>
      <c r="BPM40" s="863"/>
      <c r="BPN40" s="863"/>
      <c r="BPO40" s="863"/>
      <c r="BPP40" s="863"/>
      <c r="BPQ40" s="863"/>
      <c r="BPR40" s="863"/>
      <c r="BPS40" s="863"/>
      <c r="BPT40" s="863"/>
      <c r="BPU40" s="863"/>
      <c r="BPV40" s="863"/>
      <c r="BPW40" s="863"/>
      <c r="BPX40" s="863"/>
      <c r="BPY40" s="883"/>
      <c r="BPZ40" s="883"/>
      <c r="BQA40" s="883"/>
      <c r="BQB40" s="883"/>
      <c r="BQC40" s="883"/>
      <c r="BQD40" s="883"/>
      <c r="BQE40" s="883"/>
      <c r="BQF40" s="883"/>
      <c r="BQG40" s="883"/>
      <c r="BQH40" s="863"/>
      <c r="BQI40" s="863"/>
      <c r="BQJ40" s="863"/>
      <c r="BQK40" s="863"/>
      <c r="BQL40" s="863"/>
      <c r="BQM40" s="863"/>
      <c r="BQN40" s="863"/>
      <c r="BQO40" s="863"/>
      <c r="BQP40" s="863"/>
      <c r="BQQ40" s="863"/>
      <c r="BQR40" s="863"/>
      <c r="BQS40" s="863"/>
      <c r="BQT40" s="863"/>
      <c r="BQU40" s="863"/>
      <c r="BQV40" s="863"/>
      <c r="BQW40" s="863"/>
      <c r="BQX40" s="863"/>
      <c r="BQY40" s="863"/>
      <c r="BQZ40" s="863"/>
      <c r="BRA40" s="863"/>
      <c r="BRB40" s="863"/>
      <c r="BRC40" s="863"/>
      <c r="BRD40" s="863"/>
      <c r="BRE40" s="883"/>
      <c r="BRF40" s="883"/>
      <c r="BRG40" s="883"/>
      <c r="BRH40" s="883"/>
      <c r="BRI40" s="883"/>
      <c r="BRJ40" s="883"/>
      <c r="BRK40" s="883"/>
      <c r="BRL40" s="883"/>
      <c r="BRM40" s="883"/>
      <c r="BRN40" s="863"/>
      <c r="BRO40" s="863"/>
      <c r="BRP40" s="863"/>
      <c r="BRQ40" s="863"/>
      <c r="BRR40" s="863"/>
      <c r="BRS40" s="863"/>
      <c r="BRT40" s="863"/>
      <c r="BRU40" s="863"/>
      <c r="BRV40" s="863"/>
      <c r="BRW40" s="863"/>
      <c r="BRX40" s="863"/>
      <c r="BRY40" s="863"/>
      <c r="BRZ40" s="863"/>
      <c r="BSA40" s="863"/>
      <c r="BSB40" s="863"/>
      <c r="BSC40" s="863"/>
      <c r="BSD40" s="863"/>
      <c r="BSE40" s="863"/>
      <c r="BSF40" s="863"/>
      <c r="BSG40" s="863"/>
      <c r="BSH40" s="863"/>
      <c r="BSI40" s="863"/>
      <c r="BSJ40" s="863"/>
      <c r="BSK40" s="883"/>
      <c r="BSL40" s="883"/>
      <c r="BSM40" s="883"/>
      <c r="BSN40" s="883"/>
      <c r="BSO40" s="883"/>
      <c r="BSP40" s="883"/>
      <c r="BSQ40" s="883"/>
      <c r="BSR40" s="883"/>
      <c r="BSS40" s="883"/>
      <c r="BST40" s="863"/>
      <c r="BSU40" s="863"/>
      <c r="BSV40" s="863"/>
      <c r="BSW40" s="863"/>
      <c r="BSX40" s="863"/>
      <c r="BSY40" s="863"/>
      <c r="BSZ40" s="863"/>
      <c r="BTA40" s="863"/>
      <c r="BTB40" s="863"/>
      <c r="BTC40" s="863"/>
      <c r="BTD40" s="863"/>
      <c r="BTE40" s="863"/>
      <c r="BTF40" s="863"/>
      <c r="BTG40" s="863"/>
      <c r="BTH40" s="863"/>
      <c r="BTI40" s="863"/>
      <c r="BTJ40" s="863"/>
      <c r="BTK40" s="863"/>
      <c r="BTL40" s="863"/>
      <c r="BTM40" s="863"/>
      <c r="BTN40" s="863"/>
      <c r="BTO40" s="863"/>
      <c r="BTP40" s="863"/>
      <c r="BTQ40" s="883"/>
      <c r="BTR40" s="883"/>
      <c r="BTS40" s="883"/>
      <c r="BTT40" s="883"/>
      <c r="BTU40" s="883"/>
      <c r="BTV40" s="883"/>
      <c r="BTW40" s="883"/>
      <c r="BTX40" s="883"/>
      <c r="BTY40" s="883"/>
      <c r="BTZ40" s="863"/>
      <c r="BUA40" s="863"/>
      <c r="BUB40" s="863"/>
      <c r="BUC40" s="863"/>
      <c r="BUD40" s="863"/>
      <c r="BUE40" s="863"/>
      <c r="BUF40" s="863"/>
      <c r="BUG40" s="863"/>
      <c r="BUH40" s="863"/>
      <c r="BUI40" s="863"/>
      <c r="BUJ40" s="863"/>
      <c r="BUK40" s="863"/>
      <c r="BUL40" s="863"/>
      <c r="BUM40" s="863"/>
      <c r="BUN40" s="863"/>
      <c r="BUO40" s="863"/>
      <c r="BUP40" s="863"/>
      <c r="BUQ40" s="863"/>
      <c r="BUR40" s="863"/>
      <c r="BUS40" s="863"/>
      <c r="BUT40" s="863"/>
      <c r="BUU40" s="863"/>
      <c r="BUV40" s="863"/>
      <c r="BUW40" s="883"/>
      <c r="BUX40" s="883"/>
      <c r="BUY40" s="883"/>
      <c r="BUZ40" s="883"/>
      <c r="BVA40" s="883"/>
      <c r="BVB40" s="883"/>
      <c r="BVC40" s="883"/>
      <c r="BVD40" s="883"/>
      <c r="BVE40" s="883"/>
      <c r="BVF40" s="863"/>
      <c r="BVG40" s="863"/>
      <c r="BVH40" s="863"/>
      <c r="BVI40" s="863"/>
      <c r="BVJ40" s="863"/>
      <c r="BVK40" s="863"/>
      <c r="BVL40" s="863"/>
      <c r="BVM40" s="863"/>
      <c r="BVN40" s="863"/>
      <c r="BVO40" s="863"/>
      <c r="BVP40" s="863"/>
      <c r="BVQ40" s="863"/>
      <c r="BVR40" s="863"/>
      <c r="BVS40" s="863"/>
      <c r="BVT40" s="863"/>
      <c r="BVU40" s="863"/>
      <c r="BVV40" s="863"/>
      <c r="BVW40" s="863"/>
      <c r="BVX40" s="863"/>
      <c r="BVY40" s="863"/>
      <c r="BVZ40" s="863"/>
      <c r="BWA40" s="863"/>
      <c r="BWB40" s="863"/>
      <c r="BWC40" s="883"/>
      <c r="BWD40" s="883"/>
      <c r="BWE40" s="883"/>
      <c r="BWF40" s="883"/>
      <c r="BWG40" s="883"/>
      <c r="BWH40" s="883"/>
      <c r="BWI40" s="883"/>
      <c r="BWJ40" s="883"/>
      <c r="BWK40" s="883"/>
      <c r="BWL40" s="863"/>
      <c r="BWM40" s="863"/>
      <c r="BWN40" s="863"/>
      <c r="BWO40" s="863"/>
      <c r="BWP40" s="863"/>
      <c r="BWQ40" s="863"/>
      <c r="BWR40" s="863"/>
      <c r="BWS40" s="863"/>
      <c r="BWT40" s="863"/>
      <c r="BWU40" s="863"/>
      <c r="BWV40" s="863"/>
      <c r="BWW40" s="863"/>
      <c r="BWX40" s="863"/>
      <c r="BWY40" s="863"/>
      <c r="BWZ40" s="863"/>
      <c r="BXA40" s="863"/>
      <c r="BXB40" s="863"/>
      <c r="BXC40" s="863"/>
      <c r="BXD40" s="863"/>
      <c r="BXE40" s="863"/>
      <c r="BXF40" s="863"/>
      <c r="BXG40" s="863"/>
      <c r="BXH40" s="863"/>
      <c r="BXI40" s="883"/>
      <c r="BXJ40" s="883"/>
      <c r="BXK40" s="883"/>
      <c r="BXL40" s="883"/>
      <c r="BXM40" s="883"/>
      <c r="BXN40" s="883"/>
      <c r="BXO40" s="883"/>
      <c r="BXP40" s="883"/>
      <c r="BXQ40" s="883"/>
      <c r="BXR40" s="863"/>
      <c r="BXS40" s="863"/>
      <c r="BXT40" s="863"/>
      <c r="BXU40" s="863"/>
      <c r="BXV40" s="863"/>
      <c r="BXW40" s="863"/>
      <c r="BXX40" s="863"/>
      <c r="BXY40" s="863"/>
      <c r="BXZ40" s="863"/>
      <c r="BYA40" s="863"/>
      <c r="BYB40" s="863"/>
      <c r="BYC40" s="863"/>
      <c r="BYD40" s="863"/>
      <c r="BYE40" s="863"/>
      <c r="BYF40" s="863"/>
      <c r="BYG40" s="863"/>
      <c r="BYH40" s="863"/>
      <c r="BYI40" s="863"/>
      <c r="BYJ40" s="863"/>
      <c r="BYK40" s="863"/>
      <c r="BYL40" s="863"/>
      <c r="BYM40" s="863"/>
      <c r="BYN40" s="863"/>
      <c r="BYO40" s="883"/>
      <c r="BYP40" s="883"/>
      <c r="BYQ40" s="883"/>
      <c r="BYR40" s="883"/>
      <c r="BYS40" s="883"/>
      <c r="BYT40" s="883"/>
      <c r="BYU40" s="883"/>
      <c r="BYV40" s="883"/>
      <c r="BYW40" s="883"/>
      <c r="BYX40" s="863"/>
      <c r="BYY40" s="863"/>
      <c r="BYZ40" s="863"/>
      <c r="BZA40" s="863"/>
      <c r="BZB40" s="863"/>
      <c r="BZC40" s="863"/>
      <c r="BZD40" s="863"/>
      <c r="BZE40" s="863"/>
      <c r="BZF40" s="863"/>
      <c r="BZG40" s="863"/>
      <c r="BZH40" s="863"/>
      <c r="BZI40" s="863"/>
      <c r="BZJ40" s="863"/>
      <c r="BZK40" s="863"/>
      <c r="BZL40" s="863"/>
      <c r="BZM40" s="863"/>
      <c r="BZN40" s="863"/>
      <c r="BZO40" s="863"/>
      <c r="BZP40" s="863"/>
      <c r="BZQ40" s="863"/>
      <c r="BZR40" s="863"/>
      <c r="BZS40" s="863"/>
      <c r="BZT40" s="863"/>
      <c r="BZU40" s="883"/>
      <c r="BZV40" s="883"/>
      <c r="BZW40" s="883"/>
      <c r="BZX40" s="883"/>
      <c r="BZY40" s="883"/>
      <c r="BZZ40" s="883"/>
      <c r="CAA40" s="883"/>
      <c r="CAB40" s="883"/>
      <c r="CAC40" s="883"/>
      <c r="CAD40" s="863"/>
      <c r="CAE40" s="863"/>
      <c r="CAF40" s="863"/>
      <c r="CAG40" s="863"/>
      <c r="CAH40" s="863"/>
      <c r="CAI40" s="863"/>
      <c r="CAJ40" s="863"/>
      <c r="CAK40" s="863"/>
      <c r="CAL40" s="863"/>
      <c r="CAM40" s="863"/>
      <c r="CAN40" s="863"/>
      <c r="CAO40" s="863"/>
      <c r="CAP40" s="863"/>
      <c r="CAQ40" s="863"/>
      <c r="CAR40" s="863"/>
      <c r="CAS40" s="863"/>
      <c r="CAT40" s="863"/>
      <c r="CAU40" s="863"/>
      <c r="CAV40" s="863"/>
      <c r="CAW40" s="863"/>
      <c r="CAX40" s="863"/>
      <c r="CAY40" s="863"/>
      <c r="CAZ40" s="863"/>
      <c r="CBA40" s="883"/>
      <c r="CBB40" s="883"/>
      <c r="CBC40" s="883"/>
      <c r="CBD40" s="883"/>
      <c r="CBE40" s="883"/>
      <c r="CBF40" s="883"/>
      <c r="CBG40" s="883"/>
      <c r="CBH40" s="883"/>
      <c r="CBI40" s="883"/>
      <c r="CBJ40" s="863"/>
      <c r="CBK40" s="863"/>
      <c r="CBL40" s="863"/>
      <c r="CBM40" s="863"/>
      <c r="CBN40" s="863"/>
      <c r="CBO40" s="863"/>
      <c r="CBP40" s="863"/>
      <c r="CBQ40" s="863"/>
      <c r="CBR40" s="863"/>
      <c r="CBS40" s="863"/>
      <c r="CBT40" s="863"/>
      <c r="CBU40" s="863"/>
      <c r="CBV40" s="863"/>
      <c r="CBW40" s="863"/>
      <c r="CBX40" s="863"/>
      <c r="CBY40" s="863"/>
      <c r="CBZ40" s="863"/>
      <c r="CCA40" s="863"/>
      <c r="CCB40" s="863"/>
      <c r="CCC40" s="863"/>
      <c r="CCD40" s="863"/>
      <c r="CCE40" s="863"/>
      <c r="CCF40" s="863"/>
      <c r="CCG40" s="883"/>
      <c r="CCH40" s="883"/>
      <c r="CCI40" s="883"/>
      <c r="CCJ40" s="883"/>
      <c r="CCK40" s="883"/>
      <c r="CCL40" s="883"/>
      <c r="CCM40" s="883"/>
      <c r="CCN40" s="883"/>
      <c r="CCO40" s="883"/>
      <c r="CCP40" s="863"/>
      <c r="CCQ40" s="863"/>
      <c r="CCR40" s="863"/>
      <c r="CCS40" s="863"/>
      <c r="CCT40" s="863"/>
      <c r="CCU40" s="863"/>
      <c r="CCV40" s="863"/>
      <c r="CCW40" s="863"/>
      <c r="CCX40" s="863"/>
      <c r="CCY40" s="863"/>
      <c r="CCZ40" s="863"/>
      <c r="CDA40" s="863"/>
      <c r="CDB40" s="863"/>
      <c r="CDC40" s="863"/>
      <c r="CDD40" s="863"/>
      <c r="CDE40" s="863"/>
      <c r="CDF40" s="863"/>
      <c r="CDG40" s="863"/>
      <c r="CDH40" s="863"/>
      <c r="CDI40" s="863"/>
      <c r="CDJ40" s="863"/>
      <c r="CDK40" s="863"/>
      <c r="CDL40" s="863"/>
      <c r="CDM40" s="883"/>
      <c r="CDN40" s="883"/>
      <c r="CDO40" s="883"/>
      <c r="CDP40" s="883"/>
      <c r="CDQ40" s="883"/>
      <c r="CDR40" s="883"/>
      <c r="CDS40" s="883"/>
      <c r="CDT40" s="883"/>
      <c r="CDU40" s="883"/>
      <c r="CDV40" s="863"/>
      <c r="CDW40" s="863"/>
      <c r="CDX40" s="863"/>
      <c r="CDY40" s="863"/>
      <c r="CDZ40" s="863"/>
      <c r="CEA40" s="863"/>
      <c r="CEB40" s="863"/>
      <c r="CEC40" s="863"/>
      <c r="CED40" s="863"/>
      <c r="CEE40" s="863"/>
      <c r="CEF40" s="863"/>
      <c r="CEG40" s="863"/>
      <c r="CEH40" s="863"/>
      <c r="CEI40" s="863"/>
      <c r="CEJ40" s="863"/>
      <c r="CEK40" s="863"/>
      <c r="CEL40" s="863"/>
      <c r="CEM40" s="863"/>
      <c r="CEN40" s="863"/>
      <c r="CEO40" s="863"/>
      <c r="CEP40" s="863"/>
      <c r="CEQ40" s="863"/>
      <c r="CER40" s="863"/>
      <c r="CES40" s="883"/>
      <c r="CET40" s="883"/>
      <c r="CEU40" s="883"/>
      <c r="CEV40" s="883"/>
      <c r="CEW40" s="883"/>
      <c r="CEX40" s="883"/>
      <c r="CEY40" s="883"/>
      <c r="CEZ40" s="883"/>
      <c r="CFA40" s="883"/>
      <c r="CFB40" s="863"/>
      <c r="CFC40" s="863"/>
      <c r="CFD40" s="863"/>
      <c r="CFE40" s="863"/>
      <c r="CFF40" s="863"/>
      <c r="CFG40" s="863"/>
      <c r="CFH40" s="863"/>
      <c r="CFI40" s="863"/>
      <c r="CFJ40" s="863"/>
      <c r="CFK40" s="863"/>
      <c r="CFL40" s="863"/>
      <c r="CFM40" s="863"/>
      <c r="CFN40" s="863"/>
      <c r="CFO40" s="863"/>
      <c r="CFP40" s="863"/>
      <c r="CFQ40" s="863"/>
      <c r="CFR40" s="863"/>
      <c r="CFS40" s="863"/>
      <c r="CFT40" s="863"/>
      <c r="CFU40" s="863"/>
      <c r="CFV40" s="863"/>
      <c r="CFW40" s="863"/>
      <c r="CFX40" s="863"/>
      <c r="CFY40" s="883"/>
      <c r="CFZ40" s="883"/>
      <c r="CGA40" s="883"/>
      <c r="CGB40" s="883"/>
      <c r="CGC40" s="883"/>
      <c r="CGD40" s="883"/>
      <c r="CGE40" s="883"/>
      <c r="CGF40" s="883"/>
      <c r="CGG40" s="883"/>
      <c r="CGH40" s="863"/>
      <c r="CGI40" s="863"/>
      <c r="CGJ40" s="863"/>
      <c r="CGK40" s="863"/>
      <c r="CGL40" s="863"/>
      <c r="CGM40" s="863"/>
      <c r="CGN40" s="863"/>
      <c r="CGO40" s="863"/>
      <c r="CGP40" s="863"/>
      <c r="CGQ40" s="863"/>
      <c r="CGR40" s="863"/>
      <c r="CGS40" s="863"/>
      <c r="CGT40" s="863"/>
      <c r="CGU40" s="863"/>
      <c r="CGV40" s="863"/>
      <c r="CGW40" s="863"/>
      <c r="CGX40" s="863"/>
      <c r="CGY40" s="863"/>
      <c r="CGZ40" s="863"/>
      <c r="CHA40" s="863"/>
      <c r="CHB40" s="863"/>
      <c r="CHC40" s="863"/>
      <c r="CHD40" s="863"/>
      <c r="CHE40" s="883"/>
      <c r="CHF40" s="883"/>
      <c r="CHG40" s="883"/>
      <c r="CHH40" s="883"/>
      <c r="CHI40" s="883"/>
      <c r="CHJ40" s="883"/>
      <c r="CHK40" s="883"/>
      <c r="CHL40" s="883"/>
      <c r="CHM40" s="883"/>
      <c r="CHN40" s="863"/>
      <c r="CHO40" s="863"/>
      <c r="CHP40" s="863"/>
      <c r="CHQ40" s="863"/>
      <c r="CHR40" s="863"/>
      <c r="CHS40" s="863"/>
      <c r="CHT40" s="863"/>
      <c r="CHU40" s="863"/>
      <c r="CHV40" s="863"/>
      <c r="CHW40" s="863"/>
      <c r="CHX40" s="863"/>
      <c r="CHY40" s="863"/>
      <c r="CHZ40" s="863"/>
      <c r="CIA40" s="863"/>
      <c r="CIB40" s="863"/>
      <c r="CIC40" s="863"/>
      <c r="CID40" s="863"/>
      <c r="CIE40" s="863"/>
      <c r="CIF40" s="863"/>
      <c r="CIG40" s="863"/>
      <c r="CIH40" s="863"/>
      <c r="CII40" s="863"/>
      <c r="CIJ40" s="863"/>
      <c r="CIK40" s="883"/>
      <c r="CIL40" s="883"/>
      <c r="CIM40" s="883"/>
      <c r="CIN40" s="883"/>
      <c r="CIO40" s="883"/>
      <c r="CIP40" s="883"/>
      <c r="CIQ40" s="883"/>
      <c r="CIR40" s="883"/>
      <c r="CIS40" s="883"/>
      <c r="CIT40" s="863"/>
      <c r="CIU40" s="863"/>
      <c r="CIV40" s="863"/>
      <c r="CIW40" s="863"/>
      <c r="CIX40" s="863"/>
      <c r="CIY40" s="863"/>
      <c r="CIZ40" s="863"/>
      <c r="CJA40" s="863"/>
      <c r="CJB40" s="863"/>
      <c r="CJC40" s="863"/>
      <c r="CJD40" s="863"/>
      <c r="CJE40" s="863"/>
      <c r="CJF40" s="863"/>
      <c r="CJG40" s="863"/>
      <c r="CJH40" s="863"/>
      <c r="CJI40" s="863"/>
      <c r="CJJ40" s="863"/>
      <c r="CJK40" s="863"/>
      <c r="CJL40" s="863"/>
      <c r="CJM40" s="863"/>
      <c r="CJN40" s="863"/>
      <c r="CJO40" s="863"/>
      <c r="CJP40" s="863"/>
      <c r="CJQ40" s="883"/>
      <c r="CJR40" s="883"/>
      <c r="CJS40" s="883"/>
      <c r="CJT40" s="883"/>
      <c r="CJU40" s="883"/>
      <c r="CJV40" s="883"/>
      <c r="CJW40" s="883"/>
      <c r="CJX40" s="883"/>
      <c r="CJY40" s="883"/>
      <c r="CJZ40" s="863"/>
      <c r="CKA40" s="863"/>
      <c r="CKB40" s="863"/>
      <c r="CKC40" s="863"/>
      <c r="CKD40" s="863"/>
      <c r="CKE40" s="863"/>
      <c r="CKF40" s="863"/>
      <c r="CKG40" s="863"/>
      <c r="CKH40" s="863"/>
      <c r="CKI40" s="863"/>
      <c r="CKJ40" s="863"/>
      <c r="CKK40" s="863"/>
      <c r="CKL40" s="863"/>
      <c r="CKM40" s="863"/>
      <c r="CKN40" s="863"/>
      <c r="CKO40" s="863"/>
      <c r="CKP40" s="863"/>
      <c r="CKQ40" s="863"/>
      <c r="CKR40" s="863"/>
      <c r="CKS40" s="863"/>
      <c r="CKT40" s="863"/>
      <c r="CKU40" s="863"/>
      <c r="CKV40" s="863"/>
      <c r="CKW40" s="883"/>
      <c r="CKX40" s="883"/>
      <c r="CKY40" s="883"/>
      <c r="CKZ40" s="883"/>
      <c r="CLA40" s="883"/>
      <c r="CLB40" s="883"/>
      <c r="CLC40" s="883"/>
      <c r="CLD40" s="883"/>
      <c r="CLE40" s="883"/>
      <c r="CLF40" s="863"/>
      <c r="CLG40" s="863"/>
      <c r="CLH40" s="863"/>
      <c r="CLI40" s="863"/>
      <c r="CLJ40" s="863"/>
      <c r="CLK40" s="863"/>
      <c r="CLL40" s="863"/>
      <c r="CLM40" s="863"/>
      <c r="CLN40" s="863"/>
      <c r="CLO40" s="863"/>
      <c r="CLP40" s="863"/>
      <c r="CLQ40" s="863"/>
      <c r="CLR40" s="863"/>
      <c r="CLS40" s="863"/>
      <c r="CLT40" s="863"/>
      <c r="CLU40" s="863"/>
      <c r="CLV40" s="863"/>
      <c r="CLW40" s="863"/>
      <c r="CLX40" s="863"/>
      <c r="CLY40" s="863"/>
      <c r="CLZ40" s="863"/>
      <c r="CMA40" s="863"/>
      <c r="CMB40" s="863"/>
      <c r="CMC40" s="883"/>
      <c r="CMD40" s="883"/>
      <c r="CME40" s="883"/>
      <c r="CMF40" s="883"/>
      <c r="CMG40" s="883"/>
      <c r="CMH40" s="883"/>
      <c r="CMI40" s="883"/>
      <c r="CMJ40" s="883"/>
      <c r="CMK40" s="883"/>
      <c r="CML40" s="863"/>
      <c r="CMM40" s="863"/>
      <c r="CMN40" s="863"/>
      <c r="CMO40" s="863"/>
      <c r="CMP40" s="863"/>
      <c r="CMQ40" s="863"/>
      <c r="CMR40" s="863"/>
      <c r="CMS40" s="863"/>
      <c r="CMT40" s="863"/>
      <c r="CMU40" s="863"/>
      <c r="CMV40" s="863"/>
      <c r="CMW40" s="863"/>
      <c r="CMX40" s="863"/>
      <c r="CMY40" s="863"/>
      <c r="CMZ40" s="863"/>
      <c r="CNA40" s="863"/>
      <c r="CNB40" s="863"/>
      <c r="CNC40" s="863"/>
      <c r="CND40" s="863"/>
      <c r="CNE40" s="863"/>
      <c r="CNF40" s="863"/>
      <c r="CNG40" s="863"/>
      <c r="CNH40" s="863"/>
      <c r="CNI40" s="883"/>
      <c r="CNJ40" s="883"/>
      <c r="CNK40" s="883"/>
      <c r="CNL40" s="883"/>
      <c r="CNM40" s="883"/>
      <c r="CNN40" s="883"/>
      <c r="CNO40" s="883"/>
      <c r="CNP40" s="883"/>
      <c r="CNQ40" s="883"/>
      <c r="CNR40" s="863"/>
      <c r="CNS40" s="863"/>
      <c r="CNT40" s="863"/>
      <c r="CNU40" s="863"/>
      <c r="CNV40" s="863"/>
      <c r="CNW40" s="863"/>
      <c r="CNX40" s="863"/>
      <c r="CNY40" s="863"/>
      <c r="CNZ40" s="863"/>
      <c r="COA40" s="863"/>
      <c r="COB40" s="863"/>
      <c r="COC40" s="863"/>
      <c r="COD40" s="863"/>
      <c r="COE40" s="863"/>
      <c r="COF40" s="863"/>
      <c r="COG40" s="863"/>
      <c r="COH40" s="863"/>
      <c r="COI40" s="863"/>
      <c r="COJ40" s="863"/>
      <c r="COK40" s="863"/>
      <c r="COL40" s="863"/>
      <c r="COM40" s="863"/>
      <c r="CON40" s="863"/>
      <c r="COO40" s="883"/>
      <c r="COP40" s="883"/>
      <c r="COQ40" s="883"/>
      <c r="COR40" s="883"/>
      <c r="COS40" s="883"/>
      <c r="COT40" s="883"/>
      <c r="COU40" s="883"/>
      <c r="COV40" s="883"/>
      <c r="COW40" s="883"/>
      <c r="COX40" s="863"/>
      <c r="COY40" s="863"/>
      <c r="COZ40" s="863"/>
      <c r="CPA40" s="863"/>
      <c r="CPB40" s="863"/>
      <c r="CPC40" s="863"/>
      <c r="CPD40" s="863"/>
      <c r="CPE40" s="863"/>
      <c r="CPF40" s="863"/>
      <c r="CPG40" s="863"/>
      <c r="CPH40" s="863"/>
      <c r="CPI40" s="863"/>
      <c r="CPJ40" s="863"/>
      <c r="CPK40" s="863"/>
      <c r="CPL40" s="863"/>
      <c r="CPM40" s="863"/>
      <c r="CPN40" s="863"/>
      <c r="CPO40" s="863"/>
      <c r="CPP40" s="863"/>
      <c r="CPQ40" s="863"/>
      <c r="CPR40" s="863"/>
      <c r="CPS40" s="863"/>
      <c r="CPT40" s="863"/>
      <c r="CPU40" s="883"/>
      <c r="CPV40" s="883"/>
      <c r="CPW40" s="883"/>
      <c r="CPX40" s="883"/>
      <c r="CPY40" s="883"/>
      <c r="CPZ40" s="883"/>
      <c r="CQA40" s="883"/>
      <c r="CQB40" s="883"/>
      <c r="CQC40" s="883"/>
      <c r="CQD40" s="863"/>
      <c r="CQE40" s="863"/>
      <c r="CQF40" s="863"/>
      <c r="CQG40" s="863"/>
      <c r="CQH40" s="863"/>
      <c r="CQI40" s="863"/>
      <c r="CQJ40" s="863"/>
      <c r="CQK40" s="863"/>
      <c r="CQL40" s="863"/>
      <c r="CQM40" s="863"/>
      <c r="CQN40" s="863"/>
      <c r="CQO40" s="863"/>
      <c r="CQP40" s="863"/>
      <c r="CQQ40" s="863"/>
      <c r="CQR40" s="863"/>
      <c r="CQS40" s="863"/>
      <c r="CQT40" s="863"/>
      <c r="CQU40" s="863"/>
      <c r="CQV40" s="863"/>
      <c r="CQW40" s="863"/>
      <c r="CQX40" s="863"/>
      <c r="CQY40" s="863"/>
      <c r="CQZ40" s="863"/>
      <c r="CRA40" s="883"/>
      <c r="CRB40" s="883"/>
      <c r="CRC40" s="883"/>
      <c r="CRD40" s="883"/>
      <c r="CRE40" s="883"/>
      <c r="CRF40" s="883"/>
      <c r="CRG40" s="883"/>
      <c r="CRH40" s="883"/>
      <c r="CRI40" s="883"/>
      <c r="CRJ40" s="863"/>
      <c r="CRK40" s="863"/>
      <c r="CRL40" s="863"/>
      <c r="CRM40" s="863"/>
      <c r="CRN40" s="863"/>
      <c r="CRO40" s="863"/>
      <c r="CRP40" s="863"/>
      <c r="CRQ40" s="863"/>
      <c r="CRR40" s="863"/>
      <c r="CRS40" s="863"/>
      <c r="CRT40" s="863"/>
      <c r="CRU40" s="863"/>
      <c r="CRV40" s="863"/>
      <c r="CRW40" s="863"/>
      <c r="CRX40" s="863"/>
      <c r="CRY40" s="863"/>
      <c r="CRZ40" s="863"/>
      <c r="CSA40" s="863"/>
      <c r="CSB40" s="863"/>
      <c r="CSC40" s="863"/>
      <c r="CSD40" s="863"/>
      <c r="CSE40" s="863"/>
      <c r="CSF40" s="863"/>
      <c r="CSG40" s="883"/>
      <c r="CSH40" s="883"/>
      <c r="CSI40" s="883"/>
      <c r="CSJ40" s="883"/>
      <c r="CSK40" s="883"/>
      <c r="CSL40" s="883"/>
      <c r="CSM40" s="883"/>
      <c r="CSN40" s="883"/>
      <c r="CSO40" s="883"/>
      <c r="CSP40" s="863"/>
      <c r="CSQ40" s="863"/>
      <c r="CSR40" s="863"/>
      <c r="CSS40" s="863"/>
      <c r="CST40" s="863"/>
      <c r="CSU40" s="863"/>
      <c r="CSV40" s="863"/>
      <c r="CSW40" s="863"/>
      <c r="CSX40" s="863"/>
      <c r="CSY40" s="863"/>
      <c r="CSZ40" s="863"/>
      <c r="CTA40" s="863"/>
      <c r="CTB40" s="863"/>
      <c r="CTC40" s="863"/>
      <c r="CTD40" s="863"/>
      <c r="CTE40" s="863"/>
      <c r="CTF40" s="863"/>
      <c r="CTG40" s="863"/>
      <c r="CTH40" s="863"/>
      <c r="CTI40" s="863"/>
      <c r="CTJ40" s="863"/>
      <c r="CTK40" s="863"/>
      <c r="CTL40" s="863"/>
      <c r="CTM40" s="883"/>
      <c r="CTN40" s="883"/>
      <c r="CTO40" s="883"/>
      <c r="CTP40" s="883"/>
      <c r="CTQ40" s="883"/>
      <c r="CTR40" s="883"/>
      <c r="CTS40" s="883"/>
      <c r="CTT40" s="883"/>
      <c r="CTU40" s="883"/>
      <c r="CTV40" s="863"/>
      <c r="CTW40" s="863"/>
      <c r="CTX40" s="863"/>
      <c r="CTY40" s="863"/>
      <c r="CTZ40" s="863"/>
      <c r="CUA40" s="863"/>
      <c r="CUB40" s="863"/>
      <c r="CUC40" s="863"/>
      <c r="CUD40" s="863"/>
      <c r="CUE40" s="863"/>
      <c r="CUF40" s="863"/>
      <c r="CUG40" s="863"/>
      <c r="CUH40" s="863"/>
      <c r="CUI40" s="863"/>
      <c r="CUJ40" s="863"/>
      <c r="CUK40" s="863"/>
      <c r="CUL40" s="863"/>
      <c r="CUM40" s="863"/>
      <c r="CUN40" s="863"/>
      <c r="CUO40" s="863"/>
      <c r="CUP40" s="863"/>
      <c r="CUQ40" s="863"/>
      <c r="CUR40" s="863"/>
      <c r="CUS40" s="883"/>
      <c r="CUT40" s="883"/>
      <c r="CUU40" s="883"/>
      <c r="CUV40" s="883"/>
      <c r="CUW40" s="883"/>
      <c r="CUX40" s="883"/>
      <c r="CUY40" s="883"/>
      <c r="CUZ40" s="883"/>
      <c r="CVA40" s="883"/>
      <c r="CVB40" s="863"/>
      <c r="CVC40" s="863"/>
      <c r="CVD40" s="863"/>
      <c r="CVE40" s="863"/>
      <c r="CVF40" s="863"/>
      <c r="CVG40" s="863"/>
      <c r="CVH40" s="863"/>
      <c r="CVI40" s="863"/>
      <c r="CVJ40" s="863"/>
      <c r="CVK40" s="863"/>
      <c r="CVL40" s="863"/>
      <c r="CVM40" s="863"/>
      <c r="CVN40" s="863"/>
      <c r="CVO40" s="863"/>
      <c r="CVP40" s="863"/>
      <c r="CVQ40" s="863"/>
      <c r="CVR40" s="863"/>
      <c r="CVS40" s="863"/>
      <c r="CVT40" s="863"/>
      <c r="CVU40" s="863"/>
      <c r="CVV40" s="863"/>
      <c r="CVW40" s="863"/>
      <c r="CVX40" s="863"/>
      <c r="CVY40" s="883"/>
      <c r="CVZ40" s="883"/>
      <c r="CWA40" s="883"/>
      <c r="CWB40" s="883"/>
      <c r="CWC40" s="883"/>
      <c r="CWD40" s="883"/>
      <c r="CWE40" s="883"/>
      <c r="CWF40" s="883"/>
      <c r="CWG40" s="883"/>
      <c r="CWH40" s="863"/>
      <c r="CWI40" s="863"/>
      <c r="CWJ40" s="863"/>
      <c r="CWK40" s="863"/>
      <c r="CWL40" s="863"/>
      <c r="CWM40" s="863"/>
      <c r="CWN40" s="863"/>
      <c r="CWO40" s="863"/>
      <c r="CWP40" s="863"/>
      <c r="CWQ40" s="863"/>
      <c r="CWR40" s="863"/>
      <c r="CWS40" s="863"/>
      <c r="CWT40" s="863"/>
      <c r="CWU40" s="863"/>
      <c r="CWV40" s="863"/>
      <c r="CWW40" s="863"/>
      <c r="CWX40" s="863"/>
      <c r="CWY40" s="863"/>
      <c r="CWZ40" s="863"/>
      <c r="CXA40" s="863"/>
      <c r="CXB40" s="863"/>
      <c r="CXC40" s="863"/>
      <c r="CXD40" s="863"/>
      <c r="CXE40" s="883"/>
      <c r="CXF40" s="883"/>
      <c r="CXG40" s="883"/>
      <c r="CXH40" s="883"/>
      <c r="CXI40" s="883"/>
      <c r="CXJ40" s="883"/>
      <c r="CXK40" s="883"/>
      <c r="CXL40" s="883"/>
      <c r="CXM40" s="883"/>
      <c r="CXN40" s="863"/>
      <c r="CXO40" s="863"/>
      <c r="CXP40" s="863"/>
      <c r="CXQ40" s="863"/>
      <c r="CXR40" s="863"/>
      <c r="CXS40" s="863"/>
      <c r="CXT40" s="863"/>
      <c r="CXU40" s="863"/>
      <c r="CXV40" s="863"/>
      <c r="CXW40" s="863"/>
      <c r="CXX40" s="863"/>
      <c r="CXY40" s="863"/>
      <c r="CXZ40" s="863"/>
      <c r="CYA40" s="863"/>
      <c r="CYB40" s="863"/>
      <c r="CYC40" s="863"/>
      <c r="CYD40" s="863"/>
      <c r="CYE40" s="863"/>
      <c r="CYF40" s="863"/>
      <c r="CYG40" s="863"/>
      <c r="CYH40" s="863"/>
      <c r="CYI40" s="863"/>
      <c r="CYJ40" s="863"/>
      <c r="CYK40" s="883"/>
      <c r="CYL40" s="883"/>
      <c r="CYM40" s="883"/>
      <c r="CYN40" s="883"/>
      <c r="CYO40" s="883"/>
      <c r="CYP40" s="883"/>
      <c r="CYQ40" s="883"/>
      <c r="CYR40" s="883"/>
      <c r="CYS40" s="883"/>
      <c r="CYT40" s="863"/>
      <c r="CYU40" s="863"/>
      <c r="CYV40" s="863"/>
      <c r="CYW40" s="863"/>
      <c r="CYX40" s="863"/>
      <c r="CYY40" s="863"/>
      <c r="CYZ40" s="863"/>
      <c r="CZA40" s="863"/>
      <c r="CZB40" s="863"/>
      <c r="CZC40" s="863"/>
      <c r="CZD40" s="863"/>
      <c r="CZE40" s="863"/>
      <c r="CZF40" s="863"/>
      <c r="CZG40" s="863"/>
      <c r="CZH40" s="863"/>
      <c r="CZI40" s="863"/>
      <c r="CZJ40" s="863"/>
      <c r="CZK40" s="863"/>
      <c r="CZL40" s="863"/>
      <c r="CZM40" s="863"/>
      <c r="CZN40" s="863"/>
      <c r="CZO40" s="863"/>
      <c r="CZP40" s="863"/>
      <c r="CZQ40" s="883"/>
      <c r="CZR40" s="883"/>
      <c r="CZS40" s="883"/>
      <c r="CZT40" s="883"/>
      <c r="CZU40" s="883"/>
      <c r="CZV40" s="883"/>
      <c r="CZW40" s="883"/>
      <c r="CZX40" s="883"/>
      <c r="CZY40" s="883"/>
      <c r="CZZ40" s="863"/>
      <c r="DAA40" s="863"/>
      <c r="DAB40" s="863"/>
      <c r="DAC40" s="863"/>
      <c r="DAD40" s="863"/>
      <c r="DAE40" s="863"/>
      <c r="DAF40" s="863"/>
      <c r="DAG40" s="863"/>
      <c r="DAH40" s="863"/>
      <c r="DAI40" s="863"/>
      <c r="DAJ40" s="863"/>
      <c r="DAK40" s="863"/>
      <c r="DAL40" s="863"/>
      <c r="DAM40" s="863"/>
      <c r="DAN40" s="863"/>
      <c r="DAO40" s="863"/>
      <c r="DAP40" s="863"/>
      <c r="DAQ40" s="863"/>
      <c r="DAR40" s="863"/>
      <c r="DAS40" s="863"/>
      <c r="DAT40" s="863"/>
      <c r="DAU40" s="863"/>
      <c r="DAV40" s="863"/>
      <c r="DAW40" s="883"/>
      <c r="DAX40" s="883"/>
      <c r="DAY40" s="883"/>
      <c r="DAZ40" s="883"/>
      <c r="DBA40" s="883"/>
      <c r="DBB40" s="883"/>
      <c r="DBC40" s="883"/>
      <c r="DBD40" s="883"/>
      <c r="DBE40" s="883"/>
      <c r="DBF40" s="863"/>
      <c r="DBG40" s="863"/>
      <c r="DBH40" s="863"/>
      <c r="DBI40" s="863"/>
      <c r="DBJ40" s="863"/>
      <c r="DBK40" s="863"/>
      <c r="DBL40" s="863"/>
      <c r="DBM40" s="863"/>
      <c r="DBN40" s="863"/>
      <c r="DBO40" s="863"/>
      <c r="DBP40" s="863"/>
      <c r="DBQ40" s="863"/>
      <c r="DBR40" s="863"/>
      <c r="DBS40" s="863"/>
      <c r="DBT40" s="863"/>
      <c r="DBU40" s="863"/>
      <c r="DBV40" s="863"/>
      <c r="DBW40" s="863"/>
      <c r="DBX40" s="863"/>
      <c r="DBY40" s="863"/>
      <c r="DBZ40" s="863"/>
      <c r="DCA40" s="863"/>
      <c r="DCB40" s="863"/>
      <c r="DCC40" s="883"/>
      <c r="DCD40" s="883"/>
      <c r="DCE40" s="883"/>
      <c r="DCF40" s="883"/>
      <c r="DCG40" s="883"/>
      <c r="DCH40" s="883"/>
      <c r="DCI40" s="883"/>
      <c r="DCJ40" s="883"/>
      <c r="DCK40" s="883"/>
      <c r="DCL40" s="863"/>
      <c r="DCM40" s="863"/>
      <c r="DCN40" s="863"/>
      <c r="DCO40" s="863"/>
      <c r="DCP40" s="863"/>
      <c r="DCQ40" s="863"/>
      <c r="DCR40" s="863"/>
      <c r="DCS40" s="863"/>
      <c r="DCT40" s="863"/>
      <c r="DCU40" s="863"/>
      <c r="DCV40" s="863"/>
      <c r="DCW40" s="863"/>
      <c r="DCX40" s="863"/>
      <c r="DCY40" s="863"/>
      <c r="DCZ40" s="863"/>
      <c r="DDA40" s="863"/>
      <c r="DDB40" s="863"/>
      <c r="DDC40" s="863"/>
      <c r="DDD40" s="863"/>
      <c r="DDE40" s="863"/>
      <c r="DDF40" s="863"/>
      <c r="DDG40" s="863"/>
      <c r="DDH40" s="863"/>
      <c r="DDI40" s="883"/>
      <c r="DDJ40" s="883"/>
      <c r="DDK40" s="883"/>
      <c r="DDL40" s="883"/>
      <c r="DDM40" s="883"/>
      <c r="DDN40" s="883"/>
      <c r="DDO40" s="883"/>
      <c r="DDP40" s="883"/>
      <c r="DDQ40" s="883"/>
      <c r="DDR40" s="863"/>
      <c r="DDS40" s="863"/>
      <c r="DDT40" s="863"/>
      <c r="DDU40" s="863"/>
      <c r="DDV40" s="863"/>
      <c r="DDW40" s="863"/>
      <c r="DDX40" s="863"/>
      <c r="DDY40" s="863"/>
      <c r="DDZ40" s="863"/>
      <c r="DEA40" s="863"/>
      <c r="DEB40" s="863"/>
      <c r="DEC40" s="863"/>
      <c r="DED40" s="863"/>
      <c r="DEE40" s="863"/>
      <c r="DEF40" s="863"/>
      <c r="DEG40" s="863"/>
      <c r="DEH40" s="863"/>
      <c r="DEI40" s="863"/>
      <c r="DEJ40" s="863"/>
      <c r="DEK40" s="863"/>
      <c r="DEL40" s="863"/>
      <c r="DEM40" s="863"/>
      <c r="DEN40" s="863"/>
      <c r="DEO40" s="883"/>
      <c r="DEP40" s="883"/>
      <c r="DEQ40" s="883"/>
      <c r="DER40" s="883"/>
      <c r="DES40" s="883"/>
      <c r="DET40" s="883"/>
      <c r="DEU40" s="883"/>
      <c r="DEV40" s="883"/>
      <c r="DEW40" s="883"/>
      <c r="DEX40" s="863"/>
      <c r="DEY40" s="863"/>
      <c r="DEZ40" s="863"/>
      <c r="DFA40" s="863"/>
      <c r="DFB40" s="863"/>
      <c r="DFC40" s="863"/>
      <c r="DFD40" s="863"/>
      <c r="DFE40" s="863"/>
      <c r="DFF40" s="863"/>
      <c r="DFG40" s="863"/>
      <c r="DFH40" s="863"/>
      <c r="DFI40" s="863"/>
      <c r="DFJ40" s="863"/>
      <c r="DFK40" s="863"/>
      <c r="DFL40" s="863"/>
      <c r="DFM40" s="863"/>
      <c r="DFN40" s="863"/>
      <c r="DFO40" s="863"/>
      <c r="DFP40" s="863"/>
      <c r="DFQ40" s="863"/>
      <c r="DFR40" s="863"/>
      <c r="DFS40" s="863"/>
      <c r="DFT40" s="863"/>
      <c r="DFU40" s="883"/>
      <c r="DFV40" s="883"/>
      <c r="DFW40" s="883"/>
      <c r="DFX40" s="883"/>
      <c r="DFY40" s="883"/>
      <c r="DFZ40" s="883"/>
      <c r="DGA40" s="883"/>
      <c r="DGB40" s="883"/>
      <c r="DGC40" s="883"/>
      <c r="DGD40" s="863"/>
      <c r="DGE40" s="863"/>
      <c r="DGF40" s="863"/>
      <c r="DGG40" s="863"/>
      <c r="DGH40" s="863"/>
      <c r="DGI40" s="863"/>
      <c r="DGJ40" s="863"/>
      <c r="DGK40" s="863"/>
      <c r="DGL40" s="863"/>
      <c r="DGM40" s="863"/>
      <c r="DGN40" s="863"/>
      <c r="DGO40" s="863"/>
      <c r="DGP40" s="863"/>
      <c r="DGQ40" s="863"/>
      <c r="DGR40" s="863"/>
      <c r="DGS40" s="863"/>
      <c r="DGT40" s="863"/>
      <c r="DGU40" s="863"/>
      <c r="DGV40" s="863"/>
      <c r="DGW40" s="863"/>
      <c r="DGX40" s="863"/>
      <c r="DGY40" s="863"/>
      <c r="DGZ40" s="863"/>
      <c r="DHA40" s="883"/>
      <c r="DHB40" s="883"/>
      <c r="DHC40" s="883"/>
      <c r="DHD40" s="883"/>
      <c r="DHE40" s="883"/>
      <c r="DHF40" s="883"/>
      <c r="DHG40" s="883"/>
      <c r="DHH40" s="883"/>
      <c r="DHI40" s="883"/>
      <c r="DHJ40" s="863"/>
      <c r="DHK40" s="863"/>
      <c r="DHL40" s="863"/>
      <c r="DHM40" s="863"/>
      <c r="DHN40" s="863"/>
      <c r="DHO40" s="863"/>
      <c r="DHP40" s="863"/>
      <c r="DHQ40" s="863"/>
      <c r="DHR40" s="863"/>
      <c r="DHS40" s="863"/>
      <c r="DHT40" s="863"/>
      <c r="DHU40" s="863"/>
      <c r="DHV40" s="863"/>
      <c r="DHW40" s="863"/>
      <c r="DHX40" s="863"/>
      <c r="DHY40" s="863"/>
      <c r="DHZ40" s="863"/>
      <c r="DIA40" s="863"/>
      <c r="DIB40" s="863"/>
      <c r="DIC40" s="863"/>
      <c r="DID40" s="863"/>
      <c r="DIE40" s="863"/>
      <c r="DIF40" s="863"/>
      <c r="DIG40" s="883"/>
      <c r="DIH40" s="883"/>
      <c r="DII40" s="883"/>
      <c r="DIJ40" s="883"/>
      <c r="DIK40" s="883"/>
      <c r="DIL40" s="883"/>
      <c r="DIM40" s="883"/>
      <c r="DIN40" s="883"/>
      <c r="DIO40" s="883"/>
      <c r="DIP40" s="863"/>
      <c r="DIQ40" s="863"/>
      <c r="DIR40" s="863"/>
      <c r="DIS40" s="863"/>
      <c r="DIT40" s="863"/>
      <c r="DIU40" s="863"/>
      <c r="DIV40" s="863"/>
      <c r="DIW40" s="863"/>
      <c r="DIX40" s="863"/>
      <c r="DIY40" s="863"/>
      <c r="DIZ40" s="863"/>
      <c r="DJA40" s="863"/>
      <c r="DJB40" s="863"/>
      <c r="DJC40" s="863"/>
      <c r="DJD40" s="863"/>
      <c r="DJE40" s="863"/>
      <c r="DJF40" s="863"/>
      <c r="DJG40" s="863"/>
      <c r="DJH40" s="863"/>
      <c r="DJI40" s="863"/>
      <c r="DJJ40" s="863"/>
      <c r="DJK40" s="863"/>
      <c r="DJL40" s="863"/>
      <c r="DJM40" s="883"/>
      <c r="DJN40" s="883"/>
      <c r="DJO40" s="883"/>
      <c r="DJP40" s="883"/>
      <c r="DJQ40" s="883"/>
      <c r="DJR40" s="883"/>
      <c r="DJS40" s="883"/>
      <c r="DJT40" s="883"/>
      <c r="DJU40" s="883"/>
      <c r="DJV40" s="863"/>
      <c r="DJW40" s="863"/>
      <c r="DJX40" s="863"/>
      <c r="DJY40" s="863"/>
      <c r="DJZ40" s="863"/>
      <c r="DKA40" s="863"/>
      <c r="DKB40" s="863"/>
      <c r="DKC40" s="863"/>
      <c r="DKD40" s="863"/>
      <c r="DKE40" s="863"/>
      <c r="DKF40" s="863"/>
      <c r="DKG40" s="863"/>
      <c r="DKH40" s="863"/>
      <c r="DKI40" s="863"/>
      <c r="DKJ40" s="863"/>
      <c r="DKK40" s="863"/>
      <c r="DKL40" s="863"/>
      <c r="DKM40" s="863"/>
      <c r="DKN40" s="863"/>
      <c r="DKO40" s="863"/>
      <c r="DKP40" s="863"/>
      <c r="DKQ40" s="863"/>
      <c r="DKR40" s="863"/>
      <c r="DKS40" s="883"/>
      <c r="DKT40" s="883"/>
      <c r="DKU40" s="883"/>
      <c r="DKV40" s="883"/>
      <c r="DKW40" s="883"/>
      <c r="DKX40" s="883"/>
      <c r="DKY40" s="883"/>
      <c r="DKZ40" s="883"/>
      <c r="DLA40" s="883"/>
      <c r="DLB40" s="863"/>
      <c r="DLC40" s="863"/>
      <c r="DLD40" s="863"/>
      <c r="DLE40" s="863"/>
      <c r="DLF40" s="863"/>
      <c r="DLG40" s="863"/>
      <c r="DLH40" s="863"/>
      <c r="DLI40" s="863"/>
      <c r="DLJ40" s="863"/>
      <c r="DLK40" s="863"/>
      <c r="DLL40" s="863"/>
      <c r="DLM40" s="863"/>
      <c r="DLN40" s="863"/>
      <c r="DLO40" s="863"/>
      <c r="DLP40" s="863"/>
      <c r="DLQ40" s="863"/>
      <c r="DLR40" s="863"/>
      <c r="DLS40" s="863"/>
      <c r="DLT40" s="863"/>
      <c r="DLU40" s="863"/>
      <c r="DLV40" s="863"/>
      <c r="DLW40" s="863"/>
      <c r="DLX40" s="863"/>
      <c r="DLY40" s="883"/>
      <c r="DLZ40" s="883"/>
      <c r="DMA40" s="883"/>
      <c r="DMB40" s="883"/>
      <c r="DMC40" s="883"/>
      <c r="DMD40" s="883"/>
      <c r="DME40" s="883"/>
      <c r="DMF40" s="883"/>
      <c r="DMG40" s="883"/>
      <c r="DMH40" s="863"/>
      <c r="DMI40" s="863"/>
      <c r="DMJ40" s="863"/>
      <c r="DMK40" s="863"/>
      <c r="DML40" s="863"/>
      <c r="DMM40" s="863"/>
      <c r="DMN40" s="863"/>
      <c r="DMO40" s="863"/>
      <c r="DMP40" s="863"/>
      <c r="DMQ40" s="863"/>
      <c r="DMR40" s="863"/>
      <c r="DMS40" s="863"/>
      <c r="DMT40" s="863"/>
      <c r="DMU40" s="863"/>
      <c r="DMV40" s="863"/>
      <c r="DMW40" s="863"/>
      <c r="DMX40" s="863"/>
      <c r="DMY40" s="863"/>
      <c r="DMZ40" s="863"/>
      <c r="DNA40" s="863"/>
      <c r="DNB40" s="863"/>
      <c r="DNC40" s="863"/>
      <c r="DND40" s="863"/>
      <c r="DNE40" s="883"/>
      <c r="DNF40" s="883"/>
      <c r="DNG40" s="883"/>
      <c r="DNH40" s="883"/>
      <c r="DNI40" s="883"/>
      <c r="DNJ40" s="883"/>
      <c r="DNK40" s="883"/>
      <c r="DNL40" s="883"/>
      <c r="DNM40" s="883"/>
      <c r="DNN40" s="863"/>
      <c r="DNO40" s="863"/>
      <c r="DNP40" s="863"/>
      <c r="DNQ40" s="863"/>
      <c r="DNR40" s="863"/>
      <c r="DNS40" s="863"/>
      <c r="DNT40" s="863"/>
      <c r="DNU40" s="863"/>
      <c r="DNV40" s="863"/>
      <c r="DNW40" s="863"/>
      <c r="DNX40" s="863"/>
      <c r="DNY40" s="863"/>
      <c r="DNZ40" s="863"/>
      <c r="DOA40" s="863"/>
      <c r="DOB40" s="863"/>
      <c r="DOC40" s="863"/>
      <c r="DOD40" s="863"/>
      <c r="DOE40" s="863"/>
      <c r="DOF40" s="863"/>
      <c r="DOG40" s="863"/>
      <c r="DOH40" s="863"/>
      <c r="DOI40" s="863"/>
      <c r="DOJ40" s="863"/>
      <c r="DOK40" s="883"/>
      <c r="DOL40" s="883"/>
      <c r="DOM40" s="883"/>
      <c r="DON40" s="883"/>
      <c r="DOO40" s="883"/>
      <c r="DOP40" s="883"/>
      <c r="DOQ40" s="883"/>
      <c r="DOR40" s="883"/>
      <c r="DOS40" s="883"/>
      <c r="DOT40" s="863"/>
      <c r="DOU40" s="863"/>
      <c r="DOV40" s="863"/>
      <c r="DOW40" s="863"/>
      <c r="DOX40" s="863"/>
      <c r="DOY40" s="863"/>
      <c r="DOZ40" s="863"/>
      <c r="DPA40" s="863"/>
      <c r="DPB40" s="863"/>
      <c r="DPC40" s="863"/>
      <c r="DPD40" s="863"/>
      <c r="DPE40" s="863"/>
      <c r="DPF40" s="863"/>
      <c r="DPG40" s="863"/>
      <c r="DPH40" s="863"/>
      <c r="DPI40" s="863"/>
      <c r="DPJ40" s="863"/>
      <c r="DPK40" s="863"/>
      <c r="DPL40" s="863"/>
      <c r="DPM40" s="863"/>
      <c r="DPN40" s="863"/>
      <c r="DPO40" s="863"/>
      <c r="DPP40" s="863"/>
      <c r="DPQ40" s="883"/>
      <c r="DPR40" s="883"/>
      <c r="DPS40" s="883"/>
      <c r="DPT40" s="883"/>
      <c r="DPU40" s="883"/>
      <c r="DPV40" s="883"/>
      <c r="DPW40" s="883"/>
      <c r="DPX40" s="883"/>
      <c r="DPY40" s="883"/>
      <c r="DPZ40" s="863"/>
      <c r="DQA40" s="863"/>
      <c r="DQB40" s="863"/>
      <c r="DQC40" s="863"/>
      <c r="DQD40" s="863"/>
      <c r="DQE40" s="863"/>
      <c r="DQF40" s="863"/>
      <c r="DQG40" s="863"/>
      <c r="DQH40" s="863"/>
      <c r="DQI40" s="863"/>
      <c r="DQJ40" s="863"/>
      <c r="DQK40" s="863"/>
      <c r="DQL40" s="863"/>
      <c r="DQM40" s="863"/>
      <c r="DQN40" s="863"/>
      <c r="DQO40" s="863"/>
      <c r="DQP40" s="863"/>
      <c r="DQQ40" s="863"/>
      <c r="DQR40" s="863"/>
      <c r="DQS40" s="863"/>
      <c r="DQT40" s="863"/>
      <c r="DQU40" s="863"/>
      <c r="DQV40" s="863"/>
      <c r="DQW40" s="883"/>
      <c r="DQX40" s="883"/>
      <c r="DQY40" s="883"/>
      <c r="DQZ40" s="883"/>
      <c r="DRA40" s="883"/>
      <c r="DRB40" s="883"/>
      <c r="DRC40" s="883"/>
      <c r="DRD40" s="883"/>
      <c r="DRE40" s="883"/>
      <c r="DRF40" s="863"/>
      <c r="DRG40" s="863"/>
      <c r="DRH40" s="863"/>
      <c r="DRI40" s="863"/>
      <c r="DRJ40" s="863"/>
      <c r="DRK40" s="863"/>
      <c r="DRL40" s="863"/>
      <c r="DRM40" s="863"/>
      <c r="DRN40" s="863"/>
      <c r="DRO40" s="863"/>
      <c r="DRP40" s="863"/>
      <c r="DRQ40" s="863"/>
      <c r="DRR40" s="863"/>
      <c r="DRS40" s="863"/>
      <c r="DRT40" s="863"/>
      <c r="DRU40" s="863"/>
      <c r="DRV40" s="863"/>
      <c r="DRW40" s="863"/>
      <c r="DRX40" s="863"/>
      <c r="DRY40" s="863"/>
      <c r="DRZ40" s="863"/>
      <c r="DSA40" s="863"/>
      <c r="DSB40" s="863"/>
      <c r="DSC40" s="883"/>
      <c r="DSD40" s="883"/>
      <c r="DSE40" s="883"/>
      <c r="DSF40" s="883"/>
      <c r="DSG40" s="883"/>
      <c r="DSH40" s="883"/>
      <c r="DSI40" s="883"/>
      <c r="DSJ40" s="883"/>
      <c r="DSK40" s="883"/>
      <c r="DSL40" s="863"/>
      <c r="DSM40" s="863"/>
      <c r="DSN40" s="863"/>
      <c r="DSO40" s="863"/>
      <c r="DSP40" s="863"/>
      <c r="DSQ40" s="863"/>
      <c r="DSR40" s="863"/>
      <c r="DSS40" s="863"/>
      <c r="DST40" s="863"/>
      <c r="DSU40" s="863"/>
      <c r="DSV40" s="863"/>
      <c r="DSW40" s="863"/>
      <c r="DSX40" s="863"/>
      <c r="DSY40" s="863"/>
      <c r="DSZ40" s="863"/>
      <c r="DTA40" s="863"/>
      <c r="DTB40" s="863"/>
      <c r="DTC40" s="863"/>
      <c r="DTD40" s="863"/>
      <c r="DTE40" s="863"/>
      <c r="DTF40" s="863"/>
      <c r="DTG40" s="863"/>
      <c r="DTH40" s="863"/>
      <c r="DTI40" s="883"/>
      <c r="DTJ40" s="883"/>
      <c r="DTK40" s="883"/>
      <c r="DTL40" s="883"/>
      <c r="DTM40" s="883"/>
      <c r="DTN40" s="883"/>
      <c r="DTO40" s="883"/>
      <c r="DTP40" s="883"/>
      <c r="DTQ40" s="883"/>
      <c r="DTR40" s="863"/>
      <c r="DTS40" s="863"/>
      <c r="DTT40" s="863"/>
      <c r="DTU40" s="863"/>
      <c r="DTV40" s="863"/>
      <c r="DTW40" s="863"/>
      <c r="DTX40" s="863"/>
      <c r="DTY40" s="863"/>
      <c r="DTZ40" s="863"/>
      <c r="DUA40" s="863"/>
      <c r="DUB40" s="863"/>
      <c r="DUC40" s="863"/>
      <c r="DUD40" s="863"/>
      <c r="DUE40" s="863"/>
      <c r="DUF40" s="863"/>
      <c r="DUG40" s="863"/>
      <c r="DUH40" s="863"/>
      <c r="DUI40" s="863"/>
      <c r="DUJ40" s="863"/>
      <c r="DUK40" s="863"/>
      <c r="DUL40" s="863"/>
      <c r="DUM40" s="863"/>
      <c r="DUN40" s="863"/>
      <c r="DUO40" s="883"/>
      <c r="DUP40" s="883"/>
      <c r="DUQ40" s="883"/>
      <c r="DUR40" s="883"/>
      <c r="DUS40" s="883"/>
      <c r="DUT40" s="883"/>
      <c r="DUU40" s="883"/>
      <c r="DUV40" s="883"/>
      <c r="DUW40" s="883"/>
      <c r="DUX40" s="863"/>
      <c r="DUY40" s="863"/>
      <c r="DUZ40" s="863"/>
      <c r="DVA40" s="863"/>
      <c r="DVB40" s="863"/>
      <c r="DVC40" s="863"/>
      <c r="DVD40" s="863"/>
      <c r="DVE40" s="863"/>
      <c r="DVF40" s="863"/>
      <c r="DVG40" s="863"/>
      <c r="DVH40" s="863"/>
      <c r="DVI40" s="863"/>
      <c r="DVJ40" s="863"/>
      <c r="DVK40" s="863"/>
      <c r="DVL40" s="863"/>
      <c r="DVM40" s="863"/>
      <c r="DVN40" s="863"/>
      <c r="DVO40" s="863"/>
      <c r="DVP40" s="863"/>
      <c r="DVQ40" s="863"/>
      <c r="DVR40" s="863"/>
      <c r="DVS40" s="863"/>
      <c r="DVT40" s="863"/>
      <c r="DVU40" s="883"/>
      <c r="DVV40" s="883"/>
      <c r="DVW40" s="883"/>
      <c r="DVX40" s="883"/>
      <c r="DVY40" s="883"/>
      <c r="DVZ40" s="883"/>
      <c r="DWA40" s="883"/>
      <c r="DWB40" s="883"/>
      <c r="DWC40" s="883"/>
      <c r="DWD40" s="863"/>
      <c r="DWE40" s="863"/>
      <c r="DWF40" s="863"/>
      <c r="DWG40" s="863"/>
      <c r="DWH40" s="863"/>
      <c r="DWI40" s="863"/>
      <c r="DWJ40" s="863"/>
      <c r="DWK40" s="863"/>
      <c r="DWL40" s="863"/>
      <c r="DWM40" s="863"/>
      <c r="DWN40" s="863"/>
      <c r="DWO40" s="863"/>
      <c r="DWP40" s="863"/>
      <c r="DWQ40" s="863"/>
      <c r="DWR40" s="863"/>
      <c r="DWS40" s="863"/>
      <c r="DWT40" s="863"/>
      <c r="DWU40" s="863"/>
      <c r="DWV40" s="863"/>
      <c r="DWW40" s="863"/>
      <c r="DWX40" s="863"/>
      <c r="DWY40" s="863"/>
      <c r="DWZ40" s="863"/>
      <c r="DXA40" s="883"/>
      <c r="DXB40" s="883"/>
      <c r="DXC40" s="883"/>
      <c r="DXD40" s="883"/>
      <c r="DXE40" s="883"/>
      <c r="DXF40" s="883"/>
      <c r="DXG40" s="883"/>
      <c r="DXH40" s="883"/>
      <c r="DXI40" s="883"/>
      <c r="DXJ40" s="863"/>
      <c r="DXK40" s="863"/>
      <c r="DXL40" s="863"/>
      <c r="DXM40" s="863"/>
      <c r="DXN40" s="863"/>
      <c r="DXO40" s="863"/>
      <c r="DXP40" s="863"/>
      <c r="DXQ40" s="863"/>
      <c r="DXR40" s="863"/>
      <c r="DXS40" s="863"/>
      <c r="DXT40" s="863"/>
      <c r="DXU40" s="863"/>
      <c r="DXV40" s="863"/>
      <c r="DXW40" s="863"/>
      <c r="DXX40" s="863"/>
      <c r="DXY40" s="863"/>
      <c r="DXZ40" s="863"/>
      <c r="DYA40" s="863"/>
      <c r="DYB40" s="863"/>
      <c r="DYC40" s="863"/>
      <c r="DYD40" s="863"/>
      <c r="DYE40" s="863"/>
      <c r="DYF40" s="863"/>
      <c r="DYG40" s="883"/>
      <c r="DYH40" s="883"/>
      <c r="DYI40" s="883"/>
      <c r="DYJ40" s="883"/>
      <c r="DYK40" s="883"/>
      <c r="DYL40" s="883"/>
      <c r="DYM40" s="883"/>
      <c r="DYN40" s="883"/>
      <c r="DYO40" s="883"/>
      <c r="DYP40" s="863"/>
      <c r="DYQ40" s="863"/>
      <c r="DYR40" s="863"/>
      <c r="DYS40" s="863"/>
      <c r="DYT40" s="863"/>
      <c r="DYU40" s="863"/>
      <c r="DYV40" s="863"/>
      <c r="DYW40" s="863"/>
      <c r="DYX40" s="863"/>
      <c r="DYY40" s="863"/>
      <c r="DYZ40" s="863"/>
      <c r="DZA40" s="863"/>
      <c r="DZB40" s="863"/>
      <c r="DZC40" s="863"/>
      <c r="DZD40" s="863"/>
      <c r="DZE40" s="863"/>
      <c r="DZF40" s="863"/>
      <c r="DZG40" s="863"/>
      <c r="DZH40" s="863"/>
      <c r="DZI40" s="863"/>
      <c r="DZJ40" s="863"/>
      <c r="DZK40" s="863"/>
      <c r="DZL40" s="863"/>
      <c r="DZM40" s="883"/>
      <c r="DZN40" s="883"/>
      <c r="DZO40" s="883"/>
      <c r="DZP40" s="883"/>
      <c r="DZQ40" s="883"/>
      <c r="DZR40" s="883"/>
      <c r="DZS40" s="883"/>
      <c r="DZT40" s="883"/>
      <c r="DZU40" s="883"/>
      <c r="DZV40" s="863"/>
      <c r="DZW40" s="863"/>
      <c r="DZX40" s="863"/>
      <c r="DZY40" s="863"/>
      <c r="DZZ40" s="863"/>
      <c r="EAA40" s="863"/>
      <c r="EAB40" s="863"/>
      <c r="EAC40" s="863"/>
      <c r="EAD40" s="863"/>
      <c r="EAE40" s="863"/>
      <c r="EAF40" s="863"/>
      <c r="EAG40" s="863"/>
      <c r="EAH40" s="863"/>
      <c r="EAI40" s="863"/>
      <c r="EAJ40" s="863"/>
      <c r="EAK40" s="863"/>
      <c r="EAL40" s="863"/>
      <c r="EAM40" s="863"/>
      <c r="EAN40" s="863"/>
      <c r="EAO40" s="863"/>
      <c r="EAP40" s="863"/>
      <c r="EAQ40" s="863"/>
      <c r="EAR40" s="863"/>
      <c r="EAS40" s="883"/>
      <c r="EAT40" s="883"/>
      <c r="EAU40" s="883"/>
      <c r="EAV40" s="883"/>
      <c r="EAW40" s="883"/>
      <c r="EAX40" s="883"/>
      <c r="EAY40" s="883"/>
      <c r="EAZ40" s="883"/>
      <c r="EBA40" s="883"/>
      <c r="EBB40" s="863"/>
      <c r="EBC40" s="863"/>
      <c r="EBD40" s="863"/>
      <c r="EBE40" s="863"/>
      <c r="EBF40" s="863"/>
      <c r="EBG40" s="863"/>
      <c r="EBH40" s="863"/>
      <c r="EBI40" s="863"/>
      <c r="EBJ40" s="863"/>
      <c r="EBK40" s="863"/>
      <c r="EBL40" s="863"/>
      <c r="EBM40" s="863"/>
      <c r="EBN40" s="863"/>
      <c r="EBO40" s="863"/>
      <c r="EBP40" s="863"/>
      <c r="EBQ40" s="863"/>
      <c r="EBR40" s="863"/>
      <c r="EBS40" s="863"/>
      <c r="EBT40" s="863"/>
      <c r="EBU40" s="863"/>
      <c r="EBV40" s="863"/>
      <c r="EBW40" s="863"/>
      <c r="EBX40" s="863"/>
      <c r="EBY40" s="883"/>
      <c r="EBZ40" s="883"/>
      <c r="ECA40" s="883"/>
      <c r="ECB40" s="883"/>
      <c r="ECC40" s="883"/>
      <c r="ECD40" s="883"/>
      <c r="ECE40" s="883"/>
      <c r="ECF40" s="883"/>
      <c r="ECG40" s="883"/>
      <c r="ECH40" s="863"/>
      <c r="ECI40" s="863"/>
      <c r="ECJ40" s="863"/>
      <c r="ECK40" s="863"/>
      <c r="ECL40" s="863"/>
      <c r="ECM40" s="863"/>
      <c r="ECN40" s="863"/>
      <c r="ECO40" s="863"/>
      <c r="ECP40" s="863"/>
      <c r="ECQ40" s="863"/>
      <c r="ECR40" s="863"/>
      <c r="ECS40" s="863"/>
      <c r="ECT40" s="863"/>
      <c r="ECU40" s="863"/>
      <c r="ECV40" s="863"/>
      <c r="ECW40" s="863"/>
      <c r="ECX40" s="863"/>
      <c r="ECY40" s="863"/>
      <c r="ECZ40" s="863"/>
      <c r="EDA40" s="863"/>
      <c r="EDB40" s="863"/>
      <c r="EDC40" s="863"/>
      <c r="EDD40" s="863"/>
      <c r="EDE40" s="883"/>
      <c r="EDF40" s="883"/>
      <c r="EDG40" s="883"/>
      <c r="EDH40" s="883"/>
      <c r="EDI40" s="883"/>
      <c r="EDJ40" s="883"/>
      <c r="EDK40" s="883"/>
      <c r="EDL40" s="883"/>
      <c r="EDM40" s="883"/>
      <c r="EDN40" s="863"/>
      <c r="EDO40" s="863"/>
      <c r="EDP40" s="863"/>
      <c r="EDQ40" s="863"/>
      <c r="EDR40" s="863"/>
      <c r="EDS40" s="863"/>
      <c r="EDT40" s="863"/>
      <c r="EDU40" s="863"/>
      <c r="EDV40" s="863"/>
      <c r="EDW40" s="863"/>
      <c r="EDX40" s="863"/>
      <c r="EDY40" s="863"/>
      <c r="EDZ40" s="863"/>
      <c r="EEA40" s="863"/>
      <c r="EEB40" s="863"/>
      <c r="EEC40" s="863"/>
      <c r="EED40" s="863"/>
      <c r="EEE40" s="863"/>
      <c r="EEF40" s="863"/>
      <c r="EEG40" s="863"/>
      <c r="EEH40" s="863"/>
      <c r="EEI40" s="863"/>
      <c r="EEJ40" s="863"/>
      <c r="EEK40" s="883"/>
      <c r="EEL40" s="883"/>
      <c r="EEM40" s="883"/>
      <c r="EEN40" s="883"/>
      <c r="EEO40" s="883"/>
      <c r="EEP40" s="883"/>
      <c r="EEQ40" s="883"/>
      <c r="EER40" s="883"/>
      <c r="EES40" s="883"/>
      <c r="EET40" s="863"/>
      <c r="EEU40" s="863"/>
      <c r="EEV40" s="863"/>
      <c r="EEW40" s="863"/>
      <c r="EEX40" s="863"/>
      <c r="EEY40" s="863"/>
      <c r="EEZ40" s="863"/>
      <c r="EFA40" s="863"/>
      <c r="EFB40" s="863"/>
      <c r="EFC40" s="863"/>
      <c r="EFD40" s="863"/>
      <c r="EFE40" s="863"/>
      <c r="EFF40" s="863"/>
      <c r="EFG40" s="863"/>
      <c r="EFH40" s="863"/>
      <c r="EFI40" s="863"/>
      <c r="EFJ40" s="863"/>
      <c r="EFK40" s="863"/>
      <c r="EFL40" s="863"/>
      <c r="EFM40" s="863"/>
      <c r="EFN40" s="863"/>
      <c r="EFO40" s="863"/>
      <c r="EFP40" s="863"/>
      <c r="EFQ40" s="883"/>
      <c r="EFR40" s="883"/>
      <c r="EFS40" s="883"/>
      <c r="EFT40" s="883"/>
      <c r="EFU40" s="883"/>
      <c r="EFV40" s="883"/>
      <c r="EFW40" s="883"/>
      <c r="EFX40" s="883"/>
      <c r="EFY40" s="883"/>
      <c r="EFZ40" s="863"/>
      <c r="EGA40" s="863"/>
      <c r="EGB40" s="863"/>
      <c r="EGC40" s="863"/>
      <c r="EGD40" s="863"/>
      <c r="EGE40" s="863"/>
      <c r="EGF40" s="863"/>
      <c r="EGG40" s="863"/>
      <c r="EGH40" s="863"/>
      <c r="EGI40" s="863"/>
      <c r="EGJ40" s="863"/>
      <c r="EGK40" s="863"/>
      <c r="EGL40" s="863"/>
      <c r="EGM40" s="863"/>
      <c r="EGN40" s="863"/>
      <c r="EGO40" s="863"/>
      <c r="EGP40" s="863"/>
      <c r="EGQ40" s="863"/>
      <c r="EGR40" s="863"/>
      <c r="EGS40" s="863"/>
      <c r="EGT40" s="863"/>
      <c r="EGU40" s="863"/>
      <c r="EGV40" s="863"/>
      <c r="EGW40" s="883"/>
      <c r="EGX40" s="883"/>
      <c r="EGY40" s="883"/>
      <c r="EGZ40" s="883"/>
      <c r="EHA40" s="883"/>
      <c r="EHB40" s="883"/>
      <c r="EHC40" s="883"/>
      <c r="EHD40" s="883"/>
      <c r="EHE40" s="883"/>
      <c r="EHF40" s="863"/>
      <c r="EHG40" s="863"/>
      <c r="EHH40" s="863"/>
      <c r="EHI40" s="863"/>
      <c r="EHJ40" s="863"/>
      <c r="EHK40" s="863"/>
      <c r="EHL40" s="863"/>
      <c r="EHM40" s="863"/>
      <c r="EHN40" s="863"/>
      <c r="EHO40" s="863"/>
      <c r="EHP40" s="863"/>
      <c r="EHQ40" s="863"/>
      <c r="EHR40" s="863"/>
      <c r="EHS40" s="863"/>
      <c r="EHT40" s="863"/>
      <c r="EHU40" s="863"/>
      <c r="EHV40" s="863"/>
      <c r="EHW40" s="863"/>
      <c r="EHX40" s="863"/>
      <c r="EHY40" s="863"/>
      <c r="EHZ40" s="863"/>
      <c r="EIA40" s="863"/>
      <c r="EIB40" s="863"/>
      <c r="EIC40" s="883"/>
      <c r="EID40" s="883"/>
      <c r="EIE40" s="883"/>
      <c r="EIF40" s="883"/>
      <c r="EIG40" s="883"/>
      <c r="EIH40" s="883"/>
      <c r="EII40" s="883"/>
      <c r="EIJ40" s="883"/>
      <c r="EIK40" s="883"/>
      <c r="EIL40" s="863"/>
      <c r="EIM40" s="863"/>
      <c r="EIN40" s="863"/>
      <c r="EIO40" s="863"/>
      <c r="EIP40" s="863"/>
      <c r="EIQ40" s="863"/>
      <c r="EIR40" s="863"/>
      <c r="EIS40" s="863"/>
      <c r="EIT40" s="863"/>
      <c r="EIU40" s="863"/>
      <c r="EIV40" s="863"/>
      <c r="EIW40" s="863"/>
      <c r="EIX40" s="863"/>
      <c r="EIY40" s="863"/>
      <c r="EIZ40" s="863"/>
      <c r="EJA40" s="863"/>
      <c r="EJB40" s="863"/>
      <c r="EJC40" s="863"/>
      <c r="EJD40" s="863"/>
      <c r="EJE40" s="863"/>
      <c r="EJF40" s="863"/>
      <c r="EJG40" s="863"/>
      <c r="EJH40" s="863"/>
      <c r="EJI40" s="883"/>
      <c r="EJJ40" s="883"/>
      <c r="EJK40" s="883"/>
      <c r="EJL40" s="883"/>
      <c r="EJM40" s="883"/>
      <c r="EJN40" s="883"/>
      <c r="EJO40" s="883"/>
      <c r="EJP40" s="883"/>
      <c r="EJQ40" s="883"/>
      <c r="EJR40" s="863"/>
      <c r="EJS40" s="863"/>
      <c r="EJT40" s="863"/>
      <c r="EJU40" s="863"/>
      <c r="EJV40" s="863"/>
      <c r="EJW40" s="863"/>
      <c r="EJX40" s="863"/>
      <c r="EJY40" s="863"/>
      <c r="EJZ40" s="863"/>
      <c r="EKA40" s="863"/>
      <c r="EKB40" s="863"/>
      <c r="EKC40" s="863"/>
      <c r="EKD40" s="863"/>
      <c r="EKE40" s="863"/>
      <c r="EKF40" s="863"/>
      <c r="EKG40" s="863"/>
      <c r="EKH40" s="863"/>
      <c r="EKI40" s="863"/>
      <c r="EKJ40" s="863"/>
      <c r="EKK40" s="863"/>
      <c r="EKL40" s="863"/>
      <c r="EKM40" s="863"/>
      <c r="EKN40" s="863"/>
      <c r="EKO40" s="883"/>
      <c r="EKP40" s="883"/>
      <c r="EKQ40" s="883"/>
      <c r="EKR40" s="883"/>
      <c r="EKS40" s="883"/>
      <c r="EKT40" s="883"/>
      <c r="EKU40" s="883"/>
      <c r="EKV40" s="883"/>
      <c r="EKW40" s="883"/>
      <c r="EKX40" s="863"/>
      <c r="EKY40" s="863"/>
      <c r="EKZ40" s="863"/>
      <c r="ELA40" s="863"/>
      <c r="ELB40" s="863"/>
      <c r="ELC40" s="863"/>
      <c r="ELD40" s="863"/>
      <c r="ELE40" s="863"/>
      <c r="ELF40" s="863"/>
      <c r="ELG40" s="863"/>
      <c r="ELH40" s="863"/>
      <c r="ELI40" s="863"/>
      <c r="ELJ40" s="863"/>
      <c r="ELK40" s="863"/>
      <c r="ELL40" s="863"/>
      <c r="ELM40" s="863"/>
      <c r="ELN40" s="863"/>
      <c r="ELO40" s="863"/>
      <c r="ELP40" s="863"/>
      <c r="ELQ40" s="863"/>
      <c r="ELR40" s="863"/>
      <c r="ELS40" s="863"/>
      <c r="ELT40" s="863"/>
      <c r="ELU40" s="883"/>
      <c r="ELV40" s="883"/>
      <c r="ELW40" s="883"/>
      <c r="ELX40" s="883"/>
      <c r="ELY40" s="883"/>
      <c r="ELZ40" s="883"/>
      <c r="EMA40" s="883"/>
      <c r="EMB40" s="883"/>
      <c r="EMC40" s="883"/>
      <c r="EMD40" s="863"/>
      <c r="EME40" s="863"/>
      <c r="EMF40" s="863"/>
      <c r="EMG40" s="863"/>
      <c r="EMH40" s="863"/>
      <c r="EMI40" s="863"/>
      <c r="EMJ40" s="863"/>
      <c r="EMK40" s="863"/>
      <c r="EML40" s="863"/>
      <c r="EMM40" s="863"/>
      <c r="EMN40" s="863"/>
      <c r="EMO40" s="863"/>
      <c r="EMP40" s="863"/>
      <c r="EMQ40" s="863"/>
      <c r="EMR40" s="863"/>
      <c r="EMS40" s="863"/>
      <c r="EMT40" s="863"/>
      <c r="EMU40" s="863"/>
      <c r="EMV40" s="863"/>
      <c r="EMW40" s="863"/>
      <c r="EMX40" s="863"/>
      <c r="EMY40" s="863"/>
      <c r="EMZ40" s="863"/>
      <c r="ENA40" s="883"/>
      <c r="ENB40" s="883"/>
      <c r="ENC40" s="883"/>
      <c r="END40" s="883"/>
      <c r="ENE40" s="883"/>
      <c r="ENF40" s="883"/>
      <c r="ENG40" s="883"/>
      <c r="ENH40" s="883"/>
      <c r="ENI40" s="883"/>
      <c r="ENJ40" s="863"/>
      <c r="ENK40" s="863"/>
      <c r="ENL40" s="863"/>
      <c r="ENM40" s="863"/>
      <c r="ENN40" s="863"/>
      <c r="ENO40" s="863"/>
      <c r="ENP40" s="863"/>
      <c r="ENQ40" s="863"/>
      <c r="ENR40" s="863"/>
      <c r="ENS40" s="863"/>
      <c r="ENT40" s="863"/>
      <c r="ENU40" s="863"/>
      <c r="ENV40" s="863"/>
      <c r="ENW40" s="863"/>
      <c r="ENX40" s="863"/>
      <c r="ENY40" s="863"/>
      <c r="ENZ40" s="863"/>
      <c r="EOA40" s="863"/>
      <c r="EOB40" s="863"/>
      <c r="EOC40" s="863"/>
      <c r="EOD40" s="863"/>
      <c r="EOE40" s="863"/>
      <c r="EOF40" s="863"/>
      <c r="EOG40" s="883"/>
      <c r="EOH40" s="883"/>
      <c r="EOI40" s="883"/>
      <c r="EOJ40" s="883"/>
      <c r="EOK40" s="883"/>
      <c r="EOL40" s="883"/>
      <c r="EOM40" s="883"/>
      <c r="EON40" s="883"/>
      <c r="EOO40" s="883"/>
      <c r="EOP40" s="863"/>
      <c r="EOQ40" s="863"/>
      <c r="EOR40" s="863"/>
      <c r="EOS40" s="863"/>
      <c r="EOT40" s="863"/>
      <c r="EOU40" s="863"/>
      <c r="EOV40" s="863"/>
      <c r="EOW40" s="863"/>
      <c r="EOX40" s="863"/>
      <c r="EOY40" s="863"/>
      <c r="EOZ40" s="863"/>
      <c r="EPA40" s="863"/>
      <c r="EPB40" s="863"/>
      <c r="EPC40" s="863"/>
      <c r="EPD40" s="863"/>
      <c r="EPE40" s="863"/>
      <c r="EPF40" s="863"/>
      <c r="EPG40" s="863"/>
      <c r="EPH40" s="863"/>
      <c r="EPI40" s="863"/>
      <c r="EPJ40" s="863"/>
      <c r="EPK40" s="863"/>
      <c r="EPL40" s="863"/>
      <c r="EPM40" s="883"/>
      <c r="EPN40" s="883"/>
      <c r="EPO40" s="883"/>
      <c r="EPP40" s="883"/>
      <c r="EPQ40" s="883"/>
      <c r="EPR40" s="883"/>
      <c r="EPS40" s="883"/>
      <c r="EPT40" s="883"/>
      <c r="EPU40" s="883"/>
      <c r="EPV40" s="863"/>
      <c r="EPW40" s="863"/>
      <c r="EPX40" s="863"/>
      <c r="EPY40" s="863"/>
      <c r="EPZ40" s="863"/>
      <c r="EQA40" s="863"/>
      <c r="EQB40" s="863"/>
      <c r="EQC40" s="863"/>
      <c r="EQD40" s="863"/>
      <c r="EQE40" s="863"/>
      <c r="EQF40" s="863"/>
      <c r="EQG40" s="863"/>
      <c r="EQH40" s="863"/>
      <c r="EQI40" s="863"/>
      <c r="EQJ40" s="863"/>
      <c r="EQK40" s="863"/>
      <c r="EQL40" s="863"/>
      <c r="EQM40" s="863"/>
      <c r="EQN40" s="863"/>
      <c r="EQO40" s="863"/>
      <c r="EQP40" s="863"/>
      <c r="EQQ40" s="863"/>
      <c r="EQR40" s="863"/>
      <c r="EQS40" s="883"/>
      <c r="EQT40" s="883"/>
      <c r="EQU40" s="883"/>
      <c r="EQV40" s="883"/>
      <c r="EQW40" s="883"/>
      <c r="EQX40" s="883"/>
      <c r="EQY40" s="883"/>
      <c r="EQZ40" s="883"/>
      <c r="ERA40" s="883"/>
      <c r="ERB40" s="863"/>
      <c r="ERC40" s="863"/>
      <c r="ERD40" s="863"/>
      <c r="ERE40" s="863"/>
      <c r="ERF40" s="863"/>
      <c r="ERG40" s="863"/>
      <c r="ERH40" s="863"/>
      <c r="ERI40" s="863"/>
      <c r="ERJ40" s="863"/>
      <c r="ERK40" s="863"/>
      <c r="ERL40" s="863"/>
      <c r="ERM40" s="863"/>
      <c r="ERN40" s="863"/>
      <c r="ERO40" s="863"/>
      <c r="ERP40" s="863"/>
      <c r="ERQ40" s="863"/>
      <c r="ERR40" s="863"/>
      <c r="ERS40" s="863"/>
      <c r="ERT40" s="863"/>
      <c r="ERU40" s="863"/>
      <c r="ERV40" s="863"/>
      <c r="ERW40" s="863"/>
      <c r="ERX40" s="863"/>
      <c r="ERY40" s="883"/>
      <c r="ERZ40" s="883"/>
      <c r="ESA40" s="883"/>
      <c r="ESB40" s="883"/>
      <c r="ESC40" s="883"/>
      <c r="ESD40" s="883"/>
      <c r="ESE40" s="883"/>
      <c r="ESF40" s="883"/>
      <c r="ESG40" s="883"/>
      <c r="ESH40" s="863"/>
      <c r="ESI40" s="863"/>
      <c r="ESJ40" s="863"/>
      <c r="ESK40" s="863"/>
      <c r="ESL40" s="863"/>
      <c r="ESM40" s="863"/>
      <c r="ESN40" s="863"/>
      <c r="ESO40" s="863"/>
      <c r="ESP40" s="863"/>
      <c r="ESQ40" s="863"/>
      <c r="ESR40" s="863"/>
      <c r="ESS40" s="863"/>
      <c r="EST40" s="863"/>
      <c r="ESU40" s="863"/>
      <c r="ESV40" s="863"/>
      <c r="ESW40" s="863"/>
      <c r="ESX40" s="863"/>
      <c r="ESY40" s="863"/>
      <c r="ESZ40" s="863"/>
      <c r="ETA40" s="863"/>
      <c r="ETB40" s="863"/>
      <c r="ETC40" s="863"/>
      <c r="ETD40" s="863"/>
      <c r="ETE40" s="883"/>
      <c r="ETF40" s="883"/>
      <c r="ETG40" s="883"/>
      <c r="ETH40" s="883"/>
      <c r="ETI40" s="883"/>
      <c r="ETJ40" s="883"/>
      <c r="ETK40" s="883"/>
      <c r="ETL40" s="883"/>
      <c r="ETM40" s="883"/>
      <c r="ETN40" s="863"/>
      <c r="ETO40" s="863"/>
      <c r="ETP40" s="863"/>
      <c r="ETQ40" s="863"/>
      <c r="ETR40" s="863"/>
      <c r="ETS40" s="863"/>
      <c r="ETT40" s="863"/>
      <c r="ETU40" s="863"/>
      <c r="ETV40" s="863"/>
      <c r="ETW40" s="863"/>
      <c r="ETX40" s="863"/>
      <c r="ETY40" s="863"/>
      <c r="ETZ40" s="863"/>
      <c r="EUA40" s="863"/>
      <c r="EUB40" s="863"/>
      <c r="EUC40" s="863"/>
      <c r="EUD40" s="863"/>
      <c r="EUE40" s="863"/>
      <c r="EUF40" s="863"/>
      <c r="EUG40" s="863"/>
      <c r="EUH40" s="863"/>
      <c r="EUI40" s="863"/>
      <c r="EUJ40" s="863"/>
      <c r="EUK40" s="883"/>
      <c r="EUL40" s="883"/>
      <c r="EUM40" s="883"/>
      <c r="EUN40" s="883"/>
      <c r="EUO40" s="883"/>
      <c r="EUP40" s="883"/>
      <c r="EUQ40" s="883"/>
      <c r="EUR40" s="883"/>
      <c r="EUS40" s="883"/>
      <c r="EUT40" s="863"/>
      <c r="EUU40" s="863"/>
      <c r="EUV40" s="863"/>
      <c r="EUW40" s="863"/>
      <c r="EUX40" s="863"/>
      <c r="EUY40" s="863"/>
      <c r="EUZ40" s="863"/>
      <c r="EVA40" s="863"/>
      <c r="EVB40" s="863"/>
      <c r="EVC40" s="863"/>
      <c r="EVD40" s="863"/>
      <c r="EVE40" s="863"/>
      <c r="EVF40" s="863"/>
      <c r="EVG40" s="863"/>
      <c r="EVH40" s="863"/>
      <c r="EVI40" s="863"/>
      <c r="EVJ40" s="863"/>
      <c r="EVK40" s="863"/>
      <c r="EVL40" s="863"/>
      <c r="EVM40" s="863"/>
      <c r="EVN40" s="863"/>
      <c r="EVO40" s="863"/>
      <c r="EVP40" s="863"/>
      <c r="EVQ40" s="883"/>
      <c r="EVR40" s="883"/>
      <c r="EVS40" s="883"/>
      <c r="EVT40" s="883"/>
      <c r="EVU40" s="883"/>
      <c r="EVV40" s="883"/>
      <c r="EVW40" s="883"/>
      <c r="EVX40" s="883"/>
      <c r="EVY40" s="883"/>
      <c r="EVZ40" s="863"/>
      <c r="EWA40" s="863"/>
      <c r="EWB40" s="863"/>
      <c r="EWC40" s="863"/>
      <c r="EWD40" s="863"/>
      <c r="EWE40" s="863"/>
      <c r="EWF40" s="863"/>
      <c r="EWG40" s="863"/>
      <c r="EWH40" s="863"/>
      <c r="EWI40" s="863"/>
      <c r="EWJ40" s="863"/>
      <c r="EWK40" s="863"/>
      <c r="EWL40" s="863"/>
      <c r="EWM40" s="863"/>
      <c r="EWN40" s="863"/>
      <c r="EWO40" s="863"/>
      <c r="EWP40" s="863"/>
      <c r="EWQ40" s="863"/>
      <c r="EWR40" s="863"/>
      <c r="EWS40" s="863"/>
      <c r="EWT40" s="863"/>
      <c r="EWU40" s="863"/>
      <c r="EWV40" s="863"/>
      <c r="EWW40" s="883"/>
      <c r="EWX40" s="883"/>
      <c r="EWY40" s="883"/>
      <c r="EWZ40" s="883"/>
      <c r="EXA40" s="883"/>
      <c r="EXB40" s="883"/>
      <c r="EXC40" s="883"/>
      <c r="EXD40" s="883"/>
      <c r="EXE40" s="883"/>
      <c r="EXF40" s="863"/>
      <c r="EXG40" s="863"/>
      <c r="EXH40" s="863"/>
      <c r="EXI40" s="863"/>
      <c r="EXJ40" s="863"/>
      <c r="EXK40" s="863"/>
      <c r="EXL40" s="863"/>
      <c r="EXM40" s="863"/>
      <c r="EXN40" s="863"/>
      <c r="EXO40" s="863"/>
      <c r="EXP40" s="863"/>
      <c r="EXQ40" s="863"/>
      <c r="EXR40" s="863"/>
      <c r="EXS40" s="863"/>
      <c r="EXT40" s="863"/>
      <c r="EXU40" s="863"/>
      <c r="EXV40" s="863"/>
      <c r="EXW40" s="863"/>
      <c r="EXX40" s="863"/>
      <c r="EXY40" s="863"/>
      <c r="EXZ40" s="863"/>
      <c r="EYA40" s="863"/>
      <c r="EYB40" s="863"/>
      <c r="EYC40" s="883"/>
      <c r="EYD40" s="883"/>
      <c r="EYE40" s="883"/>
      <c r="EYF40" s="883"/>
      <c r="EYG40" s="883"/>
      <c r="EYH40" s="883"/>
      <c r="EYI40" s="883"/>
      <c r="EYJ40" s="883"/>
      <c r="EYK40" s="883"/>
      <c r="EYL40" s="863"/>
      <c r="EYM40" s="863"/>
      <c r="EYN40" s="863"/>
      <c r="EYO40" s="863"/>
      <c r="EYP40" s="863"/>
      <c r="EYQ40" s="863"/>
      <c r="EYR40" s="863"/>
      <c r="EYS40" s="863"/>
      <c r="EYT40" s="863"/>
      <c r="EYU40" s="863"/>
      <c r="EYV40" s="863"/>
      <c r="EYW40" s="863"/>
      <c r="EYX40" s="863"/>
      <c r="EYY40" s="863"/>
      <c r="EYZ40" s="863"/>
      <c r="EZA40" s="863"/>
      <c r="EZB40" s="863"/>
      <c r="EZC40" s="863"/>
      <c r="EZD40" s="863"/>
      <c r="EZE40" s="863"/>
      <c r="EZF40" s="863"/>
      <c r="EZG40" s="863"/>
      <c r="EZH40" s="863"/>
      <c r="EZI40" s="883"/>
      <c r="EZJ40" s="883"/>
      <c r="EZK40" s="883"/>
      <c r="EZL40" s="883"/>
      <c r="EZM40" s="883"/>
      <c r="EZN40" s="883"/>
      <c r="EZO40" s="883"/>
      <c r="EZP40" s="883"/>
      <c r="EZQ40" s="883"/>
      <c r="EZR40" s="863"/>
      <c r="EZS40" s="863"/>
      <c r="EZT40" s="863"/>
      <c r="EZU40" s="863"/>
      <c r="EZV40" s="863"/>
      <c r="EZW40" s="863"/>
      <c r="EZX40" s="863"/>
      <c r="EZY40" s="863"/>
      <c r="EZZ40" s="863"/>
      <c r="FAA40" s="863"/>
      <c r="FAB40" s="863"/>
      <c r="FAC40" s="863"/>
      <c r="FAD40" s="863"/>
      <c r="FAE40" s="863"/>
      <c r="FAF40" s="863"/>
      <c r="FAG40" s="863"/>
      <c r="FAH40" s="863"/>
      <c r="FAI40" s="863"/>
      <c r="FAJ40" s="863"/>
      <c r="FAK40" s="863"/>
      <c r="FAL40" s="863"/>
      <c r="FAM40" s="863"/>
      <c r="FAN40" s="863"/>
      <c r="FAO40" s="883"/>
      <c r="FAP40" s="883"/>
      <c r="FAQ40" s="883"/>
      <c r="FAR40" s="883"/>
      <c r="FAS40" s="883"/>
      <c r="FAT40" s="883"/>
      <c r="FAU40" s="883"/>
      <c r="FAV40" s="883"/>
      <c r="FAW40" s="883"/>
      <c r="FAX40" s="863"/>
      <c r="FAY40" s="863"/>
      <c r="FAZ40" s="863"/>
      <c r="FBA40" s="863"/>
      <c r="FBB40" s="863"/>
      <c r="FBC40" s="863"/>
      <c r="FBD40" s="863"/>
      <c r="FBE40" s="863"/>
      <c r="FBF40" s="863"/>
      <c r="FBG40" s="863"/>
      <c r="FBH40" s="863"/>
      <c r="FBI40" s="863"/>
      <c r="FBJ40" s="863"/>
      <c r="FBK40" s="863"/>
      <c r="FBL40" s="863"/>
      <c r="FBM40" s="863"/>
      <c r="FBN40" s="863"/>
      <c r="FBO40" s="863"/>
      <c r="FBP40" s="863"/>
      <c r="FBQ40" s="863"/>
      <c r="FBR40" s="863"/>
      <c r="FBS40" s="863"/>
      <c r="FBT40" s="863"/>
      <c r="FBU40" s="883"/>
      <c r="FBV40" s="883"/>
      <c r="FBW40" s="883"/>
      <c r="FBX40" s="883"/>
      <c r="FBY40" s="883"/>
      <c r="FBZ40" s="883"/>
      <c r="FCA40" s="883"/>
      <c r="FCB40" s="883"/>
      <c r="FCC40" s="883"/>
      <c r="FCD40" s="863"/>
      <c r="FCE40" s="863"/>
      <c r="FCF40" s="863"/>
      <c r="FCG40" s="863"/>
      <c r="FCH40" s="863"/>
      <c r="FCI40" s="863"/>
      <c r="FCJ40" s="863"/>
      <c r="FCK40" s="863"/>
      <c r="FCL40" s="863"/>
      <c r="FCM40" s="863"/>
      <c r="FCN40" s="863"/>
      <c r="FCO40" s="863"/>
      <c r="FCP40" s="863"/>
      <c r="FCQ40" s="863"/>
      <c r="FCR40" s="863"/>
      <c r="FCS40" s="863"/>
      <c r="FCT40" s="863"/>
      <c r="FCU40" s="863"/>
      <c r="FCV40" s="863"/>
      <c r="FCW40" s="863"/>
      <c r="FCX40" s="863"/>
      <c r="FCY40" s="863"/>
      <c r="FCZ40" s="863"/>
      <c r="FDA40" s="883"/>
      <c r="FDB40" s="883"/>
      <c r="FDC40" s="883"/>
      <c r="FDD40" s="883"/>
      <c r="FDE40" s="883"/>
      <c r="FDF40" s="883"/>
      <c r="FDG40" s="883"/>
      <c r="FDH40" s="883"/>
      <c r="FDI40" s="883"/>
      <c r="FDJ40" s="863"/>
      <c r="FDK40" s="863"/>
      <c r="FDL40" s="863"/>
      <c r="FDM40" s="863"/>
      <c r="FDN40" s="863"/>
      <c r="FDO40" s="863"/>
      <c r="FDP40" s="863"/>
      <c r="FDQ40" s="863"/>
      <c r="FDR40" s="863"/>
      <c r="FDS40" s="863"/>
      <c r="FDT40" s="863"/>
      <c r="FDU40" s="863"/>
      <c r="FDV40" s="863"/>
      <c r="FDW40" s="863"/>
      <c r="FDX40" s="863"/>
      <c r="FDY40" s="863"/>
      <c r="FDZ40" s="863"/>
      <c r="FEA40" s="863"/>
      <c r="FEB40" s="863"/>
      <c r="FEC40" s="863"/>
      <c r="FED40" s="863"/>
      <c r="FEE40" s="863"/>
      <c r="FEF40" s="863"/>
      <c r="FEG40" s="883"/>
      <c r="FEH40" s="883"/>
      <c r="FEI40" s="883"/>
      <c r="FEJ40" s="883"/>
      <c r="FEK40" s="883"/>
      <c r="FEL40" s="883"/>
      <c r="FEM40" s="883"/>
      <c r="FEN40" s="883"/>
      <c r="FEO40" s="883"/>
      <c r="FEP40" s="863"/>
      <c r="FEQ40" s="863"/>
      <c r="FER40" s="863"/>
      <c r="FES40" s="863"/>
      <c r="FET40" s="863"/>
      <c r="FEU40" s="863"/>
      <c r="FEV40" s="863"/>
      <c r="FEW40" s="863"/>
      <c r="FEX40" s="863"/>
      <c r="FEY40" s="863"/>
      <c r="FEZ40" s="863"/>
      <c r="FFA40" s="863"/>
      <c r="FFB40" s="863"/>
      <c r="FFC40" s="863"/>
      <c r="FFD40" s="863"/>
      <c r="FFE40" s="863"/>
      <c r="FFF40" s="863"/>
      <c r="FFG40" s="863"/>
      <c r="FFH40" s="863"/>
      <c r="FFI40" s="863"/>
      <c r="FFJ40" s="863"/>
      <c r="FFK40" s="863"/>
      <c r="FFL40" s="863"/>
      <c r="FFM40" s="883"/>
      <c r="FFN40" s="883"/>
      <c r="FFO40" s="883"/>
      <c r="FFP40" s="883"/>
      <c r="FFQ40" s="883"/>
      <c r="FFR40" s="883"/>
      <c r="FFS40" s="883"/>
      <c r="FFT40" s="883"/>
      <c r="FFU40" s="883"/>
      <c r="FFV40" s="863"/>
      <c r="FFW40" s="863"/>
      <c r="FFX40" s="863"/>
      <c r="FFY40" s="863"/>
      <c r="FFZ40" s="863"/>
      <c r="FGA40" s="863"/>
      <c r="FGB40" s="863"/>
      <c r="FGC40" s="863"/>
      <c r="FGD40" s="863"/>
      <c r="FGE40" s="863"/>
      <c r="FGF40" s="863"/>
      <c r="FGG40" s="863"/>
      <c r="FGH40" s="863"/>
      <c r="FGI40" s="863"/>
      <c r="FGJ40" s="863"/>
      <c r="FGK40" s="863"/>
      <c r="FGL40" s="863"/>
      <c r="FGM40" s="863"/>
      <c r="FGN40" s="863"/>
      <c r="FGO40" s="863"/>
      <c r="FGP40" s="863"/>
      <c r="FGQ40" s="863"/>
      <c r="FGR40" s="863"/>
      <c r="FGS40" s="883"/>
      <c r="FGT40" s="883"/>
      <c r="FGU40" s="883"/>
      <c r="FGV40" s="883"/>
      <c r="FGW40" s="883"/>
      <c r="FGX40" s="883"/>
      <c r="FGY40" s="883"/>
      <c r="FGZ40" s="883"/>
      <c r="FHA40" s="883"/>
      <c r="FHB40" s="863"/>
      <c r="FHC40" s="863"/>
      <c r="FHD40" s="863"/>
      <c r="FHE40" s="863"/>
      <c r="FHF40" s="863"/>
      <c r="FHG40" s="863"/>
      <c r="FHH40" s="863"/>
      <c r="FHI40" s="863"/>
      <c r="FHJ40" s="863"/>
      <c r="FHK40" s="863"/>
      <c r="FHL40" s="863"/>
      <c r="FHM40" s="863"/>
      <c r="FHN40" s="863"/>
      <c r="FHO40" s="863"/>
      <c r="FHP40" s="863"/>
      <c r="FHQ40" s="863"/>
      <c r="FHR40" s="863"/>
      <c r="FHS40" s="863"/>
      <c r="FHT40" s="863"/>
      <c r="FHU40" s="863"/>
      <c r="FHV40" s="863"/>
      <c r="FHW40" s="863"/>
      <c r="FHX40" s="863"/>
      <c r="FHY40" s="883"/>
      <c r="FHZ40" s="883"/>
      <c r="FIA40" s="883"/>
      <c r="FIB40" s="883"/>
      <c r="FIC40" s="883"/>
      <c r="FID40" s="883"/>
      <c r="FIE40" s="883"/>
      <c r="FIF40" s="883"/>
      <c r="FIG40" s="883"/>
      <c r="FIH40" s="863"/>
      <c r="FII40" s="863"/>
      <c r="FIJ40" s="863"/>
      <c r="FIK40" s="863"/>
      <c r="FIL40" s="863"/>
      <c r="FIM40" s="863"/>
      <c r="FIN40" s="863"/>
      <c r="FIO40" s="863"/>
      <c r="FIP40" s="863"/>
      <c r="FIQ40" s="863"/>
      <c r="FIR40" s="863"/>
      <c r="FIS40" s="863"/>
      <c r="FIT40" s="863"/>
      <c r="FIU40" s="863"/>
      <c r="FIV40" s="863"/>
      <c r="FIW40" s="863"/>
      <c r="FIX40" s="863"/>
      <c r="FIY40" s="863"/>
      <c r="FIZ40" s="863"/>
      <c r="FJA40" s="863"/>
      <c r="FJB40" s="863"/>
      <c r="FJC40" s="863"/>
      <c r="FJD40" s="863"/>
      <c r="FJE40" s="883"/>
      <c r="FJF40" s="883"/>
      <c r="FJG40" s="883"/>
      <c r="FJH40" s="883"/>
      <c r="FJI40" s="883"/>
      <c r="FJJ40" s="883"/>
      <c r="FJK40" s="883"/>
      <c r="FJL40" s="883"/>
      <c r="FJM40" s="883"/>
      <c r="FJN40" s="863"/>
      <c r="FJO40" s="863"/>
      <c r="FJP40" s="863"/>
      <c r="FJQ40" s="863"/>
      <c r="FJR40" s="863"/>
      <c r="FJS40" s="863"/>
      <c r="FJT40" s="863"/>
      <c r="FJU40" s="863"/>
      <c r="FJV40" s="863"/>
      <c r="FJW40" s="863"/>
      <c r="FJX40" s="863"/>
      <c r="FJY40" s="863"/>
      <c r="FJZ40" s="863"/>
      <c r="FKA40" s="863"/>
      <c r="FKB40" s="863"/>
      <c r="FKC40" s="863"/>
      <c r="FKD40" s="863"/>
      <c r="FKE40" s="863"/>
      <c r="FKF40" s="863"/>
      <c r="FKG40" s="863"/>
      <c r="FKH40" s="863"/>
      <c r="FKI40" s="863"/>
      <c r="FKJ40" s="863"/>
      <c r="FKK40" s="883"/>
      <c r="FKL40" s="883"/>
      <c r="FKM40" s="883"/>
      <c r="FKN40" s="883"/>
      <c r="FKO40" s="883"/>
      <c r="FKP40" s="883"/>
      <c r="FKQ40" s="883"/>
      <c r="FKR40" s="883"/>
      <c r="FKS40" s="883"/>
      <c r="FKT40" s="863"/>
      <c r="FKU40" s="863"/>
      <c r="FKV40" s="863"/>
      <c r="FKW40" s="863"/>
      <c r="FKX40" s="863"/>
      <c r="FKY40" s="863"/>
      <c r="FKZ40" s="863"/>
      <c r="FLA40" s="863"/>
      <c r="FLB40" s="863"/>
      <c r="FLC40" s="863"/>
      <c r="FLD40" s="863"/>
      <c r="FLE40" s="863"/>
      <c r="FLF40" s="863"/>
      <c r="FLG40" s="863"/>
      <c r="FLH40" s="863"/>
      <c r="FLI40" s="863"/>
      <c r="FLJ40" s="863"/>
      <c r="FLK40" s="863"/>
      <c r="FLL40" s="863"/>
      <c r="FLM40" s="863"/>
      <c r="FLN40" s="863"/>
      <c r="FLO40" s="863"/>
      <c r="FLP40" s="863"/>
      <c r="FLQ40" s="883"/>
      <c r="FLR40" s="883"/>
      <c r="FLS40" s="883"/>
      <c r="FLT40" s="883"/>
      <c r="FLU40" s="883"/>
      <c r="FLV40" s="883"/>
      <c r="FLW40" s="883"/>
      <c r="FLX40" s="883"/>
      <c r="FLY40" s="883"/>
      <c r="FLZ40" s="863"/>
      <c r="FMA40" s="863"/>
      <c r="FMB40" s="863"/>
      <c r="FMC40" s="863"/>
      <c r="FMD40" s="863"/>
      <c r="FME40" s="863"/>
      <c r="FMF40" s="863"/>
      <c r="FMG40" s="863"/>
      <c r="FMH40" s="863"/>
      <c r="FMI40" s="863"/>
      <c r="FMJ40" s="863"/>
      <c r="FMK40" s="863"/>
      <c r="FML40" s="863"/>
      <c r="FMM40" s="863"/>
      <c r="FMN40" s="863"/>
      <c r="FMO40" s="863"/>
      <c r="FMP40" s="863"/>
      <c r="FMQ40" s="863"/>
      <c r="FMR40" s="863"/>
      <c r="FMS40" s="863"/>
      <c r="FMT40" s="863"/>
      <c r="FMU40" s="863"/>
      <c r="FMV40" s="863"/>
      <c r="FMW40" s="883"/>
      <c r="FMX40" s="883"/>
      <c r="FMY40" s="883"/>
      <c r="FMZ40" s="883"/>
      <c r="FNA40" s="883"/>
      <c r="FNB40" s="883"/>
      <c r="FNC40" s="883"/>
      <c r="FND40" s="883"/>
      <c r="FNE40" s="883"/>
      <c r="FNF40" s="863"/>
      <c r="FNG40" s="863"/>
      <c r="FNH40" s="863"/>
      <c r="FNI40" s="863"/>
      <c r="FNJ40" s="863"/>
      <c r="FNK40" s="863"/>
      <c r="FNL40" s="863"/>
      <c r="FNM40" s="863"/>
      <c r="FNN40" s="863"/>
      <c r="FNO40" s="863"/>
      <c r="FNP40" s="863"/>
      <c r="FNQ40" s="863"/>
      <c r="FNR40" s="863"/>
      <c r="FNS40" s="863"/>
      <c r="FNT40" s="863"/>
      <c r="FNU40" s="863"/>
      <c r="FNV40" s="863"/>
      <c r="FNW40" s="863"/>
      <c r="FNX40" s="863"/>
      <c r="FNY40" s="863"/>
      <c r="FNZ40" s="863"/>
      <c r="FOA40" s="863"/>
      <c r="FOB40" s="863"/>
      <c r="FOC40" s="883"/>
      <c r="FOD40" s="883"/>
      <c r="FOE40" s="883"/>
      <c r="FOF40" s="883"/>
      <c r="FOG40" s="883"/>
      <c r="FOH40" s="883"/>
      <c r="FOI40" s="883"/>
      <c r="FOJ40" s="883"/>
      <c r="FOK40" s="883"/>
      <c r="FOL40" s="863"/>
      <c r="FOM40" s="863"/>
      <c r="FON40" s="863"/>
      <c r="FOO40" s="863"/>
      <c r="FOP40" s="863"/>
      <c r="FOQ40" s="863"/>
      <c r="FOR40" s="863"/>
      <c r="FOS40" s="863"/>
      <c r="FOT40" s="863"/>
      <c r="FOU40" s="863"/>
      <c r="FOV40" s="863"/>
      <c r="FOW40" s="863"/>
      <c r="FOX40" s="863"/>
      <c r="FOY40" s="863"/>
      <c r="FOZ40" s="863"/>
      <c r="FPA40" s="863"/>
      <c r="FPB40" s="863"/>
      <c r="FPC40" s="863"/>
      <c r="FPD40" s="863"/>
      <c r="FPE40" s="863"/>
      <c r="FPF40" s="863"/>
      <c r="FPG40" s="863"/>
      <c r="FPH40" s="863"/>
      <c r="FPI40" s="883"/>
      <c r="FPJ40" s="883"/>
      <c r="FPK40" s="883"/>
      <c r="FPL40" s="883"/>
      <c r="FPM40" s="883"/>
      <c r="FPN40" s="883"/>
      <c r="FPO40" s="883"/>
      <c r="FPP40" s="883"/>
      <c r="FPQ40" s="883"/>
      <c r="FPR40" s="863"/>
      <c r="FPS40" s="863"/>
      <c r="FPT40" s="863"/>
      <c r="FPU40" s="863"/>
      <c r="FPV40" s="863"/>
      <c r="FPW40" s="863"/>
      <c r="FPX40" s="863"/>
      <c r="FPY40" s="863"/>
      <c r="FPZ40" s="863"/>
      <c r="FQA40" s="863"/>
      <c r="FQB40" s="863"/>
      <c r="FQC40" s="863"/>
      <c r="FQD40" s="863"/>
      <c r="FQE40" s="863"/>
      <c r="FQF40" s="863"/>
      <c r="FQG40" s="863"/>
      <c r="FQH40" s="863"/>
      <c r="FQI40" s="863"/>
      <c r="FQJ40" s="863"/>
      <c r="FQK40" s="863"/>
      <c r="FQL40" s="863"/>
      <c r="FQM40" s="863"/>
      <c r="FQN40" s="863"/>
      <c r="FQO40" s="883"/>
      <c r="FQP40" s="883"/>
      <c r="FQQ40" s="883"/>
      <c r="FQR40" s="883"/>
      <c r="FQS40" s="883"/>
      <c r="FQT40" s="883"/>
      <c r="FQU40" s="883"/>
      <c r="FQV40" s="883"/>
      <c r="FQW40" s="883"/>
      <c r="FQX40" s="863"/>
      <c r="FQY40" s="863"/>
      <c r="FQZ40" s="863"/>
      <c r="FRA40" s="863"/>
      <c r="FRB40" s="863"/>
      <c r="FRC40" s="863"/>
      <c r="FRD40" s="863"/>
      <c r="FRE40" s="863"/>
      <c r="FRF40" s="863"/>
      <c r="FRG40" s="863"/>
      <c r="FRH40" s="863"/>
      <c r="FRI40" s="863"/>
      <c r="FRJ40" s="863"/>
      <c r="FRK40" s="863"/>
      <c r="FRL40" s="863"/>
      <c r="FRM40" s="863"/>
      <c r="FRN40" s="863"/>
      <c r="FRO40" s="863"/>
      <c r="FRP40" s="863"/>
      <c r="FRQ40" s="863"/>
      <c r="FRR40" s="863"/>
      <c r="FRS40" s="863"/>
      <c r="FRT40" s="863"/>
      <c r="FRU40" s="883"/>
      <c r="FRV40" s="883"/>
      <c r="FRW40" s="883"/>
      <c r="FRX40" s="883"/>
      <c r="FRY40" s="883"/>
      <c r="FRZ40" s="883"/>
      <c r="FSA40" s="883"/>
      <c r="FSB40" s="883"/>
      <c r="FSC40" s="883"/>
      <c r="FSD40" s="863"/>
      <c r="FSE40" s="863"/>
      <c r="FSF40" s="863"/>
      <c r="FSG40" s="863"/>
      <c r="FSH40" s="863"/>
      <c r="FSI40" s="863"/>
      <c r="FSJ40" s="863"/>
      <c r="FSK40" s="863"/>
      <c r="FSL40" s="863"/>
      <c r="FSM40" s="863"/>
      <c r="FSN40" s="863"/>
      <c r="FSO40" s="863"/>
      <c r="FSP40" s="863"/>
      <c r="FSQ40" s="863"/>
      <c r="FSR40" s="863"/>
      <c r="FSS40" s="863"/>
      <c r="FST40" s="863"/>
      <c r="FSU40" s="863"/>
      <c r="FSV40" s="863"/>
      <c r="FSW40" s="863"/>
      <c r="FSX40" s="863"/>
      <c r="FSY40" s="863"/>
      <c r="FSZ40" s="863"/>
      <c r="FTA40" s="883"/>
      <c r="FTB40" s="883"/>
      <c r="FTC40" s="883"/>
      <c r="FTD40" s="883"/>
      <c r="FTE40" s="883"/>
      <c r="FTF40" s="883"/>
      <c r="FTG40" s="883"/>
      <c r="FTH40" s="883"/>
      <c r="FTI40" s="883"/>
      <c r="FTJ40" s="863"/>
      <c r="FTK40" s="863"/>
      <c r="FTL40" s="863"/>
      <c r="FTM40" s="863"/>
      <c r="FTN40" s="863"/>
      <c r="FTO40" s="863"/>
      <c r="FTP40" s="863"/>
      <c r="FTQ40" s="863"/>
      <c r="FTR40" s="863"/>
      <c r="FTS40" s="863"/>
      <c r="FTT40" s="863"/>
      <c r="FTU40" s="863"/>
      <c r="FTV40" s="863"/>
      <c r="FTW40" s="863"/>
      <c r="FTX40" s="863"/>
      <c r="FTY40" s="863"/>
      <c r="FTZ40" s="863"/>
      <c r="FUA40" s="863"/>
      <c r="FUB40" s="863"/>
      <c r="FUC40" s="863"/>
      <c r="FUD40" s="863"/>
      <c r="FUE40" s="863"/>
      <c r="FUF40" s="863"/>
      <c r="FUG40" s="883"/>
      <c r="FUH40" s="883"/>
      <c r="FUI40" s="883"/>
      <c r="FUJ40" s="883"/>
      <c r="FUK40" s="883"/>
      <c r="FUL40" s="883"/>
      <c r="FUM40" s="883"/>
      <c r="FUN40" s="883"/>
      <c r="FUO40" s="883"/>
      <c r="FUP40" s="863"/>
      <c r="FUQ40" s="863"/>
      <c r="FUR40" s="863"/>
      <c r="FUS40" s="863"/>
      <c r="FUT40" s="863"/>
      <c r="FUU40" s="863"/>
      <c r="FUV40" s="863"/>
      <c r="FUW40" s="863"/>
      <c r="FUX40" s="863"/>
      <c r="FUY40" s="863"/>
      <c r="FUZ40" s="863"/>
      <c r="FVA40" s="863"/>
      <c r="FVB40" s="863"/>
      <c r="FVC40" s="863"/>
      <c r="FVD40" s="863"/>
      <c r="FVE40" s="863"/>
      <c r="FVF40" s="863"/>
      <c r="FVG40" s="863"/>
      <c r="FVH40" s="863"/>
      <c r="FVI40" s="863"/>
      <c r="FVJ40" s="863"/>
      <c r="FVK40" s="863"/>
      <c r="FVL40" s="863"/>
      <c r="FVM40" s="883"/>
      <c r="FVN40" s="883"/>
      <c r="FVO40" s="883"/>
      <c r="FVP40" s="883"/>
      <c r="FVQ40" s="883"/>
      <c r="FVR40" s="883"/>
      <c r="FVS40" s="883"/>
      <c r="FVT40" s="883"/>
      <c r="FVU40" s="883"/>
      <c r="FVV40" s="863"/>
      <c r="FVW40" s="863"/>
      <c r="FVX40" s="863"/>
      <c r="FVY40" s="863"/>
      <c r="FVZ40" s="863"/>
      <c r="FWA40" s="863"/>
      <c r="FWB40" s="863"/>
      <c r="FWC40" s="863"/>
      <c r="FWD40" s="863"/>
      <c r="FWE40" s="863"/>
      <c r="FWF40" s="863"/>
      <c r="FWG40" s="863"/>
      <c r="FWH40" s="863"/>
      <c r="FWI40" s="863"/>
      <c r="FWJ40" s="863"/>
      <c r="FWK40" s="863"/>
      <c r="FWL40" s="863"/>
      <c r="FWM40" s="863"/>
      <c r="FWN40" s="863"/>
      <c r="FWO40" s="863"/>
      <c r="FWP40" s="863"/>
      <c r="FWQ40" s="863"/>
      <c r="FWR40" s="863"/>
      <c r="FWS40" s="883"/>
      <c r="FWT40" s="883"/>
      <c r="FWU40" s="883"/>
      <c r="FWV40" s="883"/>
      <c r="FWW40" s="883"/>
      <c r="FWX40" s="883"/>
      <c r="FWY40" s="883"/>
      <c r="FWZ40" s="883"/>
      <c r="FXA40" s="883"/>
      <c r="FXB40" s="863"/>
      <c r="FXC40" s="863"/>
      <c r="FXD40" s="863"/>
      <c r="FXE40" s="863"/>
      <c r="FXF40" s="863"/>
      <c r="FXG40" s="863"/>
      <c r="FXH40" s="863"/>
      <c r="FXI40" s="863"/>
      <c r="FXJ40" s="863"/>
      <c r="FXK40" s="863"/>
      <c r="FXL40" s="863"/>
      <c r="FXM40" s="863"/>
      <c r="FXN40" s="863"/>
      <c r="FXO40" s="863"/>
      <c r="FXP40" s="863"/>
      <c r="FXQ40" s="863"/>
      <c r="FXR40" s="863"/>
      <c r="FXS40" s="863"/>
      <c r="FXT40" s="863"/>
      <c r="FXU40" s="863"/>
      <c r="FXV40" s="863"/>
      <c r="FXW40" s="863"/>
      <c r="FXX40" s="863"/>
      <c r="FXY40" s="883"/>
      <c r="FXZ40" s="883"/>
      <c r="FYA40" s="883"/>
      <c r="FYB40" s="883"/>
      <c r="FYC40" s="883"/>
      <c r="FYD40" s="883"/>
      <c r="FYE40" s="883"/>
      <c r="FYF40" s="883"/>
      <c r="FYG40" s="883"/>
      <c r="FYH40" s="863"/>
      <c r="FYI40" s="863"/>
      <c r="FYJ40" s="863"/>
      <c r="FYK40" s="863"/>
      <c r="FYL40" s="863"/>
      <c r="FYM40" s="863"/>
      <c r="FYN40" s="863"/>
      <c r="FYO40" s="863"/>
      <c r="FYP40" s="863"/>
      <c r="FYQ40" s="863"/>
      <c r="FYR40" s="863"/>
      <c r="FYS40" s="863"/>
      <c r="FYT40" s="863"/>
      <c r="FYU40" s="863"/>
      <c r="FYV40" s="863"/>
      <c r="FYW40" s="863"/>
      <c r="FYX40" s="863"/>
      <c r="FYY40" s="863"/>
      <c r="FYZ40" s="863"/>
      <c r="FZA40" s="863"/>
      <c r="FZB40" s="863"/>
      <c r="FZC40" s="863"/>
      <c r="FZD40" s="863"/>
      <c r="FZE40" s="883"/>
      <c r="FZF40" s="883"/>
      <c r="FZG40" s="883"/>
      <c r="FZH40" s="883"/>
      <c r="FZI40" s="883"/>
      <c r="FZJ40" s="883"/>
      <c r="FZK40" s="883"/>
      <c r="FZL40" s="883"/>
      <c r="FZM40" s="883"/>
      <c r="FZN40" s="863"/>
      <c r="FZO40" s="863"/>
      <c r="FZP40" s="863"/>
      <c r="FZQ40" s="863"/>
      <c r="FZR40" s="863"/>
      <c r="FZS40" s="863"/>
      <c r="FZT40" s="863"/>
      <c r="FZU40" s="863"/>
      <c r="FZV40" s="863"/>
      <c r="FZW40" s="863"/>
      <c r="FZX40" s="863"/>
      <c r="FZY40" s="863"/>
      <c r="FZZ40" s="863"/>
      <c r="GAA40" s="863"/>
      <c r="GAB40" s="863"/>
      <c r="GAC40" s="863"/>
      <c r="GAD40" s="863"/>
      <c r="GAE40" s="863"/>
      <c r="GAF40" s="863"/>
      <c r="GAG40" s="863"/>
      <c r="GAH40" s="863"/>
      <c r="GAI40" s="863"/>
      <c r="GAJ40" s="863"/>
      <c r="GAK40" s="883"/>
      <c r="GAL40" s="883"/>
      <c r="GAM40" s="883"/>
      <c r="GAN40" s="883"/>
      <c r="GAO40" s="883"/>
      <c r="GAP40" s="883"/>
      <c r="GAQ40" s="883"/>
      <c r="GAR40" s="883"/>
      <c r="GAS40" s="883"/>
      <c r="GAT40" s="863"/>
      <c r="GAU40" s="863"/>
      <c r="GAV40" s="863"/>
      <c r="GAW40" s="863"/>
      <c r="GAX40" s="863"/>
      <c r="GAY40" s="863"/>
      <c r="GAZ40" s="863"/>
      <c r="GBA40" s="863"/>
      <c r="GBB40" s="863"/>
      <c r="GBC40" s="863"/>
      <c r="GBD40" s="863"/>
      <c r="GBE40" s="863"/>
      <c r="GBF40" s="863"/>
      <c r="GBG40" s="863"/>
      <c r="GBH40" s="863"/>
      <c r="GBI40" s="863"/>
      <c r="GBJ40" s="863"/>
      <c r="GBK40" s="863"/>
      <c r="GBL40" s="863"/>
      <c r="GBM40" s="863"/>
      <c r="GBN40" s="863"/>
      <c r="GBO40" s="863"/>
      <c r="GBP40" s="863"/>
      <c r="GBQ40" s="883"/>
      <c r="GBR40" s="883"/>
      <c r="GBS40" s="883"/>
      <c r="GBT40" s="883"/>
      <c r="GBU40" s="883"/>
      <c r="GBV40" s="883"/>
      <c r="GBW40" s="883"/>
      <c r="GBX40" s="883"/>
      <c r="GBY40" s="883"/>
      <c r="GBZ40" s="863"/>
      <c r="GCA40" s="863"/>
      <c r="GCB40" s="863"/>
      <c r="GCC40" s="863"/>
      <c r="GCD40" s="863"/>
      <c r="GCE40" s="863"/>
      <c r="GCF40" s="863"/>
      <c r="GCG40" s="863"/>
      <c r="GCH40" s="863"/>
      <c r="GCI40" s="863"/>
      <c r="GCJ40" s="863"/>
      <c r="GCK40" s="863"/>
      <c r="GCL40" s="863"/>
      <c r="GCM40" s="863"/>
      <c r="GCN40" s="863"/>
      <c r="GCO40" s="863"/>
      <c r="GCP40" s="863"/>
      <c r="GCQ40" s="863"/>
      <c r="GCR40" s="863"/>
      <c r="GCS40" s="863"/>
      <c r="GCT40" s="863"/>
      <c r="GCU40" s="863"/>
      <c r="GCV40" s="863"/>
      <c r="GCW40" s="883"/>
      <c r="GCX40" s="883"/>
      <c r="GCY40" s="883"/>
      <c r="GCZ40" s="883"/>
      <c r="GDA40" s="883"/>
      <c r="GDB40" s="883"/>
      <c r="GDC40" s="883"/>
      <c r="GDD40" s="883"/>
      <c r="GDE40" s="883"/>
      <c r="GDF40" s="863"/>
      <c r="GDG40" s="863"/>
      <c r="GDH40" s="863"/>
      <c r="GDI40" s="863"/>
      <c r="GDJ40" s="863"/>
      <c r="GDK40" s="863"/>
      <c r="GDL40" s="863"/>
      <c r="GDM40" s="863"/>
      <c r="GDN40" s="863"/>
      <c r="GDO40" s="863"/>
      <c r="GDP40" s="863"/>
      <c r="GDQ40" s="863"/>
      <c r="GDR40" s="863"/>
      <c r="GDS40" s="863"/>
      <c r="GDT40" s="863"/>
      <c r="GDU40" s="863"/>
      <c r="GDV40" s="863"/>
      <c r="GDW40" s="863"/>
      <c r="GDX40" s="863"/>
      <c r="GDY40" s="863"/>
      <c r="GDZ40" s="863"/>
      <c r="GEA40" s="863"/>
      <c r="GEB40" s="863"/>
      <c r="GEC40" s="883"/>
      <c r="GED40" s="883"/>
      <c r="GEE40" s="883"/>
      <c r="GEF40" s="883"/>
      <c r="GEG40" s="883"/>
      <c r="GEH40" s="883"/>
      <c r="GEI40" s="883"/>
      <c r="GEJ40" s="883"/>
      <c r="GEK40" s="883"/>
      <c r="GEL40" s="863"/>
      <c r="GEM40" s="863"/>
      <c r="GEN40" s="863"/>
      <c r="GEO40" s="863"/>
      <c r="GEP40" s="863"/>
      <c r="GEQ40" s="863"/>
      <c r="GER40" s="863"/>
      <c r="GES40" s="863"/>
      <c r="GET40" s="863"/>
      <c r="GEU40" s="863"/>
      <c r="GEV40" s="863"/>
      <c r="GEW40" s="863"/>
      <c r="GEX40" s="863"/>
      <c r="GEY40" s="863"/>
      <c r="GEZ40" s="863"/>
      <c r="GFA40" s="863"/>
      <c r="GFB40" s="863"/>
      <c r="GFC40" s="863"/>
      <c r="GFD40" s="863"/>
      <c r="GFE40" s="863"/>
      <c r="GFF40" s="863"/>
      <c r="GFG40" s="863"/>
      <c r="GFH40" s="863"/>
      <c r="GFI40" s="883"/>
      <c r="GFJ40" s="883"/>
      <c r="GFK40" s="883"/>
      <c r="GFL40" s="883"/>
      <c r="GFM40" s="883"/>
      <c r="GFN40" s="883"/>
      <c r="GFO40" s="883"/>
      <c r="GFP40" s="883"/>
      <c r="GFQ40" s="883"/>
      <c r="GFR40" s="863"/>
      <c r="GFS40" s="863"/>
      <c r="GFT40" s="863"/>
      <c r="GFU40" s="863"/>
      <c r="GFV40" s="863"/>
      <c r="GFW40" s="863"/>
      <c r="GFX40" s="863"/>
      <c r="GFY40" s="863"/>
      <c r="GFZ40" s="863"/>
      <c r="GGA40" s="863"/>
      <c r="GGB40" s="863"/>
      <c r="GGC40" s="863"/>
      <c r="GGD40" s="863"/>
      <c r="GGE40" s="863"/>
      <c r="GGF40" s="863"/>
      <c r="GGG40" s="863"/>
      <c r="GGH40" s="863"/>
      <c r="GGI40" s="863"/>
      <c r="GGJ40" s="863"/>
      <c r="GGK40" s="863"/>
      <c r="GGL40" s="863"/>
      <c r="GGM40" s="863"/>
      <c r="GGN40" s="863"/>
      <c r="GGO40" s="883"/>
      <c r="GGP40" s="883"/>
      <c r="GGQ40" s="883"/>
      <c r="GGR40" s="883"/>
      <c r="GGS40" s="883"/>
      <c r="GGT40" s="883"/>
      <c r="GGU40" s="883"/>
      <c r="GGV40" s="883"/>
      <c r="GGW40" s="883"/>
      <c r="GGX40" s="863"/>
      <c r="GGY40" s="863"/>
      <c r="GGZ40" s="863"/>
      <c r="GHA40" s="863"/>
      <c r="GHB40" s="863"/>
      <c r="GHC40" s="863"/>
      <c r="GHD40" s="863"/>
      <c r="GHE40" s="863"/>
      <c r="GHF40" s="863"/>
      <c r="GHG40" s="863"/>
      <c r="GHH40" s="863"/>
      <c r="GHI40" s="863"/>
      <c r="GHJ40" s="863"/>
      <c r="GHK40" s="863"/>
      <c r="GHL40" s="863"/>
      <c r="GHM40" s="863"/>
      <c r="GHN40" s="863"/>
      <c r="GHO40" s="863"/>
      <c r="GHP40" s="863"/>
      <c r="GHQ40" s="863"/>
      <c r="GHR40" s="863"/>
      <c r="GHS40" s="863"/>
      <c r="GHT40" s="863"/>
      <c r="GHU40" s="883"/>
      <c r="GHV40" s="883"/>
      <c r="GHW40" s="883"/>
      <c r="GHX40" s="883"/>
      <c r="GHY40" s="883"/>
      <c r="GHZ40" s="883"/>
      <c r="GIA40" s="883"/>
      <c r="GIB40" s="883"/>
      <c r="GIC40" s="883"/>
      <c r="GID40" s="863"/>
      <c r="GIE40" s="863"/>
      <c r="GIF40" s="863"/>
      <c r="GIG40" s="863"/>
      <c r="GIH40" s="863"/>
      <c r="GII40" s="863"/>
      <c r="GIJ40" s="863"/>
      <c r="GIK40" s="863"/>
      <c r="GIL40" s="863"/>
      <c r="GIM40" s="863"/>
      <c r="GIN40" s="863"/>
      <c r="GIO40" s="863"/>
      <c r="GIP40" s="863"/>
      <c r="GIQ40" s="863"/>
      <c r="GIR40" s="863"/>
      <c r="GIS40" s="863"/>
      <c r="GIT40" s="863"/>
      <c r="GIU40" s="863"/>
      <c r="GIV40" s="863"/>
      <c r="GIW40" s="863"/>
      <c r="GIX40" s="863"/>
      <c r="GIY40" s="863"/>
      <c r="GIZ40" s="863"/>
      <c r="GJA40" s="883"/>
      <c r="GJB40" s="883"/>
      <c r="GJC40" s="883"/>
      <c r="GJD40" s="883"/>
      <c r="GJE40" s="883"/>
      <c r="GJF40" s="883"/>
      <c r="GJG40" s="883"/>
      <c r="GJH40" s="883"/>
      <c r="GJI40" s="883"/>
      <c r="GJJ40" s="863"/>
      <c r="GJK40" s="863"/>
      <c r="GJL40" s="863"/>
      <c r="GJM40" s="863"/>
      <c r="GJN40" s="863"/>
      <c r="GJO40" s="863"/>
      <c r="GJP40" s="863"/>
      <c r="GJQ40" s="863"/>
      <c r="GJR40" s="863"/>
      <c r="GJS40" s="863"/>
      <c r="GJT40" s="863"/>
      <c r="GJU40" s="863"/>
      <c r="GJV40" s="863"/>
      <c r="GJW40" s="863"/>
      <c r="GJX40" s="863"/>
      <c r="GJY40" s="863"/>
      <c r="GJZ40" s="863"/>
      <c r="GKA40" s="863"/>
      <c r="GKB40" s="863"/>
      <c r="GKC40" s="863"/>
      <c r="GKD40" s="863"/>
      <c r="GKE40" s="863"/>
      <c r="GKF40" s="863"/>
      <c r="GKG40" s="883"/>
      <c r="GKH40" s="883"/>
      <c r="GKI40" s="883"/>
      <c r="GKJ40" s="883"/>
      <c r="GKK40" s="883"/>
      <c r="GKL40" s="883"/>
      <c r="GKM40" s="883"/>
      <c r="GKN40" s="883"/>
      <c r="GKO40" s="883"/>
      <c r="GKP40" s="863"/>
      <c r="GKQ40" s="863"/>
      <c r="GKR40" s="863"/>
      <c r="GKS40" s="863"/>
      <c r="GKT40" s="863"/>
      <c r="GKU40" s="863"/>
      <c r="GKV40" s="863"/>
      <c r="GKW40" s="863"/>
      <c r="GKX40" s="863"/>
      <c r="GKY40" s="863"/>
      <c r="GKZ40" s="863"/>
      <c r="GLA40" s="863"/>
      <c r="GLB40" s="863"/>
      <c r="GLC40" s="863"/>
      <c r="GLD40" s="863"/>
      <c r="GLE40" s="863"/>
      <c r="GLF40" s="863"/>
      <c r="GLG40" s="863"/>
      <c r="GLH40" s="863"/>
      <c r="GLI40" s="863"/>
      <c r="GLJ40" s="863"/>
      <c r="GLK40" s="863"/>
      <c r="GLL40" s="863"/>
      <c r="GLM40" s="883"/>
      <c r="GLN40" s="883"/>
      <c r="GLO40" s="883"/>
      <c r="GLP40" s="883"/>
      <c r="GLQ40" s="883"/>
      <c r="GLR40" s="883"/>
      <c r="GLS40" s="883"/>
      <c r="GLT40" s="883"/>
      <c r="GLU40" s="883"/>
      <c r="GLV40" s="863"/>
      <c r="GLW40" s="863"/>
      <c r="GLX40" s="863"/>
      <c r="GLY40" s="863"/>
      <c r="GLZ40" s="863"/>
      <c r="GMA40" s="863"/>
      <c r="GMB40" s="863"/>
      <c r="GMC40" s="863"/>
      <c r="GMD40" s="863"/>
      <c r="GME40" s="863"/>
      <c r="GMF40" s="863"/>
      <c r="GMG40" s="863"/>
      <c r="GMH40" s="863"/>
      <c r="GMI40" s="863"/>
      <c r="GMJ40" s="863"/>
      <c r="GMK40" s="863"/>
      <c r="GML40" s="863"/>
      <c r="GMM40" s="863"/>
      <c r="GMN40" s="863"/>
      <c r="GMO40" s="863"/>
      <c r="GMP40" s="863"/>
      <c r="GMQ40" s="863"/>
      <c r="GMR40" s="863"/>
      <c r="GMS40" s="883"/>
      <c r="GMT40" s="883"/>
      <c r="GMU40" s="883"/>
      <c r="GMV40" s="883"/>
      <c r="GMW40" s="883"/>
      <c r="GMX40" s="883"/>
      <c r="GMY40" s="883"/>
      <c r="GMZ40" s="883"/>
      <c r="GNA40" s="883"/>
      <c r="GNB40" s="863"/>
      <c r="GNC40" s="863"/>
      <c r="GND40" s="863"/>
      <c r="GNE40" s="863"/>
      <c r="GNF40" s="863"/>
      <c r="GNG40" s="863"/>
      <c r="GNH40" s="863"/>
      <c r="GNI40" s="863"/>
      <c r="GNJ40" s="863"/>
      <c r="GNK40" s="863"/>
      <c r="GNL40" s="863"/>
      <c r="GNM40" s="863"/>
      <c r="GNN40" s="863"/>
      <c r="GNO40" s="863"/>
      <c r="GNP40" s="863"/>
      <c r="GNQ40" s="863"/>
      <c r="GNR40" s="863"/>
      <c r="GNS40" s="863"/>
      <c r="GNT40" s="863"/>
      <c r="GNU40" s="863"/>
      <c r="GNV40" s="863"/>
      <c r="GNW40" s="863"/>
      <c r="GNX40" s="863"/>
      <c r="GNY40" s="883"/>
      <c r="GNZ40" s="883"/>
      <c r="GOA40" s="883"/>
      <c r="GOB40" s="883"/>
      <c r="GOC40" s="883"/>
      <c r="GOD40" s="883"/>
      <c r="GOE40" s="883"/>
      <c r="GOF40" s="883"/>
      <c r="GOG40" s="883"/>
      <c r="GOH40" s="863"/>
      <c r="GOI40" s="863"/>
      <c r="GOJ40" s="863"/>
      <c r="GOK40" s="863"/>
      <c r="GOL40" s="863"/>
      <c r="GOM40" s="863"/>
      <c r="GON40" s="863"/>
      <c r="GOO40" s="863"/>
      <c r="GOP40" s="863"/>
      <c r="GOQ40" s="863"/>
      <c r="GOR40" s="863"/>
      <c r="GOS40" s="863"/>
      <c r="GOT40" s="863"/>
      <c r="GOU40" s="863"/>
      <c r="GOV40" s="863"/>
      <c r="GOW40" s="863"/>
      <c r="GOX40" s="863"/>
      <c r="GOY40" s="863"/>
      <c r="GOZ40" s="863"/>
      <c r="GPA40" s="863"/>
      <c r="GPB40" s="863"/>
      <c r="GPC40" s="863"/>
      <c r="GPD40" s="863"/>
      <c r="GPE40" s="883"/>
      <c r="GPF40" s="883"/>
      <c r="GPG40" s="883"/>
      <c r="GPH40" s="883"/>
      <c r="GPI40" s="883"/>
      <c r="GPJ40" s="883"/>
      <c r="GPK40" s="883"/>
      <c r="GPL40" s="883"/>
      <c r="GPM40" s="883"/>
      <c r="GPN40" s="863"/>
      <c r="GPO40" s="863"/>
      <c r="GPP40" s="863"/>
      <c r="GPQ40" s="863"/>
      <c r="GPR40" s="863"/>
      <c r="GPS40" s="863"/>
      <c r="GPT40" s="863"/>
      <c r="GPU40" s="863"/>
      <c r="GPV40" s="863"/>
      <c r="GPW40" s="863"/>
      <c r="GPX40" s="863"/>
      <c r="GPY40" s="863"/>
      <c r="GPZ40" s="863"/>
      <c r="GQA40" s="863"/>
      <c r="GQB40" s="863"/>
      <c r="GQC40" s="863"/>
      <c r="GQD40" s="863"/>
      <c r="GQE40" s="863"/>
      <c r="GQF40" s="863"/>
      <c r="GQG40" s="863"/>
      <c r="GQH40" s="863"/>
      <c r="GQI40" s="863"/>
      <c r="GQJ40" s="863"/>
      <c r="GQK40" s="883"/>
      <c r="GQL40" s="883"/>
      <c r="GQM40" s="883"/>
      <c r="GQN40" s="883"/>
      <c r="GQO40" s="883"/>
      <c r="GQP40" s="883"/>
      <c r="GQQ40" s="883"/>
      <c r="GQR40" s="883"/>
      <c r="GQS40" s="883"/>
      <c r="GQT40" s="863"/>
      <c r="GQU40" s="863"/>
      <c r="GQV40" s="863"/>
      <c r="GQW40" s="863"/>
      <c r="GQX40" s="863"/>
      <c r="GQY40" s="863"/>
      <c r="GQZ40" s="863"/>
      <c r="GRA40" s="863"/>
      <c r="GRB40" s="863"/>
      <c r="GRC40" s="863"/>
      <c r="GRD40" s="863"/>
      <c r="GRE40" s="863"/>
      <c r="GRF40" s="863"/>
      <c r="GRG40" s="863"/>
      <c r="GRH40" s="863"/>
      <c r="GRI40" s="863"/>
      <c r="GRJ40" s="863"/>
      <c r="GRK40" s="863"/>
      <c r="GRL40" s="863"/>
      <c r="GRM40" s="863"/>
      <c r="GRN40" s="863"/>
      <c r="GRO40" s="863"/>
      <c r="GRP40" s="863"/>
      <c r="GRQ40" s="883"/>
      <c r="GRR40" s="883"/>
      <c r="GRS40" s="883"/>
      <c r="GRT40" s="883"/>
      <c r="GRU40" s="883"/>
      <c r="GRV40" s="883"/>
      <c r="GRW40" s="883"/>
      <c r="GRX40" s="883"/>
      <c r="GRY40" s="883"/>
      <c r="GRZ40" s="863"/>
      <c r="GSA40" s="863"/>
      <c r="GSB40" s="863"/>
      <c r="GSC40" s="863"/>
      <c r="GSD40" s="863"/>
      <c r="GSE40" s="863"/>
      <c r="GSF40" s="863"/>
      <c r="GSG40" s="863"/>
      <c r="GSH40" s="863"/>
      <c r="GSI40" s="863"/>
      <c r="GSJ40" s="863"/>
      <c r="GSK40" s="863"/>
      <c r="GSL40" s="863"/>
      <c r="GSM40" s="863"/>
      <c r="GSN40" s="863"/>
      <c r="GSO40" s="863"/>
      <c r="GSP40" s="863"/>
      <c r="GSQ40" s="863"/>
      <c r="GSR40" s="863"/>
      <c r="GSS40" s="863"/>
      <c r="GST40" s="863"/>
      <c r="GSU40" s="863"/>
      <c r="GSV40" s="863"/>
      <c r="GSW40" s="883"/>
      <c r="GSX40" s="883"/>
      <c r="GSY40" s="883"/>
      <c r="GSZ40" s="883"/>
      <c r="GTA40" s="883"/>
      <c r="GTB40" s="883"/>
      <c r="GTC40" s="883"/>
      <c r="GTD40" s="883"/>
      <c r="GTE40" s="883"/>
      <c r="GTF40" s="863"/>
      <c r="GTG40" s="863"/>
      <c r="GTH40" s="863"/>
      <c r="GTI40" s="863"/>
      <c r="GTJ40" s="863"/>
      <c r="GTK40" s="863"/>
      <c r="GTL40" s="863"/>
      <c r="GTM40" s="863"/>
      <c r="GTN40" s="863"/>
      <c r="GTO40" s="863"/>
      <c r="GTP40" s="863"/>
      <c r="GTQ40" s="863"/>
      <c r="GTR40" s="863"/>
      <c r="GTS40" s="863"/>
      <c r="GTT40" s="863"/>
      <c r="GTU40" s="863"/>
      <c r="GTV40" s="863"/>
      <c r="GTW40" s="863"/>
      <c r="GTX40" s="863"/>
      <c r="GTY40" s="863"/>
      <c r="GTZ40" s="863"/>
      <c r="GUA40" s="863"/>
      <c r="GUB40" s="863"/>
      <c r="GUC40" s="883"/>
      <c r="GUD40" s="883"/>
      <c r="GUE40" s="883"/>
      <c r="GUF40" s="883"/>
      <c r="GUG40" s="883"/>
      <c r="GUH40" s="883"/>
      <c r="GUI40" s="883"/>
      <c r="GUJ40" s="883"/>
      <c r="GUK40" s="883"/>
      <c r="GUL40" s="863"/>
      <c r="GUM40" s="863"/>
      <c r="GUN40" s="863"/>
      <c r="GUO40" s="863"/>
      <c r="GUP40" s="863"/>
      <c r="GUQ40" s="863"/>
      <c r="GUR40" s="863"/>
      <c r="GUS40" s="863"/>
      <c r="GUT40" s="863"/>
      <c r="GUU40" s="863"/>
      <c r="GUV40" s="863"/>
      <c r="GUW40" s="863"/>
      <c r="GUX40" s="863"/>
      <c r="GUY40" s="863"/>
      <c r="GUZ40" s="863"/>
      <c r="GVA40" s="863"/>
      <c r="GVB40" s="863"/>
      <c r="GVC40" s="863"/>
      <c r="GVD40" s="863"/>
      <c r="GVE40" s="863"/>
      <c r="GVF40" s="863"/>
      <c r="GVG40" s="863"/>
      <c r="GVH40" s="863"/>
      <c r="GVI40" s="883"/>
      <c r="GVJ40" s="883"/>
      <c r="GVK40" s="883"/>
      <c r="GVL40" s="883"/>
      <c r="GVM40" s="883"/>
      <c r="GVN40" s="883"/>
      <c r="GVO40" s="883"/>
      <c r="GVP40" s="883"/>
      <c r="GVQ40" s="883"/>
      <c r="GVR40" s="863"/>
      <c r="GVS40" s="863"/>
      <c r="GVT40" s="863"/>
      <c r="GVU40" s="863"/>
      <c r="GVV40" s="863"/>
      <c r="GVW40" s="863"/>
      <c r="GVX40" s="863"/>
      <c r="GVY40" s="863"/>
      <c r="GVZ40" s="863"/>
      <c r="GWA40" s="863"/>
      <c r="GWB40" s="863"/>
      <c r="GWC40" s="863"/>
      <c r="GWD40" s="863"/>
      <c r="GWE40" s="863"/>
      <c r="GWF40" s="863"/>
      <c r="GWG40" s="863"/>
      <c r="GWH40" s="863"/>
      <c r="GWI40" s="863"/>
      <c r="GWJ40" s="863"/>
      <c r="GWK40" s="863"/>
      <c r="GWL40" s="863"/>
      <c r="GWM40" s="863"/>
      <c r="GWN40" s="863"/>
      <c r="GWO40" s="883"/>
      <c r="GWP40" s="883"/>
      <c r="GWQ40" s="883"/>
      <c r="GWR40" s="883"/>
      <c r="GWS40" s="883"/>
      <c r="GWT40" s="883"/>
      <c r="GWU40" s="883"/>
      <c r="GWV40" s="883"/>
      <c r="GWW40" s="883"/>
      <c r="GWX40" s="863"/>
      <c r="GWY40" s="863"/>
      <c r="GWZ40" s="863"/>
      <c r="GXA40" s="863"/>
      <c r="GXB40" s="863"/>
      <c r="GXC40" s="863"/>
      <c r="GXD40" s="863"/>
      <c r="GXE40" s="863"/>
      <c r="GXF40" s="863"/>
      <c r="GXG40" s="863"/>
      <c r="GXH40" s="863"/>
      <c r="GXI40" s="863"/>
      <c r="GXJ40" s="863"/>
      <c r="GXK40" s="863"/>
      <c r="GXL40" s="863"/>
      <c r="GXM40" s="863"/>
      <c r="GXN40" s="863"/>
      <c r="GXO40" s="863"/>
      <c r="GXP40" s="863"/>
      <c r="GXQ40" s="863"/>
      <c r="GXR40" s="863"/>
      <c r="GXS40" s="863"/>
      <c r="GXT40" s="863"/>
      <c r="GXU40" s="883"/>
      <c r="GXV40" s="883"/>
      <c r="GXW40" s="883"/>
      <c r="GXX40" s="883"/>
      <c r="GXY40" s="883"/>
      <c r="GXZ40" s="883"/>
      <c r="GYA40" s="883"/>
      <c r="GYB40" s="883"/>
      <c r="GYC40" s="883"/>
      <c r="GYD40" s="863"/>
      <c r="GYE40" s="863"/>
      <c r="GYF40" s="863"/>
      <c r="GYG40" s="863"/>
      <c r="GYH40" s="863"/>
      <c r="GYI40" s="863"/>
      <c r="GYJ40" s="863"/>
      <c r="GYK40" s="863"/>
      <c r="GYL40" s="863"/>
      <c r="GYM40" s="863"/>
      <c r="GYN40" s="863"/>
      <c r="GYO40" s="863"/>
      <c r="GYP40" s="863"/>
      <c r="GYQ40" s="863"/>
      <c r="GYR40" s="863"/>
      <c r="GYS40" s="863"/>
      <c r="GYT40" s="863"/>
      <c r="GYU40" s="863"/>
      <c r="GYV40" s="863"/>
      <c r="GYW40" s="863"/>
      <c r="GYX40" s="863"/>
      <c r="GYY40" s="863"/>
      <c r="GYZ40" s="863"/>
      <c r="GZA40" s="883"/>
      <c r="GZB40" s="883"/>
      <c r="GZC40" s="883"/>
      <c r="GZD40" s="883"/>
      <c r="GZE40" s="883"/>
      <c r="GZF40" s="883"/>
      <c r="GZG40" s="883"/>
      <c r="GZH40" s="883"/>
      <c r="GZI40" s="883"/>
      <c r="GZJ40" s="863"/>
      <c r="GZK40" s="863"/>
      <c r="GZL40" s="863"/>
      <c r="GZM40" s="863"/>
      <c r="GZN40" s="863"/>
      <c r="GZO40" s="863"/>
      <c r="GZP40" s="863"/>
      <c r="GZQ40" s="863"/>
      <c r="GZR40" s="863"/>
      <c r="GZS40" s="863"/>
      <c r="GZT40" s="863"/>
      <c r="GZU40" s="863"/>
      <c r="GZV40" s="863"/>
      <c r="GZW40" s="863"/>
      <c r="GZX40" s="863"/>
      <c r="GZY40" s="863"/>
      <c r="GZZ40" s="863"/>
      <c r="HAA40" s="863"/>
      <c r="HAB40" s="863"/>
      <c r="HAC40" s="863"/>
      <c r="HAD40" s="863"/>
      <c r="HAE40" s="863"/>
      <c r="HAF40" s="863"/>
      <c r="HAG40" s="883"/>
      <c r="HAH40" s="883"/>
      <c r="HAI40" s="883"/>
      <c r="HAJ40" s="883"/>
      <c r="HAK40" s="883"/>
      <c r="HAL40" s="883"/>
      <c r="HAM40" s="883"/>
      <c r="HAN40" s="883"/>
      <c r="HAO40" s="883"/>
      <c r="HAP40" s="863"/>
      <c r="HAQ40" s="863"/>
      <c r="HAR40" s="863"/>
      <c r="HAS40" s="863"/>
      <c r="HAT40" s="863"/>
      <c r="HAU40" s="863"/>
      <c r="HAV40" s="863"/>
      <c r="HAW40" s="863"/>
      <c r="HAX40" s="863"/>
      <c r="HAY40" s="863"/>
      <c r="HAZ40" s="863"/>
      <c r="HBA40" s="863"/>
      <c r="HBB40" s="863"/>
      <c r="HBC40" s="863"/>
      <c r="HBD40" s="863"/>
      <c r="HBE40" s="863"/>
      <c r="HBF40" s="863"/>
      <c r="HBG40" s="863"/>
      <c r="HBH40" s="863"/>
      <c r="HBI40" s="863"/>
      <c r="HBJ40" s="863"/>
      <c r="HBK40" s="863"/>
      <c r="HBL40" s="863"/>
      <c r="HBM40" s="883"/>
      <c r="HBN40" s="883"/>
      <c r="HBO40" s="883"/>
      <c r="HBP40" s="883"/>
      <c r="HBQ40" s="883"/>
      <c r="HBR40" s="883"/>
      <c r="HBS40" s="883"/>
      <c r="HBT40" s="883"/>
      <c r="HBU40" s="883"/>
      <c r="HBV40" s="863"/>
      <c r="HBW40" s="863"/>
      <c r="HBX40" s="863"/>
      <c r="HBY40" s="863"/>
      <c r="HBZ40" s="863"/>
      <c r="HCA40" s="863"/>
      <c r="HCB40" s="863"/>
      <c r="HCC40" s="863"/>
      <c r="HCD40" s="863"/>
      <c r="HCE40" s="863"/>
      <c r="HCF40" s="863"/>
      <c r="HCG40" s="863"/>
      <c r="HCH40" s="863"/>
      <c r="HCI40" s="863"/>
      <c r="HCJ40" s="863"/>
      <c r="HCK40" s="863"/>
      <c r="HCL40" s="863"/>
      <c r="HCM40" s="863"/>
      <c r="HCN40" s="863"/>
      <c r="HCO40" s="863"/>
      <c r="HCP40" s="863"/>
      <c r="HCQ40" s="863"/>
      <c r="HCR40" s="863"/>
      <c r="HCS40" s="883"/>
      <c r="HCT40" s="883"/>
      <c r="HCU40" s="883"/>
      <c r="HCV40" s="883"/>
      <c r="HCW40" s="883"/>
      <c r="HCX40" s="883"/>
      <c r="HCY40" s="883"/>
      <c r="HCZ40" s="883"/>
      <c r="HDA40" s="883"/>
      <c r="HDB40" s="863"/>
      <c r="HDC40" s="863"/>
      <c r="HDD40" s="863"/>
      <c r="HDE40" s="863"/>
      <c r="HDF40" s="863"/>
      <c r="HDG40" s="863"/>
      <c r="HDH40" s="863"/>
      <c r="HDI40" s="863"/>
      <c r="HDJ40" s="863"/>
      <c r="HDK40" s="863"/>
      <c r="HDL40" s="863"/>
      <c r="HDM40" s="863"/>
      <c r="HDN40" s="863"/>
      <c r="HDO40" s="863"/>
      <c r="HDP40" s="863"/>
      <c r="HDQ40" s="863"/>
      <c r="HDR40" s="863"/>
      <c r="HDS40" s="863"/>
      <c r="HDT40" s="863"/>
      <c r="HDU40" s="863"/>
      <c r="HDV40" s="863"/>
      <c r="HDW40" s="863"/>
      <c r="HDX40" s="863"/>
      <c r="HDY40" s="883"/>
      <c r="HDZ40" s="883"/>
      <c r="HEA40" s="883"/>
      <c r="HEB40" s="883"/>
      <c r="HEC40" s="883"/>
      <c r="HED40" s="883"/>
      <c r="HEE40" s="883"/>
      <c r="HEF40" s="883"/>
      <c r="HEG40" s="883"/>
      <c r="HEH40" s="863"/>
      <c r="HEI40" s="863"/>
      <c r="HEJ40" s="863"/>
      <c r="HEK40" s="863"/>
      <c r="HEL40" s="863"/>
      <c r="HEM40" s="863"/>
      <c r="HEN40" s="863"/>
      <c r="HEO40" s="863"/>
      <c r="HEP40" s="863"/>
      <c r="HEQ40" s="863"/>
      <c r="HER40" s="863"/>
      <c r="HES40" s="863"/>
      <c r="HET40" s="863"/>
      <c r="HEU40" s="863"/>
      <c r="HEV40" s="863"/>
      <c r="HEW40" s="863"/>
      <c r="HEX40" s="863"/>
      <c r="HEY40" s="863"/>
      <c r="HEZ40" s="863"/>
      <c r="HFA40" s="863"/>
      <c r="HFB40" s="863"/>
      <c r="HFC40" s="863"/>
      <c r="HFD40" s="863"/>
      <c r="HFE40" s="883"/>
      <c r="HFF40" s="883"/>
      <c r="HFG40" s="883"/>
      <c r="HFH40" s="883"/>
      <c r="HFI40" s="883"/>
      <c r="HFJ40" s="883"/>
      <c r="HFK40" s="883"/>
      <c r="HFL40" s="883"/>
      <c r="HFM40" s="883"/>
      <c r="HFN40" s="863"/>
      <c r="HFO40" s="863"/>
      <c r="HFP40" s="863"/>
      <c r="HFQ40" s="863"/>
      <c r="HFR40" s="863"/>
      <c r="HFS40" s="863"/>
      <c r="HFT40" s="863"/>
      <c r="HFU40" s="863"/>
      <c r="HFV40" s="863"/>
      <c r="HFW40" s="863"/>
      <c r="HFX40" s="863"/>
      <c r="HFY40" s="863"/>
      <c r="HFZ40" s="863"/>
      <c r="HGA40" s="863"/>
      <c r="HGB40" s="863"/>
      <c r="HGC40" s="863"/>
      <c r="HGD40" s="863"/>
      <c r="HGE40" s="863"/>
      <c r="HGF40" s="863"/>
      <c r="HGG40" s="863"/>
      <c r="HGH40" s="863"/>
      <c r="HGI40" s="863"/>
      <c r="HGJ40" s="863"/>
      <c r="HGK40" s="883"/>
      <c r="HGL40" s="883"/>
      <c r="HGM40" s="883"/>
      <c r="HGN40" s="883"/>
      <c r="HGO40" s="883"/>
      <c r="HGP40" s="883"/>
      <c r="HGQ40" s="883"/>
      <c r="HGR40" s="883"/>
      <c r="HGS40" s="883"/>
      <c r="HGT40" s="863"/>
      <c r="HGU40" s="863"/>
      <c r="HGV40" s="863"/>
      <c r="HGW40" s="863"/>
      <c r="HGX40" s="863"/>
      <c r="HGY40" s="863"/>
      <c r="HGZ40" s="863"/>
      <c r="HHA40" s="863"/>
      <c r="HHB40" s="863"/>
      <c r="HHC40" s="863"/>
      <c r="HHD40" s="863"/>
      <c r="HHE40" s="863"/>
      <c r="HHF40" s="863"/>
      <c r="HHG40" s="863"/>
      <c r="HHH40" s="863"/>
      <c r="HHI40" s="863"/>
      <c r="HHJ40" s="863"/>
      <c r="HHK40" s="863"/>
      <c r="HHL40" s="863"/>
      <c r="HHM40" s="863"/>
      <c r="HHN40" s="863"/>
      <c r="HHO40" s="863"/>
      <c r="HHP40" s="863"/>
      <c r="HHQ40" s="883"/>
      <c r="HHR40" s="883"/>
      <c r="HHS40" s="883"/>
      <c r="HHT40" s="883"/>
      <c r="HHU40" s="883"/>
      <c r="HHV40" s="883"/>
      <c r="HHW40" s="883"/>
      <c r="HHX40" s="883"/>
      <c r="HHY40" s="883"/>
      <c r="HHZ40" s="863"/>
      <c r="HIA40" s="863"/>
      <c r="HIB40" s="863"/>
      <c r="HIC40" s="863"/>
      <c r="HID40" s="863"/>
      <c r="HIE40" s="863"/>
      <c r="HIF40" s="863"/>
      <c r="HIG40" s="863"/>
      <c r="HIH40" s="863"/>
      <c r="HII40" s="863"/>
      <c r="HIJ40" s="863"/>
      <c r="HIK40" s="863"/>
      <c r="HIL40" s="863"/>
      <c r="HIM40" s="863"/>
      <c r="HIN40" s="863"/>
      <c r="HIO40" s="863"/>
      <c r="HIP40" s="863"/>
      <c r="HIQ40" s="863"/>
      <c r="HIR40" s="863"/>
      <c r="HIS40" s="863"/>
      <c r="HIT40" s="863"/>
      <c r="HIU40" s="863"/>
      <c r="HIV40" s="863"/>
      <c r="HIW40" s="883"/>
      <c r="HIX40" s="883"/>
      <c r="HIY40" s="883"/>
      <c r="HIZ40" s="883"/>
      <c r="HJA40" s="883"/>
      <c r="HJB40" s="883"/>
      <c r="HJC40" s="883"/>
      <c r="HJD40" s="883"/>
      <c r="HJE40" s="883"/>
      <c r="HJF40" s="863"/>
      <c r="HJG40" s="863"/>
      <c r="HJH40" s="863"/>
      <c r="HJI40" s="863"/>
      <c r="HJJ40" s="863"/>
      <c r="HJK40" s="863"/>
      <c r="HJL40" s="863"/>
      <c r="HJM40" s="863"/>
      <c r="HJN40" s="863"/>
      <c r="HJO40" s="863"/>
      <c r="HJP40" s="863"/>
      <c r="HJQ40" s="863"/>
      <c r="HJR40" s="863"/>
      <c r="HJS40" s="863"/>
      <c r="HJT40" s="863"/>
      <c r="HJU40" s="863"/>
      <c r="HJV40" s="863"/>
      <c r="HJW40" s="863"/>
      <c r="HJX40" s="863"/>
      <c r="HJY40" s="863"/>
      <c r="HJZ40" s="863"/>
      <c r="HKA40" s="863"/>
      <c r="HKB40" s="863"/>
      <c r="HKC40" s="883"/>
      <c r="HKD40" s="883"/>
      <c r="HKE40" s="883"/>
      <c r="HKF40" s="883"/>
      <c r="HKG40" s="883"/>
      <c r="HKH40" s="883"/>
      <c r="HKI40" s="883"/>
      <c r="HKJ40" s="883"/>
      <c r="HKK40" s="883"/>
      <c r="HKL40" s="863"/>
      <c r="HKM40" s="863"/>
      <c r="HKN40" s="863"/>
      <c r="HKO40" s="863"/>
      <c r="HKP40" s="863"/>
      <c r="HKQ40" s="863"/>
      <c r="HKR40" s="863"/>
      <c r="HKS40" s="863"/>
      <c r="HKT40" s="863"/>
      <c r="HKU40" s="863"/>
      <c r="HKV40" s="863"/>
      <c r="HKW40" s="863"/>
      <c r="HKX40" s="863"/>
      <c r="HKY40" s="863"/>
      <c r="HKZ40" s="863"/>
      <c r="HLA40" s="863"/>
      <c r="HLB40" s="863"/>
      <c r="HLC40" s="863"/>
      <c r="HLD40" s="863"/>
      <c r="HLE40" s="863"/>
      <c r="HLF40" s="863"/>
      <c r="HLG40" s="863"/>
      <c r="HLH40" s="863"/>
      <c r="HLI40" s="883"/>
      <c r="HLJ40" s="883"/>
      <c r="HLK40" s="883"/>
      <c r="HLL40" s="883"/>
      <c r="HLM40" s="883"/>
      <c r="HLN40" s="883"/>
      <c r="HLO40" s="883"/>
      <c r="HLP40" s="883"/>
      <c r="HLQ40" s="883"/>
      <c r="HLR40" s="863"/>
      <c r="HLS40" s="863"/>
      <c r="HLT40" s="863"/>
      <c r="HLU40" s="863"/>
      <c r="HLV40" s="863"/>
      <c r="HLW40" s="863"/>
      <c r="HLX40" s="863"/>
      <c r="HLY40" s="863"/>
      <c r="HLZ40" s="863"/>
      <c r="HMA40" s="863"/>
      <c r="HMB40" s="863"/>
      <c r="HMC40" s="863"/>
      <c r="HMD40" s="863"/>
      <c r="HME40" s="863"/>
      <c r="HMF40" s="863"/>
      <c r="HMG40" s="863"/>
      <c r="HMH40" s="863"/>
      <c r="HMI40" s="863"/>
      <c r="HMJ40" s="863"/>
      <c r="HMK40" s="863"/>
      <c r="HML40" s="863"/>
      <c r="HMM40" s="863"/>
      <c r="HMN40" s="863"/>
      <c r="HMO40" s="883"/>
      <c r="HMP40" s="883"/>
      <c r="HMQ40" s="883"/>
      <c r="HMR40" s="883"/>
      <c r="HMS40" s="883"/>
      <c r="HMT40" s="883"/>
      <c r="HMU40" s="883"/>
      <c r="HMV40" s="883"/>
      <c r="HMW40" s="883"/>
      <c r="HMX40" s="863"/>
      <c r="HMY40" s="863"/>
      <c r="HMZ40" s="863"/>
      <c r="HNA40" s="863"/>
      <c r="HNB40" s="863"/>
      <c r="HNC40" s="863"/>
      <c r="HND40" s="863"/>
      <c r="HNE40" s="863"/>
      <c r="HNF40" s="863"/>
      <c r="HNG40" s="863"/>
      <c r="HNH40" s="863"/>
      <c r="HNI40" s="863"/>
      <c r="HNJ40" s="863"/>
      <c r="HNK40" s="863"/>
      <c r="HNL40" s="863"/>
      <c r="HNM40" s="863"/>
      <c r="HNN40" s="863"/>
      <c r="HNO40" s="863"/>
      <c r="HNP40" s="863"/>
      <c r="HNQ40" s="863"/>
      <c r="HNR40" s="863"/>
      <c r="HNS40" s="863"/>
      <c r="HNT40" s="863"/>
      <c r="HNU40" s="883"/>
      <c r="HNV40" s="883"/>
      <c r="HNW40" s="883"/>
      <c r="HNX40" s="883"/>
      <c r="HNY40" s="883"/>
      <c r="HNZ40" s="883"/>
      <c r="HOA40" s="883"/>
      <c r="HOB40" s="883"/>
      <c r="HOC40" s="883"/>
      <c r="HOD40" s="863"/>
      <c r="HOE40" s="863"/>
      <c r="HOF40" s="863"/>
      <c r="HOG40" s="863"/>
      <c r="HOH40" s="863"/>
      <c r="HOI40" s="863"/>
      <c r="HOJ40" s="863"/>
      <c r="HOK40" s="863"/>
      <c r="HOL40" s="863"/>
      <c r="HOM40" s="863"/>
      <c r="HON40" s="863"/>
      <c r="HOO40" s="863"/>
      <c r="HOP40" s="863"/>
      <c r="HOQ40" s="863"/>
      <c r="HOR40" s="863"/>
      <c r="HOS40" s="863"/>
      <c r="HOT40" s="863"/>
      <c r="HOU40" s="863"/>
      <c r="HOV40" s="863"/>
      <c r="HOW40" s="863"/>
      <c r="HOX40" s="863"/>
      <c r="HOY40" s="863"/>
      <c r="HOZ40" s="863"/>
      <c r="HPA40" s="883"/>
      <c r="HPB40" s="883"/>
      <c r="HPC40" s="883"/>
      <c r="HPD40" s="883"/>
      <c r="HPE40" s="883"/>
      <c r="HPF40" s="883"/>
      <c r="HPG40" s="883"/>
      <c r="HPH40" s="883"/>
      <c r="HPI40" s="883"/>
      <c r="HPJ40" s="863"/>
      <c r="HPK40" s="863"/>
      <c r="HPL40" s="863"/>
      <c r="HPM40" s="863"/>
      <c r="HPN40" s="863"/>
      <c r="HPO40" s="863"/>
      <c r="HPP40" s="863"/>
      <c r="HPQ40" s="863"/>
      <c r="HPR40" s="863"/>
      <c r="HPS40" s="863"/>
      <c r="HPT40" s="863"/>
      <c r="HPU40" s="863"/>
      <c r="HPV40" s="863"/>
      <c r="HPW40" s="863"/>
      <c r="HPX40" s="863"/>
      <c r="HPY40" s="863"/>
      <c r="HPZ40" s="863"/>
      <c r="HQA40" s="863"/>
      <c r="HQB40" s="863"/>
      <c r="HQC40" s="863"/>
      <c r="HQD40" s="863"/>
      <c r="HQE40" s="863"/>
      <c r="HQF40" s="863"/>
      <c r="HQG40" s="883"/>
      <c r="HQH40" s="883"/>
      <c r="HQI40" s="883"/>
      <c r="HQJ40" s="883"/>
      <c r="HQK40" s="883"/>
      <c r="HQL40" s="883"/>
      <c r="HQM40" s="883"/>
      <c r="HQN40" s="883"/>
      <c r="HQO40" s="883"/>
      <c r="HQP40" s="863"/>
      <c r="HQQ40" s="863"/>
      <c r="HQR40" s="863"/>
      <c r="HQS40" s="863"/>
      <c r="HQT40" s="863"/>
      <c r="HQU40" s="863"/>
      <c r="HQV40" s="863"/>
      <c r="HQW40" s="863"/>
      <c r="HQX40" s="863"/>
      <c r="HQY40" s="863"/>
      <c r="HQZ40" s="863"/>
      <c r="HRA40" s="863"/>
      <c r="HRB40" s="863"/>
      <c r="HRC40" s="863"/>
      <c r="HRD40" s="863"/>
      <c r="HRE40" s="863"/>
      <c r="HRF40" s="863"/>
      <c r="HRG40" s="863"/>
      <c r="HRH40" s="863"/>
      <c r="HRI40" s="863"/>
      <c r="HRJ40" s="863"/>
      <c r="HRK40" s="863"/>
      <c r="HRL40" s="863"/>
      <c r="HRM40" s="883"/>
      <c r="HRN40" s="883"/>
      <c r="HRO40" s="883"/>
      <c r="HRP40" s="883"/>
      <c r="HRQ40" s="883"/>
      <c r="HRR40" s="883"/>
      <c r="HRS40" s="883"/>
      <c r="HRT40" s="883"/>
      <c r="HRU40" s="883"/>
      <c r="HRV40" s="863"/>
      <c r="HRW40" s="863"/>
      <c r="HRX40" s="863"/>
      <c r="HRY40" s="863"/>
      <c r="HRZ40" s="863"/>
      <c r="HSA40" s="863"/>
      <c r="HSB40" s="863"/>
      <c r="HSC40" s="863"/>
      <c r="HSD40" s="863"/>
      <c r="HSE40" s="863"/>
      <c r="HSF40" s="863"/>
      <c r="HSG40" s="863"/>
      <c r="HSH40" s="863"/>
      <c r="HSI40" s="863"/>
      <c r="HSJ40" s="863"/>
      <c r="HSK40" s="863"/>
      <c r="HSL40" s="863"/>
      <c r="HSM40" s="863"/>
      <c r="HSN40" s="863"/>
      <c r="HSO40" s="863"/>
      <c r="HSP40" s="863"/>
      <c r="HSQ40" s="863"/>
      <c r="HSR40" s="863"/>
      <c r="HSS40" s="883"/>
      <c r="HST40" s="883"/>
      <c r="HSU40" s="883"/>
      <c r="HSV40" s="883"/>
      <c r="HSW40" s="883"/>
      <c r="HSX40" s="883"/>
      <c r="HSY40" s="883"/>
      <c r="HSZ40" s="883"/>
      <c r="HTA40" s="883"/>
      <c r="HTB40" s="863"/>
      <c r="HTC40" s="863"/>
      <c r="HTD40" s="863"/>
      <c r="HTE40" s="863"/>
      <c r="HTF40" s="863"/>
      <c r="HTG40" s="863"/>
      <c r="HTH40" s="863"/>
      <c r="HTI40" s="863"/>
      <c r="HTJ40" s="863"/>
      <c r="HTK40" s="863"/>
      <c r="HTL40" s="863"/>
      <c r="HTM40" s="863"/>
      <c r="HTN40" s="863"/>
      <c r="HTO40" s="863"/>
      <c r="HTP40" s="863"/>
      <c r="HTQ40" s="863"/>
      <c r="HTR40" s="863"/>
      <c r="HTS40" s="863"/>
      <c r="HTT40" s="863"/>
      <c r="HTU40" s="863"/>
      <c r="HTV40" s="863"/>
      <c r="HTW40" s="863"/>
      <c r="HTX40" s="863"/>
      <c r="HTY40" s="883"/>
      <c r="HTZ40" s="883"/>
      <c r="HUA40" s="883"/>
      <c r="HUB40" s="883"/>
      <c r="HUC40" s="883"/>
      <c r="HUD40" s="883"/>
      <c r="HUE40" s="883"/>
      <c r="HUF40" s="883"/>
      <c r="HUG40" s="883"/>
      <c r="HUH40" s="863"/>
      <c r="HUI40" s="863"/>
      <c r="HUJ40" s="863"/>
      <c r="HUK40" s="863"/>
      <c r="HUL40" s="863"/>
      <c r="HUM40" s="863"/>
      <c r="HUN40" s="863"/>
      <c r="HUO40" s="863"/>
      <c r="HUP40" s="863"/>
      <c r="HUQ40" s="863"/>
      <c r="HUR40" s="863"/>
      <c r="HUS40" s="863"/>
      <c r="HUT40" s="863"/>
      <c r="HUU40" s="863"/>
      <c r="HUV40" s="863"/>
      <c r="HUW40" s="863"/>
      <c r="HUX40" s="863"/>
      <c r="HUY40" s="863"/>
      <c r="HUZ40" s="863"/>
      <c r="HVA40" s="863"/>
      <c r="HVB40" s="863"/>
      <c r="HVC40" s="863"/>
      <c r="HVD40" s="863"/>
      <c r="HVE40" s="883"/>
      <c r="HVF40" s="883"/>
      <c r="HVG40" s="883"/>
      <c r="HVH40" s="883"/>
      <c r="HVI40" s="883"/>
      <c r="HVJ40" s="883"/>
      <c r="HVK40" s="883"/>
      <c r="HVL40" s="883"/>
      <c r="HVM40" s="883"/>
      <c r="HVN40" s="863"/>
      <c r="HVO40" s="863"/>
      <c r="HVP40" s="863"/>
      <c r="HVQ40" s="863"/>
      <c r="HVR40" s="863"/>
      <c r="HVS40" s="863"/>
      <c r="HVT40" s="863"/>
      <c r="HVU40" s="863"/>
      <c r="HVV40" s="863"/>
      <c r="HVW40" s="863"/>
      <c r="HVX40" s="863"/>
      <c r="HVY40" s="863"/>
      <c r="HVZ40" s="863"/>
      <c r="HWA40" s="863"/>
      <c r="HWB40" s="863"/>
      <c r="HWC40" s="863"/>
      <c r="HWD40" s="863"/>
      <c r="HWE40" s="863"/>
      <c r="HWF40" s="863"/>
      <c r="HWG40" s="863"/>
      <c r="HWH40" s="863"/>
      <c r="HWI40" s="863"/>
      <c r="HWJ40" s="863"/>
      <c r="HWK40" s="883"/>
      <c r="HWL40" s="883"/>
      <c r="HWM40" s="883"/>
      <c r="HWN40" s="883"/>
      <c r="HWO40" s="883"/>
      <c r="HWP40" s="883"/>
      <c r="HWQ40" s="883"/>
      <c r="HWR40" s="883"/>
      <c r="HWS40" s="883"/>
      <c r="HWT40" s="863"/>
      <c r="HWU40" s="863"/>
      <c r="HWV40" s="863"/>
      <c r="HWW40" s="863"/>
      <c r="HWX40" s="863"/>
      <c r="HWY40" s="863"/>
      <c r="HWZ40" s="863"/>
      <c r="HXA40" s="863"/>
      <c r="HXB40" s="863"/>
      <c r="HXC40" s="863"/>
      <c r="HXD40" s="863"/>
      <c r="HXE40" s="863"/>
      <c r="HXF40" s="863"/>
      <c r="HXG40" s="863"/>
      <c r="HXH40" s="863"/>
      <c r="HXI40" s="863"/>
      <c r="HXJ40" s="863"/>
      <c r="HXK40" s="863"/>
      <c r="HXL40" s="863"/>
      <c r="HXM40" s="863"/>
      <c r="HXN40" s="863"/>
      <c r="HXO40" s="863"/>
      <c r="HXP40" s="863"/>
      <c r="HXQ40" s="883"/>
      <c r="HXR40" s="883"/>
      <c r="HXS40" s="883"/>
      <c r="HXT40" s="883"/>
      <c r="HXU40" s="883"/>
      <c r="HXV40" s="883"/>
      <c r="HXW40" s="883"/>
      <c r="HXX40" s="883"/>
      <c r="HXY40" s="883"/>
      <c r="HXZ40" s="863"/>
      <c r="HYA40" s="863"/>
      <c r="HYB40" s="863"/>
      <c r="HYC40" s="863"/>
      <c r="HYD40" s="863"/>
      <c r="HYE40" s="863"/>
      <c r="HYF40" s="863"/>
      <c r="HYG40" s="863"/>
      <c r="HYH40" s="863"/>
      <c r="HYI40" s="863"/>
      <c r="HYJ40" s="863"/>
      <c r="HYK40" s="863"/>
      <c r="HYL40" s="863"/>
      <c r="HYM40" s="863"/>
      <c r="HYN40" s="863"/>
      <c r="HYO40" s="863"/>
      <c r="HYP40" s="863"/>
      <c r="HYQ40" s="863"/>
      <c r="HYR40" s="863"/>
      <c r="HYS40" s="863"/>
      <c r="HYT40" s="863"/>
      <c r="HYU40" s="863"/>
      <c r="HYV40" s="863"/>
      <c r="HYW40" s="883"/>
      <c r="HYX40" s="883"/>
      <c r="HYY40" s="883"/>
      <c r="HYZ40" s="883"/>
      <c r="HZA40" s="883"/>
      <c r="HZB40" s="883"/>
      <c r="HZC40" s="883"/>
      <c r="HZD40" s="883"/>
      <c r="HZE40" s="883"/>
      <c r="HZF40" s="863"/>
      <c r="HZG40" s="863"/>
      <c r="HZH40" s="863"/>
      <c r="HZI40" s="863"/>
      <c r="HZJ40" s="863"/>
      <c r="HZK40" s="863"/>
      <c r="HZL40" s="863"/>
      <c r="HZM40" s="863"/>
      <c r="HZN40" s="863"/>
      <c r="HZO40" s="863"/>
      <c r="HZP40" s="863"/>
      <c r="HZQ40" s="863"/>
      <c r="HZR40" s="863"/>
      <c r="HZS40" s="863"/>
      <c r="HZT40" s="863"/>
      <c r="HZU40" s="863"/>
      <c r="HZV40" s="863"/>
      <c r="HZW40" s="863"/>
      <c r="HZX40" s="863"/>
      <c r="HZY40" s="863"/>
      <c r="HZZ40" s="863"/>
      <c r="IAA40" s="863"/>
      <c r="IAB40" s="863"/>
      <c r="IAC40" s="883"/>
      <c r="IAD40" s="883"/>
      <c r="IAE40" s="883"/>
      <c r="IAF40" s="883"/>
      <c r="IAG40" s="883"/>
      <c r="IAH40" s="883"/>
      <c r="IAI40" s="883"/>
      <c r="IAJ40" s="883"/>
      <c r="IAK40" s="883"/>
      <c r="IAL40" s="863"/>
      <c r="IAM40" s="863"/>
      <c r="IAN40" s="863"/>
      <c r="IAO40" s="863"/>
      <c r="IAP40" s="863"/>
      <c r="IAQ40" s="863"/>
      <c r="IAR40" s="863"/>
      <c r="IAS40" s="863"/>
      <c r="IAT40" s="863"/>
      <c r="IAU40" s="863"/>
      <c r="IAV40" s="863"/>
      <c r="IAW40" s="863"/>
      <c r="IAX40" s="863"/>
      <c r="IAY40" s="863"/>
      <c r="IAZ40" s="863"/>
      <c r="IBA40" s="863"/>
      <c r="IBB40" s="863"/>
      <c r="IBC40" s="863"/>
      <c r="IBD40" s="863"/>
      <c r="IBE40" s="863"/>
      <c r="IBF40" s="863"/>
      <c r="IBG40" s="863"/>
      <c r="IBH40" s="863"/>
      <c r="IBI40" s="883"/>
      <c r="IBJ40" s="883"/>
      <c r="IBK40" s="883"/>
      <c r="IBL40" s="883"/>
      <c r="IBM40" s="883"/>
      <c r="IBN40" s="883"/>
      <c r="IBO40" s="883"/>
      <c r="IBP40" s="883"/>
      <c r="IBQ40" s="883"/>
      <c r="IBR40" s="863"/>
      <c r="IBS40" s="863"/>
      <c r="IBT40" s="863"/>
      <c r="IBU40" s="863"/>
      <c r="IBV40" s="863"/>
      <c r="IBW40" s="863"/>
      <c r="IBX40" s="863"/>
      <c r="IBY40" s="863"/>
      <c r="IBZ40" s="863"/>
      <c r="ICA40" s="863"/>
      <c r="ICB40" s="863"/>
      <c r="ICC40" s="863"/>
      <c r="ICD40" s="863"/>
      <c r="ICE40" s="863"/>
      <c r="ICF40" s="863"/>
      <c r="ICG40" s="863"/>
      <c r="ICH40" s="863"/>
      <c r="ICI40" s="863"/>
      <c r="ICJ40" s="863"/>
      <c r="ICK40" s="863"/>
      <c r="ICL40" s="863"/>
      <c r="ICM40" s="863"/>
      <c r="ICN40" s="863"/>
      <c r="ICO40" s="883"/>
      <c r="ICP40" s="883"/>
      <c r="ICQ40" s="883"/>
      <c r="ICR40" s="883"/>
      <c r="ICS40" s="883"/>
      <c r="ICT40" s="883"/>
      <c r="ICU40" s="883"/>
      <c r="ICV40" s="883"/>
      <c r="ICW40" s="883"/>
      <c r="ICX40" s="863"/>
      <c r="ICY40" s="863"/>
      <c r="ICZ40" s="863"/>
      <c r="IDA40" s="863"/>
      <c r="IDB40" s="863"/>
      <c r="IDC40" s="863"/>
      <c r="IDD40" s="863"/>
      <c r="IDE40" s="863"/>
      <c r="IDF40" s="863"/>
      <c r="IDG40" s="863"/>
      <c r="IDH40" s="863"/>
      <c r="IDI40" s="863"/>
      <c r="IDJ40" s="863"/>
      <c r="IDK40" s="863"/>
      <c r="IDL40" s="863"/>
      <c r="IDM40" s="863"/>
      <c r="IDN40" s="863"/>
      <c r="IDO40" s="863"/>
      <c r="IDP40" s="863"/>
      <c r="IDQ40" s="863"/>
      <c r="IDR40" s="863"/>
      <c r="IDS40" s="863"/>
      <c r="IDT40" s="863"/>
      <c r="IDU40" s="883"/>
      <c r="IDV40" s="883"/>
      <c r="IDW40" s="883"/>
      <c r="IDX40" s="883"/>
      <c r="IDY40" s="883"/>
      <c r="IDZ40" s="883"/>
      <c r="IEA40" s="883"/>
      <c r="IEB40" s="883"/>
      <c r="IEC40" s="883"/>
      <c r="IED40" s="863"/>
      <c r="IEE40" s="863"/>
      <c r="IEF40" s="863"/>
      <c r="IEG40" s="863"/>
      <c r="IEH40" s="863"/>
      <c r="IEI40" s="863"/>
      <c r="IEJ40" s="863"/>
      <c r="IEK40" s="863"/>
      <c r="IEL40" s="863"/>
      <c r="IEM40" s="863"/>
      <c r="IEN40" s="863"/>
      <c r="IEO40" s="863"/>
      <c r="IEP40" s="863"/>
      <c r="IEQ40" s="863"/>
      <c r="IER40" s="863"/>
      <c r="IES40" s="863"/>
      <c r="IET40" s="863"/>
      <c r="IEU40" s="863"/>
      <c r="IEV40" s="863"/>
      <c r="IEW40" s="863"/>
      <c r="IEX40" s="863"/>
      <c r="IEY40" s="863"/>
      <c r="IEZ40" s="863"/>
      <c r="IFA40" s="883"/>
      <c r="IFB40" s="883"/>
      <c r="IFC40" s="883"/>
      <c r="IFD40" s="883"/>
      <c r="IFE40" s="883"/>
      <c r="IFF40" s="883"/>
      <c r="IFG40" s="883"/>
      <c r="IFH40" s="883"/>
      <c r="IFI40" s="883"/>
      <c r="IFJ40" s="863"/>
      <c r="IFK40" s="863"/>
      <c r="IFL40" s="863"/>
      <c r="IFM40" s="863"/>
      <c r="IFN40" s="863"/>
      <c r="IFO40" s="863"/>
      <c r="IFP40" s="863"/>
      <c r="IFQ40" s="863"/>
      <c r="IFR40" s="863"/>
      <c r="IFS40" s="863"/>
      <c r="IFT40" s="863"/>
      <c r="IFU40" s="863"/>
      <c r="IFV40" s="863"/>
      <c r="IFW40" s="863"/>
      <c r="IFX40" s="863"/>
      <c r="IFY40" s="863"/>
      <c r="IFZ40" s="863"/>
      <c r="IGA40" s="863"/>
      <c r="IGB40" s="863"/>
      <c r="IGC40" s="863"/>
      <c r="IGD40" s="863"/>
      <c r="IGE40" s="863"/>
      <c r="IGF40" s="863"/>
      <c r="IGG40" s="883"/>
      <c r="IGH40" s="883"/>
      <c r="IGI40" s="883"/>
      <c r="IGJ40" s="883"/>
      <c r="IGK40" s="883"/>
      <c r="IGL40" s="883"/>
      <c r="IGM40" s="883"/>
      <c r="IGN40" s="883"/>
      <c r="IGO40" s="883"/>
      <c r="IGP40" s="863"/>
      <c r="IGQ40" s="863"/>
      <c r="IGR40" s="863"/>
      <c r="IGS40" s="863"/>
      <c r="IGT40" s="863"/>
      <c r="IGU40" s="863"/>
      <c r="IGV40" s="863"/>
      <c r="IGW40" s="863"/>
      <c r="IGX40" s="863"/>
      <c r="IGY40" s="863"/>
      <c r="IGZ40" s="863"/>
      <c r="IHA40" s="863"/>
      <c r="IHB40" s="863"/>
      <c r="IHC40" s="863"/>
      <c r="IHD40" s="863"/>
      <c r="IHE40" s="863"/>
      <c r="IHF40" s="863"/>
      <c r="IHG40" s="863"/>
      <c r="IHH40" s="863"/>
      <c r="IHI40" s="863"/>
      <c r="IHJ40" s="863"/>
      <c r="IHK40" s="863"/>
      <c r="IHL40" s="863"/>
      <c r="IHM40" s="883"/>
      <c r="IHN40" s="883"/>
      <c r="IHO40" s="883"/>
      <c r="IHP40" s="883"/>
      <c r="IHQ40" s="883"/>
      <c r="IHR40" s="883"/>
      <c r="IHS40" s="883"/>
      <c r="IHT40" s="883"/>
      <c r="IHU40" s="883"/>
      <c r="IHV40" s="863"/>
      <c r="IHW40" s="863"/>
      <c r="IHX40" s="863"/>
      <c r="IHY40" s="863"/>
      <c r="IHZ40" s="863"/>
      <c r="IIA40" s="863"/>
      <c r="IIB40" s="863"/>
      <c r="IIC40" s="863"/>
      <c r="IID40" s="863"/>
      <c r="IIE40" s="863"/>
      <c r="IIF40" s="863"/>
      <c r="IIG40" s="863"/>
      <c r="IIH40" s="863"/>
      <c r="III40" s="863"/>
      <c r="IIJ40" s="863"/>
      <c r="IIK40" s="863"/>
      <c r="IIL40" s="863"/>
      <c r="IIM40" s="863"/>
      <c r="IIN40" s="863"/>
      <c r="IIO40" s="863"/>
      <c r="IIP40" s="863"/>
      <c r="IIQ40" s="863"/>
      <c r="IIR40" s="863"/>
      <c r="IIS40" s="883"/>
      <c r="IIT40" s="883"/>
      <c r="IIU40" s="883"/>
      <c r="IIV40" s="883"/>
      <c r="IIW40" s="883"/>
      <c r="IIX40" s="883"/>
      <c r="IIY40" s="883"/>
      <c r="IIZ40" s="883"/>
      <c r="IJA40" s="883"/>
      <c r="IJB40" s="863"/>
      <c r="IJC40" s="863"/>
      <c r="IJD40" s="863"/>
      <c r="IJE40" s="863"/>
      <c r="IJF40" s="863"/>
      <c r="IJG40" s="863"/>
      <c r="IJH40" s="863"/>
      <c r="IJI40" s="863"/>
      <c r="IJJ40" s="863"/>
      <c r="IJK40" s="863"/>
      <c r="IJL40" s="863"/>
      <c r="IJM40" s="863"/>
      <c r="IJN40" s="863"/>
      <c r="IJO40" s="863"/>
      <c r="IJP40" s="863"/>
      <c r="IJQ40" s="863"/>
      <c r="IJR40" s="863"/>
      <c r="IJS40" s="863"/>
      <c r="IJT40" s="863"/>
      <c r="IJU40" s="863"/>
      <c r="IJV40" s="863"/>
      <c r="IJW40" s="863"/>
      <c r="IJX40" s="863"/>
      <c r="IJY40" s="883"/>
      <c r="IJZ40" s="883"/>
      <c r="IKA40" s="883"/>
      <c r="IKB40" s="883"/>
      <c r="IKC40" s="883"/>
      <c r="IKD40" s="883"/>
      <c r="IKE40" s="883"/>
      <c r="IKF40" s="883"/>
      <c r="IKG40" s="883"/>
      <c r="IKH40" s="863"/>
      <c r="IKI40" s="863"/>
      <c r="IKJ40" s="863"/>
      <c r="IKK40" s="863"/>
      <c r="IKL40" s="863"/>
      <c r="IKM40" s="863"/>
      <c r="IKN40" s="863"/>
      <c r="IKO40" s="863"/>
      <c r="IKP40" s="863"/>
      <c r="IKQ40" s="863"/>
      <c r="IKR40" s="863"/>
      <c r="IKS40" s="863"/>
      <c r="IKT40" s="863"/>
      <c r="IKU40" s="863"/>
      <c r="IKV40" s="863"/>
      <c r="IKW40" s="863"/>
      <c r="IKX40" s="863"/>
      <c r="IKY40" s="863"/>
      <c r="IKZ40" s="863"/>
      <c r="ILA40" s="863"/>
      <c r="ILB40" s="863"/>
      <c r="ILC40" s="863"/>
      <c r="ILD40" s="863"/>
      <c r="ILE40" s="883"/>
      <c r="ILF40" s="883"/>
      <c r="ILG40" s="883"/>
      <c r="ILH40" s="883"/>
      <c r="ILI40" s="883"/>
      <c r="ILJ40" s="883"/>
      <c r="ILK40" s="883"/>
      <c r="ILL40" s="883"/>
      <c r="ILM40" s="883"/>
      <c r="ILN40" s="863"/>
      <c r="ILO40" s="863"/>
      <c r="ILP40" s="863"/>
      <c r="ILQ40" s="863"/>
      <c r="ILR40" s="863"/>
      <c r="ILS40" s="863"/>
      <c r="ILT40" s="863"/>
      <c r="ILU40" s="863"/>
      <c r="ILV40" s="863"/>
      <c r="ILW40" s="863"/>
      <c r="ILX40" s="863"/>
      <c r="ILY40" s="863"/>
      <c r="ILZ40" s="863"/>
      <c r="IMA40" s="863"/>
      <c r="IMB40" s="863"/>
      <c r="IMC40" s="863"/>
      <c r="IMD40" s="863"/>
      <c r="IME40" s="863"/>
      <c r="IMF40" s="863"/>
      <c r="IMG40" s="863"/>
      <c r="IMH40" s="863"/>
      <c r="IMI40" s="863"/>
      <c r="IMJ40" s="863"/>
      <c r="IMK40" s="883"/>
      <c r="IML40" s="883"/>
      <c r="IMM40" s="883"/>
      <c r="IMN40" s="883"/>
      <c r="IMO40" s="883"/>
      <c r="IMP40" s="883"/>
      <c r="IMQ40" s="883"/>
      <c r="IMR40" s="883"/>
      <c r="IMS40" s="883"/>
      <c r="IMT40" s="863"/>
      <c r="IMU40" s="863"/>
      <c r="IMV40" s="863"/>
      <c r="IMW40" s="863"/>
      <c r="IMX40" s="863"/>
      <c r="IMY40" s="863"/>
      <c r="IMZ40" s="863"/>
      <c r="INA40" s="863"/>
      <c r="INB40" s="863"/>
      <c r="INC40" s="863"/>
      <c r="IND40" s="863"/>
      <c r="INE40" s="863"/>
      <c r="INF40" s="863"/>
      <c r="ING40" s="863"/>
      <c r="INH40" s="863"/>
      <c r="INI40" s="863"/>
      <c r="INJ40" s="863"/>
      <c r="INK40" s="863"/>
      <c r="INL40" s="863"/>
      <c r="INM40" s="863"/>
      <c r="INN40" s="863"/>
      <c r="INO40" s="863"/>
      <c r="INP40" s="863"/>
      <c r="INQ40" s="883"/>
      <c r="INR40" s="883"/>
      <c r="INS40" s="883"/>
      <c r="INT40" s="883"/>
      <c r="INU40" s="883"/>
      <c r="INV40" s="883"/>
      <c r="INW40" s="883"/>
      <c r="INX40" s="883"/>
      <c r="INY40" s="883"/>
      <c r="INZ40" s="863"/>
      <c r="IOA40" s="863"/>
      <c r="IOB40" s="863"/>
      <c r="IOC40" s="863"/>
      <c r="IOD40" s="863"/>
      <c r="IOE40" s="863"/>
      <c r="IOF40" s="863"/>
      <c r="IOG40" s="863"/>
      <c r="IOH40" s="863"/>
      <c r="IOI40" s="863"/>
      <c r="IOJ40" s="863"/>
      <c r="IOK40" s="863"/>
      <c r="IOL40" s="863"/>
      <c r="IOM40" s="863"/>
      <c r="ION40" s="863"/>
      <c r="IOO40" s="863"/>
      <c r="IOP40" s="863"/>
      <c r="IOQ40" s="863"/>
      <c r="IOR40" s="863"/>
      <c r="IOS40" s="863"/>
      <c r="IOT40" s="863"/>
      <c r="IOU40" s="863"/>
      <c r="IOV40" s="863"/>
      <c r="IOW40" s="883"/>
      <c r="IOX40" s="883"/>
      <c r="IOY40" s="883"/>
      <c r="IOZ40" s="883"/>
      <c r="IPA40" s="883"/>
      <c r="IPB40" s="883"/>
      <c r="IPC40" s="883"/>
      <c r="IPD40" s="883"/>
      <c r="IPE40" s="883"/>
      <c r="IPF40" s="863"/>
      <c r="IPG40" s="863"/>
      <c r="IPH40" s="863"/>
      <c r="IPI40" s="863"/>
      <c r="IPJ40" s="863"/>
      <c r="IPK40" s="863"/>
      <c r="IPL40" s="863"/>
      <c r="IPM40" s="863"/>
      <c r="IPN40" s="863"/>
      <c r="IPO40" s="863"/>
      <c r="IPP40" s="863"/>
      <c r="IPQ40" s="863"/>
      <c r="IPR40" s="863"/>
      <c r="IPS40" s="863"/>
      <c r="IPT40" s="863"/>
      <c r="IPU40" s="863"/>
      <c r="IPV40" s="863"/>
      <c r="IPW40" s="863"/>
      <c r="IPX40" s="863"/>
      <c r="IPY40" s="863"/>
      <c r="IPZ40" s="863"/>
      <c r="IQA40" s="863"/>
      <c r="IQB40" s="863"/>
      <c r="IQC40" s="883"/>
      <c r="IQD40" s="883"/>
      <c r="IQE40" s="883"/>
      <c r="IQF40" s="883"/>
      <c r="IQG40" s="883"/>
      <c r="IQH40" s="883"/>
      <c r="IQI40" s="883"/>
      <c r="IQJ40" s="883"/>
      <c r="IQK40" s="883"/>
      <c r="IQL40" s="863"/>
      <c r="IQM40" s="863"/>
      <c r="IQN40" s="863"/>
      <c r="IQO40" s="863"/>
      <c r="IQP40" s="863"/>
      <c r="IQQ40" s="863"/>
      <c r="IQR40" s="863"/>
      <c r="IQS40" s="863"/>
      <c r="IQT40" s="863"/>
      <c r="IQU40" s="863"/>
      <c r="IQV40" s="863"/>
      <c r="IQW40" s="863"/>
      <c r="IQX40" s="863"/>
      <c r="IQY40" s="863"/>
      <c r="IQZ40" s="863"/>
      <c r="IRA40" s="863"/>
      <c r="IRB40" s="863"/>
      <c r="IRC40" s="863"/>
      <c r="IRD40" s="863"/>
      <c r="IRE40" s="863"/>
      <c r="IRF40" s="863"/>
      <c r="IRG40" s="863"/>
      <c r="IRH40" s="863"/>
      <c r="IRI40" s="883"/>
      <c r="IRJ40" s="883"/>
      <c r="IRK40" s="883"/>
      <c r="IRL40" s="883"/>
      <c r="IRM40" s="883"/>
      <c r="IRN40" s="883"/>
      <c r="IRO40" s="883"/>
      <c r="IRP40" s="883"/>
      <c r="IRQ40" s="883"/>
      <c r="IRR40" s="863"/>
      <c r="IRS40" s="863"/>
      <c r="IRT40" s="863"/>
      <c r="IRU40" s="863"/>
      <c r="IRV40" s="863"/>
      <c r="IRW40" s="863"/>
      <c r="IRX40" s="863"/>
      <c r="IRY40" s="863"/>
      <c r="IRZ40" s="863"/>
      <c r="ISA40" s="863"/>
      <c r="ISB40" s="863"/>
      <c r="ISC40" s="863"/>
      <c r="ISD40" s="863"/>
      <c r="ISE40" s="863"/>
      <c r="ISF40" s="863"/>
      <c r="ISG40" s="863"/>
      <c r="ISH40" s="863"/>
      <c r="ISI40" s="863"/>
      <c r="ISJ40" s="863"/>
      <c r="ISK40" s="863"/>
      <c r="ISL40" s="863"/>
      <c r="ISM40" s="863"/>
      <c r="ISN40" s="863"/>
      <c r="ISO40" s="883"/>
      <c r="ISP40" s="883"/>
      <c r="ISQ40" s="883"/>
      <c r="ISR40" s="883"/>
      <c r="ISS40" s="883"/>
      <c r="IST40" s="883"/>
      <c r="ISU40" s="883"/>
      <c r="ISV40" s="883"/>
      <c r="ISW40" s="883"/>
      <c r="ISX40" s="863"/>
      <c r="ISY40" s="863"/>
      <c r="ISZ40" s="863"/>
      <c r="ITA40" s="863"/>
      <c r="ITB40" s="863"/>
      <c r="ITC40" s="863"/>
      <c r="ITD40" s="863"/>
      <c r="ITE40" s="863"/>
      <c r="ITF40" s="863"/>
      <c r="ITG40" s="863"/>
      <c r="ITH40" s="863"/>
      <c r="ITI40" s="863"/>
      <c r="ITJ40" s="863"/>
      <c r="ITK40" s="863"/>
      <c r="ITL40" s="863"/>
      <c r="ITM40" s="863"/>
      <c r="ITN40" s="863"/>
      <c r="ITO40" s="863"/>
      <c r="ITP40" s="863"/>
      <c r="ITQ40" s="863"/>
      <c r="ITR40" s="863"/>
      <c r="ITS40" s="863"/>
      <c r="ITT40" s="863"/>
      <c r="ITU40" s="883"/>
      <c r="ITV40" s="883"/>
      <c r="ITW40" s="883"/>
      <c r="ITX40" s="883"/>
      <c r="ITY40" s="883"/>
      <c r="ITZ40" s="883"/>
      <c r="IUA40" s="883"/>
      <c r="IUB40" s="883"/>
      <c r="IUC40" s="883"/>
      <c r="IUD40" s="863"/>
      <c r="IUE40" s="863"/>
      <c r="IUF40" s="863"/>
      <c r="IUG40" s="863"/>
      <c r="IUH40" s="863"/>
      <c r="IUI40" s="863"/>
      <c r="IUJ40" s="863"/>
      <c r="IUK40" s="863"/>
      <c r="IUL40" s="863"/>
      <c r="IUM40" s="863"/>
      <c r="IUN40" s="863"/>
      <c r="IUO40" s="863"/>
      <c r="IUP40" s="863"/>
      <c r="IUQ40" s="863"/>
      <c r="IUR40" s="863"/>
      <c r="IUS40" s="863"/>
      <c r="IUT40" s="863"/>
      <c r="IUU40" s="863"/>
      <c r="IUV40" s="863"/>
      <c r="IUW40" s="863"/>
      <c r="IUX40" s="863"/>
      <c r="IUY40" s="863"/>
      <c r="IUZ40" s="863"/>
      <c r="IVA40" s="883"/>
      <c r="IVB40" s="883"/>
      <c r="IVC40" s="883"/>
      <c r="IVD40" s="883"/>
      <c r="IVE40" s="883"/>
      <c r="IVF40" s="883"/>
      <c r="IVG40" s="883"/>
      <c r="IVH40" s="883"/>
      <c r="IVI40" s="883"/>
      <c r="IVJ40" s="863"/>
      <c r="IVK40" s="863"/>
      <c r="IVL40" s="863"/>
      <c r="IVM40" s="863"/>
      <c r="IVN40" s="863"/>
      <c r="IVO40" s="863"/>
      <c r="IVP40" s="863"/>
      <c r="IVQ40" s="863"/>
      <c r="IVR40" s="863"/>
      <c r="IVS40" s="863"/>
      <c r="IVT40" s="863"/>
      <c r="IVU40" s="863"/>
      <c r="IVV40" s="863"/>
      <c r="IVW40" s="863"/>
      <c r="IVX40" s="863"/>
      <c r="IVY40" s="863"/>
      <c r="IVZ40" s="863"/>
      <c r="IWA40" s="863"/>
      <c r="IWB40" s="863"/>
      <c r="IWC40" s="863"/>
      <c r="IWD40" s="863"/>
      <c r="IWE40" s="863"/>
      <c r="IWF40" s="863"/>
      <c r="IWG40" s="883"/>
      <c r="IWH40" s="883"/>
      <c r="IWI40" s="883"/>
      <c r="IWJ40" s="883"/>
      <c r="IWK40" s="883"/>
      <c r="IWL40" s="883"/>
      <c r="IWM40" s="883"/>
      <c r="IWN40" s="883"/>
      <c r="IWO40" s="883"/>
      <c r="IWP40" s="863"/>
      <c r="IWQ40" s="863"/>
      <c r="IWR40" s="863"/>
      <c r="IWS40" s="863"/>
      <c r="IWT40" s="863"/>
      <c r="IWU40" s="863"/>
      <c r="IWV40" s="863"/>
      <c r="IWW40" s="863"/>
      <c r="IWX40" s="863"/>
      <c r="IWY40" s="863"/>
      <c r="IWZ40" s="863"/>
      <c r="IXA40" s="863"/>
      <c r="IXB40" s="863"/>
      <c r="IXC40" s="863"/>
      <c r="IXD40" s="863"/>
      <c r="IXE40" s="863"/>
      <c r="IXF40" s="863"/>
      <c r="IXG40" s="863"/>
      <c r="IXH40" s="863"/>
      <c r="IXI40" s="863"/>
      <c r="IXJ40" s="863"/>
      <c r="IXK40" s="863"/>
      <c r="IXL40" s="863"/>
      <c r="IXM40" s="883"/>
      <c r="IXN40" s="883"/>
      <c r="IXO40" s="883"/>
      <c r="IXP40" s="883"/>
      <c r="IXQ40" s="883"/>
      <c r="IXR40" s="883"/>
      <c r="IXS40" s="883"/>
      <c r="IXT40" s="883"/>
      <c r="IXU40" s="883"/>
      <c r="IXV40" s="863"/>
      <c r="IXW40" s="863"/>
      <c r="IXX40" s="863"/>
      <c r="IXY40" s="863"/>
      <c r="IXZ40" s="863"/>
      <c r="IYA40" s="863"/>
      <c r="IYB40" s="863"/>
      <c r="IYC40" s="863"/>
      <c r="IYD40" s="863"/>
      <c r="IYE40" s="863"/>
      <c r="IYF40" s="863"/>
      <c r="IYG40" s="863"/>
      <c r="IYH40" s="863"/>
      <c r="IYI40" s="863"/>
      <c r="IYJ40" s="863"/>
      <c r="IYK40" s="863"/>
      <c r="IYL40" s="863"/>
      <c r="IYM40" s="863"/>
      <c r="IYN40" s="863"/>
      <c r="IYO40" s="863"/>
      <c r="IYP40" s="863"/>
      <c r="IYQ40" s="863"/>
      <c r="IYR40" s="863"/>
      <c r="IYS40" s="883"/>
      <c r="IYT40" s="883"/>
      <c r="IYU40" s="883"/>
      <c r="IYV40" s="883"/>
      <c r="IYW40" s="883"/>
      <c r="IYX40" s="883"/>
      <c r="IYY40" s="883"/>
      <c r="IYZ40" s="883"/>
      <c r="IZA40" s="883"/>
      <c r="IZB40" s="863"/>
      <c r="IZC40" s="863"/>
      <c r="IZD40" s="863"/>
      <c r="IZE40" s="863"/>
      <c r="IZF40" s="863"/>
      <c r="IZG40" s="863"/>
      <c r="IZH40" s="863"/>
      <c r="IZI40" s="863"/>
      <c r="IZJ40" s="863"/>
      <c r="IZK40" s="863"/>
      <c r="IZL40" s="863"/>
      <c r="IZM40" s="863"/>
      <c r="IZN40" s="863"/>
      <c r="IZO40" s="863"/>
      <c r="IZP40" s="863"/>
      <c r="IZQ40" s="863"/>
      <c r="IZR40" s="863"/>
      <c r="IZS40" s="863"/>
      <c r="IZT40" s="863"/>
      <c r="IZU40" s="863"/>
      <c r="IZV40" s="863"/>
      <c r="IZW40" s="863"/>
      <c r="IZX40" s="863"/>
      <c r="IZY40" s="883"/>
      <c r="IZZ40" s="883"/>
      <c r="JAA40" s="883"/>
      <c r="JAB40" s="883"/>
      <c r="JAC40" s="883"/>
      <c r="JAD40" s="883"/>
      <c r="JAE40" s="883"/>
      <c r="JAF40" s="883"/>
      <c r="JAG40" s="883"/>
      <c r="JAH40" s="863"/>
      <c r="JAI40" s="863"/>
      <c r="JAJ40" s="863"/>
      <c r="JAK40" s="863"/>
      <c r="JAL40" s="863"/>
      <c r="JAM40" s="863"/>
      <c r="JAN40" s="863"/>
      <c r="JAO40" s="863"/>
      <c r="JAP40" s="863"/>
      <c r="JAQ40" s="863"/>
      <c r="JAR40" s="863"/>
      <c r="JAS40" s="863"/>
      <c r="JAT40" s="863"/>
      <c r="JAU40" s="863"/>
      <c r="JAV40" s="863"/>
      <c r="JAW40" s="863"/>
      <c r="JAX40" s="863"/>
      <c r="JAY40" s="863"/>
      <c r="JAZ40" s="863"/>
      <c r="JBA40" s="863"/>
      <c r="JBB40" s="863"/>
      <c r="JBC40" s="863"/>
      <c r="JBD40" s="863"/>
      <c r="JBE40" s="883"/>
      <c r="JBF40" s="883"/>
      <c r="JBG40" s="883"/>
      <c r="JBH40" s="883"/>
      <c r="JBI40" s="883"/>
      <c r="JBJ40" s="883"/>
      <c r="JBK40" s="883"/>
      <c r="JBL40" s="883"/>
      <c r="JBM40" s="883"/>
      <c r="JBN40" s="863"/>
      <c r="JBO40" s="863"/>
      <c r="JBP40" s="863"/>
      <c r="JBQ40" s="863"/>
      <c r="JBR40" s="863"/>
      <c r="JBS40" s="863"/>
      <c r="JBT40" s="863"/>
      <c r="JBU40" s="863"/>
      <c r="JBV40" s="863"/>
      <c r="JBW40" s="863"/>
      <c r="JBX40" s="863"/>
      <c r="JBY40" s="863"/>
      <c r="JBZ40" s="863"/>
      <c r="JCA40" s="863"/>
      <c r="JCB40" s="863"/>
      <c r="JCC40" s="863"/>
      <c r="JCD40" s="863"/>
      <c r="JCE40" s="863"/>
      <c r="JCF40" s="863"/>
      <c r="JCG40" s="863"/>
      <c r="JCH40" s="863"/>
      <c r="JCI40" s="863"/>
      <c r="JCJ40" s="863"/>
      <c r="JCK40" s="883"/>
      <c r="JCL40" s="883"/>
      <c r="JCM40" s="883"/>
      <c r="JCN40" s="883"/>
      <c r="JCO40" s="883"/>
      <c r="JCP40" s="883"/>
      <c r="JCQ40" s="883"/>
      <c r="JCR40" s="883"/>
      <c r="JCS40" s="883"/>
      <c r="JCT40" s="863"/>
      <c r="JCU40" s="863"/>
      <c r="JCV40" s="863"/>
      <c r="JCW40" s="863"/>
      <c r="JCX40" s="863"/>
      <c r="JCY40" s="863"/>
      <c r="JCZ40" s="863"/>
      <c r="JDA40" s="863"/>
      <c r="JDB40" s="863"/>
      <c r="JDC40" s="863"/>
      <c r="JDD40" s="863"/>
      <c r="JDE40" s="863"/>
      <c r="JDF40" s="863"/>
      <c r="JDG40" s="863"/>
      <c r="JDH40" s="863"/>
      <c r="JDI40" s="863"/>
      <c r="JDJ40" s="863"/>
      <c r="JDK40" s="863"/>
      <c r="JDL40" s="863"/>
      <c r="JDM40" s="863"/>
      <c r="JDN40" s="863"/>
      <c r="JDO40" s="863"/>
      <c r="JDP40" s="863"/>
      <c r="JDQ40" s="883"/>
      <c r="JDR40" s="883"/>
      <c r="JDS40" s="883"/>
      <c r="JDT40" s="883"/>
      <c r="JDU40" s="883"/>
      <c r="JDV40" s="883"/>
      <c r="JDW40" s="883"/>
      <c r="JDX40" s="883"/>
      <c r="JDY40" s="883"/>
      <c r="JDZ40" s="863"/>
      <c r="JEA40" s="863"/>
      <c r="JEB40" s="863"/>
      <c r="JEC40" s="863"/>
      <c r="JED40" s="863"/>
      <c r="JEE40" s="863"/>
      <c r="JEF40" s="863"/>
      <c r="JEG40" s="863"/>
      <c r="JEH40" s="863"/>
      <c r="JEI40" s="863"/>
      <c r="JEJ40" s="863"/>
      <c r="JEK40" s="863"/>
      <c r="JEL40" s="863"/>
      <c r="JEM40" s="863"/>
      <c r="JEN40" s="863"/>
      <c r="JEO40" s="863"/>
      <c r="JEP40" s="863"/>
      <c r="JEQ40" s="863"/>
      <c r="JER40" s="863"/>
      <c r="JES40" s="863"/>
      <c r="JET40" s="863"/>
      <c r="JEU40" s="863"/>
      <c r="JEV40" s="863"/>
      <c r="JEW40" s="883"/>
      <c r="JEX40" s="883"/>
      <c r="JEY40" s="883"/>
      <c r="JEZ40" s="883"/>
      <c r="JFA40" s="883"/>
      <c r="JFB40" s="883"/>
      <c r="JFC40" s="883"/>
      <c r="JFD40" s="883"/>
      <c r="JFE40" s="883"/>
      <c r="JFF40" s="863"/>
      <c r="JFG40" s="863"/>
      <c r="JFH40" s="863"/>
      <c r="JFI40" s="863"/>
      <c r="JFJ40" s="863"/>
      <c r="JFK40" s="863"/>
      <c r="JFL40" s="863"/>
      <c r="JFM40" s="863"/>
      <c r="JFN40" s="863"/>
      <c r="JFO40" s="863"/>
      <c r="JFP40" s="863"/>
      <c r="JFQ40" s="863"/>
      <c r="JFR40" s="863"/>
      <c r="JFS40" s="863"/>
      <c r="JFT40" s="863"/>
      <c r="JFU40" s="863"/>
      <c r="JFV40" s="863"/>
      <c r="JFW40" s="863"/>
      <c r="JFX40" s="863"/>
      <c r="JFY40" s="863"/>
      <c r="JFZ40" s="863"/>
      <c r="JGA40" s="863"/>
      <c r="JGB40" s="863"/>
      <c r="JGC40" s="883"/>
      <c r="JGD40" s="883"/>
      <c r="JGE40" s="883"/>
      <c r="JGF40" s="883"/>
      <c r="JGG40" s="883"/>
      <c r="JGH40" s="883"/>
      <c r="JGI40" s="883"/>
      <c r="JGJ40" s="883"/>
      <c r="JGK40" s="883"/>
      <c r="JGL40" s="863"/>
      <c r="JGM40" s="863"/>
      <c r="JGN40" s="863"/>
      <c r="JGO40" s="863"/>
      <c r="JGP40" s="863"/>
      <c r="JGQ40" s="863"/>
      <c r="JGR40" s="863"/>
      <c r="JGS40" s="863"/>
      <c r="JGT40" s="863"/>
      <c r="JGU40" s="863"/>
      <c r="JGV40" s="863"/>
      <c r="JGW40" s="863"/>
      <c r="JGX40" s="863"/>
      <c r="JGY40" s="863"/>
      <c r="JGZ40" s="863"/>
      <c r="JHA40" s="863"/>
      <c r="JHB40" s="863"/>
      <c r="JHC40" s="863"/>
      <c r="JHD40" s="863"/>
      <c r="JHE40" s="863"/>
      <c r="JHF40" s="863"/>
      <c r="JHG40" s="863"/>
      <c r="JHH40" s="863"/>
      <c r="JHI40" s="883"/>
      <c r="JHJ40" s="883"/>
      <c r="JHK40" s="883"/>
      <c r="JHL40" s="883"/>
      <c r="JHM40" s="883"/>
      <c r="JHN40" s="883"/>
      <c r="JHO40" s="883"/>
      <c r="JHP40" s="883"/>
      <c r="JHQ40" s="883"/>
      <c r="JHR40" s="863"/>
      <c r="JHS40" s="863"/>
      <c r="JHT40" s="863"/>
      <c r="JHU40" s="863"/>
      <c r="JHV40" s="863"/>
      <c r="JHW40" s="863"/>
      <c r="JHX40" s="863"/>
      <c r="JHY40" s="863"/>
      <c r="JHZ40" s="863"/>
      <c r="JIA40" s="863"/>
      <c r="JIB40" s="863"/>
      <c r="JIC40" s="863"/>
      <c r="JID40" s="863"/>
      <c r="JIE40" s="863"/>
      <c r="JIF40" s="863"/>
      <c r="JIG40" s="863"/>
      <c r="JIH40" s="863"/>
      <c r="JII40" s="863"/>
      <c r="JIJ40" s="863"/>
      <c r="JIK40" s="863"/>
      <c r="JIL40" s="863"/>
      <c r="JIM40" s="863"/>
      <c r="JIN40" s="863"/>
      <c r="JIO40" s="883"/>
      <c r="JIP40" s="883"/>
      <c r="JIQ40" s="883"/>
      <c r="JIR40" s="883"/>
      <c r="JIS40" s="883"/>
      <c r="JIT40" s="883"/>
      <c r="JIU40" s="883"/>
      <c r="JIV40" s="883"/>
      <c r="JIW40" s="883"/>
      <c r="JIX40" s="863"/>
      <c r="JIY40" s="863"/>
      <c r="JIZ40" s="863"/>
      <c r="JJA40" s="863"/>
      <c r="JJB40" s="863"/>
      <c r="JJC40" s="863"/>
      <c r="JJD40" s="863"/>
      <c r="JJE40" s="863"/>
      <c r="JJF40" s="863"/>
      <c r="JJG40" s="863"/>
      <c r="JJH40" s="863"/>
      <c r="JJI40" s="863"/>
      <c r="JJJ40" s="863"/>
      <c r="JJK40" s="863"/>
      <c r="JJL40" s="863"/>
      <c r="JJM40" s="863"/>
      <c r="JJN40" s="863"/>
      <c r="JJO40" s="863"/>
      <c r="JJP40" s="863"/>
      <c r="JJQ40" s="863"/>
      <c r="JJR40" s="863"/>
      <c r="JJS40" s="863"/>
      <c r="JJT40" s="863"/>
      <c r="JJU40" s="883"/>
      <c r="JJV40" s="883"/>
      <c r="JJW40" s="883"/>
      <c r="JJX40" s="883"/>
      <c r="JJY40" s="883"/>
      <c r="JJZ40" s="883"/>
      <c r="JKA40" s="883"/>
      <c r="JKB40" s="883"/>
      <c r="JKC40" s="883"/>
      <c r="JKD40" s="863"/>
      <c r="JKE40" s="863"/>
      <c r="JKF40" s="863"/>
      <c r="JKG40" s="863"/>
      <c r="JKH40" s="863"/>
      <c r="JKI40" s="863"/>
      <c r="JKJ40" s="863"/>
      <c r="JKK40" s="863"/>
      <c r="JKL40" s="863"/>
      <c r="JKM40" s="863"/>
      <c r="JKN40" s="863"/>
      <c r="JKO40" s="863"/>
      <c r="JKP40" s="863"/>
      <c r="JKQ40" s="863"/>
      <c r="JKR40" s="863"/>
      <c r="JKS40" s="863"/>
      <c r="JKT40" s="863"/>
      <c r="JKU40" s="863"/>
      <c r="JKV40" s="863"/>
      <c r="JKW40" s="863"/>
      <c r="JKX40" s="863"/>
      <c r="JKY40" s="863"/>
      <c r="JKZ40" s="863"/>
      <c r="JLA40" s="883"/>
      <c r="JLB40" s="883"/>
      <c r="JLC40" s="883"/>
      <c r="JLD40" s="883"/>
      <c r="JLE40" s="883"/>
      <c r="JLF40" s="883"/>
      <c r="JLG40" s="883"/>
      <c r="JLH40" s="883"/>
      <c r="JLI40" s="883"/>
      <c r="JLJ40" s="863"/>
      <c r="JLK40" s="863"/>
      <c r="JLL40" s="863"/>
      <c r="JLM40" s="863"/>
      <c r="JLN40" s="863"/>
      <c r="JLO40" s="863"/>
      <c r="JLP40" s="863"/>
      <c r="JLQ40" s="863"/>
      <c r="JLR40" s="863"/>
      <c r="JLS40" s="863"/>
      <c r="JLT40" s="863"/>
      <c r="JLU40" s="863"/>
      <c r="JLV40" s="863"/>
      <c r="JLW40" s="863"/>
      <c r="JLX40" s="863"/>
      <c r="JLY40" s="863"/>
      <c r="JLZ40" s="863"/>
      <c r="JMA40" s="863"/>
      <c r="JMB40" s="863"/>
      <c r="JMC40" s="863"/>
      <c r="JMD40" s="863"/>
      <c r="JME40" s="863"/>
      <c r="JMF40" s="863"/>
      <c r="JMG40" s="883"/>
      <c r="JMH40" s="883"/>
      <c r="JMI40" s="883"/>
      <c r="JMJ40" s="883"/>
      <c r="JMK40" s="883"/>
      <c r="JML40" s="883"/>
      <c r="JMM40" s="883"/>
      <c r="JMN40" s="883"/>
      <c r="JMO40" s="883"/>
      <c r="JMP40" s="863"/>
      <c r="JMQ40" s="863"/>
      <c r="JMR40" s="863"/>
      <c r="JMS40" s="863"/>
      <c r="JMT40" s="863"/>
      <c r="JMU40" s="863"/>
      <c r="JMV40" s="863"/>
      <c r="JMW40" s="863"/>
      <c r="JMX40" s="863"/>
      <c r="JMY40" s="863"/>
      <c r="JMZ40" s="863"/>
      <c r="JNA40" s="863"/>
      <c r="JNB40" s="863"/>
      <c r="JNC40" s="863"/>
      <c r="JND40" s="863"/>
      <c r="JNE40" s="863"/>
      <c r="JNF40" s="863"/>
      <c r="JNG40" s="863"/>
      <c r="JNH40" s="863"/>
      <c r="JNI40" s="863"/>
      <c r="JNJ40" s="863"/>
      <c r="JNK40" s="863"/>
      <c r="JNL40" s="863"/>
      <c r="JNM40" s="883"/>
      <c r="JNN40" s="883"/>
      <c r="JNO40" s="883"/>
      <c r="JNP40" s="883"/>
      <c r="JNQ40" s="883"/>
      <c r="JNR40" s="883"/>
      <c r="JNS40" s="883"/>
      <c r="JNT40" s="883"/>
      <c r="JNU40" s="883"/>
      <c r="JNV40" s="863"/>
      <c r="JNW40" s="863"/>
      <c r="JNX40" s="863"/>
      <c r="JNY40" s="863"/>
      <c r="JNZ40" s="863"/>
      <c r="JOA40" s="863"/>
      <c r="JOB40" s="863"/>
      <c r="JOC40" s="863"/>
      <c r="JOD40" s="863"/>
      <c r="JOE40" s="863"/>
      <c r="JOF40" s="863"/>
      <c r="JOG40" s="863"/>
      <c r="JOH40" s="863"/>
      <c r="JOI40" s="863"/>
      <c r="JOJ40" s="863"/>
      <c r="JOK40" s="863"/>
      <c r="JOL40" s="863"/>
      <c r="JOM40" s="863"/>
      <c r="JON40" s="863"/>
      <c r="JOO40" s="863"/>
      <c r="JOP40" s="863"/>
      <c r="JOQ40" s="863"/>
      <c r="JOR40" s="863"/>
      <c r="JOS40" s="883"/>
      <c r="JOT40" s="883"/>
      <c r="JOU40" s="883"/>
      <c r="JOV40" s="883"/>
      <c r="JOW40" s="883"/>
      <c r="JOX40" s="883"/>
      <c r="JOY40" s="883"/>
      <c r="JOZ40" s="883"/>
      <c r="JPA40" s="883"/>
      <c r="JPB40" s="863"/>
      <c r="JPC40" s="863"/>
      <c r="JPD40" s="863"/>
      <c r="JPE40" s="863"/>
      <c r="JPF40" s="863"/>
      <c r="JPG40" s="863"/>
      <c r="JPH40" s="863"/>
      <c r="JPI40" s="863"/>
      <c r="JPJ40" s="863"/>
      <c r="JPK40" s="863"/>
      <c r="JPL40" s="863"/>
      <c r="JPM40" s="863"/>
      <c r="JPN40" s="863"/>
      <c r="JPO40" s="863"/>
      <c r="JPP40" s="863"/>
      <c r="JPQ40" s="863"/>
      <c r="JPR40" s="863"/>
      <c r="JPS40" s="863"/>
      <c r="JPT40" s="863"/>
      <c r="JPU40" s="863"/>
      <c r="JPV40" s="863"/>
      <c r="JPW40" s="863"/>
      <c r="JPX40" s="863"/>
      <c r="JPY40" s="883"/>
      <c r="JPZ40" s="883"/>
      <c r="JQA40" s="883"/>
      <c r="JQB40" s="883"/>
      <c r="JQC40" s="883"/>
      <c r="JQD40" s="883"/>
      <c r="JQE40" s="883"/>
      <c r="JQF40" s="883"/>
      <c r="JQG40" s="883"/>
      <c r="JQH40" s="863"/>
      <c r="JQI40" s="863"/>
      <c r="JQJ40" s="863"/>
      <c r="JQK40" s="863"/>
      <c r="JQL40" s="863"/>
      <c r="JQM40" s="863"/>
      <c r="JQN40" s="863"/>
      <c r="JQO40" s="863"/>
      <c r="JQP40" s="863"/>
      <c r="JQQ40" s="863"/>
      <c r="JQR40" s="863"/>
      <c r="JQS40" s="863"/>
      <c r="JQT40" s="863"/>
      <c r="JQU40" s="863"/>
      <c r="JQV40" s="863"/>
      <c r="JQW40" s="863"/>
      <c r="JQX40" s="863"/>
      <c r="JQY40" s="863"/>
      <c r="JQZ40" s="863"/>
      <c r="JRA40" s="863"/>
      <c r="JRB40" s="863"/>
      <c r="JRC40" s="863"/>
      <c r="JRD40" s="863"/>
      <c r="JRE40" s="883"/>
      <c r="JRF40" s="883"/>
      <c r="JRG40" s="883"/>
      <c r="JRH40" s="883"/>
      <c r="JRI40" s="883"/>
      <c r="JRJ40" s="883"/>
      <c r="JRK40" s="883"/>
      <c r="JRL40" s="883"/>
      <c r="JRM40" s="883"/>
      <c r="JRN40" s="863"/>
      <c r="JRO40" s="863"/>
      <c r="JRP40" s="863"/>
      <c r="JRQ40" s="863"/>
      <c r="JRR40" s="863"/>
      <c r="JRS40" s="863"/>
      <c r="JRT40" s="863"/>
      <c r="JRU40" s="863"/>
      <c r="JRV40" s="863"/>
      <c r="JRW40" s="863"/>
      <c r="JRX40" s="863"/>
      <c r="JRY40" s="863"/>
      <c r="JRZ40" s="863"/>
      <c r="JSA40" s="863"/>
      <c r="JSB40" s="863"/>
      <c r="JSC40" s="863"/>
      <c r="JSD40" s="863"/>
      <c r="JSE40" s="863"/>
      <c r="JSF40" s="863"/>
      <c r="JSG40" s="863"/>
      <c r="JSH40" s="863"/>
      <c r="JSI40" s="863"/>
      <c r="JSJ40" s="863"/>
      <c r="JSK40" s="883"/>
      <c r="JSL40" s="883"/>
      <c r="JSM40" s="883"/>
      <c r="JSN40" s="883"/>
      <c r="JSO40" s="883"/>
      <c r="JSP40" s="883"/>
      <c r="JSQ40" s="883"/>
      <c r="JSR40" s="883"/>
      <c r="JSS40" s="883"/>
      <c r="JST40" s="863"/>
      <c r="JSU40" s="863"/>
      <c r="JSV40" s="863"/>
      <c r="JSW40" s="863"/>
      <c r="JSX40" s="863"/>
      <c r="JSY40" s="863"/>
      <c r="JSZ40" s="863"/>
      <c r="JTA40" s="863"/>
      <c r="JTB40" s="863"/>
      <c r="JTC40" s="863"/>
      <c r="JTD40" s="863"/>
      <c r="JTE40" s="863"/>
      <c r="JTF40" s="863"/>
      <c r="JTG40" s="863"/>
      <c r="JTH40" s="863"/>
      <c r="JTI40" s="863"/>
      <c r="JTJ40" s="863"/>
      <c r="JTK40" s="863"/>
      <c r="JTL40" s="863"/>
      <c r="JTM40" s="863"/>
      <c r="JTN40" s="863"/>
      <c r="JTO40" s="863"/>
      <c r="JTP40" s="863"/>
      <c r="JTQ40" s="883"/>
      <c r="JTR40" s="883"/>
      <c r="JTS40" s="883"/>
      <c r="JTT40" s="883"/>
      <c r="JTU40" s="883"/>
      <c r="JTV40" s="883"/>
      <c r="JTW40" s="883"/>
      <c r="JTX40" s="883"/>
      <c r="JTY40" s="883"/>
      <c r="JTZ40" s="863"/>
      <c r="JUA40" s="863"/>
      <c r="JUB40" s="863"/>
      <c r="JUC40" s="863"/>
      <c r="JUD40" s="863"/>
      <c r="JUE40" s="863"/>
      <c r="JUF40" s="863"/>
      <c r="JUG40" s="863"/>
      <c r="JUH40" s="863"/>
      <c r="JUI40" s="863"/>
      <c r="JUJ40" s="863"/>
      <c r="JUK40" s="863"/>
      <c r="JUL40" s="863"/>
      <c r="JUM40" s="863"/>
      <c r="JUN40" s="863"/>
      <c r="JUO40" s="863"/>
      <c r="JUP40" s="863"/>
      <c r="JUQ40" s="863"/>
      <c r="JUR40" s="863"/>
      <c r="JUS40" s="863"/>
      <c r="JUT40" s="863"/>
      <c r="JUU40" s="863"/>
      <c r="JUV40" s="863"/>
      <c r="JUW40" s="883"/>
      <c r="JUX40" s="883"/>
      <c r="JUY40" s="883"/>
      <c r="JUZ40" s="883"/>
      <c r="JVA40" s="883"/>
      <c r="JVB40" s="883"/>
      <c r="JVC40" s="883"/>
      <c r="JVD40" s="883"/>
      <c r="JVE40" s="883"/>
      <c r="JVF40" s="863"/>
      <c r="JVG40" s="863"/>
      <c r="JVH40" s="863"/>
      <c r="JVI40" s="863"/>
      <c r="JVJ40" s="863"/>
      <c r="JVK40" s="863"/>
      <c r="JVL40" s="863"/>
      <c r="JVM40" s="863"/>
      <c r="JVN40" s="863"/>
      <c r="JVO40" s="863"/>
      <c r="JVP40" s="863"/>
      <c r="JVQ40" s="863"/>
      <c r="JVR40" s="863"/>
      <c r="JVS40" s="863"/>
      <c r="JVT40" s="863"/>
      <c r="JVU40" s="863"/>
      <c r="JVV40" s="863"/>
      <c r="JVW40" s="863"/>
      <c r="JVX40" s="863"/>
      <c r="JVY40" s="863"/>
      <c r="JVZ40" s="863"/>
      <c r="JWA40" s="863"/>
      <c r="JWB40" s="863"/>
      <c r="JWC40" s="883"/>
      <c r="JWD40" s="883"/>
      <c r="JWE40" s="883"/>
      <c r="JWF40" s="883"/>
      <c r="JWG40" s="883"/>
      <c r="JWH40" s="883"/>
      <c r="JWI40" s="883"/>
      <c r="JWJ40" s="883"/>
      <c r="JWK40" s="883"/>
      <c r="JWL40" s="863"/>
      <c r="JWM40" s="863"/>
      <c r="JWN40" s="863"/>
      <c r="JWO40" s="863"/>
      <c r="JWP40" s="863"/>
      <c r="JWQ40" s="863"/>
      <c r="JWR40" s="863"/>
      <c r="JWS40" s="863"/>
      <c r="JWT40" s="863"/>
      <c r="JWU40" s="863"/>
      <c r="JWV40" s="863"/>
      <c r="JWW40" s="863"/>
      <c r="JWX40" s="863"/>
      <c r="JWY40" s="863"/>
      <c r="JWZ40" s="863"/>
      <c r="JXA40" s="863"/>
      <c r="JXB40" s="863"/>
      <c r="JXC40" s="863"/>
      <c r="JXD40" s="863"/>
      <c r="JXE40" s="863"/>
      <c r="JXF40" s="863"/>
      <c r="JXG40" s="863"/>
      <c r="JXH40" s="863"/>
      <c r="JXI40" s="883"/>
      <c r="JXJ40" s="883"/>
      <c r="JXK40" s="883"/>
      <c r="JXL40" s="883"/>
      <c r="JXM40" s="883"/>
      <c r="JXN40" s="883"/>
      <c r="JXO40" s="883"/>
      <c r="JXP40" s="883"/>
      <c r="JXQ40" s="883"/>
      <c r="JXR40" s="863"/>
      <c r="JXS40" s="863"/>
      <c r="JXT40" s="863"/>
      <c r="JXU40" s="863"/>
      <c r="JXV40" s="863"/>
      <c r="JXW40" s="863"/>
      <c r="JXX40" s="863"/>
      <c r="JXY40" s="863"/>
      <c r="JXZ40" s="863"/>
      <c r="JYA40" s="863"/>
      <c r="JYB40" s="863"/>
      <c r="JYC40" s="863"/>
      <c r="JYD40" s="863"/>
      <c r="JYE40" s="863"/>
      <c r="JYF40" s="863"/>
      <c r="JYG40" s="863"/>
      <c r="JYH40" s="863"/>
      <c r="JYI40" s="863"/>
      <c r="JYJ40" s="863"/>
      <c r="JYK40" s="863"/>
      <c r="JYL40" s="863"/>
      <c r="JYM40" s="863"/>
      <c r="JYN40" s="863"/>
      <c r="JYO40" s="883"/>
      <c r="JYP40" s="883"/>
      <c r="JYQ40" s="883"/>
      <c r="JYR40" s="883"/>
      <c r="JYS40" s="883"/>
      <c r="JYT40" s="883"/>
      <c r="JYU40" s="883"/>
      <c r="JYV40" s="883"/>
      <c r="JYW40" s="883"/>
      <c r="JYX40" s="863"/>
      <c r="JYY40" s="863"/>
      <c r="JYZ40" s="863"/>
      <c r="JZA40" s="863"/>
      <c r="JZB40" s="863"/>
      <c r="JZC40" s="863"/>
      <c r="JZD40" s="863"/>
      <c r="JZE40" s="863"/>
      <c r="JZF40" s="863"/>
      <c r="JZG40" s="863"/>
      <c r="JZH40" s="863"/>
      <c r="JZI40" s="863"/>
      <c r="JZJ40" s="863"/>
      <c r="JZK40" s="863"/>
      <c r="JZL40" s="863"/>
      <c r="JZM40" s="863"/>
      <c r="JZN40" s="863"/>
      <c r="JZO40" s="863"/>
      <c r="JZP40" s="863"/>
      <c r="JZQ40" s="863"/>
      <c r="JZR40" s="863"/>
      <c r="JZS40" s="863"/>
      <c r="JZT40" s="863"/>
      <c r="JZU40" s="883"/>
      <c r="JZV40" s="883"/>
      <c r="JZW40" s="883"/>
      <c r="JZX40" s="883"/>
      <c r="JZY40" s="883"/>
      <c r="JZZ40" s="883"/>
      <c r="KAA40" s="883"/>
      <c r="KAB40" s="883"/>
      <c r="KAC40" s="883"/>
      <c r="KAD40" s="863"/>
      <c r="KAE40" s="863"/>
      <c r="KAF40" s="863"/>
      <c r="KAG40" s="863"/>
      <c r="KAH40" s="863"/>
      <c r="KAI40" s="863"/>
      <c r="KAJ40" s="863"/>
      <c r="KAK40" s="863"/>
      <c r="KAL40" s="863"/>
      <c r="KAM40" s="863"/>
      <c r="KAN40" s="863"/>
      <c r="KAO40" s="863"/>
      <c r="KAP40" s="863"/>
      <c r="KAQ40" s="863"/>
      <c r="KAR40" s="863"/>
      <c r="KAS40" s="863"/>
      <c r="KAT40" s="863"/>
      <c r="KAU40" s="863"/>
      <c r="KAV40" s="863"/>
      <c r="KAW40" s="863"/>
      <c r="KAX40" s="863"/>
      <c r="KAY40" s="863"/>
      <c r="KAZ40" s="863"/>
      <c r="KBA40" s="883"/>
      <c r="KBB40" s="883"/>
      <c r="KBC40" s="883"/>
      <c r="KBD40" s="883"/>
      <c r="KBE40" s="883"/>
      <c r="KBF40" s="883"/>
      <c r="KBG40" s="883"/>
      <c r="KBH40" s="883"/>
      <c r="KBI40" s="883"/>
      <c r="KBJ40" s="863"/>
      <c r="KBK40" s="863"/>
      <c r="KBL40" s="863"/>
      <c r="KBM40" s="863"/>
      <c r="KBN40" s="863"/>
      <c r="KBO40" s="863"/>
      <c r="KBP40" s="863"/>
      <c r="KBQ40" s="863"/>
      <c r="KBR40" s="863"/>
      <c r="KBS40" s="863"/>
      <c r="KBT40" s="863"/>
      <c r="KBU40" s="863"/>
      <c r="KBV40" s="863"/>
      <c r="KBW40" s="863"/>
      <c r="KBX40" s="863"/>
      <c r="KBY40" s="863"/>
      <c r="KBZ40" s="863"/>
      <c r="KCA40" s="863"/>
      <c r="KCB40" s="863"/>
      <c r="KCC40" s="863"/>
      <c r="KCD40" s="863"/>
      <c r="KCE40" s="863"/>
      <c r="KCF40" s="863"/>
      <c r="KCG40" s="883"/>
      <c r="KCH40" s="883"/>
      <c r="KCI40" s="883"/>
      <c r="KCJ40" s="883"/>
      <c r="KCK40" s="883"/>
      <c r="KCL40" s="883"/>
      <c r="KCM40" s="883"/>
      <c r="KCN40" s="883"/>
      <c r="KCO40" s="883"/>
      <c r="KCP40" s="863"/>
      <c r="KCQ40" s="863"/>
      <c r="KCR40" s="863"/>
      <c r="KCS40" s="863"/>
      <c r="KCT40" s="863"/>
      <c r="KCU40" s="863"/>
      <c r="KCV40" s="863"/>
      <c r="KCW40" s="863"/>
      <c r="KCX40" s="863"/>
      <c r="KCY40" s="863"/>
      <c r="KCZ40" s="863"/>
      <c r="KDA40" s="863"/>
      <c r="KDB40" s="863"/>
      <c r="KDC40" s="863"/>
      <c r="KDD40" s="863"/>
      <c r="KDE40" s="863"/>
      <c r="KDF40" s="863"/>
      <c r="KDG40" s="863"/>
      <c r="KDH40" s="863"/>
      <c r="KDI40" s="863"/>
      <c r="KDJ40" s="863"/>
      <c r="KDK40" s="863"/>
      <c r="KDL40" s="863"/>
      <c r="KDM40" s="883"/>
      <c r="KDN40" s="883"/>
      <c r="KDO40" s="883"/>
      <c r="KDP40" s="883"/>
      <c r="KDQ40" s="883"/>
      <c r="KDR40" s="883"/>
      <c r="KDS40" s="883"/>
      <c r="KDT40" s="883"/>
      <c r="KDU40" s="883"/>
      <c r="KDV40" s="863"/>
      <c r="KDW40" s="863"/>
      <c r="KDX40" s="863"/>
      <c r="KDY40" s="863"/>
      <c r="KDZ40" s="863"/>
      <c r="KEA40" s="863"/>
      <c r="KEB40" s="863"/>
      <c r="KEC40" s="863"/>
      <c r="KED40" s="863"/>
      <c r="KEE40" s="863"/>
      <c r="KEF40" s="863"/>
      <c r="KEG40" s="863"/>
      <c r="KEH40" s="863"/>
      <c r="KEI40" s="863"/>
      <c r="KEJ40" s="863"/>
      <c r="KEK40" s="863"/>
      <c r="KEL40" s="863"/>
      <c r="KEM40" s="863"/>
      <c r="KEN40" s="863"/>
      <c r="KEO40" s="863"/>
      <c r="KEP40" s="863"/>
      <c r="KEQ40" s="863"/>
      <c r="KER40" s="863"/>
      <c r="KES40" s="883"/>
      <c r="KET40" s="883"/>
      <c r="KEU40" s="883"/>
      <c r="KEV40" s="883"/>
      <c r="KEW40" s="883"/>
      <c r="KEX40" s="883"/>
      <c r="KEY40" s="883"/>
      <c r="KEZ40" s="883"/>
      <c r="KFA40" s="883"/>
      <c r="KFB40" s="863"/>
      <c r="KFC40" s="863"/>
      <c r="KFD40" s="863"/>
      <c r="KFE40" s="863"/>
      <c r="KFF40" s="863"/>
      <c r="KFG40" s="863"/>
      <c r="KFH40" s="863"/>
      <c r="KFI40" s="863"/>
      <c r="KFJ40" s="863"/>
      <c r="KFK40" s="863"/>
      <c r="KFL40" s="863"/>
      <c r="KFM40" s="863"/>
      <c r="KFN40" s="863"/>
      <c r="KFO40" s="863"/>
      <c r="KFP40" s="863"/>
      <c r="KFQ40" s="863"/>
      <c r="KFR40" s="863"/>
      <c r="KFS40" s="863"/>
      <c r="KFT40" s="863"/>
      <c r="KFU40" s="863"/>
      <c r="KFV40" s="863"/>
      <c r="KFW40" s="863"/>
      <c r="KFX40" s="863"/>
      <c r="KFY40" s="883"/>
      <c r="KFZ40" s="883"/>
      <c r="KGA40" s="883"/>
      <c r="KGB40" s="883"/>
      <c r="KGC40" s="883"/>
      <c r="KGD40" s="883"/>
      <c r="KGE40" s="883"/>
      <c r="KGF40" s="883"/>
      <c r="KGG40" s="883"/>
      <c r="KGH40" s="863"/>
      <c r="KGI40" s="863"/>
      <c r="KGJ40" s="863"/>
      <c r="KGK40" s="863"/>
      <c r="KGL40" s="863"/>
      <c r="KGM40" s="863"/>
      <c r="KGN40" s="863"/>
      <c r="KGO40" s="863"/>
      <c r="KGP40" s="863"/>
      <c r="KGQ40" s="863"/>
      <c r="KGR40" s="863"/>
      <c r="KGS40" s="863"/>
      <c r="KGT40" s="863"/>
      <c r="KGU40" s="863"/>
      <c r="KGV40" s="863"/>
      <c r="KGW40" s="863"/>
      <c r="KGX40" s="863"/>
      <c r="KGY40" s="863"/>
      <c r="KGZ40" s="863"/>
      <c r="KHA40" s="863"/>
      <c r="KHB40" s="863"/>
      <c r="KHC40" s="863"/>
      <c r="KHD40" s="863"/>
      <c r="KHE40" s="883"/>
      <c r="KHF40" s="883"/>
      <c r="KHG40" s="883"/>
      <c r="KHH40" s="883"/>
      <c r="KHI40" s="883"/>
      <c r="KHJ40" s="883"/>
      <c r="KHK40" s="883"/>
      <c r="KHL40" s="883"/>
      <c r="KHM40" s="883"/>
      <c r="KHN40" s="863"/>
      <c r="KHO40" s="863"/>
      <c r="KHP40" s="863"/>
      <c r="KHQ40" s="863"/>
      <c r="KHR40" s="863"/>
      <c r="KHS40" s="863"/>
      <c r="KHT40" s="863"/>
      <c r="KHU40" s="863"/>
      <c r="KHV40" s="863"/>
      <c r="KHW40" s="863"/>
      <c r="KHX40" s="863"/>
      <c r="KHY40" s="863"/>
      <c r="KHZ40" s="863"/>
      <c r="KIA40" s="863"/>
      <c r="KIB40" s="863"/>
      <c r="KIC40" s="863"/>
      <c r="KID40" s="863"/>
      <c r="KIE40" s="863"/>
      <c r="KIF40" s="863"/>
      <c r="KIG40" s="863"/>
      <c r="KIH40" s="863"/>
      <c r="KII40" s="863"/>
      <c r="KIJ40" s="863"/>
      <c r="KIK40" s="883"/>
      <c r="KIL40" s="883"/>
      <c r="KIM40" s="883"/>
      <c r="KIN40" s="883"/>
      <c r="KIO40" s="883"/>
      <c r="KIP40" s="883"/>
      <c r="KIQ40" s="883"/>
      <c r="KIR40" s="883"/>
      <c r="KIS40" s="883"/>
      <c r="KIT40" s="863"/>
      <c r="KIU40" s="863"/>
      <c r="KIV40" s="863"/>
      <c r="KIW40" s="863"/>
      <c r="KIX40" s="863"/>
      <c r="KIY40" s="863"/>
      <c r="KIZ40" s="863"/>
      <c r="KJA40" s="863"/>
      <c r="KJB40" s="863"/>
      <c r="KJC40" s="863"/>
      <c r="KJD40" s="863"/>
      <c r="KJE40" s="863"/>
      <c r="KJF40" s="863"/>
      <c r="KJG40" s="863"/>
      <c r="KJH40" s="863"/>
      <c r="KJI40" s="863"/>
      <c r="KJJ40" s="863"/>
      <c r="KJK40" s="863"/>
      <c r="KJL40" s="863"/>
      <c r="KJM40" s="863"/>
      <c r="KJN40" s="863"/>
      <c r="KJO40" s="863"/>
      <c r="KJP40" s="863"/>
      <c r="KJQ40" s="883"/>
      <c r="KJR40" s="883"/>
      <c r="KJS40" s="883"/>
      <c r="KJT40" s="883"/>
      <c r="KJU40" s="883"/>
      <c r="KJV40" s="883"/>
      <c r="KJW40" s="883"/>
      <c r="KJX40" s="883"/>
      <c r="KJY40" s="883"/>
      <c r="KJZ40" s="863"/>
      <c r="KKA40" s="863"/>
      <c r="KKB40" s="863"/>
      <c r="KKC40" s="863"/>
      <c r="KKD40" s="863"/>
      <c r="KKE40" s="863"/>
      <c r="KKF40" s="863"/>
      <c r="KKG40" s="863"/>
      <c r="KKH40" s="863"/>
      <c r="KKI40" s="863"/>
      <c r="KKJ40" s="863"/>
      <c r="KKK40" s="863"/>
      <c r="KKL40" s="863"/>
      <c r="KKM40" s="863"/>
      <c r="KKN40" s="863"/>
      <c r="KKO40" s="863"/>
      <c r="KKP40" s="863"/>
      <c r="KKQ40" s="863"/>
      <c r="KKR40" s="863"/>
      <c r="KKS40" s="863"/>
      <c r="KKT40" s="863"/>
      <c r="KKU40" s="863"/>
      <c r="KKV40" s="863"/>
      <c r="KKW40" s="883"/>
      <c r="KKX40" s="883"/>
      <c r="KKY40" s="883"/>
      <c r="KKZ40" s="883"/>
      <c r="KLA40" s="883"/>
      <c r="KLB40" s="883"/>
      <c r="KLC40" s="883"/>
      <c r="KLD40" s="883"/>
      <c r="KLE40" s="883"/>
      <c r="KLF40" s="863"/>
      <c r="KLG40" s="863"/>
      <c r="KLH40" s="863"/>
      <c r="KLI40" s="863"/>
      <c r="KLJ40" s="863"/>
      <c r="KLK40" s="863"/>
      <c r="KLL40" s="863"/>
      <c r="KLM40" s="863"/>
      <c r="KLN40" s="863"/>
      <c r="KLO40" s="863"/>
      <c r="KLP40" s="863"/>
      <c r="KLQ40" s="863"/>
      <c r="KLR40" s="863"/>
      <c r="KLS40" s="863"/>
      <c r="KLT40" s="863"/>
      <c r="KLU40" s="863"/>
      <c r="KLV40" s="863"/>
      <c r="KLW40" s="863"/>
      <c r="KLX40" s="863"/>
      <c r="KLY40" s="863"/>
      <c r="KLZ40" s="863"/>
      <c r="KMA40" s="863"/>
      <c r="KMB40" s="863"/>
      <c r="KMC40" s="883"/>
      <c r="KMD40" s="883"/>
      <c r="KME40" s="883"/>
      <c r="KMF40" s="883"/>
      <c r="KMG40" s="883"/>
      <c r="KMH40" s="883"/>
      <c r="KMI40" s="883"/>
      <c r="KMJ40" s="883"/>
      <c r="KMK40" s="883"/>
      <c r="KML40" s="863"/>
      <c r="KMM40" s="863"/>
      <c r="KMN40" s="863"/>
      <c r="KMO40" s="863"/>
      <c r="KMP40" s="863"/>
      <c r="KMQ40" s="863"/>
      <c r="KMR40" s="863"/>
      <c r="KMS40" s="863"/>
      <c r="KMT40" s="863"/>
      <c r="KMU40" s="863"/>
      <c r="KMV40" s="863"/>
      <c r="KMW40" s="863"/>
      <c r="KMX40" s="863"/>
      <c r="KMY40" s="863"/>
      <c r="KMZ40" s="863"/>
      <c r="KNA40" s="863"/>
      <c r="KNB40" s="863"/>
      <c r="KNC40" s="863"/>
      <c r="KND40" s="863"/>
      <c r="KNE40" s="863"/>
      <c r="KNF40" s="863"/>
      <c r="KNG40" s="863"/>
      <c r="KNH40" s="863"/>
      <c r="KNI40" s="883"/>
      <c r="KNJ40" s="883"/>
      <c r="KNK40" s="883"/>
      <c r="KNL40" s="883"/>
      <c r="KNM40" s="883"/>
      <c r="KNN40" s="883"/>
      <c r="KNO40" s="883"/>
      <c r="KNP40" s="883"/>
      <c r="KNQ40" s="883"/>
      <c r="KNR40" s="863"/>
      <c r="KNS40" s="863"/>
      <c r="KNT40" s="863"/>
      <c r="KNU40" s="863"/>
      <c r="KNV40" s="863"/>
      <c r="KNW40" s="863"/>
      <c r="KNX40" s="863"/>
      <c r="KNY40" s="863"/>
      <c r="KNZ40" s="863"/>
      <c r="KOA40" s="863"/>
      <c r="KOB40" s="863"/>
      <c r="KOC40" s="863"/>
      <c r="KOD40" s="863"/>
      <c r="KOE40" s="863"/>
      <c r="KOF40" s="863"/>
      <c r="KOG40" s="863"/>
      <c r="KOH40" s="863"/>
      <c r="KOI40" s="863"/>
      <c r="KOJ40" s="863"/>
      <c r="KOK40" s="863"/>
      <c r="KOL40" s="863"/>
      <c r="KOM40" s="863"/>
      <c r="KON40" s="863"/>
      <c r="KOO40" s="883"/>
      <c r="KOP40" s="883"/>
      <c r="KOQ40" s="883"/>
      <c r="KOR40" s="883"/>
      <c r="KOS40" s="883"/>
      <c r="KOT40" s="883"/>
      <c r="KOU40" s="883"/>
      <c r="KOV40" s="883"/>
      <c r="KOW40" s="883"/>
      <c r="KOX40" s="863"/>
      <c r="KOY40" s="863"/>
      <c r="KOZ40" s="863"/>
      <c r="KPA40" s="863"/>
      <c r="KPB40" s="863"/>
      <c r="KPC40" s="863"/>
      <c r="KPD40" s="863"/>
      <c r="KPE40" s="863"/>
      <c r="KPF40" s="863"/>
      <c r="KPG40" s="863"/>
      <c r="KPH40" s="863"/>
      <c r="KPI40" s="863"/>
      <c r="KPJ40" s="863"/>
      <c r="KPK40" s="863"/>
      <c r="KPL40" s="863"/>
      <c r="KPM40" s="863"/>
      <c r="KPN40" s="863"/>
      <c r="KPO40" s="863"/>
      <c r="KPP40" s="863"/>
      <c r="KPQ40" s="863"/>
      <c r="KPR40" s="863"/>
      <c r="KPS40" s="863"/>
      <c r="KPT40" s="863"/>
      <c r="KPU40" s="883"/>
      <c r="KPV40" s="883"/>
      <c r="KPW40" s="883"/>
      <c r="KPX40" s="883"/>
      <c r="KPY40" s="883"/>
      <c r="KPZ40" s="883"/>
      <c r="KQA40" s="883"/>
      <c r="KQB40" s="883"/>
      <c r="KQC40" s="883"/>
      <c r="KQD40" s="863"/>
      <c r="KQE40" s="863"/>
      <c r="KQF40" s="863"/>
      <c r="KQG40" s="863"/>
      <c r="KQH40" s="863"/>
      <c r="KQI40" s="863"/>
      <c r="KQJ40" s="863"/>
      <c r="KQK40" s="863"/>
      <c r="KQL40" s="863"/>
      <c r="KQM40" s="863"/>
      <c r="KQN40" s="863"/>
      <c r="KQO40" s="863"/>
      <c r="KQP40" s="863"/>
      <c r="KQQ40" s="863"/>
      <c r="KQR40" s="863"/>
      <c r="KQS40" s="863"/>
      <c r="KQT40" s="863"/>
      <c r="KQU40" s="863"/>
      <c r="KQV40" s="863"/>
      <c r="KQW40" s="863"/>
      <c r="KQX40" s="863"/>
      <c r="KQY40" s="863"/>
      <c r="KQZ40" s="863"/>
      <c r="KRA40" s="883"/>
      <c r="KRB40" s="883"/>
      <c r="KRC40" s="883"/>
      <c r="KRD40" s="883"/>
      <c r="KRE40" s="883"/>
      <c r="KRF40" s="883"/>
      <c r="KRG40" s="883"/>
      <c r="KRH40" s="883"/>
      <c r="KRI40" s="883"/>
      <c r="KRJ40" s="863"/>
      <c r="KRK40" s="863"/>
      <c r="KRL40" s="863"/>
      <c r="KRM40" s="863"/>
      <c r="KRN40" s="863"/>
      <c r="KRO40" s="863"/>
      <c r="KRP40" s="863"/>
      <c r="KRQ40" s="863"/>
      <c r="KRR40" s="863"/>
      <c r="KRS40" s="863"/>
      <c r="KRT40" s="863"/>
      <c r="KRU40" s="863"/>
      <c r="KRV40" s="863"/>
      <c r="KRW40" s="863"/>
      <c r="KRX40" s="863"/>
      <c r="KRY40" s="863"/>
      <c r="KRZ40" s="863"/>
      <c r="KSA40" s="863"/>
      <c r="KSB40" s="863"/>
      <c r="KSC40" s="863"/>
      <c r="KSD40" s="863"/>
      <c r="KSE40" s="863"/>
      <c r="KSF40" s="863"/>
      <c r="KSG40" s="883"/>
      <c r="KSH40" s="883"/>
      <c r="KSI40" s="883"/>
      <c r="KSJ40" s="883"/>
      <c r="KSK40" s="883"/>
      <c r="KSL40" s="883"/>
      <c r="KSM40" s="883"/>
      <c r="KSN40" s="883"/>
      <c r="KSO40" s="883"/>
      <c r="KSP40" s="863"/>
      <c r="KSQ40" s="863"/>
      <c r="KSR40" s="863"/>
      <c r="KSS40" s="863"/>
      <c r="KST40" s="863"/>
      <c r="KSU40" s="863"/>
      <c r="KSV40" s="863"/>
      <c r="KSW40" s="863"/>
      <c r="KSX40" s="863"/>
      <c r="KSY40" s="863"/>
      <c r="KSZ40" s="863"/>
      <c r="KTA40" s="863"/>
      <c r="KTB40" s="863"/>
      <c r="KTC40" s="863"/>
      <c r="KTD40" s="863"/>
      <c r="KTE40" s="863"/>
      <c r="KTF40" s="863"/>
      <c r="KTG40" s="863"/>
      <c r="KTH40" s="863"/>
      <c r="KTI40" s="863"/>
      <c r="KTJ40" s="863"/>
      <c r="KTK40" s="863"/>
      <c r="KTL40" s="863"/>
      <c r="KTM40" s="883"/>
      <c r="KTN40" s="883"/>
      <c r="KTO40" s="883"/>
      <c r="KTP40" s="883"/>
      <c r="KTQ40" s="883"/>
      <c r="KTR40" s="883"/>
      <c r="KTS40" s="883"/>
      <c r="KTT40" s="883"/>
      <c r="KTU40" s="883"/>
      <c r="KTV40" s="863"/>
      <c r="KTW40" s="863"/>
      <c r="KTX40" s="863"/>
      <c r="KTY40" s="863"/>
      <c r="KTZ40" s="863"/>
      <c r="KUA40" s="863"/>
      <c r="KUB40" s="863"/>
      <c r="KUC40" s="863"/>
      <c r="KUD40" s="863"/>
      <c r="KUE40" s="863"/>
      <c r="KUF40" s="863"/>
      <c r="KUG40" s="863"/>
      <c r="KUH40" s="863"/>
      <c r="KUI40" s="863"/>
      <c r="KUJ40" s="863"/>
      <c r="KUK40" s="863"/>
      <c r="KUL40" s="863"/>
      <c r="KUM40" s="863"/>
      <c r="KUN40" s="863"/>
      <c r="KUO40" s="863"/>
      <c r="KUP40" s="863"/>
      <c r="KUQ40" s="863"/>
      <c r="KUR40" s="863"/>
      <c r="KUS40" s="883"/>
      <c r="KUT40" s="883"/>
      <c r="KUU40" s="883"/>
      <c r="KUV40" s="883"/>
      <c r="KUW40" s="883"/>
      <c r="KUX40" s="883"/>
      <c r="KUY40" s="883"/>
      <c r="KUZ40" s="883"/>
      <c r="KVA40" s="883"/>
      <c r="KVB40" s="863"/>
      <c r="KVC40" s="863"/>
      <c r="KVD40" s="863"/>
      <c r="KVE40" s="863"/>
      <c r="KVF40" s="863"/>
      <c r="KVG40" s="863"/>
      <c r="KVH40" s="863"/>
      <c r="KVI40" s="863"/>
      <c r="KVJ40" s="863"/>
      <c r="KVK40" s="863"/>
      <c r="KVL40" s="863"/>
      <c r="KVM40" s="863"/>
      <c r="KVN40" s="863"/>
      <c r="KVO40" s="863"/>
      <c r="KVP40" s="863"/>
      <c r="KVQ40" s="863"/>
      <c r="KVR40" s="863"/>
      <c r="KVS40" s="863"/>
      <c r="KVT40" s="863"/>
      <c r="KVU40" s="863"/>
      <c r="KVV40" s="863"/>
      <c r="KVW40" s="863"/>
      <c r="KVX40" s="863"/>
      <c r="KVY40" s="883"/>
      <c r="KVZ40" s="883"/>
      <c r="KWA40" s="883"/>
      <c r="KWB40" s="883"/>
      <c r="KWC40" s="883"/>
      <c r="KWD40" s="883"/>
      <c r="KWE40" s="883"/>
      <c r="KWF40" s="883"/>
      <c r="KWG40" s="883"/>
      <c r="KWH40" s="863"/>
      <c r="KWI40" s="863"/>
      <c r="KWJ40" s="863"/>
      <c r="KWK40" s="863"/>
      <c r="KWL40" s="863"/>
      <c r="KWM40" s="863"/>
      <c r="KWN40" s="863"/>
      <c r="KWO40" s="863"/>
      <c r="KWP40" s="863"/>
      <c r="KWQ40" s="863"/>
      <c r="KWR40" s="863"/>
      <c r="KWS40" s="863"/>
      <c r="KWT40" s="863"/>
      <c r="KWU40" s="863"/>
      <c r="KWV40" s="863"/>
      <c r="KWW40" s="863"/>
      <c r="KWX40" s="863"/>
      <c r="KWY40" s="863"/>
      <c r="KWZ40" s="863"/>
      <c r="KXA40" s="863"/>
      <c r="KXB40" s="863"/>
      <c r="KXC40" s="863"/>
      <c r="KXD40" s="863"/>
      <c r="KXE40" s="883"/>
      <c r="KXF40" s="883"/>
      <c r="KXG40" s="883"/>
      <c r="KXH40" s="883"/>
      <c r="KXI40" s="883"/>
      <c r="KXJ40" s="883"/>
      <c r="KXK40" s="883"/>
      <c r="KXL40" s="883"/>
      <c r="KXM40" s="883"/>
      <c r="KXN40" s="863"/>
      <c r="KXO40" s="863"/>
      <c r="KXP40" s="863"/>
      <c r="KXQ40" s="863"/>
      <c r="KXR40" s="863"/>
      <c r="KXS40" s="863"/>
      <c r="KXT40" s="863"/>
      <c r="KXU40" s="863"/>
      <c r="KXV40" s="863"/>
      <c r="KXW40" s="863"/>
      <c r="KXX40" s="863"/>
      <c r="KXY40" s="863"/>
      <c r="KXZ40" s="863"/>
      <c r="KYA40" s="863"/>
      <c r="KYB40" s="863"/>
      <c r="KYC40" s="863"/>
      <c r="KYD40" s="863"/>
      <c r="KYE40" s="863"/>
      <c r="KYF40" s="863"/>
      <c r="KYG40" s="863"/>
      <c r="KYH40" s="863"/>
      <c r="KYI40" s="863"/>
      <c r="KYJ40" s="863"/>
      <c r="KYK40" s="883"/>
      <c r="KYL40" s="883"/>
      <c r="KYM40" s="883"/>
      <c r="KYN40" s="883"/>
      <c r="KYO40" s="883"/>
      <c r="KYP40" s="883"/>
      <c r="KYQ40" s="883"/>
      <c r="KYR40" s="883"/>
      <c r="KYS40" s="883"/>
      <c r="KYT40" s="863"/>
      <c r="KYU40" s="863"/>
      <c r="KYV40" s="863"/>
      <c r="KYW40" s="863"/>
      <c r="KYX40" s="863"/>
      <c r="KYY40" s="863"/>
      <c r="KYZ40" s="863"/>
      <c r="KZA40" s="863"/>
      <c r="KZB40" s="863"/>
      <c r="KZC40" s="863"/>
      <c r="KZD40" s="863"/>
      <c r="KZE40" s="863"/>
      <c r="KZF40" s="863"/>
      <c r="KZG40" s="863"/>
      <c r="KZH40" s="863"/>
      <c r="KZI40" s="863"/>
      <c r="KZJ40" s="863"/>
      <c r="KZK40" s="863"/>
      <c r="KZL40" s="863"/>
      <c r="KZM40" s="863"/>
      <c r="KZN40" s="863"/>
      <c r="KZO40" s="863"/>
      <c r="KZP40" s="863"/>
      <c r="KZQ40" s="883"/>
      <c r="KZR40" s="883"/>
      <c r="KZS40" s="883"/>
      <c r="KZT40" s="883"/>
      <c r="KZU40" s="883"/>
      <c r="KZV40" s="883"/>
      <c r="KZW40" s="883"/>
      <c r="KZX40" s="883"/>
      <c r="KZY40" s="883"/>
      <c r="KZZ40" s="863"/>
      <c r="LAA40" s="863"/>
      <c r="LAB40" s="863"/>
      <c r="LAC40" s="863"/>
      <c r="LAD40" s="863"/>
      <c r="LAE40" s="863"/>
      <c r="LAF40" s="863"/>
      <c r="LAG40" s="863"/>
      <c r="LAH40" s="863"/>
      <c r="LAI40" s="863"/>
      <c r="LAJ40" s="863"/>
      <c r="LAK40" s="863"/>
      <c r="LAL40" s="863"/>
      <c r="LAM40" s="863"/>
      <c r="LAN40" s="863"/>
      <c r="LAO40" s="863"/>
      <c r="LAP40" s="863"/>
      <c r="LAQ40" s="863"/>
      <c r="LAR40" s="863"/>
      <c r="LAS40" s="863"/>
      <c r="LAT40" s="863"/>
      <c r="LAU40" s="863"/>
      <c r="LAV40" s="863"/>
      <c r="LAW40" s="883"/>
      <c r="LAX40" s="883"/>
      <c r="LAY40" s="883"/>
      <c r="LAZ40" s="883"/>
      <c r="LBA40" s="883"/>
      <c r="LBB40" s="883"/>
      <c r="LBC40" s="883"/>
      <c r="LBD40" s="883"/>
      <c r="LBE40" s="883"/>
      <c r="LBF40" s="863"/>
      <c r="LBG40" s="863"/>
      <c r="LBH40" s="863"/>
      <c r="LBI40" s="863"/>
      <c r="LBJ40" s="863"/>
      <c r="LBK40" s="863"/>
      <c r="LBL40" s="863"/>
      <c r="LBM40" s="863"/>
      <c r="LBN40" s="863"/>
      <c r="LBO40" s="863"/>
      <c r="LBP40" s="863"/>
      <c r="LBQ40" s="863"/>
      <c r="LBR40" s="863"/>
      <c r="LBS40" s="863"/>
      <c r="LBT40" s="863"/>
      <c r="LBU40" s="863"/>
      <c r="LBV40" s="863"/>
      <c r="LBW40" s="863"/>
      <c r="LBX40" s="863"/>
      <c r="LBY40" s="863"/>
      <c r="LBZ40" s="863"/>
      <c r="LCA40" s="863"/>
      <c r="LCB40" s="863"/>
      <c r="LCC40" s="883"/>
      <c r="LCD40" s="883"/>
      <c r="LCE40" s="883"/>
      <c r="LCF40" s="883"/>
      <c r="LCG40" s="883"/>
      <c r="LCH40" s="883"/>
      <c r="LCI40" s="883"/>
      <c r="LCJ40" s="883"/>
      <c r="LCK40" s="883"/>
      <c r="LCL40" s="863"/>
      <c r="LCM40" s="863"/>
      <c r="LCN40" s="863"/>
      <c r="LCO40" s="863"/>
      <c r="LCP40" s="863"/>
      <c r="LCQ40" s="863"/>
      <c r="LCR40" s="863"/>
      <c r="LCS40" s="863"/>
      <c r="LCT40" s="863"/>
      <c r="LCU40" s="863"/>
      <c r="LCV40" s="863"/>
      <c r="LCW40" s="863"/>
      <c r="LCX40" s="863"/>
      <c r="LCY40" s="863"/>
      <c r="LCZ40" s="863"/>
      <c r="LDA40" s="863"/>
      <c r="LDB40" s="863"/>
      <c r="LDC40" s="863"/>
      <c r="LDD40" s="863"/>
      <c r="LDE40" s="863"/>
      <c r="LDF40" s="863"/>
      <c r="LDG40" s="863"/>
      <c r="LDH40" s="863"/>
      <c r="LDI40" s="883"/>
      <c r="LDJ40" s="883"/>
      <c r="LDK40" s="883"/>
      <c r="LDL40" s="883"/>
      <c r="LDM40" s="883"/>
      <c r="LDN40" s="883"/>
      <c r="LDO40" s="883"/>
      <c r="LDP40" s="883"/>
      <c r="LDQ40" s="883"/>
      <c r="LDR40" s="863"/>
      <c r="LDS40" s="863"/>
      <c r="LDT40" s="863"/>
      <c r="LDU40" s="863"/>
      <c r="LDV40" s="863"/>
      <c r="LDW40" s="863"/>
      <c r="LDX40" s="863"/>
      <c r="LDY40" s="863"/>
      <c r="LDZ40" s="863"/>
      <c r="LEA40" s="863"/>
      <c r="LEB40" s="863"/>
      <c r="LEC40" s="863"/>
      <c r="LED40" s="863"/>
      <c r="LEE40" s="863"/>
      <c r="LEF40" s="863"/>
      <c r="LEG40" s="863"/>
      <c r="LEH40" s="863"/>
      <c r="LEI40" s="863"/>
      <c r="LEJ40" s="863"/>
      <c r="LEK40" s="863"/>
      <c r="LEL40" s="863"/>
      <c r="LEM40" s="863"/>
      <c r="LEN40" s="863"/>
      <c r="LEO40" s="883"/>
      <c r="LEP40" s="883"/>
      <c r="LEQ40" s="883"/>
      <c r="LER40" s="883"/>
      <c r="LES40" s="883"/>
      <c r="LET40" s="883"/>
      <c r="LEU40" s="883"/>
      <c r="LEV40" s="883"/>
      <c r="LEW40" s="883"/>
      <c r="LEX40" s="863"/>
      <c r="LEY40" s="863"/>
      <c r="LEZ40" s="863"/>
      <c r="LFA40" s="863"/>
      <c r="LFB40" s="863"/>
      <c r="LFC40" s="863"/>
      <c r="LFD40" s="863"/>
      <c r="LFE40" s="863"/>
      <c r="LFF40" s="863"/>
      <c r="LFG40" s="863"/>
      <c r="LFH40" s="863"/>
      <c r="LFI40" s="863"/>
      <c r="LFJ40" s="863"/>
      <c r="LFK40" s="863"/>
      <c r="LFL40" s="863"/>
      <c r="LFM40" s="863"/>
      <c r="LFN40" s="863"/>
      <c r="LFO40" s="863"/>
      <c r="LFP40" s="863"/>
      <c r="LFQ40" s="863"/>
      <c r="LFR40" s="863"/>
      <c r="LFS40" s="863"/>
      <c r="LFT40" s="863"/>
      <c r="LFU40" s="883"/>
      <c r="LFV40" s="883"/>
      <c r="LFW40" s="883"/>
      <c r="LFX40" s="883"/>
      <c r="LFY40" s="883"/>
      <c r="LFZ40" s="883"/>
      <c r="LGA40" s="883"/>
      <c r="LGB40" s="883"/>
      <c r="LGC40" s="883"/>
      <c r="LGD40" s="863"/>
      <c r="LGE40" s="863"/>
      <c r="LGF40" s="863"/>
      <c r="LGG40" s="863"/>
      <c r="LGH40" s="863"/>
      <c r="LGI40" s="863"/>
      <c r="LGJ40" s="863"/>
      <c r="LGK40" s="863"/>
      <c r="LGL40" s="863"/>
      <c r="LGM40" s="863"/>
      <c r="LGN40" s="863"/>
      <c r="LGO40" s="863"/>
      <c r="LGP40" s="863"/>
      <c r="LGQ40" s="863"/>
      <c r="LGR40" s="863"/>
      <c r="LGS40" s="863"/>
      <c r="LGT40" s="863"/>
      <c r="LGU40" s="863"/>
      <c r="LGV40" s="863"/>
      <c r="LGW40" s="863"/>
      <c r="LGX40" s="863"/>
      <c r="LGY40" s="863"/>
      <c r="LGZ40" s="863"/>
      <c r="LHA40" s="883"/>
      <c r="LHB40" s="883"/>
      <c r="LHC40" s="883"/>
      <c r="LHD40" s="883"/>
      <c r="LHE40" s="883"/>
      <c r="LHF40" s="883"/>
      <c r="LHG40" s="883"/>
      <c r="LHH40" s="883"/>
      <c r="LHI40" s="883"/>
      <c r="LHJ40" s="863"/>
      <c r="LHK40" s="863"/>
      <c r="LHL40" s="863"/>
      <c r="LHM40" s="863"/>
      <c r="LHN40" s="863"/>
      <c r="LHO40" s="863"/>
      <c r="LHP40" s="863"/>
      <c r="LHQ40" s="863"/>
      <c r="LHR40" s="863"/>
      <c r="LHS40" s="863"/>
      <c r="LHT40" s="863"/>
      <c r="LHU40" s="863"/>
      <c r="LHV40" s="863"/>
      <c r="LHW40" s="863"/>
      <c r="LHX40" s="863"/>
      <c r="LHY40" s="863"/>
      <c r="LHZ40" s="863"/>
      <c r="LIA40" s="863"/>
      <c r="LIB40" s="863"/>
      <c r="LIC40" s="863"/>
      <c r="LID40" s="863"/>
      <c r="LIE40" s="863"/>
      <c r="LIF40" s="863"/>
      <c r="LIG40" s="883"/>
      <c r="LIH40" s="883"/>
      <c r="LII40" s="883"/>
      <c r="LIJ40" s="883"/>
      <c r="LIK40" s="883"/>
      <c r="LIL40" s="883"/>
      <c r="LIM40" s="883"/>
      <c r="LIN40" s="883"/>
      <c r="LIO40" s="883"/>
      <c r="LIP40" s="863"/>
      <c r="LIQ40" s="863"/>
      <c r="LIR40" s="863"/>
      <c r="LIS40" s="863"/>
      <c r="LIT40" s="863"/>
      <c r="LIU40" s="863"/>
      <c r="LIV40" s="863"/>
      <c r="LIW40" s="863"/>
      <c r="LIX40" s="863"/>
      <c r="LIY40" s="863"/>
      <c r="LIZ40" s="863"/>
      <c r="LJA40" s="863"/>
      <c r="LJB40" s="863"/>
      <c r="LJC40" s="863"/>
      <c r="LJD40" s="863"/>
      <c r="LJE40" s="863"/>
      <c r="LJF40" s="863"/>
      <c r="LJG40" s="863"/>
      <c r="LJH40" s="863"/>
      <c r="LJI40" s="863"/>
      <c r="LJJ40" s="863"/>
      <c r="LJK40" s="863"/>
      <c r="LJL40" s="863"/>
      <c r="LJM40" s="883"/>
      <c r="LJN40" s="883"/>
      <c r="LJO40" s="883"/>
      <c r="LJP40" s="883"/>
      <c r="LJQ40" s="883"/>
      <c r="LJR40" s="883"/>
      <c r="LJS40" s="883"/>
      <c r="LJT40" s="883"/>
      <c r="LJU40" s="883"/>
      <c r="LJV40" s="863"/>
      <c r="LJW40" s="863"/>
      <c r="LJX40" s="863"/>
      <c r="LJY40" s="863"/>
      <c r="LJZ40" s="863"/>
      <c r="LKA40" s="863"/>
      <c r="LKB40" s="863"/>
      <c r="LKC40" s="863"/>
      <c r="LKD40" s="863"/>
      <c r="LKE40" s="863"/>
      <c r="LKF40" s="863"/>
      <c r="LKG40" s="863"/>
      <c r="LKH40" s="863"/>
      <c r="LKI40" s="863"/>
      <c r="LKJ40" s="863"/>
      <c r="LKK40" s="863"/>
      <c r="LKL40" s="863"/>
      <c r="LKM40" s="863"/>
      <c r="LKN40" s="863"/>
      <c r="LKO40" s="863"/>
      <c r="LKP40" s="863"/>
      <c r="LKQ40" s="863"/>
      <c r="LKR40" s="863"/>
      <c r="LKS40" s="883"/>
      <c r="LKT40" s="883"/>
      <c r="LKU40" s="883"/>
      <c r="LKV40" s="883"/>
      <c r="LKW40" s="883"/>
      <c r="LKX40" s="883"/>
      <c r="LKY40" s="883"/>
      <c r="LKZ40" s="883"/>
      <c r="LLA40" s="883"/>
      <c r="LLB40" s="863"/>
      <c r="LLC40" s="863"/>
      <c r="LLD40" s="863"/>
      <c r="LLE40" s="863"/>
      <c r="LLF40" s="863"/>
      <c r="LLG40" s="863"/>
      <c r="LLH40" s="863"/>
      <c r="LLI40" s="863"/>
      <c r="LLJ40" s="863"/>
      <c r="LLK40" s="863"/>
      <c r="LLL40" s="863"/>
      <c r="LLM40" s="863"/>
      <c r="LLN40" s="863"/>
      <c r="LLO40" s="863"/>
      <c r="LLP40" s="863"/>
      <c r="LLQ40" s="863"/>
      <c r="LLR40" s="863"/>
      <c r="LLS40" s="863"/>
      <c r="LLT40" s="863"/>
      <c r="LLU40" s="863"/>
      <c r="LLV40" s="863"/>
      <c r="LLW40" s="863"/>
      <c r="LLX40" s="863"/>
      <c r="LLY40" s="883"/>
      <c r="LLZ40" s="883"/>
      <c r="LMA40" s="883"/>
      <c r="LMB40" s="883"/>
      <c r="LMC40" s="883"/>
      <c r="LMD40" s="883"/>
      <c r="LME40" s="883"/>
      <c r="LMF40" s="883"/>
      <c r="LMG40" s="883"/>
      <c r="LMH40" s="863"/>
      <c r="LMI40" s="863"/>
      <c r="LMJ40" s="863"/>
      <c r="LMK40" s="863"/>
      <c r="LML40" s="863"/>
      <c r="LMM40" s="863"/>
      <c r="LMN40" s="863"/>
      <c r="LMO40" s="863"/>
      <c r="LMP40" s="863"/>
      <c r="LMQ40" s="863"/>
      <c r="LMR40" s="863"/>
      <c r="LMS40" s="863"/>
      <c r="LMT40" s="863"/>
      <c r="LMU40" s="863"/>
      <c r="LMV40" s="863"/>
      <c r="LMW40" s="863"/>
      <c r="LMX40" s="863"/>
      <c r="LMY40" s="863"/>
      <c r="LMZ40" s="863"/>
      <c r="LNA40" s="863"/>
      <c r="LNB40" s="863"/>
      <c r="LNC40" s="863"/>
      <c r="LND40" s="863"/>
      <c r="LNE40" s="883"/>
      <c r="LNF40" s="883"/>
      <c r="LNG40" s="883"/>
      <c r="LNH40" s="883"/>
      <c r="LNI40" s="883"/>
      <c r="LNJ40" s="883"/>
      <c r="LNK40" s="883"/>
      <c r="LNL40" s="883"/>
      <c r="LNM40" s="883"/>
      <c r="LNN40" s="863"/>
      <c r="LNO40" s="863"/>
      <c r="LNP40" s="863"/>
      <c r="LNQ40" s="863"/>
      <c r="LNR40" s="863"/>
      <c r="LNS40" s="863"/>
      <c r="LNT40" s="863"/>
      <c r="LNU40" s="863"/>
      <c r="LNV40" s="863"/>
      <c r="LNW40" s="863"/>
      <c r="LNX40" s="863"/>
      <c r="LNY40" s="863"/>
      <c r="LNZ40" s="863"/>
      <c r="LOA40" s="863"/>
      <c r="LOB40" s="863"/>
      <c r="LOC40" s="863"/>
      <c r="LOD40" s="863"/>
      <c r="LOE40" s="863"/>
      <c r="LOF40" s="863"/>
      <c r="LOG40" s="863"/>
      <c r="LOH40" s="863"/>
      <c r="LOI40" s="863"/>
      <c r="LOJ40" s="863"/>
      <c r="LOK40" s="883"/>
      <c r="LOL40" s="883"/>
      <c r="LOM40" s="883"/>
      <c r="LON40" s="883"/>
      <c r="LOO40" s="883"/>
      <c r="LOP40" s="883"/>
      <c r="LOQ40" s="883"/>
      <c r="LOR40" s="883"/>
      <c r="LOS40" s="883"/>
      <c r="LOT40" s="863"/>
      <c r="LOU40" s="863"/>
      <c r="LOV40" s="863"/>
      <c r="LOW40" s="863"/>
      <c r="LOX40" s="863"/>
      <c r="LOY40" s="863"/>
      <c r="LOZ40" s="863"/>
      <c r="LPA40" s="863"/>
      <c r="LPB40" s="863"/>
      <c r="LPC40" s="863"/>
      <c r="LPD40" s="863"/>
      <c r="LPE40" s="863"/>
      <c r="LPF40" s="863"/>
      <c r="LPG40" s="863"/>
      <c r="LPH40" s="863"/>
      <c r="LPI40" s="863"/>
      <c r="LPJ40" s="863"/>
      <c r="LPK40" s="863"/>
      <c r="LPL40" s="863"/>
      <c r="LPM40" s="863"/>
      <c r="LPN40" s="863"/>
      <c r="LPO40" s="863"/>
      <c r="LPP40" s="863"/>
      <c r="LPQ40" s="883"/>
      <c r="LPR40" s="883"/>
      <c r="LPS40" s="883"/>
      <c r="LPT40" s="883"/>
      <c r="LPU40" s="883"/>
      <c r="LPV40" s="883"/>
      <c r="LPW40" s="883"/>
      <c r="LPX40" s="883"/>
      <c r="LPY40" s="883"/>
      <c r="LPZ40" s="863"/>
      <c r="LQA40" s="863"/>
      <c r="LQB40" s="863"/>
      <c r="LQC40" s="863"/>
      <c r="LQD40" s="863"/>
      <c r="LQE40" s="863"/>
      <c r="LQF40" s="863"/>
      <c r="LQG40" s="863"/>
      <c r="LQH40" s="863"/>
      <c r="LQI40" s="863"/>
      <c r="LQJ40" s="863"/>
      <c r="LQK40" s="863"/>
      <c r="LQL40" s="863"/>
      <c r="LQM40" s="863"/>
      <c r="LQN40" s="863"/>
      <c r="LQO40" s="863"/>
      <c r="LQP40" s="863"/>
      <c r="LQQ40" s="863"/>
      <c r="LQR40" s="863"/>
      <c r="LQS40" s="863"/>
      <c r="LQT40" s="863"/>
      <c r="LQU40" s="863"/>
      <c r="LQV40" s="863"/>
      <c r="LQW40" s="883"/>
      <c r="LQX40" s="883"/>
      <c r="LQY40" s="883"/>
      <c r="LQZ40" s="883"/>
      <c r="LRA40" s="883"/>
      <c r="LRB40" s="883"/>
      <c r="LRC40" s="883"/>
      <c r="LRD40" s="883"/>
      <c r="LRE40" s="883"/>
      <c r="LRF40" s="863"/>
      <c r="LRG40" s="863"/>
      <c r="LRH40" s="863"/>
      <c r="LRI40" s="863"/>
      <c r="LRJ40" s="863"/>
      <c r="LRK40" s="863"/>
      <c r="LRL40" s="863"/>
      <c r="LRM40" s="863"/>
      <c r="LRN40" s="863"/>
      <c r="LRO40" s="863"/>
      <c r="LRP40" s="863"/>
      <c r="LRQ40" s="863"/>
      <c r="LRR40" s="863"/>
      <c r="LRS40" s="863"/>
      <c r="LRT40" s="863"/>
      <c r="LRU40" s="863"/>
      <c r="LRV40" s="863"/>
      <c r="LRW40" s="863"/>
      <c r="LRX40" s="863"/>
      <c r="LRY40" s="863"/>
      <c r="LRZ40" s="863"/>
      <c r="LSA40" s="863"/>
      <c r="LSB40" s="863"/>
      <c r="LSC40" s="883"/>
      <c r="LSD40" s="883"/>
      <c r="LSE40" s="883"/>
      <c r="LSF40" s="883"/>
      <c r="LSG40" s="883"/>
      <c r="LSH40" s="883"/>
      <c r="LSI40" s="883"/>
      <c r="LSJ40" s="883"/>
      <c r="LSK40" s="883"/>
      <c r="LSL40" s="863"/>
      <c r="LSM40" s="863"/>
      <c r="LSN40" s="863"/>
      <c r="LSO40" s="863"/>
      <c r="LSP40" s="863"/>
      <c r="LSQ40" s="863"/>
      <c r="LSR40" s="863"/>
      <c r="LSS40" s="863"/>
      <c r="LST40" s="863"/>
      <c r="LSU40" s="863"/>
      <c r="LSV40" s="863"/>
      <c r="LSW40" s="863"/>
      <c r="LSX40" s="863"/>
      <c r="LSY40" s="863"/>
      <c r="LSZ40" s="863"/>
      <c r="LTA40" s="863"/>
      <c r="LTB40" s="863"/>
      <c r="LTC40" s="863"/>
      <c r="LTD40" s="863"/>
      <c r="LTE40" s="863"/>
      <c r="LTF40" s="863"/>
      <c r="LTG40" s="863"/>
      <c r="LTH40" s="863"/>
      <c r="LTI40" s="883"/>
      <c r="LTJ40" s="883"/>
      <c r="LTK40" s="883"/>
      <c r="LTL40" s="883"/>
      <c r="LTM40" s="883"/>
      <c r="LTN40" s="883"/>
      <c r="LTO40" s="883"/>
      <c r="LTP40" s="883"/>
      <c r="LTQ40" s="883"/>
      <c r="LTR40" s="863"/>
      <c r="LTS40" s="863"/>
      <c r="LTT40" s="863"/>
      <c r="LTU40" s="863"/>
      <c r="LTV40" s="863"/>
      <c r="LTW40" s="863"/>
      <c r="LTX40" s="863"/>
      <c r="LTY40" s="863"/>
      <c r="LTZ40" s="863"/>
      <c r="LUA40" s="863"/>
      <c r="LUB40" s="863"/>
      <c r="LUC40" s="863"/>
      <c r="LUD40" s="863"/>
      <c r="LUE40" s="863"/>
      <c r="LUF40" s="863"/>
      <c r="LUG40" s="863"/>
      <c r="LUH40" s="863"/>
      <c r="LUI40" s="863"/>
      <c r="LUJ40" s="863"/>
      <c r="LUK40" s="863"/>
      <c r="LUL40" s="863"/>
      <c r="LUM40" s="863"/>
      <c r="LUN40" s="863"/>
      <c r="LUO40" s="883"/>
      <c r="LUP40" s="883"/>
      <c r="LUQ40" s="883"/>
      <c r="LUR40" s="883"/>
      <c r="LUS40" s="883"/>
      <c r="LUT40" s="883"/>
      <c r="LUU40" s="883"/>
      <c r="LUV40" s="883"/>
      <c r="LUW40" s="883"/>
      <c r="LUX40" s="863"/>
      <c r="LUY40" s="863"/>
      <c r="LUZ40" s="863"/>
      <c r="LVA40" s="863"/>
      <c r="LVB40" s="863"/>
      <c r="LVC40" s="863"/>
      <c r="LVD40" s="863"/>
      <c r="LVE40" s="863"/>
      <c r="LVF40" s="863"/>
      <c r="LVG40" s="863"/>
      <c r="LVH40" s="863"/>
      <c r="LVI40" s="863"/>
      <c r="LVJ40" s="863"/>
      <c r="LVK40" s="863"/>
      <c r="LVL40" s="863"/>
      <c r="LVM40" s="863"/>
      <c r="LVN40" s="863"/>
      <c r="LVO40" s="863"/>
      <c r="LVP40" s="863"/>
      <c r="LVQ40" s="863"/>
      <c r="LVR40" s="863"/>
      <c r="LVS40" s="863"/>
      <c r="LVT40" s="863"/>
      <c r="LVU40" s="883"/>
      <c r="LVV40" s="883"/>
      <c r="LVW40" s="883"/>
      <c r="LVX40" s="883"/>
      <c r="LVY40" s="883"/>
      <c r="LVZ40" s="883"/>
      <c r="LWA40" s="883"/>
      <c r="LWB40" s="883"/>
      <c r="LWC40" s="883"/>
      <c r="LWD40" s="863"/>
      <c r="LWE40" s="863"/>
      <c r="LWF40" s="863"/>
      <c r="LWG40" s="863"/>
      <c r="LWH40" s="863"/>
      <c r="LWI40" s="863"/>
      <c r="LWJ40" s="863"/>
      <c r="LWK40" s="863"/>
      <c r="LWL40" s="863"/>
      <c r="LWM40" s="863"/>
      <c r="LWN40" s="863"/>
      <c r="LWO40" s="863"/>
      <c r="LWP40" s="863"/>
      <c r="LWQ40" s="863"/>
      <c r="LWR40" s="863"/>
      <c r="LWS40" s="863"/>
      <c r="LWT40" s="863"/>
      <c r="LWU40" s="863"/>
      <c r="LWV40" s="863"/>
      <c r="LWW40" s="863"/>
      <c r="LWX40" s="863"/>
      <c r="LWY40" s="863"/>
      <c r="LWZ40" s="863"/>
      <c r="LXA40" s="883"/>
      <c r="LXB40" s="883"/>
      <c r="LXC40" s="883"/>
      <c r="LXD40" s="883"/>
      <c r="LXE40" s="883"/>
      <c r="LXF40" s="883"/>
      <c r="LXG40" s="883"/>
      <c r="LXH40" s="883"/>
      <c r="LXI40" s="883"/>
      <c r="LXJ40" s="863"/>
      <c r="LXK40" s="863"/>
      <c r="LXL40" s="863"/>
      <c r="LXM40" s="863"/>
      <c r="LXN40" s="863"/>
      <c r="LXO40" s="863"/>
      <c r="LXP40" s="863"/>
      <c r="LXQ40" s="863"/>
      <c r="LXR40" s="863"/>
      <c r="LXS40" s="863"/>
      <c r="LXT40" s="863"/>
      <c r="LXU40" s="863"/>
      <c r="LXV40" s="863"/>
      <c r="LXW40" s="863"/>
      <c r="LXX40" s="863"/>
      <c r="LXY40" s="863"/>
      <c r="LXZ40" s="863"/>
      <c r="LYA40" s="863"/>
      <c r="LYB40" s="863"/>
      <c r="LYC40" s="863"/>
      <c r="LYD40" s="863"/>
      <c r="LYE40" s="863"/>
      <c r="LYF40" s="863"/>
      <c r="LYG40" s="883"/>
      <c r="LYH40" s="883"/>
      <c r="LYI40" s="883"/>
      <c r="LYJ40" s="883"/>
      <c r="LYK40" s="883"/>
      <c r="LYL40" s="883"/>
      <c r="LYM40" s="883"/>
      <c r="LYN40" s="883"/>
      <c r="LYO40" s="883"/>
      <c r="LYP40" s="863"/>
      <c r="LYQ40" s="863"/>
      <c r="LYR40" s="863"/>
      <c r="LYS40" s="863"/>
      <c r="LYT40" s="863"/>
      <c r="LYU40" s="863"/>
      <c r="LYV40" s="863"/>
      <c r="LYW40" s="863"/>
      <c r="LYX40" s="863"/>
      <c r="LYY40" s="863"/>
      <c r="LYZ40" s="863"/>
      <c r="LZA40" s="863"/>
      <c r="LZB40" s="863"/>
      <c r="LZC40" s="863"/>
      <c r="LZD40" s="863"/>
      <c r="LZE40" s="863"/>
      <c r="LZF40" s="863"/>
      <c r="LZG40" s="863"/>
      <c r="LZH40" s="863"/>
      <c r="LZI40" s="863"/>
      <c r="LZJ40" s="863"/>
      <c r="LZK40" s="863"/>
      <c r="LZL40" s="863"/>
      <c r="LZM40" s="883"/>
      <c r="LZN40" s="883"/>
      <c r="LZO40" s="883"/>
      <c r="LZP40" s="883"/>
      <c r="LZQ40" s="883"/>
      <c r="LZR40" s="883"/>
      <c r="LZS40" s="883"/>
      <c r="LZT40" s="883"/>
      <c r="LZU40" s="883"/>
      <c r="LZV40" s="863"/>
      <c r="LZW40" s="863"/>
      <c r="LZX40" s="863"/>
      <c r="LZY40" s="863"/>
      <c r="LZZ40" s="863"/>
      <c r="MAA40" s="863"/>
      <c r="MAB40" s="863"/>
      <c r="MAC40" s="863"/>
      <c r="MAD40" s="863"/>
      <c r="MAE40" s="863"/>
      <c r="MAF40" s="863"/>
      <c r="MAG40" s="863"/>
      <c r="MAH40" s="863"/>
      <c r="MAI40" s="863"/>
      <c r="MAJ40" s="863"/>
      <c r="MAK40" s="863"/>
      <c r="MAL40" s="863"/>
      <c r="MAM40" s="863"/>
      <c r="MAN40" s="863"/>
      <c r="MAO40" s="863"/>
      <c r="MAP40" s="863"/>
      <c r="MAQ40" s="863"/>
      <c r="MAR40" s="863"/>
      <c r="MAS40" s="883"/>
      <c r="MAT40" s="883"/>
      <c r="MAU40" s="883"/>
      <c r="MAV40" s="883"/>
      <c r="MAW40" s="883"/>
      <c r="MAX40" s="883"/>
      <c r="MAY40" s="883"/>
      <c r="MAZ40" s="883"/>
      <c r="MBA40" s="883"/>
      <c r="MBB40" s="863"/>
      <c r="MBC40" s="863"/>
      <c r="MBD40" s="863"/>
      <c r="MBE40" s="863"/>
      <c r="MBF40" s="863"/>
      <c r="MBG40" s="863"/>
      <c r="MBH40" s="863"/>
      <c r="MBI40" s="863"/>
      <c r="MBJ40" s="863"/>
      <c r="MBK40" s="863"/>
      <c r="MBL40" s="863"/>
      <c r="MBM40" s="863"/>
      <c r="MBN40" s="863"/>
      <c r="MBO40" s="863"/>
      <c r="MBP40" s="863"/>
      <c r="MBQ40" s="863"/>
      <c r="MBR40" s="863"/>
      <c r="MBS40" s="863"/>
      <c r="MBT40" s="863"/>
      <c r="MBU40" s="863"/>
      <c r="MBV40" s="863"/>
      <c r="MBW40" s="863"/>
      <c r="MBX40" s="863"/>
      <c r="MBY40" s="883"/>
      <c r="MBZ40" s="883"/>
      <c r="MCA40" s="883"/>
      <c r="MCB40" s="883"/>
      <c r="MCC40" s="883"/>
      <c r="MCD40" s="883"/>
      <c r="MCE40" s="883"/>
      <c r="MCF40" s="883"/>
      <c r="MCG40" s="883"/>
      <c r="MCH40" s="863"/>
      <c r="MCI40" s="863"/>
      <c r="MCJ40" s="863"/>
      <c r="MCK40" s="863"/>
      <c r="MCL40" s="863"/>
      <c r="MCM40" s="863"/>
      <c r="MCN40" s="863"/>
      <c r="MCO40" s="863"/>
      <c r="MCP40" s="863"/>
      <c r="MCQ40" s="863"/>
      <c r="MCR40" s="863"/>
      <c r="MCS40" s="863"/>
      <c r="MCT40" s="863"/>
      <c r="MCU40" s="863"/>
      <c r="MCV40" s="863"/>
      <c r="MCW40" s="863"/>
      <c r="MCX40" s="863"/>
      <c r="MCY40" s="863"/>
      <c r="MCZ40" s="863"/>
      <c r="MDA40" s="863"/>
      <c r="MDB40" s="863"/>
      <c r="MDC40" s="863"/>
      <c r="MDD40" s="863"/>
      <c r="MDE40" s="883"/>
      <c r="MDF40" s="883"/>
      <c r="MDG40" s="883"/>
      <c r="MDH40" s="883"/>
      <c r="MDI40" s="883"/>
      <c r="MDJ40" s="883"/>
      <c r="MDK40" s="883"/>
      <c r="MDL40" s="883"/>
      <c r="MDM40" s="883"/>
      <c r="MDN40" s="863"/>
      <c r="MDO40" s="863"/>
      <c r="MDP40" s="863"/>
      <c r="MDQ40" s="863"/>
      <c r="MDR40" s="863"/>
      <c r="MDS40" s="863"/>
      <c r="MDT40" s="863"/>
      <c r="MDU40" s="863"/>
      <c r="MDV40" s="863"/>
      <c r="MDW40" s="863"/>
      <c r="MDX40" s="863"/>
      <c r="MDY40" s="863"/>
      <c r="MDZ40" s="863"/>
      <c r="MEA40" s="863"/>
      <c r="MEB40" s="863"/>
      <c r="MEC40" s="863"/>
      <c r="MED40" s="863"/>
      <c r="MEE40" s="863"/>
      <c r="MEF40" s="863"/>
      <c r="MEG40" s="863"/>
      <c r="MEH40" s="863"/>
      <c r="MEI40" s="863"/>
      <c r="MEJ40" s="863"/>
      <c r="MEK40" s="883"/>
      <c r="MEL40" s="883"/>
      <c r="MEM40" s="883"/>
      <c r="MEN40" s="883"/>
      <c r="MEO40" s="883"/>
      <c r="MEP40" s="883"/>
      <c r="MEQ40" s="883"/>
      <c r="MER40" s="883"/>
      <c r="MES40" s="883"/>
      <c r="MET40" s="863"/>
      <c r="MEU40" s="863"/>
      <c r="MEV40" s="863"/>
      <c r="MEW40" s="863"/>
      <c r="MEX40" s="863"/>
      <c r="MEY40" s="863"/>
      <c r="MEZ40" s="863"/>
      <c r="MFA40" s="863"/>
      <c r="MFB40" s="863"/>
      <c r="MFC40" s="863"/>
      <c r="MFD40" s="863"/>
      <c r="MFE40" s="863"/>
      <c r="MFF40" s="863"/>
      <c r="MFG40" s="863"/>
      <c r="MFH40" s="863"/>
      <c r="MFI40" s="863"/>
      <c r="MFJ40" s="863"/>
      <c r="MFK40" s="863"/>
      <c r="MFL40" s="863"/>
      <c r="MFM40" s="863"/>
      <c r="MFN40" s="863"/>
      <c r="MFO40" s="863"/>
      <c r="MFP40" s="863"/>
      <c r="MFQ40" s="883"/>
      <c r="MFR40" s="883"/>
      <c r="MFS40" s="883"/>
      <c r="MFT40" s="883"/>
      <c r="MFU40" s="883"/>
      <c r="MFV40" s="883"/>
      <c r="MFW40" s="883"/>
      <c r="MFX40" s="883"/>
      <c r="MFY40" s="883"/>
      <c r="MFZ40" s="863"/>
      <c r="MGA40" s="863"/>
      <c r="MGB40" s="863"/>
      <c r="MGC40" s="863"/>
      <c r="MGD40" s="863"/>
      <c r="MGE40" s="863"/>
      <c r="MGF40" s="863"/>
      <c r="MGG40" s="863"/>
      <c r="MGH40" s="863"/>
      <c r="MGI40" s="863"/>
      <c r="MGJ40" s="863"/>
      <c r="MGK40" s="863"/>
      <c r="MGL40" s="863"/>
      <c r="MGM40" s="863"/>
      <c r="MGN40" s="863"/>
      <c r="MGO40" s="863"/>
      <c r="MGP40" s="863"/>
      <c r="MGQ40" s="863"/>
      <c r="MGR40" s="863"/>
      <c r="MGS40" s="863"/>
      <c r="MGT40" s="863"/>
      <c r="MGU40" s="863"/>
      <c r="MGV40" s="863"/>
      <c r="MGW40" s="883"/>
      <c r="MGX40" s="883"/>
      <c r="MGY40" s="883"/>
      <c r="MGZ40" s="883"/>
      <c r="MHA40" s="883"/>
      <c r="MHB40" s="883"/>
      <c r="MHC40" s="883"/>
      <c r="MHD40" s="883"/>
      <c r="MHE40" s="883"/>
      <c r="MHF40" s="863"/>
      <c r="MHG40" s="863"/>
      <c r="MHH40" s="863"/>
      <c r="MHI40" s="863"/>
      <c r="MHJ40" s="863"/>
      <c r="MHK40" s="863"/>
      <c r="MHL40" s="863"/>
      <c r="MHM40" s="863"/>
      <c r="MHN40" s="863"/>
      <c r="MHO40" s="863"/>
      <c r="MHP40" s="863"/>
      <c r="MHQ40" s="863"/>
      <c r="MHR40" s="863"/>
      <c r="MHS40" s="863"/>
      <c r="MHT40" s="863"/>
      <c r="MHU40" s="863"/>
      <c r="MHV40" s="863"/>
      <c r="MHW40" s="863"/>
      <c r="MHX40" s="863"/>
      <c r="MHY40" s="863"/>
      <c r="MHZ40" s="863"/>
      <c r="MIA40" s="863"/>
      <c r="MIB40" s="863"/>
      <c r="MIC40" s="883"/>
      <c r="MID40" s="883"/>
      <c r="MIE40" s="883"/>
      <c r="MIF40" s="883"/>
      <c r="MIG40" s="883"/>
      <c r="MIH40" s="883"/>
      <c r="MII40" s="883"/>
      <c r="MIJ40" s="883"/>
      <c r="MIK40" s="883"/>
      <c r="MIL40" s="863"/>
      <c r="MIM40" s="863"/>
      <c r="MIN40" s="863"/>
      <c r="MIO40" s="863"/>
      <c r="MIP40" s="863"/>
      <c r="MIQ40" s="863"/>
      <c r="MIR40" s="863"/>
      <c r="MIS40" s="863"/>
      <c r="MIT40" s="863"/>
      <c r="MIU40" s="863"/>
      <c r="MIV40" s="863"/>
      <c r="MIW40" s="863"/>
      <c r="MIX40" s="863"/>
      <c r="MIY40" s="863"/>
      <c r="MIZ40" s="863"/>
      <c r="MJA40" s="863"/>
      <c r="MJB40" s="863"/>
      <c r="MJC40" s="863"/>
      <c r="MJD40" s="863"/>
      <c r="MJE40" s="863"/>
      <c r="MJF40" s="863"/>
      <c r="MJG40" s="863"/>
      <c r="MJH40" s="863"/>
      <c r="MJI40" s="883"/>
      <c r="MJJ40" s="883"/>
      <c r="MJK40" s="883"/>
      <c r="MJL40" s="883"/>
      <c r="MJM40" s="883"/>
      <c r="MJN40" s="883"/>
      <c r="MJO40" s="883"/>
      <c r="MJP40" s="883"/>
      <c r="MJQ40" s="883"/>
      <c r="MJR40" s="863"/>
      <c r="MJS40" s="863"/>
      <c r="MJT40" s="863"/>
      <c r="MJU40" s="863"/>
      <c r="MJV40" s="863"/>
      <c r="MJW40" s="863"/>
      <c r="MJX40" s="863"/>
      <c r="MJY40" s="863"/>
      <c r="MJZ40" s="863"/>
      <c r="MKA40" s="863"/>
      <c r="MKB40" s="863"/>
      <c r="MKC40" s="863"/>
      <c r="MKD40" s="863"/>
      <c r="MKE40" s="863"/>
      <c r="MKF40" s="863"/>
      <c r="MKG40" s="863"/>
      <c r="MKH40" s="863"/>
      <c r="MKI40" s="863"/>
      <c r="MKJ40" s="863"/>
      <c r="MKK40" s="863"/>
      <c r="MKL40" s="863"/>
      <c r="MKM40" s="863"/>
      <c r="MKN40" s="863"/>
      <c r="MKO40" s="883"/>
      <c r="MKP40" s="883"/>
      <c r="MKQ40" s="883"/>
      <c r="MKR40" s="883"/>
      <c r="MKS40" s="883"/>
      <c r="MKT40" s="883"/>
      <c r="MKU40" s="883"/>
      <c r="MKV40" s="883"/>
      <c r="MKW40" s="883"/>
      <c r="MKX40" s="863"/>
      <c r="MKY40" s="863"/>
      <c r="MKZ40" s="863"/>
      <c r="MLA40" s="863"/>
      <c r="MLB40" s="863"/>
      <c r="MLC40" s="863"/>
      <c r="MLD40" s="863"/>
      <c r="MLE40" s="863"/>
      <c r="MLF40" s="863"/>
      <c r="MLG40" s="863"/>
      <c r="MLH40" s="863"/>
      <c r="MLI40" s="863"/>
      <c r="MLJ40" s="863"/>
      <c r="MLK40" s="863"/>
      <c r="MLL40" s="863"/>
      <c r="MLM40" s="863"/>
      <c r="MLN40" s="863"/>
      <c r="MLO40" s="863"/>
      <c r="MLP40" s="863"/>
      <c r="MLQ40" s="863"/>
      <c r="MLR40" s="863"/>
      <c r="MLS40" s="863"/>
      <c r="MLT40" s="863"/>
      <c r="MLU40" s="883"/>
      <c r="MLV40" s="883"/>
      <c r="MLW40" s="883"/>
      <c r="MLX40" s="883"/>
      <c r="MLY40" s="883"/>
      <c r="MLZ40" s="883"/>
      <c r="MMA40" s="883"/>
      <c r="MMB40" s="883"/>
      <c r="MMC40" s="883"/>
      <c r="MMD40" s="863"/>
      <c r="MME40" s="863"/>
      <c r="MMF40" s="863"/>
      <c r="MMG40" s="863"/>
      <c r="MMH40" s="863"/>
      <c r="MMI40" s="863"/>
      <c r="MMJ40" s="863"/>
      <c r="MMK40" s="863"/>
      <c r="MML40" s="863"/>
      <c r="MMM40" s="863"/>
      <c r="MMN40" s="863"/>
      <c r="MMO40" s="863"/>
      <c r="MMP40" s="863"/>
      <c r="MMQ40" s="863"/>
      <c r="MMR40" s="863"/>
      <c r="MMS40" s="863"/>
      <c r="MMT40" s="863"/>
      <c r="MMU40" s="863"/>
      <c r="MMV40" s="863"/>
      <c r="MMW40" s="863"/>
      <c r="MMX40" s="863"/>
      <c r="MMY40" s="863"/>
      <c r="MMZ40" s="863"/>
      <c r="MNA40" s="883"/>
      <c r="MNB40" s="883"/>
      <c r="MNC40" s="883"/>
      <c r="MND40" s="883"/>
      <c r="MNE40" s="883"/>
      <c r="MNF40" s="883"/>
      <c r="MNG40" s="883"/>
      <c r="MNH40" s="883"/>
      <c r="MNI40" s="883"/>
      <c r="MNJ40" s="863"/>
      <c r="MNK40" s="863"/>
      <c r="MNL40" s="863"/>
      <c r="MNM40" s="863"/>
      <c r="MNN40" s="863"/>
      <c r="MNO40" s="863"/>
      <c r="MNP40" s="863"/>
      <c r="MNQ40" s="863"/>
      <c r="MNR40" s="863"/>
      <c r="MNS40" s="863"/>
      <c r="MNT40" s="863"/>
      <c r="MNU40" s="863"/>
      <c r="MNV40" s="863"/>
      <c r="MNW40" s="863"/>
      <c r="MNX40" s="863"/>
      <c r="MNY40" s="863"/>
      <c r="MNZ40" s="863"/>
      <c r="MOA40" s="863"/>
      <c r="MOB40" s="863"/>
      <c r="MOC40" s="863"/>
      <c r="MOD40" s="863"/>
      <c r="MOE40" s="863"/>
      <c r="MOF40" s="863"/>
      <c r="MOG40" s="883"/>
      <c r="MOH40" s="883"/>
      <c r="MOI40" s="883"/>
      <c r="MOJ40" s="883"/>
      <c r="MOK40" s="883"/>
      <c r="MOL40" s="883"/>
      <c r="MOM40" s="883"/>
      <c r="MON40" s="883"/>
      <c r="MOO40" s="883"/>
      <c r="MOP40" s="863"/>
      <c r="MOQ40" s="863"/>
      <c r="MOR40" s="863"/>
      <c r="MOS40" s="863"/>
      <c r="MOT40" s="863"/>
      <c r="MOU40" s="863"/>
      <c r="MOV40" s="863"/>
      <c r="MOW40" s="863"/>
      <c r="MOX40" s="863"/>
      <c r="MOY40" s="863"/>
      <c r="MOZ40" s="863"/>
      <c r="MPA40" s="863"/>
      <c r="MPB40" s="863"/>
      <c r="MPC40" s="863"/>
      <c r="MPD40" s="863"/>
      <c r="MPE40" s="863"/>
      <c r="MPF40" s="863"/>
      <c r="MPG40" s="863"/>
      <c r="MPH40" s="863"/>
      <c r="MPI40" s="863"/>
      <c r="MPJ40" s="863"/>
      <c r="MPK40" s="863"/>
      <c r="MPL40" s="863"/>
      <c r="MPM40" s="883"/>
      <c r="MPN40" s="883"/>
      <c r="MPO40" s="883"/>
      <c r="MPP40" s="883"/>
      <c r="MPQ40" s="883"/>
      <c r="MPR40" s="883"/>
      <c r="MPS40" s="883"/>
      <c r="MPT40" s="883"/>
      <c r="MPU40" s="883"/>
      <c r="MPV40" s="863"/>
      <c r="MPW40" s="863"/>
      <c r="MPX40" s="863"/>
      <c r="MPY40" s="863"/>
      <c r="MPZ40" s="863"/>
      <c r="MQA40" s="863"/>
      <c r="MQB40" s="863"/>
      <c r="MQC40" s="863"/>
      <c r="MQD40" s="863"/>
      <c r="MQE40" s="863"/>
      <c r="MQF40" s="863"/>
      <c r="MQG40" s="863"/>
      <c r="MQH40" s="863"/>
      <c r="MQI40" s="863"/>
      <c r="MQJ40" s="863"/>
      <c r="MQK40" s="863"/>
      <c r="MQL40" s="863"/>
      <c r="MQM40" s="863"/>
      <c r="MQN40" s="863"/>
      <c r="MQO40" s="863"/>
      <c r="MQP40" s="863"/>
      <c r="MQQ40" s="863"/>
      <c r="MQR40" s="863"/>
      <c r="MQS40" s="883"/>
      <c r="MQT40" s="883"/>
      <c r="MQU40" s="883"/>
      <c r="MQV40" s="883"/>
      <c r="MQW40" s="883"/>
      <c r="MQX40" s="883"/>
      <c r="MQY40" s="883"/>
      <c r="MQZ40" s="883"/>
      <c r="MRA40" s="883"/>
      <c r="MRB40" s="863"/>
      <c r="MRC40" s="863"/>
      <c r="MRD40" s="863"/>
      <c r="MRE40" s="863"/>
      <c r="MRF40" s="863"/>
      <c r="MRG40" s="863"/>
      <c r="MRH40" s="863"/>
      <c r="MRI40" s="863"/>
      <c r="MRJ40" s="863"/>
      <c r="MRK40" s="863"/>
      <c r="MRL40" s="863"/>
      <c r="MRM40" s="863"/>
      <c r="MRN40" s="863"/>
      <c r="MRO40" s="863"/>
      <c r="MRP40" s="863"/>
      <c r="MRQ40" s="863"/>
      <c r="MRR40" s="863"/>
      <c r="MRS40" s="863"/>
      <c r="MRT40" s="863"/>
      <c r="MRU40" s="863"/>
      <c r="MRV40" s="863"/>
      <c r="MRW40" s="863"/>
      <c r="MRX40" s="863"/>
      <c r="MRY40" s="883"/>
      <c r="MRZ40" s="883"/>
      <c r="MSA40" s="883"/>
      <c r="MSB40" s="883"/>
      <c r="MSC40" s="883"/>
      <c r="MSD40" s="883"/>
      <c r="MSE40" s="883"/>
      <c r="MSF40" s="883"/>
      <c r="MSG40" s="883"/>
      <c r="MSH40" s="863"/>
      <c r="MSI40" s="863"/>
      <c r="MSJ40" s="863"/>
      <c r="MSK40" s="863"/>
      <c r="MSL40" s="863"/>
      <c r="MSM40" s="863"/>
      <c r="MSN40" s="863"/>
      <c r="MSO40" s="863"/>
      <c r="MSP40" s="863"/>
      <c r="MSQ40" s="863"/>
      <c r="MSR40" s="863"/>
      <c r="MSS40" s="863"/>
      <c r="MST40" s="863"/>
      <c r="MSU40" s="863"/>
      <c r="MSV40" s="863"/>
      <c r="MSW40" s="863"/>
      <c r="MSX40" s="863"/>
      <c r="MSY40" s="863"/>
      <c r="MSZ40" s="863"/>
      <c r="MTA40" s="863"/>
      <c r="MTB40" s="863"/>
      <c r="MTC40" s="863"/>
      <c r="MTD40" s="863"/>
      <c r="MTE40" s="883"/>
      <c r="MTF40" s="883"/>
      <c r="MTG40" s="883"/>
      <c r="MTH40" s="883"/>
      <c r="MTI40" s="883"/>
      <c r="MTJ40" s="883"/>
      <c r="MTK40" s="883"/>
      <c r="MTL40" s="883"/>
      <c r="MTM40" s="883"/>
      <c r="MTN40" s="863"/>
      <c r="MTO40" s="863"/>
      <c r="MTP40" s="863"/>
      <c r="MTQ40" s="863"/>
      <c r="MTR40" s="863"/>
      <c r="MTS40" s="863"/>
      <c r="MTT40" s="863"/>
      <c r="MTU40" s="863"/>
      <c r="MTV40" s="863"/>
      <c r="MTW40" s="863"/>
      <c r="MTX40" s="863"/>
      <c r="MTY40" s="863"/>
      <c r="MTZ40" s="863"/>
      <c r="MUA40" s="863"/>
      <c r="MUB40" s="863"/>
      <c r="MUC40" s="863"/>
      <c r="MUD40" s="863"/>
      <c r="MUE40" s="863"/>
      <c r="MUF40" s="863"/>
      <c r="MUG40" s="863"/>
      <c r="MUH40" s="863"/>
      <c r="MUI40" s="863"/>
      <c r="MUJ40" s="863"/>
      <c r="MUK40" s="883"/>
      <c r="MUL40" s="883"/>
      <c r="MUM40" s="883"/>
      <c r="MUN40" s="883"/>
      <c r="MUO40" s="883"/>
      <c r="MUP40" s="883"/>
      <c r="MUQ40" s="883"/>
      <c r="MUR40" s="883"/>
      <c r="MUS40" s="883"/>
      <c r="MUT40" s="863"/>
      <c r="MUU40" s="863"/>
      <c r="MUV40" s="863"/>
      <c r="MUW40" s="863"/>
      <c r="MUX40" s="863"/>
      <c r="MUY40" s="863"/>
      <c r="MUZ40" s="863"/>
      <c r="MVA40" s="863"/>
      <c r="MVB40" s="863"/>
      <c r="MVC40" s="863"/>
      <c r="MVD40" s="863"/>
      <c r="MVE40" s="863"/>
      <c r="MVF40" s="863"/>
      <c r="MVG40" s="863"/>
      <c r="MVH40" s="863"/>
      <c r="MVI40" s="863"/>
      <c r="MVJ40" s="863"/>
      <c r="MVK40" s="863"/>
      <c r="MVL40" s="863"/>
      <c r="MVM40" s="863"/>
      <c r="MVN40" s="863"/>
      <c r="MVO40" s="863"/>
      <c r="MVP40" s="863"/>
      <c r="MVQ40" s="883"/>
      <c r="MVR40" s="883"/>
      <c r="MVS40" s="883"/>
      <c r="MVT40" s="883"/>
      <c r="MVU40" s="883"/>
      <c r="MVV40" s="883"/>
      <c r="MVW40" s="883"/>
      <c r="MVX40" s="883"/>
      <c r="MVY40" s="883"/>
      <c r="MVZ40" s="863"/>
      <c r="MWA40" s="863"/>
      <c r="MWB40" s="863"/>
      <c r="MWC40" s="863"/>
      <c r="MWD40" s="863"/>
      <c r="MWE40" s="863"/>
      <c r="MWF40" s="863"/>
      <c r="MWG40" s="863"/>
      <c r="MWH40" s="863"/>
      <c r="MWI40" s="863"/>
      <c r="MWJ40" s="863"/>
      <c r="MWK40" s="863"/>
      <c r="MWL40" s="863"/>
      <c r="MWM40" s="863"/>
      <c r="MWN40" s="863"/>
      <c r="MWO40" s="863"/>
      <c r="MWP40" s="863"/>
      <c r="MWQ40" s="863"/>
      <c r="MWR40" s="863"/>
      <c r="MWS40" s="863"/>
      <c r="MWT40" s="863"/>
      <c r="MWU40" s="863"/>
      <c r="MWV40" s="863"/>
      <c r="MWW40" s="883"/>
      <c r="MWX40" s="883"/>
      <c r="MWY40" s="883"/>
      <c r="MWZ40" s="883"/>
      <c r="MXA40" s="883"/>
      <c r="MXB40" s="883"/>
      <c r="MXC40" s="883"/>
      <c r="MXD40" s="883"/>
      <c r="MXE40" s="883"/>
      <c r="MXF40" s="863"/>
      <c r="MXG40" s="863"/>
      <c r="MXH40" s="863"/>
      <c r="MXI40" s="863"/>
      <c r="MXJ40" s="863"/>
      <c r="MXK40" s="863"/>
      <c r="MXL40" s="863"/>
      <c r="MXM40" s="863"/>
      <c r="MXN40" s="863"/>
      <c r="MXO40" s="863"/>
      <c r="MXP40" s="863"/>
      <c r="MXQ40" s="863"/>
      <c r="MXR40" s="863"/>
      <c r="MXS40" s="863"/>
      <c r="MXT40" s="863"/>
      <c r="MXU40" s="863"/>
      <c r="MXV40" s="863"/>
      <c r="MXW40" s="863"/>
      <c r="MXX40" s="863"/>
      <c r="MXY40" s="863"/>
      <c r="MXZ40" s="863"/>
      <c r="MYA40" s="863"/>
      <c r="MYB40" s="863"/>
      <c r="MYC40" s="883"/>
      <c r="MYD40" s="883"/>
      <c r="MYE40" s="883"/>
      <c r="MYF40" s="883"/>
      <c r="MYG40" s="883"/>
      <c r="MYH40" s="883"/>
      <c r="MYI40" s="883"/>
      <c r="MYJ40" s="883"/>
      <c r="MYK40" s="883"/>
      <c r="MYL40" s="863"/>
      <c r="MYM40" s="863"/>
      <c r="MYN40" s="863"/>
      <c r="MYO40" s="863"/>
      <c r="MYP40" s="863"/>
      <c r="MYQ40" s="863"/>
      <c r="MYR40" s="863"/>
      <c r="MYS40" s="863"/>
      <c r="MYT40" s="863"/>
      <c r="MYU40" s="863"/>
      <c r="MYV40" s="863"/>
      <c r="MYW40" s="863"/>
      <c r="MYX40" s="863"/>
      <c r="MYY40" s="863"/>
      <c r="MYZ40" s="863"/>
      <c r="MZA40" s="863"/>
      <c r="MZB40" s="863"/>
      <c r="MZC40" s="863"/>
      <c r="MZD40" s="863"/>
      <c r="MZE40" s="863"/>
      <c r="MZF40" s="863"/>
      <c r="MZG40" s="863"/>
      <c r="MZH40" s="863"/>
      <c r="MZI40" s="883"/>
      <c r="MZJ40" s="883"/>
      <c r="MZK40" s="883"/>
      <c r="MZL40" s="883"/>
      <c r="MZM40" s="883"/>
      <c r="MZN40" s="883"/>
      <c r="MZO40" s="883"/>
      <c r="MZP40" s="883"/>
      <c r="MZQ40" s="883"/>
      <c r="MZR40" s="863"/>
      <c r="MZS40" s="863"/>
      <c r="MZT40" s="863"/>
      <c r="MZU40" s="863"/>
      <c r="MZV40" s="863"/>
      <c r="MZW40" s="863"/>
      <c r="MZX40" s="863"/>
      <c r="MZY40" s="863"/>
      <c r="MZZ40" s="863"/>
      <c r="NAA40" s="863"/>
      <c r="NAB40" s="863"/>
      <c r="NAC40" s="863"/>
      <c r="NAD40" s="863"/>
      <c r="NAE40" s="863"/>
      <c r="NAF40" s="863"/>
      <c r="NAG40" s="863"/>
      <c r="NAH40" s="863"/>
      <c r="NAI40" s="863"/>
      <c r="NAJ40" s="863"/>
      <c r="NAK40" s="863"/>
      <c r="NAL40" s="863"/>
      <c r="NAM40" s="863"/>
      <c r="NAN40" s="863"/>
      <c r="NAO40" s="883"/>
      <c r="NAP40" s="883"/>
      <c r="NAQ40" s="883"/>
      <c r="NAR40" s="883"/>
      <c r="NAS40" s="883"/>
      <c r="NAT40" s="883"/>
      <c r="NAU40" s="883"/>
      <c r="NAV40" s="883"/>
      <c r="NAW40" s="883"/>
      <c r="NAX40" s="863"/>
      <c r="NAY40" s="863"/>
      <c r="NAZ40" s="863"/>
      <c r="NBA40" s="863"/>
      <c r="NBB40" s="863"/>
      <c r="NBC40" s="863"/>
      <c r="NBD40" s="863"/>
      <c r="NBE40" s="863"/>
      <c r="NBF40" s="863"/>
      <c r="NBG40" s="863"/>
      <c r="NBH40" s="863"/>
      <c r="NBI40" s="863"/>
      <c r="NBJ40" s="863"/>
      <c r="NBK40" s="863"/>
      <c r="NBL40" s="863"/>
      <c r="NBM40" s="863"/>
      <c r="NBN40" s="863"/>
      <c r="NBO40" s="863"/>
      <c r="NBP40" s="863"/>
      <c r="NBQ40" s="863"/>
      <c r="NBR40" s="863"/>
      <c r="NBS40" s="863"/>
      <c r="NBT40" s="863"/>
      <c r="NBU40" s="883"/>
      <c r="NBV40" s="883"/>
      <c r="NBW40" s="883"/>
      <c r="NBX40" s="883"/>
      <c r="NBY40" s="883"/>
      <c r="NBZ40" s="883"/>
      <c r="NCA40" s="883"/>
      <c r="NCB40" s="883"/>
      <c r="NCC40" s="883"/>
      <c r="NCD40" s="863"/>
      <c r="NCE40" s="863"/>
      <c r="NCF40" s="863"/>
      <c r="NCG40" s="863"/>
      <c r="NCH40" s="863"/>
      <c r="NCI40" s="863"/>
      <c r="NCJ40" s="863"/>
      <c r="NCK40" s="863"/>
      <c r="NCL40" s="863"/>
      <c r="NCM40" s="863"/>
      <c r="NCN40" s="863"/>
      <c r="NCO40" s="863"/>
      <c r="NCP40" s="863"/>
      <c r="NCQ40" s="863"/>
      <c r="NCR40" s="863"/>
      <c r="NCS40" s="863"/>
      <c r="NCT40" s="863"/>
      <c r="NCU40" s="863"/>
      <c r="NCV40" s="863"/>
      <c r="NCW40" s="863"/>
      <c r="NCX40" s="863"/>
      <c r="NCY40" s="863"/>
      <c r="NCZ40" s="863"/>
      <c r="NDA40" s="883"/>
      <c r="NDB40" s="883"/>
      <c r="NDC40" s="883"/>
      <c r="NDD40" s="883"/>
      <c r="NDE40" s="883"/>
      <c r="NDF40" s="883"/>
      <c r="NDG40" s="883"/>
      <c r="NDH40" s="883"/>
      <c r="NDI40" s="883"/>
      <c r="NDJ40" s="863"/>
      <c r="NDK40" s="863"/>
      <c r="NDL40" s="863"/>
      <c r="NDM40" s="863"/>
      <c r="NDN40" s="863"/>
      <c r="NDO40" s="863"/>
      <c r="NDP40" s="863"/>
      <c r="NDQ40" s="863"/>
      <c r="NDR40" s="863"/>
      <c r="NDS40" s="863"/>
      <c r="NDT40" s="863"/>
      <c r="NDU40" s="863"/>
      <c r="NDV40" s="863"/>
      <c r="NDW40" s="863"/>
      <c r="NDX40" s="863"/>
      <c r="NDY40" s="863"/>
      <c r="NDZ40" s="863"/>
      <c r="NEA40" s="863"/>
      <c r="NEB40" s="863"/>
      <c r="NEC40" s="863"/>
      <c r="NED40" s="863"/>
      <c r="NEE40" s="863"/>
      <c r="NEF40" s="863"/>
      <c r="NEG40" s="883"/>
      <c r="NEH40" s="883"/>
      <c r="NEI40" s="883"/>
      <c r="NEJ40" s="883"/>
      <c r="NEK40" s="883"/>
      <c r="NEL40" s="883"/>
      <c r="NEM40" s="883"/>
      <c r="NEN40" s="883"/>
      <c r="NEO40" s="883"/>
      <c r="NEP40" s="863"/>
      <c r="NEQ40" s="863"/>
      <c r="NER40" s="863"/>
      <c r="NES40" s="863"/>
      <c r="NET40" s="863"/>
      <c r="NEU40" s="863"/>
      <c r="NEV40" s="863"/>
      <c r="NEW40" s="863"/>
      <c r="NEX40" s="863"/>
      <c r="NEY40" s="863"/>
      <c r="NEZ40" s="863"/>
      <c r="NFA40" s="863"/>
      <c r="NFB40" s="863"/>
      <c r="NFC40" s="863"/>
      <c r="NFD40" s="863"/>
      <c r="NFE40" s="863"/>
      <c r="NFF40" s="863"/>
      <c r="NFG40" s="863"/>
      <c r="NFH40" s="863"/>
      <c r="NFI40" s="863"/>
      <c r="NFJ40" s="863"/>
      <c r="NFK40" s="863"/>
      <c r="NFL40" s="863"/>
      <c r="NFM40" s="883"/>
      <c r="NFN40" s="883"/>
      <c r="NFO40" s="883"/>
      <c r="NFP40" s="883"/>
      <c r="NFQ40" s="883"/>
      <c r="NFR40" s="883"/>
      <c r="NFS40" s="883"/>
      <c r="NFT40" s="883"/>
      <c r="NFU40" s="883"/>
      <c r="NFV40" s="863"/>
      <c r="NFW40" s="863"/>
      <c r="NFX40" s="863"/>
      <c r="NFY40" s="863"/>
      <c r="NFZ40" s="863"/>
      <c r="NGA40" s="863"/>
      <c r="NGB40" s="863"/>
      <c r="NGC40" s="863"/>
      <c r="NGD40" s="863"/>
      <c r="NGE40" s="863"/>
      <c r="NGF40" s="863"/>
      <c r="NGG40" s="863"/>
      <c r="NGH40" s="863"/>
      <c r="NGI40" s="863"/>
      <c r="NGJ40" s="863"/>
      <c r="NGK40" s="863"/>
      <c r="NGL40" s="863"/>
      <c r="NGM40" s="863"/>
      <c r="NGN40" s="863"/>
      <c r="NGO40" s="863"/>
      <c r="NGP40" s="863"/>
      <c r="NGQ40" s="863"/>
      <c r="NGR40" s="863"/>
      <c r="NGS40" s="883"/>
      <c r="NGT40" s="883"/>
      <c r="NGU40" s="883"/>
      <c r="NGV40" s="883"/>
      <c r="NGW40" s="883"/>
      <c r="NGX40" s="883"/>
      <c r="NGY40" s="883"/>
      <c r="NGZ40" s="883"/>
      <c r="NHA40" s="883"/>
      <c r="NHB40" s="863"/>
      <c r="NHC40" s="863"/>
      <c r="NHD40" s="863"/>
      <c r="NHE40" s="863"/>
      <c r="NHF40" s="863"/>
      <c r="NHG40" s="863"/>
      <c r="NHH40" s="863"/>
      <c r="NHI40" s="863"/>
      <c r="NHJ40" s="863"/>
      <c r="NHK40" s="863"/>
      <c r="NHL40" s="863"/>
      <c r="NHM40" s="863"/>
      <c r="NHN40" s="863"/>
      <c r="NHO40" s="863"/>
      <c r="NHP40" s="863"/>
      <c r="NHQ40" s="863"/>
      <c r="NHR40" s="863"/>
      <c r="NHS40" s="863"/>
      <c r="NHT40" s="863"/>
      <c r="NHU40" s="863"/>
      <c r="NHV40" s="863"/>
      <c r="NHW40" s="863"/>
      <c r="NHX40" s="863"/>
      <c r="NHY40" s="883"/>
      <c r="NHZ40" s="883"/>
      <c r="NIA40" s="883"/>
      <c r="NIB40" s="883"/>
      <c r="NIC40" s="883"/>
      <c r="NID40" s="883"/>
      <c r="NIE40" s="883"/>
      <c r="NIF40" s="883"/>
      <c r="NIG40" s="883"/>
      <c r="NIH40" s="863"/>
      <c r="NII40" s="863"/>
      <c r="NIJ40" s="863"/>
      <c r="NIK40" s="863"/>
      <c r="NIL40" s="863"/>
      <c r="NIM40" s="863"/>
      <c r="NIN40" s="863"/>
      <c r="NIO40" s="863"/>
      <c r="NIP40" s="863"/>
      <c r="NIQ40" s="863"/>
      <c r="NIR40" s="863"/>
      <c r="NIS40" s="863"/>
      <c r="NIT40" s="863"/>
      <c r="NIU40" s="863"/>
      <c r="NIV40" s="863"/>
      <c r="NIW40" s="863"/>
      <c r="NIX40" s="863"/>
      <c r="NIY40" s="863"/>
      <c r="NIZ40" s="863"/>
      <c r="NJA40" s="863"/>
      <c r="NJB40" s="863"/>
      <c r="NJC40" s="863"/>
      <c r="NJD40" s="863"/>
      <c r="NJE40" s="883"/>
      <c r="NJF40" s="883"/>
      <c r="NJG40" s="883"/>
      <c r="NJH40" s="883"/>
      <c r="NJI40" s="883"/>
      <c r="NJJ40" s="883"/>
      <c r="NJK40" s="883"/>
      <c r="NJL40" s="883"/>
      <c r="NJM40" s="883"/>
      <c r="NJN40" s="863"/>
      <c r="NJO40" s="863"/>
      <c r="NJP40" s="863"/>
      <c r="NJQ40" s="863"/>
      <c r="NJR40" s="863"/>
      <c r="NJS40" s="863"/>
      <c r="NJT40" s="863"/>
      <c r="NJU40" s="863"/>
      <c r="NJV40" s="863"/>
      <c r="NJW40" s="863"/>
      <c r="NJX40" s="863"/>
      <c r="NJY40" s="863"/>
      <c r="NJZ40" s="863"/>
      <c r="NKA40" s="863"/>
      <c r="NKB40" s="863"/>
      <c r="NKC40" s="863"/>
      <c r="NKD40" s="863"/>
      <c r="NKE40" s="863"/>
      <c r="NKF40" s="863"/>
      <c r="NKG40" s="863"/>
      <c r="NKH40" s="863"/>
      <c r="NKI40" s="863"/>
      <c r="NKJ40" s="863"/>
      <c r="NKK40" s="883"/>
      <c r="NKL40" s="883"/>
      <c r="NKM40" s="883"/>
      <c r="NKN40" s="883"/>
      <c r="NKO40" s="883"/>
      <c r="NKP40" s="883"/>
      <c r="NKQ40" s="883"/>
      <c r="NKR40" s="883"/>
      <c r="NKS40" s="883"/>
      <c r="NKT40" s="863"/>
      <c r="NKU40" s="863"/>
      <c r="NKV40" s="863"/>
      <c r="NKW40" s="863"/>
      <c r="NKX40" s="863"/>
      <c r="NKY40" s="863"/>
      <c r="NKZ40" s="863"/>
      <c r="NLA40" s="863"/>
      <c r="NLB40" s="863"/>
      <c r="NLC40" s="863"/>
      <c r="NLD40" s="863"/>
      <c r="NLE40" s="863"/>
      <c r="NLF40" s="863"/>
      <c r="NLG40" s="863"/>
      <c r="NLH40" s="863"/>
      <c r="NLI40" s="863"/>
      <c r="NLJ40" s="863"/>
      <c r="NLK40" s="863"/>
      <c r="NLL40" s="863"/>
      <c r="NLM40" s="863"/>
      <c r="NLN40" s="863"/>
      <c r="NLO40" s="863"/>
      <c r="NLP40" s="863"/>
      <c r="NLQ40" s="883"/>
      <c r="NLR40" s="883"/>
      <c r="NLS40" s="883"/>
      <c r="NLT40" s="883"/>
      <c r="NLU40" s="883"/>
      <c r="NLV40" s="883"/>
      <c r="NLW40" s="883"/>
      <c r="NLX40" s="883"/>
      <c r="NLY40" s="883"/>
      <c r="NLZ40" s="863"/>
      <c r="NMA40" s="863"/>
      <c r="NMB40" s="863"/>
      <c r="NMC40" s="863"/>
      <c r="NMD40" s="863"/>
      <c r="NME40" s="863"/>
      <c r="NMF40" s="863"/>
      <c r="NMG40" s="863"/>
      <c r="NMH40" s="863"/>
      <c r="NMI40" s="863"/>
      <c r="NMJ40" s="863"/>
      <c r="NMK40" s="863"/>
      <c r="NML40" s="863"/>
      <c r="NMM40" s="863"/>
      <c r="NMN40" s="863"/>
      <c r="NMO40" s="863"/>
      <c r="NMP40" s="863"/>
      <c r="NMQ40" s="863"/>
      <c r="NMR40" s="863"/>
      <c r="NMS40" s="863"/>
      <c r="NMT40" s="863"/>
      <c r="NMU40" s="863"/>
      <c r="NMV40" s="863"/>
      <c r="NMW40" s="883"/>
      <c r="NMX40" s="883"/>
      <c r="NMY40" s="883"/>
      <c r="NMZ40" s="883"/>
      <c r="NNA40" s="883"/>
      <c r="NNB40" s="883"/>
      <c r="NNC40" s="883"/>
      <c r="NND40" s="883"/>
      <c r="NNE40" s="883"/>
      <c r="NNF40" s="863"/>
      <c r="NNG40" s="863"/>
      <c r="NNH40" s="863"/>
      <c r="NNI40" s="863"/>
      <c r="NNJ40" s="863"/>
      <c r="NNK40" s="863"/>
      <c r="NNL40" s="863"/>
      <c r="NNM40" s="863"/>
      <c r="NNN40" s="863"/>
      <c r="NNO40" s="863"/>
      <c r="NNP40" s="863"/>
      <c r="NNQ40" s="863"/>
      <c r="NNR40" s="863"/>
      <c r="NNS40" s="863"/>
      <c r="NNT40" s="863"/>
      <c r="NNU40" s="863"/>
      <c r="NNV40" s="863"/>
      <c r="NNW40" s="863"/>
      <c r="NNX40" s="863"/>
      <c r="NNY40" s="863"/>
      <c r="NNZ40" s="863"/>
      <c r="NOA40" s="863"/>
      <c r="NOB40" s="863"/>
      <c r="NOC40" s="883"/>
      <c r="NOD40" s="883"/>
      <c r="NOE40" s="883"/>
      <c r="NOF40" s="883"/>
      <c r="NOG40" s="883"/>
      <c r="NOH40" s="883"/>
      <c r="NOI40" s="883"/>
      <c r="NOJ40" s="883"/>
      <c r="NOK40" s="883"/>
      <c r="NOL40" s="863"/>
      <c r="NOM40" s="863"/>
      <c r="NON40" s="863"/>
      <c r="NOO40" s="863"/>
      <c r="NOP40" s="863"/>
      <c r="NOQ40" s="863"/>
      <c r="NOR40" s="863"/>
      <c r="NOS40" s="863"/>
      <c r="NOT40" s="863"/>
      <c r="NOU40" s="863"/>
      <c r="NOV40" s="863"/>
      <c r="NOW40" s="863"/>
      <c r="NOX40" s="863"/>
      <c r="NOY40" s="863"/>
      <c r="NOZ40" s="863"/>
      <c r="NPA40" s="863"/>
      <c r="NPB40" s="863"/>
      <c r="NPC40" s="863"/>
      <c r="NPD40" s="863"/>
      <c r="NPE40" s="863"/>
      <c r="NPF40" s="863"/>
      <c r="NPG40" s="863"/>
      <c r="NPH40" s="863"/>
      <c r="NPI40" s="883"/>
      <c r="NPJ40" s="883"/>
      <c r="NPK40" s="883"/>
      <c r="NPL40" s="883"/>
      <c r="NPM40" s="883"/>
      <c r="NPN40" s="883"/>
      <c r="NPO40" s="883"/>
      <c r="NPP40" s="883"/>
      <c r="NPQ40" s="883"/>
      <c r="NPR40" s="863"/>
      <c r="NPS40" s="863"/>
      <c r="NPT40" s="863"/>
      <c r="NPU40" s="863"/>
      <c r="NPV40" s="863"/>
      <c r="NPW40" s="863"/>
      <c r="NPX40" s="863"/>
      <c r="NPY40" s="863"/>
      <c r="NPZ40" s="863"/>
      <c r="NQA40" s="863"/>
      <c r="NQB40" s="863"/>
      <c r="NQC40" s="863"/>
      <c r="NQD40" s="863"/>
      <c r="NQE40" s="863"/>
      <c r="NQF40" s="863"/>
      <c r="NQG40" s="863"/>
      <c r="NQH40" s="863"/>
      <c r="NQI40" s="863"/>
      <c r="NQJ40" s="863"/>
      <c r="NQK40" s="863"/>
      <c r="NQL40" s="863"/>
      <c r="NQM40" s="863"/>
      <c r="NQN40" s="863"/>
      <c r="NQO40" s="883"/>
      <c r="NQP40" s="883"/>
      <c r="NQQ40" s="883"/>
      <c r="NQR40" s="883"/>
      <c r="NQS40" s="883"/>
      <c r="NQT40" s="883"/>
      <c r="NQU40" s="883"/>
      <c r="NQV40" s="883"/>
      <c r="NQW40" s="883"/>
      <c r="NQX40" s="863"/>
      <c r="NQY40" s="863"/>
      <c r="NQZ40" s="863"/>
      <c r="NRA40" s="863"/>
      <c r="NRB40" s="863"/>
      <c r="NRC40" s="863"/>
      <c r="NRD40" s="863"/>
      <c r="NRE40" s="863"/>
      <c r="NRF40" s="863"/>
      <c r="NRG40" s="863"/>
      <c r="NRH40" s="863"/>
      <c r="NRI40" s="863"/>
      <c r="NRJ40" s="863"/>
      <c r="NRK40" s="863"/>
      <c r="NRL40" s="863"/>
      <c r="NRM40" s="863"/>
      <c r="NRN40" s="863"/>
      <c r="NRO40" s="863"/>
      <c r="NRP40" s="863"/>
      <c r="NRQ40" s="863"/>
      <c r="NRR40" s="863"/>
      <c r="NRS40" s="863"/>
      <c r="NRT40" s="863"/>
      <c r="NRU40" s="883"/>
      <c r="NRV40" s="883"/>
      <c r="NRW40" s="883"/>
      <c r="NRX40" s="883"/>
      <c r="NRY40" s="883"/>
      <c r="NRZ40" s="883"/>
      <c r="NSA40" s="883"/>
      <c r="NSB40" s="883"/>
      <c r="NSC40" s="883"/>
      <c r="NSD40" s="863"/>
      <c r="NSE40" s="863"/>
      <c r="NSF40" s="863"/>
      <c r="NSG40" s="863"/>
      <c r="NSH40" s="863"/>
      <c r="NSI40" s="863"/>
      <c r="NSJ40" s="863"/>
      <c r="NSK40" s="863"/>
      <c r="NSL40" s="863"/>
      <c r="NSM40" s="863"/>
      <c r="NSN40" s="863"/>
      <c r="NSO40" s="863"/>
      <c r="NSP40" s="863"/>
      <c r="NSQ40" s="863"/>
      <c r="NSR40" s="863"/>
      <c r="NSS40" s="863"/>
      <c r="NST40" s="863"/>
      <c r="NSU40" s="863"/>
      <c r="NSV40" s="863"/>
      <c r="NSW40" s="863"/>
      <c r="NSX40" s="863"/>
      <c r="NSY40" s="863"/>
      <c r="NSZ40" s="863"/>
      <c r="NTA40" s="883"/>
      <c r="NTB40" s="883"/>
      <c r="NTC40" s="883"/>
      <c r="NTD40" s="883"/>
      <c r="NTE40" s="883"/>
      <c r="NTF40" s="883"/>
      <c r="NTG40" s="883"/>
      <c r="NTH40" s="883"/>
      <c r="NTI40" s="883"/>
      <c r="NTJ40" s="863"/>
      <c r="NTK40" s="863"/>
      <c r="NTL40" s="863"/>
      <c r="NTM40" s="863"/>
      <c r="NTN40" s="863"/>
      <c r="NTO40" s="863"/>
      <c r="NTP40" s="863"/>
      <c r="NTQ40" s="863"/>
      <c r="NTR40" s="863"/>
      <c r="NTS40" s="863"/>
      <c r="NTT40" s="863"/>
      <c r="NTU40" s="863"/>
      <c r="NTV40" s="863"/>
      <c r="NTW40" s="863"/>
      <c r="NTX40" s="863"/>
      <c r="NTY40" s="863"/>
      <c r="NTZ40" s="863"/>
      <c r="NUA40" s="863"/>
      <c r="NUB40" s="863"/>
      <c r="NUC40" s="863"/>
      <c r="NUD40" s="863"/>
      <c r="NUE40" s="863"/>
      <c r="NUF40" s="863"/>
      <c r="NUG40" s="883"/>
      <c r="NUH40" s="883"/>
      <c r="NUI40" s="883"/>
      <c r="NUJ40" s="883"/>
      <c r="NUK40" s="883"/>
      <c r="NUL40" s="883"/>
      <c r="NUM40" s="883"/>
      <c r="NUN40" s="883"/>
      <c r="NUO40" s="883"/>
      <c r="NUP40" s="863"/>
      <c r="NUQ40" s="863"/>
      <c r="NUR40" s="863"/>
      <c r="NUS40" s="863"/>
      <c r="NUT40" s="863"/>
      <c r="NUU40" s="863"/>
      <c r="NUV40" s="863"/>
      <c r="NUW40" s="863"/>
      <c r="NUX40" s="863"/>
      <c r="NUY40" s="863"/>
      <c r="NUZ40" s="863"/>
      <c r="NVA40" s="863"/>
      <c r="NVB40" s="863"/>
      <c r="NVC40" s="863"/>
      <c r="NVD40" s="863"/>
      <c r="NVE40" s="863"/>
      <c r="NVF40" s="863"/>
      <c r="NVG40" s="863"/>
      <c r="NVH40" s="863"/>
      <c r="NVI40" s="863"/>
      <c r="NVJ40" s="863"/>
      <c r="NVK40" s="863"/>
      <c r="NVL40" s="863"/>
      <c r="NVM40" s="883"/>
      <c r="NVN40" s="883"/>
      <c r="NVO40" s="883"/>
      <c r="NVP40" s="883"/>
      <c r="NVQ40" s="883"/>
      <c r="NVR40" s="883"/>
      <c r="NVS40" s="883"/>
      <c r="NVT40" s="883"/>
      <c r="NVU40" s="883"/>
      <c r="NVV40" s="863"/>
      <c r="NVW40" s="863"/>
      <c r="NVX40" s="863"/>
      <c r="NVY40" s="863"/>
      <c r="NVZ40" s="863"/>
      <c r="NWA40" s="863"/>
      <c r="NWB40" s="863"/>
      <c r="NWC40" s="863"/>
      <c r="NWD40" s="863"/>
      <c r="NWE40" s="863"/>
      <c r="NWF40" s="863"/>
      <c r="NWG40" s="863"/>
      <c r="NWH40" s="863"/>
      <c r="NWI40" s="863"/>
      <c r="NWJ40" s="863"/>
      <c r="NWK40" s="863"/>
      <c r="NWL40" s="863"/>
      <c r="NWM40" s="863"/>
      <c r="NWN40" s="863"/>
      <c r="NWO40" s="863"/>
      <c r="NWP40" s="863"/>
      <c r="NWQ40" s="863"/>
      <c r="NWR40" s="863"/>
      <c r="NWS40" s="883"/>
      <c r="NWT40" s="883"/>
      <c r="NWU40" s="883"/>
      <c r="NWV40" s="883"/>
      <c r="NWW40" s="883"/>
      <c r="NWX40" s="883"/>
      <c r="NWY40" s="883"/>
      <c r="NWZ40" s="883"/>
      <c r="NXA40" s="883"/>
      <c r="NXB40" s="863"/>
      <c r="NXC40" s="863"/>
      <c r="NXD40" s="863"/>
      <c r="NXE40" s="863"/>
      <c r="NXF40" s="863"/>
      <c r="NXG40" s="863"/>
      <c r="NXH40" s="863"/>
      <c r="NXI40" s="863"/>
      <c r="NXJ40" s="863"/>
      <c r="NXK40" s="863"/>
      <c r="NXL40" s="863"/>
      <c r="NXM40" s="863"/>
      <c r="NXN40" s="863"/>
      <c r="NXO40" s="863"/>
      <c r="NXP40" s="863"/>
      <c r="NXQ40" s="863"/>
      <c r="NXR40" s="863"/>
      <c r="NXS40" s="863"/>
      <c r="NXT40" s="863"/>
      <c r="NXU40" s="863"/>
      <c r="NXV40" s="863"/>
      <c r="NXW40" s="863"/>
      <c r="NXX40" s="863"/>
      <c r="NXY40" s="883"/>
      <c r="NXZ40" s="883"/>
      <c r="NYA40" s="883"/>
      <c r="NYB40" s="883"/>
      <c r="NYC40" s="883"/>
      <c r="NYD40" s="883"/>
      <c r="NYE40" s="883"/>
      <c r="NYF40" s="883"/>
      <c r="NYG40" s="883"/>
      <c r="NYH40" s="863"/>
      <c r="NYI40" s="863"/>
      <c r="NYJ40" s="863"/>
      <c r="NYK40" s="863"/>
      <c r="NYL40" s="863"/>
      <c r="NYM40" s="863"/>
      <c r="NYN40" s="863"/>
      <c r="NYO40" s="863"/>
      <c r="NYP40" s="863"/>
      <c r="NYQ40" s="863"/>
      <c r="NYR40" s="863"/>
      <c r="NYS40" s="863"/>
      <c r="NYT40" s="863"/>
      <c r="NYU40" s="863"/>
      <c r="NYV40" s="863"/>
      <c r="NYW40" s="863"/>
      <c r="NYX40" s="863"/>
      <c r="NYY40" s="863"/>
      <c r="NYZ40" s="863"/>
      <c r="NZA40" s="863"/>
      <c r="NZB40" s="863"/>
      <c r="NZC40" s="863"/>
      <c r="NZD40" s="863"/>
      <c r="NZE40" s="883"/>
      <c r="NZF40" s="883"/>
      <c r="NZG40" s="883"/>
      <c r="NZH40" s="883"/>
      <c r="NZI40" s="883"/>
      <c r="NZJ40" s="883"/>
      <c r="NZK40" s="883"/>
      <c r="NZL40" s="883"/>
      <c r="NZM40" s="883"/>
      <c r="NZN40" s="863"/>
      <c r="NZO40" s="863"/>
      <c r="NZP40" s="863"/>
      <c r="NZQ40" s="863"/>
      <c r="NZR40" s="863"/>
      <c r="NZS40" s="863"/>
      <c r="NZT40" s="863"/>
      <c r="NZU40" s="863"/>
      <c r="NZV40" s="863"/>
      <c r="NZW40" s="863"/>
      <c r="NZX40" s="863"/>
      <c r="NZY40" s="863"/>
      <c r="NZZ40" s="863"/>
      <c r="OAA40" s="863"/>
      <c r="OAB40" s="863"/>
      <c r="OAC40" s="863"/>
      <c r="OAD40" s="863"/>
      <c r="OAE40" s="863"/>
      <c r="OAF40" s="863"/>
      <c r="OAG40" s="863"/>
      <c r="OAH40" s="863"/>
      <c r="OAI40" s="863"/>
      <c r="OAJ40" s="863"/>
      <c r="OAK40" s="883"/>
      <c r="OAL40" s="883"/>
      <c r="OAM40" s="883"/>
      <c r="OAN40" s="883"/>
      <c r="OAO40" s="883"/>
      <c r="OAP40" s="883"/>
      <c r="OAQ40" s="883"/>
      <c r="OAR40" s="883"/>
      <c r="OAS40" s="883"/>
      <c r="OAT40" s="863"/>
      <c r="OAU40" s="863"/>
      <c r="OAV40" s="863"/>
      <c r="OAW40" s="863"/>
      <c r="OAX40" s="863"/>
      <c r="OAY40" s="863"/>
      <c r="OAZ40" s="863"/>
      <c r="OBA40" s="863"/>
      <c r="OBB40" s="863"/>
      <c r="OBC40" s="863"/>
      <c r="OBD40" s="863"/>
      <c r="OBE40" s="863"/>
      <c r="OBF40" s="863"/>
      <c r="OBG40" s="863"/>
      <c r="OBH40" s="863"/>
      <c r="OBI40" s="863"/>
      <c r="OBJ40" s="863"/>
      <c r="OBK40" s="863"/>
      <c r="OBL40" s="863"/>
      <c r="OBM40" s="863"/>
      <c r="OBN40" s="863"/>
      <c r="OBO40" s="863"/>
      <c r="OBP40" s="863"/>
      <c r="OBQ40" s="883"/>
      <c r="OBR40" s="883"/>
      <c r="OBS40" s="883"/>
      <c r="OBT40" s="883"/>
      <c r="OBU40" s="883"/>
      <c r="OBV40" s="883"/>
      <c r="OBW40" s="883"/>
      <c r="OBX40" s="883"/>
      <c r="OBY40" s="883"/>
      <c r="OBZ40" s="863"/>
      <c r="OCA40" s="863"/>
      <c r="OCB40" s="863"/>
      <c r="OCC40" s="863"/>
      <c r="OCD40" s="863"/>
      <c r="OCE40" s="863"/>
      <c r="OCF40" s="863"/>
      <c r="OCG40" s="863"/>
      <c r="OCH40" s="863"/>
      <c r="OCI40" s="863"/>
      <c r="OCJ40" s="863"/>
      <c r="OCK40" s="863"/>
      <c r="OCL40" s="863"/>
      <c r="OCM40" s="863"/>
      <c r="OCN40" s="863"/>
      <c r="OCO40" s="863"/>
      <c r="OCP40" s="863"/>
      <c r="OCQ40" s="863"/>
      <c r="OCR40" s="863"/>
      <c r="OCS40" s="863"/>
      <c r="OCT40" s="863"/>
      <c r="OCU40" s="863"/>
      <c r="OCV40" s="863"/>
      <c r="OCW40" s="883"/>
      <c r="OCX40" s="883"/>
      <c r="OCY40" s="883"/>
      <c r="OCZ40" s="883"/>
      <c r="ODA40" s="883"/>
      <c r="ODB40" s="883"/>
      <c r="ODC40" s="883"/>
      <c r="ODD40" s="883"/>
      <c r="ODE40" s="883"/>
      <c r="ODF40" s="863"/>
      <c r="ODG40" s="863"/>
      <c r="ODH40" s="863"/>
      <c r="ODI40" s="863"/>
      <c r="ODJ40" s="863"/>
      <c r="ODK40" s="863"/>
      <c r="ODL40" s="863"/>
      <c r="ODM40" s="863"/>
      <c r="ODN40" s="863"/>
      <c r="ODO40" s="863"/>
      <c r="ODP40" s="863"/>
      <c r="ODQ40" s="863"/>
      <c r="ODR40" s="863"/>
      <c r="ODS40" s="863"/>
      <c r="ODT40" s="863"/>
      <c r="ODU40" s="863"/>
      <c r="ODV40" s="863"/>
      <c r="ODW40" s="863"/>
      <c r="ODX40" s="863"/>
      <c r="ODY40" s="863"/>
      <c r="ODZ40" s="863"/>
      <c r="OEA40" s="863"/>
      <c r="OEB40" s="863"/>
      <c r="OEC40" s="883"/>
      <c r="OED40" s="883"/>
      <c r="OEE40" s="883"/>
      <c r="OEF40" s="883"/>
      <c r="OEG40" s="883"/>
      <c r="OEH40" s="883"/>
      <c r="OEI40" s="883"/>
      <c r="OEJ40" s="883"/>
      <c r="OEK40" s="883"/>
      <c r="OEL40" s="863"/>
      <c r="OEM40" s="863"/>
      <c r="OEN40" s="863"/>
      <c r="OEO40" s="863"/>
      <c r="OEP40" s="863"/>
      <c r="OEQ40" s="863"/>
      <c r="OER40" s="863"/>
      <c r="OES40" s="863"/>
      <c r="OET40" s="863"/>
      <c r="OEU40" s="863"/>
      <c r="OEV40" s="863"/>
      <c r="OEW40" s="863"/>
      <c r="OEX40" s="863"/>
      <c r="OEY40" s="863"/>
      <c r="OEZ40" s="863"/>
      <c r="OFA40" s="863"/>
      <c r="OFB40" s="863"/>
      <c r="OFC40" s="863"/>
      <c r="OFD40" s="863"/>
      <c r="OFE40" s="863"/>
      <c r="OFF40" s="863"/>
      <c r="OFG40" s="863"/>
      <c r="OFH40" s="863"/>
      <c r="OFI40" s="883"/>
      <c r="OFJ40" s="883"/>
      <c r="OFK40" s="883"/>
      <c r="OFL40" s="883"/>
      <c r="OFM40" s="883"/>
      <c r="OFN40" s="883"/>
      <c r="OFO40" s="883"/>
      <c r="OFP40" s="883"/>
      <c r="OFQ40" s="883"/>
      <c r="OFR40" s="863"/>
      <c r="OFS40" s="863"/>
      <c r="OFT40" s="863"/>
      <c r="OFU40" s="863"/>
      <c r="OFV40" s="863"/>
      <c r="OFW40" s="863"/>
      <c r="OFX40" s="863"/>
      <c r="OFY40" s="863"/>
      <c r="OFZ40" s="863"/>
      <c r="OGA40" s="863"/>
      <c r="OGB40" s="863"/>
      <c r="OGC40" s="863"/>
      <c r="OGD40" s="863"/>
      <c r="OGE40" s="863"/>
      <c r="OGF40" s="863"/>
      <c r="OGG40" s="863"/>
      <c r="OGH40" s="863"/>
      <c r="OGI40" s="863"/>
      <c r="OGJ40" s="863"/>
      <c r="OGK40" s="863"/>
      <c r="OGL40" s="863"/>
      <c r="OGM40" s="863"/>
      <c r="OGN40" s="863"/>
      <c r="OGO40" s="883"/>
      <c r="OGP40" s="883"/>
      <c r="OGQ40" s="883"/>
      <c r="OGR40" s="883"/>
      <c r="OGS40" s="883"/>
      <c r="OGT40" s="883"/>
      <c r="OGU40" s="883"/>
      <c r="OGV40" s="883"/>
      <c r="OGW40" s="883"/>
      <c r="OGX40" s="863"/>
      <c r="OGY40" s="863"/>
      <c r="OGZ40" s="863"/>
      <c r="OHA40" s="863"/>
      <c r="OHB40" s="863"/>
      <c r="OHC40" s="863"/>
      <c r="OHD40" s="863"/>
      <c r="OHE40" s="863"/>
      <c r="OHF40" s="863"/>
      <c r="OHG40" s="863"/>
      <c r="OHH40" s="863"/>
      <c r="OHI40" s="863"/>
      <c r="OHJ40" s="863"/>
      <c r="OHK40" s="863"/>
      <c r="OHL40" s="863"/>
      <c r="OHM40" s="863"/>
      <c r="OHN40" s="863"/>
      <c r="OHO40" s="863"/>
      <c r="OHP40" s="863"/>
      <c r="OHQ40" s="863"/>
      <c r="OHR40" s="863"/>
      <c r="OHS40" s="863"/>
      <c r="OHT40" s="863"/>
      <c r="OHU40" s="883"/>
      <c r="OHV40" s="883"/>
      <c r="OHW40" s="883"/>
      <c r="OHX40" s="883"/>
      <c r="OHY40" s="883"/>
      <c r="OHZ40" s="883"/>
      <c r="OIA40" s="883"/>
      <c r="OIB40" s="883"/>
      <c r="OIC40" s="883"/>
      <c r="OID40" s="863"/>
      <c r="OIE40" s="863"/>
      <c r="OIF40" s="863"/>
      <c r="OIG40" s="863"/>
      <c r="OIH40" s="863"/>
      <c r="OII40" s="863"/>
      <c r="OIJ40" s="863"/>
      <c r="OIK40" s="863"/>
      <c r="OIL40" s="863"/>
      <c r="OIM40" s="863"/>
      <c r="OIN40" s="863"/>
      <c r="OIO40" s="863"/>
      <c r="OIP40" s="863"/>
      <c r="OIQ40" s="863"/>
      <c r="OIR40" s="863"/>
      <c r="OIS40" s="863"/>
      <c r="OIT40" s="863"/>
      <c r="OIU40" s="863"/>
      <c r="OIV40" s="863"/>
      <c r="OIW40" s="863"/>
      <c r="OIX40" s="863"/>
      <c r="OIY40" s="863"/>
      <c r="OIZ40" s="863"/>
      <c r="OJA40" s="883"/>
      <c r="OJB40" s="883"/>
      <c r="OJC40" s="883"/>
      <c r="OJD40" s="883"/>
      <c r="OJE40" s="883"/>
      <c r="OJF40" s="883"/>
      <c r="OJG40" s="883"/>
      <c r="OJH40" s="883"/>
      <c r="OJI40" s="883"/>
      <c r="OJJ40" s="863"/>
      <c r="OJK40" s="863"/>
      <c r="OJL40" s="863"/>
      <c r="OJM40" s="863"/>
      <c r="OJN40" s="863"/>
      <c r="OJO40" s="863"/>
      <c r="OJP40" s="863"/>
      <c r="OJQ40" s="863"/>
      <c r="OJR40" s="863"/>
      <c r="OJS40" s="863"/>
      <c r="OJT40" s="863"/>
      <c r="OJU40" s="863"/>
      <c r="OJV40" s="863"/>
      <c r="OJW40" s="863"/>
      <c r="OJX40" s="863"/>
      <c r="OJY40" s="863"/>
      <c r="OJZ40" s="863"/>
      <c r="OKA40" s="863"/>
      <c r="OKB40" s="863"/>
      <c r="OKC40" s="863"/>
      <c r="OKD40" s="863"/>
      <c r="OKE40" s="863"/>
      <c r="OKF40" s="863"/>
      <c r="OKG40" s="883"/>
      <c r="OKH40" s="883"/>
      <c r="OKI40" s="883"/>
      <c r="OKJ40" s="883"/>
      <c r="OKK40" s="883"/>
      <c r="OKL40" s="883"/>
      <c r="OKM40" s="883"/>
      <c r="OKN40" s="883"/>
      <c r="OKO40" s="883"/>
      <c r="OKP40" s="863"/>
      <c r="OKQ40" s="863"/>
      <c r="OKR40" s="863"/>
      <c r="OKS40" s="863"/>
      <c r="OKT40" s="863"/>
      <c r="OKU40" s="863"/>
      <c r="OKV40" s="863"/>
      <c r="OKW40" s="863"/>
      <c r="OKX40" s="863"/>
      <c r="OKY40" s="863"/>
      <c r="OKZ40" s="863"/>
      <c r="OLA40" s="863"/>
      <c r="OLB40" s="863"/>
      <c r="OLC40" s="863"/>
      <c r="OLD40" s="863"/>
      <c r="OLE40" s="863"/>
      <c r="OLF40" s="863"/>
      <c r="OLG40" s="863"/>
      <c r="OLH40" s="863"/>
      <c r="OLI40" s="863"/>
      <c r="OLJ40" s="863"/>
      <c r="OLK40" s="863"/>
      <c r="OLL40" s="863"/>
      <c r="OLM40" s="883"/>
      <c r="OLN40" s="883"/>
      <c r="OLO40" s="883"/>
      <c r="OLP40" s="883"/>
      <c r="OLQ40" s="883"/>
      <c r="OLR40" s="883"/>
      <c r="OLS40" s="883"/>
      <c r="OLT40" s="883"/>
      <c r="OLU40" s="883"/>
      <c r="OLV40" s="863"/>
      <c r="OLW40" s="863"/>
      <c r="OLX40" s="863"/>
      <c r="OLY40" s="863"/>
      <c r="OLZ40" s="863"/>
      <c r="OMA40" s="863"/>
      <c r="OMB40" s="863"/>
      <c r="OMC40" s="863"/>
      <c r="OMD40" s="863"/>
      <c r="OME40" s="863"/>
      <c r="OMF40" s="863"/>
      <c r="OMG40" s="863"/>
      <c r="OMH40" s="863"/>
      <c r="OMI40" s="863"/>
      <c r="OMJ40" s="863"/>
      <c r="OMK40" s="863"/>
      <c r="OML40" s="863"/>
      <c r="OMM40" s="863"/>
      <c r="OMN40" s="863"/>
      <c r="OMO40" s="863"/>
      <c r="OMP40" s="863"/>
      <c r="OMQ40" s="863"/>
      <c r="OMR40" s="863"/>
      <c r="OMS40" s="883"/>
      <c r="OMT40" s="883"/>
      <c r="OMU40" s="883"/>
      <c r="OMV40" s="883"/>
      <c r="OMW40" s="883"/>
      <c r="OMX40" s="883"/>
      <c r="OMY40" s="883"/>
      <c r="OMZ40" s="883"/>
      <c r="ONA40" s="883"/>
      <c r="ONB40" s="863"/>
      <c r="ONC40" s="863"/>
      <c r="OND40" s="863"/>
      <c r="ONE40" s="863"/>
      <c r="ONF40" s="863"/>
      <c r="ONG40" s="863"/>
      <c r="ONH40" s="863"/>
      <c r="ONI40" s="863"/>
      <c r="ONJ40" s="863"/>
      <c r="ONK40" s="863"/>
      <c r="ONL40" s="863"/>
      <c r="ONM40" s="863"/>
      <c r="ONN40" s="863"/>
      <c r="ONO40" s="863"/>
      <c r="ONP40" s="863"/>
      <c r="ONQ40" s="863"/>
      <c r="ONR40" s="863"/>
      <c r="ONS40" s="863"/>
      <c r="ONT40" s="863"/>
      <c r="ONU40" s="863"/>
      <c r="ONV40" s="863"/>
      <c r="ONW40" s="863"/>
      <c r="ONX40" s="863"/>
      <c r="ONY40" s="883"/>
      <c r="ONZ40" s="883"/>
      <c r="OOA40" s="883"/>
      <c r="OOB40" s="883"/>
      <c r="OOC40" s="883"/>
      <c r="OOD40" s="883"/>
      <c r="OOE40" s="883"/>
      <c r="OOF40" s="883"/>
      <c r="OOG40" s="883"/>
      <c r="OOH40" s="863"/>
      <c r="OOI40" s="863"/>
      <c r="OOJ40" s="863"/>
      <c r="OOK40" s="863"/>
      <c r="OOL40" s="863"/>
      <c r="OOM40" s="863"/>
      <c r="OON40" s="863"/>
      <c r="OOO40" s="863"/>
      <c r="OOP40" s="863"/>
      <c r="OOQ40" s="863"/>
      <c r="OOR40" s="863"/>
      <c r="OOS40" s="863"/>
      <c r="OOT40" s="863"/>
      <c r="OOU40" s="863"/>
      <c r="OOV40" s="863"/>
      <c r="OOW40" s="863"/>
      <c r="OOX40" s="863"/>
      <c r="OOY40" s="863"/>
      <c r="OOZ40" s="863"/>
      <c r="OPA40" s="863"/>
      <c r="OPB40" s="863"/>
      <c r="OPC40" s="863"/>
      <c r="OPD40" s="863"/>
      <c r="OPE40" s="883"/>
      <c r="OPF40" s="883"/>
      <c r="OPG40" s="883"/>
      <c r="OPH40" s="883"/>
      <c r="OPI40" s="883"/>
      <c r="OPJ40" s="883"/>
      <c r="OPK40" s="883"/>
      <c r="OPL40" s="883"/>
      <c r="OPM40" s="883"/>
      <c r="OPN40" s="863"/>
      <c r="OPO40" s="863"/>
      <c r="OPP40" s="863"/>
      <c r="OPQ40" s="863"/>
      <c r="OPR40" s="863"/>
      <c r="OPS40" s="863"/>
      <c r="OPT40" s="863"/>
      <c r="OPU40" s="863"/>
      <c r="OPV40" s="863"/>
      <c r="OPW40" s="863"/>
      <c r="OPX40" s="863"/>
      <c r="OPY40" s="863"/>
      <c r="OPZ40" s="863"/>
      <c r="OQA40" s="863"/>
      <c r="OQB40" s="863"/>
      <c r="OQC40" s="863"/>
      <c r="OQD40" s="863"/>
      <c r="OQE40" s="863"/>
      <c r="OQF40" s="863"/>
      <c r="OQG40" s="863"/>
      <c r="OQH40" s="863"/>
      <c r="OQI40" s="863"/>
      <c r="OQJ40" s="863"/>
      <c r="OQK40" s="883"/>
      <c r="OQL40" s="883"/>
      <c r="OQM40" s="883"/>
      <c r="OQN40" s="883"/>
      <c r="OQO40" s="883"/>
      <c r="OQP40" s="883"/>
      <c r="OQQ40" s="883"/>
      <c r="OQR40" s="883"/>
      <c r="OQS40" s="883"/>
      <c r="OQT40" s="863"/>
      <c r="OQU40" s="863"/>
      <c r="OQV40" s="863"/>
      <c r="OQW40" s="863"/>
      <c r="OQX40" s="863"/>
      <c r="OQY40" s="863"/>
      <c r="OQZ40" s="863"/>
      <c r="ORA40" s="863"/>
      <c r="ORB40" s="863"/>
      <c r="ORC40" s="863"/>
      <c r="ORD40" s="863"/>
      <c r="ORE40" s="863"/>
      <c r="ORF40" s="863"/>
      <c r="ORG40" s="863"/>
      <c r="ORH40" s="863"/>
      <c r="ORI40" s="863"/>
      <c r="ORJ40" s="863"/>
      <c r="ORK40" s="863"/>
      <c r="ORL40" s="863"/>
      <c r="ORM40" s="863"/>
      <c r="ORN40" s="863"/>
      <c r="ORO40" s="863"/>
      <c r="ORP40" s="863"/>
      <c r="ORQ40" s="883"/>
      <c r="ORR40" s="883"/>
      <c r="ORS40" s="883"/>
      <c r="ORT40" s="883"/>
      <c r="ORU40" s="883"/>
      <c r="ORV40" s="883"/>
      <c r="ORW40" s="883"/>
      <c r="ORX40" s="883"/>
      <c r="ORY40" s="883"/>
      <c r="ORZ40" s="863"/>
      <c r="OSA40" s="863"/>
      <c r="OSB40" s="863"/>
      <c r="OSC40" s="863"/>
      <c r="OSD40" s="863"/>
      <c r="OSE40" s="863"/>
      <c r="OSF40" s="863"/>
      <c r="OSG40" s="863"/>
      <c r="OSH40" s="863"/>
      <c r="OSI40" s="863"/>
      <c r="OSJ40" s="863"/>
      <c r="OSK40" s="863"/>
      <c r="OSL40" s="863"/>
      <c r="OSM40" s="863"/>
      <c r="OSN40" s="863"/>
      <c r="OSO40" s="863"/>
      <c r="OSP40" s="863"/>
      <c r="OSQ40" s="863"/>
      <c r="OSR40" s="863"/>
      <c r="OSS40" s="863"/>
      <c r="OST40" s="863"/>
      <c r="OSU40" s="863"/>
      <c r="OSV40" s="863"/>
      <c r="OSW40" s="883"/>
      <c r="OSX40" s="883"/>
      <c r="OSY40" s="883"/>
      <c r="OSZ40" s="883"/>
      <c r="OTA40" s="883"/>
      <c r="OTB40" s="883"/>
      <c r="OTC40" s="883"/>
      <c r="OTD40" s="883"/>
      <c r="OTE40" s="883"/>
      <c r="OTF40" s="863"/>
      <c r="OTG40" s="863"/>
      <c r="OTH40" s="863"/>
      <c r="OTI40" s="863"/>
      <c r="OTJ40" s="863"/>
      <c r="OTK40" s="863"/>
      <c r="OTL40" s="863"/>
      <c r="OTM40" s="863"/>
      <c r="OTN40" s="863"/>
      <c r="OTO40" s="863"/>
      <c r="OTP40" s="863"/>
      <c r="OTQ40" s="863"/>
      <c r="OTR40" s="863"/>
      <c r="OTS40" s="863"/>
      <c r="OTT40" s="863"/>
      <c r="OTU40" s="863"/>
      <c r="OTV40" s="863"/>
      <c r="OTW40" s="863"/>
      <c r="OTX40" s="863"/>
      <c r="OTY40" s="863"/>
      <c r="OTZ40" s="863"/>
      <c r="OUA40" s="863"/>
      <c r="OUB40" s="863"/>
      <c r="OUC40" s="883"/>
      <c r="OUD40" s="883"/>
      <c r="OUE40" s="883"/>
      <c r="OUF40" s="883"/>
      <c r="OUG40" s="883"/>
      <c r="OUH40" s="883"/>
      <c r="OUI40" s="883"/>
      <c r="OUJ40" s="883"/>
      <c r="OUK40" s="883"/>
      <c r="OUL40" s="863"/>
      <c r="OUM40" s="863"/>
      <c r="OUN40" s="863"/>
      <c r="OUO40" s="863"/>
      <c r="OUP40" s="863"/>
      <c r="OUQ40" s="863"/>
      <c r="OUR40" s="863"/>
      <c r="OUS40" s="863"/>
      <c r="OUT40" s="863"/>
      <c r="OUU40" s="863"/>
      <c r="OUV40" s="863"/>
      <c r="OUW40" s="863"/>
      <c r="OUX40" s="863"/>
      <c r="OUY40" s="863"/>
      <c r="OUZ40" s="863"/>
      <c r="OVA40" s="863"/>
      <c r="OVB40" s="863"/>
      <c r="OVC40" s="863"/>
      <c r="OVD40" s="863"/>
      <c r="OVE40" s="863"/>
      <c r="OVF40" s="863"/>
      <c r="OVG40" s="863"/>
      <c r="OVH40" s="863"/>
      <c r="OVI40" s="883"/>
      <c r="OVJ40" s="883"/>
      <c r="OVK40" s="883"/>
      <c r="OVL40" s="883"/>
      <c r="OVM40" s="883"/>
      <c r="OVN40" s="883"/>
      <c r="OVO40" s="883"/>
      <c r="OVP40" s="883"/>
      <c r="OVQ40" s="883"/>
      <c r="OVR40" s="863"/>
      <c r="OVS40" s="863"/>
      <c r="OVT40" s="863"/>
      <c r="OVU40" s="863"/>
      <c r="OVV40" s="863"/>
      <c r="OVW40" s="863"/>
      <c r="OVX40" s="863"/>
      <c r="OVY40" s="863"/>
      <c r="OVZ40" s="863"/>
      <c r="OWA40" s="863"/>
      <c r="OWB40" s="863"/>
      <c r="OWC40" s="863"/>
      <c r="OWD40" s="863"/>
      <c r="OWE40" s="863"/>
      <c r="OWF40" s="863"/>
      <c r="OWG40" s="863"/>
      <c r="OWH40" s="863"/>
      <c r="OWI40" s="863"/>
      <c r="OWJ40" s="863"/>
      <c r="OWK40" s="863"/>
      <c r="OWL40" s="863"/>
      <c r="OWM40" s="863"/>
      <c r="OWN40" s="863"/>
      <c r="OWO40" s="883"/>
      <c r="OWP40" s="883"/>
      <c r="OWQ40" s="883"/>
      <c r="OWR40" s="883"/>
      <c r="OWS40" s="883"/>
      <c r="OWT40" s="883"/>
      <c r="OWU40" s="883"/>
      <c r="OWV40" s="883"/>
      <c r="OWW40" s="883"/>
      <c r="OWX40" s="863"/>
      <c r="OWY40" s="863"/>
      <c r="OWZ40" s="863"/>
      <c r="OXA40" s="863"/>
      <c r="OXB40" s="863"/>
      <c r="OXC40" s="863"/>
      <c r="OXD40" s="863"/>
      <c r="OXE40" s="863"/>
      <c r="OXF40" s="863"/>
      <c r="OXG40" s="863"/>
      <c r="OXH40" s="863"/>
      <c r="OXI40" s="863"/>
      <c r="OXJ40" s="863"/>
      <c r="OXK40" s="863"/>
      <c r="OXL40" s="863"/>
      <c r="OXM40" s="863"/>
      <c r="OXN40" s="863"/>
      <c r="OXO40" s="863"/>
      <c r="OXP40" s="863"/>
      <c r="OXQ40" s="863"/>
      <c r="OXR40" s="863"/>
      <c r="OXS40" s="863"/>
      <c r="OXT40" s="863"/>
      <c r="OXU40" s="883"/>
      <c r="OXV40" s="883"/>
      <c r="OXW40" s="883"/>
      <c r="OXX40" s="883"/>
      <c r="OXY40" s="883"/>
      <c r="OXZ40" s="883"/>
      <c r="OYA40" s="883"/>
      <c r="OYB40" s="883"/>
      <c r="OYC40" s="883"/>
      <c r="OYD40" s="863"/>
      <c r="OYE40" s="863"/>
      <c r="OYF40" s="863"/>
      <c r="OYG40" s="863"/>
      <c r="OYH40" s="863"/>
      <c r="OYI40" s="863"/>
      <c r="OYJ40" s="863"/>
      <c r="OYK40" s="863"/>
      <c r="OYL40" s="863"/>
      <c r="OYM40" s="863"/>
      <c r="OYN40" s="863"/>
      <c r="OYO40" s="863"/>
      <c r="OYP40" s="863"/>
      <c r="OYQ40" s="863"/>
      <c r="OYR40" s="863"/>
      <c r="OYS40" s="863"/>
      <c r="OYT40" s="863"/>
      <c r="OYU40" s="863"/>
      <c r="OYV40" s="863"/>
      <c r="OYW40" s="863"/>
      <c r="OYX40" s="863"/>
      <c r="OYY40" s="863"/>
      <c r="OYZ40" s="863"/>
      <c r="OZA40" s="883"/>
      <c r="OZB40" s="883"/>
      <c r="OZC40" s="883"/>
      <c r="OZD40" s="883"/>
      <c r="OZE40" s="883"/>
      <c r="OZF40" s="883"/>
      <c r="OZG40" s="883"/>
      <c r="OZH40" s="883"/>
      <c r="OZI40" s="883"/>
      <c r="OZJ40" s="863"/>
      <c r="OZK40" s="863"/>
      <c r="OZL40" s="863"/>
      <c r="OZM40" s="863"/>
      <c r="OZN40" s="863"/>
      <c r="OZO40" s="863"/>
      <c r="OZP40" s="863"/>
      <c r="OZQ40" s="863"/>
      <c r="OZR40" s="863"/>
      <c r="OZS40" s="863"/>
      <c r="OZT40" s="863"/>
      <c r="OZU40" s="863"/>
      <c r="OZV40" s="863"/>
      <c r="OZW40" s="863"/>
      <c r="OZX40" s="863"/>
      <c r="OZY40" s="863"/>
      <c r="OZZ40" s="863"/>
      <c r="PAA40" s="863"/>
      <c r="PAB40" s="863"/>
      <c r="PAC40" s="863"/>
      <c r="PAD40" s="863"/>
      <c r="PAE40" s="863"/>
      <c r="PAF40" s="863"/>
      <c r="PAG40" s="883"/>
      <c r="PAH40" s="883"/>
      <c r="PAI40" s="883"/>
      <c r="PAJ40" s="883"/>
      <c r="PAK40" s="883"/>
      <c r="PAL40" s="883"/>
      <c r="PAM40" s="883"/>
      <c r="PAN40" s="883"/>
      <c r="PAO40" s="883"/>
      <c r="PAP40" s="863"/>
      <c r="PAQ40" s="863"/>
      <c r="PAR40" s="863"/>
      <c r="PAS40" s="863"/>
      <c r="PAT40" s="863"/>
      <c r="PAU40" s="863"/>
      <c r="PAV40" s="863"/>
      <c r="PAW40" s="863"/>
      <c r="PAX40" s="863"/>
      <c r="PAY40" s="863"/>
      <c r="PAZ40" s="863"/>
      <c r="PBA40" s="863"/>
      <c r="PBB40" s="863"/>
      <c r="PBC40" s="863"/>
      <c r="PBD40" s="863"/>
      <c r="PBE40" s="863"/>
      <c r="PBF40" s="863"/>
      <c r="PBG40" s="863"/>
      <c r="PBH40" s="863"/>
      <c r="PBI40" s="863"/>
      <c r="PBJ40" s="863"/>
      <c r="PBK40" s="863"/>
      <c r="PBL40" s="863"/>
      <c r="PBM40" s="883"/>
      <c r="PBN40" s="883"/>
      <c r="PBO40" s="883"/>
      <c r="PBP40" s="883"/>
      <c r="PBQ40" s="883"/>
      <c r="PBR40" s="883"/>
      <c r="PBS40" s="883"/>
      <c r="PBT40" s="883"/>
      <c r="PBU40" s="883"/>
      <c r="PBV40" s="863"/>
      <c r="PBW40" s="863"/>
      <c r="PBX40" s="863"/>
      <c r="PBY40" s="863"/>
      <c r="PBZ40" s="863"/>
      <c r="PCA40" s="863"/>
      <c r="PCB40" s="863"/>
      <c r="PCC40" s="863"/>
      <c r="PCD40" s="863"/>
      <c r="PCE40" s="863"/>
      <c r="PCF40" s="863"/>
      <c r="PCG40" s="863"/>
      <c r="PCH40" s="863"/>
      <c r="PCI40" s="863"/>
      <c r="PCJ40" s="863"/>
      <c r="PCK40" s="863"/>
      <c r="PCL40" s="863"/>
      <c r="PCM40" s="863"/>
      <c r="PCN40" s="863"/>
      <c r="PCO40" s="863"/>
      <c r="PCP40" s="863"/>
      <c r="PCQ40" s="863"/>
      <c r="PCR40" s="863"/>
      <c r="PCS40" s="883"/>
      <c r="PCT40" s="883"/>
      <c r="PCU40" s="883"/>
      <c r="PCV40" s="883"/>
      <c r="PCW40" s="883"/>
      <c r="PCX40" s="883"/>
      <c r="PCY40" s="883"/>
      <c r="PCZ40" s="883"/>
      <c r="PDA40" s="883"/>
      <c r="PDB40" s="863"/>
      <c r="PDC40" s="863"/>
      <c r="PDD40" s="863"/>
      <c r="PDE40" s="863"/>
      <c r="PDF40" s="863"/>
      <c r="PDG40" s="863"/>
      <c r="PDH40" s="863"/>
      <c r="PDI40" s="863"/>
      <c r="PDJ40" s="863"/>
      <c r="PDK40" s="863"/>
      <c r="PDL40" s="863"/>
      <c r="PDM40" s="863"/>
      <c r="PDN40" s="863"/>
      <c r="PDO40" s="863"/>
      <c r="PDP40" s="863"/>
      <c r="PDQ40" s="863"/>
      <c r="PDR40" s="863"/>
      <c r="PDS40" s="863"/>
      <c r="PDT40" s="863"/>
      <c r="PDU40" s="863"/>
      <c r="PDV40" s="863"/>
      <c r="PDW40" s="863"/>
      <c r="PDX40" s="863"/>
      <c r="PDY40" s="883"/>
      <c r="PDZ40" s="883"/>
      <c r="PEA40" s="883"/>
      <c r="PEB40" s="883"/>
      <c r="PEC40" s="883"/>
      <c r="PED40" s="883"/>
      <c r="PEE40" s="883"/>
      <c r="PEF40" s="883"/>
      <c r="PEG40" s="883"/>
      <c r="PEH40" s="863"/>
      <c r="PEI40" s="863"/>
      <c r="PEJ40" s="863"/>
      <c r="PEK40" s="863"/>
      <c r="PEL40" s="863"/>
      <c r="PEM40" s="863"/>
      <c r="PEN40" s="863"/>
      <c r="PEO40" s="863"/>
      <c r="PEP40" s="863"/>
      <c r="PEQ40" s="863"/>
      <c r="PER40" s="863"/>
      <c r="PES40" s="863"/>
      <c r="PET40" s="863"/>
      <c r="PEU40" s="863"/>
      <c r="PEV40" s="863"/>
      <c r="PEW40" s="863"/>
      <c r="PEX40" s="863"/>
      <c r="PEY40" s="863"/>
      <c r="PEZ40" s="863"/>
      <c r="PFA40" s="863"/>
      <c r="PFB40" s="863"/>
      <c r="PFC40" s="863"/>
      <c r="PFD40" s="863"/>
      <c r="PFE40" s="883"/>
      <c r="PFF40" s="883"/>
      <c r="PFG40" s="883"/>
      <c r="PFH40" s="883"/>
      <c r="PFI40" s="883"/>
      <c r="PFJ40" s="883"/>
      <c r="PFK40" s="883"/>
      <c r="PFL40" s="883"/>
      <c r="PFM40" s="883"/>
      <c r="PFN40" s="863"/>
      <c r="PFO40" s="863"/>
      <c r="PFP40" s="863"/>
      <c r="PFQ40" s="863"/>
      <c r="PFR40" s="863"/>
      <c r="PFS40" s="863"/>
      <c r="PFT40" s="863"/>
      <c r="PFU40" s="863"/>
      <c r="PFV40" s="863"/>
      <c r="PFW40" s="863"/>
      <c r="PFX40" s="863"/>
      <c r="PFY40" s="863"/>
      <c r="PFZ40" s="863"/>
      <c r="PGA40" s="863"/>
      <c r="PGB40" s="863"/>
      <c r="PGC40" s="863"/>
      <c r="PGD40" s="863"/>
      <c r="PGE40" s="863"/>
      <c r="PGF40" s="863"/>
      <c r="PGG40" s="863"/>
      <c r="PGH40" s="863"/>
      <c r="PGI40" s="863"/>
      <c r="PGJ40" s="863"/>
      <c r="PGK40" s="883"/>
      <c r="PGL40" s="883"/>
      <c r="PGM40" s="883"/>
      <c r="PGN40" s="883"/>
      <c r="PGO40" s="883"/>
      <c r="PGP40" s="883"/>
      <c r="PGQ40" s="883"/>
      <c r="PGR40" s="883"/>
      <c r="PGS40" s="883"/>
      <c r="PGT40" s="863"/>
      <c r="PGU40" s="863"/>
      <c r="PGV40" s="863"/>
      <c r="PGW40" s="863"/>
      <c r="PGX40" s="863"/>
      <c r="PGY40" s="863"/>
      <c r="PGZ40" s="863"/>
      <c r="PHA40" s="863"/>
      <c r="PHB40" s="863"/>
      <c r="PHC40" s="863"/>
      <c r="PHD40" s="863"/>
      <c r="PHE40" s="863"/>
      <c r="PHF40" s="863"/>
      <c r="PHG40" s="863"/>
      <c r="PHH40" s="863"/>
      <c r="PHI40" s="863"/>
      <c r="PHJ40" s="863"/>
      <c r="PHK40" s="863"/>
      <c r="PHL40" s="863"/>
      <c r="PHM40" s="863"/>
      <c r="PHN40" s="863"/>
      <c r="PHO40" s="863"/>
      <c r="PHP40" s="863"/>
      <c r="PHQ40" s="883"/>
      <c r="PHR40" s="883"/>
      <c r="PHS40" s="883"/>
      <c r="PHT40" s="883"/>
      <c r="PHU40" s="883"/>
      <c r="PHV40" s="883"/>
      <c r="PHW40" s="883"/>
      <c r="PHX40" s="883"/>
      <c r="PHY40" s="883"/>
      <c r="PHZ40" s="863"/>
      <c r="PIA40" s="863"/>
      <c r="PIB40" s="863"/>
      <c r="PIC40" s="863"/>
      <c r="PID40" s="863"/>
      <c r="PIE40" s="863"/>
      <c r="PIF40" s="863"/>
      <c r="PIG40" s="863"/>
      <c r="PIH40" s="863"/>
      <c r="PII40" s="863"/>
      <c r="PIJ40" s="863"/>
      <c r="PIK40" s="863"/>
      <c r="PIL40" s="863"/>
      <c r="PIM40" s="863"/>
      <c r="PIN40" s="863"/>
      <c r="PIO40" s="863"/>
      <c r="PIP40" s="863"/>
      <c r="PIQ40" s="863"/>
      <c r="PIR40" s="863"/>
      <c r="PIS40" s="863"/>
      <c r="PIT40" s="863"/>
      <c r="PIU40" s="863"/>
      <c r="PIV40" s="863"/>
      <c r="PIW40" s="883"/>
      <c r="PIX40" s="883"/>
      <c r="PIY40" s="883"/>
      <c r="PIZ40" s="883"/>
      <c r="PJA40" s="883"/>
      <c r="PJB40" s="883"/>
      <c r="PJC40" s="883"/>
      <c r="PJD40" s="883"/>
      <c r="PJE40" s="883"/>
      <c r="PJF40" s="863"/>
      <c r="PJG40" s="863"/>
      <c r="PJH40" s="863"/>
      <c r="PJI40" s="863"/>
      <c r="PJJ40" s="863"/>
      <c r="PJK40" s="863"/>
      <c r="PJL40" s="863"/>
      <c r="PJM40" s="863"/>
      <c r="PJN40" s="863"/>
      <c r="PJO40" s="863"/>
      <c r="PJP40" s="863"/>
      <c r="PJQ40" s="863"/>
      <c r="PJR40" s="863"/>
      <c r="PJS40" s="863"/>
      <c r="PJT40" s="863"/>
      <c r="PJU40" s="863"/>
      <c r="PJV40" s="863"/>
      <c r="PJW40" s="863"/>
      <c r="PJX40" s="863"/>
      <c r="PJY40" s="863"/>
      <c r="PJZ40" s="863"/>
      <c r="PKA40" s="863"/>
      <c r="PKB40" s="863"/>
      <c r="PKC40" s="883"/>
      <c r="PKD40" s="883"/>
      <c r="PKE40" s="883"/>
      <c r="PKF40" s="883"/>
      <c r="PKG40" s="883"/>
      <c r="PKH40" s="883"/>
      <c r="PKI40" s="883"/>
      <c r="PKJ40" s="883"/>
      <c r="PKK40" s="883"/>
      <c r="PKL40" s="863"/>
      <c r="PKM40" s="863"/>
      <c r="PKN40" s="863"/>
      <c r="PKO40" s="863"/>
      <c r="PKP40" s="863"/>
      <c r="PKQ40" s="863"/>
      <c r="PKR40" s="863"/>
      <c r="PKS40" s="863"/>
      <c r="PKT40" s="863"/>
      <c r="PKU40" s="863"/>
      <c r="PKV40" s="863"/>
      <c r="PKW40" s="863"/>
      <c r="PKX40" s="863"/>
      <c r="PKY40" s="863"/>
      <c r="PKZ40" s="863"/>
      <c r="PLA40" s="863"/>
      <c r="PLB40" s="863"/>
      <c r="PLC40" s="863"/>
      <c r="PLD40" s="863"/>
      <c r="PLE40" s="863"/>
      <c r="PLF40" s="863"/>
      <c r="PLG40" s="863"/>
      <c r="PLH40" s="863"/>
      <c r="PLI40" s="883"/>
      <c r="PLJ40" s="883"/>
      <c r="PLK40" s="883"/>
      <c r="PLL40" s="883"/>
      <c r="PLM40" s="883"/>
      <c r="PLN40" s="883"/>
      <c r="PLO40" s="883"/>
      <c r="PLP40" s="883"/>
      <c r="PLQ40" s="883"/>
      <c r="PLR40" s="863"/>
      <c r="PLS40" s="863"/>
      <c r="PLT40" s="863"/>
      <c r="PLU40" s="863"/>
      <c r="PLV40" s="863"/>
      <c r="PLW40" s="863"/>
      <c r="PLX40" s="863"/>
      <c r="PLY40" s="863"/>
      <c r="PLZ40" s="863"/>
      <c r="PMA40" s="863"/>
      <c r="PMB40" s="863"/>
      <c r="PMC40" s="863"/>
      <c r="PMD40" s="863"/>
      <c r="PME40" s="863"/>
      <c r="PMF40" s="863"/>
      <c r="PMG40" s="863"/>
      <c r="PMH40" s="863"/>
      <c r="PMI40" s="863"/>
      <c r="PMJ40" s="863"/>
      <c r="PMK40" s="863"/>
      <c r="PML40" s="863"/>
      <c r="PMM40" s="863"/>
      <c r="PMN40" s="863"/>
      <c r="PMO40" s="883"/>
      <c r="PMP40" s="883"/>
      <c r="PMQ40" s="883"/>
      <c r="PMR40" s="883"/>
      <c r="PMS40" s="883"/>
      <c r="PMT40" s="883"/>
      <c r="PMU40" s="883"/>
      <c r="PMV40" s="883"/>
      <c r="PMW40" s="883"/>
      <c r="PMX40" s="863"/>
      <c r="PMY40" s="863"/>
      <c r="PMZ40" s="863"/>
      <c r="PNA40" s="863"/>
      <c r="PNB40" s="863"/>
      <c r="PNC40" s="863"/>
      <c r="PND40" s="863"/>
      <c r="PNE40" s="863"/>
      <c r="PNF40" s="863"/>
      <c r="PNG40" s="863"/>
      <c r="PNH40" s="863"/>
      <c r="PNI40" s="863"/>
      <c r="PNJ40" s="863"/>
      <c r="PNK40" s="863"/>
      <c r="PNL40" s="863"/>
      <c r="PNM40" s="863"/>
      <c r="PNN40" s="863"/>
      <c r="PNO40" s="863"/>
      <c r="PNP40" s="863"/>
      <c r="PNQ40" s="863"/>
      <c r="PNR40" s="863"/>
      <c r="PNS40" s="863"/>
      <c r="PNT40" s="863"/>
      <c r="PNU40" s="883"/>
      <c r="PNV40" s="883"/>
      <c r="PNW40" s="883"/>
      <c r="PNX40" s="883"/>
      <c r="PNY40" s="883"/>
      <c r="PNZ40" s="883"/>
      <c r="POA40" s="883"/>
      <c r="POB40" s="883"/>
      <c r="POC40" s="883"/>
      <c r="POD40" s="863"/>
      <c r="POE40" s="863"/>
      <c r="POF40" s="863"/>
      <c r="POG40" s="863"/>
      <c r="POH40" s="863"/>
      <c r="POI40" s="863"/>
      <c r="POJ40" s="863"/>
      <c r="POK40" s="863"/>
      <c r="POL40" s="863"/>
      <c r="POM40" s="863"/>
      <c r="PON40" s="863"/>
      <c r="POO40" s="863"/>
      <c r="POP40" s="863"/>
      <c r="POQ40" s="863"/>
      <c r="POR40" s="863"/>
      <c r="POS40" s="863"/>
      <c r="POT40" s="863"/>
      <c r="POU40" s="863"/>
      <c r="POV40" s="863"/>
      <c r="POW40" s="863"/>
      <c r="POX40" s="863"/>
      <c r="POY40" s="863"/>
      <c r="POZ40" s="863"/>
      <c r="PPA40" s="883"/>
      <c r="PPB40" s="883"/>
      <c r="PPC40" s="883"/>
      <c r="PPD40" s="883"/>
      <c r="PPE40" s="883"/>
      <c r="PPF40" s="883"/>
      <c r="PPG40" s="883"/>
      <c r="PPH40" s="883"/>
      <c r="PPI40" s="883"/>
      <c r="PPJ40" s="863"/>
      <c r="PPK40" s="863"/>
      <c r="PPL40" s="863"/>
      <c r="PPM40" s="863"/>
      <c r="PPN40" s="863"/>
      <c r="PPO40" s="863"/>
      <c r="PPP40" s="863"/>
      <c r="PPQ40" s="863"/>
      <c r="PPR40" s="863"/>
      <c r="PPS40" s="863"/>
      <c r="PPT40" s="863"/>
      <c r="PPU40" s="863"/>
      <c r="PPV40" s="863"/>
      <c r="PPW40" s="863"/>
      <c r="PPX40" s="863"/>
      <c r="PPY40" s="863"/>
      <c r="PPZ40" s="863"/>
      <c r="PQA40" s="863"/>
      <c r="PQB40" s="863"/>
      <c r="PQC40" s="863"/>
      <c r="PQD40" s="863"/>
      <c r="PQE40" s="863"/>
      <c r="PQF40" s="863"/>
      <c r="PQG40" s="883"/>
      <c r="PQH40" s="883"/>
      <c r="PQI40" s="883"/>
      <c r="PQJ40" s="883"/>
      <c r="PQK40" s="883"/>
      <c r="PQL40" s="883"/>
      <c r="PQM40" s="883"/>
      <c r="PQN40" s="883"/>
      <c r="PQO40" s="883"/>
      <c r="PQP40" s="863"/>
      <c r="PQQ40" s="863"/>
      <c r="PQR40" s="863"/>
      <c r="PQS40" s="863"/>
      <c r="PQT40" s="863"/>
      <c r="PQU40" s="863"/>
      <c r="PQV40" s="863"/>
      <c r="PQW40" s="863"/>
      <c r="PQX40" s="863"/>
      <c r="PQY40" s="863"/>
      <c r="PQZ40" s="863"/>
      <c r="PRA40" s="863"/>
      <c r="PRB40" s="863"/>
      <c r="PRC40" s="863"/>
      <c r="PRD40" s="863"/>
      <c r="PRE40" s="863"/>
      <c r="PRF40" s="863"/>
      <c r="PRG40" s="863"/>
      <c r="PRH40" s="863"/>
      <c r="PRI40" s="863"/>
      <c r="PRJ40" s="863"/>
      <c r="PRK40" s="863"/>
      <c r="PRL40" s="863"/>
      <c r="PRM40" s="883"/>
      <c r="PRN40" s="883"/>
      <c r="PRO40" s="883"/>
      <c r="PRP40" s="883"/>
      <c r="PRQ40" s="883"/>
      <c r="PRR40" s="883"/>
      <c r="PRS40" s="883"/>
      <c r="PRT40" s="883"/>
      <c r="PRU40" s="883"/>
      <c r="PRV40" s="863"/>
      <c r="PRW40" s="863"/>
      <c r="PRX40" s="863"/>
      <c r="PRY40" s="863"/>
      <c r="PRZ40" s="863"/>
      <c r="PSA40" s="863"/>
      <c r="PSB40" s="863"/>
      <c r="PSC40" s="863"/>
      <c r="PSD40" s="863"/>
      <c r="PSE40" s="863"/>
      <c r="PSF40" s="863"/>
      <c r="PSG40" s="863"/>
      <c r="PSH40" s="863"/>
      <c r="PSI40" s="863"/>
      <c r="PSJ40" s="863"/>
      <c r="PSK40" s="863"/>
      <c r="PSL40" s="863"/>
      <c r="PSM40" s="863"/>
      <c r="PSN40" s="863"/>
      <c r="PSO40" s="863"/>
      <c r="PSP40" s="863"/>
      <c r="PSQ40" s="863"/>
      <c r="PSR40" s="863"/>
      <c r="PSS40" s="883"/>
      <c r="PST40" s="883"/>
      <c r="PSU40" s="883"/>
      <c r="PSV40" s="883"/>
      <c r="PSW40" s="883"/>
      <c r="PSX40" s="883"/>
      <c r="PSY40" s="883"/>
      <c r="PSZ40" s="883"/>
      <c r="PTA40" s="883"/>
      <c r="PTB40" s="863"/>
      <c r="PTC40" s="863"/>
      <c r="PTD40" s="863"/>
      <c r="PTE40" s="863"/>
      <c r="PTF40" s="863"/>
      <c r="PTG40" s="863"/>
      <c r="PTH40" s="863"/>
      <c r="PTI40" s="863"/>
      <c r="PTJ40" s="863"/>
      <c r="PTK40" s="863"/>
      <c r="PTL40" s="863"/>
      <c r="PTM40" s="863"/>
      <c r="PTN40" s="863"/>
      <c r="PTO40" s="863"/>
      <c r="PTP40" s="863"/>
      <c r="PTQ40" s="863"/>
      <c r="PTR40" s="863"/>
      <c r="PTS40" s="863"/>
      <c r="PTT40" s="863"/>
      <c r="PTU40" s="863"/>
      <c r="PTV40" s="863"/>
      <c r="PTW40" s="863"/>
      <c r="PTX40" s="863"/>
      <c r="PTY40" s="883"/>
      <c r="PTZ40" s="883"/>
      <c r="PUA40" s="883"/>
      <c r="PUB40" s="883"/>
      <c r="PUC40" s="883"/>
      <c r="PUD40" s="883"/>
      <c r="PUE40" s="883"/>
      <c r="PUF40" s="883"/>
      <c r="PUG40" s="883"/>
      <c r="PUH40" s="863"/>
      <c r="PUI40" s="863"/>
      <c r="PUJ40" s="863"/>
      <c r="PUK40" s="863"/>
      <c r="PUL40" s="863"/>
      <c r="PUM40" s="863"/>
      <c r="PUN40" s="863"/>
      <c r="PUO40" s="863"/>
      <c r="PUP40" s="863"/>
      <c r="PUQ40" s="863"/>
      <c r="PUR40" s="863"/>
      <c r="PUS40" s="863"/>
      <c r="PUT40" s="863"/>
      <c r="PUU40" s="863"/>
      <c r="PUV40" s="863"/>
      <c r="PUW40" s="863"/>
      <c r="PUX40" s="863"/>
      <c r="PUY40" s="863"/>
      <c r="PUZ40" s="863"/>
      <c r="PVA40" s="863"/>
      <c r="PVB40" s="863"/>
      <c r="PVC40" s="863"/>
      <c r="PVD40" s="863"/>
      <c r="PVE40" s="883"/>
      <c r="PVF40" s="883"/>
      <c r="PVG40" s="883"/>
      <c r="PVH40" s="883"/>
      <c r="PVI40" s="883"/>
      <c r="PVJ40" s="883"/>
      <c r="PVK40" s="883"/>
      <c r="PVL40" s="883"/>
      <c r="PVM40" s="883"/>
      <c r="PVN40" s="863"/>
      <c r="PVO40" s="863"/>
      <c r="PVP40" s="863"/>
      <c r="PVQ40" s="863"/>
      <c r="PVR40" s="863"/>
      <c r="PVS40" s="863"/>
      <c r="PVT40" s="863"/>
      <c r="PVU40" s="863"/>
      <c r="PVV40" s="863"/>
      <c r="PVW40" s="863"/>
      <c r="PVX40" s="863"/>
      <c r="PVY40" s="863"/>
      <c r="PVZ40" s="863"/>
      <c r="PWA40" s="863"/>
      <c r="PWB40" s="863"/>
      <c r="PWC40" s="863"/>
      <c r="PWD40" s="863"/>
      <c r="PWE40" s="863"/>
      <c r="PWF40" s="863"/>
      <c r="PWG40" s="863"/>
      <c r="PWH40" s="863"/>
      <c r="PWI40" s="863"/>
      <c r="PWJ40" s="863"/>
      <c r="PWK40" s="883"/>
      <c r="PWL40" s="883"/>
      <c r="PWM40" s="883"/>
      <c r="PWN40" s="883"/>
      <c r="PWO40" s="883"/>
      <c r="PWP40" s="883"/>
      <c r="PWQ40" s="883"/>
      <c r="PWR40" s="883"/>
      <c r="PWS40" s="883"/>
      <c r="PWT40" s="863"/>
      <c r="PWU40" s="863"/>
      <c r="PWV40" s="863"/>
      <c r="PWW40" s="863"/>
      <c r="PWX40" s="863"/>
      <c r="PWY40" s="863"/>
      <c r="PWZ40" s="863"/>
      <c r="PXA40" s="863"/>
      <c r="PXB40" s="863"/>
      <c r="PXC40" s="863"/>
      <c r="PXD40" s="863"/>
      <c r="PXE40" s="863"/>
      <c r="PXF40" s="863"/>
      <c r="PXG40" s="863"/>
      <c r="PXH40" s="863"/>
      <c r="PXI40" s="863"/>
      <c r="PXJ40" s="863"/>
      <c r="PXK40" s="863"/>
      <c r="PXL40" s="863"/>
      <c r="PXM40" s="863"/>
      <c r="PXN40" s="863"/>
      <c r="PXO40" s="863"/>
      <c r="PXP40" s="863"/>
      <c r="PXQ40" s="883"/>
      <c r="PXR40" s="883"/>
      <c r="PXS40" s="883"/>
      <c r="PXT40" s="883"/>
      <c r="PXU40" s="883"/>
      <c r="PXV40" s="883"/>
      <c r="PXW40" s="883"/>
      <c r="PXX40" s="883"/>
      <c r="PXY40" s="883"/>
      <c r="PXZ40" s="863"/>
      <c r="PYA40" s="863"/>
      <c r="PYB40" s="863"/>
      <c r="PYC40" s="863"/>
      <c r="PYD40" s="863"/>
      <c r="PYE40" s="863"/>
      <c r="PYF40" s="863"/>
      <c r="PYG40" s="863"/>
      <c r="PYH40" s="863"/>
      <c r="PYI40" s="863"/>
      <c r="PYJ40" s="863"/>
      <c r="PYK40" s="863"/>
      <c r="PYL40" s="863"/>
      <c r="PYM40" s="863"/>
      <c r="PYN40" s="863"/>
      <c r="PYO40" s="863"/>
      <c r="PYP40" s="863"/>
      <c r="PYQ40" s="863"/>
      <c r="PYR40" s="863"/>
      <c r="PYS40" s="863"/>
      <c r="PYT40" s="863"/>
      <c r="PYU40" s="863"/>
      <c r="PYV40" s="863"/>
      <c r="PYW40" s="883"/>
      <c r="PYX40" s="883"/>
      <c r="PYY40" s="883"/>
      <c r="PYZ40" s="883"/>
      <c r="PZA40" s="883"/>
      <c r="PZB40" s="883"/>
      <c r="PZC40" s="883"/>
      <c r="PZD40" s="883"/>
      <c r="PZE40" s="883"/>
      <c r="PZF40" s="863"/>
      <c r="PZG40" s="863"/>
      <c r="PZH40" s="863"/>
      <c r="PZI40" s="863"/>
      <c r="PZJ40" s="863"/>
      <c r="PZK40" s="863"/>
      <c r="PZL40" s="863"/>
      <c r="PZM40" s="863"/>
      <c r="PZN40" s="863"/>
      <c r="PZO40" s="863"/>
      <c r="PZP40" s="863"/>
      <c r="PZQ40" s="863"/>
      <c r="PZR40" s="863"/>
      <c r="PZS40" s="863"/>
      <c r="PZT40" s="863"/>
      <c r="PZU40" s="863"/>
      <c r="PZV40" s="863"/>
      <c r="PZW40" s="863"/>
      <c r="PZX40" s="863"/>
      <c r="PZY40" s="863"/>
      <c r="PZZ40" s="863"/>
      <c r="QAA40" s="863"/>
      <c r="QAB40" s="863"/>
      <c r="QAC40" s="883"/>
      <c r="QAD40" s="883"/>
      <c r="QAE40" s="883"/>
      <c r="QAF40" s="883"/>
      <c r="QAG40" s="883"/>
      <c r="QAH40" s="883"/>
      <c r="QAI40" s="883"/>
      <c r="QAJ40" s="883"/>
      <c r="QAK40" s="883"/>
      <c r="QAL40" s="863"/>
      <c r="QAM40" s="863"/>
      <c r="QAN40" s="863"/>
      <c r="QAO40" s="863"/>
      <c r="QAP40" s="863"/>
      <c r="QAQ40" s="863"/>
      <c r="QAR40" s="863"/>
      <c r="QAS40" s="863"/>
      <c r="QAT40" s="863"/>
      <c r="QAU40" s="863"/>
      <c r="QAV40" s="863"/>
      <c r="QAW40" s="863"/>
      <c r="QAX40" s="863"/>
      <c r="QAY40" s="863"/>
      <c r="QAZ40" s="863"/>
      <c r="QBA40" s="863"/>
      <c r="QBB40" s="863"/>
      <c r="QBC40" s="863"/>
      <c r="QBD40" s="863"/>
      <c r="QBE40" s="863"/>
      <c r="QBF40" s="863"/>
      <c r="QBG40" s="863"/>
      <c r="QBH40" s="863"/>
      <c r="QBI40" s="883"/>
      <c r="QBJ40" s="883"/>
      <c r="QBK40" s="883"/>
      <c r="QBL40" s="883"/>
      <c r="QBM40" s="883"/>
      <c r="QBN40" s="883"/>
      <c r="QBO40" s="883"/>
      <c r="QBP40" s="883"/>
      <c r="QBQ40" s="883"/>
      <c r="QBR40" s="863"/>
      <c r="QBS40" s="863"/>
      <c r="QBT40" s="863"/>
      <c r="QBU40" s="863"/>
      <c r="QBV40" s="863"/>
      <c r="QBW40" s="863"/>
      <c r="QBX40" s="863"/>
      <c r="QBY40" s="863"/>
      <c r="QBZ40" s="863"/>
      <c r="QCA40" s="863"/>
      <c r="QCB40" s="863"/>
      <c r="QCC40" s="863"/>
      <c r="QCD40" s="863"/>
      <c r="QCE40" s="863"/>
      <c r="QCF40" s="863"/>
      <c r="QCG40" s="863"/>
      <c r="QCH40" s="863"/>
      <c r="QCI40" s="863"/>
      <c r="QCJ40" s="863"/>
      <c r="QCK40" s="863"/>
      <c r="QCL40" s="863"/>
      <c r="QCM40" s="863"/>
      <c r="QCN40" s="863"/>
      <c r="QCO40" s="883"/>
      <c r="QCP40" s="883"/>
      <c r="QCQ40" s="883"/>
      <c r="QCR40" s="883"/>
      <c r="QCS40" s="883"/>
      <c r="QCT40" s="883"/>
      <c r="QCU40" s="883"/>
      <c r="QCV40" s="883"/>
      <c r="QCW40" s="883"/>
      <c r="QCX40" s="863"/>
      <c r="QCY40" s="863"/>
      <c r="QCZ40" s="863"/>
      <c r="QDA40" s="863"/>
      <c r="QDB40" s="863"/>
      <c r="QDC40" s="863"/>
      <c r="QDD40" s="863"/>
      <c r="QDE40" s="863"/>
      <c r="QDF40" s="863"/>
      <c r="QDG40" s="863"/>
      <c r="QDH40" s="863"/>
      <c r="QDI40" s="863"/>
      <c r="QDJ40" s="863"/>
      <c r="QDK40" s="863"/>
      <c r="QDL40" s="863"/>
      <c r="QDM40" s="863"/>
      <c r="QDN40" s="863"/>
      <c r="QDO40" s="863"/>
      <c r="QDP40" s="863"/>
      <c r="QDQ40" s="863"/>
      <c r="QDR40" s="863"/>
      <c r="QDS40" s="863"/>
      <c r="QDT40" s="863"/>
      <c r="QDU40" s="883"/>
      <c r="QDV40" s="883"/>
      <c r="QDW40" s="883"/>
      <c r="QDX40" s="883"/>
      <c r="QDY40" s="883"/>
      <c r="QDZ40" s="883"/>
      <c r="QEA40" s="883"/>
      <c r="QEB40" s="883"/>
      <c r="QEC40" s="883"/>
      <c r="QED40" s="863"/>
      <c r="QEE40" s="863"/>
      <c r="QEF40" s="863"/>
      <c r="QEG40" s="863"/>
      <c r="QEH40" s="863"/>
      <c r="QEI40" s="863"/>
      <c r="QEJ40" s="863"/>
      <c r="QEK40" s="863"/>
      <c r="QEL40" s="863"/>
      <c r="QEM40" s="863"/>
      <c r="QEN40" s="863"/>
      <c r="QEO40" s="863"/>
      <c r="QEP40" s="863"/>
      <c r="QEQ40" s="863"/>
      <c r="QER40" s="863"/>
      <c r="QES40" s="863"/>
      <c r="QET40" s="863"/>
      <c r="QEU40" s="863"/>
      <c r="QEV40" s="863"/>
      <c r="QEW40" s="863"/>
      <c r="QEX40" s="863"/>
      <c r="QEY40" s="863"/>
      <c r="QEZ40" s="863"/>
      <c r="QFA40" s="883"/>
      <c r="QFB40" s="883"/>
      <c r="QFC40" s="883"/>
      <c r="QFD40" s="883"/>
      <c r="QFE40" s="883"/>
      <c r="QFF40" s="883"/>
      <c r="QFG40" s="883"/>
      <c r="QFH40" s="883"/>
      <c r="QFI40" s="883"/>
      <c r="QFJ40" s="863"/>
      <c r="QFK40" s="863"/>
      <c r="QFL40" s="863"/>
      <c r="QFM40" s="863"/>
      <c r="QFN40" s="863"/>
      <c r="QFO40" s="863"/>
      <c r="QFP40" s="863"/>
      <c r="QFQ40" s="863"/>
      <c r="QFR40" s="863"/>
      <c r="QFS40" s="863"/>
      <c r="QFT40" s="863"/>
      <c r="QFU40" s="863"/>
      <c r="QFV40" s="863"/>
      <c r="QFW40" s="863"/>
      <c r="QFX40" s="863"/>
      <c r="QFY40" s="863"/>
      <c r="QFZ40" s="863"/>
      <c r="QGA40" s="863"/>
      <c r="QGB40" s="863"/>
      <c r="QGC40" s="863"/>
      <c r="QGD40" s="863"/>
      <c r="QGE40" s="863"/>
      <c r="QGF40" s="863"/>
      <c r="QGG40" s="883"/>
      <c r="QGH40" s="883"/>
      <c r="QGI40" s="883"/>
      <c r="QGJ40" s="883"/>
      <c r="QGK40" s="883"/>
      <c r="QGL40" s="883"/>
      <c r="QGM40" s="883"/>
      <c r="QGN40" s="883"/>
      <c r="QGO40" s="883"/>
      <c r="QGP40" s="863"/>
      <c r="QGQ40" s="863"/>
      <c r="QGR40" s="863"/>
      <c r="QGS40" s="863"/>
      <c r="QGT40" s="863"/>
      <c r="QGU40" s="863"/>
      <c r="QGV40" s="863"/>
      <c r="QGW40" s="863"/>
      <c r="QGX40" s="863"/>
      <c r="QGY40" s="863"/>
      <c r="QGZ40" s="863"/>
      <c r="QHA40" s="863"/>
      <c r="QHB40" s="863"/>
      <c r="QHC40" s="863"/>
      <c r="QHD40" s="863"/>
      <c r="QHE40" s="863"/>
      <c r="QHF40" s="863"/>
      <c r="QHG40" s="863"/>
      <c r="QHH40" s="863"/>
      <c r="QHI40" s="863"/>
      <c r="QHJ40" s="863"/>
      <c r="QHK40" s="863"/>
      <c r="QHL40" s="863"/>
      <c r="QHM40" s="883"/>
      <c r="QHN40" s="883"/>
      <c r="QHO40" s="883"/>
      <c r="QHP40" s="883"/>
      <c r="QHQ40" s="883"/>
      <c r="QHR40" s="883"/>
      <c r="QHS40" s="883"/>
      <c r="QHT40" s="883"/>
      <c r="QHU40" s="883"/>
      <c r="QHV40" s="863"/>
      <c r="QHW40" s="863"/>
      <c r="QHX40" s="863"/>
      <c r="QHY40" s="863"/>
      <c r="QHZ40" s="863"/>
      <c r="QIA40" s="863"/>
      <c r="QIB40" s="863"/>
      <c r="QIC40" s="863"/>
      <c r="QID40" s="863"/>
      <c r="QIE40" s="863"/>
      <c r="QIF40" s="863"/>
      <c r="QIG40" s="863"/>
      <c r="QIH40" s="863"/>
      <c r="QII40" s="863"/>
      <c r="QIJ40" s="863"/>
      <c r="QIK40" s="863"/>
      <c r="QIL40" s="863"/>
      <c r="QIM40" s="863"/>
      <c r="QIN40" s="863"/>
      <c r="QIO40" s="863"/>
      <c r="QIP40" s="863"/>
      <c r="QIQ40" s="863"/>
      <c r="QIR40" s="863"/>
      <c r="QIS40" s="883"/>
      <c r="QIT40" s="883"/>
      <c r="QIU40" s="883"/>
      <c r="QIV40" s="883"/>
      <c r="QIW40" s="883"/>
      <c r="QIX40" s="883"/>
      <c r="QIY40" s="883"/>
      <c r="QIZ40" s="883"/>
      <c r="QJA40" s="883"/>
      <c r="QJB40" s="863"/>
      <c r="QJC40" s="863"/>
      <c r="QJD40" s="863"/>
      <c r="QJE40" s="863"/>
      <c r="QJF40" s="863"/>
      <c r="QJG40" s="863"/>
      <c r="QJH40" s="863"/>
      <c r="QJI40" s="863"/>
      <c r="QJJ40" s="863"/>
      <c r="QJK40" s="863"/>
      <c r="QJL40" s="863"/>
      <c r="QJM40" s="863"/>
      <c r="QJN40" s="863"/>
      <c r="QJO40" s="863"/>
      <c r="QJP40" s="863"/>
      <c r="QJQ40" s="863"/>
      <c r="QJR40" s="863"/>
      <c r="QJS40" s="863"/>
      <c r="QJT40" s="863"/>
      <c r="QJU40" s="863"/>
      <c r="QJV40" s="863"/>
      <c r="QJW40" s="863"/>
      <c r="QJX40" s="863"/>
      <c r="QJY40" s="883"/>
      <c r="QJZ40" s="883"/>
      <c r="QKA40" s="883"/>
      <c r="QKB40" s="883"/>
      <c r="QKC40" s="883"/>
      <c r="QKD40" s="883"/>
      <c r="QKE40" s="883"/>
      <c r="QKF40" s="883"/>
      <c r="QKG40" s="883"/>
      <c r="QKH40" s="863"/>
      <c r="QKI40" s="863"/>
      <c r="QKJ40" s="863"/>
      <c r="QKK40" s="863"/>
      <c r="QKL40" s="863"/>
      <c r="QKM40" s="863"/>
      <c r="QKN40" s="863"/>
      <c r="QKO40" s="863"/>
      <c r="QKP40" s="863"/>
      <c r="QKQ40" s="863"/>
      <c r="QKR40" s="863"/>
      <c r="QKS40" s="863"/>
      <c r="QKT40" s="863"/>
      <c r="QKU40" s="863"/>
      <c r="QKV40" s="863"/>
      <c r="QKW40" s="863"/>
      <c r="QKX40" s="863"/>
      <c r="QKY40" s="863"/>
      <c r="QKZ40" s="863"/>
      <c r="QLA40" s="863"/>
      <c r="QLB40" s="863"/>
      <c r="QLC40" s="863"/>
      <c r="QLD40" s="863"/>
      <c r="QLE40" s="883"/>
      <c r="QLF40" s="883"/>
      <c r="QLG40" s="883"/>
      <c r="QLH40" s="883"/>
      <c r="QLI40" s="883"/>
      <c r="QLJ40" s="883"/>
      <c r="QLK40" s="883"/>
      <c r="QLL40" s="883"/>
      <c r="QLM40" s="883"/>
      <c r="QLN40" s="863"/>
      <c r="QLO40" s="863"/>
      <c r="QLP40" s="863"/>
      <c r="QLQ40" s="863"/>
      <c r="QLR40" s="863"/>
      <c r="QLS40" s="863"/>
      <c r="QLT40" s="863"/>
      <c r="QLU40" s="863"/>
      <c r="QLV40" s="863"/>
      <c r="QLW40" s="863"/>
      <c r="QLX40" s="863"/>
      <c r="QLY40" s="863"/>
      <c r="QLZ40" s="863"/>
      <c r="QMA40" s="863"/>
      <c r="QMB40" s="863"/>
      <c r="QMC40" s="863"/>
      <c r="QMD40" s="863"/>
      <c r="QME40" s="863"/>
      <c r="QMF40" s="863"/>
      <c r="QMG40" s="863"/>
      <c r="QMH40" s="863"/>
      <c r="QMI40" s="863"/>
      <c r="QMJ40" s="863"/>
      <c r="QMK40" s="883"/>
      <c r="QML40" s="883"/>
      <c r="QMM40" s="883"/>
      <c r="QMN40" s="883"/>
      <c r="QMO40" s="883"/>
      <c r="QMP40" s="883"/>
      <c r="QMQ40" s="883"/>
      <c r="QMR40" s="883"/>
      <c r="QMS40" s="883"/>
      <c r="QMT40" s="863"/>
      <c r="QMU40" s="863"/>
      <c r="QMV40" s="863"/>
      <c r="QMW40" s="863"/>
      <c r="QMX40" s="863"/>
      <c r="QMY40" s="863"/>
      <c r="QMZ40" s="863"/>
      <c r="QNA40" s="863"/>
      <c r="QNB40" s="863"/>
      <c r="QNC40" s="863"/>
      <c r="QND40" s="863"/>
      <c r="QNE40" s="863"/>
      <c r="QNF40" s="863"/>
      <c r="QNG40" s="863"/>
      <c r="QNH40" s="863"/>
      <c r="QNI40" s="863"/>
      <c r="QNJ40" s="863"/>
      <c r="QNK40" s="863"/>
      <c r="QNL40" s="863"/>
      <c r="QNM40" s="863"/>
      <c r="QNN40" s="863"/>
      <c r="QNO40" s="863"/>
      <c r="QNP40" s="863"/>
      <c r="QNQ40" s="883"/>
      <c r="QNR40" s="883"/>
      <c r="QNS40" s="883"/>
      <c r="QNT40" s="883"/>
      <c r="QNU40" s="883"/>
      <c r="QNV40" s="883"/>
      <c r="QNW40" s="883"/>
      <c r="QNX40" s="883"/>
      <c r="QNY40" s="883"/>
      <c r="QNZ40" s="863"/>
      <c r="QOA40" s="863"/>
      <c r="QOB40" s="863"/>
      <c r="QOC40" s="863"/>
      <c r="QOD40" s="863"/>
      <c r="QOE40" s="863"/>
      <c r="QOF40" s="863"/>
      <c r="QOG40" s="863"/>
      <c r="QOH40" s="863"/>
      <c r="QOI40" s="863"/>
      <c r="QOJ40" s="863"/>
      <c r="QOK40" s="863"/>
      <c r="QOL40" s="863"/>
      <c r="QOM40" s="863"/>
      <c r="QON40" s="863"/>
      <c r="QOO40" s="863"/>
      <c r="QOP40" s="863"/>
      <c r="QOQ40" s="863"/>
      <c r="QOR40" s="863"/>
      <c r="QOS40" s="863"/>
      <c r="QOT40" s="863"/>
      <c r="QOU40" s="863"/>
      <c r="QOV40" s="863"/>
      <c r="QOW40" s="883"/>
      <c r="QOX40" s="883"/>
      <c r="QOY40" s="883"/>
      <c r="QOZ40" s="883"/>
      <c r="QPA40" s="883"/>
      <c r="QPB40" s="883"/>
      <c r="QPC40" s="883"/>
      <c r="QPD40" s="883"/>
      <c r="QPE40" s="883"/>
      <c r="QPF40" s="863"/>
      <c r="QPG40" s="863"/>
      <c r="QPH40" s="863"/>
      <c r="QPI40" s="863"/>
      <c r="QPJ40" s="863"/>
      <c r="QPK40" s="863"/>
      <c r="QPL40" s="863"/>
      <c r="QPM40" s="863"/>
      <c r="QPN40" s="863"/>
      <c r="QPO40" s="863"/>
      <c r="QPP40" s="863"/>
      <c r="QPQ40" s="863"/>
      <c r="QPR40" s="863"/>
      <c r="QPS40" s="863"/>
      <c r="QPT40" s="863"/>
      <c r="QPU40" s="863"/>
      <c r="QPV40" s="863"/>
      <c r="QPW40" s="863"/>
      <c r="QPX40" s="863"/>
      <c r="QPY40" s="863"/>
      <c r="QPZ40" s="863"/>
      <c r="QQA40" s="863"/>
      <c r="QQB40" s="863"/>
      <c r="QQC40" s="883"/>
      <c r="QQD40" s="883"/>
      <c r="QQE40" s="883"/>
      <c r="QQF40" s="883"/>
      <c r="QQG40" s="883"/>
      <c r="QQH40" s="883"/>
      <c r="QQI40" s="883"/>
      <c r="QQJ40" s="883"/>
      <c r="QQK40" s="883"/>
      <c r="QQL40" s="863"/>
      <c r="QQM40" s="863"/>
      <c r="QQN40" s="863"/>
      <c r="QQO40" s="863"/>
      <c r="QQP40" s="863"/>
      <c r="QQQ40" s="863"/>
      <c r="QQR40" s="863"/>
      <c r="QQS40" s="863"/>
      <c r="QQT40" s="863"/>
      <c r="QQU40" s="863"/>
      <c r="QQV40" s="863"/>
      <c r="QQW40" s="863"/>
      <c r="QQX40" s="863"/>
      <c r="QQY40" s="863"/>
      <c r="QQZ40" s="863"/>
      <c r="QRA40" s="863"/>
      <c r="QRB40" s="863"/>
      <c r="QRC40" s="863"/>
      <c r="QRD40" s="863"/>
      <c r="QRE40" s="863"/>
      <c r="QRF40" s="863"/>
      <c r="QRG40" s="863"/>
      <c r="QRH40" s="863"/>
      <c r="QRI40" s="883"/>
      <c r="QRJ40" s="883"/>
      <c r="QRK40" s="883"/>
      <c r="QRL40" s="883"/>
      <c r="QRM40" s="883"/>
      <c r="QRN40" s="883"/>
      <c r="QRO40" s="883"/>
      <c r="QRP40" s="883"/>
      <c r="QRQ40" s="883"/>
      <c r="QRR40" s="863"/>
      <c r="QRS40" s="863"/>
      <c r="QRT40" s="863"/>
      <c r="QRU40" s="863"/>
      <c r="QRV40" s="863"/>
      <c r="QRW40" s="863"/>
      <c r="QRX40" s="863"/>
      <c r="QRY40" s="863"/>
      <c r="QRZ40" s="863"/>
      <c r="QSA40" s="863"/>
      <c r="QSB40" s="863"/>
      <c r="QSC40" s="863"/>
      <c r="QSD40" s="863"/>
      <c r="QSE40" s="863"/>
      <c r="QSF40" s="863"/>
      <c r="QSG40" s="863"/>
      <c r="QSH40" s="863"/>
      <c r="QSI40" s="863"/>
      <c r="QSJ40" s="863"/>
      <c r="QSK40" s="863"/>
      <c r="QSL40" s="863"/>
      <c r="QSM40" s="863"/>
      <c r="QSN40" s="863"/>
      <c r="QSO40" s="883"/>
      <c r="QSP40" s="883"/>
      <c r="QSQ40" s="883"/>
      <c r="QSR40" s="883"/>
      <c r="QSS40" s="883"/>
      <c r="QST40" s="883"/>
      <c r="QSU40" s="883"/>
      <c r="QSV40" s="883"/>
      <c r="QSW40" s="883"/>
      <c r="QSX40" s="863"/>
      <c r="QSY40" s="863"/>
      <c r="QSZ40" s="863"/>
      <c r="QTA40" s="863"/>
      <c r="QTB40" s="863"/>
      <c r="QTC40" s="863"/>
      <c r="QTD40" s="863"/>
      <c r="QTE40" s="863"/>
      <c r="QTF40" s="863"/>
      <c r="QTG40" s="863"/>
      <c r="QTH40" s="863"/>
      <c r="QTI40" s="863"/>
      <c r="QTJ40" s="863"/>
      <c r="QTK40" s="863"/>
      <c r="QTL40" s="863"/>
      <c r="QTM40" s="863"/>
      <c r="QTN40" s="863"/>
      <c r="QTO40" s="863"/>
      <c r="QTP40" s="863"/>
      <c r="QTQ40" s="863"/>
      <c r="QTR40" s="863"/>
      <c r="QTS40" s="863"/>
      <c r="QTT40" s="863"/>
      <c r="QTU40" s="883"/>
      <c r="QTV40" s="883"/>
      <c r="QTW40" s="883"/>
      <c r="QTX40" s="883"/>
      <c r="QTY40" s="883"/>
      <c r="QTZ40" s="883"/>
      <c r="QUA40" s="883"/>
      <c r="QUB40" s="883"/>
      <c r="QUC40" s="883"/>
      <c r="QUD40" s="863"/>
      <c r="QUE40" s="863"/>
      <c r="QUF40" s="863"/>
      <c r="QUG40" s="863"/>
      <c r="QUH40" s="863"/>
      <c r="QUI40" s="863"/>
      <c r="QUJ40" s="863"/>
      <c r="QUK40" s="863"/>
      <c r="QUL40" s="863"/>
      <c r="QUM40" s="863"/>
      <c r="QUN40" s="863"/>
      <c r="QUO40" s="863"/>
      <c r="QUP40" s="863"/>
      <c r="QUQ40" s="863"/>
      <c r="QUR40" s="863"/>
      <c r="QUS40" s="863"/>
      <c r="QUT40" s="863"/>
      <c r="QUU40" s="863"/>
      <c r="QUV40" s="863"/>
      <c r="QUW40" s="863"/>
      <c r="QUX40" s="863"/>
      <c r="QUY40" s="863"/>
      <c r="QUZ40" s="863"/>
      <c r="QVA40" s="883"/>
      <c r="QVB40" s="883"/>
      <c r="QVC40" s="883"/>
      <c r="QVD40" s="883"/>
      <c r="QVE40" s="883"/>
      <c r="QVF40" s="883"/>
      <c r="QVG40" s="883"/>
      <c r="QVH40" s="883"/>
      <c r="QVI40" s="883"/>
      <c r="QVJ40" s="863"/>
      <c r="QVK40" s="863"/>
      <c r="QVL40" s="863"/>
      <c r="QVM40" s="863"/>
      <c r="QVN40" s="863"/>
      <c r="QVO40" s="863"/>
      <c r="QVP40" s="863"/>
      <c r="QVQ40" s="863"/>
      <c r="QVR40" s="863"/>
      <c r="QVS40" s="863"/>
      <c r="QVT40" s="863"/>
      <c r="QVU40" s="863"/>
      <c r="QVV40" s="863"/>
      <c r="QVW40" s="863"/>
      <c r="QVX40" s="863"/>
      <c r="QVY40" s="863"/>
      <c r="QVZ40" s="863"/>
      <c r="QWA40" s="863"/>
      <c r="QWB40" s="863"/>
      <c r="QWC40" s="863"/>
      <c r="QWD40" s="863"/>
      <c r="QWE40" s="863"/>
      <c r="QWF40" s="863"/>
      <c r="QWG40" s="883"/>
      <c r="QWH40" s="883"/>
      <c r="QWI40" s="883"/>
      <c r="QWJ40" s="883"/>
      <c r="QWK40" s="883"/>
      <c r="QWL40" s="883"/>
      <c r="QWM40" s="883"/>
      <c r="QWN40" s="883"/>
      <c r="QWO40" s="883"/>
      <c r="QWP40" s="863"/>
      <c r="QWQ40" s="863"/>
      <c r="QWR40" s="863"/>
      <c r="QWS40" s="863"/>
      <c r="QWT40" s="863"/>
      <c r="QWU40" s="863"/>
      <c r="QWV40" s="863"/>
      <c r="QWW40" s="863"/>
      <c r="QWX40" s="863"/>
      <c r="QWY40" s="863"/>
      <c r="QWZ40" s="863"/>
      <c r="QXA40" s="863"/>
      <c r="QXB40" s="863"/>
      <c r="QXC40" s="863"/>
      <c r="QXD40" s="863"/>
      <c r="QXE40" s="863"/>
      <c r="QXF40" s="863"/>
      <c r="QXG40" s="863"/>
      <c r="QXH40" s="863"/>
      <c r="QXI40" s="863"/>
      <c r="QXJ40" s="863"/>
      <c r="QXK40" s="863"/>
      <c r="QXL40" s="863"/>
      <c r="QXM40" s="883"/>
      <c r="QXN40" s="883"/>
      <c r="QXO40" s="883"/>
      <c r="QXP40" s="883"/>
      <c r="QXQ40" s="883"/>
      <c r="QXR40" s="883"/>
      <c r="QXS40" s="883"/>
      <c r="QXT40" s="883"/>
      <c r="QXU40" s="883"/>
      <c r="QXV40" s="863"/>
      <c r="QXW40" s="863"/>
      <c r="QXX40" s="863"/>
      <c r="QXY40" s="863"/>
      <c r="QXZ40" s="863"/>
      <c r="QYA40" s="863"/>
      <c r="QYB40" s="863"/>
      <c r="QYC40" s="863"/>
      <c r="QYD40" s="863"/>
      <c r="QYE40" s="863"/>
      <c r="QYF40" s="863"/>
      <c r="QYG40" s="863"/>
      <c r="QYH40" s="863"/>
      <c r="QYI40" s="863"/>
      <c r="QYJ40" s="863"/>
      <c r="QYK40" s="863"/>
      <c r="QYL40" s="863"/>
      <c r="QYM40" s="863"/>
      <c r="QYN40" s="863"/>
      <c r="QYO40" s="863"/>
      <c r="QYP40" s="863"/>
      <c r="QYQ40" s="863"/>
      <c r="QYR40" s="863"/>
      <c r="QYS40" s="883"/>
      <c r="QYT40" s="883"/>
      <c r="QYU40" s="883"/>
      <c r="QYV40" s="883"/>
      <c r="QYW40" s="883"/>
      <c r="QYX40" s="883"/>
      <c r="QYY40" s="883"/>
      <c r="QYZ40" s="883"/>
      <c r="QZA40" s="883"/>
      <c r="QZB40" s="863"/>
      <c r="QZC40" s="863"/>
      <c r="QZD40" s="863"/>
      <c r="QZE40" s="863"/>
      <c r="QZF40" s="863"/>
      <c r="QZG40" s="863"/>
      <c r="QZH40" s="863"/>
      <c r="QZI40" s="863"/>
      <c r="QZJ40" s="863"/>
      <c r="QZK40" s="863"/>
      <c r="QZL40" s="863"/>
      <c r="QZM40" s="863"/>
      <c r="QZN40" s="863"/>
      <c r="QZO40" s="863"/>
      <c r="QZP40" s="863"/>
      <c r="QZQ40" s="863"/>
      <c r="QZR40" s="863"/>
      <c r="QZS40" s="863"/>
      <c r="QZT40" s="863"/>
      <c r="QZU40" s="863"/>
      <c r="QZV40" s="863"/>
      <c r="QZW40" s="863"/>
      <c r="QZX40" s="863"/>
      <c r="QZY40" s="883"/>
      <c r="QZZ40" s="883"/>
      <c r="RAA40" s="883"/>
      <c r="RAB40" s="883"/>
      <c r="RAC40" s="883"/>
      <c r="RAD40" s="883"/>
      <c r="RAE40" s="883"/>
      <c r="RAF40" s="883"/>
      <c r="RAG40" s="883"/>
      <c r="RAH40" s="863"/>
      <c r="RAI40" s="863"/>
      <c r="RAJ40" s="863"/>
      <c r="RAK40" s="863"/>
      <c r="RAL40" s="863"/>
      <c r="RAM40" s="863"/>
      <c r="RAN40" s="863"/>
      <c r="RAO40" s="863"/>
      <c r="RAP40" s="863"/>
      <c r="RAQ40" s="863"/>
      <c r="RAR40" s="863"/>
      <c r="RAS40" s="863"/>
      <c r="RAT40" s="863"/>
      <c r="RAU40" s="863"/>
      <c r="RAV40" s="863"/>
      <c r="RAW40" s="863"/>
      <c r="RAX40" s="863"/>
      <c r="RAY40" s="863"/>
      <c r="RAZ40" s="863"/>
      <c r="RBA40" s="863"/>
      <c r="RBB40" s="863"/>
      <c r="RBC40" s="863"/>
      <c r="RBD40" s="863"/>
      <c r="RBE40" s="883"/>
      <c r="RBF40" s="883"/>
      <c r="RBG40" s="883"/>
      <c r="RBH40" s="883"/>
      <c r="RBI40" s="883"/>
      <c r="RBJ40" s="883"/>
      <c r="RBK40" s="883"/>
      <c r="RBL40" s="883"/>
      <c r="RBM40" s="883"/>
      <c r="RBN40" s="863"/>
      <c r="RBO40" s="863"/>
      <c r="RBP40" s="863"/>
      <c r="RBQ40" s="863"/>
      <c r="RBR40" s="863"/>
      <c r="RBS40" s="863"/>
      <c r="RBT40" s="863"/>
      <c r="RBU40" s="863"/>
      <c r="RBV40" s="863"/>
      <c r="RBW40" s="863"/>
      <c r="RBX40" s="863"/>
      <c r="RBY40" s="863"/>
      <c r="RBZ40" s="863"/>
      <c r="RCA40" s="863"/>
      <c r="RCB40" s="863"/>
      <c r="RCC40" s="863"/>
      <c r="RCD40" s="863"/>
      <c r="RCE40" s="863"/>
      <c r="RCF40" s="863"/>
      <c r="RCG40" s="863"/>
      <c r="RCH40" s="863"/>
      <c r="RCI40" s="863"/>
      <c r="RCJ40" s="863"/>
      <c r="RCK40" s="883"/>
      <c r="RCL40" s="883"/>
      <c r="RCM40" s="883"/>
      <c r="RCN40" s="883"/>
      <c r="RCO40" s="883"/>
      <c r="RCP40" s="883"/>
      <c r="RCQ40" s="883"/>
      <c r="RCR40" s="883"/>
      <c r="RCS40" s="883"/>
      <c r="RCT40" s="863"/>
      <c r="RCU40" s="863"/>
      <c r="RCV40" s="863"/>
      <c r="RCW40" s="863"/>
      <c r="RCX40" s="863"/>
      <c r="RCY40" s="863"/>
      <c r="RCZ40" s="863"/>
      <c r="RDA40" s="863"/>
      <c r="RDB40" s="863"/>
      <c r="RDC40" s="863"/>
      <c r="RDD40" s="863"/>
      <c r="RDE40" s="863"/>
      <c r="RDF40" s="863"/>
      <c r="RDG40" s="863"/>
      <c r="RDH40" s="863"/>
      <c r="RDI40" s="863"/>
      <c r="RDJ40" s="863"/>
      <c r="RDK40" s="863"/>
      <c r="RDL40" s="863"/>
      <c r="RDM40" s="863"/>
      <c r="RDN40" s="863"/>
      <c r="RDO40" s="863"/>
      <c r="RDP40" s="863"/>
      <c r="RDQ40" s="883"/>
      <c r="RDR40" s="883"/>
      <c r="RDS40" s="883"/>
      <c r="RDT40" s="883"/>
      <c r="RDU40" s="883"/>
      <c r="RDV40" s="883"/>
      <c r="RDW40" s="883"/>
      <c r="RDX40" s="883"/>
      <c r="RDY40" s="883"/>
      <c r="RDZ40" s="863"/>
      <c r="REA40" s="863"/>
      <c r="REB40" s="863"/>
      <c r="REC40" s="863"/>
      <c r="RED40" s="863"/>
      <c r="REE40" s="863"/>
      <c r="REF40" s="863"/>
      <c r="REG40" s="863"/>
      <c r="REH40" s="863"/>
      <c r="REI40" s="863"/>
      <c r="REJ40" s="863"/>
      <c r="REK40" s="863"/>
      <c r="REL40" s="863"/>
      <c r="REM40" s="863"/>
      <c r="REN40" s="863"/>
      <c r="REO40" s="863"/>
      <c r="REP40" s="863"/>
      <c r="REQ40" s="863"/>
      <c r="RER40" s="863"/>
      <c r="RES40" s="863"/>
      <c r="RET40" s="863"/>
      <c r="REU40" s="863"/>
      <c r="REV40" s="863"/>
      <c r="REW40" s="883"/>
      <c r="REX40" s="883"/>
      <c r="REY40" s="883"/>
      <c r="REZ40" s="883"/>
      <c r="RFA40" s="883"/>
      <c r="RFB40" s="883"/>
      <c r="RFC40" s="883"/>
      <c r="RFD40" s="883"/>
      <c r="RFE40" s="883"/>
      <c r="RFF40" s="863"/>
      <c r="RFG40" s="863"/>
      <c r="RFH40" s="863"/>
      <c r="RFI40" s="863"/>
      <c r="RFJ40" s="863"/>
      <c r="RFK40" s="863"/>
      <c r="RFL40" s="863"/>
      <c r="RFM40" s="863"/>
      <c r="RFN40" s="863"/>
      <c r="RFO40" s="863"/>
      <c r="RFP40" s="863"/>
      <c r="RFQ40" s="863"/>
      <c r="RFR40" s="863"/>
      <c r="RFS40" s="863"/>
      <c r="RFT40" s="863"/>
      <c r="RFU40" s="863"/>
      <c r="RFV40" s="863"/>
      <c r="RFW40" s="863"/>
      <c r="RFX40" s="863"/>
      <c r="RFY40" s="863"/>
      <c r="RFZ40" s="863"/>
      <c r="RGA40" s="863"/>
      <c r="RGB40" s="863"/>
      <c r="RGC40" s="883"/>
      <c r="RGD40" s="883"/>
      <c r="RGE40" s="883"/>
      <c r="RGF40" s="883"/>
      <c r="RGG40" s="883"/>
      <c r="RGH40" s="883"/>
      <c r="RGI40" s="883"/>
      <c r="RGJ40" s="883"/>
      <c r="RGK40" s="883"/>
      <c r="RGL40" s="863"/>
      <c r="RGM40" s="863"/>
      <c r="RGN40" s="863"/>
      <c r="RGO40" s="863"/>
      <c r="RGP40" s="863"/>
      <c r="RGQ40" s="863"/>
      <c r="RGR40" s="863"/>
      <c r="RGS40" s="863"/>
      <c r="RGT40" s="863"/>
      <c r="RGU40" s="863"/>
      <c r="RGV40" s="863"/>
      <c r="RGW40" s="863"/>
      <c r="RGX40" s="863"/>
      <c r="RGY40" s="863"/>
      <c r="RGZ40" s="863"/>
      <c r="RHA40" s="863"/>
      <c r="RHB40" s="863"/>
      <c r="RHC40" s="863"/>
      <c r="RHD40" s="863"/>
      <c r="RHE40" s="863"/>
      <c r="RHF40" s="863"/>
      <c r="RHG40" s="863"/>
      <c r="RHH40" s="863"/>
      <c r="RHI40" s="883"/>
      <c r="RHJ40" s="883"/>
      <c r="RHK40" s="883"/>
      <c r="RHL40" s="883"/>
      <c r="RHM40" s="883"/>
      <c r="RHN40" s="883"/>
      <c r="RHO40" s="883"/>
      <c r="RHP40" s="883"/>
      <c r="RHQ40" s="883"/>
      <c r="RHR40" s="863"/>
      <c r="RHS40" s="863"/>
      <c r="RHT40" s="863"/>
      <c r="RHU40" s="863"/>
      <c r="RHV40" s="863"/>
      <c r="RHW40" s="863"/>
      <c r="RHX40" s="863"/>
      <c r="RHY40" s="863"/>
      <c r="RHZ40" s="863"/>
      <c r="RIA40" s="863"/>
      <c r="RIB40" s="863"/>
      <c r="RIC40" s="863"/>
      <c r="RID40" s="863"/>
      <c r="RIE40" s="863"/>
      <c r="RIF40" s="863"/>
      <c r="RIG40" s="863"/>
      <c r="RIH40" s="863"/>
      <c r="RII40" s="863"/>
      <c r="RIJ40" s="863"/>
      <c r="RIK40" s="863"/>
      <c r="RIL40" s="863"/>
      <c r="RIM40" s="863"/>
      <c r="RIN40" s="863"/>
      <c r="RIO40" s="883"/>
      <c r="RIP40" s="883"/>
      <c r="RIQ40" s="883"/>
      <c r="RIR40" s="883"/>
      <c r="RIS40" s="883"/>
      <c r="RIT40" s="883"/>
      <c r="RIU40" s="883"/>
      <c r="RIV40" s="883"/>
      <c r="RIW40" s="883"/>
      <c r="RIX40" s="863"/>
      <c r="RIY40" s="863"/>
      <c r="RIZ40" s="863"/>
      <c r="RJA40" s="863"/>
      <c r="RJB40" s="863"/>
      <c r="RJC40" s="863"/>
      <c r="RJD40" s="863"/>
      <c r="RJE40" s="863"/>
      <c r="RJF40" s="863"/>
      <c r="RJG40" s="863"/>
      <c r="RJH40" s="863"/>
      <c r="RJI40" s="863"/>
      <c r="RJJ40" s="863"/>
      <c r="RJK40" s="863"/>
      <c r="RJL40" s="863"/>
      <c r="RJM40" s="863"/>
      <c r="RJN40" s="863"/>
      <c r="RJO40" s="863"/>
      <c r="RJP40" s="863"/>
      <c r="RJQ40" s="863"/>
      <c r="RJR40" s="863"/>
      <c r="RJS40" s="863"/>
      <c r="RJT40" s="863"/>
      <c r="RJU40" s="883"/>
      <c r="RJV40" s="883"/>
      <c r="RJW40" s="883"/>
      <c r="RJX40" s="883"/>
      <c r="RJY40" s="883"/>
      <c r="RJZ40" s="883"/>
      <c r="RKA40" s="883"/>
      <c r="RKB40" s="883"/>
      <c r="RKC40" s="883"/>
      <c r="RKD40" s="863"/>
      <c r="RKE40" s="863"/>
      <c r="RKF40" s="863"/>
      <c r="RKG40" s="863"/>
      <c r="RKH40" s="863"/>
      <c r="RKI40" s="863"/>
      <c r="RKJ40" s="863"/>
      <c r="RKK40" s="863"/>
      <c r="RKL40" s="863"/>
      <c r="RKM40" s="863"/>
      <c r="RKN40" s="863"/>
      <c r="RKO40" s="863"/>
      <c r="RKP40" s="863"/>
      <c r="RKQ40" s="863"/>
      <c r="RKR40" s="863"/>
      <c r="RKS40" s="863"/>
      <c r="RKT40" s="863"/>
      <c r="RKU40" s="863"/>
      <c r="RKV40" s="863"/>
      <c r="RKW40" s="863"/>
      <c r="RKX40" s="863"/>
      <c r="RKY40" s="863"/>
      <c r="RKZ40" s="863"/>
      <c r="RLA40" s="883"/>
      <c r="RLB40" s="883"/>
      <c r="RLC40" s="883"/>
      <c r="RLD40" s="883"/>
      <c r="RLE40" s="883"/>
      <c r="RLF40" s="883"/>
      <c r="RLG40" s="883"/>
      <c r="RLH40" s="883"/>
      <c r="RLI40" s="883"/>
      <c r="RLJ40" s="863"/>
      <c r="RLK40" s="863"/>
      <c r="RLL40" s="863"/>
      <c r="RLM40" s="863"/>
      <c r="RLN40" s="863"/>
      <c r="RLO40" s="863"/>
      <c r="RLP40" s="863"/>
      <c r="RLQ40" s="863"/>
      <c r="RLR40" s="863"/>
      <c r="RLS40" s="863"/>
      <c r="RLT40" s="863"/>
      <c r="RLU40" s="863"/>
      <c r="RLV40" s="863"/>
      <c r="RLW40" s="863"/>
      <c r="RLX40" s="863"/>
      <c r="RLY40" s="863"/>
      <c r="RLZ40" s="863"/>
      <c r="RMA40" s="863"/>
      <c r="RMB40" s="863"/>
      <c r="RMC40" s="863"/>
      <c r="RMD40" s="863"/>
      <c r="RME40" s="863"/>
      <c r="RMF40" s="863"/>
      <c r="RMG40" s="883"/>
      <c r="RMH40" s="883"/>
      <c r="RMI40" s="883"/>
      <c r="RMJ40" s="883"/>
      <c r="RMK40" s="883"/>
      <c r="RML40" s="883"/>
      <c r="RMM40" s="883"/>
      <c r="RMN40" s="883"/>
      <c r="RMO40" s="883"/>
      <c r="RMP40" s="863"/>
      <c r="RMQ40" s="863"/>
      <c r="RMR40" s="863"/>
      <c r="RMS40" s="863"/>
      <c r="RMT40" s="863"/>
      <c r="RMU40" s="863"/>
      <c r="RMV40" s="863"/>
      <c r="RMW40" s="863"/>
      <c r="RMX40" s="863"/>
      <c r="RMY40" s="863"/>
      <c r="RMZ40" s="863"/>
      <c r="RNA40" s="863"/>
      <c r="RNB40" s="863"/>
      <c r="RNC40" s="863"/>
      <c r="RND40" s="863"/>
      <c r="RNE40" s="863"/>
      <c r="RNF40" s="863"/>
      <c r="RNG40" s="863"/>
      <c r="RNH40" s="863"/>
      <c r="RNI40" s="863"/>
      <c r="RNJ40" s="863"/>
      <c r="RNK40" s="863"/>
      <c r="RNL40" s="863"/>
      <c r="RNM40" s="883"/>
      <c r="RNN40" s="883"/>
      <c r="RNO40" s="883"/>
      <c r="RNP40" s="883"/>
      <c r="RNQ40" s="883"/>
      <c r="RNR40" s="883"/>
      <c r="RNS40" s="883"/>
      <c r="RNT40" s="883"/>
      <c r="RNU40" s="883"/>
      <c r="RNV40" s="863"/>
      <c r="RNW40" s="863"/>
      <c r="RNX40" s="863"/>
      <c r="RNY40" s="863"/>
      <c r="RNZ40" s="863"/>
      <c r="ROA40" s="863"/>
      <c r="ROB40" s="863"/>
      <c r="ROC40" s="863"/>
      <c r="ROD40" s="863"/>
      <c r="ROE40" s="863"/>
      <c r="ROF40" s="863"/>
      <c r="ROG40" s="863"/>
      <c r="ROH40" s="863"/>
      <c r="ROI40" s="863"/>
      <c r="ROJ40" s="863"/>
      <c r="ROK40" s="863"/>
      <c r="ROL40" s="863"/>
      <c r="ROM40" s="863"/>
      <c r="RON40" s="863"/>
      <c r="ROO40" s="863"/>
      <c r="ROP40" s="863"/>
      <c r="ROQ40" s="863"/>
      <c r="ROR40" s="863"/>
      <c r="ROS40" s="883"/>
      <c r="ROT40" s="883"/>
      <c r="ROU40" s="883"/>
      <c r="ROV40" s="883"/>
      <c r="ROW40" s="883"/>
      <c r="ROX40" s="883"/>
      <c r="ROY40" s="883"/>
      <c r="ROZ40" s="883"/>
      <c r="RPA40" s="883"/>
      <c r="RPB40" s="863"/>
      <c r="RPC40" s="863"/>
      <c r="RPD40" s="863"/>
      <c r="RPE40" s="863"/>
      <c r="RPF40" s="863"/>
      <c r="RPG40" s="863"/>
      <c r="RPH40" s="863"/>
      <c r="RPI40" s="863"/>
      <c r="RPJ40" s="863"/>
      <c r="RPK40" s="863"/>
      <c r="RPL40" s="863"/>
      <c r="RPM40" s="863"/>
      <c r="RPN40" s="863"/>
      <c r="RPO40" s="863"/>
      <c r="RPP40" s="863"/>
      <c r="RPQ40" s="863"/>
      <c r="RPR40" s="863"/>
      <c r="RPS40" s="863"/>
      <c r="RPT40" s="863"/>
      <c r="RPU40" s="863"/>
      <c r="RPV40" s="863"/>
      <c r="RPW40" s="863"/>
      <c r="RPX40" s="863"/>
      <c r="RPY40" s="883"/>
      <c r="RPZ40" s="883"/>
      <c r="RQA40" s="883"/>
      <c r="RQB40" s="883"/>
      <c r="RQC40" s="883"/>
      <c r="RQD40" s="883"/>
      <c r="RQE40" s="883"/>
      <c r="RQF40" s="883"/>
      <c r="RQG40" s="883"/>
      <c r="RQH40" s="863"/>
      <c r="RQI40" s="863"/>
      <c r="RQJ40" s="863"/>
      <c r="RQK40" s="863"/>
      <c r="RQL40" s="863"/>
      <c r="RQM40" s="863"/>
      <c r="RQN40" s="863"/>
      <c r="RQO40" s="863"/>
      <c r="RQP40" s="863"/>
      <c r="RQQ40" s="863"/>
      <c r="RQR40" s="863"/>
      <c r="RQS40" s="863"/>
      <c r="RQT40" s="863"/>
      <c r="RQU40" s="863"/>
      <c r="RQV40" s="863"/>
      <c r="RQW40" s="863"/>
      <c r="RQX40" s="863"/>
      <c r="RQY40" s="863"/>
      <c r="RQZ40" s="863"/>
      <c r="RRA40" s="863"/>
      <c r="RRB40" s="863"/>
      <c r="RRC40" s="863"/>
      <c r="RRD40" s="863"/>
      <c r="RRE40" s="883"/>
      <c r="RRF40" s="883"/>
      <c r="RRG40" s="883"/>
      <c r="RRH40" s="883"/>
      <c r="RRI40" s="883"/>
      <c r="RRJ40" s="883"/>
      <c r="RRK40" s="883"/>
      <c r="RRL40" s="883"/>
      <c r="RRM40" s="883"/>
      <c r="RRN40" s="863"/>
      <c r="RRO40" s="863"/>
      <c r="RRP40" s="863"/>
      <c r="RRQ40" s="863"/>
      <c r="RRR40" s="863"/>
      <c r="RRS40" s="863"/>
      <c r="RRT40" s="863"/>
      <c r="RRU40" s="863"/>
      <c r="RRV40" s="863"/>
      <c r="RRW40" s="863"/>
      <c r="RRX40" s="863"/>
      <c r="RRY40" s="863"/>
      <c r="RRZ40" s="863"/>
      <c r="RSA40" s="863"/>
      <c r="RSB40" s="863"/>
      <c r="RSC40" s="863"/>
      <c r="RSD40" s="863"/>
      <c r="RSE40" s="863"/>
      <c r="RSF40" s="863"/>
      <c r="RSG40" s="863"/>
      <c r="RSH40" s="863"/>
      <c r="RSI40" s="863"/>
      <c r="RSJ40" s="863"/>
      <c r="RSK40" s="883"/>
      <c r="RSL40" s="883"/>
      <c r="RSM40" s="883"/>
      <c r="RSN40" s="883"/>
      <c r="RSO40" s="883"/>
      <c r="RSP40" s="883"/>
      <c r="RSQ40" s="883"/>
      <c r="RSR40" s="883"/>
      <c r="RSS40" s="883"/>
      <c r="RST40" s="863"/>
      <c r="RSU40" s="863"/>
      <c r="RSV40" s="863"/>
      <c r="RSW40" s="863"/>
      <c r="RSX40" s="863"/>
      <c r="RSY40" s="863"/>
      <c r="RSZ40" s="863"/>
      <c r="RTA40" s="863"/>
      <c r="RTB40" s="863"/>
      <c r="RTC40" s="863"/>
      <c r="RTD40" s="863"/>
      <c r="RTE40" s="863"/>
      <c r="RTF40" s="863"/>
      <c r="RTG40" s="863"/>
      <c r="RTH40" s="863"/>
      <c r="RTI40" s="863"/>
      <c r="RTJ40" s="863"/>
      <c r="RTK40" s="863"/>
      <c r="RTL40" s="863"/>
      <c r="RTM40" s="863"/>
      <c r="RTN40" s="863"/>
      <c r="RTO40" s="863"/>
      <c r="RTP40" s="863"/>
      <c r="RTQ40" s="883"/>
      <c r="RTR40" s="883"/>
      <c r="RTS40" s="883"/>
      <c r="RTT40" s="883"/>
      <c r="RTU40" s="883"/>
      <c r="RTV40" s="883"/>
      <c r="RTW40" s="883"/>
      <c r="RTX40" s="883"/>
      <c r="RTY40" s="883"/>
      <c r="RTZ40" s="863"/>
      <c r="RUA40" s="863"/>
      <c r="RUB40" s="863"/>
      <c r="RUC40" s="863"/>
      <c r="RUD40" s="863"/>
      <c r="RUE40" s="863"/>
      <c r="RUF40" s="863"/>
      <c r="RUG40" s="863"/>
      <c r="RUH40" s="863"/>
      <c r="RUI40" s="863"/>
      <c r="RUJ40" s="863"/>
      <c r="RUK40" s="863"/>
      <c r="RUL40" s="863"/>
      <c r="RUM40" s="863"/>
      <c r="RUN40" s="863"/>
      <c r="RUO40" s="863"/>
      <c r="RUP40" s="863"/>
      <c r="RUQ40" s="863"/>
      <c r="RUR40" s="863"/>
      <c r="RUS40" s="863"/>
      <c r="RUT40" s="863"/>
      <c r="RUU40" s="863"/>
      <c r="RUV40" s="863"/>
      <c r="RUW40" s="883"/>
      <c r="RUX40" s="883"/>
      <c r="RUY40" s="883"/>
      <c r="RUZ40" s="883"/>
      <c r="RVA40" s="883"/>
      <c r="RVB40" s="883"/>
      <c r="RVC40" s="883"/>
      <c r="RVD40" s="883"/>
      <c r="RVE40" s="883"/>
      <c r="RVF40" s="863"/>
      <c r="RVG40" s="863"/>
      <c r="RVH40" s="863"/>
      <c r="RVI40" s="863"/>
      <c r="RVJ40" s="863"/>
      <c r="RVK40" s="863"/>
      <c r="RVL40" s="863"/>
      <c r="RVM40" s="863"/>
      <c r="RVN40" s="863"/>
      <c r="RVO40" s="863"/>
      <c r="RVP40" s="863"/>
      <c r="RVQ40" s="863"/>
      <c r="RVR40" s="863"/>
      <c r="RVS40" s="863"/>
      <c r="RVT40" s="863"/>
      <c r="RVU40" s="863"/>
      <c r="RVV40" s="863"/>
      <c r="RVW40" s="863"/>
      <c r="RVX40" s="863"/>
      <c r="RVY40" s="863"/>
      <c r="RVZ40" s="863"/>
      <c r="RWA40" s="863"/>
      <c r="RWB40" s="863"/>
      <c r="RWC40" s="883"/>
      <c r="RWD40" s="883"/>
      <c r="RWE40" s="883"/>
      <c r="RWF40" s="883"/>
      <c r="RWG40" s="883"/>
      <c r="RWH40" s="883"/>
      <c r="RWI40" s="883"/>
      <c r="RWJ40" s="883"/>
      <c r="RWK40" s="883"/>
      <c r="RWL40" s="863"/>
      <c r="RWM40" s="863"/>
      <c r="RWN40" s="863"/>
      <c r="RWO40" s="863"/>
      <c r="RWP40" s="863"/>
      <c r="RWQ40" s="863"/>
      <c r="RWR40" s="863"/>
      <c r="RWS40" s="863"/>
      <c r="RWT40" s="863"/>
      <c r="RWU40" s="863"/>
      <c r="RWV40" s="863"/>
      <c r="RWW40" s="863"/>
      <c r="RWX40" s="863"/>
      <c r="RWY40" s="863"/>
      <c r="RWZ40" s="863"/>
      <c r="RXA40" s="863"/>
      <c r="RXB40" s="863"/>
      <c r="RXC40" s="863"/>
      <c r="RXD40" s="863"/>
      <c r="RXE40" s="863"/>
      <c r="RXF40" s="863"/>
      <c r="RXG40" s="863"/>
      <c r="RXH40" s="863"/>
      <c r="RXI40" s="883"/>
      <c r="RXJ40" s="883"/>
      <c r="RXK40" s="883"/>
      <c r="RXL40" s="883"/>
      <c r="RXM40" s="883"/>
      <c r="RXN40" s="883"/>
      <c r="RXO40" s="883"/>
      <c r="RXP40" s="883"/>
      <c r="RXQ40" s="883"/>
      <c r="RXR40" s="863"/>
      <c r="RXS40" s="863"/>
      <c r="RXT40" s="863"/>
      <c r="RXU40" s="863"/>
      <c r="RXV40" s="863"/>
      <c r="RXW40" s="863"/>
      <c r="RXX40" s="863"/>
      <c r="RXY40" s="863"/>
      <c r="RXZ40" s="863"/>
      <c r="RYA40" s="863"/>
      <c r="RYB40" s="863"/>
      <c r="RYC40" s="863"/>
      <c r="RYD40" s="863"/>
      <c r="RYE40" s="863"/>
      <c r="RYF40" s="863"/>
      <c r="RYG40" s="863"/>
      <c r="RYH40" s="863"/>
      <c r="RYI40" s="863"/>
      <c r="RYJ40" s="863"/>
      <c r="RYK40" s="863"/>
      <c r="RYL40" s="863"/>
      <c r="RYM40" s="863"/>
      <c r="RYN40" s="863"/>
      <c r="RYO40" s="883"/>
      <c r="RYP40" s="883"/>
      <c r="RYQ40" s="883"/>
      <c r="RYR40" s="883"/>
      <c r="RYS40" s="883"/>
      <c r="RYT40" s="883"/>
      <c r="RYU40" s="883"/>
      <c r="RYV40" s="883"/>
      <c r="RYW40" s="883"/>
      <c r="RYX40" s="863"/>
      <c r="RYY40" s="863"/>
      <c r="RYZ40" s="863"/>
      <c r="RZA40" s="863"/>
      <c r="RZB40" s="863"/>
      <c r="RZC40" s="863"/>
      <c r="RZD40" s="863"/>
      <c r="RZE40" s="863"/>
      <c r="RZF40" s="863"/>
      <c r="RZG40" s="863"/>
      <c r="RZH40" s="863"/>
      <c r="RZI40" s="863"/>
      <c r="RZJ40" s="863"/>
      <c r="RZK40" s="863"/>
      <c r="RZL40" s="863"/>
      <c r="RZM40" s="863"/>
      <c r="RZN40" s="863"/>
      <c r="RZO40" s="863"/>
      <c r="RZP40" s="863"/>
      <c r="RZQ40" s="863"/>
      <c r="RZR40" s="863"/>
      <c r="RZS40" s="863"/>
      <c r="RZT40" s="863"/>
      <c r="RZU40" s="883"/>
      <c r="RZV40" s="883"/>
      <c r="RZW40" s="883"/>
      <c r="RZX40" s="883"/>
      <c r="RZY40" s="883"/>
      <c r="RZZ40" s="883"/>
      <c r="SAA40" s="883"/>
      <c r="SAB40" s="883"/>
      <c r="SAC40" s="883"/>
      <c r="SAD40" s="863"/>
      <c r="SAE40" s="863"/>
      <c r="SAF40" s="863"/>
      <c r="SAG40" s="863"/>
      <c r="SAH40" s="863"/>
      <c r="SAI40" s="863"/>
      <c r="SAJ40" s="863"/>
      <c r="SAK40" s="863"/>
      <c r="SAL40" s="863"/>
      <c r="SAM40" s="863"/>
      <c r="SAN40" s="863"/>
      <c r="SAO40" s="863"/>
      <c r="SAP40" s="863"/>
      <c r="SAQ40" s="863"/>
      <c r="SAR40" s="863"/>
      <c r="SAS40" s="863"/>
      <c r="SAT40" s="863"/>
      <c r="SAU40" s="863"/>
      <c r="SAV40" s="863"/>
      <c r="SAW40" s="863"/>
      <c r="SAX40" s="863"/>
      <c r="SAY40" s="863"/>
      <c r="SAZ40" s="863"/>
      <c r="SBA40" s="883"/>
      <c r="SBB40" s="883"/>
      <c r="SBC40" s="883"/>
      <c r="SBD40" s="883"/>
      <c r="SBE40" s="883"/>
      <c r="SBF40" s="883"/>
      <c r="SBG40" s="883"/>
      <c r="SBH40" s="883"/>
      <c r="SBI40" s="883"/>
      <c r="SBJ40" s="863"/>
      <c r="SBK40" s="863"/>
      <c r="SBL40" s="863"/>
      <c r="SBM40" s="863"/>
      <c r="SBN40" s="863"/>
      <c r="SBO40" s="863"/>
      <c r="SBP40" s="863"/>
      <c r="SBQ40" s="863"/>
      <c r="SBR40" s="863"/>
      <c r="SBS40" s="863"/>
      <c r="SBT40" s="863"/>
      <c r="SBU40" s="863"/>
      <c r="SBV40" s="863"/>
      <c r="SBW40" s="863"/>
      <c r="SBX40" s="863"/>
      <c r="SBY40" s="863"/>
      <c r="SBZ40" s="863"/>
      <c r="SCA40" s="863"/>
      <c r="SCB40" s="863"/>
      <c r="SCC40" s="863"/>
      <c r="SCD40" s="863"/>
      <c r="SCE40" s="863"/>
      <c r="SCF40" s="863"/>
      <c r="SCG40" s="883"/>
      <c r="SCH40" s="883"/>
      <c r="SCI40" s="883"/>
      <c r="SCJ40" s="883"/>
      <c r="SCK40" s="883"/>
      <c r="SCL40" s="883"/>
      <c r="SCM40" s="883"/>
      <c r="SCN40" s="883"/>
      <c r="SCO40" s="883"/>
      <c r="SCP40" s="863"/>
      <c r="SCQ40" s="863"/>
      <c r="SCR40" s="863"/>
      <c r="SCS40" s="863"/>
      <c r="SCT40" s="863"/>
      <c r="SCU40" s="863"/>
      <c r="SCV40" s="863"/>
      <c r="SCW40" s="863"/>
      <c r="SCX40" s="863"/>
      <c r="SCY40" s="863"/>
      <c r="SCZ40" s="863"/>
      <c r="SDA40" s="863"/>
      <c r="SDB40" s="863"/>
      <c r="SDC40" s="863"/>
      <c r="SDD40" s="863"/>
      <c r="SDE40" s="863"/>
      <c r="SDF40" s="863"/>
      <c r="SDG40" s="863"/>
      <c r="SDH40" s="863"/>
      <c r="SDI40" s="863"/>
      <c r="SDJ40" s="863"/>
      <c r="SDK40" s="863"/>
      <c r="SDL40" s="863"/>
      <c r="SDM40" s="883"/>
      <c r="SDN40" s="883"/>
      <c r="SDO40" s="883"/>
      <c r="SDP40" s="883"/>
      <c r="SDQ40" s="883"/>
      <c r="SDR40" s="883"/>
      <c r="SDS40" s="883"/>
      <c r="SDT40" s="883"/>
      <c r="SDU40" s="883"/>
      <c r="SDV40" s="863"/>
      <c r="SDW40" s="863"/>
      <c r="SDX40" s="863"/>
      <c r="SDY40" s="863"/>
      <c r="SDZ40" s="863"/>
      <c r="SEA40" s="863"/>
      <c r="SEB40" s="863"/>
      <c r="SEC40" s="863"/>
      <c r="SED40" s="863"/>
      <c r="SEE40" s="863"/>
      <c r="SEF40" s="863"/>
      <c r="SEG40" s="863"/>
      <c r="SEH40" s="863"/>
      <c r="SEI40" s="863"/>
      <c r="SEJ40" s="863"/>
      <c r="SEK40" s="863"/>
      <c r="SEL40" s="863"/>
      <c r="SEM40" s="863"/>
      <c r="SEN40" s="863"/>
      <c r="SEO40" s="863"/>
      <c r="SEP40" s="863"/>
      <c r="SEQ40" s="863"/>
      <c r="SER40" s="863"/>
      <c r="SES40" s="883"/>
      <c r="SET40" s="883"/>
      <c r="SEU40" s="883"/>
      <c r="SEV40" s="883"/>
      <c r="SEW40" s="883"/>
      <c r="SEX40" s="883"/>
      <c r="SEY40" s="883"/>
      <c r="SEZ40" s="883"/>
      <c r="SFA40" s="883"/>
      <c r="SFB40" s="863"/>
      <c r="SFC40" s="863"/>
      <c r="SFD40" s="863"/>
      <c r="SFE40" s="863"/>
      <c r="SFF40" s="863"/>
      <c r="SFG40" s="863"/>
      <c r="SFH40" s="863"/>
      <c r="SFI40" s="863"/>
      <c r="SFJ40" s="863"/>
      <c r="SFK40" s="863"/>
      <c r="SFL40" s="863"/>
      <c r="SFM40" s="863"/>
      <c r="SFN40" s="863"/>
      <c r="SFO40" s="863"/>
      <c r="SFP40" s="863"/>
      <c r="SFQ40" s="863"/>
      <c r="SFR40" s="863"/>
      <c r="SFS40" s="863"/>
      <c r="SFT40" s="863"/>
      <c r="SFU40" s="863"/>
      <c r="SFV40" s="863"/>
      <c r="SFW40" s="863"/>
      <c r="SFX40" s="863"/>
      <c r="SFY40" s="883"/>
      <c r="SFZ40" s="883"/>
      <c r="SGA40" s="883"/>
      <c r="SGB40" s="883"/>
      <c r="SGC40" s="883"/>
      <c r="SGD40" s="883"/>
      <c r="SGE40" s="883"/>
      <c r="SGF40" s="883"/>
      <c r="SGG40" s="883"/>
      <c r="SGH40" s="863"/>
      <c r="SGI40" s="863"/>
      <c r="SGJ40" s="863"/>
      <c r="SGK40" s="863"/>
      <c r="SGL40" s="863"/>
      <c r="SGM40" s="863"/>
      <c r="SGN40" s="863"/>
      <c r="SGO40" s="863"/>
      <c r="SGP40" s="863"/>
      <c r="SGQ40" s="863"/>
      <c r="SGR40" s="863"/>
      <c r="SGS40" s="863"/>
      <c r="SGT40" s="863"/>
      <c r="SGU40" s="863"/>
      <c r="SGV40" s="863"/>
      <c r="SGW40" s="863"/>
      <c r="SGX40" s="863"/>
      <c r="SGY40" s="863"/>
      <c r="SGZ40" s="863"/>
      <c r="SHA40" s="863"/>
      <c r="SHB40" s="863"/>
      <c r="SHC40" s="863"/>
      <c r="SHD40" s="863"/>
      <c r="SHE40" s="883"/>
      <c r="SHF40" s="883"/>
      <c r="SHG40" s="883"/>
      <c r="SHH40" s="883"/>
      <c r="SHI40" s="883"/>
      <c r="SHJ40" s="883"/>
      <c r="SHK40" s="883"/>
      <c r="SHL40" s="883"/>
      <c r="SHM40" s="883"/>
      <c r="SHN40" s="863"/>
      <c r="SHO40" s="863"/>
      <c r="SHP40" s="863"/>
      <c r="SHQ40" s="863"/>
      <c r="SHR40" s="863"/>
      <c r="SHS40" s="863"/>
      <c r="SHT40" s="863"/>
      <c r="SHU40" s="863"/>
      <c r="SHV40" s="863"/>
      <c r="SHW40" s="863"/>
      <c r="SHX40" s="863"/>
      <c r="SHY40" s="863"/>
      <c r="SHZ40" s="863"/>
      <c r="SIA40" s="863"/>
      <c r="SIB40" s="863"/>
      <c r="SIC40" s="863"/>
      <c r="SID40" s="863"/>
      <c r="SIE40" s="863"/>
      <c r="SIF40" s="863"/>
      <c r="SIG40" s="863"/>
      <c r="SIH40" s="863"/>
      <c r="SII40" s="863"/>
      <c r="SIJ40" s="863"/>
      <c r="SIK40" s="883"/>
      <c r="SIL40" s="883"/>
      <c r="SIM40" s="883"/>
      <c r="SIN40" s="883"/>
      <c r="SIO40" s="883"/>
      <c r="SIP40" s="883"/>
      <c r="SIQ40" s="883"/>
      <c r="SIR40" s="883"/>
      <c r="SIS40" s="883"/>
      <c r="SIT40" s="863"/>
      <c r="SIU40" s="863"/>
      <c r="SIV40" s="863"/>
      <c r="SIW40" s="863"/>
      <c r="SIX40" s="863"/>
      <c r="SIY40" s="863"/>
      <c r="SIZ40" s="863"/>
      <c r="SJA40" s="863"/>
      <c r="SJB40" s="863"/>
      <c r="SJC40" s="863"/>
      <c r="SJD40" s="863"/>
      <c r="SJE40" s="863"/>
      <c r="SJF40" s="863"/>
      <c r="SJG40" s="863"/>
      <c r="SJH40" s="863"/>
      <c r="SJI40" s="863"/>
      <c r="SJJ40" s="863"/>
      <c r="SJK40" s="863"/>
      <c r="SJL40" s="863"/>
      <c r="SJM40" s="863"/>
      <c r="SJN40" s="863"/>
      <c r="SJO40" s="863"/>
      <c r="SJP40" s="863"/>
      <c r="SJQ40" s="883"/>
      <c r="SJR40" s="883"/>
      <c r="SJS40" s="883"/>
      <c r="SJT40" s="883"/>
      <c r="SJU40" s="883"/>
      <c r="SJV40" s="883"/>
      <c r="SJW40" s="883"/>
      <c r="SJX40" s="883"/>
      <c r="SJY40" s="883"/>
      <c r="SJZ40" s="863"/>
      <c r="SKA40" s="863"/>
      <c r="SKB40" s="863"/>
      <c r="SKC40" s="863"/>
      <c r="SKD40" s="863"/>
      <c r="SKE40" s="863"/>
      <c r="SKF40" s="863"/>
      <c r="SKG40" s="863"/>
      <c r="SKH40" s="863"/>
      <c r="SKI40" s="863"/>
      <c r="SKJ40" s="863"/>
      <c r="SKK40" s="863"/>
      <c r="SKL40" s="863"/>
      <c r="SKM40" s="863"/>
      <c r="SKN40" s="863"/>
      <c r="SKO40" s="863"/>
      <c r="SKP40" s="863"/>
      <c r="SKQ40" s="863"/>
      <c r="SKR40" s="863"/>
      <c r="SKS40" s="863"/>
      <c r="SKT40" s="863"/>
      <c r="SKU40" s="863"/>
      <c r="SKV40" s="863"/>
      <c r="SKW40" s="883"/>
      <c r="SKX40" s="883"/>
      <c r="SKY40" s="883"/>
      <c r="SKZ40" s="883"/>
      <c r="SLA40" s="883"/>
      <c r="SLB40" s="883"/>
      <c r="SLC40" s="883"/>
      <c r="SLD40" s="883"/>
      <c r="SLE40" s="883"/>
      <c r="SLF40" s="863"/>
      <c r="SLG40" s="863"/>
      <c r="SLH40" s="863"/>
      <c r="SLI40" s="863"/>
      <c r="SLJ40" s="863"/>
      <c r="SLK40" s="863"/>
      <c r="SLL40" s="863"/>
      <c r="SLM40" s="863"/>
      <c r="SLN40" s="863"/>
      <c r="SLO40" s="863"/>
      <c r="SLP40" s="863"/>
      <c r="SLQ40" s="863"/>
      <c r="SLR40" s="863"/>
      <c r="SLS40" s="863"/>
      <c r="SLT40" s="863"/>
      <c r="SLU40" s="863"/>
      <c r="SLV40" s="863"/>
      <c r="SLW40" s="863"/>
      <c r="SLX40" s="863"/>
      <c r="SLY40" s="863"/>
      <c r="SLZ40" s="863"/>
      <c r="SMA40" s="863"/>
      <c r="SMB40" s="863"/>
      <c r="SMC40" s="883"/>
      <c r="SMD40" s="883"/>
      <c r="SME40" s="883"/>
      <c r="SMF40" s="883"/>
      <c r="SMG40" s="883"/>
      <c r="SMH40" s="883"/>
      <c r="SMI40" s="883"/>
      <c r="SMJ40" s="883"/>
      <c r="SMK40" s="883"/>
      <c r="SML40" s="863"/>
      <c r="SMM40" s="863"/>
      <c r="SMN40" s="863"/>
      <c r="SMO40" s="863"/>
      <c r="SMP40" s="863"/>
      <c r="SMQ40" s="863"/>
      <c r="SMR40" s="863"/>
      <c r="SMS40" s="863"/>
      <c r="SMT40" s="863"/>
      <c r="SMU40" s="863"/>
      <c r="SMV40" s="863"/>
      <c r="SMW40" s="863"/>
      <c r="SMX40" s="863"/>
      <c r="SMY40" s="863"/>
      <c r="SMZ40" s="863"/>
      <c r="SNA40" s="863"/>
      <c r="SNB40" s="863"/>
      <c r="SNC40" s="863"/>
      <c r="SND40" s="863"/>
      <c r="SNE40" s="863"/>
      <c r="SNF40" s="863"/>
      <c r="SNG40" s="863"/>
      <c r="SNH40" s="863"/>
      <c r="SNI40" s="883"/>
      <c r="SNJ40" s="883"/>
      <c r="SNK40" s="883"/>
      <c r="SNL40" s="883"/>
      <c r="SNM40" s="883"/>
      <c r="SNN40" s="883"/>
      <c r="SNO40" s="883"/>
      <c r="SNP40" s="883"/>
      <c r="SNQ40" s="883"/>
      <c r="SNR40" s="863"/>
      <c r="SNS40" s="863"/>
      <c r="SNT40" s="863"/>
      <c r="SNU40" s="863"/>
      <c r="SNV40" s="863"/>
      <c r="SNW40" s="863"/>
      <c r="SNX40" s="863"/>
      <c r="SNY40" s="863"/>
      <c r="SNZ40" s="863"/>
      <c r="SOA40" s="863"/>
      <c r="SOB40" s="863"/>
      <c r="SOC40" s="863"/>
      <c r="SOD40" s="863"/>
      <c r="SOE40" s="863"/>
      <c r="SOF40" s="863"/>
      <c r="SOG40" s="863"/>
      <c r="SOH40" s="863"/>
      <c r="SOI40" s="863"/>
      <c r="SOJ40" s="863"/>
      <c r="SOK40" s="863"/>
      <c r="SOL40" s="863"/>
      <c r="SOM40" s="863"/>
      <c r="SON40" s="863"/>
      <c r="SOO40" s="883"/>
      <c r="SOP40" s="883"/>
      <c r="SOQ40" s="883"/>
      <c r="SOR40" s="883"/>
      <c r="SOS40" s="883"/>
      <c r="SOT40" s="883"/>
      <c r="SOU40" s="883"/>
      <c r="SOV40" s="883"/>
      <c r="SOW40" s="883"/>
      <c r="SOX40" s="863"/>
      <c r="SOY40" s="863"/>
      <c r="SOZ40" s="863"/>
      <c r="SPA40" s="863"/>
      <c r="SPB40" s="863"/>
      <c r="SPC40" s="863"/>
      <c r="SPD40" s="863"/>
      <c r="SPE40" s="863"/>
      <c r="SPF40" s="863"/>
      <c r="SPG40" s="863"/>
      <c r="SPH40" s="863"/>
      <c r="SPI40" s="863"/>
      <c r="SPJ40" s="863"/>
      <c r="SPK40" s="863"/>
      <c r="SPL40" s="863"/>
      <c r="SPM40" s="863"/>
      <c r="SPN40" s="863"/>
      <c r="SPO40" s="863"/>
      <c r="SPP40" s="863"/>
      <c r="SPQ40" s="863"/>
      <c r="SPR40" s="863"/>
      <c r="SPS40" s="863"/>
      <c r="SPT40" s="863"/>
      <c r="SPU40" s="883"/>
      <c r="SPV40" s="883"/>
      <c r="SPW40" s="883"/>
      <c r="SPX40" s="883"/>
      <c r="SPY40" s="883"/>
      <c r="SPZ40" s="883"/>
      <c r="SQA40" s="883"/>
      <c r="SQB40" s="883"/>
      <c r="SQC40" s="883"/>
      <c r="SQD40" s="863"/>
      <c r="SQE40" s="863"/>
      <c r="SQF40" s="863"/>
      <c r="SQG40" s="863"/>
      <c r="SQH40" s="863"/>
      <c r="SQI40" s="863"/>
      <c r="SQJ40" s="863"/>
      <c r="SQK40" s="863"/>
      <c r="SQL40" s="863"/>
      <c r="SQM40" s="863"/>
      <c r="SQN40" s="863"/>
      <c r="SQO40" s="863"/>
      <c r="SQP40" s="863"/>
      <c r="SQQ40" s="863"/>
      <c r="SQR40" s="863"/>
      <c r="SQS40" s="863"/>
      <c r="SQT40" s="863"/>
      <c r="SQU40" s="863"/>
      <c r="SQV40" s="863"/>
      <c r="SQW40" s="863"/>
      <c r="SQX40" s="863"/>
      <c r="SQY40" s="863"/>
      <c r="SQZ40" s="863"/>
      <c r="SRA40" s="883"/>
      <c r="SRB40" s="883"/>
      <c r="SRC40" s="883"/>
      <c r="SRD40" s="883"/>
      <c r="SRE40" s="883"/>
      <c r="SRF40" s="883"/>
      <c r="SRG40" s="883"/>
      <c r="SRH40" s="883"/>
      <c r="SRI40" s="883"/>
      <c r="SRJ40" s="863"/>
      <c r="SRK40" s="863"/>
      <c r="SRL40" s="863"/>
      <c r="SRM40" s="863"/>
      <c r="SRN40" s="863"/>
      <c r="SRO40" s="863"/>
      <c r="SRP40" s="863"/>
      <c r="SRQ40" s="863"/>
      <c r="SRR40" s="863"/>
      <c r="SRS40" s="863"/>
      <c r="SRT40" s="863"/>
      <c r="SRU40" s="863"/>
      <c r="SRV40" s="863"/>
      <c r="SRW40" s="863"/>
      <c r="SRX40" s="863"/>
      <c r="SRY40" s="863"/>
      <c r="SRZ40" s="863"/>
      <c r="SSA40" s="863"/>
      <c r="SSB40" s="863"/>
      <c r="SSC40" s="863"/>
      <c r="SSD40" s="863"/>
      <c r="SSE40" s="863"/>
      <c r="SSF40" s="863"/>
      <c r="SSG40" s="883"/>
      <c r="SSH40" s="883"/>
      <c r="SSI40" s="883"/>
      <c r="SSJ40" s="883"/>
      <c r="SSK40" s="883"/>
      <c r="SSL40" s="883"/>
      <c r="SSM40" s="883"/>
      <c r="SSN40" s="883"/>
      <c r="SSO40" s="883"/>
      <c r="SSP40" s="863"/>
      <c r="SSQ40" s="863"/>
      <c r="SSR40" s="863"/>
      <c r="SSS40" s="863"/>
      <c r="SST40" s="863"/>
      <c r="SSU40" s="863"/>
      <c r="SSV40" s="863"/>
      <c r="SSW40" s="863"/>
      <c r="SSX40" s="863"/>
      <c r="SSY40" s="863"/>
      <c r="SSZ40" s="863"/>
      <c r="STA40" s="863"/>
      <c r="STB40" s="863"/>
      <c r="STC40" s="863"/>
      <c r="STD40" s="863"/>
      <c r="STE40" s="863"/>
      <c r="STF40" s="863"/>
      <c r="STG40" s="863"/>
      <c r="STH40" s="863"/>
      <c r="STI40" s="863"/>
      <c r="STJ40" s="863"/>
      <c r="STK40" s="863"/>
      <c r="STL40" s="863"/>
      <c r="STM40" s="883"/>
      <c r="STN40" s="883"/>
      <c r="STO40" s="883"/>
      <c r="STP40" s="883"/>
      <c r="STQ40" s="883"/>
      <c r="STR40" s="883"/>
      <c r="STS40" s="883"/>
      <c r="STT40" s="883"/>
      <c r="STU40" s="883"/>
      <c r="STV40" s="863"/>
      <c r="STW40" s="863"/>
      <c r="STX40" s="863"/>
      <c r="STY40" s="863"/>
      <c r="STZ40" s="863"/>
      <c r="SUA40" s="863"/>
      <c r="SUB40" s="863"/>
      <c r="SUC40" s="863"/>
      <c r="SUD40" s="863"/>
      <c r="SUE40" s="863"/>
      <c r="SUF40" s="863"/>
      <c r="SUG40" s="863"/>
      <c r="SUH40" s="863"/>
      <c r="SUI40" s="863"/>
      <c r="SUJ40" s="863"/>
      <c r="SUK40" s="863"/>
      <c r="SUL40" s="863"/>
      <c r="SUM40" s="863"/>
      <c r="SUN40" s="863"/>
      <c r="SUO40" s="863"/>
      <c r="SUP40" s="863"/>
      <c r="SUQ40" s="863"/>
      <c r="SUR40" s="863"/>
      <c r="SUS40" s="883"/>
      <c r="SUT40" s="883"/>
      <c r="SUU40" s="883"/>
      <c r="SUV40" s="883"/>
      <c r="SUW40" s="883"/>
      <c r="SUX40" s="883"/>
      <c r="SUY40" s="883"/>
      <c r="SUZ40" s="883"/>
      <c r="SVA40" s="883"/>
      <c r="SVB40" s="863"/>
      <c r="SVC40" s="863"/>
      <c r="SVD40" s="863"/>
      <c r="SVE40" s="863"/>
      <c r="SVF40" s="863"/>
      <c r="SVG40" s="863"/>
      <c r="SVH40" s="863"/>
      <c r="SVI40" s="863"/>
      <c r="SVJ40" s="863"/>
      <c r="SVK40" s="863"/>
      <c r="SVL40" s="863"/>
      <c r="SVM40" s="863"/>
      <c r="SVN40" s="863"/>
      <c r="SVO40" s="863"/>
      <c r="SVP40" s="863"/>
      <c r="SVQ40" s="863"/>
      <c r="SVR40" s="863"/>
      <c r="SVS40" s="863"/>
      <c r="SVT40" s="863"/>
      <c r="SVU40" s="863"/>
      <c r="SVV40" s="863"/>
      <c r="SVW40" s="863"/>
      <c r="SVX40" s="863"/>
      <c r="SVY40" s="883"/>
      <c r="SVZ40" s="883"/>
      <c r="SWA40" s="883"/>
      <c r="SWB40" s="883"/>
      <c r="SWC40" s="883"/>
      <c r="SWD40" s="883"/>
      <c r="SWE40" s="883"/>
      <c r="SWF40" s="883"/>
      <c r="SWG40" s="883"/>
      <c r="SWH40" s="863"/>
      <c r="SWI40" s="863"/>
      <c r="SWJ40" s="863"/>
      <c r="SWK40" s="863"/>
      <c r="SWL40" s="863"/>
      <c r="SWM40" s="863"/>
      <c r="SWN40" s="863"/>
      <c r="SWO40" s="863"/>
      <c r="SWP40" s="863"/>
      <c r="SWQ40" s="863"/>
      <c r="SWR40" s="863"/>
      <c r="SWS40" s="863"/>
      <c r="SWT40" s="863"/>
      <c r="SWU40" s="863"/>
      <c r="SWV40" s="863"/>
      <c r="SWW40" s="863"/>
      <c r="SWX40" s="863"/>
      <c r="SWY40" s="863"/>
      <c r="SWZ40" s="863"/>
      <c r="SXA40" s="863"/>
      <c r="SXB40" s="863"/>
      <c r="SXC40" s="863"/>
      <c r="SXD40" s="863"/>
      <c r="SXE40" s="883"/>
      <c r="SXF40" s="883"/>
      <c r="SXG40" s="883"/>
      <c r="SXH40" s="883"/>
      <c r="SXI40" s="883"/>
      <c r="SXJ40" s="883"/>
      <c r="SXK40" s="883"/>
      <c r="SXL40" s="883"/>
      <c r="SXM40" s="883"/>
      <c r="SXN40" s="863"/>
      <c r="SXO40" s="863"/>
      <c r="SXP40" s="863"/>
      <c r="SXQ40" s="863"/>
      <c r="SXR40" s="863"/>
      <c r="SXS40" s="863"/>
      <c r="SXT40" s="863"/>
      <c r="SXU40" s="863"/>
      <c r="SXV40" s="863"/>
      <c r="SXW40" s="863"/>
      <c r="SXX40" s="863"/>
      <c r="SXY40" s="863"/>
      <c r="SXZ40" s="863"/>
      <c r="SYA40" s="863"/>
      <c r="SYB40" s="863"/>
      <c r="SYC40" s="863"/>
      <c r="SYD40" s="863"/>
      <c r="SYE40" s="863"/>
      <c r="SYF40" s="863"/>
      <c r="SYG40" s="863"/>
      <c r="SYH40" s="863"/>
      <c r="SYI40" s="863"/>
      <c r="SYJ40" s="863"/>
      <c r="SYK40" s="883"/>
      <c r="SYL40" s="883"/>
      <c r="SYM40" s="883"/>
      <c r="SYN40" s="883"/>
      <c r="SYO40" s="883"/>
      <c r="SYP40" s="883"/>
      <c r="SYQ40" s="883"/>
      <c r="SYR40" s="883"/>
      <c r="SYS40" s="883"/>
      <c r="SYT40" s="863"/>
      <c r="SYU40" s="863"/>
      <c r="SYV40" s="863"/>
      <c r="SYW40" s="863"/>
      <c r="SYX40" s="863"/>
      <c r="SYY40" s="863"/>
      <c r="SYZ40" s="863"/>
      <c r="SZA40" s="863"/>
      <c r="SZB40" s="863"/>
      <c r="SZC40" s="863"/>
      <c r="SZD40" s="863"/>
      <c r="SZE40" s="863"/>
      <c r="SZF40" s="863"/>
      <c r="SZG40" s="863"/>
      <c r="SZH40" s="863"/>
      <c r="SZI40" s="863"/>
      <c r="SZJ40" s="863"/>
      <c r="SZK40" s="863"/>
      <c r="SZL40" s="863"/>
      <c r="SZM40" s="863"/>
      <c r="SZN40" s="863"/>
      <c r="SZO40" s="863"/>
      <c r="SZP40" s="863"/>
      <c r="SZQ40" s="883"/>
      <c r="SZR40" s="883"/>
      <c r="SZS40" s="883"/>
      <c r="SZT40" s="883"/>
      <c r="SZU40" s="883"/>
      <c r="SZV40" s="883"/>
      <c r="SZW40" s="883"/>
      <c r="SZX40" s="883"/>
      <c r="SZY40" s="883"/>
      <c r="SZZ40" s="863"/>
      <c r="TAA40" s="863"/>
      <c r="TAB40" s="863"/>
      <c r="TAC40" s="863"/>
      <c r="TAD40" s="863"/>
      <c r="TAE40" s="863"/>
      <c r="TAF40" s="863"/>
      <c r="TAG40" s="863"/>
      <c r="TAH40" s="863"/>
      <c r="TAI40" s="863"/>
      <c r="TAJ40" s="863"/>
      <c r="TAK40" s="863"/>
      <c r="TAL40" s="863"/>
      <c r="TAM40" s="863"/>
      <c r="TAN40" s="863"/>
      <c r="TAO40" s="863"/>
      <c r="TAP40" s="863"/>
      <c r="TAQ40" s="863"/>
      <c r="TAR40" s="863"/>
      <c r="TAS40" s="863"/>
      <c r="TAT40" s="863"/>
      <c r="TAU40" s="863"/>
      <c r="TAV40" s="863"/>
      <c r="TAW40" s="883"/>
      <c r="TAX40" s="883"/>
      <c r="TAY40" s="883"/>
      <c r="TAZ40" s="883"/>
      <c r="TBA40" s="883"/>
      <c r="TBB40" s="883"/>
      <c r="TBC40" s="883"/>
      <c r="TBD40" s="883"/>
      <c r="TBE40" s="883"/>
      <c r="TBF40" s="863"/>
      <c r="TBG40" s="863"/>
      <c r="TBH40" s="863"/>
      <c r="TBI40" s="863"/>
      <c r="TBJ40" s="863"/>
      <c r="TBK40" s="863"/>
      <c r="TBL40" s="863"/>
      <c r="TBM40" s="863"/>
      <c r="TBN40" s="863"/>
      <c r="TBO40" s="863"/>
      <c r="TBP40" s="863"/>
      <c r="TBQ40" s="863"/>
      <c r="TBR40" s="863"/>
      <c r="TBS40" s="863"/>
      <c r="TBT40" s="863"/>
      <c r="TBU40" s="863"/>
      <c r="TBV40" s="863"/>
      <c r="TBW40" s="863"/>
      <c r="TBX40" s="863"/>
      <c r="TBY40" s="863"/>
      <c r="TBZ40" s="863"/>
      <c r="TCA40" s="863"/>
      <c r="TCB40" s="863"/>
      <c r="TCC40" s="883"/>
      <c r="TCD40" s="883"/>
      <c r="TCE40" s="883"/>
      <c r="TCF40" s="883"/>
      <c r="TCG40" s="883"/>
      <c r="TCH40" s="883"/>
      <c r="TCI40" s="883"/>
      <c r="TCJ40" s="883"/>
      <c r="TCK40" s="883"/>
      <c r="TCL40" s="863"/>
      <c r="TCM40" s="863"/>
      <c r="TCN40" s="863"/>
      <c r="TCO40" s="863"/>
      <c r="TCP40" s="863"/>
      <c r="TCQ40" s="863"/>
      <c r="TCR40" s="863"/>
      <c r="TCS40" s="863"/>
      <c r="TCT40" s="863"/>
      <c r="TCU40" s="863"/>
      <c r="TCV40" s="863"/>
      <c r="TCW40" s="863"/>
      <c r="TCX40" s="863"/>
      <c r="TCY40" s="863"/>
      <c r="TCZ40" s="863"/>
      <c r="TDA40" s="863"/>
      <c r="TDB40" s="863"/>
      <c r="TDC40" s="863"/>
      <c r="TDD40" s="863"/>
      <c r="TDE40" s="863"/>
      <c r="TDF40" s="863"/>
      <c r="TDG40" s="863"/>
      <c r="TDH40" s="863"/>
      <c r="TDI40" s="883"/>
      <c r="TDJ40" s="883"/>
      <c r="TDK40" s="883"/>
      <c r="TDL40" s="883"/>
      <c r="TDM40" s="883"/>
      <c r="TDN40" s="883"/>
      <c r="TDO40" s="883"/>
      <c r="TDP40" s="883"/>
      <c r="TDQ40" s="883"/>
      <c r="TDR40" s="863"/>
      <c r="TDS40" s="863"/>
      <c r="TDT40" s="863"/>
      <c r="TDU40" s="863"/>
      <c r="TDV40" s="863"/>
      <c r="TDW40" s="863"/>
      <c r="TDX40" s="863"/>
      <c r="TDY40" s="863"/>
      <c r="TDZ40" s="863"/>
      <c r="TEA40" s="863"/>
      <c r="TEB40" s="863"/>
      <c r="TEC40" s="863"/>
      <c r="TED40" s="863"/>
      <c r="TEE40" s="863"/>
      <c r="TEF40" s="863"/>
      <c r="TEG40" s="863"/>
      <c r="TEH40" s="863"/>
      <c r="TEI40" s="863"/>
      <c r="TEJ40" s="863"/>
      <c r="TEK40" s="863"/>
      <c r="TEL40" s="863"/>
      <c r="TEM40" s="863"/>
      <c r="TEN40" s="863"/>
      <c r="TEO40" s="883"/>
      <c r="TEP40" s="883"/>
      <c r="TEQ40" s="883"/>
      <c r="TER40" s="883"/>
      <c r="TES40" s="883"/>
      <c r="TET40" s="883"/>
      <c r="TEU40" s="883"/>
      <c r="TEV40" s="883"/>
      <c r="TEW40" s="883"/>
      <c r="TEX40" s="863"/>
      <c r="TEY40" s="863"/>
      <c r="TEZ40" s="863"/>
      <c r="TFA40" s="863"/>
      <c r="TFB40" s="863"/>
      <c r="TFC40" s="863"/>
      <c r="TFD40" s="863"/>
      <c r="TFE40" s="863"/>
      <c r="TFF40" s="863"/>
      <c r="TFG40" s="863"/>
      <c r="TFH40" s="863"/>
      <c r="TFI40" s="863"/>
      <c r="TFJ40" s="863"/>
      <c r="TFK40" s="863"/>
      <c r="TFL40" s="863"/>
      <c r="TFM40" s="863"/>
      <c r="TFN40" s="863"/>
      <c r="TFO40" s="863"/>
      <c r="TFP40" s="863"/>
      <c r="TFQ40" s="863"/>
      <c r="TFR40" s="863"/>
      <c r="TFS40" s="863"/>
      <c r="TFT40" s="863"/>
      <c r="TFU40" s="883"/>
      <c r="TFV40" s="883"/>
      <c r="TFW40" s="883"/>
      <c r="TFX40" s="883"/>
      <c r="TFY40" s="883"/>
      <c r="TFZ40" s="883"/>
      <c r="TGA40" s="883"/>
      <c r="TGB40" s="883"/>
      <c r="TGC40" s="883"/>
      <c r="TGD40" s="863"/>
      <c r="TGE40" s="863"/>
      <c r="TGF40" s="863"/>
      <c r="TGG40" s="863"/>
      <c r="TGH40" s="863"/>
      <c r="TGI40" s="863"/>
      <c r="TGJ40" s="863"/>
      <c r="TGK40" s="863"/>
      <c r="TGL40" s="863"/>
      <c r="TGM40" s="863"/>
      <c r="TGN40" s="863"/>
      <c r="TGO40" s="863"/>
      <c r="TGP40" s="863"/>
      <c r="TGQ40" s="863"/>
      <c r="TGR40" s="863"/>
      <c r="TGS40" s="863"/>
      <c r="TGT40" s="863"/>
      <c r="TGU40" s="863"/>
      <c r="TGV40" s="863"/>
      <c r="TGW40" s="863"/>
      <c r="TGX40" s="863"/>
      <c r="TGY40" s="863"/>
      <c r="TGZ40" s="863"/>
      <c r="THA40" s="883"/>
      <c r="THB40" s="883"/>
      <c r="THC40" s="883"/>
      <c r="THD40" s="883"/>
      <c r="THE40" s="883"/>
      <c r="THF40" s="883"/>
      <c r="THG40" s="883"/>
      <c r="THH40" s="883"/>
      <c r="THI40" s="883"/>
      <c r="THJ40" s="863"/>
      <c r="THK40" s="863"/>
      <c r="THL40" s="863"/>
      <c r="THM40" s="863"/>
      <c r="THN40" s="863"/>
      <c r="THO40" s="863"/>
      <c r="THP40" s="863"/>
      <c r="THQ40" s="863"/>
      <c r="THR40" s="863"/>
      <c r="THS40" s="863"/>
      <c r="THT40" s="863"/>
      <c r="THU40" s="863"/>
      <c r="THV40" s="863"/>
      <c r="THW40" s="863"/>
      <c r="THX40" s="863"/>
      <c r="THY40" s="863"/>
      <c r="THZ40" s="863"/>
      <c r="TIA40" s="863"/>
      <c r="TIB40" s="863"/>
      <c r="TIC40" s="863"/>
      <c r="TID40" s="863"/>
      <c r="TIE40" s="863"/>
      <c r="TIF40" s="863"/>
      <c r="TIG40" s="883"/>
      <c r="TIH40" s="883"/>
      <c r="TII40" s="883"/>
      <c r="TIJ40" s="883"/>
      <c r="TIK40" s="883"/>
      <c r="TIL40" s="883"/>
      <c r="TIM40" s="883"/>
      <c r="TIN40" s="883"/>
      <c r="TIO40" s="883"/>
      <c r="TIP40" s="863"/>
      <c r="TIQ40" s="863"/>
      <c r="TIR40" s="863"/>
      <c r="TIS40" s="863"/>
      <c r="TIT40" s="863"/>
      <c r="TIU40" s="863"/>
      <c r="TIV40" s="863"/>
      <c r="TIW40" s="863"/>
      <c r="TIX40" s="863"/>
      <c r="TIY40" s="863"/>
      <c r="TIZ40" s="863"/>
      <c r="TJA40" s="863"/>
      <c r="TJB40" s="863"/>
      <c r="TJC40" s="863"/>
      <c r="TJD40" s="863"/>
      <c r="TJE40" s="863"/>
      <c r="TJF40" s="863"/>
      <c r="TJG40" s="863"/>
      <c r="TJH40" s="863"/>
      <c r="TJI40" s="863"/>
      <c r="TJJ40" s="863"/>
      <c r="TJK40" s="863"/>
      <c r="TJL40" s="863"/>
      <c r="TJM40" s="883"/>
      <c r="TJN40" s="883"/>
      <c r="TJO40" s="883"/>
      <c r="TJP40" s="883"/>
      <c r="TJQ40" s="883"/>
      <c r="TJR40" s="883"/>
      <c r="TJS40" s="883"/>
      <c r="TJT40" s="883"/>
      <c r="TJU40" s="883"/>
      <c r="TJV40" s="863"/>
      <c r="TJW40" s="863"/>
      <c r="TJX40" s="863"/>
      <c r="TJY40" s="863"/>
      <c r="TJZ40" s="863"/>
      <c r="TKA40" s="863"/>
      <c r="TKB40" s="863"/>
      <c r="TKC40" s="863"/>
      <c r="TKD40" s="863"/>
      <c r="TKE40" s="863"/>
      <c r="TKF40" s="863"/>
      <c r="TKG40" s="863"/>
      <c r="TKH40" s="863"/>
      <c r="TKI40" s="863"/>
      <c r="TKJ40" s="863"/>
      <c r="TKK40" s="863"/>
      <c r="TKL40" s="863"/>
      <c r="TKM40" s="863"/>
      <c r="TKN40" s="863"/>
      <c r="TKO40" s="863"/>
      <c r="TKP40" s="863"/>
      <c r="TKQ40" s="863"/>
      <c r="TKR40" s="863"/>
      <c r="TKS40" s="883"/>
      <c r="TKT40" s="883"/>
      <c r="TKU40" s="883"/>
      <c r="TKV40" s="883"/>
      <c r="TKW40" s="883"/>
      <c r="TKX40" s="883"/>
      <c r="TKY40" s="883"/>
      <c r="TKZ40" s="883"/>
      <c r="TLA40" s="883"/>
      <c r="TLB40" s="863"/>
      <c r="TLC40" s="863"/>
      <c r="TLD40" s="863"/>
      <c r="TLE40" s="863"/>
      <c r="TLF40" s="863"/>
      <c r="TLG40" s="863"/>
      <c r="TLH40" s="863"/>
      <c r="TLI40" s="863"/>
      <c r="TLJ40" s="863"/>
      <c r="TLK40" s="863"/>
      <c r="TLL40" s="863"/>
      <c r="TLM40" s="863"/>
      <c r="TLN40" s="863"/>
      <c r="TLO40" s="863"/>
      <c r="TLP40" s="863"/>
      <c r="TLQ40" s="863"/>
      <c r="TLR40" s="863"/>
      <c r="TLS40" s="863"/>
      <c r="TLT40" s="863"/>
      <c r="TLU40" s="863"/>
      <c r="TLV40" s="863"/>
      <c r="TLW40" s="863"/>
      <c r="TLX40" s="863"/>
      <c r="TLY40" s="883"/>
      <c r="TLZ40" s="883"/>
      <c r="TMA40" s="883"/>
      <c r="TMB40" s="883"/>
      <c r="TMC40" s="883"/>
      <c r="TMD40" s="883"/>
      <c r="TME40" s="883"/>
      <c r="TMF40" s="883"/>
      <c r="TMG40" s="883"/>
      <c r="TMH40" s="863"/>
      <c r="TMI40" s="863"/>
      <c r="TMJ40" s="863"/>
      <c r="TMK40" s="863"/>
      <c r="TML40" s="863"/>
      <c r="TMM40" s="863"/>
      <c r="TMN40" s="863"/>
      <c r="TMO40" s="863"/>
      <c r="TMP40" s="863"/>
      <c r="TMQ40" s="863"/>
      <c r="TMR40" s="863"/>
      <c r="TMS40" s="863"/>
      <c r="TMT40" s="863"/>
      <c r="TMU40" s="863"/>
      <c r="TMV40" s="863"/>
      <c r="TMW40" s="863"/>
      <c r="TMX40" s="863"/>
      <c r="TMY40" s="863"/>
      <c r="TMZ40" s="863"/>
      <c r="TNA40" s="863"/>
      <c r="TNB40" s="863"/>
      <c r="TNC40" s="863"/>
      <c r="TND40" s="863"/>
      <c r="TNE40" s="883"/>
      <c r="TNF40" s="883"/>
      <c r="TNG40" s="883"/>
      <c r="TNH40" s="883"/>
      <c r="TNI40" s="883"/>
      <c r="TNJ40" s="883"/>
      <c r="TNK40" s="883"/>
      <c r="TNL40" s="883"/>
      <c r="TNM40" s="883"/>
      <c r="TNN40" s="863"/>
      <c r="TNO40" s="863"/>
      <c r="TNP40" s="863"/>
      <c r="TNQ40" s="863"/>
      <c r="TNR40" s="863"/>
      <c r="TNS40" s="863"/>
      <c r="TNT40" s="863"/>
      <c r="TNU40" s="863"/>
      <c r="TNV40" s="863"/>
      <c r="TNW40" s="863"/>
      <c r="TNX40" s="863"/>
      <c r="TNY40" s="863"/>
      <c r="TNZ40" s="863"/>
      <c r="TOA40" s="863"/>
      <c r="TOB40" s="863"/>
      <c r="TOC40" s="863"/>
      <c r="TOD40" s="863"/>
      <c r="TOE40" s="863"/>
      <c r="TOF40" s="863"/>
      <c r="TOG40" s="863"/>
      <c r="TOH40" s="863"/>
      <c r="TOI40" s="863"/>
      <c r="TOJ40" s="863"/>
      <c r="TOK40" s="883"/>
      <c r="TOL40" s="883"/>
      <c r="TOM40" s="883"/>
      <c r="TON40" s="883"/>
      <c r="TOO40" s="883"/>
      <c r="TOP40" s="883"/>
      <c r="TOQ40" s="883"/>
      <c r="TOR40" s="883"/>
      <c r="TOS40" s="883"/>
      <c r="TOT40" s="863"/>
      <c r="TOU40" s="863"/>
      <c r="TOV40" s="863"/>
      <c r="TOW40" s="863"/>
      <c r="TOX40" s="863"/>
      <c r="TOY40" s="863"/>
      <c r="TOZ40" s="863"/>
      <c r="TPA40" s="863"/>
      <c r="TPB40" s="863"/>
      <c r="TPC40" s="863"/>
      <c r="TPD40" s="863"/>
      <c r="TPE40" s="863"/>
      <c r="TPF40" s="863"/>
      <c r="TPG40" s="863"/>
      <c r="TPH40" s="863"/>
      <c r="TPI40" s="863"/>
      <c r="TPJ40" s="863"/>
      <c r="TPK40" s="863"/>
      <c r="TPL40" s="863"/>
      <c r="TPM40" s="863"/>
      <c r="TPN40" s="863"/>
      <c r="TPO40" s="863"/>
      <c r="TPP40" s="863"/>
      <c r="TPQ40" s="883"/>
      <c r="TPR40" s="883"/>
      <c r="TPS40" s="883"/>
      <c r="TPT40" s="883"/>
      <c r="TPU40" s="883"/>
      <c r="TPV40" s="883"/>
      <c r="TPW40" s="883"/>
      <c r="TPX40" s="883"/>
      <c r="TPY40" s="883"/>
      <c r="TPZ40" s="863"/>
      <c r="TQA40" s="863"/>
      <c r="TQB40" s="863"/>
      <c r="TQC40" s="863"/>
      <c r="TQD40" s="863"/>
      <c r="TQE40" s="863"/>
      <c r="TQF40" s="863"/>
      <c r="TQG40" s="863"/>
      <c r="TQH40" s="863"/>
      <c r="TQI40" s="863"/>
      <c r="TQJ40" s="863"/>
      <c r="TQK40" s="863"/>
      <c r="TQL40" s="863"/>
      <c r="TQM40" s="863"/>
      <c r="TQN40" s="863"/>
      <c r="TQO40" s="863"/>
      <c r="TQP40" s="863"/>
      <c r="TQQ40" s="863"/>
      <c r="TQR40" s="863"/>
      <c r="TQS40" s="863"/>
      <c r="TQT40" s="863"/>
      <c r="TQU40" s="863"/>
      <c r="TQV40" s="863"/>
      <c r="TQW40" s="883"/>
      <c r="TQX40" s="883"/>
      <c r="TQY40" s="883"/>
      <c r="TQZ40" s="883"/>
      <c r="TRA40" s="883"/>
      <c r="TRB40" s="883"/>
      <c r="TRC40" s="883"/>
      <c r="TRD40" s="883"/>
      <c r="TRE40" s="883"/>
      <c r="TRF40" s="863"/>
      <c r="TRG40" s="863"/>
      <c r="TRH40" s="863"/>
      <c r="TRI40" s="863"/>
      <c r="TRJ40" s="863"/>
      <c r="TRK40" s="863"/>
      <c r="TRL40" s="863"/>
      <c r="TRM40" s="863"/>
      <c r="TRN40" s="863"/>
      <c r="TRO40" s="863"/>
      <c r="TRP40" s="863"/>
      <c r="TRQ40" s="863"/>
      <c r="TRR40" s="863"/>
      <c r="TRS40" s="863"/>
      <c r="TRT40" s="863"/>
      <c r="TRU40" s="863"/>
      <c r="TRV40" s="863"/>
      <c r="TRW40" s="863"/>
      <c r="TRX40" s="863"/>
      <c r="TRY40" s="863"/>
      <c r="TRZ40" s="863"/>
      <c r="TSA40" s="863"/>
      <c r="TSB40" s="863"/>
      <c r="TSC40" s="883"/>
      <c r="TSD40" s="883"/>
      <c r="TSE40" s="883"/>
      <c r="TSF40" s="883"/>
      <c r="TSG40" s="883"/>
      <c r="TSH40" s="883"/>
      <c r="TSI40" s="883"/>
      <c r="TSJ40" s="883"/>
      <c r="TSK40" s="883"/>
      <c r="TSL40" s="863"/>
      <c r="TSM40" s="863"/>
      <c r="TSN40" s="863"/>
      <c r="TSO40" s="863"/>
      <c r="TSP40" s="863"/>
      <c r="TSQ40" s="863"/>
      <c r="TSR40" s="863"/>
      <c r="TSS40" s="863"/>
      <c r="TST40" s="863"/>
      <c r="TSU40" s="863"/>
      <c r="TSV40" s="863"/>
      <c r="TSW40" s="863"/>
      <c r="TSX40" s="863"/>
      <c r="TSY40" s="863"/>
      <c r="TSZ40" s="863"/>
      <c r="TTA40" s="863"/>
      <c r="TTB40" s="863"/>
      <c r="TTC40" s="863"/>
      <c r="TTD40" s="863"/>
      <c r="TTE40" s="863"/>
      <c r="TTF40" s="863"/>
      <c r="TTG40" s="863"/>
      <c r="TTH40" s="863"/>
      <c r="TTI40" s="883"/>
      <c r="TTJ40" s="883"/>
      <c r="TTK40" s="883"/>
      <c r="TTL40" s="883"/>
      <c r="TTM40" s="883"/>
      <c r="TTN40" s="883"/>
      <c r="TTO40" s="883"/>
      <c r="TTP40" s="883"/>
      <c r="TTQ40" s="883"/>
      <c r="TTR40" s="863"/>
      <c r="TTS40" s="863"/>
      <c r="TTT40" s="863"/>
      <c r="TTU40" s="863"/>
      <c r="TTV40" s="863"/>
      <c r="TTW40" s="863"/>
      <c r="TTX40" s="863"/>
      <c r="TTY40" s="863"/>
      <c r="TTZ40" s="863"/>
      <c r="TUA40" s="863"/>
      <c r="TUB40" s="863"/>
      <c r="TUC40" s="863"/>
      <c r="TUD40" s="863"/>
      <c r="TUE40" s="863"/>
      <c r="TUF40" s="863"/>
      <c r="TUG40" s="863"/>
      <c r="TUH40" s="863"/>
      <c r="TUI40" s="863"/>
      <c r="TUJ40" s="863"/>
      <c r="TUK40" s="863"/>
      <c r="TUL40" s="863"/>
      <c r="TUM40" s="863"/>
      <c r="TUN40" s="863"/>
      <c r="TUO40" s="883"/>
      <c r="TUP40" s="883"/>
      <c r="TUQ40" s="883"/>
      <c r="TUR40" s="883"/>
      <c r="TUS40" s="883"/>
      <c r="TUT40" s="883"/>
      <c r="TUU40" s="883"/>
      <c r="TUV40" s="883"/>
      <c r="TUW40" s="883"/>
      <c r="TUX40" s="863"/>
      <c r="TUY40" s="863"/>
      <c r="TUZ40" s="863"/>
      <c r="TVA40" s="863"/>
      <c r="TVB40" s="863"/>
      <c r="TVC40" s="863"/>
      <c r="TVD40" s="863"/>
      <c r="TVE40" s="863"/>
      <c r="TVF40" s="863"/>
      <c r="TVG40" s="863"/>
      <c r="TVH40" s="863"/>
      <c r="TVI40" s="863"/>
      <c r="TVJ40" s="863"/>
      <c r="TVK40" s="863"/>
      <c r="TVL40" s="863"/>
      <c r="TVM40" s="863"/>
      <c r="TVN40" s="863"/>
      <c r="TVO40" s="863"/>
      <c r="TVP40" s="863"/>
      <c r="TVQ40" s="863"/>
      <c r="TVR40" s="863"/>
      <c r="TVS40" s="863"/>
      <c r="TVT40" s="863"/>
      <c r="TVU40" s="883"/>
      <c r="TVV40" s="883"/>
      <c r="TVW40" s="883"/>
      <c r="TVX40" s="883"/>
      <c r="TVY40" s="883"/>
      <c r="TVZ40" s="883"/>
      <c r="TWA40" s="883"/>
      <c r="TWB40" s="883"/>
      <c r="TWC40" s="883"/>
      <c r="TWD40" s="863"/>
      <c r="TWE40" s="863"/>
      <c r="TWF40" s="863"/>
      <c r="TWG40" s="863"/>
      <c r="TWH40" s="863"/>
      <c r="TWI40" s="863"/>
      <c r="TWJ40" s="863"/>
      <c r="TWK40" s="863"/>
      <c r="TWL40" s="863"/>
      <c r="TWM40" s="863"/>
      <c r="TWN40" s="863"/>
      <c r="TWO40" s="863"/>
      <c r="TWP40" s="863"/>
      <c r="TWQ40" s="863"/>
      <c r="TWR40" s="863"/>
      <c r="TWS40" s="863"/>
      <c r="TWT40" s="863"/>
      <c r="TWU40" s="863"/>
      <c r="TWV40" s="863"/>
      <c r="TWW40" s="863"/>
      <c r="TWX40" s="863"/>
      <c r="TWY40" s="863"/>
      <c r="TWZ40" s="863"/>
      <c r="TXA40" s="883"/>
      <c r="TXB40" s="883"/>
      <c r="TXC40" s="883"/>
      <c r="TXD40" s="883"/>
      <c r="TXE40" s="883"/>
      <c r="TXF40" s="883"/>
      <c r="TXG40" s="883"/>
      <c r="TXH40" s="883"/>
      <c r="TXI40" s="883"/>
      <c r="TXJ40" s="863"/>
      <c r="TXK40" s="863"/>
      <c r="TXL40" s="863"/>
      <c r="TXM40" s="863"/>
      <c r="TXN40" s="863"/>
      <c r="TXO40" s="863"/>
      <c r="TXP40" s="863"/>
      <c r="TXQ40" s="863"/>
      <c r="TXR40" s="863"/>
      <c r="TXS40" s="863"/>
      <c r="TXT40" s="863"/>
      <c r="TXU40" s="863"/>
      <c r="TXV40" s="863"/>
      <c r="TXW40" s="863"/>
      <c r="TXX40" s="863"/>
      <c r="TXY40" s="863"/>
      <c r="TXZ40" s="863"/>
      <c r="TYA40" s="863"/>
      <c r="TYB40" s="863"/>
      <c r="TYC40" s="863"/>
      <c r="TYD40" s="863"/>
      <c r="TYE40" s="863"/>
      <c r="TYF40" s="863"/>
      <c r="TYG40" s="883"/>
      <c r="TYH40" s="883"/>
      <c r="TYI40" s="883"/>
      <c r="TYJ40" s="883"/>
      <c r="TYK40" s="883"/>
      <c r="TYL40" s="883"/>
      <c r="TYM40" s="883"/>
      <c r="TYN40" s="883"/>
      <c r="TYO40" s="883"/>
      <c r="TYP40" s="863"/>
      <c r="TYQ40" s="863"/>
      <c r="TYR40" s="863"/>
      <c r="TYS40" s="863"/>
      <c r="TYT40" s="863"/>
      <c r="TYU40" s="863"/>
      <c r="TYV40" s="863"/>
      <c r="TYW40" s="863"/>
      <c r="TYX40" s="863"/>
      <c r="TYY40" s="863"/>
      <c r="TYZ40" s="863"/>
      <c r="TZA40" s="863"/>
      <c r="TZB40" s="863"/>
      <c r="TZC40" s="863"/>
      <c r="TZD40" s="863"/>
      <c r="TZE40" s="863"/>
      <c r="TZF40" s="863"/>
      <c r="TZG40" s="863"/>
      <c r="TZH40" s="863"/>
      <c r="TZI40" s="863"/>
      <c r="TZJ40" s="863"/>
      <c r="TZK40" s="863"/>
      <c r="TZL40" s="863"/>
      <c r="TZM40" s="883"/>
      <c r="TZN40" s="883"/>
      <c r="TZO40" s="883"/>
      <c r="TZP40" s="883"/>
      <c r="TZQ40" s="883"/>
      <c r="TZR40" s="883"/>
      <c r="TZS40" s="883"/>
      <c r="TZT40" s="883"/>
      <c r="TZU40" s="883"/>
      <c r="TZV40" s="863"/>
      <c r="TZW40" s="863"/>
      <c r="TZX40" s="863"/>
      <c r="TZY40" s="863"/>
      <c r="TZZ40" s="863"/>
      <c r="UAA40" s="863"/>
      <c r="UAB40" s="863"/>
      <c r="UAC40" s="863"/>
      <c r="UAD40" s="863"/>
      <c r="UAE40" s="863"/>
      <c r="UAF40" s="863"/>
      <c r="UAG40" s="863"/>
      <c r="UAH40" s="863"/>
      <c r="UAI40" s="863"/>
      <c r="UAJ40" s="863"/>
      <c r="UAK40" s="863"/>
      <c r="UAL40" s="863"/>
      <c r="UAM40" s="863"/>
      <c r="UAN40" s="863"/>
      <c r="UAO40" s="863"/>
      <c r="UAP40" s="863"/>
      <c r="UAQ40" s="863"/>
      <c r="UAR40" s="863"/>
      <c r="UAS40" s="883"/>
      <c r="UAT40" s="883"/>
      <c r="UAU40" s="883"/>
      <c r="UAV40" s="883"/>
      <c r="UAW40" s="883"/>
      <c r="UAX40" s="883"/>
      <c r="UAY40" s="883"/>
      <c r="UAZ40" s="883"/>
      <c r="UBA40" s="883"/>
      <c r="UBB40" s="863"/>
      <c r="UBC40" s="863"/>
      <c r="UBD40" s="863"/>
      <c r="UBE40" s="863"/>
      <c r="UBF40" s="863"/>
      <c r="UBG40" s="863"/>
      <c r="UBH40" s="863"/>
      <c r="UBI40" s="863"/>
      <c r="UBJ40" s="863"/>
      <c r="UBK40" s="863"/>
      <c r="UBL40" s="863"/>
      <c r="UBM40" s="863"/>
      <c r="UBN40" s="863"/>
      <c r="UBO40" s="863"/>
      <c r="UBP40" s="863"/>
      <c r="UBQ40" s="863"/>
      <c r="UBR40" s="863"/>
      <c r="UBS40" s="863"/>
      <c r="UBT40" s="863"/>
      <c r="UBU40" s="863"/>
      <c r="UBV40" s="863"/>
      <c r="UBW40" s="863"/>
      <c r="UBX40" s="863"/>
      <c r="UBY40" s="883"/>
      <c r="UBZ40" s="883"/>
      <c r="UCA40" s="883"/>
      <c r="UCB40" s="883"/>
      <c r="UCC40" s="883"/>
      <c r="UCD40" s="883"/>
      <c r="UCE40" s="883"/>
      <c r="UCF40" s="883"/>
      <c r="UCG40" s="883"/>
      <c r="UCH40" s="863"/>
      <c r="UCI40" s="863"/>
      <c r="UCJ40" s="863"/>
      <c r="UCK40" s="863"/>
      <c r="UCL40" s="863"/>
      <c r="UCM40" s="863"/>
      <c r="UCN40" s="863"/>
      <c r="UCO40" s="863"/>
      <c r="UCP40" s="863"/>
      <c r="UCQ40" s="863"/>
      <c r="UCR40" s="863"/>
      <c r="UCS40" s="863"/>
      <c r="UCT40" s="863"/>
      <c r="UCU40" s="863"/>
      <c r="UCV40" s="863"/>
      <c r="UCW40" s="863"/>
      <c r="UCX40" s="863"/>
      <c r="UCY40" s="863"/>
      <c r="UCZ40" s="863"/>
      <c r="UDA40" s="863"/>
      <c r="UDB40" s="863"/>
      <c r="UDC40" s="863"/>
      <c r="UDD40" s="863"/>
      <c r="UDE40" s="883"/>
      <c r="UDF40" s="883"/>
      <c r="UDG40" s="883"/>
      <c r="UDH40" s="883"/>
      <c r="UDI40" s="883"/>
      <c r="UDJ40" s="883"/>
      <c r="UDK40" s="883"/>
      <c r="UDL40" s="883"/>
      <c r="UDM40" s="883"/>
      <c r="UDN40" s="863"/>
      <c r="UDO40" s="863"/>
      <c r="UDP40" s="863"/>
      <c r="UDQ40" s="863"/>
      <c r="UDR40" s="863"/>
      <c r="UDS40" s="863"/>
      <c r="UDT40" s="863"/>
      <c r="UDU40" s="863"/>
      <c r="UDV40" s="863"/>
      <c r="UDW40" s="863"/>
      <c r="UDX40" s="863"/>
      <c r="UDY40" s="863"/>
      <c r="UDZ40" s="863"/>
      <c r="UEA40" s="863"/>
      <c r="UEB40" s="863"/>
      <c r="UEC40" s="863"/>
      <c r="UED40" s="863"/>
      <c r="UEE40" s="863"/>
      <c r="UEF40" s="863"/>
      <c r="UEG40" s="863"/>
      <c r="UEH40" s="863"/>
      <c r="UEI40" s="863"/>
      <c r="UEJ40" s="863"/>
      <c r="UEK40" s="883"/>
      <c r="UEL40" s="883"/>
      <c r="UEM40" s="883"/>
      <c r="UEN40" s="883"/>
      <c r="UEO40" s="883"/>
      <c r="UEP40" s="883"/>
      <c r="UEQ40" s="883"/>
      <c r="UER40" s="883"/>
      <c r="UES40" s="883"/>
      <c r="UET40" s="863"/>
      <c r="UEU40" s="863"/>
      <c r="UEV40" s="863"/>
      <c r="UEW40" s="863"/>
      <c r="UEX40" s="863"/>
      <c r="UEY40" s="863"/>
      <c r="UEZ40" s="863"/>
      <c r="UFA40" s="863"/>
      <c r="UFB40" s="863"/>
      <c r="UFC40" s="863"/>
      <c r="UFD40" s="863"/>
      <c r="UFE40" s="863"/>
      <c r="UFF40" s="863"/>
      <c r="UFG40" s="863"/>
      <c r="UFH40" s="863"/>
      <c r="UFI40" s="863"/>
      <c r="UFJ40" s="863"/>
      <c r="UFK40" s="863"/>
      <c r="UFL40" s="863"/>
      <c r="UFM40" s="863"/>
      <c r="UFN40" s="863"/>
      <c r="UFO40" s="863"/>
      <c r="UFP40" s="863"/>
      <c r="UFQ40" s="883"/>
      <c r="UFR40" s="883"/>
      <c r="UFS40" s="883"/>
      <c r="UFT40" s="883"/>
      <c r="UFU40" s="883"/>
      <c r="UFV40" s="883"/>
      <c r="UFW40" s="883"/>
      <c r="UFX40" s="883"/>
      <c r="UFY40" s="883"/>
      <c r="UFZ40" s="863"/>
      <c r="UGA40" s="863"/>
      <c r="UGB40" s="863"/>
      <c r="UGC40" s="863"/>
      <c r="UGD40" s="863"/>
      <c r="UGE40" s="863"/>
      <c r="UGF40" s="863"/>
      <c r="UGG40" s="863"/>
      <c r="UGH40" s="863"/>
      <c r="UGI40" s="863"/>
      <c r="UGJ40" s="863"/>
      <c r="UGK40" s="863"/>
      <c r="UGL40" s="863"/>
      <c r="UGM40" s="863"/>
      <c r="UGN40" s="863"/>
      <c r="UGO40" s="863"/>
      <c r="UGP40" s="863"/>
      <c r="UGQ40" s="863"/>
      <c r="UGR40" s="863"/>
      <c r="UGS40" s="863"/>
      <c r="UGT40" s="863"/>
      <c r="UGU40" s="863"/>
      <c r="UGV40" s="863"/>
      <c r="UGW40" s="883"/>
      <c r="UGX40" s="883"/>
      <c r="UGY40" s="883"/>
      <c r="UGZ40" s="883"/>
      <c r="UHA40" s="883"/>
      <c r="UHB40" s="883"/>
      <c r="UHC40" s="883"/>
      <c r="UHD40" s="883"/>
      <c r="UHE40" s="883"/>
      <c r="UHF40" s="863"/>
      <c r="UHG40" s="863"/>
      <c r="UHH40" s="863"/>
      <c r="UHI40" s="863"/>
      <c r="UHJ40" s="863"/>
      <c r="UHK40" s="863"/>
      <c r="UHL40" s="863"/>
      <c r="UHM40" s="863"/>
      <c r="UHN40" s="863"/>
      <c r="UHO40" s="863"/>
      <c r="UHP40" s="863"/>
      <c r="UHQ40" s="863"/>
      <c r="UHR40" s="863"/>
      <c r="UHS40" s="863"/>
      <c r="UHT40" s="863"/>
      <c r="UHU40" s="863"/>
      <c r="UHV40" s="863"/>
      <c r="UHW40" s="863"/>
      <c r="UHX40" s="863"/>
      <c r="UHY40" s="863"/>
      <c r="UHZ40" s="863"/>
      <c r="UIA40" s="863"/>
      <c r="UIB40" s="863"/>
      <c r="UIC40" s="883"/>
      <c r="UID40" s="883"/>
      <c r="UIE40" s="883"/>
      <c r="UIF40" s="883"/>
      <c r="UIG40" s="883"/>
      <c r="UIH40" s="883"/>
      <c r="UII40" s="883"/>
      <c r="UIJ40" s="883"/>
      <c r="UIK40" s="883"/>
      <c r="UIL40" s="863"/>
      <c r="UIM40" s="863"/>
      <c r="UIN40" s="863"/>
      <c r="UIO40" s="863"/>
      <c r="UIP40" s="863"/>
      <c r="UIQ40" s="863"/>
      <c r="UIR40" s="863"/>
      <c r="UIS40" s="863"/>
      <c r="UIT40" s="863"/>
      <c r="UIU40" s="863"/>
      <c r="UIV40" s="863"/>
      <c r="UIW40" s="863"/>
      <c r="UIX40" s="863"/>
      <c r="UIY40" s="863"/>
      <c r="UIZ40" s="863"/>
      <c r="UJA40" s="863"/>
      <c r="UJB40" s="863"/>
      <c r="UJC40" s="863"/>
      <c r="UJD40" s="863"/>
      <c r="UJE40" s="863"/>
      <c r="UJF40" s="863"/>
      <c r="UJG40" s="863"/>
      <c r="UJH40" s="863"/>
      <c r="UJI40" s="883"/>
      <c r="UJJ40" s="883"/>
      <c r="UJK40" s="883"/>
      <c r="UJL40" s="883"/>
      <c r="UJM40" s="883"/>
      <c r="UJN40" s="883"/>
      <c r="UJO40" s="883"/>
      <c r="UJP40" s="883"/>
      <c r="UJQ40" s="883"/>
      <c r="UJR40" s="863"/>
      <c r="UJS40" s="863"/>
      <c r="UJT40" s="863"/>
      <c r="UJU40" s="863"/>
      <c r="UJV40" s="863"/>
      <c r="UJW40" s="863"/>
      <c r="UJX40" s="863"/>
      <c r="UJY40" s="863"/>
      <c r="UJZ40" s="863"/>
      <c r="UKA40" s="863"/>
      <c r="UKB40" s="863"/>
      <c r="UKC40" s="863"/>
      <c r="UKD40" s="863"/>
      <c r="UKE40" s="863"/>
      <c r="UKF40" s="863"/>
      <c r="UKG40" s="863"/>
      <c r="UKH40" s="863"/>
      <c r="UKI40" s="863"/>
      <c r="UKJ40" s="863"/>
      <c r="UKK40" s="863"/>
      <c r="UKL40" s="863"/>
      <c r="UKM40" s="863"/>
      <c r="UKN40" s="863"/>
      <c r="UKO40" s="883"/>
      <c r="UKP40" s="883"/>
      <c r="UKQ40" s="883"/>
      <c r="UKR40" s="883"/>
      <c r="UKS40" s="883"/>
      <c r="UKT40" s="883"/>
      <c r="UKU40" s="883"/>
      <c r="UKV40" s="883"/>
      <c r="UKW40" s="883"/>
      <c r="UKX40" s="863"/>
      <c r="UKY40" s="863"/>
      <c r="UKZ40" s="863"/>
      <c r="ULA40" s="863"/>
      <c r="ULB40" s="863"/>
      <c r="ULC40" s="863"/>
      <c r="ULD40" s="863"/>
      <c r="ULE40" s="863"/>
      <c r="ULF40" s="863"/>
      <c r="ULG40" s="863"/>
      <c r="ULH40" s="863"/>
      <c r="ULI40" s="863"/>
      <c r="ULJ40" s="863"/>
      <c r="ULK40" s="863"/>
      <c r="ULL40" s="863"/>
      <c r="ULM40" s="863"/>
      <c r="ULN40" s="863"/>
      <c r="ULO40" s="863"/>
      <c r="ULP40" s="863"/>
      <c r="ULQ40" s="863"/>
      <c r="ULR40" s="863"/>
      <c r="ULS40" s="863"/>
      <c r="ULT40" s="863"/>
      <c r="ULU40" s="883"/>
      <c r="ULV40" s="883"/>
      <c r="ULW40" s="883"/>
      <c r="ULX40" s="883"/>
      <c r="ULY40" s="883"/>
      <c r="ULZ40" s="883"/>
      <c r="UMA40" s="883"/>
      <c r="UMB40" s="883"/>
      <c r="UMC40" s="883"/>
      <c r="UMD40" s="863"/>
      <c r="UME40" s="863"/>
      <c r="UMF40" s="863"/>
      <c r="UMG40" s="863"/>
      <c r="UMH40" s="863"/>
      <c r="UMI40" s="863"/>
      <c r="UMJ40" s="863"/>
      <c r="UMK40" s="863"/>
      <c r="UML40" s="863"/>
      <c r="UMM40" s="863"/>
      <c r="UMN40" s="863"/>
      <c r="UMO40" s="863"/>
      <c r="UMP40" s="863"/>
      <c r="UMQ40" s="863"/>
      <c r="UMR40" s="863"/>
      <c r="UMS40" s="863"/>
      <c r="UMT40" s="863"/>
      <c r="UMU40" s="863"/>
      <c r="UMV40" s="863"/>
      <c r="UMW40" s="863"/>
      <c r="UMX40" s="863"/>
      <c r="UMY40" s="863"/>
      <c r="UMZ40" s="863"/>
      <c r="UNA40" s="883"/>
      <c r="UNB40" s="883"/>
      <c r="UNC40" s="883"/>
      <c r="UND40" s="883"/>
      <c r="UNE40" s="883"/>
      <c r="UNF40" s="883"/>
      <c r="UNG40" s="883"/>
      <c r="UNH40" s="883"/>
      <c r="UNI40" s="883"/>
      <c r="UNJ40" s="863"/>
      <c r="UNK40" s="863"/>
      <c r="UNL40" s="863"/>
      <c r="UNM40" s="863"/>
      <c r="UNN40" s="863"/>
      <c r="UNO40" s="863"/>
      <c r="UNP40" s="863"/>
      <c r="UNQ40" s="863"/>
      <c r="UNR40" s="863"/>
      <c r="UNS40" s="863"/>
      <c r="UNT40" s="863"/>
      <c r="UNU40" s="863"/>
      <c r="UNV40" s="863"/>
      <c r="UNW40" s="863"/>
      <c r="UNX40" s="863"/>
      <c r="UNY40" s="863"/>
      <c r="UNZ40" s="863"/>
      <c r="UOA40" s="863"/>
      <c r="UOB40" s="863"/>
      <c r="UOC40" s="863"/>
      <c r="UOD40" s="863"/>
      <c r="UOE40" s="863"/>
      <c r="UOF40" s="863"/>
      <c r="UOG40" s="883"/>
      <c r="UOH40" s="883"/>
      <c r="UOI40" s="883"/>
      <c r="UOJ40" s="883"/>
      <c r="UOK40" s="883"/>
      <c r="UOL40" s="883"/>
      <c r="UOM40" s="883"/>
      <c r="UON40" s="883"/>
      <c r="UOO40" s="883"/>
      <c r="UOP40" s="863"/>
      <c r="UOQ40" s="863"/>
      <c r="UOR40" s="863"/>
      <c r="UOS40" s="863"/>
      <c r="UOT40" s="863"/>
      <c r="UOU40" s="863"/>
      <c r="UOV40" s="863"/>
      <c r="UOW40" s="863"/>
      <c r="UOX40" s="863"/>
      <c r="UOY40" s="863"/>
      <c r="UOZ40" s="863"/>
      <c r="UPA40" s="863"/>
      <c r="UPB40" s="863"/>
      <c r="UPC40" s="863"/>
      <c r="UPD40" s="863"/>
      <c r="UPE40" s="863"/>
      <c r="UPF40" s="863"/>
      <c r="UPG40" s="863"/>
      <c r="UPH40" s="863"/>
      <c r="UPI40" s="863"/>
      <c r="UPJ40" s="863"/>
      <c r="UPK40" s="863"/>
      <c r="UPL40" s="863"/>
      <c r="UPM40" s="883"/>
      <c r="UPN40" s="883"/>
      <c r="UPO40" s="883"/>
      <c r="UPP40" s="883"/>
      <c r="UPQ40" s="883"/>
      <c r="UPR40" s="883"/>
      <c r="UPS40" s="883"/>
      <c r="UPT40" s="883"/>
      <c r="UPU40" s="883"/>
      <c r="UPV40" s="863"/>
      <c r="UPW40" s="863"/>
      <c r="UPX40" s="863"/>
      <c r="UPY40" s="863"/>
      <c r="UPZ40" s="863"/>
      <c r="UQA40" s="863"/>
      <c r="UQB40" s="863"/>
      <c r="UQC40" s="863"/>
      <c r="UQD40" s="863"/>
      <c r="UQE40" s="863"/>
      <c r="UQF40" s="863"/>
      <c r="UQG40" s="863"/>
      <c r="UQH40" s="863"/>
      <c r="UQI40" s="863"/>
      <c r="UQJ40" s="863"/>
      <c r="UQK40" s="863"/>
      <c r="UQL40" s="863"/>
      <c r="UQM40" s="863"/>
      <c r="UQN40" s="863"/>
      <c r="UQO40" s="863"/>
      <c r="UQP40" s="863"/>
      <c r="UQQ40" s="863"/>
      <c r="UQR40" s="863"/>
      <c r="UQS40" s="883"/>
      <c r="UQT40" s="883"/>
      <c r="UQU40" s="883"/>
      <c r="UQV40" s="883"/>
      <c r="UQW40" s="883"/>
      <c r="UQX40" s="883"/>
      <c r="UQY40" s="883"/>
      <c r="UQZ40" s="883"/>
      <c r="URA40" s="883"/>
      <c r="URB40" s="863"/>
      <c r="URC40" s="863"/>
      <c r="URD40" s="863"/>
      <c r="URE40" s="863"/>
      <c r="URF40" s="863"/>
      <c r="URG40" s="863"/>
      <c r="URH40" s="863"/>
      <c r="URI40" s="863"/>
      <c r="URJ40" s="863"/>
      <c r="URK40" s="863"/>
      <c r="URL40" s="863"/>
      <c r="URM40" s="863"/>
      <c r="URN40" s="863"/>
      <c r="URO40" s="863"/>
      <c r="URP40" s="863"/>
      <c r="URQ40" s="863"/>
      <c r="URR40" s="863"/>
      <c r="URS40" s="863"/>
      <c r="URT40" s="863"/>
      <c r="URU40" s="863"/>
      <c r="URV40" s="863"/>
      <c r="URW40" s="863"/>
      <c r="URX40" s="863"/>
      <c r="URY40" s="883"/>
      <c r="URZ40" s="883"/>
      <c r="USA40" s="883"/>
      <c r="USB40" s="883"/>
      <c r="USC40" s="883"/>
      <c r="USD40" s="883"/>
      <c r="USE40" s="883"/>
      <c r="USF40" s="883"/>
      <c r="USG40" s="883"/>
      <c r="USH40" s="863"/>
      <c r="USI40" s="863"/>
      <c r="USJ40" s="863"/>
      <c r="USK40" s="863"/>
      <c r="USL40" s="863"/>
      <c r="USM40" s="863"/>
      <c r="USN40" s="863"/>
      <c r="USO40" s="863"/>
      <c r="USP40" s="863"/>
      <c r="USQ40" s="863"/>
      <c r="USR40" s="863"/>
      <c r="USS40" s="863"/>
      <c r="UST40" s="863"/>
      <c r="USU40" s="863"/>
      <c r="USV40" s="863"/>
      <c r="USW40" s="863"/>
      <c r="USX40" s="863"/>
      <c r="USY40" s="863"/>
      <c r="USZ40" s="863"/>
      <c r="UTA40" s="863"/>
      <c r="UTB40" s="863"/>
      <c r="UTC40" s="863"/>
      <c r="UTD40" s="863"/>
      <c r="UTE40" s="883"/>
      <c r="UTF40" s="883"/>
      <c r="UTG40" s="883"/>
      <c r="UTH40" s="883"/>
      <c r="UTI40" s="883"/>
      <c r="UTJ40" s="883"/>
      <c r="UTK40" s="883"/>
      <c r="UTL40" s="883"/>
      <c r="UTM40" s="883"/>
      <c r="UTN40" s="863"/>
      <c r="UTO40" s="863"/>
      <c r="UTP40" s="863"/>
      <c r="UTQ40" s="863"/>
      <c r="UTR40" s="863"/>
      <c r="UTS40" s="863"/>
      <c r="UTT40" s="863"/>
      <c r="UTU40" s="863"/>
      <c r="UTV40" s="863"/>
      <c r="UTW40" s="863"/>
      <c r="UTX40" s="863"/>
      <c r="UTY40" s="863"/>
      <c r="UTZ40" s="863"/>
      <c r="UUA40" s="863"/>
      <c r="UUB40" s="863"/>
      <c r="UUC40" s="863"/>
      <c r="UUD40" s="863"/>
      <c r="UUE40" s="863"/>
      <c r="UUF40" s="863"/>
      <c r="UUG40" s="863"/>
      <c r="UUH40" s="863"/>
      <c r="UUI40" s="863"/>
      <c r="UUJ40" s="863"/>
      <c r="UUK40" s="883"/>
      <c r="UUL40" s="883"/>
      <c r="UUM40" s="883"/>
      <c r="UUN40" s="883"/>
      <c r="UUO40" s="883"/>
      <c r="UUP40" s="883"/>
      <c r="UUQ40" s="883"/>
      <c r="UUR40" s="883"/>
      <c r="UUS40" s="883"/>
      <c r="UUT40" s="863"/>
      <c r="UUU40" s="863"/>
      <c r="UUV40" s="863"/>
      <c r="UUW40" s="863"/>
      <c r="UUX40" s="863"/>
      <c r="UUY40" s="863"/>
      <c r="UUZ40" s="863"/>
      <c r="UVA40" s="863"/>
      <c r="UVB40" s="863"/>
      <c r="UVC40" s="863"/>
      <c r="UVD40" s="863"/>
      <c r="UVE40" s="863"/>
      <c r="UVF40" s="863"/>
      <c r="UVG40" s="863"/>
      <c r="UVH40" s="863"/>
      <c r="UVI40" s="863"/>
      <c r="UVJ40" s="863"/>
      <c r="UVK40" s="863"/>
      <c r="UVL40" s="863"/>
      <c r="UVM40" s="863"/>
      <c r="UVN40" s="863"/>
      <c r="UVO40" s="863"/>
      <c r="UVP40" s="863"/>
      <c r="UVQ40" s="883"/>
      <c r="UVR40" s="883"/>
      <c r="UVS40" s="883"/>
      <c r="UVT40" s="883"/>
      <c r="UVU40" s="883"/>
      <c r="UVV40" s="883"/>
      <c r="UVW40" s="883"/>
      <c r="UVX40" s="883"/>
      <c r="UVY40" s="883"/>
      <c r="UVZ40" s="863"/>
      <c r="UWA40" s="863"/>
      <c r="UWB40" s="863"/>
      <c r="UWC40" s="863"/>
      <c r="UWD40" s="863"/>
      <c r="UWE40" s="863"/>
      <c r="UWF40" s="863"/>
      <c r="UWG40" s="863"/>
      <c r="UWH40" s="863"/>
      <c r="UWI40" s="863"/>
      <c r="UWJ40" s="863"/>
      <c r="UWK40" s="863"/>
      <c r="UWL40" s="863"/>
      <c r="UWM40" s="863"/>
      <c r="UWN40" s="863"/>
      <c r="UWO40" s="863"/>
      <c r="UWP40" s="863"/>
      <c r="UWQ40" s="863"/>
      <c r="UWR40" s="863"/>
      <c r="UWS40" s="863"/>
      <c r="UWT40" s="863"/>
      <c r="UWU40" s="863"/>
      <c r="UWV40" s="863"/>
      <c r="UWW40" s="883"/>
      <c r="UWX40" s="883"/>
      <c r="UWY40" s="883"/>
      <c r="UWZ40" s="883"/>
      <c r="UXA40" s="883"/>
      <c r="UXB40" s="883"/>
      <c r="UXC40" s="883"/>
      <c r="UXD40" s="883"/>
      <c r="UXE40" s="883"/>
      <c r="UXF40" s="863"/>
      <c r="UXG40" s="863"/>
      <c r="UXH40" s="863"/>
      <c r="UXI40" s="863"/>
      <c r="UXJ40" s="863"/>
      <c r="UXK40" s="863"/>
      <c r="UXL40" s="863"/>
      <c r="UXM40" s="863"/>
      <c r="UXN40" s="863"/>
      <c r="UXO40" s="863"/>
      <c r="UXP40" s="863"/>
      <c r="UXQ40" s="863"/>
      <c r="UXR40" s="863"/>
      <c r="UXS40" s="863"/>
      <c r="UXT40" s="863"/>
      <c r="UXU40" s="863"/>
      <c r="UXV40" s="863"/>
      <c r="UXW40" s="863"/>
      <c r="UXX40" s="863"/>
      <c r="UXY40" s="863"/>
      <c r="UXZ40" s="863"/>
      <c r="UYA40" s="863"/>
      <c r="UYB40" s="863"/>
      <c r="UYC40" s="883"/>
      <c r="UYD40" s="883"/>
      <c r="UYE40" s="883"/>
      <c r="UYF40" s="883"/>
      <c r="UYG40" s="883"/>
      <c r="UYH40" s="883"/>
      <c r="UYI40" s="883"/>
      <c r="UYJ40" s="883"/>
      <c r="UYK40" s="883"/>
      <c r="UYL40" s="863"/>
      <c r="UYM40" s="863"/>
      <c r="UYN40" s="863"/>
      <c r="UYO40" s="863"/>
      <c r="UYP40" s="863"/>
      <c r="UYQ40" s="863"/>
      <c r="UYR40" s="863"/>
      <c r="UYS40" s="863"/>
      <c r="UYT40" s="863"/>
      <c r="UYU40" s="863"/>
      <c r="UYV40" s="863"/>
      <c r="UYW40" s="863"/>
      <c r="UYX40" s="863"/>
      <c r="UYY40" s="863"/>
      <c r="UYZ40" s="863"/>
      <c r="UZA40" s="863"/>
      <c r="UZB40" s="863"/>
      <c r="UZC40" s="863"/>
      <c r="UZD40" s="863"/>
      <c r="UZE40" s="863"/>
      <c r="UZF40" s="863"/>
      <c r="UZG40" s="863"/>
      <c r="UZH40" s="863"/>
      <c r="UZI40" s="883"/>
      <c r="UZJ40" s="883"/>
      <c r="UZK40" s="883"/>
      <c r="UZL40" s="883"/>
      <c r="UZM40" s="883"/>
      <c r="UZN40" s="883"/>
      <c r="UZO40" s="883"/>
      <c r="UZP40" s="883"/>
      <c r="UZQ40" s="883"/>
      <c r="UZR40" s="863"/>
      <c r="UZS40" s="863"/>
      <c r="UZT40" s="863"/>
      <c r="UZU40" s="863"/>
      <c r="UZV40" s="863"/>
      <c r="UZW40" s="863"/>
      <c r="UZX40" s="863"/>
      <c r="UZY40" s="863"/>
      <c r="UZZ40" s="863"/>
      <c r="VAA40" s="863"/>
      <c r="VAB40" s="863"/>
      <c r="VAC40" s="863"/>
      <c r="VAD40" s="863"/>
      <c r="VAE40" s="863"/>
      <c r="VAF40" s="863"/>
      <c r="VAG40" s="863"/>
      <c r="VAH40" s="863"/>
      <c r="VAI40" s="863"/>
      <c r="VAJ40" s="863"/>
      <c r="VAK40" s="863"/>
      <c r="VAL40" s="863"/>
      <c r="VAM40" s="863"/>
      <c r="VAN40" s="863"/>
      <c r="VAO40" s="883"/>
      <c r="VAP40" s="883"/>
      <c r="VAQ40" s="883"/>
      <c r="VAR40" s="883"/>
      <c r="VAS40" s="883"/>
      <c r="VAT40" s="883"/>
      <c r="VAU40" s="883"/>
      <c r="VAV40" s="883"/>
      <c r="VAW40" s="883"/>
      <c r="VAX40" s="863"/>
      <c r="VAY40" s="863"/>
      <c r="VAZ40" s="863"/>
      <c r="VBA40" s="863"/>
      <c r="VBB40" s="863"/>
      <c r="VBC40" s="863"/>
      <c r="VBD40" s="863"/>
      <c r="VBE40" s="863"/>
      <c r="VBF40" s="863"/>
      <c r="VBG40" s="863"/>
      <c r="VBH40" s="863"/>
      <c r="VBI40" s="863"/>
      <c r="VBJ40" s="863"/>
      <c r="VBK40" s="863"/>
      <c r="VBL40" s="863"/>
      <c r="VBM40" s="863"/>
      <c r="VBN40" s="863"/>
      <c r="VBO40" s="863"/>
      <c r="VBP40" s="863"/>
      <c r="VBQ40" s="863"/>
      <c r="VBR40" s="863"/>
      <c r="VBS40" s="863"/>
      <c r="VBT40" s="863"/>
      <c r="VBU40" s="883"/>
      <c r="VBV40" s="883"/>
      <c r="VBW40" s="883"/>
      <c r="VBX40" s="883"/>
      <c r="VBY40" s="883"/>
      <c r="VBZ40" s="883"/>
      <c r="VCA40" s="883"/>
      <c r="VCB40" s="883"/>
      <c r="VCC40" s="883"/>
      <c r="VCD40" s="863"/>
      <c r="VCE40" s="863"/>
      <c r="VCF40" s="863"/>
      <c r="VCG40" s="863"/>
      <c r="VCH40" s="863"/>
      <c r="VCI40" s="863"/>
      <c r="VCJ40" s="863"/>
      <c r="VCK40" s="863"/>
      <c r="VCL40" s="863"/>
      <c r="VCM40" s="863"/>
      <c r="VCN40" s="863"/>
      <c r="VCO40" s="863"/>
      <c r="VCP40" s="863"/>
      <c r="VCQ40" s="863"/>
      <c r="VCR40" s="863"/>
      <c r="VCS40" s="863"/>
      <c r="VCT40" s="863"/>
      <c r="VCU40" s="863"/>
      <c r="VCV40" s="863"/>
      <c r="VCW40" s="863"/>
      <c r="VCX40" s="863"/>
      <c r="VCY40" s="863"/>
      <c r="VCZ40" s="863"/>
      <c r="VDA40" s="883"/>
      <c r="VDB40" s="883"/>
      <c r="VDC40" s="883"/>
      <c r="VDD40" s="883"/>
      <c r="VDE40" s="883"/>
      <c r="VDF40" s="883"/>
      <c r="VDG40" s="883"/>
      <c r="VDH40" s="883"/>
      <c r="VDI40" s="883"/>
      <c r="VDJ40" s="863"/>
      <c r="VDK40" s="863"/>
      <c r="VDL40" s="863"/>
      <c r="VDM40" s="863"/>
      <c r="VDN40" s="863"/>
      <c r="VDO40" s="863"/>
      <c r="VDP40" s="863"/>
      <c r="VDQ40" s="863"/>
      <c r="VDR40" s="863"/>
      <c r="VDS40" s="863"/>
      <c r="VDT40" s="863"/>
      <c r="VDU40" s="863"/>
      <c r="VDV40" s="863"/>
      <c r="VDW40" s="863"/>
      <c r="VDX40" s="863"/>
      <c r="VDY40" s="863"/>
      <c r="VDZ40" s="863"/>
      <c r="VEA40" s="863"/>
      <c r="VEB40" s="863"/>
      <c r="VEC40" s="863"/>
      <c r="VED40" s="863"/>
      <c r="VEE40" s="863"/>
      <c r="VEF40" s="863"/>
      <c r="VEG40" s="883"/>
      <c r="VEH40" s="883"/>
      <c r="VEI40" s="883"/>
      <c r="VEJ40" s="883"/>
      <c r="VEK40" s="883"/>
      <c r="VEL40" s="883"/>
      <c r="VEM40" s="883"/>
      <c r="VEN40" s="883"/>
      <c r="VEO40" s="883"/>
      <c r="VEP40" s="863"/>
      <c r="VEQ40" s="863"/>
      <c r="VER40" s="863"/>
      <c r="VES40" s="863"/>
      <c r="VET40" s="863"/>
      <c r="VEU40" s="863"/>
      <c r="VEV40" s="863"/>
      <c r="VEW40" s="863"/>
      <c r="VEX40" s="863"/>
      <c r="VEY40" s="863"/>
      <c r="VEZ40" s="863"/>
      <c r="VFA40" s="863"/>
      <c r="VFB40" s="863"/>
      <c r="VFC40" s="863"/>
      <c r="VFD40" s="863"/>
      <c r="VFE40" s="863"/>
      <c r="VFF40" s="863"/>
      <c r="VFG40" s="863"/>
      <c r="VFH40" s="863"/>
      <c r="VFI40" s="863"/>
      <c r="VFJ40" s="863"/>
      <c r="VFK40" s="863"/>
      <c r="VFL40" s="863"/>
      <c r="VFM40" s="883"/>
      <c r="VFN40" s="883"/>
      <c r="VFO40" s="883"/>
      <c r="VFP40" s="883"/>
      <c r="VFQ40" s="883"/>
      <c r="VFR40" s="883"/>
      <c r="VFS40" s="883"/>
      <c r="VFT40" s="883"/>
      <c r="VFU40" s="883"/>
      <c r="VFV40" s="863"/>
      <c r="VFW40" s="863"/>
      <c r="VFX40" s="863"/>
      <c r="VFY40" s="863"/>
      <c r="VFZ40" s="863"/>
      <c r="VGA40" s="863"/>
      <c r="VGB40" s="863"/>
      <c r="VGC40" s="863"/>
      <c r="VGD40" s="863"/>
      <c r="VGE40" s="863"/>
      <c r="VGF40" s="863"/>
      <c r="VGG40" s="863"/>
      <c r="VGH40" s="863"/>
      <c r="VGI40" s="863"/>
      <c r="VGJ40" s="863"/>
      <c r="VGK40" s="863"/>
      <c r="VGL40" s="863"/>
      <c r="VGM40" s="863"/>
      <c r="VGN40" s="863"/>
      <c r="VGO40" s="863"/>
      <c r="VGP40" s="863"/>
      <c r="VGQ40" s="863"/>
      <c r="VGR40" s="863"/>
      <c r="VGS40" s="883"/>
      <c r="VGT40" s="883"/>
      <c r="VGU40" s="883"/>
      <c r="VGV40" s="883"/>
      <c r="VGW40" s="883"/>
      <c r="VGX40" s="883"/>
      <c r="VGY40" s="883"/>
      <c r="VGZ40" s="883"/>
      <c r="VHA40" s="883"/>
      <c r="VHB40" s="863"/>
      <c r="VHC40" s="863"/>
      <c r="VHD40" s="863"/>
      <c r="VHE40" s="863"/>
      <c r="VHF40" s="863"/>
      <c r="VHG40" s="863"/>
      <c r="VHH40" s="863"/>
      <c r="VHI40" s="863"/>
      <c r="VHJ40" s="863"/>
      <c r="VHK40" s="863"/>
      <c r="VHL40" s="863"/>
      <c r="VHM40" s="863"/>
      <c r="VHN40" s="863"/>
      <c r="VHO40" s="863"/>
      <c r="VHP40" s="863"/>
      <c r="VHQ40" s="863"/>
      <c r="VHR40" s="863"/>
      <c r="VHS40" s="863"/>
      <c r="VHT40" s="863"/>
      <c r="VHU40" s="863"/>
      <c r="VHV40" s="863"/>
      <c r="VHW40" s="863"/>
      <c r="VHX40" s="863"/>
      <c r="VHY40" s="883"/>
      <c r="VHZ40" s="883"/>
      <c r="VIA40" s="883"/>
      <c r="VIB40" s="883"/>
      <c r="VIC40" s="883"/>
      <c r="VID40" s="883"/>
      <c r="VIE40" s="883"/>
      <c r="VIF40" s="883"/>
      <c r="VIG40" s="883"/>
      <c r="VIH40" s="863"/>
      <c r="VII40" s="863"/>
      <c r="VIJ40" s="863"/>
      <c r="VIK40" s="863"/>
      <c r="VIL40" s="863"/>
      <c r="VIM40" s="863"/>
      <c r="VIN40" s="863"/>
      <c r="VIO40" s="863"/>
      <c r="VIP40" s="863"/>
      <c r="VIQ40" s="863"/>
      <c r="VIR40" s="863"/>
      <c r="VIS40" s="863"/>
      <c r="VIT40" s="863"/>
      <c r="VIU40" s="863"/>
      <c r="VIV40" s="863"/>
      <c r="VIW40" s="863"/>
      <c r="VIX40" s="863"/>
      <c r="VIY40" s="863"/>
      <c r="VIZ40" s="863"/>
      <c r="VJA40" s="863"/>
      <c r="VJB40" s="863"/>
      <c r="VJC40" s="863"/>
      <c r="VJD40" s="863"/>
      <c r="VJE40" s="883"/>
      <c r="VJF40" s="883"/>
      <c r="VJG40" s="883"/>
      <c r="VJH40" s="883"/>
      <c r="VJI40" s="883"/>
      <c r="VJJ40" s="883"/>
      <c r="VJK40" s="883"/>
      <c r="VJL40" s="883"/>
      <c r="VJM40" s="883"/>
      <c r="VJN40" s="863"/>
      <c r="VJO40" s="863"/>
      <c r="VJP40" s="863"/>
      <c r="VJQ40" s="863"/>
      <c r="VJR40" s="863"/>
      <c r="VJS40" s="863"/>
      <c r="VJT40" s="863"/>
      <c r="VJU40" s="863"/>
      <c r="VJV40" s="863"/>
      <c r="VJW40" s="863"/>
      <c r="VJX40" s="863"/>
      <c r="VJY40" s="863"/>
      <c r="VJZ40" s="863"/>
      <c r="VKA40" s="863"/>
      <c r="VKB40" s="863"/>
      <c r="VKC40" s="863"/>
      <c r="VKD40" s="863"/>
      <c r="VKE40" s="863"/>
      <c r="VKF40" s="863"/>
      <c r="VKG40" s="863"/>
      <c r="VKH40" s="863"/>
      <c r="VKI40" s="863"/>
      <c r="VKJ40" s="863"/>
      <c r="VKK40" s="883"/>
      <c r="VKL40" s="883"/>
      <c r="VKM40" s="883"/>
      <c r="VKN40" s="883"/>
      <c r="VKO40" s="883"/>
      <c r="VKP40" s="883"/>
      <c r="VKQ40" s="883"/>
      <c r="VKR40" s="883"/>
      <c r="VKS40" s="883"/>
      <c r="VKT40" s="863"/>
      <c r="VKU40" s="863"/>
      <c r="VKV40" s="863"/>
      <c r="VKW40" s="863"/>
      <c r="VKX40" s="863"/>
      <c r="VKY40" s="863"/>
      <c r="VKZ40" s="863"/>
      <c r="VLA40" s="863"/>
      <c r="VLB40" s="863"/>
      <c r="VLC40" s="863"/>
      <c r="VLD40" s="863"/>
      <c r="VLE40" s="863"/>
      <c r="VLF40" s="863"/>
      <c r="VLG40" s="863"/>
      <c r="VLH40" s="863"/>
      <c r="VLI40" s="863"/>
      <c r="VLJ40" s="863"/>
      <c r="VLK40" s="863"/>
      <c r="VLL40" s="863"/>
      <c r="VLM40" s="863"/>
      <c r="VLN40" s="863"/>
      <c r="VLO40" s="863"/>
      <c r="VLP40" s="863"/>
      <c r="VLQ40" s="883"/>
      <c r="VLR40" s="883"/>
      <c r="VLS40" s="883"/>
      <c r="VLT40" s="883"/>
      <c r="VLU40" s="883"/>
      <c r="VLV40" s="883"/>
      <c r="VLW40" s="883"/>
      <c r="VLX40" s="883"/>
      <c r="VLY40" s="883"/>
      <c r="VLZ40" s="863"/>
      <c r="VMA40" s="863"/>
      <c r="VMB40" s="863"/>
      <c r="VMC40" s="863"/>
      <c r="VMD40" s="863"/>
      <c r="VME40" s="863"/>
      <c r="VMF40" s="863"/>
      <c r="VMG40" s="863"/>
      <c r="VMH40" s="863"/>
      <c r="VMI40" s="863"/>
      <c r="VMJ40" s="863"/>
      <c r="VMK40" s="863"/>
      <c r="VML40" s="863"/>
      <c r="VMM40" s="863"/>
      <c r="VMN40" s="863"/>
      <c r="VMO40" s="863"/>
      <c r="VMP40" s="863"/>
      <c r="VMQ40" s="863"/>
      <c r="VMR40" s="863"/>
      <c r="VMS40" s="863"/>
      <c r="VMT40" s="863"/>
      <c r="VMU40" s="863"/>
      <c r="VMV40" s="863"/>
      <c r="VMW40" s="883"/>
      <c r="VMX40" s="883"/>
      <c r="VMY40" s="883"/>
      <c r="VMZ40" s="883"/>
      <c r="VNA40" s="883"/>
      <c r="VNB40" s="883"/>
      <c r="VNC40" s="883"/>
      <c r="VND40" s="883"/>
      <c r="VNE40" s="883"/>
      <c r="VNF40" s="863"/>
      <c r="VNG40" s="863"/>
      <c r="VNH40" s="863"/>
      <c r="VNI40" s="863"/>
      <c r="VNJ40" s="863"/>
      <c r="VNK40" s="863"/>
      <c r="VNL40" s="863"/>
      <c r="VNM40" s="863"/>
      <c r="VNN40" s="863"/>
      <c r="VNO40" s="863"/>
      <c r="VNP40" s="863"/>
      <c r="VNQ40" s="863"/>
      <c r="VNR40" s="863"/>
      <c r="VNS40" s="863"/>
      <c r="VNT40" s="863"/>
      <c r="VNU40" s="863"/>
      <c r="VNV40" s="863"/>
      <c r="VNW40" s="863"/>
      <c r="VNX40" s="863"/>
      <c r="VNY40" s="863"/>
      <c r="VNZ40" s="863"/>
      <c r="VOA40" s="863"/>
      <c r="VOB40" s="863"/>
      <c r="VOC40" s="883"/>
      <c r="VOD40" s="883"/>
      <c r="VOE40" s="883"/>
      <c r="VOF40" s="883"/>
      <c r="VOG40" s="883"/>
      <c r="VOH40" s="883"/>
      <c r="VOI40" s="883"/>
      <c r="VOJ40" s="883"/>
      <c r="VOK40" s="883"/>
      <c r="VOL40" s="863"/>
      <c r="VOM40" s="863"/>
      <c r="VON40" s="863"/>
      <c r="VOO40" s="863"/>
      <c r="VOP40" s="863"/>
      <c r="VOQ40" s="863"/>
      <c r="VOR40" s="863"/>
      <c r="VOS40" s="863"/>
      <c r="VOT40" s="863"/>
      <c r="VOU40" s="863"/>
      <c r="VOV40" s="863"/>
      <c r="VOW40" s="863"/>
      <c r="VOX40" s="863"/>
      <c r="VOY40" s="863"/>
      <c r="VOZ40" s="863"/>
      <c r="VPA40" s="863"/>
      <c r="VPB40" s="863"/>
      <c r="VPC40" s="863"/>
      <c r="VPD40" s="863"/>
      <c r="VPE40" s="863"/>
      <c r="VPF40" s="863"/>
      <c r="VPG40" s="863"/>
      <c r="VPH40" s="863"/>
      <c r="VPI40" s="883"/>
      <c r="VPJ40" s="883"/>
      <c r="VPK40" s="883"/>
      <c r="VPL40" s="883"/>
      <c r="VPM40" s="883"/>
      <c r="VPN40" s="883"/>
      <c r="VPO40" s="883"/>
      <c r="VPP40" s="883"/>
      <c r="VPQ40" s="883"/>
      <c r="VPR40" s="863"/>
      <c r="VPS40" s="863"/>
      <c r="VPT40" s="863"/>
      <c r="VPU40" s="863"/>
      <c r="VPV40" s="863"/>
      <c r="VPW40" s="863"/>
      <c r="VPX40" s="863"/>
      <c r="VPY40" s="863"/>
      <c r="VPZ40" s="863"/>
      <c r="VQA40" s="863"/>
      <c r="VQB40" s="863"/>
      <c r="VQC40" s="863"/>
      <c r="VQD40" s="863"/>
      <c r="VQE40" s="863"/>
      <c r="VQF40" s="863"/>
      <c r="VQG40" s="863"/>
      <c r="VQH40" s="863"/>
      <c r="VQI40" s="863"/>
      <c r="VQJ40" s="863"/>
      <c r="VQK40" s="863"/>
      <c r="VQL40" s="863"/>
      <c r="VQM40" s="863"/>
      <c r="VQN40" s="863"/>
      <c r="VQO40" s="883"/>
      <c r="VQP40" s="883"/>
      <c r="VQQ40" s="883"/>
      <c r="VQR40" s="883"/>
      <c r="VQS40" s="883"/>
      <c r="VQT40" s="883"/>
      <c r="VQU40" s="883"/>
      <c r="VQV40" s="883"/>
      <c r="VQW40" s="883"/>
      <c r="VQX40" s="863"/>
      <c r="VQY40" s="863"/>
      <c r="VQZ40" s="863"/>
      <c r="VRA40" s="863"/>
      <c r="VRB40" s="863"/>
      <c r="VRC40" s="863"/>
      <c r="VRD40" s="863"/>
      <c r="VRE40" s="863"/>
      <c r="VRF40" s="863"/>
      <c r="VRG40" s="863"/>
      <c r="VRH40" s="863"/>
      <c r="VRI40" s="863"/>
      <c r="VRJ40" s="863"/>
      <c r="VRK40" s="863"/>
      <c r="VRL40" s="863"/>
      <c r="VRM40" s="863"/>
      <c r="VRN40" s="863"/>
      <c r="VRO40" s="863"/>
      <c r="VRP40" s="863"/>
      <c r="VRQ40" s="863"/>
      <c r="VRR40" s="863"/>
      <c r="VRS40" s="863"/>
      <c r="VRT40" s="863"/>
      <c r="VRU40" s="883"/>
      <c r="VRV40" s="883"/>
      <c r="VRW40" s="883"/>
      <c r="VRX40" s="883"/>
      <c r="VRY40" s="883"/>
      <c r="VRZ40" s="883"/>
      <c r="VSA40" s="883"/>
      <c r="VSB40" s="883"/>
      <c r="VSC40" s="883"/>
      <c r="VSD40" s="863"/>
      <c r="VSE40" s="863"/>
      <c r="VSF40" s="863"/>
      <c r="VSG40" s="863"/>
      <c r="VSH40" s="863"/>
      <c r="VSI40" s="863"/>
      <c r="VSJ40" s="863"/>
      <c r="VSK40" s="863"/>
      <c r="VSL40" s="863"/>
      <c r="VSM40" s="863"/>
      <c r="VSN40" s="863"/>
      <c r="VSO40" s="863"/>
      <c r="VSP40" s="863"/>
      <c r="VSQ40" s="863"/>
      <c r="VSR40" s="863"/>
      <c r="VSS40" s="863"/>
      <c r="VST40" s="863"/>
      <c r="VSU40" s="863"/>
      <c r="VSV40" s="863"/>
      <c r="VSW40" s="863"/>
      <c r="VSX40" s="863"/>
      <c r="VSY40" s="863"/>
      <c r="VSZ40" s="863"/>
      <c r="VTA40" s="883"/>
      <c r="VTB40" s="883"/>
      <c r="VTC40" s="883"/>
      <c r="VTD40" s="883"/>
      <c r="VTE40" s="883"/>
      <c r="VTF40" s="883"/>
      <c r="VTG40" s="883"/>
      <c r="VTH40" s="883"/>
      <c r="VTI40" s="883"/>
      <c r="VTJ40" s="863"/>
      <c r="VTK40" s="863"/>
      <c r="VTL40" s="863"/>
      <c r="VTM40" s="863"/>
      <c r="VTN40" s="863"/>
      <c r="VTO40" s="863"/>
      <c r="VTP40" s="863"/>
      <c r="VTQ40" s="863"/>
      <c r="VTR40" s="863"/>
      <c r="VTS40" s="863"/>
      <c r="VTT40" s="863"/>
      <c r="VTU40" s="863"/>
      <c r="VTV40" s="863"/>
      <c r="VTW40" s="863"/>
      <c r="VTX40" s="863"/>
      <c r="VTY40" s="863"/>
      <c r="VTZ40" s="863"/>
      <c r="VUA40" s="863"/>
      <c r="VUB40" s="863"/>
      <c r="VUC40" s="863"/>
      <c r="VUD40" s="863"/>
      <c r="VUE40" s="863"/>
      <c r="VUF40" s="863"/>
      <c r="VUG40" s="883"/>
      <c r="VUH40" s="883"/>
      <c r="VUI40" s="883"/>
      <c r="VUJ40" s="883"/>
      <c r="VUK40" s="883"/>
      <c r="VUL40" s="883"/>
      <c r="VUM40" s="883"/>
      <c r="VUN40" s="883"/>
      <c r="VUO40" s="883"/>
      <c r="VUP40" s="863"/>
      <c r="VUQ40" s="863"/>
      <c r="VUR40" s="863"/>
      <c r="VUS40" s="863"/>
      <c r="VUT40" s="863"/>
      <c r="VUU40" s="863"/>
      <c r="VUV40" s="863"/>
      <c r="VUW40" s="863"/>
      <c r="VUX40" s="863"/>
      <c r="VUY40" s="863"/>
      <c r="VUZ40" s="863"/>
      <c r="VVA40" s="863"/>
      <c r="VVB40" s="863"/>
      <c r="VVC40" s="863"/>
      <c r="VVD40" s="863"/>
      <c r="VVE40" s="863"/>
      <c r="VVF40" s="863"/>
      <c r="VVG40" s="863"/>
      <c r="VVH40" s="863"/>
      <c r="VVI40" s="863"/>
      <c r="VVJ40" s="863"/>
      <c r="VVK40" s="863"/>
      <c r="VVL40" s="863"/>
      <c r="VVM40" s="883"/>
      <c r="VVN40" s="883"/>
      <c r="VVO40" s="883"/>
      <c r="VVP40" s="883"/>
      <c r="VVQ40" s="883"/>
      <c r="VVR40" s="883"/>
      <c r="VVS40" s="883"/>
      <c r="VVT40" s="883"/>
      <c r="VVU40" s="883"/>
      <c r="VVV40" s="863"/>
      <c r="VVW40" s="863"/>
      <c r="VVX40" s="863"/>
      <c r="VVY40" s="863"/>
      <c r="VVZ40" s="863"/>
      <c r="VWA40" s="863"/>
      <c r="VWB40" s="863"/>
      <c r="VWC40" s="863"/>
      <c r="VWD40" s="863"/>
      <c r="VWE40" s="863"/>
      <c r="VWF40" s="863"/>
      <c r="VWG40" s="863"/>
      <c r="VWH40" s="863"/>
      <c r="VWI40" s="863"/>
      <c r="VWJ40" s="863"/>
      <c r="VWK40" s="863"/>
      <c r="VWL40" s="863"/>
      <c r="VWM40" s="863"/>
      <c r="VWN40" s="863"/>
      <c r="VWO40" s="863"/>
      <c r="VWP40" s="863"/>
      <c r="VWQ40" s="863"/>
      <c r="VWR40" s="863"/>
      <c r="VWS40" s="883"/>
      <c r="VWT40" s="883"/>
      <c r="VWU40" s="883"/>
      <c r="VWV40" s="883"/>
      <c r="VWW40" s="883"/>
      <c r="VWX40" s="883"/>
      <c r="VWY40" s="883"/>
      <c r="VWZ40" s="883"/>
      <c r="VXA40" s="883"/>
      <c r="VXB40" s="863"/>
      <c r="VXC40" s="863"/>
      <c r="VXD40" s="863"/>
      <c r="VXE40" s="863"/>
      <c r="VXF40" s="863"/>
      <c r="VXG40" s="863"/>
      <c r="VXH40" s="863"/>
      <c r="VXI40" s="863"/>
      <c r="VXJ40" s="863"/>
      <c r="VXK40" s="863"/>
      <c r="VXL40" s="863"/>
      <c r="VXM40" s="863"/>
      <c r="VXN40" s="863"/>
      <c r="VXO40" s="863"/>
      <c r="VXP40" s="863"/>
      <c r="VXQ40" s="863"/>
      <c r="VXR40" s="863"/>
      <c r="VXS40" s="863"/>
      <c r="VXT40" s="863"/>
      <c r="VXU40" s="863"/>
      <c r="VXV40" s="863"/>
      <c r="VXW40" s="863"/>
      <c r="VXX40" s="863"/>
      <c r="VXY40" s="883"/>
      <c r="VXZ40" s="883"/>
      <c r="VYA40" s="883"/>
      <c r="VYB40" s="883"/>
      <c r="VYC40" s="883"/>
      <c r="VYD40" s="883"/>
      <c r="VYE40" s="883"/>
      <c r="VYF40" s="883"/>
      <c r="VYG40" s="883"/>
      <c r="VYH40" s="863"/>
      <c r="VYI40" s="863"/>
      <c r="VYJ40" s="863"/>
      <c r="VYK40" s="863"/>
      <c r="VYL40" s="863"/>
      <c r="VYM40" s="863"/>
      <c r="VYN40" s="863"/>
      <c r="VYO40" s="863"/>
      <c r="VYP40" s="863"/>
      <c r="VYQ40" s="863"/>
      <c r="VYR40" s="863"/>
      <c r="VYS40" s="863"/>
      <c r="VYT40" s="863"/>
      <c r="VYU40" s="863"/>
      <c r="VYV40" s="863"/>
      <c r="VYW40" s="863"/>
      <c r="VYX40" s="863"/>
      <c r="VYY40" s="863"/>
      <c r="VYZ40" s="863"/>
      <c r="VZA40" s="863"/>
      <c r="VZB40" s="863"/>
      <c r="VZC40" s="863"/>
      <c r="VZD40" s="863"/>
      <c r="VZE40" s="883"/>
      <c r="VZF40" s="883"/>
      <c r="VZG40" s="883"/>
      <c r="VZH40" s="883"/>
      <c r="VZI40" s="883"/>
      <c r="VZJ40" s="883"/>
      <c r="VZK40" s="883"/>
      <c r="VZL40" s="883"/>
      <c r="VZM40" s="883"/>
      <c r="VZN40" s="863"/>
      <c r="VZO40" s="863"/>
      <c r="VZP40" s="863"/>
      <c r="VZQ40" s="863"/>
      <c r="VZR40" s="863"/>
      <c r="VZS40" s="863"/>
      <c r="VZT40" s="863"/>
      <c r="VZU40" s="863"/>
      <c r="VZV40" s="863"/>
      <c r="VZW40" s="863"/>
      <c r="VZX40" s="863"/>
      <c r="VZY40" s="863"/>
      <c r="VZZ40" s="863"/>
      <c r="WAA40" s="863"/>
      <c r="WAB40" s="863"/>
      <c r="WAC40" s="863"/>
      <c r="WAD40" s="863"/>
      <c r="WAE40" s="863"/>
      <c r="WAF40" s="863"/>
      <c r="WAG40" s="863"/>
      <c r="WAH40" s="863"/>
      <c r="WAI40" s="863"/>
      <c r="WAJ40" s="863"/>
      <c r="WAK40" s="883"/>
      <c r="WAL40" s="883"/>
      <c r="WAM40" s="883"/>
      <c r="WAN40" s="883"/>
      <c r="WAO40" s="883"/>
      <c r="WAP40" s="883"/>
      <c r="WAQ40" s="883"/>
      <c r="WAR40" s="883"/>
      <c r="WAS40" s="883"/>
      <c r="WAT40" s="863"/>
      <c r="WAU40" s="863"/>
      <c r="WAV40" s="863"/>
      <c r="WAW40" s="863"/>
      <c r="WAX40" s="863"/>
      <c r="WAY40" s="863"/>
      <c r="WAZ40" s="863"/>
      <c r="WBA40" s="863"/>
      <c r="WBB40" s="863"/>
      <c r="WBC40" s="863"/>
      <c r="WBD40" s="863"/>
      <c r="WBE40" s="863"/>
      <c r="WBF40" s="863"/>
      <c r="WBG40" s="863"/>
      <c r="WBH40" s="863"/>
      <c r="WBI40" s="863"/>
      <c r="WBJ40" s="863"/>
      <c r="WBK40" s="863"/>
      <c r="WBL40" s="863"/>
      <c r="WBM40" s="863"/>
      <c r="WBN40" s="863"/>
      <c r="WBO40" s="863"/>
      <c r="WBP40" s="863"/>
      <c r="WBQ40" s="883"/>
      <c r="WBR40" s="883"/>
      <c r="WBS40" s="883"/>
      <c r="WBT40" s="883"/>
      <c r="WBU40" s="883"/>
      <c r="WBV40" s="883"/>
      <c r="WBW40" s="883"/>
      <c r="WBX40" s="883"/>
      <c r="WBY40" s="883"/>
      <c r="WBZ40" s="863"/>
      <c r="WCA40" s="863"/>
      <c r="WCB40" s="863"/>
      <c r="WCC40" s="863"/>
      <c r="WCD40" s="863"/>
      <c r="WCE40" s="863"/>
      <c r="WCF40" s="863"/>
      <c r="WCG40" s="863"/>
      <c r="WCH40" s="863"/>
      <c r="WCI40" s="863"/>
      <c r="WCJ40" s="863"/>
      <c r="WCK40" s="863"/>
      <c r="WCL40" s="863"/>
      <c r="WCM40" s="863"/>
      <c r="WCN40" s="863"/>
      <c r="WCO40" s="863"/>
      <c r="WCP40" s="863"/>
      <c r="WCQ40" s="863"/>
      <c r="WCR40" s="863"/>
      <c r="WCS40" s="863"/>
      <c r="WCT40" s="863"/>
      <c r="WCU40" s="863"/>
      <c r="WCV40" s="863"/>
      <c r="WCW40" s="883"/>
      <c r="WCX40" s="883"/>
      <c r="WCY40" s="883"/>
      <c r="WCZ40" s="883"/>
      <c r="WDA40" s="883"/>
      <c r="WDB40" s="883"/>
      <c r="WDC40" s="883"/>
      <c r="WDD40" s="883"/>
      <c r="WDE40" s="883"/>
      <c r="WDF40" s="863"/>
      <c r="WDG40" s="863"/>
      <c r="WDH40" s="863"/>
      <c r="WDI40" s="863"/>
      <c r="WDJ40" s="863"/>
      <c r="WDK40" s="863"/>
      <c r="WDL40" s="863"/>
      <c r="WDM40" s="863"/>
      <c r="WDN40" s="863"/>
      <c r="WDO40" s="863"/>
      <c r="WDP40" s="863"/>
      <c r="WDQ40" s="863"/>
      <c r="WDR40" s="863"/>
      <c r="WDS40" s="863"/>
      <c r="WDT40" s="863"/>
      <c r="WDU40" s="863"/>
      <c r="WDV40" s="863"/>
      <c r="WDW40" s="863"/>
      <c r="WDX40" s="863"/>
      <c r="WDY40" s="863"/>
      <c r="WDZ40" s="863"/>
      <c r="WEA40" s="863"/>
      <c r="WEB40" s="863"/>
      <c r="WEC40" s="883"/>
      <c r="WED40" s="883"/>
      <c r="WEE40" s="883"/>
      <c r="WEF40" s="883"/>
      <c r="WEG40" s="883"/>
      <c r="WEH40" s="883"/>
      <c r="WEI40" s="883"/>
      <c r="WEJ40" s="883"/>
      <c r="WEK40" s="883"/>
      <c r="WEL40" s="863"/>
      <c r="WEM40" s="863"/>
      <c r="WEN40" s="863"/>
      <c r="WEO40" s="863"/>
      <c r="WEP40" s="863"/>
      <c r="WEQ40" s="863"/>
      <c r="WER40" s="863"/>
      <c r="WES40" s="863"/>
      <c r="WET40" s="863"/>
      <c r="WEU40" s="863"/>
      <c r="WEV40" s="863"/>
      <c r="WEW40" s="863"/>
      <c r="WEX40" s="863"/>
      <c r="WEY40" s="863"/>
      <c r="WEZ40" s="863"/>
      <c r="WFA40" s="863"/>
      <c r="WFB40" s="863"/>
      <c r="WFC40" s="863"/>
      <c r="WFD40" s="863"/>
      <c r="WFE40" s="863"/>
      <c r="WFF40" s="863"/>
      <c r="WFG40" s="863"/>
      <c r="WFH40" s="863"/>
      <c r="WFI40" s="883"/>
      <c r="WFJ40" s="883"/>
      <c r="WFK40" s="883"/>
      <c r="WFL40" s="883"/>
      <c r="WFM40" s="883"/>
      <c r="WFN40" s="883"/>
      <c r="WFO40" s="883"/>
      <c r="WFP40" s="883"/>
      <c r="WFQ40" s="883"/>
      <c r="WFR40" s="863"/>
      <c r="WFS40" s="863"/>
      <c r="WFT40" s="863"/>
      <c r="WFU40" s="863"/>
      <c r="WFV40" s="863"/>
      <c r="WFW40" s="863"/>
      <c r="WFX40" s="863"/>
      <c r="WFY40" s="863"/>
      <c r="WFZ40" s="863"/>
      <c r="WGA40" s="863"/>
      <c r="WGB40" s="863"/>
      <c r="WGC40" s="863"/>
      <c r="WGD40" s="863"/>
      <c r="WGE40" s="863"/>
      <c r="WGF40" s="863"/>
      <c r="WGG40" s="863"/>
      <c r="WGH40" s="863"/>
      <c r="WGI40" s="863"/>
      <c r="WGJ40" s="863"/>
      <c r="WGK40" s="863"/>
      <c r="WGL40" s="863"/>
      <c r="WGM40" s="863"/>
      <c r="WGN40" s="863"/>
      <c r="WGO40" s="883"/>
      <c r="WGP40" s="883"/>
      <c r="WGQ40" s="883"/>
      <c r="WGR40" s="883"/>
      <c r="WGS40" s="883"/>
      <c r="WGT40" s="883"/>
      <c r="WGU40" s="883"/>
      <c r="WGV40" s="883"/>
      <c r="WGW40" s="883"/>
      <c r="WGX40" s="863"/>
      <c r="WGY40" s="863"/>
      <c r="WGZ40" s="863"/>
      <c r="WHA40" s="863"/>
      <c r="WHB40" s="863"/>
      <c r="WHC40" s="863"/>
      <c r="WHD40" s="863"/>
      <c r="WHE40" s="863"/>
      <c r="WHF40" s="863"/>
      <c r="WHG40" s="863"/>
      <c r="WHH40" s="863"/>
      <c r="WHI40" s="863"/>
      <c r="WHJ40" s="863"/>
      <c r="WHK40" s="863"/>
      <c r="WHL40" s="863"/>
      <c r="WHM40" s="863"/>
      <c r="WHN40" s="863"/>
      <c r="WHO40" s="863"/>
      <c r="WHP40" s="863"/>
      <c r="WHQ40" s="863"/>
      <c r="WHR40" s="863"/>
      <c r="WHS40" s="863"/>
      <c r="WHT40" s="863"/>
      <c r="WHU40" s="883"/>
      <c r="WHV40" s="883"/>
      <c r="WHW40" s="883"/>
      <c r="WHX40" s="883"/>
      <c r="WHY40" s="883"/>
      <c r="WHZ40" s="883"/>
      <c r="WIA40" s="883"/>
      <c r="WIB40" s="883"/>
      <c r="WIC40" s="883"/>
      <c r="WID40" s="863"/>
      <c r="WIE40" s="863"/>
      <c r="WIF40" s="863"/>
      <c r="WIG40" s="863"/>
      <c r="WIH40" s="863"/>
      <c r="WII40" s="863"/>
      <c r="WIJ40" s="863"/>
      <c r="WIK40" s="863"/>
      <c r="WIL40" s="863"/>
      <c r="WIM40" s="863"/>
      <c r="WIN40" s="863"/>
      <c r="WIO40" s="863"/>
      <c r="WIP40" s="863"/>
      <c r="WIQ40" s="863"/>
      <c r="WIR40" s="863"/>
      <c r="WIS40" s="863"/>
      <c r="WIT40" s="863"/>
      <c r="WIU40" s="863"/>
      <c r="WIV40" s="863"/>
      <c r="WIW40" s="863"/>
      <c r="WIX40" s="863"/>
      <c r="WIY40" s="863"/>
      <c r="WIZ40" s="863"/>
      <c r="WJA40" s="883"/>
      <c r="WJB40" s="883"/>
      <c r="WJC40" s="883"/>
      <c r="WJD40" s="883"/>
      <c r="WJE40" s="883"/>
      <c r="WJF40" s="883"/>
      <c r="WJG40" s="883"/>
      <c r="WJH40" s="883"/>
      <c r="WJI40" s="883"/>
      <c r="WJJ40" s="863"/>
      <c r="WJK40" s="863"/>
      <c r="WJL40" s="863"/>
      <c r="WJM40" s="863"/>
      <c r="WJN40" s="863"/>
      <c r="WJO40" s="863"/>
      <c r="WJP40" s="863"/>
      <c r="WJQ40" s="863"/>
      <c r="WJR40" s="863"/>
      <c r="WJS40" s="863"/>
      <c r="WJT40" s="863"/>
      <c r="WJU40" s="863"/>
      <c r="WJV40" s="863"/>
      <c r="WJW40" s="863"/>
      <c r="WJX40" s="863"/>
      <c r="WJY40" s="863"/>
      <c r="WJZ40" s="863"/>
      <c r="WKA40" s="863"/>
      <c r="WKB40" s="863"/>
      <c r="WKC40" s="863"/>
      <c r="WKD40" s="863"/>
      <c r="WKE40" s="863"/>
      <c r="WKF40" s="863"/>
      <c r="WKG40" s="883"/>
      <c r="WKH40" s="883"/>
      <c r="WKI40" s="883"/>
      <c r="WKJ40" s="883"/>
      <c r="WKK40" s="883"/>
      <c r="WKL40" s="883"/>
      <c r="WKM40" s="883"/>
      <c r="WKN40" s="883"/>
      <c r="WKO40" s="883"/>
      <c r="WKP40" s="863"/>
      <c r="WKQ40" s="863"/>
      <c r="WKR40" s="863"/>
      <c r="WKS40" s="863"/>
      <c r="WKT40" s="863"/>
      <c r="WKU40" s="863"/>
      <c r="WKV40" s="863"/>
      <c r="WKW40" s="863"/>
      <c r="WKX40" s="863"/>
      <c r="WKY40" s="863"/>
      <c r="WKZ40" s="863"/>
      <c r="WLA40" s="863"/>
      <c r="WLB40" s="863"/>
      <c r="WLC40" s="863"/>
      <c r="WLD40" s="863"/>
      <c r="WLE40" s="863"/>
      <c r="WLF40" s="863"/>
      <c r="WLG40" s="863"/>
      <c r="WLH40" s="863"/>
      <c r="WLI40" s="863"/>
      <c r="WLJ40" s="863"/>
      <c r="WLK40" s="863"/>
      <c r="WLL40" s="863"/>
      <c r="WLM40" s="883"/>
      <c r="WLN40" s="883"/>
      <c r="WLO40" s="883"/>
      <c r="WLP40" s="883"/>
      <c r="WLQ40" s="883"/>
      <c r="WLR40" s="883"/>
      <c r="WLS40" s="883"/>
      <c r="WLT40" s="883"/>
      <c r="WLU40" s="883"/>
      <c r="WLV40" s="863"/>
      <c r="WLW40" s="863"/>
      <c r="WLX40" s="863"/>
      <c r="WLY40" s="863"/>
      <c r="WLZ40" s="863"/>
      <c r="WMA40" s="863"/>
      <c r="WMB40" s="863"/>
      <c r="WMC40" s="863"/>
      <c r="WMD40" s="863"/>
      <c r="WME40" s="863"/>
      <c r="WMF40" s="863"/>
      <c r="WMG40" s="863"/>
      <c r="WMH40" s="863"/>
      <c r="WMI40" s="863"/>
      <c r="WMJ40" s="863"/>
      <c r="WMK40" s="863"/>
      <c r="WML40" s="863"/>
      <c r="WMM40" s="863"/>
      <c r="WMN40" s="863"/>
      <c r="WMO40" s="863"/>
      <c r="WMP40" s="863"/>
      <c r="WMQ40" s="863"/>
      <c r="WMR40" s="863"/>
      <c r="WMS40" s="883"/>
      <c r="WMT40" s="883"/>
      <c r="WMU40" s="883"/>
      <c r="WMV40" s="883"/>
      <c r="WMW40" s="883"/>
      <c r="WMX40" s="883"/>
      <c r="WMY40" s="883"/>
      <c r="WMZ40" s="883"/>
      <c r="WNA40" s="883"/>
      <c r="WNB40" s="863"/>
      <c r="WNC40" s="863"/>
      <c r="WND40" s="863"/>
      <c r="WNE40" s="863"/>
      <c r="WNF40" s="863"/>
      <c r="WNG40" s="863"/>
      <c r="WNH40" s="863"/>
      <c r="WNI40" s="863"/>
      <c r="WNJ40" s="863"/>
      <c r="WNK40" s="863"/>
      <c r="WNL40" s="863"/>
      <c r="WNM40" s="863"/>
      <c r="WNN40" s="863"/>
      <c r="WNO40" s="863"/>
      <c r="WNP40" s="863"/>
      <c r="WNQ40" s="863"/>
      <c r="WNR40" s="863"/>
      <c r="WNS40" s="863"/>
      <c r="WNT40" s="863"/>
      <c r="WNU40" s="863"/>
      <c r="WNV40" s="863"/>
      <c r="WNW40" s="863"/>
      <c r="WNX40" s="863"/>
      <c r="WNY40" s="883"/>
      <c r="WNZ40" s="883"/>
      <c r="WOA40" s="883"/>
      <c r="WOB40" s="883"/>
      <c r="WOC40" s="883"/>
      <c r="WOD40" s="883"/>
      <c r="WOE40" s="883"/>
      <c r="WOF40" s="883"/>
      <c r="WOG40" s="883"/>
      <c r="WOH40" s="863"/>
      <c r="WOI40" s="863"/>
      <c r="WOJ40" s="863"/>
      <c r="WOK40" s="863"/>
      <c r="WOL40" s="863"/>
      <c r="WOM40" s="863"/>
      <c r="WON40" s="863"/>
      <c r="WOO40" s="863"/>
      <c r="WOP40" s="863"/>
      <c r="WOQ40" s="863"/>
      <c r="WOR40" s="863"/>
      <c r="WOS40" s="863"/>
      <c r="WOT40" s="863"/>
      <c r="WOU40" s="863"/>
      <c r="WOV40" s="863"/>
      <c r="WOW40" s="863"/>
      <c r="WOX40" s="863"/>
      <c r="WOY40" s="863"/>
      <c r="WOZ40" s="863"/>
      <c r="WPA40" s="863"/>
      <c r="WPB40" s="863"/>
      <c r="WPC40" s="863"/>
      <c r="WPD40" s="863"/>
      <c r="WPE40" s="883"/>
      <c r="WPF40" s="883"/>
      <c r="WPG40" s="883"/>
      <c r="WPH40" s="883"/>
      <c r="WPI40" s="883"/>
      <c r="WPJ40" s="883"/>
      <c r="WPK40" s="883"/>
      <c r="WPL40" s="883"/>
      <c r="WPM40" s="883"/>
      <c r="WPN40" s="863"/>
      <c r="WPO40" s="863"/>
      <c r="WPP40" s="863"/>
      <c r="WPQ40" s="863"/>
      <c r="WPR40" s="863"/>
      <c r="WPS40" s="863"/>
      <c r="WPT40" s="863"/>
      <c r="WPU40" s="863"/>
      <c r="WPV40" s="863"/>
      <c r="WPW40" s="863"/>
      <c r="WPX40" s="863"/>
      <c r="WPY40" s="863"/>
      <c r="WPZ40" s="863"/>
      <c r="WQA40" s="863"/>
      <c r="WQB40" s="863"/>
      <c r="WQC40" s="863"/>
      <c r="WQD40" s="863"/>
      <c r="WQE40" s="863"/>
      <c r="WQF40" s="863"/>
      <c r="WQG40" s="863"/>
      <c r="WQH40" s="863"/>
      <c r="WQI40" s="863"/>
      <c r="WQJ40" s="863"/>
      <c r="WQK40" s="883"/>
      <c r="WQL40" s="883"/>
      <c r="WQM40" s="883"/>
      <c r="WQN40" s="883"/>
      <c r="WQO40" s="883"/>
      <c r="WQP40" s="883"/>
      <c r="WQQ40" s="883"/>
      <c r="WQR40" s="883"/>
      <c r="WQS40" s="883"/>
      <c r="WQT40" s="863"/>
      <c r="WQU40" s="863"/>
      <c r="WQV40" s="863"/>
      <c r="WQW40" s="863"/>
      <c r="WQX40" s="863"/>
      <c r="WQY40" s="863"/>
      <c r="WQZ40" s="863"/>
      <c r="WRA40" s="863"/>
      <c r="WRB40" s="863"/>
      <c r="WRC40" s="863"/>
      <c r="WRD40" s="863"/>
      <c r="WRE40" s="863"/>
      <c r="WRF40" s="863"/>
      <c r="WRG40" s="863"/>
      <c r="WRH40" s="863"/>
      <c r="WRI40" s="863"/>
      <c r="WRJ40" s="863"/>
      <c r="WRK40" s="863"/>
      <c r="WRL40" s="863"/>
      <c r="WRM40" s="863"/>
      <c r="WRN40" s="863"/>
      <c r="WRO40" s="863"/>
      <c r="WRP40" s="863"/>
      <c r="WRQ40" s="883"/>
      <c r="WRR40" s="883"/>
      <c r="WRS40" s="883"/>
      <c r="WRT40" s="883"/>
      <c r="WRU40" s="883"/>
      <c r="WRV40" s="883"/>
      <c r="WRW40" s="883"/>
      <c r="WRX40" s="883"/>
      <c r="WRY40" s="883"/>
      <c r="WRZ40" s="863"/>
      <c r="WSA40" s="863"/>
      <c r="WSB40" s="863"/>
      <c r="WSC40" s="863"/>
      <c r="WSD40" s="863"/>
      <c r="WSE40" s="863"/>
      <c r="WSF40" s="863"/>
      <c r="WSG40" s="863"/>
      <c r="WSH40" s="863"/>
      <c r="WSI40" s="863"/>
      <c r="WSJ40" s="863"/>
      <c r="WSK40" s="863"/>
      <c r="WSL40" s="863"/>
      <c r="WSM40" s="863"/>
      <c r="WSN40" s="863"/>
      <c r="WSO40" s="863"/>
      <c r="WSP40" s="863"/>
      <c r="WSQ40" s="863"/>
      <c r="WSR40" s="863"/>
      <c r="WSS40" s="863"/>
      <c r="WST40" s="863"/>
      <c r="WSU40" s="863"/>
      <c r="WSV40" s="863"/>
      <c r="WSW40" s="883"/>
      <c r="WSX40" s="883"/>
      <c r="WSY40" s="883"/>
      <c r="WSZ40" s="883"/>
      <c r="WTA40" s="883"/>
      <c r="WTB40" s="883"/>
      <c r="WTC40" s="883"/>
      <c r="WTD40" s="883"/>
      <c r="WTE40" s="883"/>
      <c r="WTF40" s="863"/>
      <c r="WTG40" s="863"/>
      <c r="WTH40" s="863"/>
      <c r="WTI40" s="863"/>
      <c r="WTJ40" s="863"/>
      <c r="WTK40" s="863"/>
      <c r="WTL40" s="863"/>
      <c r="WTM40" s="863"/>
      <c r="WTN40" s="863"/>
      <c r="WTO40" s="863"/>
      <c r="WTP40" s="863"/>
      <c r="WTQ40" s="863"/>
      <c r="WTR40" s="863"/>
      <c r="WTS40" s="863"/>
      <c r="WTT40" s="863"/>
      <c r="WTU40" s="863"/>
      <c r="WTV40" s="863"/>
      <c r="WTW40" s="863"/>
      <c r="WTX40" s="863"/>
      <c r="WTY40" s="863"/>
      <c r="WTZ40" s="863"/>
      <c r="WUA40" s="863"/>
      <c r="WUB40" s="863"/>
      <c r="WUC40" s="883"/>
      <c r="WUD40" s="883"/>
      <c r="WUE40" s="883"/>
      <c r="WUF40" s="883"/>
      <c r="WUG40" s="883"/>
      <c r="WUH40" s="883"/>
      <c r="WUI40" s="883"/>
      <c r="WUJ40" s="883"/>
      <c r="WUK40" s="883"/>
      <c r="WUL40" s="863"/>
      <c r="WUM40" s="863"/>
      <c r="WUN40" s="863"/>
      <c r="WUO40" s="863"/>
      <c r="WUP40" s="863"/>
      <c r="WUQ40" s="863"/>
      <c r="WUR40" s="863"/>
      <c r="WUS40" s="863"/>
      <c r="WUT40" s="863"/>
      <c r="WUU40" s="863"/>
      <c r="WUV40" s="863"/>
      <c r="WUW40" s="863"/>
      <c r="WUX40" s="863"/>
      <c r="WUY40" s="863"/>
      <c r="WUZ40" s="863"/>
      <c r="WVA40" s="863"/>
      <c r="WVB40" s="863"/>
      <c r="WVC40" s="863"/>
      <c r="WVD40" s="863"/>
      <c r="WVE40" s="863"/>
      <c r="WVF40" s="863"/>
      <c r="WVG40" s="863"/>
      <c r="WVH40" s="863"/>
      <c r="WVI40" s="883"/>
      <c r="WVJ40" s="883"/>
      <c r="WVK40" s="883"/>
      <c r="WVL40" s="883"/>
      <c r="WVM40" s="883"/>
      <c r="WVN40" s="883"/>
      <c r="WVO40" s="883"/>
      <c r="WVP40" s="883"/>
      <c r="WVQ40" s="883"/>
      <c r="WVR40" s="863"/>
      <c r="WVS40" s="863"/>
      <c r="WVT40" s="863"/>
      <c r="WVU40" s="863"/>
      <c r="WVV40" s="863"/>
      <c r="WVW40" s="863"/>
      <c r="WVX40" s="863"/>
      <c r="WVY40" s="863"/>
      <c r="WVZ40" s="863"/>
      <c r="WWA40" s="863"/>
      <c r="WWB40" s="863"/>
      <c r="WWC40" s="863"/>
      <c r="WWD40" s="863"/>
      <c r="WWE40" s="863"/>
      <c r="WWF40" s="863"/>
      <c r="WWG40" s="863"/>
      <c r="WWH40" s="863"/>
      <c r="WWI40" s="863"/>
      <c r="WWJ40" s="863"/>
      <c r="WWK40" s="863"/>
      <c r="WWL40" s="863"/>
      <c r="WWM40" s="863"/>
      <c r="WWN40" s="863"/>
      <c r="WWO40" s="883"/>
      <c r="WWP40" s="883"/>
      <c r="WWQ40" s="883"/>
      <c r="WWR40" s="883"/>
      <c r="WWS40" s="883"/>
      <c r="WWT40" s="883"/>
      <c r="WWU40" s="883"/>
      <c r="WWV40" s="883"/>
      <c r="WWW40" s="883"/>
      <c r="WWX40" s="863"/>
      <c r="WWY40" s="863"/>
      <c r="WWZ40" s="863"/>
      <c r="WXA40" s="863"/>
      <c r="WXB40" s="863"/>
      <c r="WXC40" s="863"/>
      <c r="WXD40" s="863"/>
      <c r="WXE40" s="863"/>
      <c r="WXF40" s="863"/>
      <c r="WXG40" s="863"/>
      <c r="WXH40" s="863"/>
      <c r="WXI40" s="863"/>
      <c r="WXJ40" s="863"/>
      <c r="WXK40" s="863"/>
      <c r="WXL40" s="863"/>
      <c r="WXM40" s="863"/>
      <c r="WXN40" s="863"/>
      <c r="WXO40" s="863"/>
      <c r="WXP40" s="863"/>
      <c r="WXQ40" s="863"/>
      <c r="WXR40" s="863"/>
      <c r="WXS40" s="863"/>
      <c r="WXT40" s="863"/>
      <c r="WXU40" s="883"/>
      <c r="WXV40" s="883"/>
      <c r="WXW40" s="883"/>
      <c r="WXX40" s="883"/>
      <c r="WXY40" s="883"/>
      <c r="WXZ40" s="883"/>
      <c r="WYA40" s="883"/>
      <c r="WYB40" s="883"/>
      <c r="WYC40" s="883"/>
      <c r="WYD40" s="863"/>
      <c r="WYE40" s="863"/>
      <c r="WYF40" s="863"/>
      <c r="WYG40" s="863"/>
      <c r="WYH40" s="863"/>
      <c r="WYI40" s="863"/>
      <c r="WYJ40" s="863"/>
      <c r="WYK40" s="863"/>
      <c r="WYL40" s="863"/>
      <c r="WYM40" s="863"/>
      <c r="WYN40" s="863"/>
      <c r="WYO40" s="863"/>
      <c r="WYP40" s="863"/>
      <c r="WYQ40" s="863"/>
      <c r="WYR40" s="863"/>
      <c r="WYS40" s="863"/>
      <c r="WYT40" s="863"/>
      <c r="WYU40" s="863"/>
      <c r="WYV40" s="863"/>
      <c r="WYW40" s="863"/>
      <c r="WYX40" s="863"/>
      <c r="WYY40" s="863"/>
      <c r="WYZ40" s="863"/>
      <c r="WZA40" s="883"/>
      <c r="WZB40" s="883"/>
      <c r="WZC40" s="883"/>
      <c r="WZD40" s="883"/>
      <c r="WZE40" s="883"/>
      <c r="WZF40" s="883"/>
      <c r="WZG40" s="883"/>
      <c r="WZH40" s="883"/>
      <c r="WZI40" s="883"/>
      <c r="WZJ40" s="863"/>
      <c r="WZK40" s="863"/>
      <c r="WZL40" s="863"/>
      <c r="WZM40" s="863"/>
      <c r="WZN40" s="863"/>
      <c r="WZO40" s="863"/>
      <c r="WZP40" s="863"/>
      <c r="WZQ40" s="863"/>
      <c r="WZR40" s="863"/>
      <c r="WZS40" s="863"/>
      <c r="WZT40" s="863"/>
      <c r="WZU40" s="863"/>
      <c r="WZV40" s="863"/>
      <c r="WZW40" s="863"/>
      <c r="WZX40" s="863"/>
      <c r="WZY40" s="863"/>
      <c r="WZZ40" s="863"/>
      <c r="XAA40" s="863"/>
      <c r="XAB40" s="863"/>
      <c r="XAC40" s="863"/>
      <c r="XAD40" s="863"/>
      <c r="XAE40" s="863"/>
      <c r="XAF40" s="863"/>
      <c r="XAG40" s="883"/>
      <c r="XAH40" s="883"/>
      <c r="XAI40" s="883"/>
      <c r="XAJ40" s="883"/>
      <c r="XAK40" s="883"/>
      <c r="XAL40" s="883"/>
      <c r="XAM40" s="883"/>
      <c r="XAN40" s="883"/>
      <c r="XAO40" s="883"/>
      <c r="XAP40" s="863"/>
      <c r="XAQ40" s="863"/>
      <c r="XAR40" s="863"/>
      <c r="XAS40" s="863"/>
      <c r="XAT40" s="863"/>
      <c r="XAU40" s="863"/>
      <c r="XAV40" s="863"/>
      <c r="XAW40" s="863"/>
      <c r="XAX40" s="863"/>
      <c r="XAY40" s="863"/>
      <c r="XAZ40" s="863"/>
      <c r="XBA40" s="863"/>
      <c r="XBB40" s="863"/>
      <c r="XBC40" s="863"/>
      <c r="XBD40" s="863"/>
      <c r="XBE40" s="863"/>
      <c r="XBF40" s="863"/>
      <c r="XBG40" s="863"/>
      <c r="XBH40" s="863"/>
      <c r="XBI40" s="863"/>
      <c r="XBJ40" s="863"/>
      <c r="XBK40" s="863"/>
      <c r="XBL40" s="863"/>
      <c r="XBM40" s="883"/>
      <c r="XBN40" s="883"/>
      <c r="XBO40" s="883"/>
      <c r="XBP40" s="883"/>
      <c r="XBQ40" s="883"/>
      <c r="XBR40" s="883"/>
      <c r="XBS40" s="883"/>
      <c r="XBT40" s="883"/>
      <c r="XBU40" s="883"/>
      <c r="XBV40" s="863"/>
      <c r="XBW40" s="863"/>
      <c r="XBX40" s="863"/>
      <c r="XBY40" s="863"/>
      <c r="XBZ40" s="863"/>
      <c r="XCA40" s="863"/>
      <c r="XCB40" s="863"/>
      <c r="XCC40" s="863"/>
      <c r="XCD40" s="863"/>
      <c r="XCE40" s="863"/>
      <c r="XCF40" s="863"/>
      <c r="XCG40" s="863"/>
      <c r="XCH40" s="863"/>
      <c r="XCI40" s="863"/>
      <c r="XCJ40" s="863"/>
      <c r="XCK40" s="863"/>
      <c r="XCL40" s="863"/>
      <c r="XCM40" s="863"/>
      <c r="XCN40" s="863"/>
      <c r="XCO40" s="863"/>
      <c r="XCP40" s="863"/>
      <c r="XCQ40" s="863"/>
      <c r="XCR40" s="863"/>
      <c r="XCS40" s="883"/>
      <c r="XCT40" s="883"/>
      <c r="XCU40" s="883"/>
      <c r="XCV40" s="883"/>
      <c r="XCW40" s="883"/>
      <c r="XCX40" s="883"/>
      <c r="XCY40" s="883"/>
      <c r="XCZ40" s="883"/>
      <c r="XDA40" s="883"/>
      <c r="XDB40" s="863"/>
      <c r="XDC40" s="863"/>
      <c r="XDD40" s="863"/>
      <c r="XDE40" s="863"/>
      <c r="XDF40" s="863"/>
      <c r="XDG40" s="863"/>
      <c r="XDH40" s="863"/>
      <c r="XDI40" s="863"/>
      <c r="XDJ40" s="863"/>
      <c r="XDK40" s="863"/>
      <c r="XDL40" s="863"/>
      <c r="XDM40" s="863"/>
      <c r="XDN40" s="863"/>
      <c r="XDO40" s="863"/>
      <c r="XDP40" s="863"/>
      <c r="XDQ40" s="863"/>
      <c r="XDR40" s="863"/>
      <c r="XDS40" s="863"/>
      <c r="XDT40" s="863"/>
      <c r="XDU40" s="863"/>
      <c r="XDV40" s="863"/>
      <c r="XDW40" s="863"/>
      <c r="XDX40" s="863"/>
      <c r="XDY40" s="883"/>
      <c r="XDZ40" s="883"/>
      <c r="XEA40" s="883"/>
      <c r="XEB40" s="883"/>
      <c r="XEC40" s="883"/>
      <c r="XED40" s="883"/>
      <c r="XEE40" s="883"/>
      <c r="XEF40" s="883"/>
      <c r="XEG40" s="883"/>
      <c r="XEH40" s="863"/>
      <c r="XEI40" s="863"/>
      <c r="XEJ40" s="863"/>
      <c r="XEK40" s="863"/>
      <c r="XEL40" s="863"/>
      <c r="XEM40" s="863"/>
      <c r="XEN40" s="863"/>
      <c r="XEO40" s="863"/>
      <c r="XEP40" s="863"/>
      <c r="XEQ40" s="863"/>
      <c r="XER40" s="863"/>
      <c r="XES40" s="863"/>
      <c r="XET40" s="863"/>
      <c r="XEU40" s="863"/>
      <c r="XEV40" s="863"/>
      <c r="XEW40" s="863"/>
      <c r="XEX40" s="863"/>
      <c r="XEY40" s="863"/>
      <c r="XEZ40" s="863"/>
      <c r="XFA40" s="863"/>
      <c r="XFB40" s="863"/>
      <c r="XFC40" s="863"/>
      <c r="XFD40" s="863"/>
    </row>
    <row r="41" spans="1:16384" x14ac:dyDescent="0.3">
      <c r="A41" s="883"/>
      <c r="B41" s="883"/>
      <c r="C41" s="883"/>
      <c r="D41" s="883"/>
      <c r="E41" s="883"/>
      <c r="F41" s="883"/>
      <c r="G41" s="883"/>
      <c r="H41" s="883"/>
      <c r="I41" s="883"/>
      <c r="J41" s="863"/>
      <c r="K41" s="863"/>
      <c r="L41" s="863"/>
      <c r="M41" s="863"/>
      <c r="N41" s="863"/>
      <c r="O41" s="863"/>
      <c r="P41" s="863"/>
      <c r="Q41" s="863"/>
      <c r="R41" s="863"/>
      <c r="S41" s="863"/>
      <c r="T41" s="863"/>
      <c r="U41" s="863"/>
      <c r="V41" s="863"/>
      <c r="W41" s="863"/>
      <c r="X41" s="863"/>
      <c r="Y41" s="863"/>
      <c r="Z41" s="863"/>
      <c r="AA41" s="863"/>
      <c r="AB41" s="863"/>
      <c r="AC41" s="863"/>
      <c r="AD41" s="863"/>
      <c r="AE41" s="863"/>
      <c r="AF41" s="863"/>
    </row>
    <row r="42" spans="1:16384" ht="79.5" customHeight="1" x14ac:dyDescent="0.3">
      <c r="A42" s="883" t="s">
        <v>2389</v>
      </c>
      <c r="B42" s="883"/>
      <c r="C42" s="883"/>
      <c r="D42" s="883"/>
      <c r="E42" s="883"/>
      <c r="F42" s="883"/>
      <c r="G42" s="883"/>
      <c r="H42" s="883"/>
      <c r="I42" s="883"/>
      <c r="J42" s="863" t="s">
        <v>2390</v>
      </c>
      <c r="K42" s="863"/>
      <c r="L42" s="863"/>
      <c r="M42" s="863"/>
      <c r="N42" s="863"/>
      <c r="O42" s="863"/>
      <c r="P42" s="863"/>
      <c r="Q42" s="863"/>
      <c r="R42" s="863"/>
      <c r="S42" s="863"/>
      <c r="T42" s="863"/>
      <c r="U42" s="863"/>
      <c r="V42" s="863"/>
      <c r="W42" s="863"/>
      <c r="X42" s="863"/>
      <c r="Y42" s="863"/>
      <c r="Z42" s="863"/>
      <c r="AA42" s="863"/>
      <c r="AB42" s="863"/>
      <c r="AC42" s="863"/>
      <c r="AD42" s="863"/>
      <c r="AE42" s="863"/>
      <c r="AF42" s="863"/>
    </row>
    <row r="44" spans="1:16384" x14ac:dyDescent="0.3">
      <c r="A44" s="883" t="s">
        <v>427</v>
      </c>
      <c r="B44" s="883"/>
      <c r="C44" s="883"/>
      <c r="D44" s="883"/>
      <c r="E44" s="883"/>
      <c r="F44" s="883"/>
      <c r="G44" s="883"/>
      <c r="H44" s="883"/>
      <c r="I44" s="883"/>
      <c r="J44" s="863" t="s">
        <v>2391</v>
      </c>
      <c r="K44" s="863"/>
      <c r="L44" s="863"/>
      <c r="M44" s="863"/>
      <c r="N44" s="863"/>
      <c r="O44" s="863"/>
      <c r="P44" s="863"/>
      <c r="Q44" s="863"/>
      <c r="R44" s="863"/>
      <c r="S44" s="863"/>
      <c r="T44" s="863"/>
      <c r="U44" s="863"/>
      <c r="V44" s="863"/>
      <c r="W44" s="863"/>
      <c r="X44" s="863"/>
      <c r="Y44" s="863"/>
      <c r="Z44" s="863"/>
      <c r="AA44" s="863"/>
      <c r="AB44" s="863"/>
      <c r="AC44" s="863"/>
      <c r="AD44" s="863"/>
      <c r="AE44" s="863"/>
      <c r="AF44" s="863"/>
    </row>
    <row r="46" spans="1:16384" ht="36.75" customHeight="1" x14ac:dyDescent="0.3">
      <c r="A46" s="883" t="s">
        <v>2392</v>
      </c>
      <c r="B46" s="883"/>
      <c r="C46" s="883"/>
      <c r="D46" s="883"/>
      <c r="E46" s="883"/>
      <c r="F46" s="883"/>
      <c r="G46" s="883"/>
      <c r="H46" s="883"/>
      <c r="I46" s="883"/>
      <c r="J46" s="863" t="s">
        <v>2393</v>
      </c>
      <c r="K46" s="863"/>
      <c r="L46" s="863"/>
      <c r="M46" s="863"/>
      <c r="N46" s="863"/>
      <c r="O46" s="863"/>
      <c r="P46" s="863"/>
      <c r="Q46" s="863"/>
      <c r="R46" s="863"/>
      <c r="S46" s="863"/>
      <c r="T46" s="863"/>
      <c r="U46" s="863"/>
      <c r="V46" s="863"/>
      <c r="W46" s="863"/>
      <c r="X46" s="863"/>
      <c r="Y46" s="863"/>
      <c r="Z46" s="863"/>
      <c r="AA46" s="863"/>
      <c r="AB46" s="863"/>
      <c r="AC46" s="863"/>
      <c r="AD46" s="863"/>
      <c r="AE46" s="863"/>
      <c r="AF46" s="863"/>
    </row>
    <row r="48" spans="1:16384" ht="186" customHeight="1" x14ac:dyDescent="0.3">
      <c r="A48" s="883" t="s">
        <v>3657</v>
      </c>
      <c r="B48" s="883"/>
      <c r="C48" s="883"/>
      <c r="D48" s="883"/>
      <c r="E48" s="883"/>
      <c r="F48" s="883"/>
      <c r="G48" s="883"/>
      <c r="H48" s="883"/>
      <c r="I48" s="883"/>
      <c r="J48" s="863" t="s">
        <v>3658</v>
      </c>
      <c r="K48" s="863"/>
      <c r="L48" s="863"/>
      <c r="M48" s="863"/>
      <c r="N48" s="863"/>
      <c r="O48" s="863"/>
      <c r="P48" s="863"/>
      <c r="Q48" s="863"/>
      <c r="R48" s="863"/>
      <c r="S48" s="863"/>
      <c r="T48" s="863"/>
      <c r="U48" s="863"/>
      <c r="V48" s="863"/>
      <c r="W48" s="863"/>
      <c r="X48" s="863"/>
      <c r="Y48" s="863"/>
      <c r="Z48" s="863"/>
      <c r="AA48" s="863"/>
      <c r="AB48" s="863"/>
      <c r="AC48" s="863"/>
      <c r="AD48" s="863"/>
      <c r="AE48" s="863"/>
      <c r="AF48" s="863"/>
    </row>
    <row r="50" spans="1:16384" ht="83.25" customHeight="1" x14ac:dyDescent="0.3">
      <c r="A50" s="883" t="s">
        <v>2397</v>
      </c>
      <c r="B50" s="883"/>
      <c r="C50" s="883"/>
      <c r="D50" s="883"/>
      <c r="E50" s="883"/>
      <c r="F50" s="883"/>
      <c r="G50" s="883"/>
      <c r="H50" s="883"/>
      <c r="I50" s="883"/>
      <c r="J50" s="863" t="s">
        <v>2398</v>
      </c>
      <c r="K50" s="863"/>
      <c r="L50" s="863"/>
      <c r="M50" s="863"/>
      <c r="N50" s="863"/>
      <c r="O50" s="863"/>
      <c r="P50" s="863"/>
      <c r="Q50" s="863"/>
      <c r="R50" s="863"/>
      <c r="S50" s="863"/>
      <c r="T50" s="863"/>
      <c r="U50" s="863"/>
      <c r="V50" s="863"/>
      <c r="W50" s="863"/>
      <c r="X50" s="863"/>
      <c r="Y50" s="863"/>
      <c r="Z50" s="863"/>
      <c r="AA50" s="863"/>
      <c r="AB50" s="863"/>
      <c r="AC50" s="863"/>
      <c r="AD50" s="863"/>
      <c r="AE50" s="863"/>
      <c r="AF50" s="863"/>
      <c r="AG50" s="883"/>
      <c r="AH50" s="883"/>
      <c r="AI50" s="883"/>
      <c r="AJ50" s="883"/>
      <c r="AK50" s="883"/>
      <c r="AL50" s="883"/>
      <c r="AM50" s="883"/>
      <c r="AN50" s="883"/>
      <c r="AO50" s="883"/>
      <c r="AP50" s="863"/>
      <c r="AQ50" s="863"/>
      <c r="AR50" s="863"/>
      <c r="AS50" s="863"/>
      <c r="AT50" s="863"/>
      <c r="AU50" s="863"/>
      <c r="AV50" s="863"/>
      <c r="AW50" s="863"/>
      <c r="AX50" s="863"/>
      <c r="AY50" s="863"/>
      <c r="AZ50" s="863"/>
      <c r="BA50" s="863"/>
      <c r="BB50" s="863"/>
      <c r="BC50" s="863"/>
      <c r="BD50" s="863"/>
      <c r="BE50" s="863"/>
      <c r="BF50" s="863"/>
      <c r="BG50" s="863"/>
      <c r="BH50" s="863"/>
      <c r="BI50" s="863"/>
      <c r="BJ50" s="863"/>
      <c r="BK50" s="863"/>
      <c r="BL50" s="863"/>
      <c r="BM50" s="883"/>
      <c r="BN50" s="883"/>
      <c r="BO50" s="883"/>
      <c r="BP50" s="883"/>
      <c r="BQ50" s="883"/>
      <c r="BR50" s="883"/>
      <c r="BS50" s="883"/>
      <c r="BT50" s="883"/>
      <c r="BU50" s="883"/>
      <c r="BV50" s="863"/>
      <c r="BW50" s="863"/>
      <c r="BX50" s="863"/>
      <c r="BY50" s="863"/>
      <c r="BZ50" s="863"/>
      <c r="CA50" s="863"/>
      <c r="CB50" s="863"/>
      <c r="CC50" s="863"/>
      <c r="CD50" s="863"/>
      <c r="CE50" s="863"/>
      <c r="CF50" s="863"/>
      <c r="CG50" s="863"/>
      <c r="CH50" s="863"/>
      <c r="CI50" s="863"/>
      <c r="CJ50" s="863"/>
      <c r="CK50" s="863"/>
      <c r="CL50" s="863"/>
      <c r="CM50" s="863"/>
      <c r="CN50" s="863"/>
      <c r="CO50" s="863"/>
      <c r="CP50" s="863"/>
      <c r="CQ50" s="863"/>
      <c r="CR50" s="863"/>
      <c r="CS50" s="883"/>
      <c r="CT50" s="883"/>
      <c r="CU50" s="883"/>
      <c r="CV50" s="883"/>
      <c r="CW50" s="883"/>
      <c r="CX50" s="883"/>
      <c r="CY50" s="883"/>
      <c r="CZ50" s="883"/>
      <c r="DA50" s="883"/>
      <c r="DB50" s="863"/>
      <c r="DC50" s="863"/>
      <c r="DD50" s="863"/>
      <c r="DE50" s="863"/>
      <c r="DF50" s="863"/>
      <c r="DG50" s="863"/>
      <c r="DH50" s="863"/>
      <c r="DI50" s="863"/>
      <c r="DJ50" s="863"/>
      <c r="DK50" s="863"/>
      <c r="DL50" s="863"/>
      <c r="DM50" s="863"/>
      <c r="DN50" s="863"/>
      <c r="DO50" s="863"/>
      <c r="DP50" s="863"/>
      <c r="DQ50" s="863"/>
      <c r="DR50" s="863"/>
      <c r="DS50" s="863"/>
      <c r="DT50" s="863"/>
      <c r="DU50" s="863"/>
      <c r="DV50" s="863"/>
      <c r="DW50" s="863"/>
      <c r="DX50" s="863"/>
      <c r="DY50" s="883"/>
      <c r="DZ50" s="883"/>
      <c r="EA50" s="883"/>
      <c r="EB50" s="883"/>
      <c r="EC50" s="883"/>
      <c r="ED50" s="883"/>
      <c r="EE50" s="883"/>
      <c r="EF50" s="883"/>
      <c r="EG50" s="883"/>
      <c r="EH50" s="863"/>
      <c r="EI50" s="863"/>
      <c r="EJ50" s="863"/>
      <c r="EK50" s="863"/>
      <c r="EL50" s="863"/>
      <c r="EM50" s="863"/>
      <c r="EN50" s="863"/>
      <c r="EO50" s="863"/>
      <c r="EP50" s="863"/>
      <c r="EQ50" s="863"/>
      <c r="ER50" s="863"/>
      <c r="ES50" s="863"/>
      <c r="ET50" s="863"/>
      <c r="EU50" s="863"/>
      <c r="EV50" s="863"/>
      <c r="EW50" s="863"/>
      <c r="EX50" s="863"/>
      <c r="EY50" s="863"/>
      <c r="EZ50" s="863"/>
      <c r="FA50" s="863"/>
      <c r="FB50" s="863"/>
      <c r="FC50" s="863"/>
      <c r="FD50" s="863"/>
      <c r="FE50" s="883"/>
      <c r="FF50" s="883"/>
      <c r="FG50" s="883"/>
      <c r="FH50" s="883"/>
      <c r="FI50" s="883"/>
      <c r="FJ50" s="883"/>
      <c r="FK50" s="883"/>
      <c r="FL50" s="883"/>
      <c r="FM50" s="883"/>
      <c r="FN50" s="863"/>
      <c r="FO50" s="863"/>
      <c r="FP50" s="863"/>
      <c r="FQ50" s="863"/>
      <c r="FR50" s="863"/>
      <c r="FS50" s="863"/>
      <c r="FT50" s="863"/>
      <c r="FU50" s="863"/>
      <c r="FV50" s="863"/>
      <c r="FW50" s="863"/>
      <c r="FX50" s="863"/>
      <c r="FY50" s="863"/>
      <c r="FZ50" s="863"/>
      <c r="GA50" s="863"/>
      <c r="GB50" s="863"/>
      <c r="GC50" s="863"/>
      <c r="GD50" s="863"/>
      <c r="GE50" s="863"/>
      <c r="GF50" s="863"/>
      <c r="GG50" s="863"/>
      <c r="GH50" s="863"/>
      <c r="GI50" s="863"/>
      <c r="GJ50" s="863"/>
      <c r="GK50" s="883"/>
      <c r="GL50" s="883"/>
      <c r="GM50" s="883"/>
      <c r="GN50" s="883"/>
      <c r="GO50" s="883"/>
      <c r="GP50" s="883"/>
      <c r="GQ50" s="883"/>
      <c r="GR50" s="883"/>
      <c r="GS50" s="883"/>
      <c r="GT50" s="863"/>
      <c r="GU50" s="863"/>
      <c r="GV50" s="863"/>
      <c r="GW50" s="863"/>
      <c r="GX50" s="863"/>
      <c r="GY50" s="863"/>
      <c r="GZ50" s="863"/>
      <c r="HA50" s="863"/>
      <c r="HB50" s="863"/>
      <c r="HC50" s="863"/>
      <c r="HD50" s="863"/>
      <c r="HE50" s="863"/>
      <c r="HF50" s="863"/>
      <c r="HG50" s="863"/>
      <c r="HH50" s="863"/>
      <c r="HI50" s="863"/>
      <c r="HJ50" s="863"/>
      <c r="HK50" s="863"/>
      <c r="HL50" s="863"/>
      <c r="HM50" s="863"/>
      <c r="HN50" s="863"/>
      <c r="HO50" s="863"/>
      <c r="HP50" s="863"/>
      <c r="HQ50" s="883"/>
      <c r="HR50" s="883"/>
      <c r="HS50" s="883"/>
      <c r="HT50" s="883"/>
      <c r="HU50" s="883"/>
      <c r="HV50" s="883"/>
      <c r="HW50" s="883"/>
      <c r="HX50" s="883"/>
      <c r="HY50" s="883"/>
      <c r="HZ50" s="863"/>
      <c r="IA50" s="863"/>
      <c r="IB50" s="863"/>
      <c r="IC50" s="863"/>
      <c r="ID50" s="863"/>
      <c r="IE50" s="863"/>
      <c r="IF50" s="863"/>
      <c r="IG50" s="863"/>
      <c r="IH50" s="863"/>
      <c r="II50" s="863"/>
      <c r="IJ50" s="863"/>
      <c r="IK50" s="863"/>
      <c r="IL50" s="863"/>
      <c r="IM50" s="863"/>
      <c r="IN50" s="863"/>
      <c r="IO50" s="863"/>
      <c r="IP50" s="863"/>
      <c r="IQ50" s="863"/>
      <c r="IR50" s="863"/>
      <c r="IS50" s="863"/>
      <c r="IT50" s="863"/>
      <c r="IU50" s="863"/>
      <c r="IV50" s="863"/>
      <c r="IW50" s="883"/>
      <c r="IX50" s="883"/>
      <c r="IY50" s="883"/>
      <c r="IZ50" s="883"/>
      <c r="JA50" s="883"/>
      <c r="JB50" s="883"/>
      <c r="JC50" s="883"/>
      <c r="JD50" s="883"/>
      <c r="JE50" s="883"/>
      <c r="JF50" s="863"/>
      <c r="JG50" s="863"/>
      <c r="JH50" s="863"/>
      <c r="JI50" s="863"/>
      <c r="JJ50" s="863"/>
      <c r="JK50" s="863"/>
      <c r="JL50" s="863"/>
      <c r="JM50" s="863"/>
      <c r="JN50" s="863"/>
      <c r="JO50" s="863"/>
      <c r="JP50" s="863"/>
      <c r="JQ50" s="863"/>
      <c r="JR50" s="863"/>
      <c r="JS50" s="863"/>
      <c r="JT50" s="863"/>
      <c r="JU50" s="863"/>
      <c r="JV50" s="863"/>
      <c r="JW50" s="863"/>
      <c r="JX50" s="863"/>
      <c r="JY50" s="863"/>
      <c r="JZ50" s="863"/>
      <c r="KA50" s="863"/>
      <c r="KB50" s="863"/>
      <c r="KC50" s="883"/>
      <c r="KD50" s="883"/>
      <c r="KE50" s="883"/>
      <c r="KF50" s="883"/>
      <c r="KG50" s="883"/>
      <c r="KH50" s="883"/>
      <c r="KI50" s="883"/>
      <c r="KJ50" s="883"/>
      <c r="KK50" s="883"/>
      <c r="KL50" s="863"/>
      <c r="KM50" s="863"/>
      <c r="KN50" s="863"/>
      <c r="KO50" s="863"/>
      <c r="KP50" s="863"/>
      <c r="KQ50" s="863"/>
      <c r="KR50" s="863"/>
      <c r="KS50" s="863"/>
      <c r="KT50" s="863"/>
      <c r="KU50" s="863"/>
      <c r="KV50" s="863"/>
      <c r="KW50" s="863"/>
      <c r="KX50" s="863"/>
      <c r="KY50" s="863"/>
      <c r="KZ50" s="863"/>
      <c r="LA50" s="863"/>
      <c r="LB50" s="863"/>
      <c r="LC50" s="863"/>
      <c r="LD50" s="863"/>
      <c r="LE50" s="863"/>
      <c r="LF50" s="863"/>
      <c r="LG50" s="863"/>
      <c r="LH50" s="863"/>
      <c r="LI50" s="883"/>
      <c r="LJ50" s="883"/>
      <c r="LK50" s="883"/>
      <c r="LL50" s="883"/>
      <c r="LM50" s="883"/>
      <c r="LN50" s="883"/>
      <c r="LO50" s="883"/>
      <c r="LP50" s="883"/>
      <c r="LQ50" s="883"/>
      <c r="LR50" s="863"/>
      <c r="LS50" s="863"/>
      <c r="LT50" s="863"/>
      <c r="LU50" s="863"/>
      <c r="LV50" s="863"/>
      <c r="LW50" s="863"/>
      <c r="LX50" s="863"/>
      <c r="LY50" s="863"/>
      <c r="LZ50" s="863"/>
      <c r="MA50" s="863"/>
      <c r="MB50" s="863"/>
      <c r="MC50" s="863"/>
      <c r="MD50" s="863"/>
      <c r="ME50" s="863"/>
      <c r="MF50" s="863"/>
      <c r="MG50" s="863"/>
      <c r="MH50" s="863"/>
      <c r="MI50" s="863"/>
      <c r="MJ50" s="863"/>
      <c r="MK50" s="863"/>
      <c r="ML50" s="863"/>
      <c r="MM50" s="863"/>
      <c r="MN50" s="863"/>
      <c r="MO50" s="883"/>
      <c r="MP50" s="883"/>
      <c r="MQ50" s="883"/>
      <c r="MR50" s="883"/>
      <c r="MS50" s="883"/>
      <c r="MT50" s="883"/>
      <c r="MU50" s="883"/>
      <c r="MV50" s="883"/>
      <c r="MW50" s="883"/>
      <c r="MX50" s="863"/>
      <c r="MY50" s="863"/>
      <c r="MZ50" s="863"/>
      <c r="NA50" s="863"/>
      <c r="NB50" s="863"/>
      <c r="NC50" s="863"/>
      <c r="ND50" s="863"/>
      <c r="NE50" s="863"/>
      <c r="NF50" s="863"/>
      <c r="NG50" s="863"/>
      <c r="NH50" s="863"/>
      <c r="NI50" s="863"/>
      <c r="NJ50" s="863"/>
      <c r="NK50" s="863"/>
      <c r="NL50" s="863"/>
      <c r="NM50" s="863"/>
      <c r="NN50" s="863"/>
      <c r="NO50" s="863"/>
      <c r="NP50" s="863"/>
      <c r="NQ50" s="863"/>
      <c r="NR50" s="863"/>
      <c r="NS50" s="863"/>
      <c r="NT50" s="863"/>
      <c r="NU50" s="883"/>
      <c r="NV50" s="883"/>
      <c r="NW50" s="883"/>
      <c r="NX50" s="883"/>
      <c r="NY50" s="883"/>
      <c r="NZ50" s="883"/>
      <c r="OA50" s="883"/>
      <c r="OB50" s="883"/>
      <c r="OC50" s="883"/>
      <c r="OD50" s="863"/>
      <c r="OE50" s="863"/>
      <c r="OF50" s="863"/>
      <c r="OG50" s="863"/>
      <c r="OH50" s="863"/>
      <c r="OI50" s="863"/>
      <c r="OJ50" s="863"/>
      <c r="OK50" s="863"/>
      <c r="OL50" s="863"/>
      <c r="OM50" s="863"/>
      <c r="ON50" s="863"/>
      <c r="OO50" s="863"/>
      <c r="OP50" s="863"/>
      <c r="OQ50" s="863"/>
      <c r="OR50" s="863"/>
      <c r="OS50" s="863"/>
      <c r="OT50" s="863"/>
      <c r="OU50" s="863"/>
      <c r="OV50" s="863"/>
      <c r="OW50" s="863"/>
      <c r="OX50" s="863"/>
      <c r="OY50" s="863"/>
      <c r="OZ50" s="863"/>
      <c r="PA50" s="883"/>
      <c r="PB50" s="883"/>
      <c r="PC50" s="883"/>
      <c r="PD50" s="883"/>
      <c r="PE50" s="883"/>
      <c r="PF50" s="883"/>
      <c r="PG50" s="883"/>
      <c r="PH50" s="883"/>
      <c r="PI50" s="883"/>
      <c r="PJ50" s="863"/>
      <c r="PK50" s="863"/>
      <c r="PL50" s="863"/>
      <c r="PM50" s="863"/>
      <c r="PN50" s="863"/>
      <c r="PO50" s="863"/>
      <c r="PP50" s="863"/>
      <c r="PQ50" s="863"/>
      <c r="PR50" s="863"/>
      <c r="PS50" s="863"/>
      <c r="PT50" s="863"/>
      <c r="PU50" s="863"/>
      <c r="PV50" s="863"/>
      <c r="PW50" s="863"/>
      <c r="PX50" s="863"/>
      <c r="PY50" s="863"/>
      <c r="PZ50" s="863"/>
      <c r="QA50" s="863"/>
      <c r="QB50" s="863"/>
      <c r="QC50" s="863"/>
      <c r="QD50" s="863"/>
      <c r="QE50" s="863"/>
      <c r="QF50" s="863"/>
      <c r="QG50" s="883"/>
      <c r="QH50" s="883"/>
      <c r="QI50" s="883"/>
      <c r="QJ50" s="883"/>
      <c r="QK50" s="883"/>
      <c r="QL50" s="883"/>
      <c r="QM50" s="883"/>
      <c r="QN50" s="883"/>
      <c r="QO50" s="883"/>
      <c r="QP50" s="863"/>
      <c r="QQ50" s="863"/>
      <c r="QR50" s="863"/>
      <c r="QS50" s="863"/>
      <c r="QT50" s="863"/>
      <c r="QU50" s="863"/>
      <c r="QV50" s="863"/>
      <c r="QW50" s="863"/>
      <c r="QX50" s="863"/>
      <c r="QY50" s="863"/>
      <c r="QZ50" s="863"/>
      <c r="RA50" s="863"/>
      <c r="RB50" s="863"/>
      <c r="RC50" s="863"/>
      <c r="RD50" s="863"/>
      <c r="RE50" s="863"/>
      <c r="RF50" s="863"/>
      <c r="RG50" s="863"/>
      <c r="RH50" s="863"/>
      <c r="RI50" s="863"/>
      <c r="RJ50" s="863"/>
      <c r="RK50" s="863"/>
      <c r="RL50" s="863"/>
      <c r="RM50" s="883"/>
      <c r="RN50" s="883"/>
      <c r="RO50" s="883"/>
      <c r="RP50" s="883"/>
      <c r="RQ50" s="883"/>
      <c r="RR50" s="883"/>
      <c r="RS50" s="883"/>
      <c r="RT50" s="883"/>
      <c r="RU50" s="883"/>
      <c r="RV50" s="863"/>
      <c r="RW50" s="863"/>
      <c r="RX50" s="863"/>
      <c r="RY50" s="863"/>
      <c r="RZ50" s="863"/>
      <c r="SA50" s="863"/>
      <c r="SB50" s="863"/>
      <c r="SC50" s="863"/>
      <c r="SD50" s="863"/>
      <c r="SE50" s="863"/>
      <c r="SF50" s="863"/>
      <c r="SG50" s="863"/>
      <c r="SH50" s="863"/>
      <c r="SI50" s="863"/>
      <c r="SJ50" s="863"/>
      <c r="SK50" s="863"/>
      <c r="SL50" s="863"/>
      <c r="SM50" s="863"/>
      <c r="SN50" s="863"/>
      <c r="SO50" s="863"/>
      <c r="SP50" s="863"/>
      <c r="SQ50" s="863"/>
      <c r="SR50" s="863"/>
      <c r="SS50" s="883"/>
      <c r="ST50" s="883"/>
      <c r="SU50" s="883"/>
      <c r="SV50" s="883"/>
      <c r="SW50" s="883"/>
      <c r="SX50" s="883"/>
      <c r="SY50" s="883"/>
      <c r="SZ50" s="883"/>
      <c r="TA50" s="883"/>
      <c r="TB50" s="863"/>
      <c r="TC50" s="863"/>
      <c r="TD50" s="863"/>
      <c r="TE50" s="863"/>
      <c r="TF50" s="863"/>
      <c r="TG50" s="863"/>
      <c r="TH50" s="863"/>
      <c r="TI50" s="863"/>
      <c r="TJ50" s="863"/>
      <c r="TK50" s="863"/>
      <c r="TL50" s="863"/>
      <c r="TM50" s="863"/>
      <c r="TN50" s="863"/>
      <c r="TO50" s="863"/>
      <c r="TP50" s="863"/>
      <c r="TQ50" s="863"/>
      <c r="TR50" s="863"/>
      <c r="TS50" s="863"/>
      <c r="TT50" s="863"/>
      <c r="TU50" s="863"/>
      <c r="TV50" s="863"/>
      <c r="TW50" s="863"/>
      <c r="TX50" s="863"/>
      <c r="TY50" s="883"/>
      <c r="TZ50" s="883"/>
      <c r="UA50" s="883"/>
      <c r="UB50" s="883"/>
      <c r="UC50" s="883"/>
      <c r="UD50" s="883"/>
      <c r="UE50" s="883"/>
      <c r="UF50" s="883"/>
      <c r="UG50" s="883"/>
      <c r="UH50" s="863"/>
      <c r="UI50" s="863"/>
      <c r="UJ50" s="863"/>
      <c r="UK50" s="863"/>
      <c r="UL50" s="863"/>
      <c r="UM50" s="863"/>
      <c r="UN50" s="863"/>
      <c r="UO50" s="863"/>
      <c r="UP50" s="863"/>
      <c r="UQ50" s="863"/>
      <c r="UR50" s="863"/>
      <c r="US50" s="863"/>
      <c r="UT50" s="863"/>
      <c r="UU50" s="863"/>
      <c r="UV50" s="863"/>
      <c r="UW50" s="863"/>
      <c r="UX50" s="863"/>
      <c r="UY50" s="863"/>
      <c r="UZ50" s="863"/>
      <c r="VA50" s="863"/>
      <c r="VB50" s="863"/>
      <c r="VC50" s="863"/>
      <c r="VD50" s="863"/>
      <c r="VE50" s="883"/>
      <c r="VF50" s="883"/>
      <c r="VG50" s="883"/>
      <c r="VH50" s="883"/>
      <c r="VI50" s="883"/>
      <c r="VJ50" s="883"/>
      <c r="VK50" s="883"/>
      <c r="VL50" s="883"/>
      <c r="VM50" s="883"/>
      <c r="VN50" s="863"/>
      <c r="VO50" s="863"/>
      <c r="VP50" s="863"/>
      <c r="VQ50" s="863"/>
      <c r="VR50" s="863"/>
      <c r="VS50" s="863"/>
      <c r="VT50" s="863"/>
      <c r="VU50" s="863"/>
      <c r="VV50" s="863"/>
      <c r="VW50" s="863"/>
      <c r="VX50" s="863"/>
      <c r="VY50" s="863"/>
      <c r="VZ50" s="863"/>
      <c r="WA50" s="863"/>
      <c r="WB50" s="863"/>
      <c r="WC50" s="863"/>
      <c r="WD50" s="863"/>
      <c r="WE50" s="863"/>
      <c r="WF50" s="863"/>
      <c r="WG50" s="863"/>
      <c r="WH50" s="863"/>
      <c r="WI50" s="863"/>
      <c r="WJ50" s="863"/>
      <c r="WK50" s="883"/>
      <c r="WL50" s="883"/>
      <c r="WM50" s="883"/>
      <c r="WN50" s="883"/>
      <c r="WO50" s="883"/>
      <c r="WP50" s="883"/>
      <c r="WQ50" s="883"/>
      <c r="WR50" s="883"/>
      <c r="WS50" s="883"/>
      <c r="WT50" s="863"/>
      <c r="WU50" s="863"/>
      <c r="WV50" s="863"/>
      <c r="WW50" s="863"/>
      <c r="WX50" s="863"/>
      <c r="WY50" s="863"/>
      <c r="WZ50" s="863"/>
      <c r="XA50" s="863"/>
      <c r="XB50" s="863"/>
      <c r="XC50" s="863"/>
      <c r="XD50" s="863"/>
      <c r="XE50" s="863"/>
      <c r="XF50" s="863"/>
      <c r="XG50" s="863"/>
      <c r="XH50" s="863"/>
      <c r="XI50" s="863"/>
      <c r="XJ50" s="863"/>
      <c r="XK50" s="863"/>
      <c r="XL50" s="863"/>
      <c r="XM50" s="863"/>
      <c r="XN50" s="863"/>
      <c r="XO50" s="863"/>
      <c r="XP50" s="863"/>
      <c r="XQ50" s="883"/>
      <c r="XR50" s="883"/>
      <c r="XS50" s="883"/>
      <c r="XT50" s="883"/>
      <c r="XU50" s="883"/>
      <c r="XV50" s="883"/>
      <c r="XW50" s="883"/>
      <c r="XX50" s="883"/>
      <c r="XY50" s="883"/>
      <c r="XZ50" s="863"/>
      <c r="YA50" s="863"/>
      <c r="YB50" s="863"/>
      <c r="YC50" s="863"/>
      <c r="YD50" s="863"/>
      <c r="YE50" s="863"/>
      <c r="YF50" s="863"/>
      <c r="YG50" s="863"/>
      <c r="YH50" s="863"/>
      <c r="YI50" s="863"/>
      <c r="YJ50" s="863"/>
      <c r="YK50" s="863"/>
      <c r="YL50" s="863"/>
      <c r="YM50" s="863"/>
      <c r="YN50" s="863"/>
      <c r="YO50" s="863"/>
      <c r="YP50" s="863"/>
      <c r="YQ50" s="863"/>
      <c r="YR50" s="863"/>
      <c r="YS50" s="863"/>
      <c r="YT50" s="863"/>
      <c r="YU50" s="863"/>
      <c r="YV50" s="863"/>
      <c r="YW50" s="883"/>
      <c r="YX50" s="883"/>
      <c r="YY50" s="883"/>
      <c r="YZ50" s="883"/>
      <c r="ZA50" s="883"/>
      <c r="ZB50" s="883"/>
      <c r="ZC50" s="883"/>
      <c r="ZD50" s="883"/>
      <c r="ZE50" s="883"/>
      <c r="ZF50" s="863"/>
      <c r="ZG50" s="863"/>
      <c r="ZH50" s="863"/>
      <c r="ZI50" s="863"/>
      <c r="ZJ50" s="863"/>
      <c r="ZK50" s="863"/>
      <c r="ZL50" s="863"/>
      <c r="ZM50" s="863"/>
      <c r="ZN50" s="863"/>
      <c r="ZO50" s="863"/>
      <c r="ZP50" s="863"/>
      <c r="ZQ50" s="863"/>
      <c r="ZR50" s="863"/>
      <c r="ZS50" s="863"/>
      <c r="ZT50" s="863"/>
      <c r="ZU50" s="863"/>
      <c r="ZV50" s="863"/>
      <c r="ZW50" s="863"/>
      <c r="ZX50" s="863"/>
      <c r="ZY50" s="863"/>
      <c r="ZZ50" s="863"/>
      <c r="AAA50" s="863"/>
      <c r="AAB50" s="863"/>
      <c r="AAC50" s="883"/>
      <c r="AAD50" s="883"/>
      <c r="AAE50" s="883"/>
      <c r="AAF50" s="883"/>
      <c r="AAG50" s="883"/>
      <c r="AAH50" s="883"/>
      <c r="AAI50" s="883"/>
      <c r="AAJ50" s="883"/>
      <c r="AAK50" s="883"/>
      <c r="AAL50" s="863"/>
      <c r="AAM50" s="863"/>
      <c r="AAN50" s="863"/>
      <c r="AAO50" s="863"/>
      <c r="AAP50" s="863"/>
      <c r="AAQ50" s="863"/>
      <c r="AAR50" s="863"/>
      <c r="AAS50" s="863"/>
      <c r="AAT50" s="863"/>
      <c r="AAU50" s="863"/>
      <c r="AAV50" s="863"/>
      <c r="AAW50" s="863"/>
      <c r="AAX50" s="863"/>
      <c r="AAY50" s="863"/>
      <c r="AAZ50" s="863"/>
      <c r="ABA50" s="863"/>
      <c r="ABB50" s="863"/>
      <c r="ABC50" s="863"/>
      <c r="ABD50" s="863"/>
      <c r="ABE50" s="863"/>
      <c r="ABF50" s="863"/>
      <c r="ABG50" s="863"/>
      <c r="ABH50" s="863"/>
      <c r="ABI50" s="883"/>
      <c r="ABJ50" s="883"/>
      <c r="ABK50" s="883"/>
      <c r="ABL50" s="883"/>
      <c r="ABM50" s="883"/>
      <c r="ABN50" s="883"/>
      <c r="ABO50" s="883"/>
      <c r="ABP50" s="883"/>
      <c r="ABQ50" s="883"/>
      <c r="ABR50" s="863"/>
      <c r="ABS50" s="863"/>
      <c r="ABT50" s="863"/>
      <c r="ABU50" s="863"/>
      <c r="ABV50" s="863"/>
      <c r="ABW50" s="863"/>
      <c r="ABX50" s="863"/>
      <c r="ABY50" s="863"/>
      <c r="ABZ50" s="863"/>
      <c r="ACA50" s="863"/>
      <c r="ACB50" s="863"/>
      <c r="ACC50" s="863"/>
      <c r="ACD50" s="863"/>
      <c r="ACE50" s="863"/>
      <c r="ACF50" s="863"/>
      <c r="ACG50" s="863"/>
      <c r="ACH50" s="863"/>
      <c r="ACI50" s="863"/>
      <c r="ACJ50" s="863"/>
      <c r="ACK50" s="863"/>
      <c r="ACL50" s="863"/>
      <c r="ACM50" s="863"/>
      <c r="ACN50" s="863"/>
      <c r="ACO50" s="883"/>
      <c r="ACP50" s="883"/>
      <c r="ACQ50" s="883"/>
      <c r="ACR50" s="883"/>
      <c r="ACS50" s="883"/>
      <c r="ACT50" s="883"/>
      <c r="ACU50" s="883"/>
      <c r="ACV50" s="883"/>
      <c r="ACW50" s="883"/>
      <c r="ACX50" s="863"/>
      <c r="ACY50" s="863"/>
      <c r="ACZ50" s="863"/>
      <c r="ADA50" s="863"/>
      <c r="ADB50" s="863"/>
      <c r="ADC50" s="863"/>
      <c r="ADD50" s="863"/>
      <c r="ADE50" s="863"/>
      <c r="ADF50" s="863"/>
      <c r="ADG50" s="863"/>
      <c r="ADH50" s="863"/>
      <c r="ADI50" s="863"/>
      <c r="ADJ50" s="863"/>
      <c r="ADK50" s="863"/>
      <c r="ADL50" s="863"/>
      <c r="ADM50" s="863"/>
      <c r="ADN50" s="863"/>
      <c r="ADO50" s="863"/>
      <c r="ADP50" s="863"/>
      <c r="ADQ50" s="863"/>
      <c r="ADR50" s="863"/>
      <c r="ADS50" s="863"/>
      <c r="ADT50" s="863"/>
      <c r="ADU50" s="883"/>
      <c r="ADV50" s="883"/>
      <c r="ADW50" s="883"/>
      <c r="ADX50" s="883"/>
      <c r="ADY50" s="883"/>
      <c r="ADZ50" s="883"/>
      <c r="AEA50" s="883"/>
      <c r="AEB50" s="883"/>
      <c r="AEC50" s="883"/>
      <c r="AED50" s="863"/>
      <c r="AEE50" s="863"/>
      <c r="AEF50" s="863"/>
      <c r="AEG50" s="863"/>
      <c r="AEH50" s="863"/>
      <c r="AEI50" s="863"/>
      <c r="AEJ50" s="863"/>
      <c r="AEK50" s="863"/>
      <c r="AEL50" s="863"/>
      <c r="AEM50" s="863"/>
      <c r="AEN50" s="863"/>
      <c r="AEO50" s="863"/>
      <c r="AEP50" s="863"/>
      <c r="AEQ50" s="863"/>
      <c r="AER50" s="863"/>
      <c r="AES50" s="863"/>
      <c r="AET50" s="863"/>
      <c r="AEU50" s="863"/>
      <c r="AEV50" s="863"/>
      <c r="AEW50" s="863"/>
      <c r="AEX50" s="863"/>
      <c r="AEY50" s="863"/>
      <c r="AEZ50" s="863"/>
      <c r="AFA50" s="883"/>
      <c r="AFB50" s="883"/>
      <c r="AFC50" s="883"/>
      <c r="AFD50" s="883"/>
      <c r="AFE50" s="883"/>
      <c r="AFF50" s="883"/>
      <c r="AFG50" s="883"/>
      <c r="AFH50" s="883"/>
      <c r="AFI50" s="883"/>
      <c r="AFJ50" s="863"/>
      <c r="AFK50" s="863"/>
      <c r="AFL50" s="863"/>
      <c r="AFM50" s="863"/>
      <c r="AFN50" s="863"/>
      <c r="AFO50" s="863"/>
      <c r="AFP50" s="863"/>
      <c r="AFQ50" s="863"/>
      <c r="AFR50" s="863"/>
      <c r="AFS50" s="863"/>
      <c r="AFT50" s="863"/>
      <c r="AFU50" s="863"/>
      <c r="AFV50" s="863"/>
      <c r="AFW50" s="863"/>
      <c r="AFX50" s="863"/>
      <c r="AFY50" s="863"/>
      <c r="AFZ50" s="863"/>
      <c r="AGA50" s="863"/>
      <c r="AGB50" s="863"/>
      <c r="AGC50" s="863"/>
      <c r="AGD50" s="863"/>
      <c r="AGE50" s="863"/>
      <c r="AGF50" s="863"/>
      <c r="AGG50" s="883"/>
      <c r="AGH50" s="883"/>
      <c r="AGI50" s="883"/>
      <c r="AGJ50" s="883"/>
      <c r="AGK50" s="883"/>
      <c r="AGL50" s="883"/>
      <c r="AGM50" s="883"/>
      <c r="AGN50" s="883"/>
      <c r="AGO50" s="883"/>
      <c r="AGP50" s="863"/>
      <c r="AGQ50" s="863"/>
      <c r="AGR50" s="863"/>
      <c r="AGS50" s="863"/>
      <c r="AGT50" s="863"/>
      <c r="AGU50" s="863"/>
      <c r="AGV50" s="863"/>
      <c r="AGW50" s="863"/>
      <c r="AGX50" s="863"/>
      <c r="AGY50" s="863"/>
      <c r="AGZ50" s="863"/>
      <c r="AHA50" s="863"/>
      <c r="AHB50" s="863"/>
      <c r="AHC50" s="863"/>
      <c r="AHD50" s="863"/>
      <c r="AHE50" s="863"/>
      <c r="AHF50" s="863"/>
      <c r="AHG50" s="863"/>
      <c r="AHH50" s="863"/>
      <c r="AHI50" s="863"/>
      <c r="AHJ50" s="863"/>
      <c r="AHK50" s="863"/>
      <c r="AHL50" s="863"/>
      <c r="AHM50" s="883"/>
      <c r="AHN50" s="883"/>
      <c r="AHO50" s="883"/>
      <c r="AHP50" s="883"/>
      <c r="AHQ50" s="883"/>
      <c r="AHR50" s="883"/>
      <c r="AHS50" s="883"/>
      <c r="AHT50" s="883"/>
      <c r="AHU50" s="883"/>
      <c r="AHV50" s="863"/>
      <c r="AHW50" s="863"/>
      <c r="AHX50" s="863"/>
      <c r="AHY50" s="863"/>
      <c r="AHZ50" s="863"/>
      <c r="AIA50" s="863"/>
      <c r="AIB50" s="863"/>
      <c r="AIC50" s="863"/>
      <c r="AID50" s="863"/>
      <c r="AIE50" s="863"/>
      <c r="AIF50" s="863"/>
      <c r="AIG50" s="863"/>
      <c r="AIH50" s="863"/>
      <c r="AII50" s="863"/>
      <c r="AIJ50" s="863"/>
      <c r="AIK50" s="863"/>
      <c r="AIL50" s="863"/>
      <c r="AIM50" s="863"/>
      <c r="AIN50" s="863"/>
      <c r="AIO50" s="863"/>
      <c r="AIP50" s="863"/>
      <c r="AIQ50" s="863"/>
      <c r="AIR50" s="863"/>
      <c r="AIS50" s="883"/>
      <c r="AIT50" s="883"/>
      <c r="AIU50" s="883"/>
      <c r="AIV50" s="883"/>
      <c r="AIW50" s="883"/>
      <c r="AIX50" s="883"/>
      <c r="AIY50" s="883"/>
      <c r="AIZ50" s="883"/>
      <c r="AJA50" s="883"/>
      <c r="AJB50" s="863"/>
      <c r="AJC50" s="863"/>
      <c r="AJD50" s="863"/>
      <c r="AJE50" s="863"/>
      <c r="AJF50" s="863"/>
      <c r="AJG50" s="863"/>
      <c r="AJH50" s="863"/>
      <c r="AJI50" s="863"/>
      <c r="AJJ50" s="863"/>
      <c r="AJK50" s="863"/>
      <c r="AJL50" s="863"/>
      <c r="AJM50" s="863"/>
      <c r="AJN50" s="863"/>
      <c r="AJO50" s="863"/>
      <c r="AJP50" s="863"/>
      <c r="AJQ50" s="863"/>
      <c r="AJR50" s="863"/>
      <c r="AJS50" s="863"/>
      <c r="AJT50" s="863"/>
      <c r="AJU50" s="863"/>
      <c r="AJV50" s="863"/>
      <c r="AJW50" s="863"/>
      <c r="AJX50" s="863"/>
      <c r="AJY50" s="883"/>
      <c r="AJZ50" s="883"/>
      <c r="AKA50" s="883"/>
      <c r="AKB50" s="883"/>
      <c r="AKC50" s="883"/>
      <c r="AKD50" s="883"/>
      <c r="AKE50" s="883"/>
      <c r="AKF50" s="883"/>
      <c r="AKG50" s="883"/>
      <c r="AKH50" s="863"/>
      <c r="AKI50" s="863"/>
      <c r="AKJ50" s="863"/>
      <c r="AKK50" s="863"/>
      <c r="AKL50" s="863"/>
      <c r="AKM50" s="863"/>
      <c r="AKN50" s="863"/>
      <c r="AKO50" s="863"/>
      <c r="AKP50" s="863"/>
      <c r="AKQ50" s="863"/>
      <c r="AKR50" s="863"/>
      <c r="AKS50" s="863"/>
      <c r="AKT50" s="863"/>
      <c r="AKU50" s="863"/>
      <c r="AKV50" s="863"/>
      <c r="AKW50" s="863"/>
      <c r="AKX50" s="863"/>
      <c r="AKY50" s="863"/>
      <c r="AKZ50" s="863"/>
      <c r="ALA50" s="863"/>
      <c r="ALB50" s="863"/>
      <c r="ALC50" s="863"/>
      <c r="ALD50" s="863"/>
      <c r="ALE50" s="883"/>
      <c r="ALF50" s="883"/>
      <c r="ALG50" s="883"/>
      <c r="ALH50" s="883"/>
      <c r="ALI50" s="883"/>
      <c r="ALJ50" s="883"/>
      <c r="ALK50" s="883"/>
      <c r="ALL50" s="883"/>
      <c r="ALM50" s="883"/>
      <c r="ALN50" s="863"/>
      <c r="ALO50" s="863"/>
      <c r="ALP50" s="863"/>
      <c r="ALQ50" s="863"/>
      <c r="ALR50" s="863"/>
      <c r="ALS50" s="863"/>
      <c r="ALT50" s="863"/>
      <c r="ALU50" s="863"/>
      <c r="ALV50" s="863"/>
      <c r="ALW50" s="863"/>
      <c r="ALX50" s="863"/>
      <c r="ALY50" s="863"/>
      <c r="ALZ50" s="863"/>
      <c r="AMA50" s="863"/>
      <c r="AMB50" s="863"/>
      <c r="AMC50" s="863"/>
      <c r="AMD50" s="863"/>
      <c r="AME50" s="863"/>
      <c r="AMF50" s="863"/>
      <c r="AMG50" s="863"/>
      <c r="AMH50" s="863"/>
      <c r="AMI50" s="863"/>
      <c r="AMJ50" s="863"/>
      <c r="AMK50" s="883"/>
      <c r="AML50" s="883"/>
      <c r="AMM50" s="883"/>
      <c r="AMN50" s="883"/>
      <c r="AMO50" s="883"/>
      <c r="AMP50" s="883"/>
      <c r="AMQ50" s="883"/>
      <c r="AMR50" s="883"/>
      <c r="AMS50" s="883"/>
      <c r="AMT50" s="863"/>
      <c r="AMU50" s="863"/>
      <c r="AMV50" s="863"/>
      <c r="AMW50" s="863"/>
      <c r="AMX50" s="863"/>
      <c r="AMY50" s="863"/>
      <c r="AMZ50" s="863"/>
      <c r="ANA50" s="863"/>
      <c r="ANB50" s="863"/>
      <c r="ANC50" s="863"/>
      <c r="AND50" s="863"/>
      <c r="ANE50" s="863"/>
      <c r="ANF50" s="863"/>
      <c r="ANG50" s="863"/>
      <c r="ANH50" s="863"/>
      <c r="ANI50" s="863"/>
      <c r="ANJ50" s="863"/>
      <c r="ANK50" s="863"/>
      <c r="ANL50" s="863"/>
      <c r="ANM50" s="863"/>
      <c r="ANN50" s="863"/>
      <c r="ANO50" s="863"/>
      <c r="ANP50" s="863"/>
      <c r="ANQ50" s="883"/>
      <c r="ANR50" s="883"/>
      <c r="ANS50" s="883"/>
      <c r="ANT50" s="883"/>
      <c r="ANU50" s="883"/>
      <c r="ANV50" s="883"/>
      <c r="ANW50" s="883"/>
      <c r="ANX50" s="883"/>
      <c r="ANY50" s="883"/>
      <c r="ANZ50" s="863"/>
      <c r="AOA50" s="863"/>
      <c r="AOB50" s="863"/>
      <c r="AOC50" s="863"/>
      <c r="AOD50" s="863"/>
      <c r="AOE50" s="863"/>
      <c r="AOF50" s="863"/>
      <c r="AOG50" s="863"/>
      <c r="AOH50" s="863"/>
      <c r="AOI50" s="863"/>
      <c r="AOJ50" s="863"/>
      <c r="AOK50" s="863"/>
      <c r="AOL50" s="863"/>
      <c r="AOM50" s="863"/>
      <c r="AON50" s="863"/>
      <c r="AOO50" s="863"/>
      <c r="AOP50" s="863"/>
      <c r="AOQ50" s="863"/>
      <c r="AOR50" s="863"/>
      <c r="AOS50" s="863"/>
      <c r="AOT50" s="863"/>
      <c r="AOU50" s="863"/>
      <c r="AOV50" s="863"/>
      <c r="AOW50" s="883"/>
      <c r="AOX50" s="883"/>
      <c r="AOY50" s="883"/>
      <c r="AOZ50" s="883"/>
      <c r="APA50" s="883"/>
      <c r="APB50" s="883"/>
      <c r="APC50" s="883"/>
      <c r="APD50" s="883"/>
      <c r="APE50" s="883"/>
      <c r="APF50" s="863"/>
      <c r="APG50" s="863"/>
      <c r="APH50" s="863"/>
      <c r="API50" s="863"/>
      <c r="APJ50" s="863"/>
      <c r="APK50" s="863"/>
      <c r="APL50" s="863"/>
      <c r="APM50" s="863"/>
      <c r="APN50" s="863"/>
      <c r="APO50" s="863"/>
      <c r="APP50" s="863"/>
      <c r="APQ50" s="863"/>
      <c r="APR50" s="863"/>
      <c r="APS50" s="863"/>
      <c r="APT50" s="863"/>
      <c r="APU50" s="863"/>
      <c r="APV50" s="863"/>
      <c r="APW50" s="863"/>
      <c r="APX50" s="863"/>
      <c r="APY50" s="863"/>
      <c r="APZ50" s="863"/>
      <c r="AQA50" s="863"/>
      <c r="AQB50" s="863"/>
      <c r="AQC50" s="883"/>
      <c r="AQD50" s="883"/>
      <c r="AQE50" s="883"/>
      <c r="AQF50" s="883"/>
      <c r="AQG50" s="883"/>
      <c r="AQH50" s="883"/>
      <c r="AQI50" s="883"/>
      <c r="AQJ50" s="883"/>
      <c r="AQK50" s="883"/>
      <c r="AQL50" s="863"/>
      <c r="AQM50" s="863"/>
      <c r="AQN50" s="863"/>
      <c r="AQO50" s="863"/>
      <c r="AQP50" s="863"/>
      <c r="AQQ50" s="863"/>
      <c r="AQR50" s="863"/>
      <c r="AQS50" s="863"/>
      <c r="AQT50" s="863"/>
      <c r="AQU50" s="863"/>
      <c r="AQV50" s="863"/>
      <c r="AQW50" s="863"/>
      <c r="AQX50" s="863"/>
      <c r="AQY50" s="863"/>
      <c r="AQZ50" s="863"/>
      <c r="ARA50" s="863"/>
      <c r="ARB50" s="863"/>
      <c r="ARC50" s="863"/>
      <c r="ARD50" s="863"/>
      <c r="ARE50" s="863"/>
      <c r="ARF50" s="863"/>
      <c r="ARG50" s="863"/>
      <c r="ARH50" s="863"/>
      <c r="ARI50" s="883"/>
      <c r="ARJ50" s="883"/>
      <c r="ARK50" s="883"/>
      <c r="ARL50" s="883"/>
      <c r="ARM50" s="883"/>
      <c r="ARN50" s="883"/>
      <c r="ARO50" s="883"/>
      <c r="ARP50" s="883"/>
      <c r="ARQ50" s="883"/>
      <c r="ARR50" s="863"/>
      <c r="ARS50" s="863"/>
      <c r="ART50" s="863"/>
      <c r="ARU50" s="863"/>
      <c r="ARV50" s="863"/>
      <c r="ARW50" s="863"/>
      <c r="ARX50" s="863"/>
      <c r="ARY50" s="863"/>
      <c r="ARZ50" s="863"/>
      <c r="ASA50" s="863"/>
      <c r="ASB50" s="863"/>
      <c r="ASC50" s="863"/>
      <c r="ASD50" s="863"/>
      <c r="ASE50" s="863"/>
      <c r="ASF50" s="863"/>
      <c r="ASG50" s="863"/>
      <c r="ASH50" s="863"/>
      <c r="ASI50" s="863"/>
      <c r="ASJ50" s="863"/>
      <c r="ASK50" s="863"/>
      <c r="ASL50" s="863"/>
      <c r="ASM50" s="863"/>
      <c r="ASN50" s="863"/>
      <c r="ASO50" s="883"/>
      <c r="ASP50" s="883"/>
      <c r="ASQ50" s="883"/>
      <c r="ASR50" s="883"/>
      <c r="ASS50" s="883"/>
      <c r="AST50" s="883"/>
      <c r="ASU50" s="883"/>
      <c r="ASV50" s="883"/>
      <c r="ASW50" s="883"/>
      <c r="ASX50" s="863"/>
      <c r="ASY50" s="863"/>
      <c r="ASZ50" s="863"/>
      <c r="ATA50" s="863"/>
      <c r="ATB50" s="863"/>
      <c r="ATC50" s="863"/>
      <c r="ATD50" s="863"/>
      <c r="ATE50" s="863"/>
      <c r="ATF50" s="863"/>
      <c r="ATG50" s="863"/>
      <c r="ATH50" s="863"/>
      <c r="ATI50" s="863"/>
      <c r="ATJ50" s="863"/>
      <c r="ATK50" s="863"/>
      <c r="ATL50" s="863"/>
      <c r="ATM50" s="863"/>
      <c r="ATN50" s="863"/>
      <c r="ATO50" s="863"/>
      <c r="ATP50" s="863"/>
      <c r="ATQ50" s="863"/>
      <c r="ATR50" s="863"/>
      <c r="ATS50" s="863"/>
      <c r="ATT50" s="863"/>
      <c r="ATU50" s="883"/>
      <c r="ATV50" s="883"/>
      <c r="ATW50" s="883"/>
      <c r="ATX50" s="883"/>
      <c r="ATY50" s="883"/>
      <c r="ATZ50" s="883"/>
      <c r="AUA50" s="883"/>
      <c r="AUB50" s="883"/>
      <c r="AUC50" s="883"/>
      <c r="AUD50" s="863"/>
      <c r="AUE50" s="863"/>
      <c r="AUF50" s="863"/>
      <c r="AUG50" s="863"/>
      <c r="AUH50" s="863"/>
      <c r="AUI50" s="863"/>
      <c r="AUJ50" s="863"/>
      <c r="AUK50" s="863"/>
      <c r="AUL50" s="863"/>
      <c r="AUM50" s="863"/>
      <c r="AUN50" s="863"/>
      <c r="AUO50" s="863"/>
      <c r="AUP50" s="863"/>
      <c r="AUQ50" s="863"/>
      <c r="AUR50" s="863"/>
      <c r="AUS50" s="863"/>
      <c r="AUT50" s="863"/>
      <c r="AUU50" s="863"/>
      <c r="AUV50" s="863"/>
      <c r="AUW50" s="863"/>
      <c r="AUX50" s="863"/>
      <c r="AUY50" s="863"/>
      <c r="AUZ50" s="863"/>
      <c r="AVA50" s="883"/>
      <c r="AVB50" s="883"/>
      <c r="AVC50" s="883"/>
      <c r="AVD50" s="883"/>
      <c r="AVE50" s="883"/>
      <c r="AVF50" s="883"/>
      <c r="AVG50" s="883"/>
      <c r="AVH50" s="883"/>
      <c r="AVI50" s="883"/>
      <c r="AVJ50" s="863"/>
      <c r="AVK50" s="863"/>
      <c r="AVL50" s="863"/>
      <c r="AVM50" s="863"/>
      <c r="AVN50" s="863"/>
      <c r="AVO50" s="863"/>
      <c r="AVP50" s="863"/>
      <c r="AVQ50" s="863"/>
      <c r="AVR50" s="863"/>
      <c r="AVS50" s="863"/>
      <c r="AVT50" s="863"/>
      <c r="AVU50" s="863"/>
      <c r="AVV50" s="863"/>
      <c r="AVW50" s="863"/>
      <c r="AVX50" s="863"/>
      <c r="AVY50" s="863"/>
      <c r="AVZ50" s="863"/>
      <c r="AWA50" s="863"/>
      <c r="AWB50" s="863"/>
      <c r="AWC50" s="863"/>
      <c r="AWD50" s="863"/>
      <c r="AWE50" s="863"/>
      <c r="AWF50" s="863"/>
      <c r="AWG50" s="883"/>
      <c r="AWH50" s="883"/>
      <c r="AWI50" s="883"/>
      <c r="AWJ50" s="883"/>
      <c r="AWK50" s="883"/>
      <c r="AWL50" s="883"/>
      <c r="AWM50" s="883"/>
      <c r="AWN50" s="883"/>
      <c r="AWO50" s="883"/>
      <c r="AWP50" s="863"/>
      <c r="AWQ50" s="863"/>
      <c r="AWR50" s="863"/>
      <c r="AWS50" s="863"/>
      <c r="AWT50" s="863"/>
      <c r="AWU50" s="863"/>
      <c r="AWV50" s="863"/>
      <c r="AWW50" s="863"/>
      <c r="AWX50" s="863"/>
      <c r="AWY50" s="863"/>
      <c r="AWZ50" s="863"/>
      <c r="AXA50" s="863"/>
      <c r="AXB50" s="863"/>
      <c r="AXC50" s="863"/>
      <c r="AXD50" s="863"/>
      <c r="AXE50" s="863"/>
      <c r="AXF50" s="863"/>
      <c r="AXG50" s="863"/>
      <c r="AXH50" s="863"/>
      <c r="AXI50" s="863"/>
      <c r="AXJ50" s="863"/>
      <c r="AXK50" s="863"/>
      <c r="AXL50" s="863"/>
      <c r="AXM50" s="883"/>
      <c r="AXN50" s="883"/>
      <c r="AXO50" s="883"/>
      <c r="AXP50" s="883"/>
      <c r="AXQ50" s="883"/>
      <c r="AXR50" s="883"/>
      <c r="AXS50" s="883"/>
      <c r="AXT50" s="883"/>
      <c r="AXU50" s="883"/>
      <c r="AXV50" s="863"/>
      <c r="AXW50" s="863"/>
      <c r="AXX50" s="863"/>
      <c r="AXY50" s="863"/>
      <c r="AXZ50" s="863"/>
      <c r="AYA50" s="863"/>
      <c r="AYB50" s="863"/>
      <c r="AYC50" s="863"/>
      <c r="AYD50" s="863"/>
      <c r="AYE50" s="863"/>
      <c r="AYF50" s="863"/>
      <c r="AYG50" s="863"/>
      <c r="AYH50" s="863"/>
      <c r="AYI50" s="863"/>
      <c r="AYJ50" s="863"/>
      <c r="AYK50" s="863"/>
      <c r="AYL50" s="863"/>
      <c r="AYM50" s="863"/>
      <c r="AYN50" s="863"/>
      <c r="AYO50" s="863"/>
      <c r="AYP50" s="863"/>
      <c r="AYQ50" s="863"/>
      <c r="AYR50" s="863"/>
      <c r="AYS50" s="883"/>
      <c r="AYT50" s="883"/>
      <c r="AYU50" s="883"/>
      <c r="AYV50" s="883"/>
      <c r="AYW50" s="883"/>
      <c r="AYX50" s="883"/>
      <c r="AYY50" s="883"/>
      <c r="AYZ50" s="883"/>
      <c r="AZA50" s="883"/>
      <c r="AZB50" s="863"/>
      <c r="AZC50" s="863"/>
      <c r="AZD50" s="863"/>
      <c r="AZE50" s="863"/>
      <c r="AZF50" s="863"/>
      <c r="AZG50" s="863"/>
      <c r="AZH50" s="863"/>
      <c r="AZI50" s="863"/>
      <c r="AZJ50" s="863"/>
      <c r="AZK50" s="863"/>
      <c r="AZL50" s="863"/>
      <c r="AZM50" s="863"/>
      <c r="AZN50" s="863"/>
      <c r="AZO50" s="863"/>
      <c r="AZP50" s="863"/>
      <c r="AZQ50" s="863"/>
      <c r="AZR50" s="863"/>
      <c r="AZS50" s="863"/>
      <c r="AZT50" s="863"/>
      <c r="AZU50" s="863"/>
      <c r="AZV50" s="863"/>
      <c r="AZW50" s="863"/>
      <c r="AZX50" s="863"/>
      <c r="AZY50" s="883"/>
      <c r="AZZ50" s="883"/>
      <c r="BAA50" s="883"/>
      <c r="BAB50" s="883"/>
      <c r="BAC50" s="883"/>
      <c r="BAD50" s="883"/>
      <c r="BAE50" s="883"/>
      <c r="BAF50" s="883"/>
      <c r="BAG50" s="883"/>
      <c r="BAH50" s="863"/>
      <c r="BAI50" s="863"/>
      <c r="BAJ50" s="863"/>
      <c r="BAK50" s="863"/>
      <c r="BAL50" s="863"/>
      <c r="BAM50" s="863"/>
      <c r="BAN50" s="863"/>
      <c r="BAO50" s="863"/>
      <c r="BAP50" s="863"/>
      <c r="BAQ50" s="863"/>
      <c r="BAR50" s="863"/>
      <c r="BAS50" s="863"/>
      <c r="BAT50" s="863"/>
      <c r="BAU50" s="863"/>
      <c r="BAV50" s="863"/>
      <c r="BAW50" s="863"/>
      <c r="BAX50" s="863"/>
      <c r="BAY50" s="863"/>
      <c r="BAZ50" s="863"/>
      <c r="BBA50" s="863"/>
      <c r="BBB50" s="863"/>
      <c r="BBC50" s="863"/>
      <c r="BBD50" s="863"/>
      <c r="BBE50" s="883"/>
      <c r="BBF50" s="883"/>
      <c r="BBG50" s="883"/>
      <c r="BBH50" s="883"/>
      <c r="BBI50" s="883"/>
      <c r="BBJ50" s="883"/>
      <c r="BBK50" s="883"/>
      <c r="BBL50" s="883"/>
      <c r="BBM50" s="883"/>
      <c r="BBN50" s="863"/>
      <c r="BBO50" s="863"/>
      <c r="BBP50" s="863"/>
      <c r="BBQ50" s="863"/>
      <c r="BBR50" s="863"/>
      <c r="BBS50" s="863"/>
      <c r="BBT50" s="863"/>
      <c r="BBU50" s="863"/>
      <c r="BBV50" s="863"/>
      <c r="BBW50" s="863"/>
      <c r="BBX50" s="863"/>
      <c r="BBY50" s="863"/>
      <c r="BBZ50" s="863"/>
      <c r="BCA50" s="863"/>
      <c r="BCB50" s="863"/>
      <c r="BCC50" s="863"/>
      <c r="BCD50" s="863"/>
      <c r="BCE50" s="863"/>
      <c r="BCF50" s="863"/>
      <c r="BCG50" s="863"/>
      <c r="BCH50" s="863"/>
      <c r="BCI50" s="863"/>
      <c r="BCJ50" s="863"/>
      <c r="BCK50" s="883"/>
      <c r="BCL50" s="883"/>
      <c r="BCM50" s="883"/>
      <c r="BCN50" s="883"/>
      <c r="BCO50" s="883"/>
      <c r="BCP50" s="883"/>
      <c r="BCQ50" s="883"/>
      <c r="BCR50" s="883"/>
      <c r="BCS50" s="883"/>
      <c r="BCT50" s="863"/>
      <c r="BCU50" s="863"/>
      <c r="BCV50" s="863"/>
      <c r="BCW50" s="863"/>
      <c r="BCX50" s="863"/>
      <c r="BCY50" s="863"/>
      <c r="BCZ50" s="863"/>
      <c r="BDA50" s="863"/>
      <c r="BDB50" s="863"/>
      <c r="BDC50" s="863"/>
      <c r="BDD50" s="863"/>
      <c r="BDE50" s="863"/>
      <c r="BDF50" s="863"/>
      <c r="BDG50" s="863"/>
      <c r="BDH50" s="863"/>
      <c r="BDI50" s="863"/>
      <c r="BDJ50" s="863"/>
      <c r="BDK50" s="863"/>
      <c r="BDL50" s="863"/>
      <c r="BDM50" s="863"/>
      <c r="BDN50" s="863"/>
      <c r="BDO50" s="863"/>
      <c r="BDP50" s="863"/>
      <c r="BDQ50" s="883"/>
      <c r="BDR50" s="883"/>
      <c r="BDS50" s="883"/>
      <c r="BDT50" s="883"/>
      <c r="BDU50" s="883"/>
      <c r="BDV50" s="883"/>
      <c r="BDW50" s="883"/>
      <c r="BDX50" s="883"/>
      <c r="BDY50" s="883"/>
      <c r="BDZ50" s="863"/>
      <c r="BEA50" s="863"/>
      <c r="BEB50" s="863"/>
      <c r="BEC50" s="863"/>
      <c r="BED50" s="863"/>
      <c r="BEE50" s="863"/>
      <c r="BEF50" s="863"/>
      <c r="BEG50" s="863"/>
      <c r="BEH50" s="863"/>
      <c r="BEI50" s="863"/>
      <c r="BEJ50" s="863"/>
      <c r="BEK50" s="863"/>
      <c r="BEL50" s="863"/>
      <c r="BEM50" s="863"/>
      <c r="BEN50" s="863"/>
      <c r="BEO50" s="863"/>
      <c r="BEP50" s="863"/>
      <c r="BEQ50" s="863"/>
      <c r="BER50" s="863"/>
      <c r="BES50" s="863"/>
      <c r="BET50" s="863"/>
      <c r="BEU50" s="863"/>
      <c r="BEV50" s="863"/>
      <c r="BEW50" s="883"/>
      <c r="BEX50" s="883"/>
      <c r="BEY50" s="883"/>
      <c r="BEZ50" s="883"/>
      <c r="BFA50" s="883"/>
      <c r="BFB50" s="883"/>
      <c r="BFC50" s="883"/>
      <c r="BFD50" s="883"/>
      <c r="BFE50" s="883"/>
      <c r="BFF50" s="863"/>
      <c r="BFG50" s="863"/>
      <c r="BFH50" s="863"/>
      <c r="BFI50" s="863"/>
      <c r="BFJ50" s="863"/>
      <c r="BFK50" s="863"/>
      <c r="BFL50" s="863"/>
      <c r="BFM50" s="863"/>
      <c r="BFN50" s="863"/>
      <c r="BFO50" s="863"/>
      <c r="BFP50" s="863"/>
      <c r="BFQ50" s="863"/>
      <c r="BFR50" s="863"/>
      <c r="BFS50" s="863"/>
      <c r="BFT50" s="863"/>
      <c r="BFU50" s="863"/>
      <c r="BFV50" s="863"/>
      <c r="BFW50" s="863"/>
      <c r="BFX50" s="863"/>
      <c r="BFY50" s="863"/>
      <c r="BFZ50" s="863"/>
      <c r="BGA50" s="863"/>
      <c r="BGB50" s="863"/>
      <c r="BGC50" s="883"/>
      <c r="BGD50" s="883"/>
      <c r="BGE50" s="883"/>
      <c r="BGF50" s="883"/>
      <c r="BGG50" s="883"/>
      <c r="BGH50" s="883"/>
      <c r="BGI50" s="883"/>
      <c r="BGJ50" s="883"/>
      <c r="BGK50" s="883"/>
      <c r="BGL50" s="863"/>
      <c r="BGM50" s="863"/>
      <c r="BGN50" s="863"/>
      <c r="BGO50" s="863"/>
      <c r="BGP50" s="863"/>
      <c r="BGQ50" s="863"/>
      <c r="BGR50" s="863"/>
      <c r="BGS50" s="863"/>
      <c r="BGT50" s="863"/>
      <c r="BGU50" s="863"/>
      <c r="BGV50" s="863"/>
      <c r="BGW50" s="863"/>
      <c r="BGX50" s="863"/>
      <c r="BGY50" s="863"/>
      <c r="BGZ50" s="863"/>
      <c r="BHA50" s="863"/>
      <c r="BHB50" s="863"/>
      <c r="BHC50" s="863"/>
      <c r="BHD50" s="863"/>
      <c r="BHE50" s="863"/>
      <c r="BHF50" s="863"/>
      <c r="BHG50" s="863"/>
      <c r="BHH50" s="863"/>
      <c r="BHI50" s="883"/>
      <c r="BHJ50" s="883"/>
      <c r="BHK50" s="883"/>
      <c r="BHL50" s="883"/>
      <c r="BHM50" s="883"/>
      <c r="BHN50" s="883"/>
      <c r="BHO50" s="883"/>
      <c r="BHP50" s="883"/>
      <c r="BHQ50" s="883"/>
      <c r="BHR50" s="863"/>
      <c r="BHS50" s="863"/>
      <c r="BHT50" s="863"/>
      <c r="BHU50" s="863"/>
      <c r="BHV50" s="863"/>
      <c r="BHW50" s="863"/>
      <c r="BHX50" s="863"/>
      <c r="BHY50" s="863"/>
      <c r="BHZ50" s="863"/>
      <c r="BIA50" s="863"/>
      <c r="BIB50" s="863"/>
      <c r="BIC50" s="863"/>
      <c r="BID50" s="863"/>
      <c r="BIE50" s="863"/>
      <c r="BIF50" s="863"/>
      <c r="BIG50" s="863"/>
      <c r="BIH50" s="863"/>
      <c r="BII50" s="863"/>
      <c r="BIJ50" s="863"/>
      <c r="BIK50" s="863"/>
      <c r="BIL50" s="863"/>
      <c r="BIM50" s="863"/>
      <c r="BIN50" s="863"/>
      <c r="BIO50" s="883"/>
      <c r="BIP50" s="883"/>
      <c r="BIQ50" s="883"/>
      <c r="BIR50" s="883"/>
      <c r="BIS50" s="883"/>
      <c r="BIT50" s="883"/>
      <c r="BIU50" s="883"/>
      <c r="BIV50" s="883"/>
      <c r="BIW50" s="883"/>
      <c r="BIX50" s="863"/>
      <c r="BIY50" s="863"/>
      <c r="BIZ50" s="863"/>
      <c r="BJA50" s="863"/>
      <c r="BJB50" s="863"/>
      <c r="BJC50" s="863"/>
      <c r="BJD50" s="863"/>
      <c r="BJE50" s="863"/>
      <c r="BJF50" s="863"/>
      <c r="BJG50" s="863"/>
      <c r="BJH50" s="863"/>
      <c r="BJI50" s="863"/>
      <c r="BJJ50" s="863"/>
      <c r="BJK50" s="863"/>
      <c r="BJL50" s="863"/>
      <c r="BJM50" s="863"/>
      <c r="BJN50" s="863"/>
      <c r="BJO50" s="863"/>
      <c r="BJP50" s="863"/>
      <c r="BJQ50" s="863"/>
      <c r="BJR50" s="863"/>
      <c r="BJS50" s="863"/>
      <c r="BJT50" s="863"/>
      <c r="BJU50" s="883"/>
      <c r="BJV50" s="883"/>
      <c r="BJW50" s="883"/>
      <c r="BJX50" s="883"/>
      <c r="BJY50" s="883"/>
      <c r="BJZ50" s="883"/>
      <c r="BKA50" s="883"/>
      <c r="BKB50" s="883"/>
      <c r="BKC50" s="883"/>
      <c r="BKD50" s="863"/>
      <c r="BKE50" s="863"/>
      <c r="BKF50" s="863"/>
      <c r="BKG50" s="863"/>
      <c r="BKH50" s="863"/>
      <c r="BKI50" s="863"/>
      <c r="BKJ50" s="863"/>
      <c r="BKK50" s="863"/>
      <c r="BKL50" s="863"/>
      <c r="BKM50" s="863"/>
      <c r="BKN50" s="863"/>
      <c r="BKO50" s="863"/>
      <c r="BKP50" s="863"/>
      <c r="BKQ50" s="863"/>
      <c r="BKR50" s="863"/>
      <c r="BKS50" s="863"/>
      <c r="BKT50" s="863"/>
      <c r="BKU50" s="863"/>
      <c r="BKV50" s="863"/>
      <c r="BKW50" s="863"/>
      <c r="BKX50" s="863"/>
      <c r="BKY50" s="863"/>
      <c r="BKZ50" s="863"/>
      <c r="BLA50" s="883"/>
      <c r="BLB50" s="883"/>
      <c r="BLC50" s="883"/>
      <c r="BLD50" s="883"/>
      <c r="BLE50" s="883"/>
      <c r="BLF50" s="883"/>
      <c r="BLG50" s="883"/>
      <c r="BLH50" s="883"/>
      <c r="BLI50" s="883"/>
      <c r="BLJ50" s="863"/>
      <c r="BLK50" s="863"/>
      <c r="BLL50" s="863"/>
      <c r="BLM50" s="863"/>
      <c r="BLN50" s="863"/>
      <c r="BLO50" s="863"/>
      <c r="BLP50" s="863"/>
      <c r="BLQ50" s="863"/>
      <c r="BLR50" s="863"/>
      <c r="BLS50" s="863"/>
      <c r="BLT50" s="863"/>
      <c r="BLU50" s="863"/>
      <c r="BLV50" s="863"/>
      <c r="BLW50" s="863"/>
      <c r="BLX50" s="863"/>
      <c r="BLY50" s="863"/>
      <c r="BLZ50" s="863"/>
      <c r="BMA50" s="863"/>
      <c r="BMB50" s="863"/>
      <c r="BMC50" s="863"/>
      <c r="BMD50" s="863"/>
      <c r="BME50" s="863"/>
      <c r="BMF50" s="863"/>
      <c r="BMG50" s="883"/>
      <c r="BMH50" s="883"/>
      <c r="BMI50" s="883"/>
      <c r="BMJ50" s="883"/>
      <c r="BMK50" s="883"/>
      <c r="BML50" s="883"/>
      <c r="BMM50" s="883"/>
      <c r="BMN50" s="883"/>
      <c r="BMO50" s="883"/>
      <c r="BMP50" s="863"/>
      <c r="BMQ50" s="863"/>
      <c r="BMR50" s="863"/>
      <c r="BMS50" s="863"/>
      <c r="BMT50" s="863"/>
      <c r="BMU50" s="863"/>
      <c r="BMV50" s="863"/>
      <c r="BMW50" s="863"/>
      <c r="BMX50" s="863"/>
      <c r="BMY50" s="863"/>
      <c r="BMZ50" s="863"/>
      <c r="BNA50" s="863"/>
      <c r="BNB50" s="863"/>
      <c r="BNC50" s="863"/>
      <c r="BND50" s="863"/>
      <c r="BNE50" s="863"/>
      <c r="BNF50" s="863"/>
      <c r="BNG50" s="863"/>
      <c r="BNH50" s="863"/>
      <c r="BNI50" s="863"/>
      <c r="BNJ50" s="863"/>
      <c r="BNK50" s="863"/>
      <c r="BNL50" s="863"/>
      <c r="BNM50" s="883"/>
      <c r="BNN50" s="883"/>
      <c r="BNO50" s="883"/>
      <c r="BNP50" s="883"/>
      <c r="BNQ50" s="883"/>
      <c r="BNR50" s="883"/>
      <c r="BNS50" s="883"/>
      <c r="BNT50" s="883"/>
      <c r="BNU50" s="883"/>
      <c r="BNV50" s="863"/>
      <c r="BNW50" s="863"/>
      <c r="BNX50" s="863"/>
      <c r="BNY50" s="863"/>
      <c r="BNZ50" s="863"/>
      <c r="BOA50" s="863"/>
      <c r="BOB50" s="863"/>
      <c r="BOC50" s="863"/>
      <c r="BOD50" s="863"/>
      <c r="BOE50" s="863"/>
      <c r="BOF50" s="863"/>
      <c r="BOG50" s="863"/>
      <c r="BOH50" s="863"/>
      <c r="BOI50" s="863"/>
      <c r="BOJ50" s="863"/>
      <c r="BOK50" s="863"/>
      <c r="BOL50" s="863"/>
      <c r="BOM50" s="863"/>
      <c r="BON50" s="863"/>
      <c r="BOO50" s="863"/>
      <c r="BOP50" s="863"/>
      <c r="BOQ50" s="863"/>
      <c r="BOR50" s="863"/>
      <c r="BOS50" s="883"/>
      <c r="BOT50" s="883"/>
      <c r="BOU50" s="883"/>
      <c r="BOV50" s="883"/>
      <c r="BOW50" s="883"/>
      <c r="BOX50" s="883"/>
      <c r="BOY50" s="883"/>
      <c r="BOZ50" s="883"/>
      <c r="BPA50" s="883"/>
      <c r="BPB50" s="863"/>
      <c r="BPC50" s="863"/>
      <c r="BPD50" s="863"/>
      <c r="BPE50" s="863"/>
      <c r="BPF50" s="863"/>
      <c r="BPG50" s="863"/>
      <c r="BPH50" s="863"/>
      <c r="BPI50" s="863"/>
      <c r="BPJ50" s="863"/>
      <c r="BPK50" s="863"/>
      <c r="BPL50" s="863"/>
      <c r="BPM50" s="863"/>
      <c r="BPN50" s="863"/>
      <c r="BPO50" s="863"/>
      <c r="BPP50" s="863"/>
      <c r="BPQ50" s="863"/>
      <c r="BPR50" s="863"/>
      <c r="BPS50" s="863"/>
      <c r="BPT50" s="863"/>
      <c r="BPU50" s="863"/>
      <c r="BPV50" s="863"/>
      <c r="BPW50" s="863"/>
      <c r="BPX50" s="863"/>
      <c r="BPY50" s="883"/>
      <c r="BPZ50" s="883"/>
      <c r="BQA50" s="883"/>
      <c r="BQB50" s="883"/>
      <c r="BQC50" s="883"/>
      <c r="BQD50" s="883"/>
      <c r="BQE50" s="883"/>
      <c r="BQF50" s="883"/>
      <c r="BQG50" s="883"/>
      <c r="BQH50" s="863"/>
      <c r="BQI50" s="863"/>
      <c r="BQJ50" s="863"/>
      <c r="BQK50" s="863"/>
      <c r="BQL50" s="863"/>
      <c r="BQM50" s="863"/>
      <c r="BQN50" s="863"/>
      <c r="BQO50" s="863"/>
      <c r="BQP50" s="863"/>
      <c r="BQQ50" s="863"/>
      <c r="BQR50" s="863"/>
      <c r="BQS50" s="863"/>
      <c r="BQT50" s="863"/>
      <c r="BQU50" s="863"/>
      <c r="BQV50" s="863"/>
      <c r="BQW50" s="863"/>
      <c r="BQX50" s="863"/>
      <c r="BQY50" s="863"/>
      <c r="BQZ50" s="863"/>
      <c r="BRA50" s="863"/>
      <c r="BRB50" s="863"/>
      <c r="BRC50" s="863"/>
      <c r="BRD50" s="863"/>
      <c r="BRE50" s="883"/>
      <c r="BRF50" s="883"/>
      <c r="BRG50" s="883"/>
      <c r="BRH50" s="883"/>
      <c r="BRI50" s="883"/>
      <c r="BRJ50" s="883"/>
      <c r="BRK50" s="883"/>
      <c r="BRL50" s="883"/>
      <c r="BRM50" s="883"/>
      <c r="BRN50" s="863"/>
      <c r="BRO50" s="863"/>
      <c r="BRP50" s="863"/>
      <c r="BRQ50" s="863"/>
      <c r="BRR50" s="863"/>
      <c r="BRS50" s="863"/>
      <c r="BRT50" s="863"/>
      <c r="BRU50" s="863"/>
      <c r="BRV50" s="863"/>
      <c r="BRW50" s="863"/>
      <c r="BRX50" s="863"/>
      <c r="BRY50" s="863"/>
      <c r="BRZ50" s="863"/>
      <c r="BSA50" s="863"/>
      <c r="BSB50" s="863"/>
      <c r="BSC50" s="863"/>
      <c r="BSD50" s="863"/>
      <c r="BSE50" s="863"/>
      <c r="BSF50" s="863"/>
      <c r="BSG50" s="863"/>
      <c r="BSH50" s="863"/>
      <c r="BSI50" s="863"/>
      <c r="BSJ50" s="863"/>
      <c r="BSK50" s="883"/>
      <c r="BSL50" s="883"/>
      <c r="BSM50" s="883"/>
      <c r="BSN50" s="883"/>
      <c r="BSO50" s="883"/>
      <c r="BSP50" s="883"/>
      <c r="BSQ50" s="883"/>
      <c r="BSR50" s="883"/>
      <c r="BSS50" s="883"/>
      <c r="BST50" s="863"/>
      <c r="BSU50" s="863"/>
      <c r="BSV50" s="863"/>
      <c r="BSW50" s="863"/>
      <c r="BSX50" s="863"/>
      <c r="BSY50" s="863"/>
      <c r="BSZ50" s="863"/>
      <c r="BTA50" s="863"/>
      <c r="BTB50" s="863"/>
      <c r="BTC50" s="863"/>
      <c r="BTD50" s="863"/>
      <c r="BTE50" s="863"/>
      <c r="BTF50" s="863"/>
      <c r="BTG50" s="863"/>
      <c r="BTH50" s="863"/>
      <c r="BTI50" s="863"/>
      <c r="BTJ50" s="863"/>
      <c r="BTK50" s="863"/>
      <c r="BTL50" s="863"/>
      <c r="BTM50" s="863"/>
      <c r="BTN50" s="863"/>
      <c r="BTO50" s="863"/>
      <c r="BTP50" s="863"/>
      <c r="BTQ50" s="883"/>
      <c r="BTR50" s="883"/>
      <c r="BTS50" s="883"/>
      <c r="BTT50" s="883"/>
      <c r="BTU50" s="883"/>
      <c r="BTV50" s="883"/>
      <c r="BTW50" s="883"/>
      <c r="BTX50" s="883"/>
      <c r="BTY50" s="883"/>
      <c r="BTZ50" s="863"/>
      <c r="BUA50" s="863"/>
      <c r="BUB50" s="863"/>
      <c r="BUC50" s="863"/>
      <c r="BUD50" s="863"/>
      <c r="BUE50" s="863"/>
      <c r="BUF50" s="863"/>
      <c r="BUG50" s="863"/>
      <c r="BUH50" s="863"/>
      <c r="BUI50" s="863"/>
      <c r="BUJ50" s="863"/>
      <c r="BUK50" s="863"/>
      <c r="BUL50" s="863"/>
      <c r="BUM50" s="863"/>
      <c r="BUN50" s="863"/>
      <c r="BUO50" s="863"/>
      <c r="BUP50" s="863"/>
      <c r="BUQ50" s="863"/>
      <c r="BUR50" s="863"/>
      <c r="BUS50" s="863"/>
      <c r="BUT50" s="863"/>
      <c r="BUU50" s="863"/>
      <c r="BUV50" s="863"/>
      <c r="BUW50" s="883"/>
      <c r="BUX50" s="883"/>
      <c r="BUY50" s="883"/>
      <c r="BUZ50" s="883"/>
      <c r="BVA50" s="883"/>
      <c r="BVB50" s="883"/>
      <c r="BVC50" s="883"/>
      <c r="BVD50" s="883"/>
      <c r="BVE50" s="883"/>
      <c r="BVF50" s="863"/>
      <c r="BVG50" s="863"/>
      <c r="BVH50" s="863"/>
      <c r="BVI50" s="863"/>
      <c r="BVJ50" s="863"/>
      <c r="BVK50" s="863"/>
      <c r="BVL50" s="863"/>
      <c r="BVM50" s="863"/>
      <c r="BVN50" s="863"/>
      <c r="BVO50" s="863"/>
      <c r="BVP50" s="863"/>
      <c r="BVQ50" s="863"/>
      <c r="BVR50" s="863"/>
      <c r="BVS50" s="863"/>
      <c r="BVT50" s="863"/>
      <c r="BVU50" s="863"/>
      <c r="BVV50" s="863"/>
      <c r="BVW50" s="863"/>
      <c r="BVX50" s="863"/>
      <c r="BVY50" s="863"/>
      <c r="BVZ50" s="863"/>
      <c r="BWA50" s="863"/>
      <c r="BWB50" s="863"/>
      <c r="BWC50" s="883"/>
      <c r="BWD50" s="883"/>
      <c r="BWE50" s="883"/>
      <c r="BWF50" s="883"/>
      <c r="BWG50" s="883"/>
      <c r="BWH50" s="883"/>
      <c r="BWI50" s="883"/>
      <c r="BWJ50" s="883"/>
      <c r="BWK50" s="883"/>
      <c r="BWL50" s="863"/>
      <c r="BWM50" s="863"/>
      <c r="BWN50" s="863"/>
      <c r="BWO50" s="863"/>
      <c r="BWP50" s="863"/>
      <c r="BWQ50" s="863"/>
      <c r="BWR50" s="863"/>
      <c r="BWS50" s="863"/>
      <c r="BWT50" s="863"/>
      <c r="BWU50" s="863"/>
      <c r="BWV50" s="863"/>
      <c r="BWW50" s="863"/>
      <c r="BWX50" s="863"/>
      <c r="BWY50" s="863"/>
      <c r="BWZ50" s="863"/>
      <c r="BXA50" s="863"/>
      <c r="BXB50" s="863"/>
      <c r="BXC50" s="863"/>
      <c r="BXD50" s="863"/>
      <c r="BXE50" s="863"/>
      <c r="BXF50" s="863"/>
      <c r="BXG50" s="863"/>
      <c r="BXH50" s="863"/>
      <c r="BXI50" s="883"/>
      <c r="BXJ50" s="883"/>
      <c r="BXK50" s="883"/>
      <c r="BXL50" s="883"/>
      <c r="BXM50" s="883"/>
      <c r="BXN50" s="883"/>
      <c r="BXO50" s="883"/>
      <c r="BXP50" s="883"/>
      <c r="BXQ50" s="883"/>
      <c r="BXR50" s="863"/>
      <c r="BXS50" s="863"/>
      <c r="BXT50" s="863"/>
      <c r="BXU50" s="863"/>
      <c r="BXV50" s="863"/>
      <c r="BXW50" s="863"/>
      <c r="BXX50" s="863"/>
      <c r="BXY50" s="863"/>
      <c r="BXZ50" s="863"/>
      <c r="BYA50" s="863"/>
      <c r="BYB50" s="863"/>
      <c r="BYC50" s="863"/>
      <c r="BYD50" s="863"/>
      <c r="BYE50" s="863"/>
      <c r="BYF50" s="863"/>
      <c r="BYG50" s="863"/>
      <c r="BYH50" s="863"/>
      <c r="BYI50" s="863"/>
      <c r="BYJ50" s="863"/>
      <c r="BYK50" s="863"/>
      <c r="BYL50" s="863"/>
      <c r="BYM50" s="863"/>
      <c r="BYN50" s="863"/>
      <c r="BYO50" s="883"/>
      <c r="BYP50" s="883"/>
      <c r="BYQ50" s="883"/>
      <c r="BYR50" s="883"/>
      <c r="BYS50" s="883"/>
      <c r="BYT50" s="883"/>
      <c r="BYU50" s="883"/>
      <c r="BYV50" s="883"/>
      <c r="BYW50" s="883"/>
      <c r="BYX50" s="863"/>
      <c r="BYY50" s="863"/>
      <c r="BYZ50" s="863"/>
      <c r="BZA50" s="863"/>
      <c r="BZB50" s="863"/>
      <c r="BZC50" s="863"/>
      <c r="BZD50" s="863"/>
      <c r="BZE50" s="863"/>
      <c r="BZF50" s="863"/>
      <c r="BZG50" s="863"/>
      <c r="BZH50" s="863"/>
      <c r="BZI50" s="863"/>
      <c r="BZJ50" s="863"/>
      <c r="BZK50" s="863"/>
      <c r="BZL50" s="863"/>
      <c r="BZM50" s="863"/>
      <c r="BZN50" s="863"/>
      <c r="BZO50" s="863"/>
      <c r="BZP50" s="863"/>
      <c r="BZQ50" s="863"/>
      <c r="BZR50" s="863"/>
      <c r="BZS50" s="863"/>
      <c r="BZT50" s="863"/>
      <c r="BZU50" s="883"/>
      <c r="BZV50" s="883"/>
      <c r="BZW50" s="883"/>
      <c r="BZX50" s="883"/>
      <c r="BZY50" s="883"/>
      <c r="BZZ50" s="883"/>
      <c r="CAA50" s="883"/>
      <c r="CAB50" s="883"/>
      <c r="CAC50" s="883"/>
      <c r="CAD50" s="863"/>
      <c r="CAE50" s="863"/>
      <c r="CAF50" s="863"/>
      <c r="CAG50" s="863"/>
      <c r="CAH50" s="863"/>
      <c r="CAI50" s="863"/>
      <c r="CAJ50" s="863"/>
      <c r="CAK50" s="863"/>
      <c r="CAL50" s="863"/>
      <c r="CAM50" s="863"/>
      <c r="CAN50" s="863"/>
      <c r="CAO50" s="863"/>
      <c r="CAP50" s="863"/>
      <c r="CAQ50" s="863"/>
      <c r="CAR50" s="863"/>
      <c r="CAS50" s="863"/>
      <c r="CAT50" s="863"/>
      <c r="CAU50" s="863"/>
      <c r="CAV50" s="863"/>
      <c r="CAW50" s="863"/>
      <c r="CAX50" s="863"/>
      <c r="CAY50" s="863"/>
      <c r="CAZ50" s="863"/>
      <c r="CBA50" s="883"/>
      <c r="CBB50" s="883"/>
      <c r="CBC50" s="883"/>
      <c r="CBD50" s="883"/>
      <c r="CBE50" s="883"/>
      <c r="CBF50" s="883"/>
      <c r="CBG50" s="883"/>
      <c r="CBH50" s="883"/>
      <c r="CBI50" s="883"/>
      <c r="CBJ50" s="863"/>
      <c r="CBK50" s="863"/>
      <c r="CBL50" s="863"/>
      <c r="CBM50" s="863"/>
      <c r="CBN50" s="863"/>
      <c r="CBO50" s="863"/>
      <c r="CBP50" s="863"/>
      <c r="CBQ50" s="863"/>
      <c r="CBR50" s="863"/>
      <c r="CBS50" s="863"/>
      <c r="CBT50" s="863"/>
      <c r="CBU50" s="863"/>
      <c r="CBV50" s="863"/>
      <c r="CBW50" s="863"/>
      <c r="CBX50" s="863"/>
      <c r="CBY50" s="863"/>
      <c r="CBZ50" s="863"/>
      <c r="CCA50" s="863"/>
      <c r="CCB50" s="863"/>
      <c r="CCC50" s="863"/>
      <c r="CCD50" s="863"/>
      <c r="CCE50" s="863"/>
      <c r="CCF50" s="863"/>
      <c r="CCG50" s="883"/>
      <c r="CCH50" s="883"/>
      <c r="CCI50" s="883"/>
      <c r="CCJ50" s="883"/>
      <c r="CCK50" s="883"/>
      <c r="CCL50" s="883"/>
      <c r="CCM50" s="883"/>
      <c r="CCN50" s="883"/>
      <c r="CCO50" s="883"/>
      <c r="CCP50" s="863"/>
      <c r="CCQ50" s="863"/>
      <c r="CCR50" s="863"/>
      <c r="CCS50" s="863"/>
      <c r="CCT50" s="863"/>
      <c r="CCU50" s="863"/>
      <c r="CCV50" s="863"/>
      <c r="CCW50" s="863"/>
      <c r="CCX50" s="863"/>
      <c r="CCY50" s="863"/>
      <c r="CCZ50" s="863"/>
      <c r="CDA50" s="863"/>
      <c r="CDB50" s="863"/>
      <c r="CDC50" s="863"/>
      <c r="CDD50" s="863"/>
      <c r="CDE50" s="863"/>
      <c r="CDF50" s="863"/>
      <c r="CDG50" s="863"/>
      <c r="CDH50" s="863"/>
      <c r="CDI50" s="863"/>
      <c r="CDJ50" s="863"/>
      <c r="CDK50" s="863"/>
      <c r="CDL50" s="863"/>
      <c r="CDM50" s="883"/>
      <c r="CDN50" s="883"/>
      <c r="CDO50" s="883"/>
      <c r="CDP50" s="883"/>
      <c r="CDQ50" s="883"/>
      <c r="CDR50" s="883"/>
      <c r="CDS50" s="883"/>
      <c r="CDT50" s="883"/>
      <c r="CDU50" s="883"/>
      <c r="CDV50" s="863"/>
      <c r="CDW50" s="863"/>
      <c r="CDX50" s="863"/>
      <c r="CDY50" s="863"/>
      <c r="CDZ50" s="863"/>
      <c r="CEA50" s="863"/>
      <c r="CEB50" s="863"/>
      <c r="CEC50" s="863"/>
      <c r="CED50" s="863"/>
      <c r="CEE50" s="863"/>
      <c r="CEF50" s="863"/>
      <c r="CEG50" s="863"/>
      <c r="CEH50" s="863"/>
      <c r="CEI50" s="863"/>
      <c r="CEJ50" s="863"/>
      <c r="CEK50" s="863"/>
      <c r="CEL50" s="863"/>
      <c r="CEM50" s="863"/>
      <c r="CEN50" s="863"/>
      <c r="CEO50" s="863"/>
      <c r="CEP50" s="863"/>
      <c r="CEQ50" s="863"/>
      <c r="CER50" s="863"/>
      <c r="CES50" s="883"/>
      <c r="CET50" s="883"/>
      <c r="CEU50" s="883"/>
      <c r="CEV50" s="883"/>
      <c r="CEW50" s="883"/>
      <c r="CEX50" s="883"/>
      <c r="CEY50" s="883"/>
      <c r="CEZ50" s="883"/>
      <c r="CFA50" s="883"/>
      <c r="CFB50" s="863"/>
      <c r="CFC50" s="863"/>
      <c r="CFD50" s="863"/>
      <c r="CFE50" s="863"/>
      <c r="CFF50" s="863"/>
      <c r="CFG50" s="863"/>
      <c r="CFH50" s="863"/>
      <c r="CFI50" s="863"/>
      <c r="CFJ50" s="863"/>
      <c r="CFK50" s="863"/>
      <c r="CFL50" s="863"/>
      <c r="CFM50" s="863"/>
      <c r="CFN50" s="863"/>
      <c r="CFO50" s="863"/>
      <c r="CFP50" s="863"/>
      <c r="CFQ50" s="863"/>
      <c r="CFR50" s="863"/>
      <c r="CFS50" s="863"/>
      <c r="CFT50" s="863"/>
      <c r="CFU50" s="863"/>
      <c r="CFV50" s="863"/>
      <c r="CFW50" s="863"/>
      <c r="CFX50" s="863"/>
      <c r="CFY50" s="883"/>
      <c r="CFZ50" s="883"/>
      <c r="CGA50" s="883"/>
      <c r="CGB50" s="883"/>
      <c r="CGC50" s="883"/>
      <c r="CGD50" s="883"/>
      <c r="CGE50" s="883"/>
      <c r="CGF50" s="883"/>
      <c r="CGG50" s="883"/>
      <c r="CGH50" s="863"/>
      <c r="CGI50" s="863"/>
      <c r="CGJ50" s="863"/>
      <c r="CGK50" s="863"/>
      <c r="CGL50" s="863"/>
      <c r="CGM50" s="863"/>
      <c r="CGN50" s="863"/>
      <c r="CGO50" s="863"/>
      <c r="CGP50" s="863"/>
      <c r="CGQ50" s="863"/>
      <c r="CGR50" s="863"/>
      <c r="CGS50" s="863"/>
      <c r="CGT50" s="863"/>
      <c r="CGU50" s="863"/>
      <c r="CGV50" s="863"/>
      <c r="CGW50" s="863"/>
      <c r="CGX50" s="863"/>
      <c r="CGY50" s="863"/>
      <c r="CGZ50" s="863"/>
      <c r="CHA50" s="863"/>
      <c r="CHB50" s="863"/>
      <c r="CHC50" s="863"/>
      <c r="CHD50" s="863"/>
      <c r="CHE50" s="883"/>
      <c r="CHF50" s="883"/>
      <c r="CHG50" s="883"/>
      <c r="CHH50" s="883"/>
      <c r="CHI50" s="883"/>
      <c r="CHJ50" s="883"/>
      <c r="CHK50" s="883"/>
      <c r="CHL50" s="883"/>
      <c r="CHM50" s="883"/>
      <c r="CHN50" s="863"/>
      <c r="CHO50" s="863"/>
      <c r="CHP50" s="863"/>
      <c r="CHQ50" s="863"/>
      <c r="CHR50" s="863"/>
      <c r="CHS50" s="863"/>
      <c r="CHT50" s="863"/>
      <c r="CHU50" s="863"/>
      <c r="CHV50" s="863"/>
      <c r="CHW50" s="863"/>
      <c r="CHX50" s="863"/>
      <c r="CHY50" s="863"/>
      <c r="CHZ50" s="863"/>
      <c r="CIA50" s="863"/>
      <c r="CIB50" s="863"/>
      <c r="CIC50" s="863"/>
      <c r="CID50" s="863"/>
      <c r="CIE50" s="863"/>
      <c r="CIF50" s="863"/>
      <c r="CIG50" s="863"/>
      <c r="CIH50" s="863"/>
      <c r="CII50" s="863"/>
      <c r="CIJ50" s="863"/>
      <c r="CIK50" s="883"/>
      <c r="CIL50" s="883"/>
      <c r="CIM50" s="883"/>
      <c r="CIN50" s="883"/>
      <c r="CIO50" s="883"/>
      <c r="CIP50" s="883"/>
      <c r="CIQ50" s="883"/>
      <c r="CIR50" s="883"/>
      <c r="CIS50" s="883"/>
      <c r="CIT50" s="863"/>
      <c r="CIU50" s="863"/>
      <c r="CIV50" s="863"/>
      <c r="CIW50" s="863"/>
      <c r="CIX50" s="863"/>
      <c r="CIY50" s="863"/>
      <c r="CIZ50" s="863"/>
      <c r="CJA50" s="863"/>
      <c r="CJB50" s="863"/>
      <c r="CJC50" s="863"/>
      <c r="CJD50" s="863"/>
      <c r="CJE50" s="863"/>
      <c r="CJF50" s="863"/>
      <c r="CJG50" s="863"/>
      <c r="CJH50" s="863"/>
      <c r="CJI50" s="863"/>
      <c r="CJJ50" s="863"/>
      <c r="CJK50" s="863"/>
      <c r="CJL50" s="863"/>
      <c r="CJM50" s="863"/>
      <c r="CJN50" s="863"/>
      <c r="CJO50" s="863"/>
      <c r="CJP50" s="863"/>
      <c r="CJQ50" s="883"/>
      <c r="CJR50" s="883"/>
      <c r="CJS50" s="883"/>
      <c r="CJT50" s="883"/>
      <c r="CJU50" s="883"/>
      <c r="CJV50" s="883"/>
      <c r="CJW50" s="883"/>
      <c r="CJX50" s="883"/>
      <c r="CJY50" s="883"/>
      <c r="CJZ50" s="863"/>
      <c r="CKA50" s="863"/>
      <c r="CKB50" s="863"/>
      <c r="CKC50" s="863"/>
      <c r="CKD50" s="863"/>
      <c r="CKE50" s="863"/>
      <c r="CKF50" s="863"/>
      <c r="CKG50" s="863"/>
      <c r="CKH50" s="863"/>
      <c r="CKI50" s="863"/>
      <c r="CKJ50" s="863"/>
      <c r="CKK50" s="863"/>
      <c r="CKL50" s="863"/>
      <c r="CKM50" s="863"/>
      <c r="CKN50" s="863"/>
      <c r="CKO50" s="863"/>
      <c r="CKP50" s="863"/>
      <c r="CKQ50" s="863"/>
      <c r="CKR50" s="863"/>
      <c r="CKS50" s="863"/>
      <c r="CKT50" s="863"/>
      <c r="CKU50" s="863"/>
      <c r="CKV50" s="863"/>
      <c r="CKW50" s="883"/>
      <c r="CKX50" s="883"/>
      <c r="CKY50" s="883"/>
      <c r="CKZ50" s="883"/>
      <c r="CLA50" s="883"/>
      <c r="CLB50" s="883"/>
      <c r="CLC50" s="883"/>
      <c r="CLD50" s="883"/>
      <c r="CLE50" s="883"/>
      <c r="CLF50" s="863"/>
      <c r="CLG50" s="863"/>
      <c r="CLH50" s="863"/>
      <c r="CLI50" s="863"/>
      <c r="CLJ50" s="863"/>
      <c r="CLK50" s="863"/>
      <c r="CLL50" s="863"/>
      <c r="CLM50" s="863"/>
      <c r="CLN50" s="863"/>
      <c r="CLO50" s="863"/>
      <c r="CLP50" s="863"/>
      <c r="CLQ50" s="863"/>
      <c r="CLR50" s="863"/>
      <c r="CLS50" s="863"/>
      <c r="CLT50" s="863"/>
      <c r="CLU50" s="863"/>
      <c r="CLV50" s="863"/>
      <c r="CLW50" s="863"/>
      <c r="CLX50" s="863"/>
      <c r="CLY50" s="863"/>
      <c r="CLZ50" s="863"/>
      <c r="CMA50" s="863"/>
      <c r="CMB50" s="863"/>
      <c r="CMC50" s="883"/>
      <c r="CMD50" s="883"/>
      <c r="CME50" s="883"/>
      <c r="CMF50" s="883"/>
      <c r="CMG50" s="883"/>
      <c r="CMH50" s="883"/>
      <c r="CMI50" s="883"/>
      <c r="CMJ50" s="883"/>
      <c r="CMK50" s="883"/>
      <c r="CML50" s="863"/>
      <c r="CMM50" s="863"/>
      <c r="CMN50" s="863"/>
      <c r="CMO50" s="863"/>
      <c r="CMP50" s="863"/>
      <c r="CMQ50" s="863"/>
      <c r="CMR50" s="863"/>
      <c r="CMS50" s="863"/>
      <c r="CMT50" s="863"/>
      <c r="CMU50" s="863"/>
      <c r="CMV50" s="863"/>
      <c r="CMW50" s="863"/>
      <c r="CMX50" s="863"/>
      <c r="CMY50" s="863"/>
      <c r="CMZ50" s="863"/>
      <c r="CNA50" s="863"/>
      <c r="CNB50" s="863"/>
      <c r="CNC50" s="863"/>
      <c r="CND50" s="863"/>
      <c r="CNE50" s="863"/>
      <c r="CNF50" s="863"/>
      <c r="CNG50" s="863"/>
      <c r="CNH50" s="863"/>
      <c r="CNI50" s="883"/>
      <c r="CNJ50" s="883"/>
      <c r="CNK50" s="883"/>
      <c r="CNL50" s="883"/>
      <c r="CNM50" s="883"/>
      <c r="CNN50" s="883"/>
      <c r="CNO50" s="883"/>
      <c r="CNP50" s="883"/>
      <c r="CNQ50" s="883"/>
      <c r="CNR50" s="863"/>
      <c r="CNS50" s="863"/>
      <c r="CNT50" s="863"/>
      <c r="CNU50" s="863"/>
      <c r="CNV50" s="863"/>
      <c r="CNW50" s="863"/>
      <c r="CNX50" s="863"/>
      <c r="CNY50" s="863"/>
      <c r="CNZ50" s="863"/>
      <c r="COA50" s="863"/>
      <c r="COB50" s="863"/>
      <c r="COC50" s="863"/>
      <c r="COD50" s="863"/>
      <c r="COE50" s="863"/>
      <c r="COF50" s="863"/>
      <c r="COG50" s="863"/>
      <c r="COH50" s="863"/>
      <c r="COI50" s="863"/>
      <c r="COJ50" s="863"/>
      <c r="COK50" s="863"/>
      <c r="COL50" s="863"/>
      <c r="COM50" s="863"/>
      <c r="CON50" s="863"/>
      <c r="COO50" s="883"/>
      <c r="COP50" s="883"/>
      <c r="COQ50" s="883"/>
      <c r="COR50" s="883"/>
      <c r="COS50" s="883"/>
      <c r="COT50" s="883"/>
      <c r="COU50" s="883"/>
      <c r="COV50" s="883"/>
      <c r="COW50" s="883"/>
      <c r="COX50" s="863"/>
      <c r="COY50" s="863"/>
      <c r="COZ50" s="863"/>
      <c r="CPA50" s="863"/>
      <c r="CPB50" s="863"/>
      <c r="CPC50" s="863"/>
      <c r="CPD50" s="863"/>
      <c r="CPE50" s="863"/>
      <c r="CPF50" s="863"/>
      <c r="CPG50" s="863"/>
      <c r="CPH50" s="863"/>
      <c r="CPI50" s="863"/>
      <c r="CPJ50" s="863"/>
      <c r="CPK50" s="863"/>
      <c r="CPL50" s="863"/>
      <c r="CPM50" s="863"/>
      <c r="CPN50" s="863"/>
      <c r="CPO50" s="863"/>
      <c r="CPP50" s="863"/>
      <c r="CPQ50" s="863"/>
      <c r="CPR50" s="863"/>
      <c r="CPS50" s="863"/>
      <c r="CPT50" s="863"/>
      <c r="CPU50" s="883"/>
      <c r="CPV50" s="883"/>
      <c r="CPW50" s="883"/>
      <c r="CPX50" s="883"/>
      <c r="CPY50" s="883"/>
      <c r="CPZ50" s="883"/>
      <c r="CQA50" s="883"/>
      <c r="CQB50" s="883"/>
      <c r="CQC50" s="883"/>
      <c r="CQD50" s="863"/>
      <c r="CQE50" s="863"/>
      <c r="CQF50" s="863"/>
      <c r="CQG50" s="863"/>
      <c r="CQH50" s="863"/>
      <c r="CQI50" s="863"/>
      <c r="CQJ50" s="863"/>
      <c r="CQK50" s="863"/>
      <c r="CQL50" s="863"/>
      <c r="CQM50" s="863"/>
      <c r="CQN50" s="863"/>
      <c r="CQO50" s="863"/>
      <c r="CQP50" s="863"/>
      <c r="CQQ50" s="863"/>
      <c r="CQR50" s="863"/>
      <c r="CQS50" s="863"/>
      <c r="CQT50" s="863"/>
      <c r="CQU50" s="863"/>
      <c r="CQV50" s="863"/>
      <c r="CQW50" s="863"/>
      <c r="CQX50" s="863"/>
      <c r="CQY50" s="863"/>
      <c r="CQZ50" s="863"/>
      <c r="CRA50" s="883"/>
      <c r="CRB50" s="883"/>
      <c r="CRC50" s="883"/>
      <c r="CRD50" s="883"/>
      <c r="CRE50" s="883"/>
      <c r="CRF50" s="883"/>
      <c r="CRG50" s="883"/>
      <c r="CRH50" s="883"/>
      <c r="CRI50" s="883"/>
      <c r="CRJ50" s="863"/>
      <c r="CRK50" s="863"/>
      <c r="CRL50" s="863"/>
      <c r="CRM50" s="863"/>
      <c r="CRN50" s="863"/>
      <c r="CRO50" s="863"/>
      <c r="CRP50" s="863"/>
      <c r="CRQ50" s="863"/>
      <c r="CRR50" s="863"/>
      <c r="CRS50" s="863"/>
      <c r="CRT50" s="863"/>
      <c r="CRU50" s="863"/>
      <c r="CRV50" s="863"/>
      <c r="CRW50" s="863"/>
      <c r="CRX50" s="863"/>
      <c r="CRY50" s="863"/>
      <c r="CRZ50" s="863"/>
      <c r="CSA50" s="863"/>
      <c r="CSB50" s="863"/>
      <c r="CSC50" s="863"/>
      <c r="CSD50" s="863"/>
      <c r="CSE50" s="863"/>
      <c r="CSF50" s="863"/>
      <c r="CSG50" s="883"/>
      <c r="CSH50" s="883"/>
      <c r="CSI50" s="883"/>
      <c r="CSJ50" s="883"/>
      <c r="CSK50" s="883"/>
      <c r="CSL50" s="883"/>
      <c r="CSM50" s="883"/>
      <c r="CSN50" s="883"/>
      <c r="CSO50" s="883"/>
      <c r="CSP50" s="863"/>
      <c r="CSQ50" s="863"/>
      <c r="CSR50" s="863"/>
      <c r="CSS50" s="863"/>
      <c r="CST50" s="863"/>
      <c r="CSU50" s="863"/>
      <c r="CSV50" s="863"/>
      <c r="CSW50" s="863"/>
      <c r="CSX50" s="863"/>
      <c r="CSY50" s="863"/>
      <c r="CSZ50" s="863"/>
      <c r="CTA50" s="863"/>
      <c r="CTB50" s="863"/>
      <c r="CTC50" s="863"/>
      <c r="CTD50" s="863"/>
      <c r="CTE50" s="863"/>
      <c r="CTF50" s="863"/>
      <c r="CTG50" s="863"/>
      <c r="CTH50" s="863"/>
      <c r="CTI50" s="863"/>
      <c r="CTJ50" s="863"/>
      <c r="CTK50" s="863"/>
      <c r="CTL50" s="863"/>
      <c r="CTM50" s="883"/>
      <c r="CTN50" s="883"/>
      <c r="CTO50" s="883"/>
      <c r="CTP50" s="883"/>
      <c r="CTQ50" s="883"/>
      <c r="CTR50" s="883"/>
      <c r="CTS50" s="883"/>
      <c r="CTT50" s="883"/>
      <c r="CTU50" s="883"/>
      <c r="CTV50" s="863"/>
      <c r="CTW50" s="863"/>
      <c r="CTX50" s="863"/>
      <c r="CTY50" s="863"/>
      <c r="CTZ50" s="863"/>
      <c r="CUA50" s="863"/>
      <c r="CUB50" s="863"/>
      <c r="CUC50" s="863"/>
      <c r="CUD50" s="863"/>
      <c r="CUE50" s="863"/>
      <c r="CUF50" s="863"/>
      <c r="CUG50" s="863"/>
      <c r="CUH50" s="863"/>
      <c r="CUI50" s="863"/>
      <c r="CUJ50" s="863"/>
      <c r="CUK50" s="863"/>
      <c r="CUL50" s="863"/>
      <c r="CUM50" s="863"/>
      <c r="CUN50" s="863"/>
      <c r="CUO50" s="863"/>
      <c r="CUP50" s="863"/>
      <c r="CUQ50" s="863"/>
      <c r="CUR50" s="863"/>
      <c r="CUS50" s="883"/>
      <c r="CUT50" s="883"/>
      <c r="CUU50" s="883"/>
      <c r="CUV50" s="883"/>
      <c r="CUW50" s="883"/>
      <c r="CUX50" s="883"/>
      <c r="CUY50" s="883"/>
      <c r="CUZ50" s="883"/>
      <c r="CVA50" s="883"/>
      <c r="CVB50" s="863"/>
      <c r="CVC50" s="863"/>
      <c r="CVD50" s="863"/>
      <c r="CVE50" s="863"/>
      <c r="CVF50" s="863"/>
      <c r="CVG50" s="863"/>
      <c r="CVH50" s="863"/>
      <c r="CVI50" s="863"/>
      <c r="CVJ50" s="863"/>
      <c r="CVK50" s="863"/>
      <c r="CVL50" s="863"/>
      <c r="CVM50" s="863"/>
      <c r="CVN50" s="863"/>
      <c r="CVO50" s="863"/>
      <c r="CVP50" s="863"/>
      <c r="CVQ50" s="863"/>
      <c r="CVR50" s="863"/>
      <c r="CVS50" s="863"/>
      <c r="CVT50" s="863"/>
      <c r="CVU50" s="863"/>
      <c r="CVV50" s="863"/>
      <c r="CVW50" s="863"/>
      <c r="CVX50" s="863"/>
      <c r="CVY50" s="883"/>
      <c r="CVZ50" s="883"/>
      <c r="CWA50" s="883"/>
      <c r="CWB50" s="883"/>
      <c r="CWC50" s="883"/>
      <c r="CWD50" s="883"/>
      <c r="CWE50" s="883"/>
      <c r="CWF50" s="883"/>
      <c r="CWG50" s="883"/>
      <c r="CWH50" s="863"/>
      <c r="CWI50" s="863"/>
      <c r="CWJ50" s="863"/>
      <c r="CWK50" s="863"/>
      <c r="CWL50" s="863"/>
      <c r="CWM50" s="863"/>
      <c r="CWN50" s="863"/>
      <c r="CWO50" s="863"/>
      <c r="CWP50" s="863"/>
      <c r="CWQ50" s="863"/>
      <c r="CWR50" s="863"/>
      <c r="CWS50" s="863"/>
      <c r="CWT50" s="863"/>
      <c r="CWU50" s="863"/>
      <c r="CWV50" s="863"/>
      <c r="CWW50" s="863"/>
      <c r="CWX50" s="863"/>
      <c r="CWY50" s="863"/>
      <c r="CWZ50" s="863"/>
      <c r="CXA50" s="863"/>
      <c r="CXB50" s="863"/>
      <c r="CXC50" s="863"/>
      <c r="CXD50" s="863"/>
      <c r="CXE50" s="883"/>
      <c r="CXF50" s="883"/>
      <c r="CXG50" s="883"/>
      <c r="CXH50" s="883"/>
      <c r="CXI50" s="883"/>
      <c r="CXJ50" s="883"/>
      <c r="CXK50" s="883"/>
      <c r="CXL50" s="883"/>
      <c r="CXM50" s="883"/>
      <c r="CXN50" s="863"/>
      <c r="CXO50" s="863"/>
      <c r="CXP50" s="863"/>
      <c r="CXQ50" s="863"/>
      <c r="CXR50" s="863"/>
      <c r="CXS50" s="863"/>
      <c r="CXT50" s="863"/>
      <c r="CXU50" s="863"/>
      <c r="CXV50" s="863"/>
      <c r="CXW50" s="863"/>
      <c r="CXX50" s="863"/>
      <c r="CXY50" s="863"/>
      <c r="CXZ50" s="863"/>
      <c r="CYA50" s="863"/>
      <c r="CYB50" s="863"/>
      <c r="CYC50" s="863"/>
      <c r="CYD50" s="863"/>
      <c r="CYE50" s="863"/>
      <c r="CYF50" s="863"/>
      <c r="CYG50" s="863"/>
      <c r="CYH50" s="863"/>
      <c r="CYI50" s="863"/>
      <c r="CYJ50" s="863"/>
      <c r="CYK50" s="883"/>
      <c r="CYL50" s="883"/>
      <c r="CYM50" s="883"/>
      <c r="CYN50" s="883"/>
      <c r="CYO50" s="883"/>
      <c r="CYP50" s="883"/>
      <c r="CYQ50" s="883"/>
      <c r="CYR50" s="883"/>
      <c r="CYS50" s="883"/>
      <c r="CYT50" s="863"/>
      <c r="CYU50" s="863"/>
      <c r="CYV50" s="863"/>
      <c r="CYW50" s="863"/>
      <c r="CYX50" s="863"/>
      <c r="CYY50" s="863"/>
      <c r="CYZ50" s="863"/>
      <c r="CZA50" s="863"/>
      <c r="CZB50" s="863"/>
      <c r="CZC50" s="863"/>
      <c r="CZD50" s="863"/>
      <c r="CZE50" s="863"/>
      <c r="CZF50" s="863"/>
      <c r="CZG50" s="863"/>
      <c r="CZH50" s="863"/>
      <c r="CZI50" s="863"/>
      <c r="CZJ50" s="863"/>
      <c r="CZK50" s="863"/>
      <c r="CZL50" s="863"/>
      <c r="CZM50" s="863"/>
      <c r="CZN50" s="863"/>
      <c r="CZO50" s="863"/>
      <c r="CZP50" s="863"/>
      <c r="CZQ50" s="883"/>
      <c r="CZR50" s="883"/>
      <c r="CZS50" s="883"/>
      <c r="CZT50" s="883"/>
      <c r="CZU50" s="883"/>
      <c r="CZV50" s="883"/>
      <c r="CZW50" s="883"/>
      <c r="CZX50" s="883"/>
      <c r="CZY50" s="883"/>
      <c r="CZZ50" s="863"/>
      <c r="DAA50" s="863"/>
      <c r="DAB50" s="863"/>
      <c r="DAC50" s="863"/>
      <c r="DAD50" s="863"/>
      <c r="DAE50" s="863"/>
      <c r="DAF50" s="863"/>
      <c r="DAG50" s="863"/>
      <c r="DAH50" s="863"/>
      <c r="DAI50" s="863"/>
      <c r="DAJ50" s="863"/>
      <c r="DAK50" s="863"/>
      <c r="DAL50" s="863"/>
      <c r="DAM50" s="863"/>
      <c r="DAN50" s="863"/>
      <c r="DAO50" s="863"/>
      <c r="DAP50" s="863"/>
      <c r="DAQ50" s="863"/>
      <c r="DAR50" s="863"/>
      <c r="DAS50" s="863"/>
      <c r="DAT50" s="863"/>
      <c r="DAU50" s="863"/>
      <c r="DAV50" s="863"/>
      <c r="DAW50" s="883"/>
      <c r="DAX50" s="883"/>
      <c r="DAY50" s="883"/>
      <c r="DAZ50" s="883"/>
      <c r="DBA50" s="883"/>
      <c r="DBB50" s="883"/>
      <c r="DBC50" s="883"/>
      <c r="DBD50" s="883"/>
      <c r="DBE50" s="883"/>
      <c r="DBF50" s="863"/>
      <c r="DBG50" s="863"/>
      <c r="DBH50" s="863"/>
      <c r="DBI50" s="863"/>
      <c r="DBJ50" s="863"/>
      <c r="DBK50" s="863"/>
      <c r="DBL50" s="863"/>
      <c r="DBM50" s="863"/>
      <c r="DBN50" s="863"/>
      <c r="DBO50" s="863"/>
      <c r="DBP50" s="863"/>
      <c r="DBQ50" s="863"/>
      <c r="DBR50" s="863"/>
      <c r="DBS50" s="863"/>
      <c r="DBT50" s="863"/>
      <c r="DBU50" s="863"/>
      <c r="DBV50" s="863"/>
      <c r="DBW50" s="863"/>
      <c r="DBX50" s="863"/>
      <c r="DBY50" s="863"/>
      <c r="DBZ50" s="863"/>
      <c r="DCA50" s="863"/>
      <c r="DCB50" s="863"/>
      <c r="DCC50" s="883"/>
      <c r="DCD50" s="883"/>
      <c r="DCE50" s="883"/>
      <c r="DCF50" s="883"/>
      <c r="DCG50" s="883"/>
      <c r="DCH50" s="883"/>
      <c r="DCI50" s="883"/>
      <c r="DCJ50" s="883"/>
      <c r="DCK50" s="883"/>
      <c r="DCL50" s="863"/>
      <c r="DCM50" s="863"/>
      <c r="DCN50" s="863"/>
      <c r="DCO50" s="863"/>
      <c r="DCP50" s="863"/>
      <c r="DCQ50" s="863"/>
      <c r="DCR50" s="863"/>
      <c r="DCS50" s="863"/>
      <c r="DCT50" s="863"/>
      <c r="DCU50" s="863"/>
      <c r="DCV50" s="863"/>
      <c r="DCW50" s="863"/>
      <c r="DCX50" s="863"/>
      <c r="DCY50" s="863"/>
      <c r="DCZ50" s="863"/>
      <c r="DDA50" s="863"/>
      <c r="DDB50" s="863"/>
      <c r="DDC50" s="863"/>
      <c r="DDD50" s="863"/>
      <c r="DDE50" s="863"/>
      <c r="DDF50" s="863"/>
      <c r="DDG50" s="863"/>
      <c r="DDH50" s="863"/>
      <c r="DDI50" s="883"/>
      <c r="DDJ50" s="883"/>
      <c r="DDK50" s="883"/>
      <c r="DDL50" s="883"/>
      <c r="DDM50" s="883"/>
      <c r="DDN50" s="883"/>
      <c r="DDO50" s="883"/>
      <c r="DDP50" s="883"/>
      <c r="DDQ50" s="883"/>
      <c r="DDR50" s="863"/>
      <c r="DDS50" s="863"/>
      <c r="DDT50" s="863"/>
      <c r="DDU50" s="863"/>
      <c r="DDV50" s="863"/>
      <c r="DDW50" s="863"/>
      <c r="DDX50" s="863"/>
      <c r="DDY50" s="863"/>
      <c r="DDZ50" s="863"/>
      <c r="DEA50" s="863"/>
      <c r="DEB50" s="863"/>
      <c r="DEC50" s="863"/>
      <c r="DED50" s="863"/>
      <c r="DEE50" s="863"/>
      <c r="DEF50" s="863"/>
      <c r="DEG50" s="863"/>
      <c r="DEH50" s="863"/>
      <c r="DEI50" s="863"/>
      <c r="DEJ50" s="863"/>
      <c r="DEK50" s="863"/>
      <c r="DEL50" s="863"/>
      <c r="DEM50" s="863"/>
      <c r="DEN50" s="863"/>
      <c r="DEO50" s="883"/>
      <c r="DEP50" s="883"/>
      <c r="DEQ50" s="883"/>
      <c r="DER50" s="883"/>
      <c r="DES50" s="883"/>
      <c r="DET50" s="883"/>
      <c r="DEU50" s="883"/>
      <c r="DEV50" s="883"/>
      <c r="DEW50" s="883"/>
      <c r="DEX50" s="863"/>
      <c r="DEY50" s="863"/>
      <c r="DEZ50" s="863"/>
      <c r="DFA50" s="863"/>
      <c r="DFB50" s="863"/>
      <c r="DFC50" s="863"/>
      <c r="DFD50" s="863"/>
      <c r="DFE50" s="863"/>
      <c r="DFF50" s="863"/>
      <c r="DFG50" s="863"/>
      <c r="DFH50" s="863"/>
      <c r="DFI50" s="863"/>
      <c r="DFJ50" s="863"/>
      <c r="DFK50" s="863"/>
      <c r="DFL50" s="863"/>
      <c r="DFM50" s="863"/>
      <c r="DFN50" s="863"/>
      <c r="DFO50" s="863"/>
      <c r="DFP50" s="863"/>
      <c r="DFQ50" s="863"/>
      <c r="DFR50" s="863"/>
      <c r="DFS50" s="863"/>
      <c r="DFT50" s="863"/>
      <c r="DFU50" s="883"/>
      <c r="DFV50" s="883"/>
      <c r="DFW50" s="883"/>
      <c r="DFX50" s="883"/>
      <c r="DFY50" s="883"/>
      <c r="DFZ50" s="883"/>
      <c r="DGA50" s="883"/>
      <c r="DGB50" s="883"/>
      <c r="DGC50" s="883"/>
      <c r="DGD50" s="863"/>
      <c r="DGE50" s="863"/>
      <c r="DGF50" s="863"/>
      <c r="DGG50" s="863"/>
      <c r="DGH50" s="863"/>
      <c r="DGI50" s="863"/>
      <c r="DGJ50" s="863"/>
      <c r="DGK50" s="863"/>
      <c r="DGL50" s="863"/>
      <c r="DGM50" s="863"/>
      <c r="DGN50" s="863"/>
      <c r="DGO50" s="863"/>
      <c r="DGP50" s="863"/>
      <c r="DGQ50" s="863"/>
      <c r="DGR50" s="863"/>
      <c r="DGS50" s="863"/>
      <c r="DGT50" s="863"/>
      <c r="DGU50" s="863"/>
      <c r="DGV50" s="863"/>
      <c r="DGW50" s="863"/>
      <c r="DGX50" s="863"/>
      <c r="DGY50" s="863"/>
      <c r="DGZ50" s="863"/>
      <c r="DHA50" s="883"/>
      <c r="DHB50" s="883"/>
      <c r="DHC50" s="883"/>
      <c r="DHD50" s="883"/>
      <c r="DHE50" s="883"/>
      <c r="DHF50" s="883"/>
      <c r="DHG50" s="883"/>
      <c r="DHH50" s="883"/>
      <c r="DHI50" s="883"/>
      <c r="DHJ50" s="863"/>
      <c r="DHK50" s="863"/>
      <c r="DHL50" s="863"/>
      <c r="DHM50" s="863"/>
      <c r="DHN50" s="863"/>
      <c r="DHO50" s="863"/>
      <c r="DHP50" s="863"/>
      <c r="DHQ50" s="863"/>
      <c r="DHR50" s="863"/>
      <c r="DHS50" s="863"/>
      <c r="DHT50" s="863"/>
      <c r="DHU50" s="863"/>
      <c r="DHV50" s="863"/>
      <c r="DHW50" s="863"/>
      <c r="DHX50" s="863"/>
      <c r="DHY50" s="863"/>
      <c r="DHZ50" s="863"/>
      <c r="DIA50" s="863"/>
      <c r="DIB50" s="863"/>
      <c r="DIC50" s="863"/>
      <c r="DID50" s="863"/>
      <c r="DIE50" s="863"/>
      <c r="DIF50" s="863"/>
      <c r="DIG50" s="883"/>
      <c r="DIH50" s="883"/>
      <c r="DII50" s="883"/>
      <c r="DIJ50" s="883"/>
      <c r="DIK50" s="883"/>
      <c r="DIL50" s="883"/>
      <c r="DIM50" s="883"/>
      <c r="DIN50" s="883"/>
      <c r="DIO50" s="883"/>
      <c r="DIP50" s="863"/>
      <c r="DIQ50" s="863"/>
      <c r="DIR50" s="863"/>
      <c r="DIS50" s="863"/>
      <c r="DIT50" s="863"/>
      <c r="DIU50" s="863"/>
      <c r="DIV50" s="863"/>
      <c r="DIW50" s="863"/>
      <c r="DIX50" s="863"/>
      <c r="DIY50" s="863"/>
      <c r="DIZ50" s="863"/>
      <c r="DJA50" s="863"/>
      <c r="DJB50" s="863"/>
      <c r="DJC50" s="863"/>
      <c r="DJD50" s="863"/>
      <c r="DJE50" s="863"/>
      <c r="DJF50" s="863"/>
      <c r="DJG50" s="863"/>
      <c r="DJH50" s="863"/>
      <c r="DJI50" s="863"/>
      <c r="DJJ50" s="863"/>
      <c r="DJK50" s="863"/>
      <c r="DJL50" s="863"/>
      <c r="DJM50" s="883"/>
      <c r="DJN50" s="883"/>
      <c r="DJO50" s="883"/>
      <c r="DJP50" s="883"/>
      <c r="DJQ50" s="883"/>
      <c r="DJR50" s="883"/>
      <c r="DJS50" s="883"/>
      <c r="DJT50" s="883"/>
      <c r="DJU50" s="883"/>
      <c r="DJV50" s="863"/>
      <c r="DJW50" s="863"/>
      <c r="DJX50" s="863"/>
      <c r="DJY50" s="863"/>
      <c r="DJZ50" s="863"/>
      <c r="DKA50" s="863"/>
      <c r="DKB50" s="863"/>
      <c r="DKC50" s="863"/>
      <c r="DKD50" s="863"/>
      <c r="DKE50" s="863"/>
      <c r="DKF50" s="863"/>
      <c r="DKG50" s="863"/>
      <c r="DKH50" s="863"/>
      <c r="DKI50" s="863"/>
      <c r="DKJ50" s="863"/>
      <c r="DKK50" s="863"/>
      <c r="DKL50" s="863"/>
      <c r="DKM50" s="863"/>
      <c r="DKN50" s="863"/>
      <c r="DKO50" s="863"/>
      <c r="DKP50" s="863"/>
      <c r="DKQ50" s="863"/>
      <c r="DKR50" s="863"/>
      <c r="DKS50" s="883"/>
      <c r="DKT50" s="883"/>
      <c r="DKU50" s="883"/>
      <c r="DKV50" s="883"/>
      <c r="DKW50" s="883"/>
      <c r="DKX50" s="883"/>
      <c r="DKY50" s="883"/>
      <c r="DKZ50" s="883"/>
      <c r="DLA50" s="883"/>
      <c r="DLB50" s="863"/>
      <c r="DLC50" s="863"/>
      <c r="DLD50" s="863"/>
      <c r="DLE50" s="863"/>
      <c r="DLF50" s="863"/>
      <c r="DLG50" s="863"/>
      <c r="DLH50" s="863"/>
      <c r="DLI50" s="863"/>
      <c r="DLJ50" s="863"/>
      <c r="DLK50" s="863"/>
      <c r="DLL50" s="863"/>
      <c r="DLM50" s="863"/>
      <c r="DLN50" s="863"/>
      <c r="DLO50" s="863"/>
      <c r="DLP50" s="863"/>
      <c r="DLQ50" s="863"/>
      <c r="DLR50" s="863"/>
      <c r="DLS50" s="863"/>
      <c r="DLT50" s="863"/>
      <c r="DLU50" s="863"/>
      <c r="DLV50" s="863"/>
      <c r="DLW50" s="863"/>
      <c r="DLX50" s="863"/>
      <c r="DLY50" s="883"/>
      <c r="DLZ50" s="883"/>
      <c r="DMA50" s="883"/>
      <c r="DMB50" s="883"/>
      <c r="DMC50" s="883"/>
      <c r="DMD50" s="883"/>
      <c r="DME50" s="883"/>
      <c r="DMF50" s="883"/>
      <c r="DMG50" s="883"/>
      <c r="DMH50" s="863"/>
      <c r="DMI50" s="863"/>
      <c r="DMJ50" s="863"/>
      <c r="DMK50" s="863"/>
      <c r="DML50" s="863"/>
      <c r="DMM50" s="863"/>
      <c r="DMN50" s="863"/>
      <c r="DMO50" s="863"/>
      <c r="DMP50" s="863"/>
      <c r="DMQ50" s="863"/>
      <c r="DMR50" s="863"/>
      <c r="DMS50" s="863"/>
      <c r="DMT50" s="863"/>
      <c r="DMU50" s="863"/>
      <c r="DMV50" s="863"/>
      <c r="DMW50" s="863"/>
      <c r="DMX50" s="863"/>
      <c r="DMY50" s="863"/>
      <c r="DMZ50" s="863"/>
      <c r="DNA50" s="863"/>
      <c r="DNB50" s="863"/>
      <c r="DNC50" s="863"/>
      <c r="DND50" s="863"/>
      <c r="DNE50" s="883"/>
      <c r="DNF50" s="883"/>
      <c r="DNG50" s="883"/>
      <c r="DNH50" s="883"/>
      <c r="DNI50" s="883"/>
      <c r="DNJ50" s="883"/>
      <c r="DNK50" s="883"/>
      <c r="DNL50" s="883"/>
      <c r="DNM50" s="883"/>
      <c r="DNN50" s="863"/>
      <c r="DNO50" s="863"/>
      <c r="DNP50" s="863"/>
      <c r="DNQ50" s="863"/>
      <c r="DNR50" s="863"/>
      <c r="DNS50" s="863"/>
      <c r="DNT50" s="863"/>
      <c r="DNU50" s="863"/>
      <c r="DNV50" s="863"/>
      <c r="DNW50" s="863"/>
      <c r="DNX50" s="863"/>
      <c r="DNY50" s="863"/>
      <c r="DNZ50" s="863"/>
      <c r="DOA50" s="863"/>
      <c r="DOB50" s="863"/>
      <c r="DOC50" s="863"/>
      <c r="DOD50" s="863"/>
      <c r="DOE50" s="863"/>
      <c r="DOF50" s="863"/>
      <c r="DOG50" s="863"/>
      <c r="DOH50" s="863"/>
      <c r="DOI50" s="863"/>
      <c r="DOJ50" s="863"/>
      <c r="DOK50" s="883"/>
      <c r="DOL50" s="883"/>
      <c r="DOM50" s="883"/>
      <c r="DON50" s="883"/>
      <c r="DOO50" s="883"/>
      <c r="DOP50" s="883"/>
      <c r="DOQ50" s="883"/>
      <c r="DOR50" s="883"/>
      <c r="DOS50" s="883"/>
      <c r="DOT50" s="863"/>
      <c r="DOU50" s="863"/>
      <c r="DOV50" s="863"/>
      <c r="DOW50" s="863"/>
      <c r="DOX50" s="863"/>
      <c r="DOY50" s="863"/>
      <c r="DOZ50" s="863"/>
      <c r="DPA50" s="863"/>
      <c r="DPB50" s="863"/>
      <c r="DPC50" s="863"/>
      <c r="DPD50" s="863"/>
      <c r="DPE50" s="863"/>
      <c r="DPF50" s="863"/>
      <c r="DPG50" s="863"/>
      <c r="DPH50" s="863"/>
      <c r="DPI50" s="863"/>
      <c r="DPJ50" s="863"/>
      <c r="DPK50" s="863"/>
      <c r="DPL50" s="863"/>
      <c r="DPM50" s="863"/>
      <c r="DPN50" s="863"/>
      <c r="DPO50" s="863"/>
      <c r="DPP50" s="863"/>
      <c r="DPQ50" s="883"/>
      <c r="DPR50" s="883"/>
      <c r="DPS50" s="883"/>
      <c r="DPT50" s="883"/>
      <c r="DPU50" s="883"/>
      <c r="DPV50" s="883"/>
      <c r="DPW50" s="883"/>
      <c r="DPX50" s="883"/>
      <c r="DPY50" s="883"/>
      <c r="DPZ50" s="863"/>
      <c r="DQA50" s="863"/>
      <c r="DQB50" s="863"/>
      <c r="DQC50" s="863"/>
      <c r="DQD50" s="863"/>
      <c r="DQE50" s="863"/>
      <c r="DQF50" s="863"/>
      <c r="DQG50" s="863"/>
      <c r="DQH50" s="863"/>
      <c r="DQI50" s="863"/>
      <c r="DQJ50" s="863"/>
      <c r="DQK50" s="863"/>
      <c r="DQL50" s="863"/>
      <c r="DQM50" s="863"/>
      <c r="DQN50" s="863"/>
      <c r="DQO50" s="863"/>
      <c r="DQP50" s="863"/>
      <c r="DQQ50" s="863"/>
      <c r="DQR50" s="863"/>
      <c r="DQS50" s="863"/>
      <c r="DQT50" s="863"/>
      <c r="DQU50" s="863"/>
      <c r="DQV50" s="863"/>
      <c r="DQW50" s="883"/>
      <c r="DQX50" s="883"/>
      <c r="DQY50" s="883"/>
      <c r="DQZ50" s="883"/>
      <c r="DRA50" s="883"/>
      <c r="DRB50" s="883"/>
      <c r="DRC50" s="883"/>
      <c r="DRD50" s="883"/>
      <c r="DRE50" s="883"/>
      <c r="DRF50" s="863"/>
      <c r="DRG50" s="863"/>
      <c r="DRH50" s="863"/>
      <c r="DRI50" s="863"/>
      <c r="DRJ50" s="863"/>
      <c r="DRK50" s="863"/>
      <c r="DRL50" s="863"/>
      <c r="DRM50" s="863"/>
      <c r="DRN50" s="863"/>
      <c r="DRO50" s="863"/>
      <c r="DRP50" s="863"/>
      <c r="DRQ50" s="863"/>
      <c r="DRR50" s="863"/>
      <c r="DRS50" s="863"/>
      <c r="DRT50" s="863"/>
      <c r="DRU50" s="863"/>
      <c r="DRV50" s="863"/>
      <c r="DRW50" s="863"/>
      <c r="DRX50" s="863"/>
      <c r="DRY50" s="863"/>
      <c r="DRZ50" s="863"/>
      <c r="DSA50" s="863"/>
      <c r="DSB50" s="863"/>
      <c r="DSC50" s="883"/>
      <c r="DSD50" s="883"/>
      <c r="DSE50" s="883"/>
      <c r="DSF50" s="883"/>
      <c r="DSG50" s="883"/>
      <c r="DSH50" s="883"/>
      <c r="DSI50" s="883"/>
      <c r="DSJ50" s="883"/>
      <c r="DSK50" s="883"/>
      <c r="DSL50" s="863"/>
      <c r="DSM50" s="863"/>
      <c r="DSN50" s="863"/>
      <c r="DSO50" s="863"/>
      <c r="DSP50" s="863"/>
      <c r="DSQ50" s="863"/>
      <c r="DSR50" s="863"/>
      <c r="DSS50" s="863"/>
      <c r="DST50" s="863"/>
      <c r="DSU50" s="863"/>
      <c r="DSV50" s="863"/>
      <c r="DSW50" s="863"/>
      <c r="DSX50" s="863"/>
      <c r="DSY50" s="863"/>
      <c r="DSZ50" s="863"/>
      <c r="DTA50" s="863"/>
      <c r="DTB50" s="863"/>
      <c r="DTC50" s="863"/>
      <c r="DTD50" s="863"/>
      <c r="DTE50" s="863"/>
      <c r="DTF50" s="863"/>
      <c r="DTG50" s="863"/>
      <c r="DTH50" s="863"/>
      <c r="DTI50" s="883"/>
      <c r="DTJ50" s="883"/>
      <c r="DTK50" s="883"/>
      <c r="DTL50" s="883"/>
      <c r="DTM50" s="883"/>
      <c r="DTN50" s="883"/>
      <c r="DTO50" s="883"/>
      <c r="DTP50" s="883"/>
      <c r="DTQ50" s="883"/>
      <c r="DTR50" s="863"/>
      <c r="DTS50" s="863"/>
      <c r="DTT50" s="863"/>
      <c r="DTU50" s="863"/>
      <c r="DTV50" s="863"/>
      <c r="DTW50" s="863"/>
      <c r="DTX50" s="863"/>
      <c r="DTY50" s="863"/>
      <c r="DTZ50" s="863"/>
      <c r="DUA50" s="863"/>
      <c r="DUB50" s="863"/>
      <c r="DUC50" s="863"/>
      <c r="DUD50" s="863"/>
      <c r="DUE50" s="863"/>
      <c r="DUF50" s="863"/>
      <c r="DUG50" s="863"/>
      <c r="DUH50" s="863"/>
      <c r="DUI50" s="863"/>
      <c r="DUJ50" s="863"/>
      <c r="DUK50" s="863"/>
      <c r="DUL50" s="863"/>
      <c r="DUM50" s="863"/>
      <c r="DUN50" s="863"/>
      <c r="DUO50" s="883"/>
      <c r="DUP50" s="883"/>
      <c r="DUQ50" s="883"/>
      <c r="DUR50" s="883"/>
      <c r="DUS50" s="883"/>
      <c r="DUT50" s="883"/>
      <c r="DUU50" s="883"/>
      <c r="DUV50" s="883"/>
      <c r="DUW50" s="883"/>
      <c r="DUX50" s="863"/>
      <c r="DUY50" s="863"/>
      <c r="DUZ50" s="863"/>
      <c r="DVA50" s="863"/>
      <c r="DVB50" s="863"/>
      <c r="DVC50" s="863"/>
      <c r="DVD50" s="863"/>
      <c r="DVE50" s="863"/>
      <c r="DVF50" s="863"/>
      <c r="DVG50" s="863"/>
      <c r="DVH50" s="863"/>
      <c r="DVI50" s="863"/>
      <c r="DVJ50" s="863"/>
      <c r="DVK50" s="863"/>
      <c r="DVL50" s="863"/>
      <c r="DVM50" s="863"/>
      <c r="DVN50" s="863"/>
      <c r="DVO50" s="863"/>
      <c r="DVP50" s="863"/>
      <c r="DVQ50" s="863"/>
      <c r="DVR50" s="863"/>
      <c r="DVS50" s="863"/>
      <c r="DVT50" s="863"/>
      <c r="DVU50" s="883"/>
      <c r="DVV50" s="883"/>
      <c r="DVW50" s="883"/>
      <c r="DVX50" s="883"/>
      <c r="DVY50" s="883"/>
      <c r="DVZ50" s="883"/>
      <c r="DWA50" s="883"/>
      <c r="DWB50" s="883"/>
      <c r="DWC50" s="883"/>
      <c r="DWD50" s="863"/>
      <c r="DWE50" s="863"/>
      <c r="DWF50" s="863"/>
      <c r="DWG50" s="863"/>
      <c r="DWH50" s="863"/>
      <c r="DWI50" s="863"/>
      <c r="DWJ50" s="863"/>
      <c r="DWK50" s="863"/>
      <c r="DWL50" s="863"/>
      <c r="DWM50" s="863"/>
      <c r="DWN50" s="863"/>
      <c r="DWO50" s="863"/>
      <c r="DWP50" s="863"/>
      <c r="DWQ50" s="863"/>
      <c r="DWR50" s="863"/>
      <c r="DWS50" s="863"/>
      <c r="DWT50" s="863"/>
      <c r="DWU50" s="863"/>
      <c r="DWV50" s="863"/>
      <c r="DWW50" s="863"/>
      <c r="DWX50" s="863"/>
      <c r="DWY50" s="863"/>
      <c r="DWZ50" s="863"/>
      <c r="DXA50" s="883"/>
      <c r="DXB50" s="883"/>
      <c r="DXC50" s="883"/>
      <c r="DXD50" s="883"/>
      <c r="DXE50" s="883"/>
      <c r="DXF50" s="883"/>
      <c r="DXG50" s="883"/>
      <c r="DXH50" s="883"/>
      <c r="DXI50" s="883"/>
      <c r="DXJ50" s="863"/>
      <c r="DXK50" s="863"/>
      <c r="DXL50" s="863"/>
      <c r="DXM50" s="863"/>
      <c r="DXN50" s="863"/>
      <c r="DXO50" s="863"/>
      <c r="DXP50" s="863"/>
      <c r="DXQ50" s="863"/>
      <c r="DXR50" s="863"/>
      <c r="DXS50" s="863"/>
      <c r="DXT50" s="863"/>
      <c r="DXU50" s="863"/>
      <c r="DXV50" s="863"/>
      <c r="DXW50" s="863"/>
      <c r="DXX50" s="863"/>
      <c r="DXY50" s="863"/>
      <c r="DXZ50" s="863"/>
      <c r="DYA50" s="863"/>
      <c r="DYB50" s="863"/>
      <c r="DYC50" s="863"/>
      <c r="DYD50" s="863"/>
      <c r="DYE50" s="863"/>
      <c r="DYF50" s="863"/>
      <c r="DYG50" s="883"/>
      <c r="DYH50" s="883"/>
      <c r="DYI50" s="883"/>
      <c r="DYJ50" s="883"/>
      <c r="DYK50" s="883"/>
      <c r="DYL50" s="883"/>
      <c r="DYM50" s="883"/>
      <c r="DYN50" s="883"/>
      <c r="DYO50" s="883"/>
      <c r="DYP50" s="863"/>
      <c r="DYQ50" s="863"/>
      <c r="DYR50" s="863"/>
      <c r="DYS50" s="863"/>
      <c r="DYT50" s="863"/>
      <c r="DYU50" s="863"/>
      <c r="DYV50" s="863"/>
      <c r="DYW50" s="863"/>
      <c r="DYX50" s="863"/>
      <c r="DYY50" s="863"/>
      <c r="DYZ50" s="863"/>
      <c r="DZA50" s="863"/>
      <c r="DZB50" s="863"/>
      <c r="DZC50" s="863"/>
      <c r="DZD50" s="863"/>
      <c r="DZE50" s="863"/>
      <c r="DZF50" s="863"/>
      <c r="DZG50" s="863"/>
      <c r="DZH50" s="863"/>
      <c r="DZI50" s="863"/>
      <c r="DZJ50" s="863"/>
      <c r="DZK50" s="863"/>
      <c r="DZL50" s="863"/>
      <c r="DZM50" s="883"/>
      <c r="DZN50" s="883"/>
      <c r="DZO50" s="883"/>
      <c r="DZP50" s="883"/>
      <c r="DZQ50" s="883"/>
      <c r="DZR50" s="883"/>
      <c r="DZS50" s="883"/>
      <c r="DZT50" s="883"/>
      <c r="DZU50" s="883"/>
      <c r="DZV50" s="863"/>
      <c r="DZW50" s="863"/>
      <c r="DZX50" s="863"/>
      <c r="DZY50" s="863"/>
      <c r="DZZ50" s="863"/>
      <c r="EAA50" s="863"/>
      <c r="EAB50" s="863"/>
      <c r="EAC50" s="863"/>
      <c r="EAD50" s="863"/>
      <c r="EAE50" s="863"/>
      <c r="EAF50" s="863"/>
      <c r="EAG50" s="863"/>
      <c r="EAH50" s="863"/>
      <c r="EAI50" s="863"/>
      <c r="EAJ50" s="863"/>
      <c r="EAK50" s="863"/>
      <c r="EAL50" s="863"/>
      <c r="EAM50" s="863"/>
      <c r="EAN50" s="863"/>
      <c r="EAO50" s="863"/>
      <c r="EAP50" s="863"/>
      <c r="EAQ50" s="863"/>
      <c r="EAR50" s="863"/>
      <c r="EAS50" s="883"/>
      <c r="EAT50" s="883"/>
      <c r="EAU50" s="883"/>
      <c r="EAV50" s="883"/>
      <c r="EAW50" s="883"/>
      <c r="EAX50" s="883"/>
      <c r="EAY50" s="883"/>
      <c r="EAZ50" s="883"/>
      <c r="EBA50" s="883"/>
      <c r="EBB50" s="863"/>
      <c r="EBC50" s="863"/>
      <c r="EBD50" s="863"/>
      <c r="EBE50" s="863"/>
      <c r="EBF50" s="863"/>
      <c r="EBG50" s="863"/>
      <c r="EBH50" s="863"/>
      <c r="EBI50" s="863"/>
      <c r="EBJ50" s="863"/>
      <c r="EBK50" s="863"/>
      <c r="EBL50" s="863"/>
      <c r="EBM50" s="863"/>
      <c r="EBN50" s="863"/>
      <c r="EBO50" s="863"/>
      <c r="EBP50" s="863"/>
      <c r="EBQ50" s="863"/>
      <c r="EBR50" s="863"/>
      <c r="EBS50" s="863"/>
      <c r="EBT50" s="863"/>
      <c r="EBU50" s="863"/>
      <c r="EBV50" s="863"/>
      <c r="EBW50" s="863"/>
      <c r="EBX50" s="863"/>
      <c r="EBY50" s="883"/>
      <c r="EBZ50" s="883"/>
      <c r="ECA50" s="883"/>
      <c r="ECB50" s="883"/>
      <c r="ECC50" s="883"/>
      <c r="ECD50" s="883"/>
      <c r="ECE50" s="883"/>
      <c r="ECF50" s="883"/>
      <c r="ECG50" s="883"/>
      <c r="ECH50" s="863"/>
      <c r="ECI50" s="863"/>
      <c r="ECJ50" s="863"/>
      <c r="ECK50" s="863"/>
      <c r="ECL50" s="863"/>
      <c r="ECM50" s="863"/>
      <c r="ECN50" s="863"/>
      <c r="ECO50" s="863"/>
      <c r="ECP50" s="863"/>
      <c r="ECQ50" s="863"/>
      <c r="ECR50" s="863"/>
      <c r="ECS50" s="863"/>
      <c r="ECT50" s="863"/>
      <c r="ECU50" s="863"/>
      <c r="ECV50" s="863"/>
      <c r="ECW50" s="863"/>
      <c r="ECX50" s="863"/>
      <c r="ECY50" s="863"/>
      <c r="ECZ50" s="863"/>
      <c r="EDA50" s="863"/>
      <c r="EDB50" s="863"/>
      <c r="EDC50" s="863"/>
      <c r="EDD50" s="863"/>
      <c r="EDE50" s="883"/>
      <c r="EDF50" s="883"/>
      <c r="EDG50" s="883"/>
      <c r="EDH50" s="883"/>
      <c r="EDI50" s="883"/>
      <c r="EDJ50" s="883"/>
      <c r="EDK50" s="883"/>
      <c r="EDL50" s="883"/>
      <c r="EDM50" s="883"/>
      <c r="EDN50" s="863"/>
      <c r="EDO50" s="863"/>
      <c r="EDP50" s="863"/>
      <c r="EDQ50" s="863"/>
      <c r="EDR50" s="863"/>
      <c r="EDS50" s="863"/>
      <c r="EDT50" s="863"/>
      <c r="EDU50" s="863"/>
      <c r="EDV50" s="863"/>
      <c r="EDW50" s="863"/>
      <c r="EDX50" s="863"/>
      <c r="EDY50" s="863"/>
      <c r="EDZ50" s="863"/>
      <c r="EEA50" s="863"/>
      <c r="EEB50" s="863"/>
      <c r="EEC50" s="863"/>
      <c r="EED50" s="863"/>
      <c r="EEE50" s="863"/>
      <c r="EEF50" s="863"/>
      <c r="EEG50" s="863"/>
      <c r="EEH50" s="863"/>
      <c r="EEI50" s="863"/>
      <c r="EEJ50" s="863"/>
      <c r="EEK50" s="883"/>
      <c r="EEL50" s="883"/>
      <c r="EEM50" s="883"/>
      <c r="EEN50" s="883"/>
      <c r="EEO50" s="883"/>
      <c r="EEP50" s="883"/>
      <c r="EEQ50" s="883"/>
      <c r="EER50" s="883"/>
      <c r="EES50" s="883"/>
      <c r="EET50" s="863"/>
      <c r="EEU50" s="863"/>
      <c r="EEV50" s="863"/>
      <c r="EEW50" s="863"/>
      <c r="EEX50" s="863"/>
      <c r="EEY50" s="863"/>
      <c r="EEZ50" s="863"/>
      <c r="EFA50" s="863"/>
      <c r="EFB50" s="863"/>
      <c r="EFC50" s="863"/>
      <c r="EFD50" s="863"/>
      <c r="EFE50" s="863"/>
      <c r="EFF50" s="863"/>
      <c r="EFG50" s="863"/>
      <c r="EFH50" s="863"/>
      <c r="EFI50" s="863"/>
      <c r="EFJ50" s="863"/>
      <c r="EFK50" s="863"/>
      <c r="EFL50" s="863"/>
      <c r="EFM50" s="863"/>
      <c r="EFN50" s="863"/>
      <c r="EFO50" s="863"/>
      <c r="EFP50" s="863"/>
      <c r="EFQ50" s="883"/>
      <c r="EFR50" s="883"/>
      <c r="EFS50" s="883"/>
      <c r="EFT50" s="883"/>
      <c r="EFU50" s="883"/>
      <c r="EFV50" s="883"/>
      <c r="EFW50" s="883"/>
      <c r="EFX50" s="883"/>
      <c r="EFY50" s="883"/>
      <c r="EFZ50" s="863"/>
      <c r="EGA50" s="863"/>
      <c r="EGB50" s="863"/>
      <c r="EGC50" s="863"/>
      <c r="EGD50" s="863"/>
      <c r="EGE50" s="863"/>
      <c r="EGF50" s="863"/>
      <c r="EGG50" s="863"/>
      <c r="EGH50" s="863"/>
      <c r="EGI50" s="863"/>
      <c r="EGJ50" s="863"/>
      <c r="EGK50" s="863"/>
      <c r="EGL50" s="863"/>
      <c r="EGM50" s="863"/>
      <c r="EGN50" s="863"/>
      <c r="EGO50" s="863"/>
      <c r="EGP50" s="863"/>
      <c r="EGQ50" s="863"/>
      <c r="EGR50" s="863"/>
      <c r="EGS50" s="863"/>
      <c r="EGT50" s="863"/>
      <c r="EGU50" s="863"/>
      <c r="EGV50" s="863"/>
      <c r="EGW50" s="883"/>
      <c r="EGX50" s="883"/>
      <c r="EGY50" s="883"/>
      <c r="EGZ50" s="883"/>
      <c r="EHA50" s="883"/>
      <c r="EHB50" s="883"/>
      <c r="EHC50" s="883"/>
      <c r="EHD50" s="883"/>
      <c r="EHE50" s="883"/>
      <c r="EHF50" s="863"/>
      <c r="EHG50" s="863"/>
      <c r="EHH50" s="863"/>
      <c r="EHI50" s="863"/>
      <c r="EHJ50" s="863"/>
      <c r="EHK50" s="863"/>
      <c r="EHL50" s="863"/>
      <c r="EHM50" s="863"/>
      <c r="EHN50" s="863"/>
      <c r="EHO50" s="863"/>
      <c r="EHP50" s="863"/>
      <c r="EHQ50" s="863"/>
      <c r="EHR50" s="863"/>
      <c r="EHS50" s="863"/>
      <c r="EHT50" s="863"/>
      <c r="EHU50" s="863"/>
      <c r="EHV50" s="863"/>
      <c r="EHW50" s="863"/>
      <c r="EHX50" s="863"/>
      <c r="EHY50" s="863"/>
      <c r="EHZ50" s="863"/>
      <c r="EIA50" s="863"/>
      <c r="EIB50" s="863"/>
      <c r="EIC50" s="883"/>
      <c r="EID50" s="883"/>
      <c r="EIE50" s="883"/>
      <c r="EIF50" s="883"/>
      <c r="EIG50" s="883"/>
      <c r="EIH50" s="883"/>
      <c r="EII50" s="883"/>
      <c r="EIJ50" s="883"/>
      <c r="EIK50" s="883"/>
      <c r="EIL50" s="863"/>
      <c r="EIM50" s="863"/>
      <c r="EIN50" s="863"/>
      <c r="EIO50" s="863"/>
      <c r="EIP50" s="863"/>
      <c r="EIQ50" s="863"/>
      <c r="EIR50" s="863"/>
      <c r="EIS50" s="863"/>
      <c r="EIT50" s="863"/>
      <c r="EIU50" s="863"/>
      <c r="EIV50" s="863"/>
      <c r="EIW50" s="863"/>
      <c r="EIX50" s="863"/>
      <c r="EIY50" s="863"/>
      <c r="EIZ50" s="863"/>
      <c r="EJA50" s="863"/>
      <c r="EJB50" s="863"/>
      <c r="EJC50" s="863"/>
      <c r="EJD50" s="863"/>
      <c r="EJE50" s="863"/>
      <c r="EJF50" s="863"/>
      <c r="EJG50" s="863"/>
      <c r="EJH50" s="863"/>
      <c r="EJI50" s="883"/>
      <c r="EJJ50" s="883"/>
      <c r="EJK50" s="883"/>
      <c r="EJL50" s="883"/>
      <c r="EJM50" s="883"/>
      <c r="EJN50" s="883"/>
      <c r="EJO50" s="883"/>
      <c r="EJP50" s="883"/>
      <c r="EJQ50" s="883"/>
      <c r="EJR50" s="863"/>
      <c r="EJS50" s="863"/>
      <c r="EJT50" s="863"/>
      <c r="EJU50" s="863"/>
      <c r="EJV50" s="863"/>
      <c r="EJW50" s="863"/>
      <c r="EJX50" s="863"/>
      <c r="EJY50" s="863"/>
      <c r="EJZ50" s="863"/>
      <c r="EKA50" s="863"/>
      <c r="EKB50" s="863"/>
      <c r="EKC50" s="863"/>
      <c r="EKD50" s="863"/>
      <c r="EKE50" s="863"/>
      <c r="EKF50" s="863"/>
      <c r="EKG50" s="863"/>
      <c r="EKH50" s="863"/>
      <c r="EKI50" s="863"/>
      <c r="EKJ50" s="863"/>
      <c r="EKK50" s="863"/>
      <c r="EKL50" s="863"/>
      <c r="EKM50" s="863"/>
      <c r="EKN50" s="863"/>
      <c r="EKO50" s="883"/>
      <c r="EKP50" s="883"/>
      <c r="EKQ50" s="883"/>
      <c r="EKR50" s="883"/>
      <c r="EKS50" s="883"/>
      <c r="EKT50" s="883"/>
      <c r="EKU50" s="883"/>
      <c r="EKV50" s="883"/>
      <c r="EKW50" s="883"/>
      <c r="EKX50" s="863"/>
      <c r="EKY50" s="863"/>
      <c r="EKZ50" s="863"/>
      <c r="ELA50" s="863"/>
      <c r="ELB50" s="863"/>
      <c r="ELC50" s="863"/>
      <c r="ELD50" s="863"/>
      <c r="ELE50" s="863"/>
      <c r="ELF50" s="863"/>
      <c r="ELG50" s="863"/>
      <c r="ELH50" s="863"/>
      <c r="ELI50" s="863"/>
      <c r="ELJ50" s="863"/>
      <c r="ELK50" s="863"/>
      <c r="ELL50" s="863"/>
      <c r="ELM50" s="863"/>
      <c r="ELN50" s="863"/>
      <c r="ELO50" s="863"/>
      <c r="ELP50" s="863"/>
      <c r="ELQ50" s="863"/>
      <c r="ELR50" s="863"/>
      <c r="ELS50" s="863"/>
      <c r="ELT50" s="863"/>
      <c r="ELU50" s="883"/>
      <c r="ELV50" s="883"/>
      <c r="ELW50" s="883"/>
      <c r="ELX50" s="883"/>
      <c r="ELY50" s="883"/>
      <c r="ELZ50" s="883"/>
      <c r="EMA50" s="883"/>
      <c r="EMB50" s="883"/>
      <c r="EMC50" s="883"/>
      <c r="EMD50" s="863"/>
      <c r="EME50" s="863"/>
      <c r="EMF50" s="863"/>
      <c r="EMG50" s="863"/>
      <c r="EMH50" s="863"/>
      <c r="EMI50" s="863"/>
      <c r="EMJ50" s="863"/>
      <c r="EMK50" s="863"/>
      <c r="EML50" s="863"/>
      <c r="EMM50" s="863"/>
      <c r="EMN50" s="863"/>
      <c r="EMO50" s="863"/>
      <c r="EMP50" s="863"/>
      <c r="EMQ50" s="863"/>
      <c r="EMR50" s="863"/>
      <c r="EMS50" s="863"/>
      <c r="EMT50" s="863"/>
      <c r="EMU50" s="863"/>
      <c r="EMV50" s="863"/>
      <c r="EMW50" s="863"/>
      <c r="EMX50" s="863"/>
      <c r="EMY50" s="863"/>
      <c r="EMZ50" s="863"/>
      <c r="ENA50" s="883"/>
      <c r="ENB50" s="883"/>
      <c r="ENC50" s="883"/>
      <c r="END50" s="883"/>
      <c r="ENE50" s="883"/>
      <c r="ENF50" s="883"/>
      <c r="ENG50" s="883"/>
      <c r="ENH50" s="883"/>
      <c r="ENI50" s="883"/>
      <c r="ENJ50" s="863"/>
      <c r="ENK50" s="863"/>
      <c r="ENL50" s="863"/>
      <c r="ENM50" s="863"/>
      <c r="ENN50" s="863"/>
      <c r="ENO50" s="863"/>
      <c r="ENP50" s="863"/>
      <c r="ENQ50" s="863"/>
      <c r="ENR50" s="863"/>
      <c r="ENS50" s="863"/>
      <c r="ENT50" s="863"/>
      <c r="ENU50" s="863"/>
      <c r="ENV50" s="863"/>
      <c r="ENW50" s="863"/>
      <c r="ENX50" s="863"/>
      <c r="ENY50" s="863"/>
      <c r="ENZ50" s="863"/>
      <c r="EOA50" s="863"/>
      <c r="EOB50" s="863"/>
      <c r="EOC50" s="863"/>
      <c r="EOD50" s="863"/>
      <c r="EOE50" s="863"/>
      <c r="EOF50" s="863"/>
      <c r="EOG50" s="883"/>
      <c r="EOH50" s="883"/>
      <c r="EOI50" s="883"/>
      <c r="EOJ50" s="883"/>
      <c r="EOK50" s="883"/>
      <c r="EOL50" s="883"/>
      <c r="EOM50" s="883"/>
      <c r="EON50" s="883"/>
      <c r="EOO50" s="883"/>
      <c r="EOP50" s="863"/>
      <c r="EOQ50" s="863"/>
      <c r="EOR50" s="863"/>
      <c r="EOS50" s="863"/>
      <c r="EOT50" s="863"/>
      <c r="EOU50" s="863"/>
      <c r="EOV50" s="863"/>
      <c r="EOW50" s="863"/>
      <c r="EOX50" s="863"/>
      <c r="EOY50" s="863"/>
      <c r="EOZ50" s="863"/>
      <c r="EPA50" s="863"/>
      <c r="EPB50" s="863"/>
      <c r="EPC50" s="863"/>
      <c r="EPD50" s="863"/>
      <c r="EPE50" s="863"/>
      <c r="EPF50" s="863"/>
      <c r="EPG50" s="863"/>
      <c r="EPH50" s="863"/>
      <c r="EPI50" s="863"/>
      <c r="EPJ50" s="863"/>
      <c r="EPK50" s="863"/>
      <c r="EPL50" s="863"/>
      <c r="EPM50" s="883"/>
      <c r="EPN50" s="883"/>
      <c r="EPO50" s="883"/>
      <c r="EPP50" s="883"/>
      <c r="EPQ50" s="883"/>
      <c r="EPR50" s="883"/>
      <c r="EPS50" s="883"/>
      <c r="EPT50" s="883"/>
      <c r="EPU50" s="883"/>
      <c r="EPV50" s="863"/>
      <c r="EPW50" s="863"/>
      <c r="EPX50" s="863"/>
      <c r="EPY50" s="863"/>
      <c r="EPZ50" s="863"/>
      <c r="EQA50" s="863"/>
      <c r="EQB50" s="863"/>
      <c r="EQC50" s="863"/>
      <c r="EQD50" s="863"/>
      <c r="EQE50" s="863"/>
      <c r="EQF50" s="863"/>
      <c r="EQG50" s="863"/>
      <c r="EQH50" s="863"/>
      <c r="EQI50" s="863"/>
      <c r="EQJ50" s="863"/>
      <c r="EQK50" s="863"/>
      <c r="EQL50" s="863"/>
      <c r="EQM50" s="863"/>
      <c r="EQN50" s="863"/>
      <c r="EQO50" s="863"/>
      <c r="EQP50" s="863"/>
      <c r="EQQ50" s="863"/>
      <c r="EQR50" s="863"/>
      <c r="EQS50" s="883"/>
      <c r="EQT50" s="883"/>
      <c r="EQU50" s="883"/>
      <c r="EQV50" s="883"/>
      <c r="EQW50" s="883"/>
      <c r="EQX50" s="883"/>
      <c r="EQY50" s="883"/>
      <c r="EQZ50" s="883"/>
      <c r="ERA50" s="883"/>
      <c r="ERB50" s="863"/>
      <c r="ERC50" s="863"/>
      <c r="ERD50" s="863"/>
      <c r="ERE50" s="863"/>
      <c r="ERF50" s="863"/>
      <c r="ERG50" s="863"/>
      <c r="ERH50" s="863"/>
      <c r="ERI50" s="863"/>
      <c r="ERJ50" s="863"/>
      <c r="ERK50" s="863"/>
      <c r="ERL50" s="863"/>
      <c r="ERM50" s="863"/>
      <c r="ERN50" s="863"/>
      <c r="ERO50" s="863"/>
      <c r="ERP50" s="863"/>
      <c r="ERQ50" s="863"/>
      <c r="ERR50" s="863"/>
      <c r="ERS50" s="863"/>
      <c r="ERT50" s="863"/>
      <c r="ERU50" s="863"/>
      <c r="ERV50" s="863"/>
      <c r="ERW50" s="863"/>
      <c r="ERX50" s="863"/>
      <c r="ERY50" s="883"/>
      <c r="ERZ50" s="883"/>
      <c r="ESA50" s="883"/>
      <c r="ESB50" s="883"/>
      <c r="ESC50" s="883"/>
      <c r="ESD50" s="883"/>
      <c r="ESE50" s="883"/>
      <c r="ESF50" s="883"/>
      <c r="ESG50" s="883"/>
      <c r="ESH50" s="863"/>
      <c r="ESI50" s="863"/>
      <c r="ESJ50" s="863"/>
      <c r="ESK50" s="863"/>
      <c r="ESL50" s="863"/>
      <c r="ESM50" s="863"/>
      <c r="ESN50" s="863"/>
      <c r="ESO50" s="863"/>
      <c r="ESP50" s="863"/>
      <c r="ESQ50" s="863"/>
      <c r="ESR50" s="863"/>
      <c r="ESS50" s="863"/>
      <c r="EST50" s="863"/>
      <c r="ESU50" s="863"/>
      <c r="ESV50" s="863"/>
      <c r="ESW50" s="863"/>
      <c r="ESX50" s="863"/>
      <c r="ESY50" s="863"/>
      <c r="ESZ50" s="863"/>
      <c r="ETA50" s="863"/>
      <c r="ETB50" s="863"/>
      <c r="ETC50" s="863"/>
      <c r="ETD50" s="863"/>
      <c r="ETE50" s="883"/>
      <c r="ETF50" s="883"/>
      <c r="ETG50" s="883"/>
      <c r="ETH50" s="883"/>
      <c r="ETI50" s="883"/>
      <c r="ETJ50" s="883"/>
      <c r="ETK50" s="883"/>
      <c r="ETL50" s="883"/>
      <c r="ETM50" s="883"/>
      <c r="ETN50" s="863"/>
      <c r="ETO50" s="863"/>
      <c r="ETP50" s="863"/>
      <c r="ETQ50" s="863"/>
      <c r="ETR50" s="863"/>
      <c r="ETS50" s="863"/>
      <c r="ETT50" s="863"/>
      <c r="ETU50" s="863"/>
      <c r="ETV50" s="863"/>
      <c r="ETW50" s="863"/>
      <c r="ETX50" s="863"/>
      <c r="ETY50" s="863"/>
      <c r="ETZ50" s="863"/>
      <c r="EUA50" s="863"/>
      <c r="EUB50" s="863"/>
      <c r="EUC50" s="863"/>
      <c r="EUD50" s="863"/>
      <c r="EUE50" s="863"/>
      <c r="EUF50" s="863"/>
      <c r="EUG50" s="863"/>
      <c r="EUH50" s="863"/>
      <c r="EUI50" s="863"/>
      <c r="EUJ50" s="863"/>
      <c r="EUK50" s="883"/>
      <c r="EUL50" s="883"/>
      <c r="EUM50" s="883"/>
      <c r="EUN50" s="883"/>
      <c r="EUO50" s="883"/>
      <c r="EUP50" s="883"/>
      <c r="EUQ50" s="883"/>
      <c r="EUR50" s="883"/>
      <c r="EUS50" s="883"/>
      <c r="EUT50" s="863"/>
      <c r="EUU50" s="863"/>
      <c r="EUV50" s="863"/>
      <c r="EUW50" s="863"/>
      <c r="EUX50" s="863"/>
      <c r="EUY50" s="863"/>
      <c r="EUZ50" s="863"/>
      <c r="EVA50" s="863"/>
      <c r="EVB50" s="863"/>
      <c r="EVC50" s="863"/>
      <c r="EVD50" s="863"/>
      <c r="EVE50" s="863"/>
      <c r="EVF50" s="863"/>
      <c r="EVG50" s="863"/>
      <c r="EVH50" s="863"/>
      <c r="EVI50" s="863"/>
      <c r="EVJ50" s="863"/>
      <c r="EVK50" s="863"/>
      <c r="EVL50" s="863"/>
      <c r="EVM50" s="863"/>
      <c r="EVN50" s="863"/>
      <c r="EVO50" s="863"/>
      <c r="EVP50" s="863"/>
      <c r="EVQ50" s="883"/>
      <c r="EVR50" s="883"/>
      <c r="EVS50" s="883"/>
      <c r="EVT50" s="883"/>
      <c r="EVU50" s="883"/>
      <c r="EVV50" s="883"/>
      <c r="EVW50" s="883"/>
      <c r="EVX50" s="883"/>
      <c r="EVY50" s="883"/>
      <c r="EVZ50" s="863"/>
      <c r="EWA50" s="863"/>
      <c r="EWB50" s="863"/>
      <c r="EWC50" s="863"/>
      <c r="EWD50" s="863"/>
      <c r="EWE50" s="863"/>
      <c r="EWF50" s="863"/>
      <c r="EWG50" s="863"/>
      <c r="EWH50" s="863"/>
      <c r="EWI50" s="863"/>
      <c r="EWJ50" s="863"/>
      <c r="EWK50" s="863"/>
      <c r="EWL50" s="863"/>
      <c r="EWM50" s="863"/>
      <c r="EWN50" s="863"/>
      <c r="EWO50" s="863"/>
      <c r="EWP50" s="863"/>
      <c r="EWQ50" s="863"/>
      <c r="EWR50" s="863"/>
      <c r="EWS50" s="863"/>
      <c r="EWT50" s="863"/>
      <c r="EWU50" s="863"/>
      <c r="EWV50" s="863"/>
      <c r="EWW50" s="883"/>
      <c r="EWX50" s="883"/>
      <c r="EWY50" s="883"/>
      <c r="EWZ50" s="883"/>
      <c r="EXA50" s="883"/>
      <c r="EXB50" s="883"/>
      <c r="EXC50" s="883"/>
      <c r="EXD50" s="883"/>
      <c r="EXE50" s="883"/>
      <c r="EXF50" s="863"/>
      <c r="EXG50" s="863"/>
      <c r="EXH50" s="863"/>
      <c r="EXI50" s="863"/>
      <c r="EXJ50" s="863"/>
      <c r="EXK50" s="863"/>
      <c r="EXL50" s="863"/>
      <c r="EXM50" s="863"/>
      <c r="EXN50" s="863"/>
      <c r="EXO50" s="863"/>
      <c r="EXP50" s="863"/>
      <c r="EXQ50" s="863"/>
      <c r="EXR50" s="863"/>
      <c r="EXS50" s="863"/>
      <c r="EXT50" s="863"/>
      <c r="EXU50" s="863"/>
      <c r="EXV50" s="863"/>
      <c r="EXW50" s="863"/>
      <c r="EXX50" s="863"/>
      <c r="EXY50" s="863"/>
      <c r="EXZ50" s="863"/>
      <c r="EYA50" s="863"/>
      <c r="EYB50" s="863"/>
      <c r="EYC50" s="883"/>
      <c r="EYD50" s="883"/>
      <c r="EYE50" s="883"/>
      <c r="EYF50" s="883"/>
      <c r="EYG50" s="883"/>
      <c r="EYH50" s="883"/>
      <c r="EYI50" s="883"/>
      <c r="EYJ50" s="883"/>
      <c r="EYK50" s="883"/>
      <c r="EYL50" s="863"/>
      <c r="EYM50" s="863"/>
      <c r="EYN50" s="863"/>
      <c r="EYO50" s="863"/>
      <c r="EYP50" s="863"/>
      <c r="EYQ50" s="863"/>
      <c r="EYR50" s="863"/>
      <c r="EYS50" s="863"/>
      <c r="EYT50" s="863"/>
      <c r="EYU50" s="863"/>
      <c r="EYV50" s="863"/>
      <c r="EYW50" s="863"/>
      <c r="EYX50" s="863"/>
      <c r="EYY50" s="863"/>
      <c r="EYZ50" s="863"/>
      <c r="EZA50" s="863"/>
      <c r="EZB50" s="863"/>
      <c r="EZC50" s="863"/>
      <c r="EZD50" s="863"/>
      <c r="EZE50" s="863"/>
      <c r="EZF50" s="863"/>
      <c r="EZG50" s="863"/>
      <c r="EZH50" s="863"/>
      <c r="EZI50" s="883"/>
      <c r="EZJ50" s="883"/>
      <c r="EZK50" s="883"/>
      <c r="EZL50" s="883"/>
      <c r="EZM50" s="883"/>
      <c r="EZN50" s="883"/>
      <c r="EZO50" s="883"/>
      <c r="EZP50" s="883"/>
      <c r="EZQ50" s="883"/>
      <c r="EZR50" s="863"/>
      <c r="EZS50" s="863"/>
      <c r="EZT50" s="863"/>
      <c r="EZU50" s="863"/>
      <c r="EZV50" s="863"/>
      <c r="EZW50" s="863"/>
      <c r="EZX50" s="863"/>
      <c r="EZY50" s="863"/>
      <c r="EZZ50" s="863"/>
      <c r="FAA50" s="863"/>
      <c r="FAB50" s="863"/>
      <c r="FAC50" s="863"/>
      <c r="FAD50" s="863"/>
      <c r="FAE50" s="863"/>
      <c r="FAF50" s="863"/>
      <c r="FAG50" s="863"/>
      <c r="FAH50" s="863"/>
      <c r="FAI50" s="863"/>
      <c r="FAJ50" s="863"/>
      <c r="FAK50" s="863"/>
      <c r="FAL50" s="863"/>
      <c r="FAM50" s="863"/>
      <c r="FAN50" s="863"/>
      <c r="FAO50" s="883"/>
      <c r="FAP50" s="883"/>
      <c r="FAQ50" s="883"/>
      <c r="FAR50" s="883"/>
      <c r="FAS50" s="883"/>
      <c r="FAT50" s="883"/>
      <c r="FAU50" s="883"/>
      <c r="FAV50" s="883"/>
      <c r="FAW50" s="883"/>
      <c r="FAX50" s="863"/>
      <c r="FAY50" s="863"/>
      <c r="FAZ50" s="863"/>
      <c r="FBA50" s="863"/>
      <c r="FBB50" s="863"/>
      <c r="FBC50" s="863"/>
      <c r="FBD50" s="863"/>
      <c r="FBE50" s="863"/>
      <c r="FBF50" s="863"/>
      <c r="FBG50" s="863"/>
      <c r="FBH50" s="863"/>
      <c r="FBI50" s="863"/>
      <c r="FBJ50" s="863"/>
      <c r="FBK50" s="863"/>
      <c r="FBL50" s="863"/>
      <c r="FBM50" s="863"/>
      <c r="FBN50" s="863"/>
      <c r="FBO50" s="863"/>
      <c r="FBP50" s="863"/>
      <c r="FBQ50" s="863"/>
      <c r="FBR50" s="863"/>
      <c r="FBS50" s="863"/>
      <c r="FBT50" s="863"/>
      <c r="FBU50" s="883"/>
      <c r="FBV50" s="883"/>
      <c r="FBW50" s="883"/>
      <c r="FBX50" s="883"/>
      <c r="FBY50" s="883"/>
      <c r="FBZ50" s="883"/>
      <c r="FCA50" s="883"/>
      <c r="FCB50" s="883"/>
      <c r="FCC50" s="883"/>
      <c r="FCD50" s="863"/>
      <c r="FCE50" s="863"/>
      <c r="FCF50" s="863"/>
      <c r="FCG50" s="863"/>
      <c r="FCH50" s="863"/>
      <c r="FCI50" s="863"/>
      <c r="FCJ50" s="863"/>
      <c r="FCK50" s="863"/>
      <c r="FCL50" s="863"/>
      <c r="FCM50" s="863"/>
      <c r="FCN50" s="863"/>
      <c r="FCO50" s="863"/>
      <c r="FCP50" s="863"/>
      <c r="FCQ50" s="863"/>
      <c r="FCR50" s="863"/>
      <c r="FCS50" s="863"/>
      <c r="FCT50" s="863"/>
      <c r="FCU50" s="863"/>
      <c r="FCV50" s="863"/>
      <c r="FCW50" s="863"/>
      <c r="FCX50" s="863"/>
      <c r="FCY50" s="863"/>
      <c r="FCZ50" s="863"/>
      <c r="FDA50" s="883"/>
      <c r="FDB50" s="883"/>
      <c r="FDC50" s="883"/>
      <c r="FDD50" s="883"/>
      <c r="FDE50" s="883"/>
      <c r="FDF50" s="883"/>
      <c r="FDG50" s="883"/>
      <c r="FDH50" s="883"/>
      <c r="FDI50" s="883"/>
      <c r="FDJ50" s="863"/>
      <c r="FDK50" s="863"/>
      <c r="FDL50" s="863"/>
      <c r="FDM50" s="863"/>
      <c r="FDN50" s="863"/>
      <c r="FDO50" s="863"/>
      <c r="FDP50" s="863"/>
      <c r="FDQ50" s="863"/>
      <c r="FDR50" s="863"/>
      <c r="FDS50" s="863"/>
      <c r="FDT50" s="863"/>
      <c r="FDU50" s="863"/>
      <c r="FDV50" s="863"/>
      <c r="FDW50" s="863"/>
      <c r="FDX50" s="863"/>
      <c r="FDY50" s="863"/>
      <c r="FDZ50" s="863"/>
      <c r="FEA50" s="863"/>
      <c r="FEB50" s="863"/>
      <c r="FEC50" s="863"/>
      <c r="FED50" s="863"/>
      <c r="FEE50" s="863"/>
      <c r="FEF50" s="863"/>
      <c r="FEG50" s="883"/>
      <c r="FEH50" s="883"/>
      <c r="FEI50" s="883"/>
      <c r="FEJ50" s="883"/>
      <c r="FEK50" s="883"/>
      <c r="FEL50" s="883"/>
      <c r="FEM50" s="883"/>
      <c r="FEN50" s="883"/>
      <c r="FEO50" s="883"/>
      <c r="FEP50" s="863"/>
      <c r="FEQ50" s="863"/>
      <c r="FER50" s="863"/>
      <c r="FES50" s="863"/>
      <c r="FET50" s="863"/>
      <c r="FEU50" s="863"/>
      <c r="FEV50" s="863"/>
      <c r="FEW50" s="863"/>
      <c r="FEX50" s="863"/>
      <c r="FEY50" s="863"/>
      <c r="FEZ50" s="863"/>
      <c r="FFA50" s="863"/>
      <c r="FFB50" s="863"/>
      <c r="FFC50" s="863"/>
      <c r="FFD50" s="863"/>
      <c r="FFE50" s="863"/>
      <c r="FFF50" s="863"/>
      <c r="FFG50" s="863"/>
      <c r="FFH50" s="863"/>
      <c r="FFI50" s="863"/>
      <c r="FFJ50" s="863"/>
      <c r="FFK50" s="863"/>
      <c r="FFL50" s="863"/>
      <c r="FFM50" s="883"/>
      <c r="FFN50" s="883"/>
      <c r="FFO50" s="883"/>
      <c r="FFP50" s="883"/>
      <c r="FFQ50" s="883"/>
      <c r="FFR50" s="883"/>
      <c r="FFS50" s="883"/>
      <c r="FFT50" s="883"/>
      <c r="FFU50" s="883"/>
      <c r="FFV50" s="863"/>
      <c r="FFW50" s="863"/>
      <c r="FFX50" s="863"/>
      <c r="FFY50" s="863"/>
      <c r="FFZ50" s="863"/>
      <c r="FGA50" s="863"/>
      <c r="FGB50" s="863"/>
      <c r="FGC50" s="863"/>
      <c r="FGD50" s="863"/>
      <c r="FGE50" s="863"/>
      <c r="FGF50" s="863"/>
      <c r="FGG50" s="863"/>
      <c r="FGH50" s="863"/>
      <c r="FGI50" s="863"/>
      <c r="FGJ50" s="863"/>
      <c r="FGK50" s="863"/>
      <c r="FGL50" s="863"/>
      <c r="FGM50" s="863"/>
      <c r="FGN50" s="863"/>
      <c r="FGO50" s="863"/>
      <c r="FGP50" s="863"/>
      <c r="FGQ50" s="863"/>
      <c r="FGR50" s="863"/>
      <c r="FGS50" s="883"/>
      <c r="FGT50" s="883"/>
      <c r="FGU50" s="883"/>
      <c r="FGV50" s="883"/>
      <c r="FGW50" s="883"/>
      <c r="FGX50" s="883"/>
      <c r="FGY50" s="883"/>
      <c r="FGZ50" s="883"/>
      <c r="FHA50" s="883"/>
      <c r="FHB50" s="863"/>
      <c r="FHC50" s="863"/>
      <c r="FHD50" s="863"/>
      <c r="FHE50" s="863"/>
      <c r="FHF50" s="863"/>
      <c r="FHG50" s="863"/>
      <c r="FHH50" s="863"/>
      <c r="FHI50" s="863"/>
      <c r="FHJ50" s="863"/>
      <c r="FHK50" s="863"/>
      <c r="FHL50" s="863"/>
      <c r="FHM50" s="863"/>
      <c r="FHN50" s="863"/>
      <c r="FHO50" s="863"/>
      <c r="FHP50" s="863"/>
      <c r="FHQ50" s="863"/>
      <c r="FHR50" s="863"/>
      <c r="FHS50" s="863"/>
      <c r="FHT50" s="863"/>
      <c r="FHU50" s="863"/>
      <c r="FHV50" s="863"/>
      <c r="FHW50" s="863"/>
      <c r="FHX50" s="863"/>
      <c r="FHY50" s="883"/>
      <c r="FHZ50" s="883"/>
      <c r="FIA50" s="883"/>
      <c r="FIB50" s="883"/>
      <c r="FIC50" s="883"/>
      <c r="FID50" s="883"/>
      <c r="FIE50" s="883"/>
      <c r="FIF50" s="883"/>
      <c r="FIG50" s="883"/>
      <c r="FIH50" s="863"/>
      <c r="FII50" s="863"/>
      <c r="FIJ50" s="863"/>
      <c r="FIK50" s="863"/>
      <c r="FIL50" s="863"/>
      <c r="FIM50" s="863"/>
      <c r="FIN50" s="863"/>
      <c r="FIO50" s="863"/>
      <c r="FIP50" s="863"/>
      <c r="FIQ50" s="863"/>
      <c r="FIR50" s="863"/>
      <c r="FIS50" s="863"/>
      <c r="FIT50" s="863"/>
      <c r="FIU50" s="863"/>
      <c r="FIV50" s="863"/>
      <c r="FIW50" s="863"/>
      <c r="FIX50" s="863"/>
      <c r="FIY50" s="863"/>
      <c r="FIZ50" s="863"/>
      <c r="FJA50" s="863"/>
      <c r="FJB50" s="863"/>
      <c r="FJC50" s="863"/>
      <c r="FJD50" s="863"/>
      <c r="FJE50" s="883"/>
      <c r="FJF50" s="883"/>
      <c r="FJG50" s="883"/>
      <c r="FJH50" s="883"/>
      <c r="FJI50" s="883"/>
      <c r="FJJ50" s="883"/>
      <c r="FJK50" s="883"/>
      <c r="FJL50" s="883"/>
      <c r="FJM50" s="883"/>
      <c r="FJN50" s="863"/>
      <c r="FJO50" s="863"/>
      <c r="FJP50" s="863"/>
      <c r="FJQ50" s="863"/>
      <c r="FJR50" s="863"/>
      <c r="FJS50" s="863"/>
      <c r="FJT50" s="863"/>
      <c r="FJU50" s="863"/>
      <c r="FJV50" s="863"/>
      <c r="FJW50" s="863"/>
      <c r="FJX50" s="863"/>
      <c r="FJY50" s="863"/>
      <c r="FJZ50" s="863"/>
      <c r="FKA50" s="863"/>
      <c r="FKB50" s="863"/>
      <c r="FKC50" s="863"/>
      <c r="FKD50" s="863"/>
      <c r="FKE50" s="863"/>
      <c r="FKF50" s="863"/>
      <c r="FKG50" s="863"/>
      <c r="FKH50" s="863"/>
      <c r="FKI50" s="863"/>
      <c r="FKJ50" s="863"/>
      <c r="FKK50" s="883"/>
      <c r="FKL50" s="883"/>
      <c r="FKM50" s="883"/>
      <c r="FKN50" s="883"/>
      <c r="FKO50" s="883"/>
      <c r="FKP50" s="883"/>
      <c r="FKQ50" s="883"/>
      <c r="FKR50" s="883"/>
      <c r="FKS50" s="883"/>
      <c r="FKT50" s="863"/>
      <c r="FKU50" s="863"/>
      <c r="FKV50" s="863"/>
      <c r="FKW50" s="863"/>
      <c r="FKX50" s="863"/>
      <c r="FKY50" s="863"/>
      <c r="FKZ50" s="863"/>
      <c r="FLA50" s="863"/>
      <c r="FLB50" s="863"/>
      <c r="FLC50" s="863"/>
      <c r="FLD50" s="863"/>
      <c r="FLE50" s="863"/>
      <c r="FLF50" s="863"/>
      <c r="FLG50" s="863"/>
      <c r="FLH50" s="863"/>
      <c r="FLI50" s="863"/>
      <c r="FLJ50" s="863"/>
      <c r="FLK50" s="863"/>
      <c r="FLL50" s="863"/>
      <c r="FLM50" s="863"/>
      <c r="FLN50" s="863"/>
      <c r="FLO50" s="863"/>
      <c r="FLP50" s="863"/>
      <c r="FLQ50" s="883"/>
      <c r="FLR50" s="883"/>
      <c r="FLS50" s="883"/>
      <c r="FLT50" s="883"/>
      <c r="FLU50" s="883"/>
      <c r="FLV50" s="883"/>
      <c r="FLW50" s="883"/>
      <c r="FLX50" s="883"/>
      <c r="FLY50" s="883"/>
      <c r="FLZ50" s="863"/>
      <c r="FMA50" s="863"/>
      <c r="FMB50" s="863"/>
      <c r="FMC50" s="863"/>
      <c r="FMD50" s="863"/>
      <c r="FME50" s="863"/>
      <c r="FMF50" s="863"/>
      <c r="FMG50" s="863"/>
      <c r="FMH50" s="863"/>
      <c r="FMI50" s="863"/>
      <c r="FMJ50" s="863"/>
      <c r="FMK50" s="863"/>
      <c r="FML50" s="863"/>
      <c r="FMM50" s="863"/>
      <c r="FMN50" s="863"/>
      <c r="FMO50" s="863"/>
      <c r="FMP50" s="863"/>
      <c r="FMQ50" s="863"/>
      <c r="FMR50" s="863"/>
      <c r="FMS50" s="863"/>
      <c r="FMT50" s="863"/>
      <c r="FMU50" s="863"/>
      <c r="FMV50" s="863"/>
      <c r="FMW50" s="883"/>
      <c r="FMX50" s="883"/>
      <c r="FMY50" s="883"/>
      <c r="FMZ50" s="883"/>
      <c r="FNA50" s="883"/>
      <c r="FNB50" s="883"/>
      <c r="FNC50" s="883"/>
      <c r="FND50" s="883"/>
      <c r="FNE50" s="883"/>
      <c r="FNF50" s="863"/>
      <c r="FNG50" s="863"/>
      <c r="FNH50" s="863"/>
      <c r="FNI50" s="863"/>
      <c r="FNJ50" s="863"/>
      <c r="FNK50" s="863"/>
      <c r="FNL50" s="863"/>
      <c r="FNM50" s="863"/>
      <c r="FNN50" s="863"/>
      <c r="FNO50" s="863"/>
      <c r="FNP50" s="863"/>
      <c r="FNQ50" s="863"/>
      <c r="FNR50" s="863"/>
      <c r="FNS50" s="863"/>
      <c r="FNT50" s="863"/>
      <c r="FNU50" s="863"/>
      <c r="FNV50" s="863"/>
      <c r="FNW50" s="863"/>
      <c r="FNX50" s="863"/>
      <c r="FNY50" s="863"/>
      <c r="FNZ50" s="863"/>
      <c r="FOA50" s="863"/>
      <c r="FOB50" s="863"/>
      <c r="FOC50" s="883"/>
      <c r="FOD50" s="883"/>
      <c r="FOE50" s="883"/>
      <c r="FOF50" s="883"/>
      <c r="FOG50" s="883"/>
      <c r="FOH50" s="883"/>
      <c r="FOI50" s="883"/>
      <c r="FOJ50" s="883"/>
      <c r="FOK50" s="883"/>
      <c r="FOL50" s="863"/>
      <c r="FOM50" s="863"/>
      <c r="FON50" s="863"/>
      <c r="FOO50" s="863"/>
      <c r="FOP50" s="863"/>
      <c r="FOQ50" s="863"/>
      <c r="FOR50" s="863"/>
      <c r="FOS50" s="863"/>
      <c r="FOT50" s="863"/>
      <c r="FOU50" s="863"/>
      <c r="FOV50" s="863"/>
      <c r="FOW50" s="863"/>
      <c r="FOX50" s="863"/>
      <c r="FOY50" s="863"/>
      <c r="FOZ50" s="863"/>
      <c r="FPA50" s="863"/>
      <c r="FPB50" s="863"/>
      <c r="FPC50" s="863"/>
      <c r="FPD50" s="863"/>
      <c r="FPE50" s="863"/>
      <c r="FPF50" s="863"/>
      <c r="FPG50" s="863"/>
      <c r="FPH50" s="863"/>
      <c r="FPI50" s="883"/>
      <c r="FPJ50" s="883"/>
      <c r="FPK50" s="883"/>
      <c r="FPL50" s="883"/>
      <c r="FPM50" s="883"/>
      <c r="FPN50" s="883"/>
      <c r="FPO50" s="883"/>
      <c r="FPP50" s="883"/>
      <c r="FPQ50" s="883"/>
      <c r="FPR50" s="863"/>
      <c r="FPS50" s="863"/>
      <c r="FPT50" s="863"/>
      <c r="FPU50" s="863"/>
      <c r="FPV50" s="863"/>
      <c r="FPW50" s="863"/>
      <c r="FPX50" s="863"/>
      <c r="FPY50" s="863"/>
      <c r="FPZ50" s="863"/>
      <c r="FQA50" s="863"/>
      <c r="FQB50" s="863"/>
      <c r="FQC50" s="863"/>
      <c r="FQD50" s="863"/>
      <c r="FQE50" s="863"/>
      <c r="FQF50" s="863"/>
      <c r="FQG50" s="863"/>
      <c r="FQH50" s="863"/>
      <c r="FQI50" s="863"/>
      <c r="FQJ50" s="863"/>
      <c r="FQK50" s="863"/>
      <c r="FQL50" s="863"/>
      <c r="FQM50" s="863"/>
      <c r="FQN50" s="863"/>
      <c r="FQO50" s="883"/>
      <c r="FQP50" s="883"/>
      <c r="FQQ50" s="883"/>
      <c r="FQR50" s="883"/>
      <c r="FQS50" s="883"/>
      <c r="FQT50" s="883"/>
      <c r="FQU50" s="883"/>
      <c r="FQV50" s="883"/>
      <c r="FQW50" s="883"/>
      <c r="FQX50" s="863"/>
      <c r="FQY50" s="863"/>
      <c r="FQZ50" s="863"/>
      <c r="FRA50" s="863"/>
      <c r="FRB50" s="863"/>
      <c r="FRC50" s="863"/>
      <c r="FRD50" s="863"/>
      <c r="FRE50" s="863"/>
      <c r="FRF50" s="863"/>
      <c r="FRG50" s="863"/>
      <c r="FRH50" s="863"/>
      <c r="FRI50" s="863"/>
      <c r="FRJ50" s="863"/>
      <c r="FRK50" s="863"/>
      <c r="FRL50" s="863"/>
      <c r="FRM50" s="863"/>
      <c r="FRN50" s="863"/>
      <c r="FRO50" s="863"/>
      <c r="FRP50" s="863"/>
      <c r="FRQ50" s="863"/>
      <c r="FRR50" s="863"/>
      <c r="FRS50" s="863"/>
      <c r="FRT50" s="863"/>
      <c r="FRU50" s="883"/>
      <c r="FRV50" s="883"/>
      <c r="FRW50" s="883"/>
      <c r="FRX50" s="883"/>
      <c r="FRY50" s="883"/>
      <c r="FRZ50" s="883"/>
      <c r="FSA50" s="883"/>
      <c r="FSB50" s="883"/>
      <c r="FSC50" s="883"/>
      <c r="FSD50" s="863"/>
      <c r="FSE50" s="863"/>
      <c r="FSF50" s="863"/>
      <c r="FSG50" s="863"/>
      <c r="FSH50" s="863"/>
      <c r="FSI50" s="863"/>
      <c r="FSJ50" s="863"/>
      <c r="FSK50" s="863"/>
      <c r="FSL50" s="863"/>
      <c r="FSM50" s="863"/>
      <c r="FSN50" s="863"/>
      <c r="FSO50" s="863"/>
      <c r="FSP50" s="863"/>
      <c r="FSQ50" s="863"/>
      <c r="FSR50" s="863"/>
      <c r="FSS50" s="863"/>
      <c r="FST50" s="863"/>
      <c r="FSU50" s="863"/>
      <c r="FSV50" s="863"/>
      <c r="FSW50" s="863"/>
      <c r="FSX50" s="863"/>
      <c r="FSY50" s="863"/>
      <c r="FSZ50" s="863"/>
      <c r="FTA50" s="883"/>
      <c r="FTB50" s="883"/>
      <c r="FTC50" s="883"/>
      <c r="FTD50" s="883"/>
      <c r="FTE50" s="883"/>
      <c r="FTF50" s="883"/>
      <c r="FTG50" s="883"/>
      <c r="FTH50" s="883"/>
      <c r="FTI50" s="883"/>
      <c r="FTJ50" s="863"/>
      <c r="FTK50" s="863"/>
      <c r="FTL50" s="863"/>
      <c r="FTM50" s="863"/>
      <c r="FTN50" s="863"/>
      <c r="FTO50" s="863"/>
      <c r="FTP50" s="863"/>
      <c r="FTQ50" s="863"/>
      <c r="FTR50" s="863"/>
      <c r="FTS50" s="863"/>
      <c r="FTT50" s="863"/>
      <c r="FTU50" s="863"/>
      <c r="FTV50" s="863"/>
      <c r="FTW50" s="863"/>
      <c r="FTX50" s="863"/>
      <c r="FTY50" s="863"/>
      <c r="FTZ50" s="863"/>
      <c r="FUA50" s="863"/>
      <c r="FUB50" s="863"/>
      <c r="FUC50" s="863"/>
      <c r="FUD50" s="863"/>
      <c r="FUE50" s="863"/>
      <c r="FUF50" s="863"/>
      <c r="FUG50" s="883"/>
      <c r="FUH50" s="883"/>
      <c r="FUI50" s="883"/>
      <c r="FUJ50" s="883"/>
      <c r="FUK50" s="883"/>
      <c r="FUL50" s="883"/>
      <c r="FUM50" s="883"/>
      <c r="FUN50" s="883"/>
      <c r="FUO50" s="883"/>
      <c r="FUP50" s="863"/>
      <c r="FUQ50" s="863"/>
      <c r="FUR50" s="863"/>
      <c r="FUS50" s="863"/>
      <c r="FUT50" s="863"/>
      <c r="FUU50" s="863"/>
      <c r="FUV50" s="863"/>
      <c r="FUW50" s="863"/>
      <c r="FUX50" s="863"/>
      <c r="FUY50" s="863"/>
      <c r="FUZ50" s="863"/>
      <c r="FVA50" s="863"/>
      <c r="FVB50" s="863"/>
      <c r="FVC50" s="863"/>
      <c r="FVD50" s="863"/>
      <c r="FVE50" s="863"/>
      <c r="FVF50" s="863"/>
      <c r="FVG50" s="863"/>
      <c r="FVH50" s="863"/>
      <c r="FVI50" s="863"/>
      <c r="FVJ50" s="863"/>
      <c r="FVK50" s="863"/>
      <c r="FVL50" s="863"/>
      <c r="FVM50" s="883"/>
      <c r="FVN50" s="883"/>
      <c r="FVO50" s="883"/>
      <c r="FVP50" s="883"/>
      <c r="FVQ50" s="883"/>
      <c r="FVR50" s="883"/>
      <c r="FVS50" s="883"/>
      <c r="FVT50" s="883"/>
      <c r="FVU50" s="883"/>
      <c r="FVV50" s="863"/>
      <c r="FVW50" s="863"/>
      <c r="FVX50" s="863"/>
      <c r="FVY50" s="863"/>
      <c r="FVZ50" s="863"/>
      <c r="FWA50" s="863"/>
      <c r="FWB50" s="863"/>
      <c r="FWC50" s="863"/>
      <c r="FWD50" s="863"/>
      <c r="FWE50" s="863"/>
      <c r="FWF50" s="863"/>
      <c r="FWG50" s="863"/>
      <c r="FWH50" s="863"/>
      <c r="FWI50" s="863"/>
      <c r="FWJ50" s="863"/>
      <c r="FWK50" s="863"/>
      <c r="FWL50" s="863"/>
      <c r="FWM50" s="863"/>
      <c r="FWN50" s="863"/>
      <c r="FWO50" s="863"/>
      <c r="FWP50" s="863"/>
      <c r="FWQ50" s="863"/>
      <c r="FWR50" s="863"/>
      <c r="FWS50" s="883"/>
      <c r="FWT50" s="883"/>
      <c r="FWU50" s="883"/>
      <c r="FWV50" s="883"/>
      <c r="FWW50" s="883"/>
      <c r="FWX50" s="883"/>
      <c r="FWY50" s="883"/>
      <c r="FWZ50" s="883"/>
      <c r="FXA50" s="883"/>
      <c r="FXB50" s="863"/>
      <c r="FXC50" s="863"/>
      <c r="FXD50" s="863"/>
      <c r="FXE50" s="863"/>
      <c r="FXF50" s="863"/>
      <c r="FXG50" s="863"/>
      <c r="FXH50" s="863"/>
      <c r="FXI50" s="863"/>
      <c r="FXJ50" s="863"/>
      <c r="FXK50" s="863"/>
      <c r="FXL50" s="863"/>
      <c r="FXM50" s="863"/>
      <c r="FXN50" s="863"/>
      <c r="FXO50" s="863"/>
      <c r="FXP50" s="863"/>
      <c r="FXQ50" s="863"/>
      <c r="FXR50" s="863"/>
      <c r="FXS50" s="863"/>
      <c r="FXT50" s="863"/>
      <c r="FXU50" s="863"/>
      <c r="FXV50" s="863"/>
      <c r="FXW50" s="863"/>
      <c r="FXX50" s="863"/>
      <c r="FXY50" s="883"/>
      <c r="FXZ50" s="883"/>
      <c r="FYA50" s="883"/>
      <c r="FYB50" s="883"/>
      <c r="FYC50" s="883"/>
      <c r="FYD50" s="883"/>
      <c r="FYE50" s="883"/>
      <c r="FYF50" s="883"/>
      <c r="FYG50" s="883"/>
      <c r="FYH50" s="863"/>
      <c r="FYI50" s="863"/>
      <c r="FYJ50" s="863"/>
      <c r="FYK50" s="863"/>
      <c r="FYL50" s="863"/>
      <c r="FYM50" s="863"/>
      <c r="FYN50" s="863"/>
      <c r="FYO50" s="863"/>
      <c r="FYP50" s="863"/>
      <c r="FYQ50" s="863"/>
      <c r="FYR50" s="863"/>
      <c r="FYS50" s="863"/>
      <c r="FYT50" s="863"/>
      <c r="FYU50" s="863"/>
      <c r="FYV50" s="863"/>
      <c r="FYW50" s="863"/>
      <c r="FYX50" s="863"/>
      <c r="FYY50" s="863"/>
      <c r="FYZ50" s="863"/>
      <c r="FZA50" s="863"/>
      <c r="FZB50" s="863"/>
      <c r="FZC50" s="863"/>
      <c r="FZD50" s="863"/>
      <c r="FZE50" s="883"/>
      <c r="FZF50" s="883"/>
      <c r="FZG50" s="883"/>
      <c r="FZH50" s="883"/>
      <c r="FZI50" s="883"/>
      <c r="FZJ50" s="883"/>
      <c r="FZK50" s="883"/>
      <c r="FZL50" s="883"/>
      <c r="FZM50" s="883"/>
      <c r="FZN50" s="863"/>
      <c r="FZO50" s="863"/>
      <c r="FZP50" s="863"/>
      <c r="FZQ50" s="863"/>
      <c r="FZR50" s="863"/>
      <c r="FZS50" s="863"/>
      <c r="FZT50" s="863"/>
      <c r="FZU50" s="863"/>
      <c r="FZV50" s="863"/>
      <c r="FZW50" s="863"/>
      <c r="FZX50" s="863"/>
      <c r="FZY50" s="863"/>
      <c r="FZZ50" s="863"/>
      <c r="GAA50" s="863"/>
      <c r="GAB50" s="863"/>
      <c r="GAC50" s="863"/>
      <c r="GAD50" s="863"/>
      <c r="GAE50" s="863"/>
      <c r="GAF50" s="863"/>
      <c r="GAG50" s="863"/>
      <c r="GAH50" s="863"/>
      <c r="GAI50" s="863"/>
      <c r="GAJ50" s="863"/>
      <c r="GAK50" s="883"/>
      <c r="GAL50" s="883"/>
      <c r="GAM50" s="883"/>
      <c r="GAN50" s="883"/>
      <c r="GAO50" s="883"/>
      <c r="GAP50" s="883"/>
      <c r="GAQ50" s="883"/>
      <c r="GAR50" s="883"/>
      <c r="GAS50" s="883"/>
      <c r="GAT50" s="863"/>
      <c r="GAU50" s="863"/>
      <c r="GAV50" s="863"/>
      <c r="GAW50" s="863"/>
      <c r="GAX50" s="863"/>
      <c r="GAY50" s="863"/>
      <c r="GAZ50" s="863"/>
      <c r="GBA50" s="863"/>
      <c r="GBB50" s="863"/>
      <c r="GBC50" s="863"/>
      <c r="GBD50" s="863"/>
      <c r="GBE50" s="863"/>
      <c r="GBF50" s="863"/>
      <c r="GBG50" s="863"/>
      <c r="GBH50" s="863"/>
      <c r="GBI50" s="863"/>
      <c r="GBJ50" s="863"/>
      <c r="GBK50" s="863"/>
      <c r="GBL50" s="863"/>
      <c r="GBM50" s="863"/>
      <c r="GBN50" s="863"/>
      <c r="GBO50" s="863"/>
      <c r="GBP50" s="863"/>
      <c r="GBQ50" s="883"/>
      <c r="GBR50" s="883"/>
      <c r="GBS50" s="883"/>
      <c r="GBT50" s="883"/>
      <c r="GBU50" s="883"/>
      <c r="GBV50" s="883"/>
      <c r="GBW50" s="883"/>
      <c r="GBX50" s="883"/>
      <c r="GBY50" s="883"/>
      <c r="GBZ50" s="863"/>
      <c r="GCA50" s="863"/>
      <c r="GCB50" s="863"/>
      <c r="GCC50" s="863"/>
      <c r="GCD50" s="863"/>
      <c r="GCE50" s="863"/>
      <c r="GCF50" s="863"/>
      <c r="GCG50" s="863"/>
      <c r="GCH50" s="863"/>
      <c r="GCI50" s="863"/>
      <c r="GCJ50" s="863"/>
      <c r="GCK50" s="863"/>
      <c r="GCL50" s="863"/>
      <c r="GCM50" s="863"/>
      <c r="GCN50" s="863"/>
      <c r="GCO50" s="863"/>
      <c r="GCP50" s="863"/>
      <c r="GCQ50" s="863"/>
      <c r="GCR50" s="863"/>
      <c r="GCS50" s="863"/>
      <c r="GCT50" s="863"/>
      <c r="GCU50" s="863"/>
      <c r="GCV50" s="863"/>
      <c r="GCW50" s="883"/>
      <c r="GCX50" s="883"/>
      <c r="GCY50" s="883"/>
      <c r="GCZ50" s="883"/>
      <c r="GDA50" s="883"/>
      <c r="GDB50" s="883"/>
      <c r="GDC50" s="883"/>
      <c r="GDD50" s="883"/>
      <c r="GDE50" s="883"/>
      <c r="GDF50" s="863"/>
      <c r="GDG50" s="863"/>
      <c r="GDH50" s="863"/>
      <c r="GDI50" s="863"/>
      <c r="GDJ50" s="863"/>
      <c r="GDK50" s="863"/>
      <c r="GDL50" s="863"/>
      <c r="GDM50" s="863"/>
      <c r="GDN50" s="863"/>
      <c r="GDO50" s="863"/>
      <c r="GDP50" s="863"/>
      <c r="GDQ50" s="863"/>
      <c r="GDR50" s="863"/>
      <c r="GDS50" s="863"/>
      <c r="GDT50" s="863"/>
      <c r="GDU50" s="863"/>
      <c r="GDV50" s="863"/>
      <c r="GDW50" s="863"/>
      <c r="GDX50" s="863"/>
      <c r="GDY50" s="863"/>
      <c r="GDZ50" s="863"/>
      <c r="GEA50" s="863"/>
      <c r="GEB50" s="863"/>
      <c r="GEC50" s="883"/>
      <c r="GED50" s="883"/>
      <c r="GEE50" s="883"/>
      <c r="GEF50" s="883"/>
      <c r="GEG50" s="883"/>
      <c r="GEH50" s="883"/>
      <c r="GEI50" s="883"/>
      <c r="GEJ50" s="883"/>
      <c r="GEK50" s="883"/>
      <c r="GEL50" s="863"/>
      <c r="GEM50" s="863"/>
      <c r="GEN50" s="863"/>
      <c r="GEO50" s="863"/>
      <c r="GEP50" s="863"/>
      <c r="GEQ50" s="863"/>
      <c r="GER50" s="863"/>
      <c r="GES50" s="863"/>
      <c r="GET50" s="863"/>
      <c r="GEU50" s="863"/>
      <c r="GEV50" s="863"/>
      <c r="GEW50" s="863"/>
      <c r="GEX50" s="863"/>
      <c r="GEY50" s="863"/>
      <c r="GEZ50" s="863"/>
      <c r="GFA50" s="863"/>
      <c r="GFB50" s="863"/>
      <c r="GFC50" s="863"/>
      <c r="GFD50" s="863"/>
      <c r="GFE50" s="863"/>
      <c r="GFF50" s="863"/>
      <c r="GFG50" s="863"/>
      <c r="GFH50" s="863"/>
      <c r="GFI50" s="883"/>
      <c r="GFJ50" s="883"/>
      <c r="GFK50" s="883"/>
      <c r="GFL50" s="883"/>
      <c r="GFM50" s="883"/>
      <c r="GFN50" s="883"/>
      <c r="GFO50" s="883"/>
      <c r="GFP50" s="883"/>
      <c r="GFQ50" s="883"/>
      <c r="GFR50" s="863"/>
      <c r="GFS50" s="863"/>
      <c r="GFT50" s="863"/>
      <c r="GFU50" s="863"/>
      <c r="GFV50" s="863"/>
      <c r="GFW50" s="863"/>
      <c r="GFX50" s="863"/>
      <c r="GFY50" s="863"/>
      <c r="GFZ50" s="863"/>
      <c r="GGA50" s="863"/>
      <c r="GGB50" s="863"/>
      <c r="GGC50" s="863"/>
      <c r="GGD50" s="863"/>
      <c r="GGE50" s="863"/>
      <c r="GGF50" s="863"/>
      <c r="GGG50" s="863"/>
      <c r="GGH50" s="863"/>
      <c r="GGI50" s="863"/>
      <c r="GGJ50" s="863"/>
      <c r="GGK50" s="863"/>
      <c r="GGL50" s="863"/>
      <c r="GGM50" s="863"/>
      <c r="GGN50" s="863"/>
      <c r="GGO50" s="883"/>
      <c r="GGP50" s="883"/>
      <c r="GGQ50" s="883"/>
      <c r="GGR50" s="883"/>
      <c r="GGS50" s="883"/>
      <c r="GGT50" s="883"/>
      <c r="GGU50" s="883"/>
      <c r="GGV50" s="883"/>
      <c r="GGW50" s="883"/>
      <c r="GGX50" s="863"/>
      <c r="GGY50" s="863"/>
      <c r="GGZ50" s="863"/>
      <c r="GHA50" s="863"/>
      <c r="GHB50" s="863"/>
      <c r="GHC50" s="863"/>
      <c r="GHD50" s="863"/>
      <c r="GHE50" s="863"/>
      <c r="GHF50" s="863"/>
      <c r="GHG50" s="863"/>
      <c r="GHH50" s="863"/>
      <c r="GHI50" s="863"/>
      <c r="GHJ50" s="863"/>
      <c r="GHK50" s="863"/>
      <c r="GHL50" s="863"/>
      <c r="GHM50" s="863"/>
      <c r="GHN50" s="863"/>
      <c r="GHO50" s="863"/>
      <c r="GHP50" s="863"/>
      <c r="GHQ50" s="863"/>
      <c r="GHR50" s="863"/>
      <c r="GHS50" s="863"/>
      <c r="GHT50" s="863"/>
      <c r="GHU50" s="883"/>
      <c r="GHV50" s="883"/>
      <c r="GHW50" s="883"/>
      <c r="GHX50" s="883"/>
      <c r="GHY50" s="883"/>
      <c r="GHZ50" s="883"/>
      <c r="GIA50" s="883"/>
      <c r="GIB50" s="883"/>
      <c r="GIC50" s="883"/>
      <c r="GID50" s="863"/>
      <c r="GIE50" s="863"/>
      <c r="GIF50" s="863"/>
      <c r="GIG50" s="863"/>
      <c r="GIH50" s="863"/>
      <c r="GII50" s="863"/>
      <c r="GIJ50" s="863"/>
      <c r="GIK50" s="863"/>
      <c r="GIL50" s="863"/>
      <c r="GIM50" s="863"/>
      <c r="GIN50" s="863"/>
      <c r="GIO50" s="863"/>
      <c r="GIP50" s="863"/>
      <c r="GIQ50" s="863"/>
      <c r="GIR50" s="863"/>
      <c r="GIS50" s="863"/>
      <c r="GIT50" s="863"/>
      <c r="GIU50" s="863"/>
      <c r="GIV50" s="863"/>
      <c r="GIW50" s="863"/>
      <c r="GIX50" s="863"/>
      <c r="GIY50" s="863"/>
      <c r="GIZ50" s="863"/>
      <c r="GJA50" s="883"/>
      <c r="GJB50" s="883"/>
      <c r="GJC50" s="883"/>
      <c r="GJD50" s="883"/>
      <c r="GJE50" s="883"/>
      <c r="GJF50" s="883"/>
      <c r="GJG50" s="883"/>
      <c r="GJH50" s="883"/>
      <c r="GJI50" s="883"/>
      <c r="GJJ50" s="863"/>
      <c r="GJK50" s="863"/>
      <c r="GJL50" s="863"/>
      <c r="GJM50" s="863"/>
      <c r="GJN50" s="863"/>
      <c r="GJO50" s="863"/>
      <c r="GJP50" s="863"/>
      <c r="GJQ50" s="863"/>
      <c r="GJR50" s="863"/>
      <c r="GJS50" s="863"/>
      <c r="GJT50" s="863"/>
      <c r="GJU50" s="863"/>
      <c r="GJV50" s="863"/>
      <c r="GJW50" s="863"/>
      <c r="GJX50" s="863"/>
      <c r="GJY50" s="863"/>
      <c r="GJZ50" s="863"/>
      <c r="GKA50" s="863"/>
      <c r="GKB50" s="863"/>
      <c r="GKC50" s="863"/>
      <c r="GKD50" s="863"/>
      <c r="GKE50" s="863"/>
      <c r="GKF50" s="863"/>
      <c r="GKG50" s="883"/>
      <c r="GKH50" s="883"/>
      <c r="GKI50" s="883"/>
      <c r="GKJ50" s="883"/>
      <c r="GKK50" s="883"/>
      <c r="GKL50" s="883"/>
      <c r="GKM50" s="883"/>
      <c r="GKN50" s="883"/>
      <c r="GKO50" s="883"/>
      <c r="GKP50" s="863"/>
      <c r="GKQ50" s="863"/>
      <c r="GKR50" s="863"/>
      <c r="GKS50" s="863"/>
      <c r="GKT50" s="863"/>
      <c r="GKU50" s="863"/>
      <c r="GKV50" s="863"/>
      <c r="GKW50" s="863"/>
      <c r="GKX50" s="863"/>
      <c r="GKY50" s="863"/>
      <c r="GKZ50" s="863"/>
      <c r="GLA50" s="863"/>
      <c r="GLB50" s="863"/>
      <c r="GLC50" s="863"/>
      <c r="GLD50" s="863"/>
      <c r="GLE50" s="863"/>
      <c r="GLF50" s="863"/>
      <c r="GLG50" s="863"/>
      <c r="GLH50" s="863"/>
      <c r="GLI50" s="863"/>
      <c r="GLJ50" s="863"/>
      <c r="GLK50" s="863"/>
      <c r="GLL50" s="863"/>
      <c r="GLM50" s="883"/>
      <c r="GLN50" s="883"/>
      <c r="GLO50" s="883"/>
      <c r="GLP50" s="883"/>
      <c r="GLQ50" s="883"/>
      <c r="GLR50" s="883"/>
      <c r="GLS50" s="883"/>
      <c r="GLT50" s="883"/>
      <c r="GLU50" s="883"/>
      <c r="GLV50" s="863"/>
      <c r="GLW50" s="863"/>
      <c r="GLX50" s="863"/>
      <c r="GLY50" s="863"/>
      <c r="GLZ50" s="863"/>
      <c r="GMA50" s="863"/>
      <c r="GMB50" s="863"/>
      <c r="GMC50" s="863"/>
      <c r="GMD50" s="863"/>
      <c r="GME50" s="863"/>
      <c r="GMF50" s="863"/>
      <c r="GMG50" s="863"/>
      <c r="GMH50" s="863"/>
      <c r="GMI50" s="863"/>
      <c r="GMJ50" s="863"/>
      <c r="GMK50" s="863"/>
      <c r="GML50" s="863"/>
      <c r="GMM50" s="863"/>
      <c r="GMN50" s="863"/>
      <c r="GMO50" s="863"/>
      <c r="GMP50" s="863"/>
      <c r="GMQ50" s="863"/>
      <c r="GMR50" s="863"/>
      <c r="GMS50" s="883"/>
      <c r="GMT50" s="883"/>
      <c r="GMU50" s="883"/>
      <c r="GMV50" s="883"/>
      <c r="GMW50" s="883"/>
      <c r="GMX50" s="883"/>
      <c r="GMY50" s="883"/>
      <c r="GMZ50" s="883"/>
      <c r="GNA50" s="883"/>
      <c r="GNB50" s="863"/>
      <c r="GNC50" s="863"/>
      <c r="GND50" s="863"/>
      <c r="GNE50" s="863"/>
      <c r="GNF50" s="863"/>
      <c r="GNG50" s="863"/>
      <c r="GNH50" s="863"/>
      <c r="GNI50" s="863"/>
      <c r="GNJ50" s="863"/>
      <c r="GNK50" s="863"/>
      <c r="GNL50" s="863"/>
      <c r="GNM50" s="863"/>
      <c r="GNN50" s="863"/>
      <c r="GNO50" s="863"/>
      <c r="GNP50" s="863"/>
      <c r="GNQ50" s="863"/>
      <c r="GNR50" s="863"/>
      <c r="GNS50" s="863"/>
      <c r="GNT50" s="863"/>
      <c r="GNU50" s="863"/>
      <c r="GNV50" s="863"/>
      <c r="GNW50" s="863"/>
      <c r="GNX50" s="863"/>
      <c r="GNY50" s="883"/>
      <c r="GNZ50" s="883"/>
      <c r="GOA50" s="883"/>
      <c r="GOB50" s="883"/>
      <c r="GOC50" s="883"/>
      <c r="GOD50" s="883"/>
      <c r="GOE50" s="883"/>
      <c r="GOF50" s="883"/>
      <c r="GOG50" s="883"/>
      <c r="GOH50" s="863"/>
      <c r="GOI50" s="863"/>
      <c r="GOJ50" s="863"/>
      <c r="GOK50" s="863"/>
      <c r="GOL50" s="863"/>
      <c r="GOM50" s="863"/>
      <c r="GON50" s="863"/>
      <c r="GOO50" s="863"/>
      <c r="GOP50" s="863"/>
      <c r="GOQ50" s="863"/>
      <c r="GOR50" s="863"/>
      <c r="GOS50" s="863"/>
      <c r="GOT50" s="863"/>
      <c r="GOU50" s="863"/>
      <c r="GOV50" s="863"/>
      <c r="GOW50" s="863"/>
      <c r="GOX50" s="863"/>
      <c r="GOY50" s="863"/>
      <c r="GOZ50" s="863"/>
      <c r="GPA50" s="863"/>
      <c r="GPB50" s="863"/>
      <c r="GPC50" s="863"/>
      <c r="GPD50" s="863"/>
      <c r="GPE50" s="883"/>
      <c r="GPF50" s="883"/>
      <c r="GPG50" s="883"/>
      <c r="GPH50" s="883"/>
      <c r="GPI50" s="883"/>
      <c r="GPJ50" s="883"/>
      <c r="GPK50" s="883"/>
      <c r="GPL50" s="883"/>
      <c r="GPM50" s="883"/>
      <c r="GPN50" s="863"/>
      <c r="GPO50" s="863"/>
      <c r="GPP50" s="863"/>
      <c r="GPQ50" s="863"/>
      <c r="GPR50" s="863"/>
      <c r="GPS50" s="863"/>
      <c r="GPT50" s="863"/>
      <c r="GPU50" s="863"/>
      <c r="GPV50" s="863"/>
      <c r="GPW50" s="863"/>
      <c r="GPX50" s="863"/>
      <c r="GPY50" s="863"/>
      <c r="GPZ50" s="863"/>
      <c r="GQA50" s="863"/>
      <c r="GQB50" s="863"/>
      <c r="GQC50" s="863"/>
      <c r="GQD50" s="863"/>
      <c r="GQE50" s="863"/>
      <c r="GQF50" s="863"/>
      <c r="GQG50" s="863"/>
      <c r="GQH50" s="863"/>
      <c r="GQI50" s="863"/>
      <c r="GQJ50" s="863"/>
      <c r="GQK50" s="883"/>
      <c r="GQL50" s="883"/>
      <c r="GQM50" s="883"/>
      <c r="GQN50" s="883"/>
      <c r="GQO50" s="883"/>
      <c r="GQP50" s="883"/>
      <c r="GQQ50" s="883"/>
      <c r="GQR50" s="883"/>
      <c r="GQS50" s="883"/>
      <c r="GQT50" s="863"/>
      <c r="GQU50" s="863"/>
      <c r="GQV50" s="863"/>
      <c r="GQW50" s="863"/>
      <c r="GQX50" s="863"/>
      <c r="GQY50" s="863"/>
      <c r="GQZ50" s="863"/>
      <c r="GRA50" s="863"/>
      <c r="GRB50" s="863"/>
      <c r="GRC50" s="863"/>
      <c r="GRD50" s="863"/>
      <c r="GRE50" s="863"/>
      <c r="GRF50" s="863"/>
      <c r="GRG50" s="863"/>
      <c r="GRH50" s="863"/>
      <c r="GRI50" s="863"/>
      <c r="GRJ50" s="863"/>
      <c r="GRK50" s="863"/>
      <c r="GRL50" s="863"/>
      <c r="GRM50" s="863"/>
      <c r="GRN50" s="863"/>
      <c r="GRO50" s="863"/>
      <c r="GRP50" s="863"/>
      <c r="GRQ50" s="883"/>
      <c r="GRR50" s="883"/>
      <c r="GRS50" s="883"/>
      <c r="GRT50" s="883"/>
      <c r="GRU50" s="883"/>
      <c r="GRV50" s="883"/>
      <c r="GRW50" s="883"/>
      <c r="GRX50" s="883"/>
      <c r="GRY50" s="883"/>
      <c r="GRZ50" s="863"/>
      <c r="GSA50" s="863"/>
      <c r="GSB50" s="863"/>
      <c r="GSC50" s="863"/>
      <c r="GSD50" s="863"/>
      <c r="GSE50" s="863"/>
      <c r="GSF50" s="863"/>
      <c r="GSG50" s="863"/>
      <c r="GSH50" s="863"/>
      <c r="GSI50" s="863"/>
      <c r="GSJ50" s="863"/>
      <c r="GSK50" s="863"/>
      <c r="GSL50" s="863"/>
      <c r="GSM50" s="863"/>
      <c r="GSN50" s="863"/>
      <c r="GSO50" s="863"/>
      <c r="GSP50" s="863"/>
      <c r="GSQ50" s="863"/>
      <c r="GSR50" s="863"/>
      <c r="GSS50" s="863"/>
      <c r="GST50" s="863"/>
      <c r="GSU50" s="863"/>
      <c r="GSV50" s="863"/>
      <c r="GSW50" s="883"/>
      <c r="GSX50" s="883"/>
      <c r="GSY50" s="883"/>
      <c r="GSZ50" s="883"/>
      <c r="GTA50" s="883"/>
      <c r="GTB50" s="883"/>
      <c r="GTC50" s="883"/>
      <c r="GTD50" s="883"/>
      <c r="GTE50" s="883"/>
      <c r="GTF50" s="863"/>
      <c r="GTG50" s="863"/>
      <c r="GTH50" s="863"/>
      <c r="GTI50" s="863"/>
      <c r="GTJ50" s="863"/>
      <c r="GTK50" s="863"/>
      <c r="GTL50" s="863"/>
      <c r="GTM50" s="863"/>
      <c r="GTN50" s="863"/>
      <c r="GTO50" s="863"/>
      <c r="GTP50" s="863"/>
      <c r="GTQ50" s="863"/>
      <c r="GTR50" s="863"/>
      <c r="GTS50" s="863"/>
      <c r="GTT50" s="863"/>
      <c r="GTU50" s="863"/>
      <c r="GTV50" s="863"/>
      <c r="GTW50" s="863"/>
      <c r="GTX50" s="863"/>
      <c r="GTY50" s="863"/>
      <c r="GTZ50" s="863"/>
      <c r="GUA50" s="863"/>
      <c r="GUB50" s="863"/>
      <c r="GUC50" s="883"/>
      <c r="GUD50" s="883"/>
      <c r="GUE50" s="883"/>
      <c r="GUF50" s="883"/>
      <c r="GUG50" s="883"/>
      <c r="GUH50" s="883"/>
      <c r="GUI50" s="883"/>
      <c r="GUJ50" s="883"/>
      <c r="GUK50" s="883"/>
      <c r="GUL50" s="863"/>
      <c r="GUM50" s="863"/>
      <c r="GUN50" s="863"/>
      <c r="GUO50" s="863"/>
      <c r="GUP50" s="863"/>
      <c r="GUQ50" s="863"/>
      <c r="GUR50" s="863"/>
      <c r="GUS50" s="863"/>
      <c r="GUT50" s="863"/>
      <c r="GUU50" s="863"/>
      <c r="GUV50" s="863"/>
      <c r="GUW50" s="863"/>
      <c r="GUX50" s="863"/>
      <c r="GUY50" s="863"/>
      <c r="GUZ50" s="863"/>
      <c r="GVA50" s="863"/>
      <c r="GVB50" s="863"/>
      <c r="GVC50" s="863"/>
      <c r="GVD50" s="863"/>
      <c r="GVE50" s="863"/>
      <c r="GVF50" s="863"/>
      <c r="GVG50" s="863"/>
      <c r="GVH50" s="863"/>
      <c r="GVI50" s="883"/>
      <c r="GVJ50" s="883"/>
      <c r="GVK50" s="883"/>
      <c r="GVL50" s="883"/>
      <c r="GVM50" s="883"/>
      <c r="GVN50" s="883"/>
      <c r="GVO50" s="883"/>
      <c r="GVP50" s="883"/>
      <c r="GVQ50" s="883"/>
      <c r="GVR50" s="863"/>
      <c r="GVS50" s="863"/>
      <c r="GVT50" s="863"/>
      <c r="GVU50" s="863"/>
      <c r="GVV50" s="863"/>
      <c r="GVW50" s="863"/>
      <c r="GVX50" s="863"/>
      <c r="GVY50" s="863"/>
      <c r="GVZ50" s="863"/>
      <c r="GWA50" s="863"/>
      <c r="GWB50" s="863"/>
      <c r="GWC50" s="863"/>
      <c r="GWD50" s="863"/>
      <c r="GWE50" s="863"/>
      <c r="GWF50" s="863"/>
      <c r="GWG50" s="863"/>
      <c r="GWH50" s="863"/>
      <c r="GWI50" s="863"/>
      <c r="GWJ50" s="863"/>
      <c r="GWK50" s="863"/>
      <c r="GWL50" s="863"/>
      <c r="GWM50" s="863"/>
      <c r="GWN50" s="863"/>
      <c r="GWO50" s="883"/>
      <c r="GWP50" s="883"/>
      <c r="GWQ50" s="883"/>
      <c r="GWR50" s="883"/>
      <c r="GWS50" s="883"/>
      <c r="GWT50" s="883"/>
      <c r="GWU50" s="883"/>
      <c r="GWV50" s="883"/>
      <c r="GWW50" s="883"/>
      <c r="GWX50" s="863"/>
      <c r="GWY50" s="863"/>
      <c r="GWZ50" s="863"/>
      <c r="GXA50" s="863"/>
      <c r="GXB50" s="863"/>
      <c r="GXC50" s="863"/>
      <c r="GXD50" s="863"/>
      <c r="GXE50" s="863"/>
      <c r="GXF50" s="863"/>
      <c r="GXG50" s="863"/>
      <c r="GXH50" s="863"/>
      <c r="GXI50" s="863"/>
      <c r="GXJ50" s="863"/>
      <c r="GXK50" s="863"/>
      <c r="GXL50" s="863"/>
      <c r="GXM50" s="863"/>
      <c r="GXN50" s="863"/>
      <c r="GXO50" s="863"/>
      <c r="GXP50" s="863"/>
      <c r="GXQ50" s="863"/>
      <c r="GXR50" s="863"/>
      <c r="GXS50" s="863"/>
      <c r="GXT50" s="863"/>
      <c r="GXU50" s="883"/>
      <c r="GXV50" s="883"/>
      <c r="GXW50" s="883"/>
      <c r="GXX50" s="883"/>
      <c r="GXY50" s="883"/>
      <c r="GXZ50" s="883"/>
      <c r="GYA50" s="883"/>
      <c r="GYB50" s="883"/>
      <c r="GYC50" s="883"/>
      <c r="GYD50" s="863"/>
      <c r="GYE50" s="863"/>
      <c r="GYF50" s="863"/>
      <c r="GYG50" s="863"/>
      <c r="GYH50" s="863"/>
      <c r="GYI50" s="863"/>
      <c r="GYJ50" s="863"/>
      <c r="GYK50" s="863"/>
      <c r="GYL50" s="863"/>
      <c r="GYM50" s="863"/>
      <c r="GYN50" s="863"/>
      <c r="GYO50" s="863"/>
      <c r="GYP50" s="863"/>
      <c r="GYQ50" s="863"/>
      <c r="GYR50" s="863"/>
      <c r="GYS50" s="863"/>
      <c r="GYT50" s="863"/>
      <c r="GYU50" s="863"/>
      <c r="GYV50" s="863"/>
      <c r="GYW50" s="863"/>
      <c r="GYX50" s="863"/>
      <c r="GYY50" s="863"/>
      <c r="GYZ50" s="863"/>
      <c r="GZA50" s="883"/>
      <c r="GZB50" s="883"/>
      <c r="GZC50" s="883"/>
      <c r="GZD50" s="883"/>
      <c r="GZE50" s="883"/>
      <c r="GZF50" s="883"/>
      <c r="GZG50" s="883"/>
      <c r="GZH50" s="883"/>
      <c r="GZI50" s="883"/>
      <c r="GZJ50" s="863"/>
      <c r="GZK50" s="863"/>
      <c r="GZL50" s="863"/>
      <c r="GZM50" s="863"/>
      <c r="GZN50" s="863"/>
      <c r="GZO50" s="863"/>
      <c r="GZP50" s="863"/>
      <c r="GZQ50" s="863"/>
      <c r="GZR50" s="863"/>
      <c r="GZS50" s="863"/>
      <c r="GZT50" s="863"/>
      <c r="GZU50" s="863"/>
      <c r="GZV50" s="863"/>
      <c r="GZW50" s="863"/>
      <c r="GZX50" s="863"/>
      <c r="GZY50" s="863"/>
      <c r="GZZ50" s="863"/>
      <c r="HAA50" s="863"/>
      <c r="HAB50" s="863"/>
      <c r="HAC50" s="863"/>
      <c r="HAD50" s="863"/>
      <c r="HAE50" s="863"/>
      <c r="HAF50" s="863"/>
      <c r="HAG50" s="883"/>
      <c r="HAH50" s="883"/>
      <c r="HAI50" s="883"/>
      <c r="HAJ50" s="883"/>
      <c r="HAK50" s="883"/>
      <c r="HAL50" s="883"/>
      <c r="HAM50" s="883"/>
      <c r="HAN50" s="883"/>
      <c r="HAO50" s="883"/>
      <c r="HAP50" s="863"/>
      <c r="HAQ50" s="863"/>
      <c r="HAR50" s="863"/>
      <c r="HAS50" s="863"/>
      <c r="HAT50" s="863"/>
      <c r="HAU50" s="863"/>
      <c r="HAV50" s="863"/>
      <c r="HAW50" s="863"/>
      <c r="HAX50" s="863"/>
      <c r="HAY50" s="863"/>
      <c r="HAZ50" s="863"/>
      <c r="HBA50" s="863"/>
      <c r="HBB50" s="863"/>
      <c r="HBC50" s="863"/>
      <c r="HBD50" s="863"/>
      <c r="HBE50" s="863"/>
      <c r="HBF50" s="863"/>
      <c r="HBG50" s="863"/>
      <c r="HBH50" s="863"/>
      <c r="HBI50" s="863"/>
      <c r="HBJ50" s="863"/>
      <c r="HBK50" s="863"/>
      <c r="HBL50" s="863"/>
      <c r="HBM50" s="883"/>
      <c r="HBN50" s="883"/>
      <c r="HBO50" s="883"/>
      <c r="HBP50" s="883"/>
      <c r="HBQ50" s="883"/>
      <c r="HBR50" s="883"/>
      <c r="HBS50" s="883"/>
      <c r="HBT50" s="883"/>
      <c r="HBU50" s="883"/>
      <c r="HBV50" s="863"/>
      <c r="HBW50" s="863"/>
      <c r="HBX50" s="863"/>
      <c r="HBY50" s="863"/>
      <c r="HBZ50" s="863"/>
      <c r="HCA50" s="863"/>
      <c r="HCB50" s="863"/>
      <c r="HCC50" s="863"/>
      <c r="HCD50" s="863"/>
      <c r="HCE50" s="863"/>
      <c r="HCF50" s="863"/>
      <c r="HCG50" s="863"/>
      <c r="HCH50" s="863"/>
      <c r="HCI50" s="863"/>
      <c r="HCJ50" s="863"/>
      <c r="HCK50" s="863"/>
      <c r="HCL50" s="863"/>
      <c r="HCM50" s="863"/>
      <c r="HCN50" s="863"/>
      <c r="HCO50" s="863"/>
      <c r="HCP50" s="863"/>
      <c r="HCQ50" s="863"/>
      <c r="HCR50" s="863"/>
      <c r="HCS50" s="883"/>
      <c r="HCT50" s="883"/>
      <c r="HCU50" s="883"/>
      <c r="HCV50" s="883"/>
      <c r="HCW50" s="883"/>
      <c r="HCX50" s="883"/>
      <c r="HCY50" s="883"/>
      <c r="HCZ50" s="883"/>
      <c r="HDA50" s="883"/>
      <c r="HDB50" s="863"/>
      <c r="HDC50" s="863"/>
      <c r="HDD50" s="863"/>
      <c r="HDE50" s="863"/>
      <c r="HDF50" s="863"/>
      <c r="HDG50" s="863"/>
      <c r="HDH50" s="863"/>
      <c r="HDI50" s="863"/>
      <c r="HDJ50" s="863"/>
      <c r="HDK50" s="863"/>
      <c r="HDL50" s="863"/>
      <c r="HDM50" s="863"/>
      <c r="HDN50" s="863"/>
      <c r="HDO50" s="863"/>
      <c r="HDP50" s="863"/>
      <c r="HDQ50" s="863"/>
      <c r="HDR50" s="863"/>
      <c r="HDS50" s="863"/>
      <c r="HDT50" s="863"/>
      <c r="HDU50" s="863"/>
      <c r="HDV50" s="863"/>
      <c r="HDW50" s="863"/>
      <c r="HDX50" s="863"/>
      <c r="HDY50" s="883"/>
      <c r="HDZ50" s="883"/>
      <c r="HEA50" s="883"/>
      <c r="HEB50" s="883"/>
      <c r="HEC50" s="883"/>
      <c r="HED50" s="883"/>
      <c r="HEE50" s="883"/>
      <c r="HEF50" s="883"/>
      <c r="HEG50" s="883"/>
      <c r="HEH50" s="863"/>
      <c r="HEI50" s="863"/>
      <c r="HEJ50" s="863"/>
      <c r="HEK50" s="863"/>
      <c r="HEL50" s="863"/>
      <c r="HEM50" s="863"/>
      <c r="HEN50" s="863"/>
      <c r="HEO50" s="863"/>
      <c r="HEP50" s="863"/>
      <c r="HEQ50" s="863"/>
      <c r="HER50" s="863"/>
      <c r="HES50" s="863"/>
      <c r="HET50" s="863"/>
      <c r="HEU50" s="863"/>
      <c r="HEV50" s="863"/>
      <c r="HEW50" s="863"/>
      <c r="HEX50" s="863"/>
      <c r="HEY50" s="863"/>
      <c r="HEZ50" s="863"/>
      <c r="HFA50" s="863"/>
      <c r="HFB50" s="863"/>
      <c r="HFC50" s="863"/>
      <c r="HFD50" s="863"/>
      <c r="HFE50" s="883"/>
      <c r="HFF50" s="883"/>
      <c r="HFG50" s="883"/>
      <c r="HFH50" s="883"/>
      <c r="HFI50" s="883"/>
      <c r="HFJ50" s="883"/>
      <c r="HFK50" s="883"/>
      <c r="HFL50" s="883"/>
      <c r="HFM50" s="883"/>
      <c r="HFN50" s="863"/>
      <c r="HFO50" s="863"/>
      <c r="HFP50" s="863"/>
      <c r="HFQ50" s="863"/>
      <c r="HFR50" s="863"/>
      <c r="HFS50" s="863"/>
      <c r="HFT50" s="863"/>
      <c r="HFU50" s="863"/>
      <c r="HFV50" s="863"/>
      <c r="HFW50" s="863"/>
      <c r="HFX50" s="863"/>
      <c r="HFY50" s="863"/>
      <c r="HFZ50" s="863"/>
      <c r="HGA50" s="863"/>
      <c r="HGB50" s="863"/>
      <c r="HGC50" s="863"/>
      <c r="HGD50" s="863"/>
      <c r="HGE50" s="863"/>
      <c r="HGF50" s="863"/>
      <c r="HGG50" s="863"/>
      <c r="HGH50" s="863"/>
      <c r="HGI50" s="863"/>
      <c r="HGJ50" s="863"/>
      <c r="HGK50" s="883"/>
      <c r="HGL50" s="883"/>
      <c r="HGM50" s="883"/>
      <c r="HGN50" s="883"/>
      <c r="HGO50" s="883"/>
      <c r="HGP50" s="883"/>
      <c r="HGQ50" s="883"/>
      <c r="HGR50" s="883"/>
      <c r="HGS50" s="883"/>
      <c r="HGT50" s="863"/>
      <c r="HGU50" s="863"/>
      <c r="HGV50" s="863"/>
      <c r="HGW50" s="863"/>
      <c r="HGX50" s="863"/>
      <c r="HGY50" s="863"/>
      <c r="HGZ50" s="863"/>
      <c r="HHA50" s="863"/>
      <c r="HHB50" s="863"/>
      <c r="HHC50" s="863"/>
      <c r="HHD50" s="863"/>
      <c r="HHE50" s="863"/>
      <c r="HHF50" s="863"/>
      <c r="HHG50" s="863"/>
      <c r="HHH50" s="863"/>
      <c r="HHI50" s="863"/>
      <c r="HHJ50" s="863"/>
      <c r="HHK50" s="863"/>
      <c r="HHL50" s="863"/>
      <c r="HHM50" s="863"/>
      <c r="HHN50" s="863"/>
      <c r="HHO50" s="863"/>
      <c r="HHP50" s="863"/>
      <c r="HHQ50" s="883"/>
      <c r="HHR50" s="883"/>
      <c r="HHS50" s="883"/>
      <c r="HHT50" s="883"/>
      <c r="HHU50" s="883"/>
      <c r="HHV50" s="883"/>
      <c r="HHW50" s="883"/>
      <c r="HHX50" s="883"/>
      <c r="HHY50" s="883"/>
      <c r="HHZ50" s="863"/>
      <c r="HIA50" s="863"/>
      <c r="HIB50" s="863"/>
      <c r="HIC50" s="863"/>
      <c r="HID50" s="863"/>
      <c r="HIE50" s="863"/>
      <c r="HIF50" s="863"/>
      <c r="HIG50" s="863"/>
      <c r="HIH50" s="863"/>
      <c r="HII50" s="863"/>
      <c r="HIJ50" s="863"/>
      <c r="HIK50" s="863"/>
      <c r="HIL50" s="863"/>
      <c r="HIM50" s="863"/>
      <c r="HIN50" s="863"/>
      <c r="HIO50" s="863"/>
      <c r="HIP50" s="863"/>
      <c r="HIQ50" s="863"/>
      <c r="HIR50" s="863"/>
      <c r="HIS50" s="863"/>
      <c r="HIT50" s="863"/>
      <c r="HIU50" s="863"/>
      <c r="HIV50" s="863"/>
      <c r="HIW50" s="883"/>
      <c r="HIX50" s="883"/>
      <c r="HIY50" s="883"/>
      <c r="HIZ50" s="883"/>
      <c r="HJA50" s="883"/>
      <c r="HJB50" s="883"/>
      <c r="HJC50" s="883"/>
      <c r="HJD50" s="883"/>
      <c r="HJE50" s="883"/>
      <c r="HJF50" s="863"/>
      <c r="HJG50" s="863"/>
      <c r="HJH50" s="863"/>
      <c r="HJI50" s="863"/>
      <c r="HJJ50" s="863"/>
      <c r="HJK50" s="863"/>
      <c r="HJL50" s="863"/>
      <c r="HJM50" s="863"/>
      <c r="HJN50" s="863"/>
      <c r="HJO50" s="863"/>
      <c r="HJP50" s="863"/>
      <c r="HJQ50" s="863"/>
      <c r="HJR50" s="863"/>
      <c r="HJS50" s="863"/>
      <c r="HJT50" s="863"/>
      <c r="HJU50" s="863"/>
      <c r="HJV50" s="863"/>
      <c r="HJW50" s="863"/>
      <c r="HJX50" s="863"/>
      <c r="HJY50" s="863"/>
      <c r="HJZ50" s="863"/>
      <c r="HKA50" s="863"/>
      <c r="HKB50" s="863"/>
      <c r="HKC50" s="883"/>
      <c r="HKD50" s="883"/>
      <c r="HKE50" s="883"/>
      <c r="HKF50" s="883"/>
      <c r="HKG50" s="883"/>
      <c r="HKH50" s="883"/>
      <c r="HKI50" s="883"/>
      <c r="HKJ50" s="883"/>
      <c r="HKK50" s="883"/>
      <c r="HKL50" s="863"/>
      <c r="HKM50" s="863"/>
      <c r="HKN50" s="863"/>
      <c r="HKO50" s="863"/>
      <c r="HKP50" s="863"/>
      <c r="HKQ50" s="863"/>
      <c r="HKR50" s="863"/>
      <c r="HKS50" s="863"/>
      <c r="HKT50" s="863"/>
      <c r="HKU50" s="863"/>
      <c r="HKV50" s="863"/>
      <c r="HKW50" s="863"/>
      <c r="HKX50" s="863"/>
      <c r="HKY50" s="863"/>
      <c r="HKZ50" s="863"/>
      <c r="HLA50" s="863"/>
      <c r="HLB50" s="863"/>
      <c r="HLC50" s="863"/>
      <c r="HLD50" s="863"/>
      <c r="HLE50" s="863"/>
      <c r="HLF50" s="863"/>
      <c r="HLG50" s="863"/>
      <c r="HLH50" s="863"/>
      <c r="HLI50" s="883"/>
      <c r="HLJ50" s="883"/>
      <c r="HLK50" s="883"/>
      <c r="HLL50" s="883"/>
      <c r="HLM50" s="883"/>
      <c r="HLN50" s="883"/>
      <c r="HLO50" s="883"/>
      <c r="HLP50" s="883"/>
      <c r="HLQ50" s="883"/>
      <c r="HLR50" s="863"/>
      <c r="HLS50" s="863"/>
      <c r="HLT50" s="863"/>
      <c r="HLU50" s="863"/>
      <c r="HLV50" s="863"/>
      <c r="HLW50" s="863"/>
      <c r="HLX50" s="863"/>
      <c r="HLY50" s="863"/>
      <c r="HLZ50" s="863"/>
      <c r="HMA50" s="863"/>
      <c r="HMB50" s="863"/>
      <c r="HMC50" s="863"/>
      <c r="HMD50" s="863"/>
      <c r="HME50" s="863"/>
      <c r="HMF50" s="863"/>
      <c r="HMG50" s="863"/>
      <c r="HMH50" s="863"/>
      <c r="HMI50" s="863"/>
      <c r="HMJ50" s="863"/>
      <c r="HMK50" s="863"/>
      <c r="HML50" s="863"/>
      <c r="HMM50" s="863"/>
      <c r="HMN50" s="863"/>
      <c r="HMO50" s="883"/>
      <c r="HMP50" s="883"/>
      <c r="HMQ50" s="883"/>
      <c r="HMR50" s="883"/>
      <c r="HMS50" s="883"/>
      <c r="HMT50" s="883"/>
      <c r="HMU50" s="883"/>
      <c r="HMV50" s="883"/>
      <c r="HMW50" s="883"/>
      <c r="HMX50" s="863"/>
      <c r="HMY50" s="863"/>
      <c r="HMZ50" s="863"/>
      <c r="HNA50" s="863"/>
      <c r="HNB50" s="863"/>
      <c r="HNC50" s="863"/>
      <c r="HND50" s="863"/>
      <c r="HNE50" s="863"/>
      <c r="HNF50" s="863"/>
      <c r="HNG50" s="863"/>
      <c r="HNH50" s="863"/>
      <c r="HNI50" s="863"/>
      <c r="HNJ50" s="863"/>
      <c r="HNK50" s="863"/>
      <c r="HNL50" s="863"/>
      <c r="HNM50" s="863"/>
      <c r="HNN50" s="863"/>
      <c r="HNO50" s="863"/>
      <c r="HNP50" s="863"/>
      <c r="HNQ50" s="863"/>
      <c r="HNR50" s="863"/>
      <c r="HNS50" s="863"/>
      <c r="HNT50" s="863"/>
      <c r="HNU50" s="883"/>
      <c r="HNV50" s="883"/>
      <c r="HNW50" s="883"/>
      <c r="HNX50" s="883"/>
      <c r="HNY50" s="883"/>
      <c r="HNZ50" s="883"/>
      <c r="HOA50" s="883"/>
      <c r="HOB50" s="883"/>
      <c r="HOC50" s="883"/>
      <c r="HOD50" s="863"/>
      <c r="HOE50" s="863"/>
      <c r="HOF50" s="863"/>
      <c r="HOG50" s="863"/>
      <c r="HOH50" s="863"/>
      <c r="HOI50" s="863"/>
      <c r="HOJ50" s="863"/>
      <c r="HOK50" s="863"/>
      <c r="HOL50" s="863"/>
      <c r="HOM50" s="863"/>
      <c r="HON50" s="863"/>
      <c r="HOO50" s="863"/>
      <c r="HOP50" s="863"/>
      <c r="HOQ50" s="863"/>
      <c r="HOR50" s="863"/>
      <c r="HOS50" s="863"/>
      <c r="HOT50" s="863"/>
      <c r="HOU50" s="863"/>
      <c r="HOV50" s="863"/>
      <c r="HOW50" s="863"/>
      <c r="HOX50" s="863"/>
      <c r="HOY50" s="863"/>
      <c r="HOZ50" s="863"/>
      <c r="HPA50" s="883"/>
      <c r="HPB50" s="883"/>
      <c r="HPC50" s="883"/>
      <c r="HPD50" s="883"/>
      <c r="HPE50" s="883"/>
      <c r="HPF50" s="883"/>
      <c r="HPG50" s="883"/>
      <c r="HPH50" s="883"/>
      <c r="HPI50" s="883"/>
      <c r="HPJ50" s="863"/>
      <c r="HPK50" s="863"/>
      <c r="HPL50" s="863"/>
      <c r="HPM50" s="863"/>
      <c r="HPN50" s="863"/>
      <c r="HPO50" s="863"/>
      <c r="HPP50" s="863"/>
      <c r="HPQ50" s="863"/>
      <c r="HPR50" s="863"/>
      <c r="HPS50" s="863"/>
      <c r="HPT50" s="863"/>
      <c r="HPU50" s="863"/>
      <c r="HPV50" s="863"/>
      <c r="HPW50" s="863"/>
      <c r="HPX50" s="863"/>
      <c r="HPY50" s="863"/>
      <c r="HPZ50" s="863"/>
      <c r="HQA50" s="863"/>
      <c r="HQB50" s="863"/>
      <c r="HQC50" s="863"/>
      <c r="HQD50" s="863"/>
      <c r="HQE50" s="863"/>
      <c r="HQF50" s="863"/>
      <c r="HQG50" s="883"/>
      <c r="HQH50" s="883"/>
      <c r="HQI50" s="883"/>
      <c r="HQJ50" s="883"/>
      <c r="HQK50" s="883"/>
      <c r="HQL50" s="883"/>
      <c r="HQM50" s="883"/>
      <c r="HQN50" s="883"/>
      <c r="HQO50" s="883"/>
      <c r="HQP50" s="863"/>
      <c r="HQQ50" s="863"/>
      <c r="HQR50" s="863"/>
      <c r="HQS50" s="863"/>
      <c r="HQT50" s="863"/>
      <c r="HQU50" s="863"/>
      <c r="HQV50" s="863"/>
      <c r="HQW50" s="863"/>
      <c r="HQX50" s="863"/>
      <c r="HQY50" s="863"/>
      <c r="HQZ50" s="863"/>
      <c r="HRA50" s="863"/>
      <c r="HRB50" s="863"/>
      <c r="HRC50" s="863"/>
      <c r="HRD50" s="863"/>
      <c r="HRE50" s="863"/>
      <c r="HRF50" s="863"/>
      <c r="HRG50" s="863"/>
      <c r="HRH50" s="863"/>
      <c r="HRI50" s="863"/>
      <c r="HRJ50" s="863"/>
      <c r="HRK50" s="863"/>
      <c r="HRL50" s="863"/>
      <c r="HRM50" s="883"/>
      <c r="HRN50" s="883"/>
      <c r="HRO50" s="883"/>
      <c r="HRP50" s="883"/>
      <c r="HRQ50" s="883"/>
      <c r="HRR50" s="883"/>
      <c r="HRS50" s="883"/>
      <c r="HRT50" s="883"/>
      <c r="HRU50" s="883"/>
      <c r="HRV50" s="863"/>
      <c r="HRW50" s="863"/>
      <c r="HRX50" s="863"/>
      <c r="HRY50" s="863"/>
      <c r="HRZ50" s="863"/>
      <c r="HSA50" s="863"/>
      <c r="HSB50" s="863"/>
      <c r="HSC50" s="863"/>
      <c r="HSD50" s="863"/>
      <c r="HSE50" s="863"/>
      <c r="HSF50" s="863"/>
      <c r="HSG50" s="863"/>
      <c r="HSH50" s="863"/>
      <c r="HSI50" s="863"/>
      <c r="HSJ50" s="863"/>
      <c r="HSK50" s="863"/>
      <c r="HSL50" s="863"/>
      <c r="HSM50" s="863"/>
      <c r="HSN50" s="863"/>
      <c r="HSO50" s="863"/>
      <c r="HSP50" s="863"/>
      <c r="HSQ50" s="863"/>
      <c r="HSR50" s="863"/>
      <c r="HSS50" s="883"/>
      <c r="HST50" s="883"/>
      <c r="HSU50" s="883"/>
      <c r="HSV50" s="883"/>
      <c r="HSW50" s="883"/>
      <c r="HSX50" s="883"/>
      <c r="HSY50" s="883"/>
      <c r="HSZ50" s="883"/>
      <c r="HTA50" s="883"/>
      <c r="HTB50" s="863"/>
      <c r="HTC50" s="863"/>
      <c r="HTD50" s="863"/>
      <c r="HTE50" s="863"/>
      <c r="HTF50" s="863"/>
      <c r="HTG50" s="863"/>
      <c r="HTH50" s="863"/>
      <c r="HTI50" s="863"/>
      <c r="HTJ50" s="863"/>
      <c r="HTK50" s="863"/>
      <c r="HTL50" s="863"/>
      <c r="HTM50" s="863"/>
      <c r="HTN50" s="863"/>
      <c r="HTO50" s="863"/>
      <c r="HTP50" s="863"/>
      <c r="HTQ50" s="863"/>
      <c r="HTR50" s="863"/>
      <c r="HTS50" s="863"/>
      <c r="HTT50" s="863"/>
      <c r="HTU50" s="863"/>
      <c r="HTV50" s="863"/>
      <c r="HTW50" s="863"/>
      <c r="HTX50" s="863"/>
      <c r="HTY50" s="883"/>
      <c r="HTZ50" s="883"/>
      <c r="HUA50" s="883"/>
      <c r="HUB50" s="883"/>
      <c r="HUC50" s="883"/>
      <c r="HUD50" s="883"/>
      <c r="HUE50" s="883"/>
      <c r="HUF50" s="883"/>
      <c r="HUG50" s="883"/>
      <c r="HUH50" s="863"/>
      <c r="HUI50" s="863"/>
      <c r="HUJ50" s="863"/>
      <c r="HUK50" s="863"/>
      <c r="HUL50" s="863"/>
      <c r="HUM50" s="863"/>
      <c r="HUN50" s="863"/>
      <c r="HUO50" s="863"/>
      <c r="HUP50" s="863"/>
      <c r="HUQ50" s="863"/>
      <c r="HUR50" s="863"/>
      <c r="HUS50" s="863"/>
      <c r="HUT50" s="863"/>
      <c r="HUU50" s="863"/>
      <c r="HUV50" s="863"/>
      <c r="HUW50" s="863"/>
      <c r="HUX50" s="863"/>
      <c r="HUY50" s="863"/>
      <c r="HUZ50" s="863"/>
      <c r="HVA50" s="863"/>
      <c r="HVB50" s="863"/>
      <c r="HVC50" s="863"/>
      <c r="HVD50" s="863"/>
      <c r="HVE50" s="883"/>
      <c r="HVF50" s="883"/>
      <c r="HVG50" s="883"/>
      <c r="HVH50" s="883"/>
      <c r="HVI50" s="883"/>
      <c r="HVJ50" s="883"/>
      <c r="HVK50" s="883"/>
      <c r="HVL50" s="883"/>
      <c r="HVM50" s="883"/>
      <c r="HVN50" s="863"/>
      <c r="HVO50" s="863"/>
      <c r="HVP50" s="863"/>
      <c r="HVQ50" s="863"/>
      <c r="HVR50" s="863"/>
      <c r="HVS50" s="863"/>
      <c r="HVT50" s="863"/>
      <c r="HVU50" s="863"/>
      <c r="HVV50" s="863"/>
      <c r="HVW50" s="863"/>
      <c r="HVX50" s="863"/>
      <c r="HVY50" s="863"/>
      <c r="HVZ50" s="863"/>
      <c r="HWA50" s="863"/>
      <c r="HWB50" s="863"/>
      <c r="HWC50" s="863"/>
      <c r="HWD50" s="863"/>
      <c r="HWE50" s="863"/>
      <c r="HWF50" s="863"/>
      <c r="HWG50" s="863"/>
      <c r="HWH50" s="863"/>
      <c r="HWI50" s="863"/>
      <c r="HWJ50" s="863"/>
      <c r="HWK50" s="883"/>
      <c r="HWL50" s="883"/>
      <c r="HWM50" s="883"/>
      <c r="HWN50" s="883"/>
      <c r="HWO50" s="883"/>
      <c r="HWP50" s="883"/>
      <c r="HWQ50" s="883"/>
      <c r="HWR50" s="883"/>
      <c r="HWS50" s="883"/>
      <c r="HWT50" s="863"/>
      <c r="HWU50" s="863"/>
      <c r="HWV50" s="863"/>
      <c r="HWW50" s="863"/>
      <c r="HWX50" s="863"/>
      <c r="HWY50" s="863"/>
      <c r="HWZ50" s="863"/>
      <c r="HXA50" s="863"/>
      <c r="HXB50" s="863"/>
      <c r="HXC50" s="863"/>
      <c r="HXD50" s="863"/>
      <c r="HXE50" s="863"/>
      <c r="HXF50" s="863"/>
      <c r="HXG50" s="863"/>
      <c r="HXH50" s="863"/>
      <c r="HXI50" s="863"/>
      <c r="HXJ50" s="863"/>
      <c r="HXK50" s="863"/>
      <c r="HXL50" s="863"/>
      <c r="HXM50" s="863"/>
      <c r="HXN50" s="863"/>
      <c r="HXO50" s="863"/>
      <c r="HXP50" s="863"/>
      <c r="HXQ50" s="883"/>
      <c r="HXR50" s="883"/>
      <c r="HXS50" s="883"/>
      <c r="HXT50" s="883"/>
      <c r="HXU50" s="883"/>
      <c r="HXV50" s="883"/>
      <c r="HXW50" s="883"/>
      <c r="HXX50" s="883"/>
      <c r="HXY50" s="883"/>
      <c r="HXZ50" s="863"/>
      <c r="HYA50" s="863"/>
      <c r="HYB50" s="863"/>
      <c r="HYC50" s="863"/>
      <c r="HYD50" s="863"/>
      <c r="HYE50" s="863"/>
      <c r="HYF50" s="863"/>
      <c r="HYG50" s="863"/>
      <c r="HYH50" s="863"/>
      <c r="HYI50" s="863"/>
      <c r="HYJ50" s="863"/>
      <c r="HYK50" s="863"/>
      <c r="HYL50" s="863"/>
      <c r="HYM50" s="863"/>
      <c r="HYN50" s="863"/>
      <c r="HYO50" s="863"/>
      <c r="HYP50" s="863"/>
      <c r="HYQ50" s="863"/>
      <c r="HYR50" s="863"/>
      <c r="HYS50" s="863"/>
      <c r="HYT50" s="863"/>
      <c r="HYU50" s="863"/>
      <c r="HYV50" s="863"/>
      <c r="HYW50" s="883"/>
      <c r="HYX50" s="883"/>
      <c r="HYY50" s="883"/>
      <c r="HYZ50" s="883"/>
      <c r="HZA50" s="883"/>
      <c r="HZB50" s="883"/>
      <c r="HZC50" s="883"/>
      <c r="HZD50" s="883"/>
      <c r="HZE50" s="883"/>
      <c r="HZF50" s="863"/>
      <c r="HZG50" s="863"/>
      <c r="HZH50" s="863"/>
      <c r="HZI50" s="863"/>
      <c r="HZJ50" s="863"/>
      <c r="HZK50" s="863"/>
      <c r="HZL50" s="863"/>
      <c r="HZM50" s="863"/>
      <c r="HZN50" s="863"/>
      <c r="HZO50" s="863"/>
      <c r="HZP50" s="863"/>
      <c r="HZQ50" s="863"/>
      <c r="HZR50" s="863"/>
      <c r="HZS50" s="863"/>
      <c r="HZT50" s="863"/>
      <c r="HZU50" s="863"/>
      <c r="HZV50" s="863"/>
      <c r="HZW50" s="863"/>
      <c r="HZX50" s="863"/>
      <c r="HZY50" s="863"/>
      <c r="HZZ50" s="863"/>
      <c r="IAA50" s="863"/>
      <c r="IAB50" s="863"/>
      <c r="IAC50" s="883"/>
      <c r="IAD50" s="883"/>
      <c r="IAE50" s="883"/>
      <c r="IAF50" s="883"/>
      <c r="IAG50" s="883"/>
      <c r="IAH50" s="883"/>
      <c r="IAI50" s="883"/>
      <c r="IAJ50" s="883"/>
      <c r="IAK50" s="883"/>
      <c r="IAL50" s="863"/>
      <c r="IAM50" s="863"/>
      <c r="IAN50" s="863"/>
      <c r="IAO50" s="863"/>
      <c r="IAP50" s="863"/>
      <c r="IAQ50" s="863"/>
      <c r="IAR50" s="863"/>
      <c r="IAS50" s="863"/>
      <c r="IAT50" s="863"/>
      <c r="IAU50" s="863"/>
      <c r="IAV50" s="863"/>
      <c r="IAW50" s="863"/>
      <c r="IAX50" s="863"/>
      <c r="IAY50" s="863"/>
      <c r="IAZ50" s="863"/>
      <c r="IBA50" s="863"/>
      <c r="IBB50" s="863"/>
      <c r="IBC50" s="863"/>
      <c r="IBD50" s="863"/>
      <c r="IBE50" s="863"/>
      <c r="IBF50" s="863"/>
      <c r="IBG50" s="863"/>
      <c r="IBH50" s="863"/>
      <c r="IBI50" s="883"/>
      <c r="IBJ50" s="883"/>
      <c r="IBK50" s="883"/>
      <c r="IBL50" s="883"/>
      <c r="IBM50" s="883"/>
      <c r="IBN50" s="883"/>
      <c r="IBO50" s="883"/>
      <c r="IBP50" s="883"/>
      <c r="IBQ50" s="883"/>
      <c r="IBR50" s="863"/>
      <c r="IBS50" s="863"/>
      <c r="IBT50" s="863"/>
      <c r="IBU50" s="863"/>
      <c r="IBV50" s="863"/>
      <c r="IBW50" s="863"/>
      <c r="IBX50" s="863"/>
      <c r="IBY50" s="863"/>
      <c r="IBZ50" s="863"/>
      <c r="ICA50" s="863"/>
      <c r="ICB50" s="863"/>
      <c r="ICC50" s="863"/>
      <c r="ICD50" s="863"/>
      <c r="ICE50" s="863"/>
      <c r="ICF50" s="863"/>
      <c r="ICG50" s="863"/>
      <c r="ICH50" s="863"/>
      <c r="ICI50" s="863"/>
      <c r="ICJ50" s="863"/>
      <c r="ICK50" s="863"/>
      <c r="ICL50" s="863"/>
      <c r="ICM50" s="863"/>
      <c r="ICN50" s="863"/>
      <c r="ICO50" s="883"/>
      <c r="ICP50" s="883"/>
      <c r="ICQ50" s="883"/>
      <c r="ICR50" s="883"/>
      <c r="ICS50" s="883"/>
      <c r="ICT50" s="883"/>
      <c r="ICU50" s="883"/>
      <c r="ICV50" s="883"/>
      <c r="ICW50" s="883"/>
      <c r="ICX50" s="863"/>
      <c r="ICY50" s="863"/>
      <c r="ICZ50" s="863"/>
      <c r="IDA50" s="863"/>
      <c r="IDB50" s="863"/>
      <c r="IDC50" s="863"/>
      <c r="IDD50" s="863"/>
      <c r="IDE50" s="863"/>
      <c r="IDF50" s="863"/>
      <c r="IDG50" s="863"/>
      <c r="IDH50" s="863"/>
      <c r="IDI50" s="863"/>
      <c r="IDJ50" s="863"/>
      <c r="IDK50" s="863"/>
      <c r="IDL50" s="863"/>
      <c r="IDM50" s="863"/>
      <c r="IDN50" s="863"/>
      <c r="IDO50" s="863"/>
      <c r="IDP50" s="863"/>
      <c r="IDQ50" s="863"/>
      <c r="IDR50" s="863"/>
      <c r="IDS50" s="863"/>
      <c r="IDT50" s="863"/>
      <c r="IDU50" s="883"/>
      <c r="IDV50" s="883"/>
      <c r="IDW50" s="883"/>
      <c r="IDX50" s="883"/>
      <c r="IDY50" s="883"/>
      <c r="IDZ50" s="883"/>
      <c r="IEA50" s="883"/>
      <c r="IEB50" s="883"/>
      <c r="IEC50" s="883"/>
      <c r="IED50" s="863"/>
      <c r="IEE50" s="863"/>
      <c r="IEF50" s="863"/>
      <c r="IEG50" s="863"/>
      <c r="IEH50" s="863"/>
      <c r="IEI50" s="863"/>
      <c r="IEJ50" s="863"/>
      <c r="IEK50" s="863"/>
      <c r="IEL50" s="863"/>
      <c r="IEM50" s="863"/>
      <c r="IEN50" s="863"/>
      <c r="IEO50" s="863"/>
      <c r="IEP50" s="863"/>
      <c r="IEQ50" s="863"/>
      <c r="IER50" s="863"/>
      <c r="IES50" s="863"/>
      <c r="IET50" s="863"/>
      <c r="IEU50" s="863"/>
      <c r="IEV50" s="863"/>
      <c r="IEW50" s="863"/>
      <c r="IEX50" s="863"/>
      <c r="IEY50" s="863"/>
      <c r="IEZ50" s="863"/>
      <c r="IFA50" s="883"/>
      <c r="IFB50" s="883"/>
      <c r="IFC50" s="883"/>
      <c r="IFD50" s="883"/>
      <c r="IFE50" s="883"/>
      <c r="IFF50" s="883"/>
      <c r="IFG50" s="883"/>
      <c r="IFH50" s="883"/>
      <c r="IFI50" s="883"/>
      <c r="IFJ50" s="863"/>
      <c r="IFK50" s="863"/>
      <c r="IFL50" s="863"/>
      <c r="IFM50" s="863"/>
      <c r="IFN50" s="863"/>
      <c r="IFO50" s="863"/>
      <c r="IFP50" s="863"/>
      <c r="IFQ50" s="863"/>
      <c r="IFR50" s="863"/>
      <c r="IFS50" s="863"/>
      <c r="IFT50" s="863"/>
      <c r="IFU50" s="863"/>
      <c r="IFV50" s="863"/>
      <c r="IFW50" s="863"/>
      <c r="IFX50" s="863"/>
      <c r="IFY50" s="863"/>
      <c r="IFZ50" s="863"/>
      <c r="IGA50" s="863"/>
      <c r="IGB50" s="863"/>
      <c r="IGC50" s="863"/>
      <c r="IGD50" s="863"/>
      <c r="IGE50" s="863"/>
      <c r="IGF50" s="863"/>
      <c r="IGG50" s="883"/>
      <c r="IGH50" s="883"/>
      <c r="IGI50" s="883"/>
      <c r="IGJ50" s="883"/>
      <c r="IGK50" s="883"/>
      <c r="IGL50" s="883"/>
      <c r="IGM50" s="883"/>
      <c r="IGN50" s="883"/>
      <c r="IGO50" s="883"/>
      <c r="IGP50" s="863"/>
      <c r="IGQ50" s="863"/>
      <c r="IGR50" s="863"/>
      <c r="IGS50" s="863"/>
      <c r="IGT50" s="863"/>
      <c r="IGU50" s="863"/>
      <c r="IGV50" s="863"/>
      <c r="IGW50" s="863"/>
      <c r="IGX50" s="863"/>
      <c r="IGY50" s="863"/>
      <c r="IGZ50" s="863"/>
      <c r="IHA50" s="863"/>
      <c r="IHB50" s="863"/>
      <c r="IHC50" s="863"/>
      <c r="IHD50" s="863"/>
      <c r="IHE50" s="863"/>
      <c r="IHF50" s="863"/>
      <c r="IHG50" s="863"/>
      <c r="IHH50" s="863"/>
      <c r="IHI50" s="863"/>
      <c r="IHJ50" s="863"/>
      <c r="IHK50" s="863"/>
      <c r="IHL50" s="863"/>
      <c r="IHM50" s="883"/>
      <c r="IHN50" s="883"/>
      <c r="IHO50" s="883"/>
      <c r="IHP50" s="883"/>
      <c r="IHQ50" s="883"/>
      <c r="IHR50" s="883"/>
      <c r="IHS50" s="883"/>
      <c r="IHT50" s="883"/>
      <c r="IHU50" s="883"/>
      <c r="IHV50" s="863"/>
      <c r="IHW50" s="863"/>
      <c r="IHX50" s="863"/>
      <c r="IHY50" s="863"/>
      <c r="IHZ50" s="863"/>
      <c r="IIA50" s="863"/>
      <c r="IIB50" s="863"/>
      <c r="IIC50" s="863"/>
      <c r="IID50" s="863"/>
      <c r="IIE50" s="863"/>
      <c r="IIF50" s="863"/>
      <c r="IIG50" s="863"/>
      <c r="IIH50" s="863"/>
      <c r="III50" s="863"/>
      <c r="IIJ50" s="863"/>
      <c r="IIK50" s="863"/>
      <c r="IIL50" s="863"/>
      <c r="IIM50" s="863"/>
      <c r="IIN50" s="863"/>
      <c r="IIO50" s="863"/>
      <c r="IIP50" s="863"/>
      <c r="IIQ50" s="863"/>
      <c r="IIR50" s="863"/>
      <c r="IIS50" s="883"/>
      <c r="IIT50" s="883"/>
      <c r="IIU50" s="883"/>
      <c r="IIV50" s="883"/>
      <c r="IIW50" s="883"/>
      <c r="IIX50" s="883"/>
      <c r="IIY50" s="883"/>
      <c r="IIZ50" s="883"/>
      <c r="IJA50" s="883"/>
      <c r="IJB50" s="863"/>
      <c r="IJC50" s="863"/>
      <c r="IJD50" s="863"/>
      <c r="IJE50" s="863"/>
      <c r="IJF50" s="863"/>
      <c r="IJG50" s="863"/>
      <c r="IJH50" s="863"/>
      <c r="IJI50" s="863"/>
      <c r="IJJ50" s="863"/>
      <c r="IJK50" s="863"/>
      <c r="IJL50" s="863"/>
      <c r="IJM50" s="863"/>
      <c r="IJN50" s="863"/>
      <c r="IJO50" s="863"/>
      <c r="IJP50" s="863"/>
      <c r="IJQ50" s="863"/>
      <c r="IJR50" s="863"/>
      <c r="IJS50" s="863"/>
      <c r="IJT50" s="863"/>
      <c r="IJU50" s="863"/>
      <c r="IJV50" s="863"/>
      <c r="IJW50" s="863"/>
      <c r="IJX50" s="863"/>
      <c r="IJY50" s="883"/>
      <c r="IJZ50" s="883"/>
      <c r="IKA50" s="883"/>
      <c r="IKB50" s="883"/>
      <c r="IKC50" s="883"/>
      <c r="IKD50" s="883"/>
      <c r="IKE50" s="883"/>
      <c r="IKF50" s="883"/>
      <c r="IKG50" s="883"/>
      <c r="IKH50" s="863"/>
      <c r="IKI50" s="863"/>
      <c r="IKJ50" s="863"/>
      <c r="IKK50" s="863"/>
      <c r="IKL50" s="863"/>
      <c r="IKM50" s="863"/>
      <c r="IKN50" s="863"/>
      <c r="IKO50" s="863"/>
      <c r="IKP50" s="863"/>
      <c r="IKQ50" s="863"/>
      <c r="IKR50" s="863"/>
      <c r="IKS50" s="863"/>
      <c r="IKT50" s="863"/>
      <c r="IKU50" s="863"/>
      <c r="IKV50" s="863"/>
      <c r="IKW50" s="863"/>
      <c r="IKX50" s="863"/>
      <c r="IKY50" s="863"/>
      <c r="IKZ50" s="863"/>
      <c r="ILA50" s="863"/>
      <c r="ILB50" s="863"/>
      <c r="ILC50" s="863"/>
      <c r="ILD50" s="863"/>
      <c r="ILE50" s="883"/>
      <c r="ILF50" s="883"/>
      <c r="ILG50" s="883"/>
      <c r="ILH50" s="883"/>
      <c r="ILI50" s="883"/>
      <c r="ILJ50" s="883"/>
      <c r="ILK50" s="883"/>
      <c r="ILL50" s="883"/>
      <c r="ILM50" s="883"/>
      <c r="ILN50" s="863"/>
      <c r="ILO50" s="863"/>
      <c r="ILP50" s="863"/>
      <c r="ILQ50" s="863"/>
      <c r="ILR50" s="863"/>
      <c r="ILS50" s="863"/>
      <c r="ILT50" s="863"/>
      <c r="ILU50" s="863"/>
      <c r="ILV50" s="863"/>
      <c r="ILW50" s="863"/>
      <c r="ILX50" s="863"/>
      <c r="ILY50" s="863"/>
      <c r="ILZ50" s="863"/>
      <c r="IMA50" s="863"/>
      <c r="IMB50" s="863"/>
      <c r="IMC50" s="863"/>
      <c r="IMD50" s="863"/>
      <c r="IME50" s="863"/>
      <c r="IMF50" s="863"/>
      <c r="IMG50" s="863"/>
      <c r="IMH50" s="863"/>
      <c r="IMI50" s="863"/>
      <c r="IMJ50" s="863"/>
      <c r="IMK50" s="883"/>
      <c r="IML50" s="883"/>
      <c r="IMM50" s="883"/>
      <c r="IMN50" s="883"/>
      <c r="IMO50" s="883"/>
      <c r="IMP50" s="883"/>
      <c r="IMQ50" s="883"/>
      <c r="IMR50" s="883"/>
      <c r="IMS50" s="883"/>
      <c r="IMT50" s="863"/>
      <c r="IMU50" s="863"/>
      <c r="IMV50" s="863"/>
      <c r="IMW50" s="863"/>
      <c r="IMX50" s="863"/>
      <c r="IMY50" s="863"/>
      <c r="IMZ50" s="863"/>
      <c r="INA50" s="863"/>
      <c r="INB50" s="863"/>
      <c r="INC50" s="863"/>
      <c r="IND50" s="863"/>
      <c r="INE50" s="863"/>
      <c r="INF50" s="863"/>
      <c r="ING50" s="863"/>
      <c r="INH50" s="863"/>
      <c r="INI50" s="863"/>
      <c r="INJ50" s="863"/>
      <c r="INK50" s="863"/>
      <c r="INL50" s="863"/>
      <c r="INM50" s="863"/>
      <c r="INN50" s="863"/>
      <c r="INO50" s="863"/>
      <c r="INP50" s="863"/>
      <c r="INQ50" s="883"/>
      <c r="INR50" s="883"/>
      <c r="INS50" s="883"/>
      <c r="INT50" s="883"/>
      <c r="INU50" s="883"/>
      <c r="INV50" s="883"/>
      <c r="INW50" s="883"/>
      <c r="INX50" s="883"/>
      <c r="INY50" s="883"/>
      <c r="INZ50" s="863"/>
      <c r="IOA50" s="863"/>
      <c r="IOB50" s="863"/>
      <c r="IOC50" s="863"/>
      <c r="IOD50" s="863"/>
      <c r="IOE50" s="863"/>
      <c r="IOF50" s="863"/>
      <c r="IOG50" s="863"/>
      <c r="IOH50" s="863"/>
      <c r="IOI50" s="863"/>
      <c r="IOJ50" s="863"/>
      <c r="IOK50" s="863"/>
      <c r="IOL50" s="863"/>
      <c r="IOM50" s="863"/>
      <c r="ION50" s="863"/>
      <c r="IOO50" s="863"/>
      <c r="IOP50" s="863"/>
      <c r="IOQ50" s="863"/>
      <c r="IOR50" s="863"/>
      <c r="IOS50" s="863"/>
      <c r="IOT50" s="863"/>
      <c r="IOU50" s="863"/>
      <c r="IOV50" s="863"/>
      <c r="IOW50" s="883"/>
      <c r="IOX50" s="883"/>
      <c r="IOY50" s="883"/>
      <c r="IOZ50" s="883"/>
      <c r="IPA50" s="883"/>
      <c r="IPB50" s="883"/>
      <c r="IPC50" s="883"/>
      <c r="IPD50" s="883"/>
      <c r="IPE50" s="883"/>
      <c r="IPF50" s="863"/>
      <c r="IPG50" s="863"/>
      <c r="IPH50" s="863"/>
      <c r="IPI50" s="863"/>
      <c r="IPJ50" s="863"/>
      <c r="IPK50" s="863"/>
      <c r="IPL50" s="863"/>
      <c r="IPM50" s="863"/>
      <c r="IPN50" s="863"/>
      <c r="IPO50" s="863"/>
      <c r="IPP50" s="863"/>
      <c r="IPQ50" s="863"/>
      <c r="IPR50" s="863"/>
      <c r="IPS50" s="863"/>
      <c r="IPT50" s="863"/>
      <c r="IPU50" s="863"/>
      <c r="IPV50" s="863"/>
      <c r="IPW50" s="863"/>
      <c r="IPX50" s="863"/>
      <c r="IPY50" s="863"/>
      <c r="IPZ50" s="863"/>
      <c r="IQA50" s="863"/>
      <c r="IQB50" s="863"/>
      <c r="IQC50" s="883"/>
      <c r="IQD50" s="883"/>
      <c r="IQE50" s="883"/>
      <c r="IQF50" s="883"/>
      <c r="IQG50" s="883"/>
      <c r="IQH50" s="883"/>
      <c r="IQI50" s="883"/>
      <c r="IQJ50" s="883"/>
      <c r="IQK50" s="883"/>
      <c r="IQL50" s="863"/>
      <c r="IQM50" s="863"/>
      <c r="IQN50" s="863"/>
      <c r="IQO50" s="863"/>
      <c r="IQP50" s="863"/>
      <c r="IQQ50" s="863"/>
      <c r="IQR50" s="863"/>
      <c r="IQS50" s="863"/>
      <c r="IQT50" s="863"/>
      <c r="IQU50" s="863"/>
      <c r="IQV50" s="863"/>
      <c r="IQW50" s="863"/>
      <c r="IQX50" s="863"/>
      <c r="IQY50" s="863"/>
      <c r="IQZ50" s="863"/>
      <c r="IRA50" s="863"/>
      <c r="IRB50" s="863"/>
      <c r="IRC50" s="863"/>
      <c r="IRD50" s="863"/>
      <c r="IRE50" s="863"/>
      <c r="IRF50" s="863"/>
      <c r="IRG50" s="863"/>
      <c r="IRH50" s="863"/>
      <c r="IRI50" s="883"/>
      <c r="IRJ50" s="883"/>
      <c r="IRK50" s="883"/>
      <c r="IRL50" s="883"/>
      <c r="IRM50" s="883"/>
      <c r="IRN50" s="883"/>
      <c r="IRO50" s="883"/>
      <c r="IRP50" s="883"/>
      <c r="IRQ50" s="883"/>
      <c r="IRR50" s="863"/>
      <c r="IRS50" s="863"/>
      <c r="IRT50" s="863"/>
      <c r="IRU50" s="863"/>
      <c r="IRV50" s="863"/>
      <c r="IRW50" s="863"/>
      <c r="IRX50" s="863"/>
      <c r="IRY50" s="863"/>
      <c r="IRZ50" s="863"/>
      <c r="ISA50" s="863"/>
      <c r="ISB50" s="863"/>
      <c r="ISC50" s="863"/>
      <c r="ISD50" s="863"/>
      <c r="ISE50" s="863"/>
      <c r="ISF50" s="863"/>
      <c r="ISG50" s="863"/>
      <c r="ISH50" s="863"/>
      <c r="ISI50" s="863"/>
      <c r="ISJ50" s="863"/>
      <c r="ISK50" s="863"/>
      <c r="ISL50" s="863"/>
      <c r="ISM50" s="863"/>
      <c r="ISN50" s="863"/>
      <c r="ISO50" s="883"/>
      <c r="ISP50" s="883"/>
      <c r="ISQ50" s="883"/>
      <c r="ISR50" s="883"/>
      <c r="ISS50" s="883"/>
      <c r="IST50" s="883"/>
      <c r="ISU50" s="883"/>
      <c r="ISV50" s="883"/>
      <c r="ISW50" s="883"/>
      <c r="ISX50" s="863"/>
      <c r="ISY50" s="863"/>
      <c r="ISZ50" s="863"/>
      <c r="ITA50" s="863"/>
      <c r="ITB50" s="863"/>
      <c r="ITC50" s="863"/>
      <c r="ITD50" s="863"/>
      <c r="ITE50" s="863"/>
      <c r="ITF50" s="863"/>
      <c r="ITG50" s="863"/>
      <c r="ITH50" s="863"/>
      <c r="ITI50" s="863"/>
      <c r="ITJ50" s="863"/>
      <c r="ITK50" s="863"/>
      <c r="ITL50" s="863"/>
      <c r="ITM50" s="863"/>
      <c r="ITN50" s="863"/>
      <c r="ITO50" s="863"/>
      <c r="ITP50" s="863"/>
      <c r="ITQ50" s="863"/>
      <c r="ITR50" s="863"/>
      <c r="ITS50" s="863"/>
      <c r="ITT50" s="863"/>
      <c r="ITU50" s="883"/>
      <c r="ITV50" s="883"/>
      <c r="ITW50" s="883"/>
      <c r="ITX50" s="883"/>
      <c r="ITY50" s="883"/>
      <c r="ITZ50" s="883"/>
      <c r="IUA50" s="883"/>
      <c r="IUB50" s="883"/>
      <c r="IUC50" s="883"/>
      <c r="IUD50" s="863"/>
      <c r="IUE50" s="863"/>
      <c r="IUF50" s="863"/>
      <c r="IUG50" s="863"/>
      <c r="IUH50" s="863"/>
      <c r="IUI50" s="863"/>
      <c r="IUJ50" s="863"/>
      <c r="IUK50" s="863"/>
      <c r="IUL50" s="863"/>
      <c r="IUM50" s="863"/>
      <c r="IUN50" s="863"/>
      <c r="IUO50" s="863"/>
      <c r="IUP50" s="863"/>
      <c r="IUQ50" s="863"/>
      <c r="IUR50" s="863"/>
      <c r="IUS50" s="863"/>
      <c r="IUT50" s="863"/>
      <c r="IUU50" s="863"/>
      <c r="IUV50" s="863"/>
      <c r="IUW50" s="863"/>
      <c r="IUX50" s="863"/>
      <c r="IUY50" s="863"/>
      <c r="IUZ50" s="863"/>
      <c r="IVA50" s="883"/>
      <c r="IVB50" s="883"/>
      <c r="IVC50" s="883"/>
      <c r="IVD50" s="883"/>
      <c r="IVE50" s="883"/>
      <c r="IVF50" s="883"/>
      <c r="IVG50" s="883"/>
      <c r="IVH50" s="883"/>
      <c r="IVI50" s="883"/>
      <c r="IVJ50" s="863"/>
      <c r="IVK50" s="863"/>
      <c r="IVL50" s="863"/>
      <c r="IVM50" s="863"/>
      <c r="IVN50" s="863"/>
      <c r="IVO50" s="863"/>
      <c r="IVP50" s="863"/>
      <c r="IVQ50" s="863"/>
      <c r="IVR50" s="863"/>
      <c r="IVS50" s="863"/>
      <c r="IVT50" s="863"/>
      <c r="IVU50" s="863"/>
      <c r="IVV50" s="863"/>
      <c r="IVW50" s="863"/>
      <c r="IVX50" s="863"/>
      <c r="IVY50" s="863"/>
      <c r="IVZ50" s="863"/>
      <c r="IWA50" s="863"/>
      <c r="IWB50" s="863"/>
      <c r="IWC50" s="863"/>
      <c r="IWD50" s="863"/>
      <c r="IWE50" s="863"/>
      <c r="IWF50" s="863"/>
      <c r="IWG50" s="883"/>
      <c r="IWH50" s="883"/>
      <c r="IWI50" s="883"/>
      <c r="IWJ50" s="883"/>
      <c r="IWK50" s="883"/>
      <c r="IWL50" s="883"/>
      <c r="IWM50" s="883"/>
      <c r="IWN50" s="883"/>
      <c r="IWO50" s="883"/>
      <c r="IWP50" s="863"/>
      <c r="IWQ50" s="863"/>
      <c r="IWR50" s="863"/>
      <c r="IWS50" s="863"/>
      <c r="IWT50" s="863"/>
      <c r="IWU50" s="863"/>
      <c r="IWV50" s="863"/>
      <c r="IWW50" s="863"/>
      <c r="IWX50" s="863"/>
      <c r="IWY50" s="863"/>
      <c r="IWZ50" s="863"/>
      <c r="IXA50" s="863"/>
      <c r="IXB50" s="863"/>
      <c r="IXC50" s="863"/>
      <c r="IXD50" s="863"/>
      <c r="IXE50" s="863"/>
      <c r="IXF50" s="863"/>
      <c r="IXG50" s="863"/>
      <c r="IXH50" s="863"/>
      <c r="IXI50" s="863"/>
      <c r="IXJ50" s="863"/>
      <c r="IXK50" s="863"/>
      <c r="IXL50" s="863"/>
      <c r="IXM50" s="883"/>
      <c r="IXN50" s="883"/>
      <c r="IXO50" s="883"/>
      <c r="IXP50" s="883"/>
      <c r="IXQ50" s="883"/>
      <c r="IXR50" s="883"/>
      <c r="IXS50" s="883"/>
      <c r="IXT50" s="883"/>
      <c r="IXU50" s="883"/>
      <c r="IXV50" s="863"/>
      <c r="IXW50" s="863"/>
      <c r="IXX50" s="863"/>
      <c r="IXY50" s="863"/>
      <c r="IXZ50" s="863"/>
      <c r="IYA50" s="863"/>
      <c r="IYB50" s="863"/>
      <c r="IYC50" s="863"/>
      <c r="IYD50" s="863"/>
      <c r="IYE50" s="863"/>
      <c r="IYF50" s="863"/>
      <c r="IYG50" s="863"/>
      <c r="IYH50" s="863"/>
      <c r="IYI50" s="863"/>
      <c r="IYJ50" s="863"/>
      <c r="IYK50" s="863"/>
      <c r="IYL50" s="863"/>
      <c r="IYM50" s="863"/>
      <c r="IYN50" s="863"/>
      <c r="IYO50" s="863"/>
      <c r="IYP50" s="863"/>
      <c r="IYQ50" s="863"/>
      <c r="IYR50" s="863"/>
      <c r="IYS50" s="883"/>
      <c r="IYT50" s="883"/>
      <c r="IYU50" s="883"/>
      <c r="IYV50" s="883"/>
      <c r="IYW50" s="883"/>
      <c r="IYX50" s="883"/>
      <c r="IYY50" s="883"/>
      <c r="IYZ50" s="883"/>
      <c r="IZA50" s="883"/>
      <c r="IZB50" s="863"/>
      <c r="IZC50" s="863"/>
      <c r="IZD50" s="863"/>
      <c r="IZE50" s="863"/>
      <c r="IZF50" s="863"/>
      <c r="IZG50" s="863"/>
      <c r="IZH50" s="863"/>
      <c r="IZI50" s="863"/>
      <c r="IZJ50" s="863"/>
      <c r="IZK50" s="863"/>
      <c r="IZL50" s="863"/>
      <c r="IZM50" s="863"/>
      <c r="IZN50" s="863"/>
      <c r="IZO50" s="863"/>
      <c r="IZP50" s="863"/>
      <c r="IZQ50" s="863"/>
      <c r="IZR50" s="863"/>
      <c r="IZS50" s="863"/>
      <c r="IZT50" s="863"/>
      <c r="IZU50" s="863"/>
      <c r="IZV50" s="863"/>
      <c r="IZW50" s="863"/>
      <c r="IZX50" s="863"/>
      <c r="IZY50" s="883"/>
      <c r="IZZ50" s="883"/>
      <c r="JAA50" s="883"/>
      <c r="JAB50" s="883"/>
      <c r="JAC50" s="883"/>
      <c r="JAD50" s="883"/>
      <c r="JAE50" s="883"/>
      <c r="JAF50" s="883"/>
      <c r="JAG50" s="883"/>
      <c r="JAH50" s="863"/>
      <c r="JAI50" s="863"/>
      <c r="JAJ50" s="863"/>
      <c r="JAK50" s="863"/>
      <c r="JAL50" s="863"/>
      <c r="JAM50" s="863"/>
      <c r="JAN50" s="863"/>
      <c r="JAO50" s="863"/>
      <c r="JAP50" s="863"/>
      <c r="JAQ50" s="863"/>
      <c r="JAR50" s="863"/>
      <c r="JAS50" s="863"/>
      <c r="JAT50" s="863"/>
      <c r="JAU50" s="863"/>
      <c r="JAV50" s="863"/>
      <c r="JAW50" s="863"/>
      <c r="JAX50" s="863"/>
      <c r="JAY50" s="863"/>
      <c r="JAZ50" s="863"/>
      <c r="JBA50" s="863"/>
      <c r="JBB50" s="863"/>
      <c r="JBC50" s="863"/>
      <c r="JBD50" s="863"/>
      <c r="JBE50" s="883"/>
      <c r="JBF50" s="883"/>
      <c r="JBG50" s="883"/>
      <c r="JBH50" s="883"/>
      <c r="JBI50" s="883"/>
      <c r="JBJ50" s="883"/>
      <c r="JBK50" s="883"/>
      <c r="JBL50" s="883"/>
      <c r="JBM50" s="883"/>
      <c r="JBN50" s="863"/>
      <c r="JBO50" s="863"/>
      <c r="JBP50" s="863"/>
      <c r="JBQ50" s="863"/>
      <c r="JBR50" s="863"/>
      <c r="JBS50" s="863"/>
      <c r="JBT50" s="863"/>
      <c r="JBU50" s="863"/>
      <c r="JBV50" s="863"/>
      <c r="JBW50" s="863"/>
      <c r="JBX50" s="863"/>
      <c r="JBY50" s="863"/>
      <c r="JBZ50" s="863"/>
      <c r="JCA50" s="863"/>
      <c r="JCB50" s="863"/>
      <c r="JCC50" s="863"/>
      <c r="JCD50" s="863"/>
      <c r="JCE50" s="863"/>
      <c r="JCF50" s="863"/>
      <c r="JCG50" s="863"/>
      <c r="JCH50" s="863"/>
      <c r="JCI50" s="863"/>
      <c r="JCJ50" s="863"/>
      <c r="JCK50" s="883"/>
      <c r="JCL50" s="883"/>
      <c r="JCM50" s="883"/>
      <c r="JCN50" s="883"/>
      <c r="JCO50" s="883"/>
      <c r="JCP50" s="883"/>
      <c r="JCQ50" s="883"/>
      <c r="JCR50" s="883"/>
      <c r="JCS50" s="883"/>
      <c r="JCT50" s="863"/>
      <c r="JCU50" s="863"/>
      <c r="JCV50" s="863"/>
      <c r="JCW50" s="863"/>
      <c r="JCX50" s="863"/>
      <c r="JCY50" s="863"/>
      <c r="JCZ50" s="863"/>
      <c r="JDA50" s="863"/>
      <c r="JDB50" s="863"/>
      <c r="JDC50" s="863"/>
      <c r="JDD50" s="863"/>
      <c r="JDE50" s="863"/>
      <c r="JDF50" s="863"/>
      <c r="JDG50" s="863"/>
      <c r="JDH50" s="863"/>
      <c r="JDI50" s="863"/>
      <c r="JDJ50" s="863"/>
      <c r="JDK50" s="863"/>
      <c r="JDL50" s="863"/>
      <c r="JDM50" s="863"/>
      <c r="JDN50" s="863"/>
      <c r="JDO50" s="863"/>
      <c r="JDP50" s="863"/>
      <c r="JDQ50" s="883"/>
      <c r="JDR50" s="883"/>
      <c r="JDS50" s="883"/>
      <c r="JDT50" s="883"/>
      <c r="JDU50" s="883"/>
      <c r="JDV50" s="883"/>
      <c r="JDW50" s="883"/>
      <c r="JDX50" s="883"/>
      <c r="JDY50" s="883"/>
      <c r="JDZ50" s="863"/>
      <c r="JEA50" s="863"/>
      <c r="JEB50" s="863"/>
      <c r="JEC50" s="863"/>
      <c r="JED50" s="863"/>
      <c r="JEE50" s="863"/>
      <c r="JEF50" s="863"/>
      <c r="JEG50" s="863"/>
      <c r="JEH50" s="863"/>
      <c r="JEI50" s="863"/>
      <c r="JEJ50" s="863"/>
      <c r="JEK50" s="863"/>
      <c r="JEL50" s="863"/>
      <c r="JEM50" s="863"/>
      <c r="JEN50" s="863"/>
      <c r="JEO50" s="863"/>
      <c r="JEP50" s="863"/>
      <c r="JEQ50" s="863"/>
      <c r="JER50" s="863"/>
      <c r="JES50" s="863"/>
      <c r="JET50" s="863"/>
      <c r="JEU50" s="863"/>
      <c r="JEV50" s="863"/>
      <c r="JEW50" s="883"/>
      <c r="JEX50" s="883"/>
      <c r="JEY50" s="883"/>
      <c r="JEZ50" s="883"/>
      <c r="JFA50" s="883"/>
      <c r="JFB50" s="883"/>
      <c r="JFC50" s="883"/>
      <c r="JFD50" s="883"/>
      <c r="JFE50" s="883"/>
      <c r="JFF50" s="863"/>
      <c r="JFG50" s="863"/>
      <c r="JFH50" s="863"/>
      <c r="JFI50" s="863"/>
      <c r="JFJ50" s="863"/>
      <c r="JFK50" s="863"/>
      <c r="JFL50" s="863"/>
      <c r="JFM50" s="863"/>
      <c r="JFN50" s="863"/>
      <c r="JFO50" s="863"/>
      <c r="JFP50" s="863"/>
      <c r="JFQ50" s="863"/>
      <c r="JFR50" s="863"/>
      <c r="JFS50" s="863"/>
      <c r="JFT50" s="863"/>
      <c r="JFU50" s="863"/>
      <c r="JFV50" s="863"/>
      <c r="JFW50" s="863"/>
      <c r="JFX50" s="863"/>
      <c r="JFY50" s="863"/>
      <c r="JFZ50" s="863"/>
      <c r="JGA50" s="863"/>
      <c r="JGB50" s="863"/>
      <c r="JGC50" s="883"/>
      <c r="JGD50" s="883"/>
      <c r="JGE50" s="883"/>
      <c r="JGF50" s="883"/>
      <c r="JGG50" s="883"/>
      <c r="JGH50" s="883"/>
      <c r="JGI50" s="883"/>
      <c r="JGJ50" s="883"/>
      <c r="JGK50" s="883"/>
      <c r="JGL50" s="863"/>
      <c r="JGM50" s="863"/>
      <c r="JGN50" s="863"/>
      <c r="JGO50" s="863"/>
      <c r="JGP50" s="863"/>
      <c r="JGQ50" s="863"/>
      <c r="JGR50" s="863"/>
      <c r="JGS50" s="863"/>
      <c r="JGT50" s="863"/>
      <c r="JGU50" s="863"/>
      <c r="JGV50" s="863"/>
      <c r="JGW50" s="863"/>
      <c r="JGX50" s="863"/>
      <c r="JGY50" s="863"/>
      <c r="JGZ50" s="863"/>
      <c r="JHA50" s="863"/>
      <c r="JHB50" s="863"/>
      <c r="JHC50" s="863"/>
      <c r="JHD50" s="863"/>
      <c r="JHE50" s="863"/>
      <c r="JHF50" s="863"/>
      <c r="JHG50" s="863"/>
      <c r="JHH50" s="863"/>
      <c r="JHI50" s="883"/>
      <c r="JHJ50" s="883"/>
      <c r="JHK50" s="883"/>
      <c r="JHL50" s="883"/>
      <c r="JHM50" s="883"/>
      <c r="JHN50" s="883"/>
      <c r="JHO50" s="883"/>
      <c r="JHP50" s="883"/>
      <c r="JHQ50" s="883"/>
      <c r="JHR50" s="863"/>
      <c r="JHS50" s="863"/>
      <c r="JHT50" s="863"/>
      <c r="JHU50" s="863"/>
      <c r="JHV50" s="863"/>
      <c r="JHW50" s="863"/>
      <c r="JHX50" s="863"/>
      <c r="JHY50" s="863"/>
      <c r="JHZ50" s="863"/>
      <c r="JIA50" s="863"/>
      <c r="JIB50" s="863"/>
      <c r="JIC50" s="863"/>
      <c r="JID50" s="863"/>
      <c r="JIE50" s="863"/>
      <c r="JIF50" s="863"/>
      <c r="JIG50" s="863"/>
      <c r="JIH50" s="863"/>
      <c r="JII50" s="863"/>
      <c r="JIJ50" s="863"/>
      <c r="JIK50" s="863"/>
      <c r="JIL50" s="863"/>
      <c r="JIM50" s="863"/>
      <c r="JIN50" s="863"/>
      <c r="JIO50" s="883"/>
      <c r="JIP50" s="883"/>
      <c r="JIQ50" s="883"/>
      <c r="JIR50" s="883"/>
      <c r="JIS50" s="883"/>
      <c r="JIT50" s="883"/>
      <c r="JIU50" s="883"/>
      <c r="JIV50" s="883"/>
      <c r="JIW50" s="883"/>
      <c r="JIX50" s="863"/>
      <c r="JIY50" s="863"/>
      <c r="JIZ50" s="863"/>
      <c r="JJA50" s="863"/>
      <c r="JJB50" s="863"/>
      <c r="JJC50" s="863"/>
      <c r="JJD50" s="863"/>
      <c r="JJE50" s="863"/>
      <c r="JJF50" s="863"/>
      <c r="JJG50" s="863"/>
      <c r="JJH50" s="863"/>
      <c r="JJI50" s="863"/>
      <c r="JJJ50" s="863"/>
      <c r="JJK50" s="863"/>
      <c r="JJL50" s="863"/>
      <c r="JJM50" s="863"/>
      <c r="JJN50" s="863"/>
      <c r="JJO50" s="863"/>
      <c r="JJP50" s="863"/>
      <c r="JJQ50" s="863"/>
      <c r="JJR50" s="863"/>
      <c r="JJS50" s="863"/>
      <c r="JJT50" s="863"/>
      <c r="JJU50" s="883"/>
      <c r="JJV50" s="883"/>
      <c r="JJW50" s="883"/>
      <c r="JJX50" s="883"/>
      <c r="JJY50" s="883"/>
      <c r="JJZ50" s="883"/>
      <c r="JKA50" s="883"/>
      <c r="JKB50" s="883"/>
      <c r="JKC50" s="883"/>
      <c r="JKD50" s="863"/>
      <c r="JKE50" s="863"/>
      <c r="JKF50" s="863"/>
      <c r="JKG50" s="863"/>
      <c r="JKH50" s="863"/>
      <c r="JKI50" s="863"/>
      <c r="JKJ50" s="863"/>
      <c r="JKK50" s="863"/>
      <c r="JKL50" s="863"/>
      <c r="JKM50" s="863"/>
      <c r="JKN50" s="863"/>
      <c r="JKO50" s="863"/>
      <c r="JKP50" s="863"/>
      <c r="JKQ50" s="863"/>
      <c r="JKR50" s="863"/>
      <c r="JKS50" s="863"/>
      <c r="JKT50" s="863"/>
      <c r="JKU50" s="863"/>
      <c r="JKV50" s="863"/>
      <c r="JKW50" s="863"/>
      <c r="JKX50" s="863"/>
      <c r="JKY50" s="863"/>
      <c r="JKZ50" s="863"/>
      <c r="JLA50" s="883"/>
      <c r="JLB50" s="883"/>
      <c r="JLC50" s="883"/>
      <c r="JLD50" s="883"/>
      <c r="JLE50" s="883"/>
      <c r="JLF50" s="883"/>
      <c r="JLG50" s="883"/>
      <c r="JLH50" s="883"/>
      <c r="JLI50" s="883"/>
      <c r="JLJ50" s="863"/>
      <c r="JLK50" s="863"/>
      <c r="JLL50" s="863"/>
      <c r="JLM50" s="863"/>
      <c r="JLN50" s="863"/>
      <c r="JLO50" s="863"/>
      <c r="JLP50" s="863"/>
      <c r="JLQ50" s="863"/>
      <c r="JLR50" s="863"/>
      <c r="JLS50" s="863"/>
      <c r="JLT50" s="863"/>
      <c r="JLU50" s="863"/>
      <c r="JLV50" s="863"/>
      <c r="JLW50" s="863"/>
      <c r="JLX50" s="863"/>
      <c r="JLY50" s="863"/>
      <c r="JLZ50" s="863"/>
      <c r="JMA50" s="863"/>
      <c r="JMB50" s="863"/>
      <c r="JMC50" s="863"/>
      <c r="JMD50" s="863"/>
      <c r="JME50" s="863"/>
      <c r="JMF50" s="863"/>
      <c r="JMG50" s="883"/>
      <c r="JMH50" s="883"/>
      <c r="JMI50" s="883"/>
      <c r="JMJ50" s="883"/>
      <c r="JMK50" s="883"/>
      <c r="JML50" s="883"/>
      <c r="JMM50" s="883"/>
      <c r="JMN50" s="883"/>
      <c r="JMO50" s="883"/>
      <c r="JMP50" s="863"/>
      <c r="JMQ50" s="863"/>
      <c r="JMR50" s="863"/>
      <c r="JMS50" s="863"/>
      <c r="JMT50" s="863"/>
      <c r="JMU50" s="863"/>
      <c r="JMV50" s="863"/>
      <c r="JMW50" s="863"/>
      <c r="JMX50" s="863"/>
      <c r="JMY50" s="863"/>
      <c r="JMZ50" s="863"/>
      <c r="JNA50" s="863"/>
      <c r="JNB50" s="863"/>
      <c r="JNC50" s="863"/>
      <c r="JND50" s="863"/>
      <c r="JNE50" s="863"/>
      <c r="JNF50" s="863"/>
      <c r="JNG50" s="863"/>
      <c r="JNH50" s="863"/>
      <c r="JNI50" s="863"/>
      <c r="JNJ50" s="863"/>
      <c r="JNK50" s="863"/>
      <c r="JNL50" s="863"/>
      <c r="JNM50" s="883"/>
      <c r="JNN50" s="883"/>
      <c r="JNO50" s="883"/>
      <c r="JNP50" s="883"/>
      <c r="JNQ50" s="883"/>
      <c r="JNR50" s="883"/>
      <c r="JNS50" s="883"/>
      <c r="JNT50" s="883"/>
      <c r="JNU50" s="883"/>
      <c r="JNV50" s="863"/>
      <c r="JNW50" s="863"/>
      <c r="JNX50" s="863"/>
      <c r="JNY50" s="863"/>
      <c r="JNZ50" s="863"/>
      <c r="JOA50" s="863"/>
      <c r="JOB50" s="863"/>
      <c r="JOC50" s="863"/>
      <c r="JOD50" s="863"/>
      <c r="JOE50" s="863"/>
      <c r="JOF50" s="863"/>
      <c r="JOG50" s="863"/>
      <c r="JOH50" s="863"/>
      <c r="JOI50" s="863"/>
      <c r="JOJ50" s="863"/>
      <c r="JOK50" s="863"/>
      <c r="JOL50" s="863"/>
      <c r="JOM50" s="863"/>
      <c r="JON50" s="863"/>
      <c r="JOO50" s="863"/>
      <c r="JOP50" s="863"/>
      <c r="JOQ50" s="863"/>
      <c r="JOR50" s="863"/>
      <c r="JOS50" s="883"/>
      <c r="JOT50" s="883"/>
      <c r="JOU50" s="883"/>
      <c r="JOV50" s="883"/>
      <c r="JOW50" s="883"/>
      <c r="JOX50" s="883"/>
      <c r="JOY50" s="883"/>
      <c r="JOZ50" s="883"/>
      <c r="JPA50" s="883"/>
      <c r="JPB50" s="863"/>
      <c r="JPC50" s="863"/>
      <c r="JPD50" s="863"/>
      <c r="JPE50" s="863"/>
      <c r="JPF50" s="863"/>
      <c r="JPG50" s="863"/>
      <c r="JPH50" s="863"/>
      <c r="JPI50" s="863"/>
      <c r="JPJ50" s="863"/>
      <c r="JPK50" s="863"/>
      <c r="JPL50" s="863"/>
      <c r="JPM50" s="863"/>
      <c r="JPN50" s="863"/>
      <c r="JPO50" s="863"/>
      <c r="JPP50" s="863"/>
      <c r="JPQ50" s="863"/>
      <c r="JPR50" s="863"/>
      <c r="JPS50" s="863"/>
      <c r="JPT50" s="863"/>
      <c r="JPU50" s="863"/>
      <c r="JPV50" s="863"/>
      <c r="JPW50" s="863"/>
      <c r="JPX50" s="863"/>
      <c r="JPY50" s="883"/>
      <c r="JPZ50" s="883"/>
      <c r="JQA50" s="883"/>
      <c r="JQB50" s="883"/>
      <c r="JQC50" s="883"/>
      <c r="JQD50" s="883"/>
      <c r="JQE50" s="883"/>
      <c r="JQF50" s="883"/>
      <c r="JQG50" s="883"/>
      <c r="JQH50" s="863"/>
      <c r="JQI50" s="863"/>
      <c r="JQJ50" s="863"/>
      <c r="JQK50" s="863"/>
      <c r="JQL50" s="863"/>
      <c r="JQM50" s="863"/>
      <c r="JQN50" s="863"/>
      <c r="JQO50" s="863"/>
      <c r="JQP50" s="863"/>
      <c r="JQQ50" s="863"/>
      <c r="JQR50" s="863"/>
      <c r="JQS50" s="863"/>
      <c r="JQT50" s="863"/>
      <c r="JQU50" s="863"/>
      <c r="JQV50" s="863"/>
      <c r="JQW50" s="863"/>
      <c r="JQX50" s="863"/>
      <c r="JQY50" s="863"/>
      <c r="JQZ50" s="863"/>
      <c r="JRA50" s="863"/>
      <c r="JRB50" s="863"/>
      <c r="JRC50" s="863"/>
      <c r="JRD50" s="863"/>
      <c r="JRE50" s="883"/>
      <c r="JRF50" s="883"/>
      <c r="JRG50" s="883"/>
      <c r="JRH50" s="883"/>
      <c r="JRI50" s="883"/>
      <c r="JRJ50" s="883"/>
      <c r="JRK50" s="883"/>
      <c r="JRL50" s="883"/>
      <c r="JRM50" s="883"/>
      <c r="JRN50" s="863"/>
      <c r="JRO50" s="863"/>
      <c r="JRP50" s="863"/>
      <c r="JRQ50" s="863"/>
      <c r="JRR50" s="863"/>
      <c r="JRS50" s="863"/>
      <c r="JRT50" s="863"/>
      <c r="JRU50" s="863"/>
      <c r="JRV50" s="863"/>
      <c r="JRW50" s="863"/>
      <c r="JRX50" s="863"/>
      <c r="JRY50" s="863"/>
      <c r="JRZ50" s="863"/>
      <c r="JSA50" s="863"/>
      <c r="JSB50" s="863"/>
      <c r="JSC50" s="863"/>
      <c r="JSD50" s="863"/>
      <c r="JSE50" s="863"/>
      <c r="JSF50" s="863"/>
      <c r="JSG50" s="863"/>
      <c r="JSH50" s="863"/>
      <c r="JSI50" s="863"/>
      <c r="JSJ50" s="863"/>
      <c r="JSK50" s="883"/>
      <c r="JSL50" s="883"/>
      <c r="JSM50" s="883"/>
      <c r="JSN50" s="883"/>
      <c r="JSO50" s="883"/>
      <c r="JSP50" s="883"/>
      <c r="JSQ50" s="883"/>
      <c r="JSR50" s="883"/>
      <c r="JSS50" s="883"/>
      <c r="JST50" s="863"/>
      <c r="JSU50" s="863"/>
      <c r="JSV50" s="863"/>
      <c r="JSW50" s="863"/>
      <c r="JSX50" s="863"/>
      <c r="JSY50" s="863"/>
      <c r="JSZ50" s="863"/>
      <c r="JTA50" s="863"/>
      <c r="JTB50" s="863"/>
      <c r="JTC50" s="863"/>
      <c r="JTD50" s="863"/>
      <c r="JTE50" s="863"/>
      <c r="JTF50" s="863"/>
      <c r="JTG50" s="863"/>
      <c r="JTH50" s="863"/>
      <c r="JTI50" s="863"/>
      <c r="JTJ50" s="863"/>
      <c r="JTK50" s="863"/>
      <c r="JTL50" s="863"/>
      <c r="JTM50" s="863"/>
      <c r="JTN50" s="863"/>
      <c r="JTO50" s="863"/>
      <c r="JTP50" s="863"/>
      <c r="JTQ50" s="883"/>
      <c r="JTR50" s="883"/>
      <c r="JTS50" s="883"/>
      <c r="JTT50" s="883"/>
      <c r="JTU50" s="883"/>
      <c r="JTV50" s="883"/>
      <c r="JTW50" s="883"/>
      <c r="JTX50" s="883"/>
      <c r="JTY50" s="883"/>
      <c r="JTZ50" s="863"/>
      <c r="JUA50" s="863"/>
      <c r="JUB50" s="863"/>
      <c r="JUC50" s="863"/>
      <c r="JUD50" s="863"/>
      <c r="JUE50" s="863"/>
      <c r="JUF50" s="863"/>
      <c r="JUG50" s="863"/>
      <c r="JUH50" s="863"/>
      <c r="JUI50" s="863"/>
      <c r="JUJ50" s="863"/>
      <c r="JUK50" s="863"/>
      <c r="JUL50" s="863"/>
      <c r="JUM50" s="863"/>
      <c r="JUN50" s="863"/>
      <c r="JUO50" s="863"/>
      <c r="JUP50" s="863"/>
      <c r="JUQ50" s="863"/>
      <c r="JUR50" s="863"/>
      <c r="JUS50" s="863"/>
      <c r="JUT50" s="863"/>
      <c r="JUU50" s="863"/>
      <c r="JUV50" s="863"/>
      <c r="JUW50" s="883"/>
      <c r="JUX50" s="883"/>
      <c r="JUY50" s="883"/>
      <c r="JUZ50" s="883"/>
      <c r="JVA50" s="883"/>
      <c r="JVB50" s="883"/>
      <c r="JVC50" s="883"/>
      <c r="JVD50" s="883"/>
      <c r="JVE50" s="883"/>
      <c r="JVF50" s="863"/>
      <c r="JVG50" s="863"/>
      <c r="JVH50" s="863"/>
      <c r="JVI50" s="863"/>
      <c r="JVJ50" s="863"/>
      <c r="JVK50" s="863"/>
      <c r="JVL50" s="863"/>
      <c r="JVM50" s="863"/>
      <c r="JVN50" s="863"/>
      <c r="JVO50" s="863"/>
      <c r="JVP50" s="863"/>
      <c r="JVQ50" s="863"/>
      <c r="JVR50" s="863"/>
      <c r="JVS50" s="863"/>
      <c r="JVT50" s="863"/>
      <c r="JVU50" s="863"/>
      <c r="JVV50" s="863"/>
      <c r="JVW50" s="863"/>
      <c r="JVX50" s="863"/>
      <c r="JVY50" s="863"/>
      <c r="JVZ50" s="863"/>
      <c r="JWA50" s="863"/>
      <c r="JWB50" s="863"/>
      <c r="JWC50" s="883"/>
      <c r="JWD50" s="883"/>
      <c r="JWE50" s="883"/>
      <c r="JWF50" s="883"/>
      <c r="JWG50" s="883"/>
      <c r="JWH50" s="883"/>
      <c r="JWI50" s="883"/>
      <c r="JWJ50" s="883"/>
      <c r="JWK50" s="883"/>
      <c r="JWL50" s="863"/>
      <c r="JWM50" s="863"/>
      <c r="JWN50" s="863"/>
      <c r="JWO50" s="863"/>
      <c r="JWP50" s="863"/>
      <c r="JWQ50" s="863"/>
      <c r="JWR50" s="863"/>
      <c r="JWS50" s="863"/>
      <c r="JWT50" s="863"/>
      <c r="JWU50" s="863"/>
      <c r="JWV50" s="863"/>
      <c r="JWW50" s="863"/>
      <c r="JWX50" s="863"/>
      <c r="JWY50" s="863"/>
      <c r="JWZ50" s="863"/>
      <c r="JXA50" s="863"/>
      <c r="JXB50" s="863"/>
      <c r="JXC50" s="863"/>
      <c r="JXD50" s="863"/>
      <c r="JXE50" s="863"/>
      <c r="JXF50" s="863"/>
      <c r="JXG50" s="863"/>
      <c r="JXH50" s="863"/>
      <c r="JXI50" s="883"/>
      <c r="JXJ50" s="883"/>
      <c r="JXK50" s="883"/>
      <c r="JXL50" s="883"/>
      <c r="JXM50" s="883"/>
      <c r="JXN50" s="883"/>
      <c r="JXO50" s="883"/>
      <c r="JXP50" s="883"/>
      <c r="JXQ50" s="883"/>
      <c r="JXR50" s="863"/>
      <c r="JXS50" s="863"/>
      <c r="JXT50" s="863"/>
      <c r="JXU50" s="863"/>
      <c r="JXV50" s="863"/>
      <c r="JXW50" s="863"/>
      <c r="JXX50" s="863"/>
      <c r="JXY50" s="863"/>
      <c r="JXZ50" s="863"/>
      <c r="JYA50" s="863"/>
      <c r="JYB50" s="863"/>
      <c r="JYC50" s="863"/>
      <c r="JYD50" s="863"/>
      <c r="JYE50" s="863"/>
      <c r="JYF50" s="863"/>
      <c r="JYG50" s="863"/>
      <c r="JYH50" s="863"/>
      <c r="JYI50" s="863"/>
      <c r="JYJ50" s="863"/>
      <c r="JYK50" s="863"/>
      <c r="JYL50" s="863"/>
      <c r="JYM50" s="863"/>
      <c r="JYN50" s="863"/>
      <c r="JYO50" s="883"/>
      <c r="JYP50" s="883"/>
      <c r="JYQ50" s="883"/>
      <c r="JYR50" s="883"/>
      <c r="JYS50" s="883"/>
      <c r="JYT50" s="883"/>
      <c r="JYU50" s="883"/>
      <c r="JYV50" s="883"/>
      <c r="JYW50" s="883"/>
      <c r="JYX50" s="863"/>
      <c r="JYY50" s="863"/>
      <c r="JYZ50" s="863"/>
      <c r="JZA50" s="863"/>
      <c r="JZB50" s="863"/>
      <c r="JZC50" s="863"/>
      <c r="JZD50" s="863"/>
      <c r="JZE50" s="863"/>
      <c r="JZF50" s="863"/>
      <c r="JZG50" s="863"/>
      <c r="JZH50" s="863"/>
      <c r="JZI50" s="863"/>
      <c r="JZJ50" s="863"/>
      <c r="JZK50" s="863"/>
      <c r="JZL50" s="863"/>
      <c r="JZM50" s="863"/>
      <c r="JZN50" s="863"/>
      <c r="JZO50" s="863"/>
      <c r="JZP50" s="863"/>
      <c r="JZQ50" s="863"/>
      <c r="JZR50" s="863"/>
      <c r="JZS50" s="863"/>
      <c r="JZT50" s="863"/>
      <c r="JZU50" s="883"/>
      <c r="JZV50" s="883"/>
      <c r="JZW50" s="883"/>
      <c r="JZX50" s="883"/>
      <c r="JZY50" s="883"/>
      <c r="JZZ50" s="883"/>
      <c r="KAA50" s="883"/>
      <c r="KAB50" s="883"/>
      <c r="KAC50" s="883"/>
      <c r="KAD50" s="863"/>
      <c r="KAE50" s="863"/>
      <c r="KAF50" s="863"/>
      <c r="KAG50" s="863"/>
      <c r="KAH50" s="863"/>
      <c r="KAI50" s="863"/>
      <c r="KAJ50" s="863"/>
      <c r="KAK50" s="863"/>
      <c r="KAL50" s="863"/>
      <c r="KAM50" s="863"/>
      <c r="KAN50" s="863"/>
      <c r="KAO50" s="863"/>
      <c r="KAP50" s="863"/>
      <c r="KAQ50" s="863"/>
      <c r="KAR50" s="863"/>
      <c r="KAS50" s="863"/>
      <c r="KAT50" s="863"/>
      <c r="KAU50" s="863"/>
      <c r="KAV50" s="863"/>
      <c r="KAW50" s="863"/>
      <c r="KAX50" s="863"/>
      <c r="KAY50" s="863"/>
      <c r="KAZ50" s="863"/>
      <c r="KBA50" s="883"/>
      <c r="KBB50" s="883"/>
      <c r="KBC50" s="883"/>
      <c r="KBD50" s="883"/>
      <c r="KBE50" s="883"/>
      <c r="KBF50" s="883"/>
      <c r="KBG50" s="883"/>
      <c r="KBH50" s="883"/>
      <c r="KBI50" s="883"/>
      <c r="KBJ50" s="863"/>
      <c r="KBK50" s="863"/>
      <c r="KBL50" s="863"/>
      <c r="KBM50" s="863"/>
      <c r="KBN50" s="863"/>
      <c r="KBO50" s="863"/>
      <c r="KBP50" s="863"/>
      <c r="KBQ50" s="863"/>
      <c r="KBR50" s="863"/>
      <c r="KBS50" s="863"/>
      <c r="KBT50" s="863"/>
      <c r="KBU50" s="863"/>
      <c r="KBV50" s="863"/>
      <c r="KBW50" s="863"/>
      <c r="KBX50" s="863"/>
      <c r="KBY50" s="863"/>
      <c r="KBZ50" s="863"/>
      <c r="KCA50" s="863"/>
      <c r="KCB50" s="863"/>
      <c r="KCC50" s="863"/>
      <c r="KCD50" s="863"/>
      <c r="KCE50" s="863"/>
      <c r="KCF50" s="863"/>
      <c r="KCG50" s="883"/>
      <c r="KCH50" s="883"/>
      <c r="KCI50" s="883"/>
      <c r="KCJ50" s="883"/>
      <c r="KCK50" s="883"/>
      <c r="KCL50" s="883"/>
      <c r="KCM50" s="883"/>
      <c r="KCN50" s="883"/>
      <c r="KCO50" s="883"/>
      <c r="KCP50" s="863"/>
      <c r="KCQ50" s="863"/>
      <c r="KCR50" s="863"/>
      <c r="KCS50" s="863"/>
      <c r="KCT50" s="863"/>
      <c r="KCU50" s="863"/>
      <c r="KCV50" s="863"/>
      <c r="KCW50" s="863"/>
      <c r="KCX50" s="863"/>
      <c r="KCY50" s="863"/>
      <c r="KCZ50" s="863"/>
      <c r="KDA50" s="863"/>
      <c r="KDB50" s="863"/>
      <c r="KDC50" s="863"/>
      <c r="KDD50" s="863"/>
      <c r="KDE50" s="863"/>
      <c r="KDF50" s="863"/>
      <c r="KDG50" s="863"/>
      <c r="KDH50" s="863"/>
      <c r="KDI50" s="863"/>
      <c r="KDJ50" s="863"/>
      <c r="KDK50" s="863"/>
      <c r="KDL50" s="863"/>
      <c r="KDM50" s="883"/>
      <c r="KDN50" s="883"/>
      <c r="KDO50" s="883"/>
      <c r="KDP50" s="883"/>
      <c r="KDQ50" s="883"/>
      <c r="KDR50" s="883"/>
      <c r="KDS50" s="883"/>
      <c r="KDT50" s="883"/>
      <c r="KDU50" s="883"/>
      <c r="KDV50" s="863"/>
      <c r="KDW50" s="863"/>
      <c r="KDX50" s="863"/>
      <c r="KDY50" s="863"/>
      <c r="KDZ50" s="863"/>
      <c r="KEA50" s="863"/>
      <c r="KEB50" s="863"/>
      <c r="KEC50" s="863"/>
      <c r="KED50" s="863"/>
      <c r="KEE50" s="863"/>
      <c r="KEF50" s="863"/>
      <c r="KEG50" s="863"/>
      <c r="KEH50" s="863"/>
      <c r="KEI50" s="863"/>
      <c r="KEJ50" s="863"/>
      <c r="KEK50" s="863"/>
      <c r="KEL50" s="863"/>
      <c r="KEM50" s="863"/>
      <c r="KEN50" s="863"/>
      <c r="KEO50" s="863"/>
      <c r="KEP50" s="863"/>
      <c r="KEQ50" s="863"/>
      <c r="KER50" s="863"/>
      <c r="KES50" s="883"/>
      <c r="KET50" s="883"/>
      <c r="KEU50" s="883"/>
      <c r="KEV50" s="883"/>
      <c r="KEW50" s="883"/>
      <c r="KEX50" s="883"/>
      <c r="KEY50" s="883"/>
      <c r="KEZ50" s="883"/>
      <c r="KFA50" s="883"/>
      <c r="KFB50" s="863"/>
      <c r="KFC50" s="863"/>
      <c r="KFD50" s="863"/>
      <c r="KFE50" s="863"/>
      <c r="KFF50" s="863"/>
      <c r="KFG50" s="863"/>
      <c r="KFH50" s="863"/>
      <c r="KFI50" s="863"/>
      <c r="KFJ50" s="863"/>
      <c r="KFK50" s="863"/>
      <c r="KFL50" s="863"/>
      <c r="KFM50" s="863"/>
      <c r="KFN50" s="863"/>
      <c r="KFO50" s="863"/>
      <c r="KFP50" s="863"/>
      <c r="KFQ50" s="863"/>
      <c r="KFR50" s="863"/>
      <c r="KFS50" s="863"/>
      <c r="KFT50" s="863"/>
      <c r="KFU50" s="863"/>
      <c r="KFV50" s="863"/>
      <c r="KFW50" s="863"/>
      <c r="KFX50" s="863"/>
      <c r="KFY50" s="883"/>
      <c r="KFZ50" s="883"/>
      <c r="KGA50" s="883"/>
      <c r="KGB50" s="883"/>
      <c r="KGC50" s="883"/>
      <c r="KGD50" s="883"/>
      <c r="KGE50" s="883"/>
      <c r="KGF50" s="883"/>
      <c r="KGG50" s="883"/>
      <c r="KGH50" s="863"/>
      <c r="KGI50" s="863"/>
      <c r="KGJ50" s="863"/>
      <c r="KGK50" s="863"/>
      <c r="KGL50" s="863"/>
      <c r="KGM50" s="863"/>
      <c r="KGN50" s="863"/>
      <c r="KGO50" s="863"/>
      <c r="KGP50" s="863"/>
      <c r="KGQ50" s="863"/>
      <c r="KGR50" s="863"/>
      <c r="KGS50" s="863"/>
      <c r="KGT50" s="863"/>
      <c r="KGU50" s="863"/>
      <c r="KGV50" s="863"/>
      <c r="KGW50" s="863"/>
      <c r="KGX50" s="863"/>
      <c r="KGY50" s="863"/>
      <c r="KGZ50" s="863"/>
      <c r="KHA50" s="863"/>
      <c r="KHB50" s="863"/>
      <c r="KHC50" s="863"/>
      <c r="KHD50" s="863"/>
      <c r="KHE50" s="883"/>
      <c r="KHF50" s="883"/>
      <c r="KHG50" s="883"/>
      <c r="KHH50" s="883"/>
      <c r="KHI50" s="883"/>
      <c r="KHJ50" s="883"/>
      <c r="KHK50" s="883"/>
      <c r="KHL50" s="883"/>
      <c r="KHM50" s="883"/>
      <c r="KHN50" s="863"/>
      <c r="KHO50" s="863"/>
      <c r="KHP50" s="863"/>
      <c r="KHQ50" s="863"/>
      <c r="KHR50" s="863"/>
      <c r="KHS50" s="863"/>
      <c r="KHT50" s="863"/>
      <c r="KHU50" s="863"/>
      <c r="KHV50" s="863"/>
      <c r="KHW50" s="863"/>
      <c r="KHX50" s="863"/>
      <c r="KHY50" s="863"/>
      <c r="KHZ50" s="863"/>
      <c r="KIA50" s="863"/>
      <c r="KIB50" s="863"/>
      <c r="KIC50" s="863"/>
      <c r="KID50" s="863"/>
      <c r="KIE50" s="863"/>
      <c r="KIF50" s="863"/>
      <c r="KIG50" s="863"/>
      <c r="KIH50" s="863"/>
      <c r="KII50" s="863"/>
      <c r="KIJ50" s="863"/>
      <c r="KIK50" s="883"/>
      <c r="KIL50" s="883"/>
      <c r="KIM50" s="883"/>
      <c r="KIN50" s="883"/>
      <c r="KIO50" s="883"/>
      <c r="KIP50" s="883"/>
      <c r="KIQ50" s="883"/>
      <c r="KIR50" s="883"/>
      <c r="KIS50" s="883"/>
      <c r="KIT50" s="863"/>
      <c r="KIU50" s="863"/>
      <c r="KIV50" s="863"/>
      <c r="KIW50" s="863"/>
      <c r="KIX50" s="863"/>
      <c r="KIY50" s="863"/>
      <c r="KIZ50" s="863"/>
      <c r="KJA50" s="863"/>
      <c r="KJB50" s="863"/>
      <c r="KJC50" s="863"/>
      <c r="KJD50" s="863"/>
      <c r="KJE50" s="863"/>
      <c r="KJF50" s="863"/>
      <c r="KJG50" s="863"/>
      <c r="KJH50" s="863"/>
      <c r="KJI50" s="863"/>
      <c r="KJJ50" s="863"/>
      <c r="KJK50" s="863"/>
      <c r="KJL50" s="863"/>
      <c r="KJM50" s="863"/>
      <c r="KJN50" s="863"/>
      <c r="KJO50" s="863"/>
      <c r="KJP50" s="863"/>
      <c r="KJQ50" s="883"/>
      <c r="KJR50" s="883"/>
      <c r="KJS50" s="883"/>
      <c r="KJT50" s="883"/>
      <c r="KJU50" s="883"/>
      <c r="KJV50" s="883"/>
      <c r="KJW50" s="883"/>
      <c r="KJX50" s="883"/>
      <c r="KJY50" s="883"/>
      <c r="KJZ50" s="863"/>
      <c r="KKA50" s="863"/>
      <c r="KKB50" s="863"/>
      <c r="KKC50" s="863"/>
      <c r="KKD50" s="863"/>
      <c r="KKE50" s="863"/>
      <c r="KKF50" s="863"/>
      <c r="KKG50" s="863"/>
      <c r="KKH50" s="863"/>
      <c r="KKI50" s="863"/>
      <c r="KKJ50" s="863"/>
      <c r="KKK50" s="863"/>
      <c r="KKL50" s="863"/>
      <c r="KKM50" s="863"/>
      <c r="KKN50" s="863"/>
      <c r="KKO50" s="863"/>
      <c r="KKP50" s="863"/>
      <c r="KKQ50" s="863"/>
      <c r="KKR50" s="863"/>
      <c r="KKS50" s="863"/>
      <c r="KKT50" s="863"/>
      <c r="KKU50" s="863"/>
      <c r="KKV50" s="863"/>
      <c r="KKW50" s="883"/>
      <c r="KKX50" s="883"/>
      <c r="KKY50" s="883"/>
      <c r="KKZ50" s="883"/>
      <c r="KLA50" s="883"/>
      <c r="KLB50" s="883"/>
      <c r="KLC50" s="883"/>
      <c r="KLD50" s="883"/>
      <c r="KLE50" s="883"/>
      <c r="KLF50" s="863"/>
      <c r="KLG50" s="863"/>
      <c r="KLH50" s="863"/>
      <c r="KLI50" s="863"/>
      <c r="KLJ50" s="863"/>
      <c r="KLK50" s="863"/>
      <c r="KLL50" s="863"/>
      <c r="KLM50" s="863"/>
      <c r="KLN50" s="863"/>
      <c r="KLO50" s="863"/>
      <c r="KLP50" s="863"/>
      <c r="KLQ50" s="863"/>
      <c r="KLR50" s="863"/>
      <c r="KLS50" s="863"/>
      <c r="KLT50" s="863"/>
      <c r="KLU50" s="863"/>
      <c r="KLV50" s="863"/>
      <c r="KLW50" s="863"/>
      <c r="KLX50" s="863"/>
      <c r="KLY50" s="863"/>
      <c r="KLZ50" s="863"/>
      <c r="KMA50" s="863"/>
      <c r="KMB50" s="863"/>
      <c r="KMC50" s="883"/>
      <c r="KMD50" s="883"/>
      <c r="KME50" s="883"/>
      <c r="KMF50" s="883"/>
      <c r="KMG50" s="883"/>
      <c r="KMH50" s="883"/>
      <c r="KMI50" s="883"/>
      <c r="KMJ50" s="883"/>
      <c r="KMK50" s="883"/>
      <c r="KML50" s="863"/>
      <c r="KMM50" s="863"/>
      <c r="KMN50" s="863"/>
      <c r="KMO50" s="863"/>
      <c r="KMP50" s="863"/>
      <c r="KMQ50" s="863"/>
      <c r="KMR50" s="863"/>
      <c r="KMS50" s="863"/>
      <c r="KMT50" s="863"/>
      <c r="KMU50" s="863"/>
      <c r="KMV50" s="863"/>
      <c r="KMW50" s="863"/>
      <c r="KMX50" s="863"/>
      <c r="KMY50" s="863"/>
      <c r="KMZ50" s="863"/>
      <c r="KNA50" s="863"/>
      <c r="KNB50" s="863"/>
      <c r="KNC50" s="863"/>
      <c r="KND50" s="863"/>
      <c r="KNE50" s="863"/>
      <c r="KNF50" s="863"/>
      <c r="KNG50" s="863"/>
      <c r="KNH50" s="863"/>
      <c r="KNI50" s="883"/>
      <c r="KNJ50" s="883"/>
      <c r="KNK50" s="883"/>
      <c r="KNL50" s="883"/>
      <c r="KNM50" s="883"/>
      <c r="KNN50" s="883"/>
      <c r="KNO50" s="883"/>
      <c r="KNP50" s="883"/>
      <c r="KNQ50" s="883"/>
      <c r="KNR50" s="863"/>
      <c r="KNS50" s="863"/>
      <c r="KNT50" s="863"/>
      <c r="KNU50" s="863"/>
      <c r="KNV50" s="863"/>
      <c r="KNW50" s="863"/>
      <c r="KNX50" s="863"/>
      <c r="KNY50" s="863"/>
      <c r="KNZ50" s="863"/>
      <c r="KOA50" s="863"/>
      <c r="KOB50" s="863"/>
      <c r="KOC50" s="863"/>
      <c r="KOD50" s="863"/>
      <c r="KOE50" s="863"/>
      <c r="KOF50" s="863"/>
      <c r="KOG50" s="863"/>
      <c r="KOH50" s="863"/>
      <c r="KOI50" s="863"/>
      <c r="KOJ50" s="863"/>
      <c r="KOK50" s="863"/>
      <c r="KOL50" s="863"/>
      <c r="KOM50" s="863"/>
      <c r="KON50" s="863"/>
      <c r="KOO50" s="883"/>
      <c r="KOP50" s="883"/>
      <c r="KOQ50" s="883"/>
      <c r="KOR50" s="883"/>
      <c r="KOS50" s="883"/>
      <c r="KOT50" s="883"/>
      <c r="KOU50" s="883"/>
      <c r="KOV50" s="883"/>
      <c r="KOW50" s="883"/>
      <c r="KOX50" s="863"/>
      <c r="KOY50" s="863"/>
      <c r="KOZ50" s="863"/>
      <c r="KPA50" s="863"/>
      <c r="KPB50" s="863"/>
      <c r="KPC50" s="863"/>
      <c r="KPD50" s="863"/>
      <c r="KPE50" s="863"/>
      <c r="KPF50" s="863"/>
      <c r="KPG50" s="863"/>
      <c r="KPH50" s="863"/>
      <c r="KPI50" s="863"/>
      <c r="KPJ50" s="863"/>
      <c r="KPK50" s="863"/>
      <c r="KPL50" s="863"/>
      <c r="KPM50" s="863"/>
      <c r="KPN50" s="863"/>
      <c r="KPO50" s="863"/>
      <c r="KPP50" s="863"/>
      <c r="KPQ50" s="863"/>
      <c r="KPR50" s="863"/>
      <c r="KPS50" s="863"/>
      <c r="KPT50" s="863"/>
      <c r="KPU50" s="883"/>
      <c r="KPV50" s="883"/>
      <c r="KPW50" s="883"/>
      <c r="KPX50" s="883"/>
      <c r="KPY50" s="883"/>
      <c r="KPZ50" s="883"/>
      <c r="KQA50" s="883"/>
      <c r="KQB50" s="883"/>
      <c r="KQC50" s="883"/>
      <c r="KQD50" s="863"/>
      <c r="KQE50" s="863"/>
      <c r="KQF50" s="863"/>
      <c r="KQG50" s="863"/>
      <c r="KQH50" s="863"/>
      <c r="KQI50" s="863"/>
      <c r="KQJ50" s="863"/>
      <c r="KQK50" s="863"/>
      <c r="KQL50" s="863"/>
      <c r="KQM50" s="863"/>
      <c r="KQN50" s="863"/>
      <c r="KQO50" s="863"/>
      <c r="KQP50" s="863"/>
      <c r="KQQ50" s="863"/>
      <c r="KQR50" s="863"/>
      <c r="KQS50" s="863"/>
      <c r="KQT50" s="863"/>
      <c r="KQU50" s="863"/>
      <c r="KQV50" s="863"/>
      <c r="KQW50" s="863"/>
      <c r="KQX50" s="863"/>
      <c r="KQY50" s="863"/>
      <c r="KQZ50" s="863"/>
      <c r="KRA50" s="883"/>
      <c r="KRB50" s="883"/>
      <c r="KRC50" s="883"/>
      <c r="KRD50" s="883"/>
      <c r="KRE50" s="883"/>
      <c r="KRF50" s="883"/>
      <c r="KRG50" s="883"/>
      <c r="KRH50" s="883"/>
      <c r="KRI50" s="883"/>
      <c r="KRJ50" s="863"/>
      <c r="KRK50" s="863"/>
      <c r="KRL50" s="863"/>
      <c r="KRM50" s="863"/>
      <c r="KRN50" s="863"/>
      <c r="KRO50" s="863"/>
      <c r="KRP50" s="863"/>
      <c r="KRQ50" s="863"/>
      <c r="KRR50" s="863"/>
      <c r="KRS50" s="863"/>
      <c r="KRT50" s="863"/>
      <c r="KRU50" s="863"/>
      <c r="KRV50" s="863"/>
      <c r="KRW50" s="863"/>
      <c r="KRX50" s="863"/>
      <c r="KRY50" s="863"/>
      <c r="KRZ50" s="863"/>
      <c r="KSA50" s="863"/>
      <c r="KSB50" s="863"/>
      <c r="KSC50" s="863"/>
      <c r="KSD50" s="863"/>
      <c r="KSE50" s="863"/>
      <c r="KSF50" s="863"/>
      <c r="KSG50" s="883"/>
      <c r="KSH50" s="883"/>
      <c r="KSI50" s="883"/>
      <c r="KSJ50" s="883"/>
      <c r="KSK50" s="883"/>
      <c r="KSL50" s="883"/>
      <c r="KSM50" s="883"/>
      <c r="KSN50" s="883"/>
      <c r="KSO50" s="883"/>
      <c r="KSP50" s="863"/>
      <c r="KSQ50" s="863"/>
      <c r="KSR50" s="863"/>
      <c r="KSS50" s="863"/>
      <c r="KST50" s="863"/>
      <c r="KSU50" s="863"/>
      <c r="KSV50" s="863"/>
      <c r="KSW50" s="863"/>
      <c r="KSX50" s="863"/>
      <c r="KSY50" s="863"/>
      <c r="KSZ50" s="863"/>
      <c r="KTA50" s="863"/>
      <c r="KTB50" s="863"/>
      <c r="KTC50" s="863"/>
      <c r="KTD50" s="863"/>
      <c r="KTE50" s="863"/>
      <c r="KTF50" s="863"/>
      <c r="KTG50" s="863"/>
      <c r="KTH50" s="863"/>
      <c r="KTI50" s="863"/>
      <c r="KTJ50" s="863"/>
      <c r="KTK50" s="863"/>
      <c r="KTL50" s="863"/>
      <c r="KTM50" s="883"/>
      <c r="KTN50" s="883"/>
      <c r="KTO50" s="883"/>
      <c r="KTP50" s="883"/>
      <c r="KTQ50" s="883"/>
      <c r="KTR50" s="883"/>
      <c r="KTS50" s="883"/>
      <c r="KTT50" s="883"/>
      <c r="KTU50" s="883"/>
      <c r="KTV50" s="863"/>
      <c r="KTW50" s="863"/>
      <c r="KTX50" s="863"/>
      <c r="KTY50" s="863"/>
      <c r="KTZ50" s="863"/>
      <c r="KUA50" s="863"/>
      <c r="KUB50" s="863"/>
      <c r="KUC50" s="863"/>
      <c r="KUD50" s="863"/>
      <c r="KUE50" s="863"/>
      <c r="KUF50" s="863"/>
      <c r="KUG50" s="863"/>
      <c r="KUH50" s="863"/>
      <c r="KUI50" s="863"/>
      <c r="KUJ50" s="863"/>
      <c r="KUK50" s="863"/>
      <c r="KUL50" s="863"/>
      <c r="KUM50" s="863"/>
      <c r="KUN50" s="863"/>
      <c r="KUO50" s="863"/>
      <c r="KUP50" s="863"/>
      <c r="KUQ50" s="863"/>
      <c r="KUR50" s="863"/>
      <c r="KUS50" s="883"/>
      <c r="KUT50" s="883"/>
      <c r="KUU50" s="883"/>
      <c r="KUV50" s="883"/>
      <c r="KUW50" s="883"/>
      <c r="KUX50" s="883"/>
      <c r="KUY50" s="883"/>
      <c r="KUZ50" s="883"/>
      <c r="KVA50" s="883"/>
      <c r="KVB50" s="863"/>
      <c r="KVC50" s="863"/>
      <c r="KVD50" s="863"/>
      <c r="KVE50" s="863"/>
      <c r="KVF50" s="863"/>
      <c r="KVG50" s="863"/>
      <c r="KVH50" s="863"/>
      <c r="KVI50" s="863"/>
      <c r="KVJ50" s="863"/>
      <c r="KVK50" s="863"/>
      <c r="KVL50" s="863"/>
      <c r="KVM50" s="863"/>
      <c r="KVN50" s="863"/>
      <c r="KVO50" s="863"/>
      <c r="KVP50" s="863"/>
      <c r="KVQ50" s="863"/>
      <c r="KVR50" s="863"/>
      <c r="KVS50" s="863"/>
      <c r="KVT50" s="863"/>
      <c r="KVU50" s="863"/>
      <c r="KVV50" s="863"/>
      <c r="KVW50" s="863"/>
      <c r="KVX50" s="863"/>
      <c r="KVY50" s="883"/>
      <c r="KVZ50" s="883"/>
      <c r="KWA50" s="883"/>
      <c r="KWB50" s="883"/>
      <c r="KWC50" s="883"/>
      <c r="KWD50" s="883"/>
      <c r="KWE50" s="883"/>
      <c r="KWF50" s="883"/>
      <c r="KWG50" s="883"/>
      <c r="KWH50" s="863"/>
      <c r="KWI50" s="863"/>
      <c r="KWJ50" s="863"/>
      <c r="KWK50" s="863"/>
      <c r="KWL50" s="863"/>
      <c r="KWM50" s="863"/>
      <c r="KWN50" s="863"/>
      <c r="KWO50" s="863"/>
      <c r="KWP50" s="863"/>
      <c r="KWQ50" s="863"/>
      <c r="KWR50" s="863"/>
      <c r="KWS50" s="863"/>
      <c r="KWT50" s="863"/>
      <c r="KWU50" s="863"/>
      <c r="KWV50" s="863"/>
      <c r="KWW50" s="863"/>
      <c r="KWX50" s="863"/>
      <c r="KWY50" s="863"/>
      <c r="KWZ50" s="863"/>
      <c r="KXA50" s="863"/>
      <c r="KXB50" s="863"/>
      <c r="KXC50" s="863"/>
      <c r="KXD50" s="863"/>
      <c r="KXE50" s="883"/>
      <c r="KXF50" s="883"/>
      <c r="KXG50" s="883"/>
      <c r="KXH50" s="883"/>
      <c r="KXI50" s="883"/>
      <c r="KXJ50" s="883"/>
      <c r="KXK50" s="883"/>
      <c r="KXL50" s="883"/>
      <c r="KXM50" s="883"/>
      <c r="KXN50" s="863"/>
      <c r="KXO50" s="863"/>
      <c r="KXP50" s="863"/>
      <c r="KXQ50" s="863"/>
      <c r="KXR50" s="863"/>
      <c r="KXS50" s="863"/>
      <c r="KXT50" s="863"/>
      <c r="KXU50" s="863"/>
      <c r="KXV50" s="863"/>
      <c r="KXW50" s="863"/>
      <c r="KXX50" s="863"/>
      <c r="KXY50" s="863"/>
      <c r="KXZ50" s="863"/>
      <c r="KYA50" s="863"/>
      <c r="KYB50" s="863"/>
      <c r="KYC50" s="863"/>
      <c r="KYD50" s="863"/>
      <c r="KYE50" s="863"/>
      <c r="KYF50" s="863"/>
      <c r="KYG50" s="863"/>
      <c r="KYH50" s="863"/>
      <c r="KYI50" s="863"/>
      <c r="KYJ50" s="863"/>
      <c r="KYK50" s="883"/>
      <c r="KYL50" s="883"/>
      <c r="KYM50" s="883"/>
      <c r="KYN50" s="883"/>
      <c r="KYO50" s="883"/>
      <c r="KYP50" s="883"/>
      <c r="KYQ50" s="883"/>
      <c r="KYR50" s="883"/>
      <c r="KYS50" s="883"/>
      <c r="KYT50" s="863"/>
      <c r="KYU50" s="863"/>
      <c r="KYV50" s="863"/>
      <c r="KYW50" s="863"/>
      <c r="KYX50" s="863"/>
      <c r="KYY50" s="863"/>
      <c r="KYZ50" s="863"/>
      <c r="KZA50" s="863"/>
      <c r="KZB50" s="863"/>
      <c r="KZC50" s="863"/>
      <c r="KZD50" s="863"/>
      <c r="KZE50" s="863"/>
      <c r="KZF50" s="863"/>
      <c r="KZG50" s="863"/>
      <c r="KZH50" s="863"/>
      <c r="KZI50" s="863"/>
      <c r="KZJ50" s="863"/>
      <c r="KZK50" s="863"/>
      <c r="KZL50" s="863"/>
      <c r="KZM50" s="863"/>
      <c r="KZN50" s="863"/>
      <c r="KZO50" s="863"/>
      <c r="KZP50" s="863"/>
      <c r="KZQ50" s="883"/>
      <c r="KZR50" s="883"/>
      <c r="KZS50" s="883"/>
      <c r="KZT50" s="883"/>
      <c r="KZU50" s="883"/>
      <c r="KZV50" s="883"/>
      <c r="KZW50" s="883"/>
      <c r="KZX50" s="883"/>
      <c r="KZY50" s="883"/>
      <c r="KZZ50" s="863"/>
      <c r="LAA50" s="863"/>
      <c r="LAB50" s="863"/>
      <c r="LAC50" s="863"/>
      <c r="LAD50" s="863"/>
      <c r="LAE50" s="863"/>
      <c r="LAF50" s="863"/>
      <c r="LAG50" s="863"/>
      <c r="LAH50" s="863"/>
      <c r="LAI50" s="863"/>
      <c r="LAJ50" s="863"/>
      <c r="LAK50" s="863"/>
      <c r="LAL50" s="863"/>
      <c r="LAM50" s="863"/>
      <c r="LAN50" s="863"/>
      <c r="LAO50" s="863"/>
      <c r="LAP50" s="863"/>
      <c r="LAQ50" s="863"/>
      <c r="LAR50" s="863"/>
      <c r="LAS50" s="863"/>
      <c r="LAT50" s="863"/>
      <c r="LAU50" s="863"/>
      <c r="LAV50" s="863"/>
      <c r="LAW50" s="883"/>
      <c r="LAX50" s="883"/>
      <c r="LAY50" s="883"/>
      <c r="LAZ50" s="883"/>
      <c r="LBA50" s="883"/>
      <c r="LBB50" s="883"/>
      <c r="LBC50" s="883"/>
      <c r="LBD50" s="883"/>
      <c r="LBE50" s="883"/>
      <c r="LBF50" s="863"/>
      <c r="LBG50" s="863"/>
      <c r="LBH50" s="863"/>
      <c r="LBI50" s="863"/>
      <c r="LBJ50" s="863"/>
      <c r="LBK50" s="863"/>
      <c r="LBL50" s="863"/>
      <c r="LBM50" s="863"/>
      <c r="LBN50" s="863"/>
      <c r="LBO50" s="863"/>
      <c r="LBP50" s="863"/>
      <c r="LBQ50" s="863"/>
      <c r="LBR50" s="863"/>
      <c r="LBS50" s="863"/>
      <c r="LBT50" s="863"/>
      <c r="LBU50" s="863"/>
      <c r="LBV50" s="863"/>
      <c r="LBW50" s="863"/>
      <c r="LBX50" s="863"/>
      <c r="LBY50" s="863"/>
      <c r="LBZ50" s="863"/>
      <c r="LCA50" s="863"/>
      <c r="LCB50" s="863"/>
      <c r="LCC50" s="883"/>
      <c r="LCD50" s="883"/>
      <c r="LCE50" s="883"/>
      <c r="LCF50" s="883"/>
      <c r="LCG50" s="883"/>
      <c r="LCH50" s="883"/>
      <c r="LCI50" s="883"/>
      <c r="LCJ50" s="883"/>
      <c r="LCK50" s="883"/>
      <c r="LCL50" s="863"/>
      <c r="LCM50" s="863"/>
      <c r="LCN50" s="863"/>
      <c r="LCO50" s="863"/>
      <c r="LCP50" s="863"/>
      <c r="LCQ50" s="863"/>
      <c r="LCR50" s="863"/>
      <c r="LCS50" s="863"/>
      <c r="LCT50" s="863"/>
      <c r="LCU50" s="863"/>
      <c r="LCV50" s="863"/>
      <c r="LCW50" s="863"/>
      <c r="LCX50" s="863"/>
      <c r="LCY50" s="863"/>
      <c r="LCZ50" s="863"/>
      <c r="LDA50" s="863"/>
      <c r="LDB50" s="863"/>
      <c r="LDC50" s="863"/>
      <c r="LDD50" s="863"/>
      <c r="LDE50" s="863"/>
      <c r="LDF50" s="863"/>
      <c r="LDG50" s="863"/>
      <c r="LDH50" s="863"/>
      <c r="LDI50" s="883"/>
      <c r="LDJ50" s="883"/>
      <c r="LDK50" s="883"/>
      <c r="LDL50" s="883"/>
      <c r="LDM50" s="883"/>
      <c r="LDN50" s="883"/>
      <c r="LDO50" s="883"/>
      <c r="LDP50" s="883"/>
      <c r="LDQ50" s="883"/>
      <c r="LDR50" s="863"/>
      <c r="LDS50" s="863"/>
      <c r="LDT50" s="863"/>
      <c r="LDU50" s="863"/>
      <c r="LDV50" s="863"/>
      <c r="LDW50" s="863"/>
      <c r="LDX50" s="863"/>
      <c r="LDY50" s="863"/>
      <c r="LDZ50" s="863"/>
      <c r="LEA50" s="863"/>
      <c r="LEB50" s="863"/>
      <c r="LEC50" s="863"/>
      <c r="LED50" s="863"/>
      <c r="LEE50" s="863"/>
      <c r="LEF50" s="863"/>
      <c r="LEG50" s="863"/>
      <c r="LEH50" s="863"/>
      <c r="LEI50" s="863"/>
      <c r="LEJ50" s="863"/>
      <c r="LEK50" s="863"/>
      <c r="LEL50" s="863"/>
      <c r="LEM50" s="863"/>
      <c r="LEN50" s="863"/>
      <c r="LEO50" s="883"/>
      <c r="LEP50" s="883"/>
      <c r="LEQ50" s="883"/>
      <c r="LER50" s="883"/>
      <c r="LES50" s="883"/>
      <c r="LET50" s="883"/>
      <c r="LEU50" s="883"/>
      <c r="LEV50" s="883"/>
      <c r="LEW50" s="883"/>
      <c r="LEX50" s="863"/>
      <c r="LEY50" s="863"/>
      <c r="LEZ50" s="863"/>
      <c r="LFA50" s="863"/>
      <c r="LFB50" s="863"/>
      <c r="LFC50" s="863"/>
      <c r="LFD50" s="863"/>
      <c r="LFE50" s="863"/>
      <c r="LFF50" s="863"/>
      <c r="LFG50" s="863"/>
      <c r="LFH50" s="863"/>
      <c r="LFI50" s="863"/>
      <c r="LFJ50" s="863"/>
      <c r="LFK50" s="863"/>
      <c r="LFL50" s="863"/>
      <c r="LFM50" s="863"/>
      <c r="LFN50" s="863"/>
      <c r="LFO50" s="863"/>
      <c r="LFP50" s="863"/>
      <c r="LFQ50" s="863"/>
      <c r="LFR50" s="863"/>
      <c r="LFS50" s="863"/>
      <c r="LFT50" s="863"/>
      <c r="LFU50" s="883"/>
      <c r="LFV50" s="883"/>
      <c r="LFW50" s="883"/>
      <c r="LFX50" s="883"/>
      <c r="LFY50" s="883"/>
      <c r="LFZ50" s="883"/>
      <c r="LGA50" s="883"/>
      <c r="LGB50" s="883"/>
      <c r="LGC50" s="883"/>
      <c r="LGD50" s="863"/>
      <c r="LGE50" s="863"/>
      <c r="LGF50" s="863"/>
      <c r="LGG50" s="863"/>
      <c r="LGH50" s="863"/>
      <c r="LGI50" s="863"/>
      <c r="LGJ50" s="863"/>
      <c r="LGK50" s="863"/>
      <c r="LGL50" s="863"/>
      <c r="LGM50" s="863"/>
      <c r="LGN50" s="863"/>
      <c r="LGO50" s="863"/>
      <c r="LGP50" s="863"/>
      <c r="LGQ50" s="863"/>
      <c r="LGR50" s="863"/>
      <c r="LGS50" s="863"/>
      <c r="LGT50" s="863"/>
      <c r="LGU50" s="863"/>
      <c r="LGV50" s="863"/>
      <c r="LGW50" s="863"/>
      <c r="LGX50" s="863"/>
      <c r="LGY50" s="863"/>
      <c r="LGZ50" s="863"/>
      <c r="LHA50" s="883"/>
      <c r="LHB50" s="883"/>
      <c r="LHC50" s="883"/>
      <c r="LHD50" s="883"/>
      <c r="LHE50" s="883"/>
      <c r="LHF50" s="883"/>
      <c r="LHG50" s="883"/>
      <c r="LHH50" s="883"/>
      <c r="LHI50" s="883"/>
      <c r="LHJ50" s="863"/>
      <c r="LHK50" s="863"/>
      <c r="LHL50" s="863"/>
      <c r="LHM50" s="863"/>
      <c r="LHN50" s="863"/>
      <c r="LHO50" s="863"/>
      <c r="LHP50" s="863"/>
      <c r="LHQ50" s="863"/>
      <c r="LHR50" s="863"/>
      <c r="LHS50" s="863"/>
      <c r="LHT50" s="863"/>
      <c r="LHU50" s="863"/>
      <c r="LHV50" s="863"/>
      <c r="LHW50" s="863"/>
      <c r="LHX50" s="863"/>
      <c r="LHY50" s="863"/>
      <c r="LHZ50" s="863"/>
      <c r="LIA50" s="863"/>
      <c r="LIB50" s="863"/>
      <c r="LIC50" s="863"/>
      <c r="LID50" s="863"/>
      <c r="LIE50" s="863"/>
      <c r="LIF50" s="863"/>
      <c r="LIG50" s="883"/>
      <c r="LIH50" s="883"/>
      <c r="LII50" s="883"/>
      <c r="LIJ50" s="883"/>
      <c r="LIK50" s="883"/>
      <c r="LIL50" s="883"/>
      <c r="LIM50" s="883"/>
      <c r="LIN50" s="883"/>
      <c r="LIO50" s="883"/>
      <c r="LIP50" s="863"/>
      <c r="LIQ50" s="863"/>
      <c r="LIR50" s="863"/>
      <c r="LIS50" s="863"/>
      <c r="LIT50" s="863"/>
      <c r="LIU50" s="863"/>
      <c r="LIV50" s="863"/>
      <c r="LIW50" s="863"/>
      <c r="LIX50" s="863"/>
      <c r="LIY50" s="863"/>
      <c r="LIZ50" s="863"/>
      <c r="LJA50" s="863"/>
      <c r="LJB50" s="863"/>
      <c r="LJC50" s="863"/>
      <c r="LJD50" s="863"/>
      <c r="LJE50" s="863"/>
      <c r="LJF50" s="863"/>
      <c r="LJG50" s="863"/>
      <c r="LJH50" s="863"/>
      <c r="LJI50" s="863"/>
      <c r="LJJ50" s="863"/>
      <c r="LJK50" s="863"/>
      <c r="LJL50" s="863"/>
      <c r="LJM50" s="883"/>
      <c r="LJN50" s="883"/>
      <c r="LJO50" s="883"/>
      <c r="LJP50" s="883"/>
      <c r="LJQ50" s="883"/>
      <c r="LJR50" s="883"/>
      <c r="LJS50" s="883"/>
      <c r="LJT50" s="883"/>
      <c r="LJU50" s="883"/>
      <c r="LJV50" s="863"/>
      <c r="LJW50" s="863"/>
      <c r="LJX50" s="863"/>
      <c r="LJY50" s="863"/>
      <c r="LJZ50" s="863"/>
      <c r="LKA50" s="863"/>
      <c r="LKB50" s="863"/>
      <c r="LKC50" s="863"/>
      <c r="LKD50" s="863"/>
      <c r="LKE50" s="863"/>
      <c r="LKF50" s="863"/>
      <c r="LKG50" s="863"/>
      <c r="LKH50" s="863"/>
      <c r="LKI50" s="863"/>
      <c r="LKJ50" s="863"/>
      <c r="LKK50" s="863"/>
      <c r="LKL50" s="863"/>
      <c r="LKM50" s="863"/>
      <c r="LKN50" s="863"/>
      <c r="LKO50" s="863"/>
      <c r="LKP50" s="863"/>
      <c r="LKQ50" s="863"/>
      <c r="LKR50" s="863"/>
      <c r="LKS50" s="883"/>
      <c r="LKT50" s="883"/>
      <c r="LKU50" s="883"/>
      <c r="LKV50" s="883"/>
      <c r="LKW50" s="883"/>
      <c r="LKX50" s="883"/>
      <c r="LKY50" s="883"/>
      <c r="LKZ50" s="883"/>
      <c r="LLA50" s="883"/>
      <c r="LLB50" s="863"/>
      <c r="LLC50" s="863"/>
      <c r="LLD50" s="863"/>
      <c r="LLE50" s="863"/>
      <c r="LLF50" s="863"/>
      <c r="LLG50" s="863"/>
      <c r="LLH50" s="863"/>
      <c r="LLI50" s="863"/>
      <c r="LLJ50" s="863"/>
      <c r="LLK50" s="863"/>
      <c r="LLL50" s="863"/>
      <c r="LLM50" s="863"/>
      <c r="LLN50" s="863"/>
      <c r="LLO50" s="863"/>
      <c r="LLP50" s="863"/>
      <c r="LLQ50" s="863"/>
      <c r="LLR50" s="863"/>
      <c r="LLS50" s="863"/>
      <c r="LLT50" s="863"/>
      <c r="LLU50" s="863"/>
      <c r="LLV50" s="863"/>
      <c r="LLW50" s="863"/>
      <c r="LLX50" s="863"/>
      <c r="LLY50" s="883"/>
      <c r="LLZ50" s="883"/>
      <c r="LMA50" s="883"/>
      <c r="LMB50" s="883"/>
      <c r="LMC50" s="883"/>
      <c r="LMD50" s="883"/>
      <c r="LME50" s="883"/>
      <c r="LMF50" s="883"/>
      <c r="LMG50" s="883"/>
      <c r="LMH50" s="863"/>
      <c r="LMI50" s="863"/>
      <c r="LMJ50" s="863"/>
      <c r="LMK50" s="863"/>
      <c r="LML50" s="863"/>
      <c r="LMM50" s="863"/>
      <c r="LMN50" s="863"/>
      <c r="LMO50" s="863"/>
      <c r="LMP50" s="863"/>
      <c r="LMQ50" s="863"/>
      <c r="LMR50" s="863"/>
      <c r="LMS50" s="863"/>
      <c r="LMT50" s="863"/>
      <c r="LMU50" s="863"/>
      <c r="LMV50" s="863"/>
      <c r="LMW50" s="863"/>
      <c r="LMX50" s="863"/>
      <c r="LMY50" s="863"/>
      <c r="LMZ50" s="863"/>
      <c r="LNA50" s="863"/>
      <c r="LNB50" s="863"/>
      <c r="LNC50" s="863"/>
      <c r="LND50" s="863"/>
      <c r="LNE50" s="883"/>
      <c r="LNF50" s="883"/>
      <c r="LNG50" s="883"/>
      <c r="LNH50" s="883"/>
      <c r="LNI50" s="883"/>
      <c r="LNJ50" s="883"/>
      <c r="LNK50" s="883"/>
      <c r="LNL50" s="883"/>
      <c r="LNM50" s="883"/>
      <c r="LNN50" s="863"/>
      <c r="LNO50" s="863"/>
      <c r="LNP50" s="863"/>
      <c r="LNQ50" s="863"/>
      <c r="LNR50" s="863"/>
      <c r="LNS50" s="863"/>
      <c r="LNT50" s="863"/>
      <c r="LNU50" s="863"/>
      <c r="LNV50" s="863"/>
      <c r="LNW50" s="863"/>
      <c r="LNX50" s="863"/>
      <c r="LNY50" s="863"/>
      <c r="LNZ50" s="863"/>
      <c r="LOA50" s="863"/>
      <c r="LOB50" s="863"/>
      <c r="LOC50" s="863"/>
      <c r="LOD50" s="863"/>
      <c r="LOE50" s="863"/>
      <c r="LOF50" s="863"/>
      <c r="LOG50" s="863"/>
      <c r="LOH50" s="863"/>
      <c r="LOI50" s="863"/>
      <c r="LOJ50" s="863"/>
      <c r="LOK50" s="883"/>
      <c r="LOL50" s="883"/>
      <c r="LOM50" s="883"/>
      <c r="LON50" s="883"/>
      <c r="LOO50" s="883"/>
      <c r="LOP50" s="883"/>
      <c r="LOQ50" s="883"/>
      <c r="LOR50" s="883"/>
      <c r="LOS50" s="883"/>
      <c r="LOT50" s="863"/>
      <c r="LOU50" s="863"/>
      <c r="LOV50" s="863"/>
      <c r="LOW50" s="863"/>
      <c r="LOX50" s="863"/>
      <c r="LOY50" s="863"/>
      <c r="LOZ50" s="863"/>
      <c r="LPA50" s="863"/>
      <c r="LPB50" s="863"/>
      <c r="LPC50" s="863"/>
      <c r="LPD50" s="863"/>
      <c r="LPE50" s="863"/>
      <c r="LPF50" s="863"/>
      <c r="LPG50" s="863"/>
      <c r="LPH50" s="863"/>
      <c r="LPI50" s="863"/>
      <c r="LPJ50" s="863"/>
      <c r="LPK50" s="863"/>
      <c r="LPL50" s="863"/>
      <c r="LPM50" s="863"/>
      <c r="LPN50" s="863"/>
      <c r="LPO50" s="863"/>
      <c r="LPP50" s="863"/>
      <c r="LPQ50" s="883"/>
      <c r="LPR50" s="883"/>
      <c r="LPS50" s="883"/>
      <c r="LPT50" s="883"/>
      <c r="LPU50" s="883"/>
      <c r="LPV50" s="883"/>
      <c r="LPW50" s="883"/>
      <c r="LPX50" s="883"/>
      <c r="LPY50" s="883"/>
      <c r="LPZ50" s="863"/>
      <c r="LQA50" s="863"/>
      <c r="LQB50" s="863"/>
      <c r="LQC50" s="863"/>
      <c r="LQD50" s="863"/>
      <c r="LQE50" s="863"/>
      <c r="LQF50" s="863"/>
      <c r="LQG50" s="863"/>
      <c r="LQH50" s="863"/>
      <c r="LQI50" s="863"/>
      <c r="LQJ50" s="863"/>
      <c r="LQK50" s="863"/>
      <c r="LQL50" s="863"/>
      <c r="LQM50" s="863"/>
      <c r="LQN50" s="863"/>
      <c r="LQO50" s="863"/>
      <c r="LQP50" s="863"/>
      <c r="LQQ50" s="863"/>
      <c r="LQR50" s="863"/>
      <c r="LQS50" s="863"/>
      <c r="LQT50" s="863"/>
      <c r="LQU50" s="863"/>
      <c r="LQV50" s="863"/>
      <c r="LQW50" s="883"/>
      <c r="LQX50" s="883"/>
      <c r="LQY50" s="883"/>
      <c r="LQZ50" s="883"/>
      <c r="LRA50" s="883"/>
      <c r="LRB50" s="883"/>
      <c r="LRC50" s="883"/>
      <c r="LRD50" s="883"/>
      <c r="LRE50" s="883"/>
      <c r="LRF50" s="863"/>
      <c r="LRG50" s="863"/>
      <c r="LRH50" s="863"/>
      <c r="LRI50" s="863"/>
      <c r="LRJ50" s="863"/>
      <c r="LRK50" s="863"/>
      <c r="LRL50" s="863"/>
      <c r="LRM50" s="863"/>
      <c r="LRN50" s="863"/>
      <c r="LRO50" s="863"/>
      <c r="LRP50" s="863"/>
      <c r="LRQ50" s="863"/>
      <c r="LRR50" s="863"/>
      <c r="LRS50" s="863"/>
      <c r="LRT50" s="863"/>
      <c r="LRU50" s="863"/>
      <c r="LRV50" s="863"/>
      <c r="LRW50" s="863"/>
      <c r="LRX50" s="863"/>
      <c r="LRY50" s="863"/>
      <c r="LRZ50" s="863"/>
      <c r="LSA50" s="863"/>
      <c r="LSB50" s="863"/>
      <c r="LSC50" s="883"/>
      <c r="LSD50" s="883"/>
      <c r="LSE50" s="883"/>
      <c r="LSF50" s="883"/>
      <c r="LSG50" s="883"/>
      <c r="LSH50" s="883"/>
      <c r="LSI50" s="883"/>
      <c r="LSJ50" s="883"/>
      <c r="LSK50" s="883"/>
      <c r="LSL50" s="863"/>
      <c r="LSM50" s="863"/>
      <c r="LSN50" s="863"/>
      <c r="LSO50" s="863"/>
      <c r="LSP50" s="863"/>
      <c r="LSQ50" s="863"/>
      <c r="LSR50" s="863"/>
      <c r="LSS50" s="863"/>
      <c r="LST50" s="863"/>
      <c r="LSU50" s="863"/>
      <c r="LSV50" s="863"/>
      <c r="LSW50" s="863"/>
      <c r="LSX50" s="863"/>
      <c r="LSY50" s="863"/>
      <c r="LSZ50" s="863"/>
      <c r="LTA50" s="863"/>
      <c r="LTB50" s="863"/>
      <c r="LTC50" s="863"/>
      <c r="LTD50" s="863"/>
      <c r="LTE50" s="863"/>
      <c r="LTF50" s="863"/>
      <c r="LTG50" s="863"/>
      <c r="LTH50" s="863"/>
      <c r="LTI50" s="883"/>
      <c r="LTJ50" s="883"/>
      <c r="LTK50" s="883"/>
      <c r="LTL50" s="883"/>
      <c r="LTM50" s="883"/>
      <c r="LTN50" s="883"/>
      <c r="LTO50" s="883"/>
      <c r="LTP50" s="883"/>
      <c r="LTQ50" s="883"/>
      <c r="LTR50" s="863"/>
      <c r="LTS50" s="863"/>
      <c r="LTT50" s="863"/>
      <c r="LTU50" s="863"/>
      <c r="LTV50" s="863"/>
      <c r="LTW50" s="863"/>
      <c r="LTX50" s="863"/>
      <c r="LTY50" s="863"/>
      <c r="LTZ50" s="863"/>
      <c r="LUA50" s="863"/>
      <c r="LUB50" s="863"/>
      <c r="LUC50" s="863"/>
      <c r="LUD50" s="863"/>
      <c r="LUE50" s="863"/>
      <c r="LUF50" s="863"/>
      <c r="LUG50" s="863"/>
      <c r="LUH50" s="863"/>
      <c r="LUI50" s="863"/>
      <c r="LUJ50" s="863"/>
      <c r="LUK50" s="863"/>
      <c r="LUL50" s="863"/>
      <c r="LUM50" s="863"/>
      <c r="LUN50" s="863"/>
      <c r="LUO50" s="883"/>
      <c r="LUP50" s="883"/>
      <c r="LUQ50" s="883"/>
      <c r="LUR50" s="883"/>
      <c r="LUS50" s="883"/>
      <c r="LUT50" s="883"/>
      <c r="LUU50" s="883"/>
      <c r="LUV50" s="883"/>
      <c r="LUW50" s="883"/>
      <c r="LUX50" s="863"/>
      <c r="LUY50" s="863"/>
      <c r="LUZ50" s="863"/>
      <c r="LVA50" s="863"/>
      <c r="LVB50" s="863"/>
      <c r="LVC50" s="863"/>
      <c r="LVD50" s="863"/>
      <c r="LVE50" s="863"/>
      <c r="LVF50" s="863"/>
      <c r="LVG50" s="863"/>
      <c r="LVH50" s="863"/>
      <c r="LVI50" s="863"/>
      <c r="LVJ50" s="863"/>
      <c r="LVK50" s="863"/>
      <c r="LVL50" s="863"/>
      <c r="LVM50" s="863"/>
      <c r="LVN50" s="863"/>
      <c r="LVO50" s="863"/>
      <c r="LVP50" s="863"/>
      <c r="LVQ50" s="863"/>
      <c r="LVR50" s="863"/>
      <c r="LVS50" s="863"/>
      <c r="LVT50" s="863"/>
      <c r="LVU50" s="883"/>
      <c r="LVV50" s="883"/>
      <c r="LVW50" s="883"/>
      <c r="LVX50" s="883"/>
      <c r="LVY50" s="883"/>
      <c r="LVZ50" s="883"/>
      <c r="LWA50" s="883"/>
      <c r="LWB50" s="883"/>
      <c r="LWC50" s="883"/>
      <c r="LWD50" s="863"/>
      <c r="LWE50" s="863"/>
      <c r="LWF50" s="863"/>
      <c r="LWG50" s="863"/>
      <c r="LWH50" s="863"/>
      <c r="LWI50" s="863"/>
      <c r="LWJ50" s="863"/>
      <c r="LWK50" s="863"/>
      <c r="LWL50" s="863"/>
      <c r="LWM50" s="863"/>
      <c r="LWN50" s="863"/>
      <c r="LWO50" s="863"/>
      <c r="LWP50" s="863"/>
      <c r="LWQ50" s="863"/>
      <c r="LWR50" s="863"/>
      <c r="LWS50" s="863"/>
      <c r="LWT50" s="863"/>
      <c r="LWU50" s="863"/>
      <c r="LWV50" s="863"/>
      <c r="LWW50" s="863"/>
      <c r="LWX50" s="863"/>
      <c r="LWY50" s="863"/>
      <c r="LWZ50" s="863"/>
      <c r="LXA50" s="883"/>
      <c r="LXB50" s="883"/>
      <c r="LXC50" s="883"/>
      <c r="LXD50" s="883"/>
      <c r="LXE50" s="883"/>
      <c r="LXF50" s="883"/>
      <c r="LXG50" s="883"/>
      <c r="LXH50" s="883"/>
      <c r="LXI50" s="883"/>
      <c r="LXJ50" s="863"/>
      <c r="LXK50" s="863"/>
      <c r="LXL50" s="863"/>
      <c r="LXM50" s="863"/>
      <c r="LXN50" s="863"/>
      <c r="LXO50" s="863"/>
      <c r="LXP50" s="863"/>
      <c r="LXQ50" s="863"/>
      <c r="LXR50" s="863"/>
      <c r="LXS50" s="863"/>
      <c r="LXT50" s="863"/>
      <c r="LXU50" s="863"/>
      <c r="LXV50" s="863"/>
      <c r="LXW50" s="863"/>
      <c r="LXX50" s="863"/>
      <c r="LXY50" s="863"/>
      <c r="LXZ50" s="863"/>
      <c r="LYA50" s="863"/>
      <c r="LYB50" s="863"/>
      <c r="LYC50" s="863"/>
      <c r="LYD50" s="863"/>
      <c r="LYE50" s="863"/>
      <c r="LYF50" s="863"/>
      <c r="LYG50" s="883"/>
      <c r="LYH50" s="883"/>
      <c r="LYI50" s="883"/>
      <c r="LYJ50" s="883"/>
      <c r="LYK50" s="883"/>
      <c r="LYL50" s="883"/>
      <c r="LYM50" s="883"/>
      <c r="LYN50" s="883"/>
      <c r="LYO50" s="883"/>
      <c r="LYP50" s="863"/>
      <c r="LYQ50" s="863"/>
      <c r="LYR50" s="863"/>
      <c r="LYS50" s="863"/>
      <c r="LYT50" s="863"/>
      <c r="LYU50" s="863"/>
      <c r="LYV50" s="863"/>
      <c r="LYW50" s="863"/>
      <c r="LYX50" s="863"/>
      <c r="LYY50" s="863"/>
      <c r="LYZ50" s="863"/>
      <c r="LZA50" s="863"/>
      <c r="LZB50" s="863"/>
      <c r="LZC50" s="863"/>
      <c r="LZD50" s="863"/>
      <c r="LZE50" s="863"/>
      <c r="LZF50" s="863"/>
      <c r="LZG50" s="863"/>
      <c r="LZH50" s="863"/>
      <c r="LZI50" s="863"/>
      <c r="LZJ50" s="863"/>
      <c r="LZK50" s="863"/>
      <c r="LZL50" s="863"/>
      <c r="LZM50" s="883"/>
      <c r="LZN50" s="883"/>
      <c r="LZO50" s="883"/>
      <c r="LZP50" s="883"/>
      <c r="LZQ50" s="883"/>
      <c r="LZR50" s="883"/>
      <c r="LZS50" s="883"/>
      <c r="LZT50" s="883"/>
      <c r="LZU50" s="883"/>
      <c r="LZV50" s="863"/>
      <c r="LZW50" s="863"/>
      <c r="LZX50" s="863"/>
      <c r="LZY50" s="863"/>
      <c r="LZZ50" s="863"/>
      <c r="MAA50" s="863"/>
      <c r="MAB50" s="863"/>
      <c r="MAC50" s="863"/>
      <c r="MAD50" s="863"/>
      <c r="MAE50" s="863"/>
      <c r="MAF50" s="863"/>
      <c r="MAG50" s="863"/>
      <c r="MAH50" s="863"/>
      <c r="MAI50" s="863"/>
      <c r="MAJ50" s="863"/>
      <c r="MAK50" s="863"/>
      <c r="MAL50" s="863"/>
      <c r="MAM50" s="863"/>
      <c r="MAN50" s="863"/>
      <c r="MAO50" s="863"/>
      <c r="MAP50" s="863"/>
      <c r="MAQ50" s="863"/>
      <c r="MAR50" s="863"/>
      <c r="MAS50" s="883"/>
      <c r="MAT50" s="883"/>
      <c r="MAU50" s="883"/>
      <c r="MAV50" s="883"/>
      <c r="MAW50" s="883"/>
      <c r="MAX50" s="883"/>
      <c r="MAY50" s="883"/>
      <c r="MAZ50" s="883"/>
      <c r="MBA50" s="883"/>
      <c r="MBB50" s="863"/>
      <c r="MBC50" s="863"/>
      <c r="MBD50" s="863"/>
      <c r="MBE50" s="863"/>
      <c r="MBF50" s="863"/>
      <c r="MBG50" s="863"/>
      <c r="MBH50" s="863"/>
      <c r="MBI50" s="863"/>
      <c r="MBJ50" s="863"/>
      <c r="MBK50" s="863"/>
      <c r="MBL50" s="863"/>
      <c r="MBM50" s="863"/>
      <c r="MBN50" s="863"/>
      <c r="MBO50" s="863"/>
      <c r="MBP50" s="863"/>
      <c r="MBQ50" s="863"/>
      <c r="MBR50" s="863"/>
      <c r="MBS50" s="863"/>
      <c r="MBT50" s="863"/>
      <c r="MBU50" s="863"/>
      <c r="MBV50" s="863"/>
      <c r="MBW50" s="863"/>
      <c r="MBX50" s="863"/>
      <c r="MBY50" s="883"/>
      <c r="MBZ50" s="883"/>
      <c r="MCA50" s="883"/>
      <c r="MCB50" s="883"/>
      <c r="MCC50" s="883"/>
      <c r="MCD50" s="883"/>
      <c r="MCE50" s="883"/>
      <c r="MCF50" s="883"/>
      <c r="MCG50" s="883"/>
      <c r="MCH50" s="863"/>
      <c r="MCI50" s="863"/>
      <c r="MCJ50" s="863"/>
      <c r="MCK50" s="863"/>
      <c r="MCL50" s="863"/>
      <c r="MCM50" s="863"/>
      <c r="MCN50" s="863"/>
      <c r="MCO50" s="863"/>
      <c r="MCP50" s="863"/>
      <c r="MCQ50" s="863"/>
      <c r="MCR50" s="863"/>
      <c r="MCS50" s="863"/>
      <c r="MCT50" s="863"/>
      <c r="MCU50" s="863"/>
      <c r="MCV50" s="863"/>
      <c r="MCW50" s="863"/>
      <c r="MCX50" s="863"/>
      <c r="MCY50" s="863"/>
      <c r="MCZ50" s="863"/>
      <c r="MDA50" s="863"/>
      <c r="MDB50" s="863"/>
      <c r="MDC50" s="863"/>
      <c r="MDD50" s="863"/>
      <c r="MDE50" s="883"/>
      <c r="MDF50" s="883"/>
      <c r="MDG50" s="883"/>
      <c r="MDH50" s="883"/>
      <c r="MDI50" s="883"/>
      <c r="MDJ50" s="883"/>
      <c r="MDK50" s="883"/>
      <c r="MDL50" s="883"/>
      <c r="MDM50" s="883"/>
      <c r="MDN50" s="863"/>
      <c r="MDO50" s="863"/>
      <c r="MDP50" s="863"/>
      <c r="MDQ50" s="863"/>
      <c r="MDR50" s="863"/>
      <c r="MDS50" s="863"/>
      <c r="MDT50" s="863"/>
      <c r="MDU50" s="863"/>
      <c r="MDV50" s="863"/>
      <c r="MDW50" s="863"/>
      <c r="MDX50" s="863"/>
      <c r="MDY50" s="863"/>
      <c r="MDZ50" s="863"/>
      <c r="MEA50" s="863"/>
      <c r="MEB50" s="863"/>
      <c r="MEC50" s="863"/>
      <c r="MED50" s="863"/>
      <c r="MEE50" s="863"/>
      <c r="MEF50" s="863"/>
      <c r="MEG50" s="863"/>
      <c r="MEH50" s="863"/>
      <c r="MEI50" s="863"/>
      <c r="MEJ50" s="863"/>
      <c r="MEK50" s="883"/>
      <c r="MEL50" s="883"/>
      <c r="MEM50" s="883"/>
      <c r="MEN50" s="883"/>
      <c r="MEO50" s="883"/>
      <c r="MEP50" s="883"/>
      <c r="MEQ50" s="883"/>
      <c r="MER50" s="883"/>
      <c r="MES50" s="883"/>
      <c r="MET50" s="863"/>
      <c r="MEU50" s="863"/>
      <c r="MEV50" s="863"/>
      <c r="MEW50" s="863"/>
      <c r="MEX50" s="863"/>
      <c r="MEY50" s="863"/>
      <c r="MEZ50" s="863"/>
      <c r="MFA50" s="863"/>
      <c r="MFB50" s="863"/>
      <c r="MFC50" s="863"/>
      <c r="MFD50" s="863"/>
      <c r="MFE50" s="863"/>
      <c r="MFF50" s="863"/>
      <c r="MFG50" s="863"/>
      <c r="MFH50" s="863"/>
      <c r="MFI50" s="863"/>
      <c r="MFJ50" s="863"/>
      <c r="MFK50" s="863"/>
      <c r="MFL50" s="863"/>
      <c r="MFM50" s="863"/>
      <c r="MFN50" s="863"/>
      <c r="MFO50" s="863"/>
      <c r="MFP50" s="863"/>
      <c r="MFQ50" s="883"/>
      <c r="MFR50" s="883"/>
      <c r="MFS50" s="883"/>
      <c r="MFT50" s="883"/>
      <c r="MFU50" s="883"/>
      <c r="MFV50" s="883"/>
      <c r="MFW50" s="883"/>
      <c r="MFX50" s="883"/>
      <c r="MFY50" s="883"/>
      <c r="MFZ50" s="863"/>
      <c r="MGA50" s="863"/>
      <c r="MGB50" s="863"/>
      <c r="MGC50" s="863"/>
      <c r="MGD50" s="863"/>
      <c r="MGE50" s="863"/>
      <c r="MGF50" s="863"/>
      <c r="MGG50" s="863"/>
      <c r="MGH50" s="863"/>
      <c r="MGI50" s="863"/>
      <c r="MGJ50" s="863"/>
      <c r="MGK50" s="863"/>
      <c r="MGL50" s="863"/>
      <c r="MGM50" s="863"/>
      <c r="MGN50" s="863"/>
      <c r="MGO50" s="863"/>
      <c r="MGP50" s="863"/>
      <c r="MGQ50" s="863"/>
      <c r="MGR50" s="863"/>
      <c r="MGS50" s="863"/>
      <c r="MGT50" s="863"/>
      <c r="MGU50" s="863"/>
      <c r="MGV50" s="863"/>
      <c r="MGW50" s="883"/>
      <c r="MGX50" s="883"/>
      <c r="MGY50" s="883"/>
      <c r="MGZ50" s="883"/>
      <c r="MHA50" s="883"/>
      <c r="MHB50" s="883"/>
      <c r="MHC50" s="883"/>
      <c r="MHD50" s="883"/>
      <c r="MHE50" s="883"/>
      <c r="MHF50" s="863"/>
      <c r="MHG50" s="863"/>
      <c r="MHH50" s="863"/>
      <c r="MHI50" s="863"/>
      <c r="MHJ50" s="863"/>
      <c r="MHK50" s="863"/>
      <c r="MHL50" s="863"/>
      <c r="MHM50" s="863"/>
      <c r="MHN50" s="863"/>
      <c r="MHO50" s="863"/>
      <c r="MHP50" s="863"/>
      <c r="MHQ50" s="863"/>
      <c r="MHR50" s="863"/>
      <c r="MHS50" s="863"/>
      <c r="MHT50" s="863"/>
      <c r="MHU50" s="863"/>
      <c r="MHV50" s="863"/>
      <c r="MHW50" s="863"/>
      <c r="MHX50" s="863"/>
      <c r="MHY50" s="863"/>
      <c r="MHZ50" s="863"/>
      <c r="MIA50" s="863"/>
      <c r="MIB50" s="863"/>
      <c r="MIC50" s="883"/>
      <c r="MID50" s="883"/>
      <c r="MIE50" s="883"/>
      <c r="MIF50" s="883"/>
      <c r="MIG50" s="883"/>
      <c r="MIH50" s="883"/>
      <c r="MII50" s="883"/>
      <c r="MIJ50" s="883"/>
      <c r="MIK50" s="883"/>
      <c r="MIL50" s="863"/>
      <c r="MIM50" s="863"/>
      <c r="MIN50" s="863"/>
      <c r="MIO50" s="863"/>
      <c r="MIP50" s="863"/>
      <c r="MIQ50" s="863"/>
      <c r="MIR50" s="863"/>
      <c r="MIS50" s="863"/>
      <c r="MIT50" s="863"/>
      <c r="MIU50" s="863"/>
      <c r="MIV50" s="863"/>
      <c r="MIW50" s="863"/>
      <c r="MIX50" s="863"/>
      <c r="MIY50" s="863"/>
      <c r="MIZ50" s="863"/>
      <c r="MJA50" s="863"/>
      <c r="MJB50" s="863"/>
      <c r="MJC50" s="863"/>
      <c r="MJD50" s="863"/>
      <c r="MJE50" s="863"/>
      <c r="MJF50" s="863"/>
      <c r="MJG50" s="863"/>
      <c r="MJH50" s="863"/>
      <c r="MJI50" s="883"/>
      <c r="MJJ50" s="883"/>
      <c r="MJK50" s="883"/>
      <c r="MJL50" s="883"/>
      <c r="MJM50" s="883"/>
      <c r="MJN50" s="883"/>
      <c r="MJO50" s="883"/>
      <c r="MJP50" s="883"/>
      <c r="MJQ50" s="883"/>
      <c r="MJR50" s="863"/>
      <c r="MJS50" s="863"/>
      <c r="MJT50" s="863"/>
      <c r="MJU50" s="863"/>
      <c r="MJV50" s="863"/>
      <c r="MJW50" s="863"/>
      <c r="MJX50" s="863"/>
      <c r="MJY50" s="863"/>
      <c r="MJZ50" s="863"/>
      <c r="MKA50" s="863"/>
      <c r="MKB50" s="863"/>
      <c r="MKC50" s="863"/>
      <c r="MKD50" s="863"/>
      <c r="MKE50" s="863"/>
      <c r="MKF50" s="863"/>
      <c r="MKG50" s="863"/>
      <c r="MKH50" s="863"/>
      <c r="MKI50" s="863"/>
      <c r="MKJ50" s="863"/>
      <c r="MKK50" s="863"/>
      <c r="MKL50" s="863"/>
      <c r="MKM50" s="863"/>
      <c r="MKN50" s="863"/>
      <c r="MKO50" s="883"/>
      <c r="MKP50" s="883"/>
      <c r="MKQ50" s="883"/>
      <c r="MKR50" s="883"/>
      <c r="MKS50" s="883"/>
      <c r="MKT50" s="883"/>
      <c r="MKU50" s="883"/>
      <c r="MKV50" s="883"/>
      <c r="MKW50" s="883"/>
      <c r="MKX50" s="863"/>
      <c r="MKY50" s="863"/>
      <c r="MKZ50" s="863"/>
      <c r="MLA50" s="863"/>
      <c r="MLB50" s="863"/>
      <c r="MLC50" s="863"/>
      <c r="MLD50" s="863"/>
      <c r="MLE50" s="863"/>
      <c r="MLF50" s="863"/>
      <c r="MLG50" s="863"/>
      <c r="MLH50" s="863"/>
      <c r="MLI50" s="863"/>
      <c r="MLJ50" s="863"/>
      <c r="MLK50" s="863"/>
      <c r="MLL50" s="863"/>
      <c r="MLM50" s="863"/>
      <c r="MLN50" s="863"/>
      <c r="MLO50" s="863"/>
      <c r="MLP50" s="863"/>
      <c r="MLQ50" s="863"/>
      <c r="MLR50" s="863"/>
      <c r="MLS50" s="863"/>
      <c r="MLT50" s="863"/>
      <c r="MLU50" s="883"/>
      <c r="MLV50" s="883"/>
      <c r="MLW50" s="883"/>
      <c r="MLX50" s="883"/>
      <c r="MLY50" s="883"/>
      <c r="MLZ50" s="883"/>
      <c r="MMA50" s="883"/>
      <c r="MMB50" s="883"/>
      <c r="MMC50" s="883"/>
      <c r="MMD50" s="863"/>
      <c r="MME50" s="863"/>
      <c r="MMF50" s="863"/>
      <c r="MMG50" s="863"/>
      <c r="MMH50" s="863"/>
      <c r="MMI50" s="863"/>
      <c r="MMJ50" s="863"/>
      <c r="MMK50" s="863"/>
      <c r="MML50" s="863"/>
      <c r="MMM50" s="863"/>
      <c r="MMN50" s="863"/>
      <c r="MMO50" s="863"/>
      <c r="MMP50" s="863"/>
      <c r="MMQ50" s="863"/>
      <c r="MMR50" s="863"/>
      <c r="MMS50" s="863"/>
      <c r="MMT50" s="863"/>
      <c r="MMU50" s="863"/>
      <c r="MMV50" s="863"/>
      <c r="MMW50" s="863"/>
      <c r="MMX50" s="863"/>
      <c r="MMY50" s="863"/>
      <c r="MMZ50" s="863"/>
      <c r="MNA50" s="883"/>
      <c r="MNB50" s="883"/>
      <c r="MNC50" s="883"/>
      <c r="MND50" s="883"/>
      <c r="MNE50" s="883"/>
      <c r="MNF50" s="883"/>
      <c r="MNG50" s="883"/>
      <c r="MNH50" s="883"/>
      <c r="MNI50" s="883"/>
      <c r="MNJ50" s="863"/>
      <c r="MNK50" s="863"/>
      <c r="MNL50" s="863"/>
      <c r="MNM50" s="863"/>
      <c r="MNN50" s="863"/>
      <c r="MNO50" s="863"/>
      <c r="MNP50" s="863"/>
      <c r="MNQ50" s="863"/>
      <c r="MNR50" s="863"/>
      <c r="MNS50" s="863"/>
      <c r="MNT50" s="863"/>
      <c r="MNU50" s="863"/>
      <c r="MNV50" s="863"/>
      <c r="MNW50" s="863"/>
      <c r="MNX50" s="863"/>
      <c r="MNY50" s="863"/>
      <c r="MNZ50" s="863"/>
      <c r="MOA50" s="863"/>
      <c r="MOB50" s="863"/>
      <c r="MOC50" s="863"/>
      <c r="MOD50" s="863"/>
      <c r="MOE50" s="863"/>
      <c r="MOF50" s="863"/>
      <c r="MOG50" s="883"/>
      <c r="MOH50" s="883"/>
      <c r="MOI50" s="883"/>
      <c r="MOJ50" s="883"/>
      <c r="MOK50" s="883"/>
      <c r="MOL50" s="883"/>
      <c r="MOM50" s="883"/>
      <c r="MON50" s="883"/>
      <c r="MOO50" s="883"/>
      <c r="MOP50" s="863"/>
      <c r="MOQ50" s="863"/>
      <c r="MOR50" s="863"/>
      <c r="MOS50" s="863"/>
      <c r="MOT50" s="863"/>
      <c r="MOU50" s="863"/>
      <c r="MOV50" s="863"/>
      <c r="MOW50" s="863"/>
      <c r="MOX50" s="863"/>
      <c r="MOY50" s="863"/>
      <c r="MOZ50" s="863"/>
      <c r="MPA50" s="863"/>
      <c r="MPB50" s="863"/>
      <c r="MPC50" s="863"/>
      <c r="MPD50" s="863"/>
      <c r="MPE50" s="863"/>
      <c r="MPF50" s="863"/>
      <c r="MPG50" s="863"/>
      <c r="MPH50" s="863"/>
      <c r="MPI50" s="863"/>
      <c r="MPJ50" s="863"/>
      <c r="MPK50" s="863"/>
      <c r="MPL50" s="863"/>
      <c r="MPM50" s="883"/>
      <c r="MPN50" s="883"/>
      <c r="MPO50" s="883"/>
      <c r="MPP50" s="883"/>
      <c r="MPQ50" s="883"/>
      <c r="MPR50" s="883"/>
      <c r="MPS50" s="883"/>
      <c r="MPT50" s="883"/>
      <c r="MPU50" s="883"/>
      <c r="MPV50" s="863"/>
      <c r="MPW50" s="863"/>
      <c r="MPX50" s="863"/>
      <c r="MPY50" s="863"/>
      <c r="MPZ50" s="863"/>
      <c r="MQA50" s="863"/>
      <c r="MQB50" s="863"/>
      <c r="MQC50" s="863"/>
      <c r="MQD50" s="863"/>
      <c r="MQE50" s="863"/>
      <c r="MQF50" s="863"/>
      <c r="MQG50" s="863"/>
      <c r="MQH50" s="863"/>
      <c r="MQI50" s="863"/>
      <c r="MQJ50" s="863"/>
      <c r="MQK50" s="863"/>
      <c r="MQL50" s="863"/>
      <c r="MQM50" s="863"/>
      <c r="MQN50" s="863"/>
      <c r="MQO50" s="863"/>
      <c r="MQP50" s="863"/>
      <c r="MQQ50" s="863"/>
      <c r="MQR50" s="863"/>
      <c r="MQS50" s="883"/>
      <c r="MQT50" s="883"/>
      <c r="MQU50" s="883"/>
      <c r="MQV50" s="883"/>
      <c r="MQW50" s="883"/>
      <c r="MQX50" s="883"/>
      <c r="MQY50" s="883"/>
      <c r="MQZ50" s="883"/>
      <c r="MRA50" s="883"/>
      <c r="MRB50" s="863"/>
      <c r="MRC50" s="863"/>
      <c r="MRD50" s="863"/>
      <c r="MRE50" s="863"/>
      <c r="MRF50" s="863"/>
      <c r="MRG50" s="863"/>
      <c r="MRH50" s="863"/>
      <c r="MRI50" s="863"/>
      <c r="MRJ50" s="863"/>
      <c r="MRK50" s="863"/>
      <c r="MRL50" s="863"/>
      <c r="MRM50" s="863"/>
      <c r="MRN50" s="863"/>
      <c r="MRO50" s="863"/>
      <c r="MRP50" s="863"/>
      <c r="MRQ50" s="863"/>
      <c r="MRR50" s="863"/>
      <c r="MRS50" s="863"/>
      <c r="MRT50" s="863"/>
      <c r="MRU50" s="863"/>
      <c r="MRV50" s="863"/>
      <c r="MRW50" s="863"/>
      <c r="MRX50" s="863"/>
      <c r="MRY50" s="883"/>
      <c r="MRZ50" s="883"/>
      <c r="MSA50" s="883"/>
      <c r="MSB50" s="883"/>
      <c r="MSC50" s="883"/>
      <c r="MSD50" s="883"/>
      <c r="MSE50" s="883"/>
      <c r="MSF50" s="883"/>
      <c r="MSG50" s="883"/>
      <c r="MSH50" s="863"/>
      <c r="MSI50" s="863"/>
      <c r="MSJ50" s="863"/>
      <c r="MSK50" s="863"/>
      <c r="MSL50" s="863"/>
      <c r="MSM50" s="863"/>
      <c r="MSN50" s="863"/>
      <c r="MSO50" s="863"/>
      <c r="MSP50" s="863"/>
      <c r="MSQ50" s="863"/>
      <c r="MSR50" s="863"/>
      <c r="MSS50" s="863"/>
      <c r="MST50" s="863"/>
      <c r="MSU50" s="863"/>
      <c r="MSV50" s="863"/>
      <c r="MSW50" s="863"/>
      <c r="MSX50" s="863"/>
      <c r="MSY50" s="863"/>
      <c r="MSZ50" s="863"/>
      <c r="MTA50" s="863"/>
      <c r="MTB50" s="863"/>
      <c r="MTC50" s="863"/>
      <c r="MTD50" s="863"/>
      <c r="MTE50" s="883"/>
      <c r="MTF50" s="883"/>
      <c r="MTG50" s="883"/>
      <c r="MTH50" s="883"/>
      <c r="MTI50" s="883"/>
      <c r="MTJ50" s="883"/>
      <c r="MTK50" s="883"/>
      <c r="MTL50" s="883"/>
      <c r="MTM50" s="883"/>
      <c r="MTN50" s="863"/>
      <c r="MTO50" s="863"/>
      <c r="MTP50" s="863"/>
      <c r="MTQ50" s="863"/>
      <c r="MTR50" s="863"/>
      <c r="MTS50" s="863"/>
      <c r="MTT50" s="863"/>
      <c r="MTU50" s="863"/>
      <c r="MTV50" s="863"/>
      <c r="MTW50" s="863"/>
      <c r="MTX50" s="863"/>
      <c r="MTY50" s="863"/>
      <c r="MTZ50" s="863"/>
      <c r="MUA50" s="863"/>
      <c r="MUB50" s="863"/>
      <c r="MUC50" s="863"/>
      <c r="MUD50" s="863"/>
      <c r="MUE50" s="863"/>
      <c r="MUF50" s="863"/>
      <c r="MUG50" s="863"/>
      <c r="MUH50" s="863"/>
      <c r="MUI50" s="863"/>
      <c r="MUJ50" s="863"/>
      <c r="MUK50" s="883"/>
      <c r="MUL50" s="883"/>
      <c r="MUM50" s="883"/>
      <c r="MUN50" s="883"/>
      <c r="MUO50" s="883"/>
      <c r="MUP50" s="883"/>
      <c r="MUQ50" s="883"/>
      <c r="MUR50" s="883"/>
      <c r="MUS50" s="883"/>
      <c r="MUT50" s="863"/>
      <c r="MUU50" s="863"/>
      <c r="MUV50" s="863"/>
      <c r="MUW50" s="863"/>
      <c r="MUX50" s="863"/>
      <c r="MUY50" s="863"/>
      <c r="MUZ50" s="863"/>
      <c r="MVA50" s="863"/>
      <c r="MVB50" s="863"/>
      <c r="MVC50" s="863"/>
      <c r="MVD50" s="863"/>
      <c r="MVE50" s="863"/>
      <c r="MVF50" s="863"/>
      <c r="MVG50" s="863"/>
      <c r="MVH50" s="863"/>
      <c r="MVI50" s="863"/>
      <c r="MVJ50" s="863"/>
      <c r="MVK50" s="863"/>
      <c r="MVL50" s="863"/>
      <c r="MVM50" s="863"/>
      <c r="MVN50" s="863"/>
      <c r="MVO50" s="863"/>
      <c r="MVP50" s="863"/>
      <c r="MVQ50" s="883"/>
      <c r="MVR50" s="883"/>
      <c r="MVS50" s="883"/>
      <c r="MVT50" s="883"/>
      <c r="MVU50" s="883"/>
      <c r="MVV50" s="883"/>
      <c r="MVW50" s="883"/>
      <c r="MVX50" s="883"/>
      <c r="MVY50" s="883"/>
      <c r="MVZ50" s="863"/>
      <c r="MWA50" s="863"/>
      <c r="MWB50" s="863"/>
      <c r="MWC50" s="863"/>
      <c r="MWD50" s="863"/>
      <c r="MWE50" s="863"/>
      <c r="MWF50" s="863"/>
      <c r="MWG50" s="863"/>
      <c r="MWH50" s="863"/>
      <c r="MWI50" s="863"/>
      <c r="MWJ50" s="863"/>
      <c r="MWK50" s="863"/>
      <c r="MWL50" s="863"/>
      <c r="MWM50" s="863"/>
      <c r="MWN50" s="863"/>
      <c r="MWO50" s="863"/>
      <c r="MWP50" s="863"/>
      <c r="MWQ50" s="863"/>
      <c r="MWR50" s="863"/>
      <c r="MWS50" s="863"/>
      <c r="MWT50" s="863"/>
      <c r="MWU50" s="863"/>
      <c r="MWV50" s="863"/>
      <c r="MWW50" s="883"/>
      <c r="MWX50" s="883"/>
      <c r="MWY50" s="883"/>
      <c r="MWZ50" s="883"/>
      <c r="MXA50" s="883"/>
      <c r="MXB50" s="883"/>
      <c r="MXC50" s="883"/>
      <c r="MXD50" s="883"/>
      <c r="MXE50" s="883"/>
      <c r="MXF50" s="863"/>
      <c r="MXG50" s="863"/>
      <c r="MXH50" s="863"/>
      <c r="MXI50" s="863"/>
      <c r="MXJ50" s="863"/>
      <c r="MXK50" s="863"/>
      <c r="MXL50" s="863"/>
      <c r="MXM50" s="863"/>
      <c r="MXN50" s="863"/>
      <c r="MXO50" s="863"/>
      <c r="MXP50" s="863"/>
      <c r="MXQ50" s="863"/>
      <c r="MXR50" s="863"/>
      <c r="MXS50" s="863"/>
      <c r="MXT50" s="863"/>
      <c r="MXU50" s="863"/>
      <c r="MXV50" s="863"/>
      <c r="MXW50" s="863"/>
      <c r="MXX50" s="863"/>
      <c r="MXY50" s="863"/>
      <c r="MXZ50" s="863"/>
      <c r="MYA50" s="863"/>
      <c r="MYB50" s="863"/>
      <c r="MYC50" s="883"/>
      <c r="MYD50" s="883"/>
      <c r="MYE50" s="883"/>
      <c r="MYF50" s="883"/>
      <c r="MYG50" s="883"/>
      <c r="MYH50" s="883"/>
      <c r="MYI50" s="883"/>
      <c r="MYJ50" s="883"/>
      <c r="MYK50" s="883"/>
      <c r="MYL50" s="863"/>
      <c r="MYM50" s="863"/>
      <c r="MYN50" s="863"/>
      <c r="MYO50" s="863"/>
      <c r="MYP50" s="863"/>
      <c r="MYQ50" s="863"/>
      <c r="MYR50" s="863"/>
      <c r="MYS50" s="863"/>
      <c r="MYT50" s="863"/>
      <c r="MYU50" s="863"/>
      <c r="MYV50" s="863"/>
      <c r="MYW50" s="863"/>
      <c r="MYX50" s="863"/>
      <c r="MYY50" s="863"/>
      <c r="MYZ50" s="863"/>
      <c r="MZA50" s="863"/>
      <c r="MZB50" s="863"/>
      <c r="MZC50" s="863"/>
      <c r="MZD50" s="863"/>
      <c r="MZE50" s="863"/>
      <c r="MZF50" s="863"/>
      <c r="MZG50" s="863"/>
      <c r="MZH50" s="863"/>
      <c r="MZI50" s="883"/>
      <c r="MZJ50" s="883"/>
      <c r="MZK50" s="883"/>
      <c r="MZL50" s="883"/>
      <c r="MZM50" s="883"/>
      <c r="MZN50" s="883"/>
      <c r="MZO50" s="883"/>
      <c r="MZP50" s="883"/>
      <c r="MZQ50" s="883"/>
      <c r="MZR50" s="863"/>
      <c r="MZS50" s="863"/>
      <c r="MZT50" s="863"/>
      <c r="MZU50" s="863"/>
      <c r="MZV50" s="863"/>
      <c r="MZW50" s="863"/>
      <c r="MZX50" s="863"/>
      <c r="MZY50" s="863"/>
      <c r="MZZ50" s="863"/>
      <c r="NAA50" s="863"/>
      <c r="NAB50" s="863"/>
      <c r="NAC50" s="863"/>
      <c r="NAD50" s="863"/>
      <c r="NAE50" s="863"/>
      <c r="NAF50" s="863"/>
      <c r="NAG50" s="863"/>
      <c r="NAH50" s="863"/>
      <c r="NAI50" s="863"/>
      <c r="NAJ50" s="863"/>
      <c r="NAK50" s="863"/>
      <c r="NAL50" s="863"/>
      <c r="NAM50" s="863"/>
      <c r="NAN50" s="863"/>
      <c r="NAO50" s="883"/>
      <c r="NAP50" s="883"/>
      <c r="NAQ50" s="883"/>
      <c r="NAR50" s="883"/>
      <c r="NAS50" s="883"/>
      <c r="NAT50" s="883"/>
      <c r="NAU50" s="883"/>
      <c r="NAV50" s="883"/>
      <c r="NAW50" s="883"/>
      <c r="NAX50" s="863"/>
      <c r="NAY50" s="863"/>
      <c r="NAZ50" s="863"/>
      <c r="NBA50" s="863"/>
      <c r="NBB50" s="863"/>
      <c r="NBC50" s="863"/>
      <c r="NBD50" s="863"/>
      <c r="NBE50" s="863"/>
      <c r="NBF50" s="863"/>
      <c r="NBG50" s="863"/>
      <c r="NBH50" s="863"/>
      <c r="NBI50" s="863"/>
      <c r="NBJ50" s="863"/>
      <c r="NBK50" s="863"/>
      <c r="NBL50" s="863"/>
      <c r="NBM50" s="863"/>
      <c r="NBN50" s="863"/>
      <c r="NBO50" s="863"/>
      <c r="NBP50" s="863"/>
      <c r="NBQ50" s="863"/>
      <c r="NBR50" s="863"/>
      <c r="NBS50" s="863"/>
      <c r="NBT50" s="863"/>
      <c r="NBU50" s="883"/>
      <c r="NBV50" s="883"/>
      <c r="NBW50" s="883"/>
      <c r="NBX50" s="883"/>
      <c r="NBY50" s="883"/>
      <c r="NBZ50" s="883"/>
      <c r="NCA50" s="883"/>
      <c r="NCB50" s="883"/>
      <c r="NCC50" s="883"/>
      <c r="NCD50" s="863"/>
      <c r="NCE50" s="863"/>
      <c r="NCF50" s="863"/>
      <c r="NCG50" s="863"/>
      <c r="NCH50" s="863"/>
      <c r="NCI50" s="863"/>
      <c r="NCJ50" s="863"/>
      <c r="NCK50" s="863"/>
      <c r="NCL50" s="863"/>
      <c r="NCM50" s="863"/>
      <c r="NCN50" s="863"/>
      <c r="NCO50" s="863"/>
      <c r="NCP50" s="863"/>
      <c r="NCQ50" s="863"/>
      <c r="NCR50" s="863"/>
      <c r="NCS50" s="863"/>
      <c r="NCT50" s="863"/>
      <c r="NCU50" s="863"/>
      <c r="NCV50" s="863"/>
      <c r="NCW50" s="863"/>
      <c r="NCX50" s="863"/>
      <c r="NCY50" s="863"/>
      <c r="NCZ50" s="863"/>
      <c r="NDA50" s="883"/>
      <c r="NDB50" s="883"/>
      <c r="NDC50" s="883"/>
      <c r="NDD50" s="883"/>
      <c r="NDE50" s="883"/>
      <c r="NDF50" s="883"/>
      <c r="NDG50" s="883"/>
      <c r="NDH50" s="883"/>
      <c r="NDI50" s="883"/>
      <c r="NDJ50" s="863"/>
      <c r="NDK50" s="863"/>
      <c r="NDL50" s="863"/>
      <c r="NDM50" s="863"/>
      <c r="NDN50" s="863"/>
      <c r="NDO50" s="863"/>
      <c r="NDP50" s="863"/>
      <c r="NDQ50" s="863"/>
      <c r="NDR50" s="863"/>
      <c r="NDS50" s="863"/>
      <c r="NDT50" s="863"/>
      <c r="NDU50" s="863"/>
      <c r="NDV50" s="863"/>
      <c r="NDW50" s="863"/>
      <c r="NDX50" s="863"/>
      <c r="NDY50" s="863"/>
      <c r="NDZ50" s="863"/>
      <c r="NEA50" s="863"/>
      <c r="NEB50" s="863"/>
      <c r="NEC50" s="863"/>
      <c r="NED50" s="863"/>
      <c r="NEE50" s="863"/>
      <c r="NEF50" s="863"/>
      <c r="NEG50" s="883"/>
      <c r="NEH50" s="883"/>
      <c r="NEI50" s="883"/>
      <c r="NEJ50" s="883"/>
      <c r="NEK50" s="883"/>
      <c r="NEL50" s="883"/>
      <c r="NEM50" s="883"/>
      <c r="NEN50" s="883"/>
      <c r="NEO50" s="883"/>
      <c r="NEP50" s="863"/>
      <c r="NEQ50" s="863"/>
      <c r="NER50" s="863"/>
      <c r="NES50" s="863"/>
      <c r="NET50" s="863"/>
      <c r="NEU50" s="863"/>
      <c r="NEV50" s="863"/>
      <c r="NEW50" s="863"/>
      <c r="NEX50" s="863"/>
      <c r="NEY50" s="863"/>
      <c r="NEZ50" s="863"/>
      <c r="NFA50" s="863"/>
      <c r="NFB50" s="863"/>
      <c r="NFC50" s="863"/>
      <c r="NFD50" s="863"/>
      <c r="NFE50" s="863"/>
      <c r="NFF50" s="863"/>
      <c r="NFG50" s="863"/>
      <c r="NFH50" s="863"/>
      <c r="NFI50" s="863"/>
      <c r="NFJ50" s="863"/>
      <c r="NFK50" s="863"/>
      <c r="NFL50" s="863"/>
      <c r="NFM50" s="883"/>
      <c r="NFN50" s="883"/>
      <c r="NFO50" s="883"/>
      <c r="NFP50" s="883"/>
      <c r="NFQ50" s="883"/>
      <c r="NFR50" s="883"/>
      <c r="NFS50" s="883"/>
      <c r="NFT50" s="883"/>
      <c r="NFU50" s="883"/>
      <c r="NFV50" s="863"/>
      <c r="NFW50" s="863"/>
      <c r="NFX50" s="863"/>
      <c r="NFY50" s="863"/>
      <c r="NFZ50" s="863"/>
      <c r="NGA50" s="863"/>
      <c r="NGB50" s="863"/>
      <c r="NGC50" s="863"/>
      <c r="NGD50" s="863"/>
      <c r="NGE50" s="863"/>
      <c r="NGF50" s="863"/>
      <c r="NGG50" s="863"/>
      <c r="NGH50" s="863"/>
      <c r="NGI50" s="863"/>
      <c r="NGJ50" s="863"/>
      <c r="NGK50" s="863"/>
      <c r="NGL50" s="863"/>
      <c r="NGM50" s="863"/>
      <c r="NGN50" s="863"/>
      <c r="NGO50" s="863"/>
      <c r="NGP50" s="863"/>
      <c r="NGQ50" s="863"/>
      <c r="NGR50" s="863"/>
      <c r="NGS50" s="883"/>
      <c r="NGT50" s="883"/>
      <c r="NGU50" s="883"/>
      <c r="NGV50" s="883"/>
      <c r="NGW50" s="883"/>
      <c r="NGX50" s="883"/>
      <c r="NGY50" s="883"/>
      <c r="NGZ50" s="883"/>
      <c r="NHA50" s="883"/>
      <c r="NHB50" s="863"/>
      <c r="NHC50" s="863"/>
      <c r="NHD50" s="863"/>
      <c r="NHE50" s="863"/>
      <c r="NHF50" s="863"/>
      <c r="NHG50" s="863"/>
      <c r="NHH50" s="863"/>
      <c r="NHI50" s="863"/>
      <c r="NHJ50" s="863"/>
      <c r="NHK50" s="863"/>
      <c r="NHL50" s="863"/>
      <c r="NHM50" s="863"/>
      <c r="NHN50" s="863"/>
      <c r="NHO50" s="863"/>
      <c r="NHP50" s="863"/>
      <c r="NHQ50" s="863"/>
      <c r="NHR50" s="863"/>
      <c r="NHS50" s="863"/>
      <c r="NHT50" s="863"/>
      <c r="NHU50" s="863"/>
      <c r="NHV50" s="863"/>
      <c r="NHW50" s="863"/>
      <c r="NHX50" s="863"/>
      <c r="NHY50" s="883"/>
      <c r="NHZ50" s="883"/>
      <c r="NIA50" s="883"/>
      <c r="NIB50" s="883"/>
      <c r="NIC50" s="883"/>
      <c r="NID50" s="883"/>
      <c r="NIE50" s="883"/>
      <c r="NIF50" s="883"/>
      <c r="NIG50" s="883"/>
      <c r="NIH50" s="863"/>
      <c r="NII50" s="863"/>
      <c r="NIJ50" s="863"/>
      <c r="NIK50" s="863"/>
      <c r="NIL50" s="863"/>
      <c r="NIM50" s="863"/>
      <c r="NIN50" s="863"/>
      <c r="NIO50" s="863"/>
      <c r="NIP50" s="863"/>
      <c r="NIQ50" s="863"/>
      <c r="NIR50" s="863"/>
      <c r="NIS50" s="863"/>
      <c r="NIT50" s="863"/>
      <c r="NIU50" s="863"/>
      <c r="NIV50" s="863"/>
      <c r="NIW50" s="863"/>
      <c r="NIX50" s="863"/>
      <c r="NIY50" s="863"/>
      <c r="NIZ50" s="863"/>
      <c r="NJA50" s="863"/>
      <c r="NJB50" s="863"/>
      <c r="NJC50" s="863"/>
      <c r="NJD50" s="863"/>
      <c r="NJE50" s="883"/>
      <c r="NJF50" s="883"/>
      <c r="NJG50" s="883"/>
      <c r="NJH50" s="883"/>
      <c r="NJI50" s="883"/>
      <c r="NJJ50" s="883"/>
      <c r="NJK50" s="883"/>
      <c r="NJL50" s="883"/>
      <c r="NJM50" s="883"/>
      <c r="NJN50" s="863"/>
      <c r="NJO50" s="863"/>
      <c r="NJP50" s="863"/>
      <c r="NJQ50" s="863"/>
      <c r="NJR50" s="863"/>
      <c r="NJS50" s="863"/>
      <c r="NJT50" s="863"/>
      <c r="NJU50" s="863"/>
      <c r="NJV50" s="863"/>
      <c r="NJW50" s="863"/>
      <c r="NJX50" s="863"/>
      <c r="NJY50" s="863"/>
      <c r="NJZ50" s="863"/>
      <c r="NKA50" s="863"/>
      <c r="NKB50" s="863"/>
      <c r="NKC50" s="863"/>
      <c r="NKD50" s="863"/>
      <c r="NKE50" s="863"/>
      <c r="NKF50" s="863"/>
      <c r="NKG50" s="863"/>
      <c r="NKH50" s="863"/>
      <c r="NKI50" s="863"/>
      <c r="NKJ50" s="863"/>
      <c r="NKK50" s="883"/>
      <c r="NKL50" s="883"/>
      <c r="NKM50" s="883"/>
      <c r="NKN50" s="883"/>
      <c r="NKO50" s="883"/>
      <c r="NKP50" s="883"/>
      <c r="NKQ50" s="883"/>
      <c r="NKR50" s="883"/>
      <c r="NKS50" s="883"/>
      <c r="NKT50" s="863"/>
      <c r="NKU50" s="863"/>
      <c r="NKV50" s="863"/>
      <c r="NKW50" s="863"/>
      <c r="NKX50" s="863"/>
      <c r="NKY50" s="863"/>
      <c r="NKZ50" s="863"/>
      <c r="NLA50" s="863"/>
      <c r="NLB50" s="863"/>
      <c r="NLC50" s="863"/>
      <c r="NLD50" s="863"/>
      <c r="NLE50" s="863"/>
      <c r="NLF50" s="863"/>
      <c r="NLG50" s="863"/>
      <c r="NLH50" s="863"/>
      <c r="NLI50" s="863"/>
      <c r="NLJ50" s="863"/>
      <c r="NLK50" s="863"/>
      <c r="NLL50" s="863"/>
      <c r="NLM50" s="863"/>
      <c r="NLN50" s="863"/>
      <c r="NLO50" s="863"/>
      <c r="NLP50" s="863"/>
      <c r="NLQ50" s="883"/>
      <c r="NLR50" s="883"/>
      <c r="NLS50" s="883"/>
      <c r="NLT50" s="883"/>
      <c r="NLU50" s="883"/>
      <c r="NLV50" s="883"/>
      <c r="NLW50" s="883"/>
      <c r="NLX50" s="883"/>
      <c r="NLY50" s="883"/>
      <c r="NLZ50" s="863"/>
      <c r="NMA50" s="863"/>
      <c r="NMB50" s="863"/>
      <c r="NMC50" s="863"/>
      <c r="NMD50" s="863"/>
      <c r="NME50" s="863"/>
      <c r="NMF50" s="863"/>
      <c r="NMG50" s="863"/>
      <c r="NMH50" s="863"/>
      <c r="NMI50" s="863"/>
      <c r="NMJ50" s="863"/>
      <c r="NMK50" s="863"/>
      <c r="NML50" s="863"/>
      <c r="NMM50" s="863"/>
      <c r="NMN50" s="863"/>
      <c r="NMO50" s="863"/>
      <c r="NMP50" s="863"/>
      <c r="NMQ50" s="863"/>
      <c r="NMR50" s="863"/>
      <c r="NMS50" s="863"/>
      <c r="NMT50" s="863"/>
      <c r="NMU50" s="863"/>
      <c r="NMV50" s="863"/>
      <c r="NMW50" s="883"/>
      <c r="NMX50" s="883"/>
      <c r="NMY50" s="883"/>
      <c r="NMZ50" s="883"/>
      <c r="NNA50" s="883"/>
      <c r="NNB50" s="883"/>
      <c r="NNC50" s="883"/>
      <c r="NND50" s="883"/>
      <c r="NNE50" s="883"/>
      <c r="NNF50" s="863"/>
      <c r="NNG50" s="863"/>
      <c r="NNH50" s="863"/>
      <c r="NNI50" s="863"/>
      <c r="NNJ50" s="863"/>
      <c r="NNK50" s="863"/>
      <c r="NNL50" s="863"/>
      <c r="NNM50" s="863"/>
      <c r="NNN50" s="863"/>
      <c r="NNO50" s="863"/>
      <c r="NNP50" s="863"/>
      <c r="NNQ50" s="863"/>
      <c r="NNR50" s="863"/>
      <c r="NNS50" s="863"/>
      <c r="NNT50" s="863"/>
      <c r="NNU50" s="863"/>
      <c r="NNV50" s="863"/>
      <c r="NNW50" s="863"/>
      <c r="NNX50" s="863"/>
      <c r="NNY50" s="863"/>
      <c r="NNZ50" s="863"/>
      <c r="NOA50" s="863"/>
      <c r="NOB50" s="863"/>
      <c r="NOC50" s="883"/>
      <c r="NOD50" s="883"/>
      <c r="NOE50" s="883"/>
      <c r="NOF50" s="883"/>
      <c r="NOG50" s="883"/>
      <c r="NOH50" s="883"/>
      <c r="NOI50" s="883"/>
      <c r="NOJ50" s="883"/>
      <c r="NOK50" s="883"/>
      <c r="NOL50" s="863"/>
      <c r="NOM50" s="863"/>
      <c r="NON50" s="863"/>
      <c r="NOO50" s="863"/>
      <c r="NOP50" s="863"/>
      <c r="NOQ50" s="863"/>
      <c r="NOR50" s="863"/>
      <c r="NOS50" s="863"/>
      <c r="NOT50" s="863"/>
      <c r="NOU50" s="863"/>
      <c r="NOV50" s="863"/>
      <c r="NOW50" s="863"/>
      <c r="NOX50" s="863"/>
      <c r="NOY50" s="863"/>
      <c r="NOZ50" s="863"/>
      <c r="NPA50" s="863"/>
      <c r="NPB50" s="863"/>
      <c r="NPC50" s="863"/>
      <c r="NPD50" s="863"/>
      <c r="NPE50" s="863"/>
      <c r="NPF50" s="863"/>
      <c r="NPG50" s="863"/>
      <c r="NPH50" s="863"/>
      <c r="NPI50" s="883"/>
      <c r="NPJ50" s="883"/>
      <c r="NPK50" s="883"/>
      <c r="NPL50" s="883"/>
      <c r="NPM50" s="883"/>
      <c r="NPN50" s="883"/>
      <c r="NPO50" s="883"/>
      <c r="NPP50" s="883"/>
      <c r="NPQ50" s="883"/>
      <c r="NPR50" s="863"/>
      <c r="NPS50" s="863"/>
      <c r="NPT50" s="863"/>
      <c r="NPU50" s="863"/>
      <c r="NPV50" s="863"/>
      <c r="NPW50" s="863"/>
      <c r="NPX50" s="863"/>
      <c r="NPY50" s="863"/>
      <c r="NPZ50" s="863"/>
      <c r="NQA50" s="863"/>
      <c r="NQB50" s="863"/>
      <c r="NQC50" s="863"/>
      <c r="NQD50" s="863"/>
      <c r="NQE50" s="863"/>
      <c r="NQF50" s="863"/>
      <c r="NQG50" s="863"/>
      <c r="NQH50" s="863"/>
      <c r="NQI50" s="863"/>
      <c r="NQJ50" s="863"/>
      <c r="NQK50" s="863"/>
      <c r="NQL50" s="863"/>
      <c r="NQM50" s="863"/>
      <c r="NQN50" s="863"/>
      <c r="NQO50" s="883"/>
      <c r="NQP50" s="883"/>
      <c r="NQQ50" s="883"/>
      <c r="NQR50" s="883"/>
      <c r="NQS50" s="883"/>
      <c r="NQT50" s="883"/>
      <c r="NQU50" s="883"/>
      <c r="NQV50" s="883"/>
      <c r="NQW50" s="883"/>
      <c r="NQX50" s="863"/>
      <c r="NQY50" s="863"/>
      <c r="NQZ50" s="863"/>
      <c r="NRA50" s="863"/>
      <c r="NRB50" s="863"/>
      <c r="NRC50" s="863"/>
      <c r="NRD50" s="863"/>
      <c r="NRE50" s="863"/>
      <c r="NRF50" s="863"/>
      <c r="NRG50" s="863"/>
      <c r="NRH50" s="863"/>
      <c r="NRI50" s="863"/>
      <c r="NRJ50" s="863"/>
      <c r="NRK50" s="863"/>
      <c r="NRL50" s="863"/>
      <c r="NRM50" s="863"/>
      <c r="NRN50" s="863"/>
      <c r="NRO50" s="863"/>
      <c r="NRP50" s="863"/>
      <c r="NRQ50" s="863"/>
      <c r="NRR50" s="863"/>
      <c r="NRS50" s="863"/>
      <c r="NRT50" s="863"/>
      <c r="NRU50" s="883"/>
      <c r="NRV50" s="883"/>
      <c r="NRW50" s="883"/>
      <c r="NRX50" s="883"/>
      <c r="NRY50" s="883"/>
      <c r="NRZ50" s="883"/>
      <c r="NSA50" s="883"/>
      <c r="NSB50" s="883"/>
      <c r="NSC50" s="883"/>
      <c r="NSD50" s="863"/>
      <c r="NSE50" s="863"/>
      <c r="NSF50" s="863"/>
      <c r="NSG50" s="863"/>
      <c r="NSH50" s="863"/>
      <c r="NSI50" s="863"/>
      <c r="NSJ50" s="863"/>
      <c r="NSK50" s="863"/>
      <c r="NSL50" s="863"/>
      <c r="NSM50" s="863"/>
      <c r="NSN50" s="863"/>
      <c r="NSO50" s="863"/>
      <c r="NSP50" s="863"/>
      <c r="NSQ50" s="863"/>
      <c r="NSR50" s="863"/>
      <c r="NSS50" s="863"/>
      <c r="NST50" s="863"/>
      <c r="NSU50" s="863"/>
      <c r="NSV50" s="863"/>
      <c r="NSW50" s="863"/>
      <c r="NSX50" s="863"/>
      <c r="NSY50" s="863"/>
      <c r="NSZ50" s="863"/>
      <c r="NTA50" s="883"/>
      <c r="NTB50" s="883"/>
      <c r="NTC50" s="883"/>
      <c r="NTD50" s="883"/>
      <c r="NTE50" s="883"/>
      <c r="NTF50" s="883"/>
      <c r="NTG50" s="883"/>
      <c r="NTH50" s="883"/>
      <c r="NTI50" s="883"/>
      <c r="NTJ50" s="863"/>
      <c r="NTK50" s="863"/>
      <c r="NTL50" s="863"/>
      <c r="NTM50" s="863"/>
      <c r="NTN50" s="863"/>
      <c r="NTO50" s="863"/>
      <c r="NTP50" s="863"/>
      <c r="NTQ50" s="863"/>
      <c r="NTR50" s="863"/>
      <c r="NTS50" s="863"/>
      <c r="NTT50" s="863"/>
      <c r="NTU50" s="863"/>
      <c r="NTV50" s="863"/>
      <c r="NTW50" s="863"/>
      <c r="NTX50" s="863"/>
      <c r="NTY50" s="863"/>
      <c r="NTZ50" s="863"/>
      <c r="NUA50" s="863"/>
      <c r="NUB50" s="863"/>
      <c r="NUC50" s="863"/>
      <c r="NUD50" s="863"/>
      <c r="NUE50" s="863"/>
      <c r="NUF50" s="863"/>
      <c r="NUG50" s="883"/>
      <c r="NUH50" s="883"/>
      <c r="NUI50" s="883"/>
      <c r="NUJ50" s="883"/>
      <c r="NUK50" s="883"/>
      <c r="NUL50" s="883"/>
      <c r="NUM50" s="883"/>
      <c r="NUN50" s="883"/>
      <c r="NUO50" s="883"/>
      <c r="NUP50" s="863"/>
      <c r="NUQ50" s="863"/>
      <c r="NUR50" s="863"/>
      <c r="NUS50" s="863"/>
      <c r="NUT50" s="863"/>
      <c r="NUU50" s="863"/>
      <c r="NUV50" s="863"/>
      <c r="NUW50" s="863"/>
      <c r="NUX50" s="863"/>
      <c r="NUY50" s="863"/>
      <c r="NUZ50" s="863"/>
      <c r="NVA50" s="863"/>
      <c r="NVB50" s="863"/>
      <c r="NVC50" s="863"/>
      <c r="NVD50" s="863"/>
      <c r="NVE50" s="863"/>
      <c r="NVF50" s="863"/>
      <c r="NVG50" s="863"/>
      <c r="NVH50" s="863"/>
      <c r="NVI50" s="863"/>
      <c r="NVJ50" s="863"/>
      <c r="NVK50" s="863"/>
      <c r="NVL50" s="863"/>
      <c r="NVM50" s="883"/>
      <c r="NVN50" s="883"/>
      <c r="NVO50" s="883"/>
      <c r="NVP50" s="883"/>
      <c r="NVQ50" s="883"/>
      <c r="NVR50" s="883"/>
      <c r="NVS50" s="883"/>
      <c r="NVT50" s="883"/>
      <c r="NVU50" s="883"/>
      <c r="NVV50" s="863"/>
      <c r="NVW50" s="863"/>
      <c r="NVX50" s="863"/>
      <c r="NVY50" s="863"/>
      <c r="NVZ50" s="863"/>
      <c r="NWA50" s="863"/>
      <c r="NWB50" s="863"/>
      <c r="NWC50" s="863"/>
      <c r="NWD50" s="863"/>
      <c r="NWE50" s="863"/>
      <c r="NWF50" s="863"/>
      <c r="NWG50" s="863"/>
      <c r="NWH50" s="863"/>
      <c r="NWI50" s="863"/>
      <c r="NWJ50" s="863"/>
      <c r="NWK50" s="863"/>
      <c r="NWL50" s="863"/>
      <c r="NWM50" s="863"/>
      <c r="NWN50" s="863"/>
      <c r="NWO50" s="863"/>
      <c r="NWP50" s="863"/>
      <c r="NWQ50" s="863"/>
      <c r="NWR50" s="863"/>
      <c r="NWS50" s="883"/>
      <c r="NWT50" s="883"/>
      <c r="NWU50" s="883"/>
      <c r="NWV50" s="883"/>
      <c r="NWW50" s="883"/>
      <c r="NWX50" s="883"/>
      <c r="NWY50" s="883"/>
      <c r="NWZ50" s="883"/>
      <c r="NXA50" s="883"/>
      <c r="NXB50" s="863"/>
      <c r="NXC50" s="863"/>
      <c r="NXD50" s="863"/>
      <c r="NXE50" s="863"/>
      <c r="NXF50" s="863"/>
      <c r="NXG50" s="863"/>
      <c r="NXH50" s="863"/>
      <c r="NXI50" s="863"/>
      <c r="NXJ50" s="863"/>
      <c r="NXK50" s="863"/>
      <c r="NXL50" s="863"/>
      <c r="NXM50" s="863"/>
      <c r="NXN50" s="863"/>
      <c r="NXO50" s="863"/>
      <c r="NXP50" s="863"/>
      <c r="NXQ50" s="863"/>
      <c r="NXR50" s="863"/>
      <c r="NXS50" s="863"/>
      <c r="NXT50" s="863"/>
      <c r="NXU50" s="863"/>
      <c r="NXV50" s="863"/>
      <c r="NXW50" s="863"/>
      <c r="NXX50" s="863"/>
      <c r="NXY50" s="883"/>
      <c r="NXZ50" s="883"/>
      <c r="NYA50" s="883"/>
      <c r="NYB50" s="883"/>
      <c r="NYC50" s="883"/>
      <c r="NYD50" s="883"/>
      <c r="NYE50" s="883"/>
      <c r="NYF50" s="883"/>
      <c r="NYG50" s="883"/>
      <c r="NYH50" s="863"/>
      <c r="NYI50" s="863"/>
      <c r="NYJ50" s="863"/>
      <c r="NYK50" s="863"/>
      <c r="NYL50" s="863"/>
      <c r="NYM50" s="863"/>
      <c r="NYN50" s="863"/>
      <c r="NYO50" s="863"/>
      <c r="NYP50" s="863"/>
      <c r="NYQ50" s="863"/>
      <c r="NYR50" s="863"/>
      <c r="NYS50" s="863"/>
      <c r="NYT50" s="863"/>
      <c r="NYU50" s="863"/>
      <c r="NYV50" s="863"/>
      <c r="NYW50" s="863"/>
      <c r="NYX50" s="863"/>
      <c r="NYY50" s="863"/>
      <c r="NYZ50" s="863"/>
      <c r="NZA50" s="863"/>
      <c r="NZB50" s="863"/>
      <c r="NZC50" s="863"/>
      <c r="NZD50" s="863"/>
      <c r="NZE50" s="883"/>
      <c r="NZF50" s="883"/>
      <c r="NZG50" s="883"/>
      <c r="NZH50" s="883"/>
      <c r="NZI50" s="883"/>
      <c r="NZJ50" s="883"/>
      <c r="NZK50" s="883"/>
      <c r="NZL50" s="883"/>
      <c r="NZM50" s="883"/>
      <c r="NZN50" s="863"/>
      <c r="NZO50" s="863"/>
      <c r="NZP50" s="863"/>
      <c r="NZQ50" s="863"/>
      <c r="NZR50" s="863"/>
      <c r="NZS50" s="863"/>
      <c r="NZT50" s="863"/>
      <c r="NZU50" s="863"/>
      <c r="NZV50" s="863"/>
      <c r="NZW50" s="863"/>
      <c r="NZX50" s="863"/>
      <c r="NZY50" s="863"/>
      <c r="NZZ50" s="863"/>
      <c r="OAA50" s="863"/>
      <c r="OAB50" s="863"/>
      <c r="OAC50" s="863"/>
      <c r="OAD50" s="863"/>
      <c r="OAE50" s="863"/>
      <c r="OAF50" s="863"/>
      <c r="OAG50" s="863"/>
      <c r="OAH50" s="863"/>
      <c r="OAI50" s="863"/>
      <c r="OAJ50" s="863"/>
      <c r="OAK50" s="883"/>
      <c r="OAL50" s="883"/>
      <c r="OAM50" s="883"/>
      <c r="OAN50" s="883"/>
      <c r="OAO50" s="883"/>
      <c r="OAP50" s="883"/>
      <c r="OAQ50" s="883"/>
      <c r="OAR50" s="883"/>
      <c r="OAS50" s="883"/>
      <c r="OAT50" s="863"/>
      <c r="OAU50" s="863"/>
      <c r="OAV50" s="863"/>
      <c r="OAW50" s="863"/>
      <c r="OAX50" s="863"/>
      <c r="OAY50" s="863"/>
      <c r="OAZ50" s="863"/>
      <c r="OBA50" s="863"/>
      <c r="OBB50" s="863"/>
      <c r="OBC50" s="863"/>
      <c r="OBD50" s="863"/>
      <c r="OBE50" s="863"/>
      <c r="OBF50" s="863"/>
      <c r="OBG50" s="863"/>
      <c r="OBH50" s="863"/>
      <c r="OBI50" s="863"/>
      <c r="OBJ50" s="863"/>
      <c r="OBK50" s="863"/>
      <c r="OBL50" s="863"/>
      <c r="OBM50" s="863"/>
      <c r="OBN50" s="863"/>
      <c r="OBO50" s="863"/>
      <c r="OBP50" s="863"/>
      <c r="OBQ50" s="883"/>
      <c r="OBR50" s="883"/>
      <c r="OBS50" s="883"/>
      <c r="OBT50" s="883"/>
      <c r="OBU50" s="883"/>
      <c r="OBV50" s="883"/>
      <c r="OBW50" s="883"/>
      <c r="OBX50" s="883"/>
      <c r="OBY50" s="883"/>
      <c r="OBZ50" s="863"/>
      <c r="OCA50" s="863"/>
      <c r="OCB50" s="863"/>
      <c r="OCC50" s="863"/>
      <c r="OCD50" s="863"/>
      <c r="OCE50" s="863"/>
      <c r="OCF50" s="863"/>
      <c r="OCG50" s="863"/>
      <c r="OCH50" s="863"/>
      <c r="OCI50" s="863"/>
      <c r="OCJ50" s="863"/>
      <c r="OCK50" s="863"/>
      <c r="OCL50" s="863"/>
      <c r="OCM50" s="863"/>
      <c r="OCN50" s="863"/>
      <c r="OCO50" s="863"/>
      <c r="OCP50" s="863"/>
      <c r="OCQ50" s="863"/>
      <c r="OCR50" s="863"/>
      <c r="OCS50" s="863"/>
      <c r="OCT50" s="863"/>
      <c r="OCU50" s="863"/>
      <c r="OCV50" s="863"/>
      <c r="OCW50" s="883"/>
      <c r="OCX50" s="883"/>
      <c r="OCY50" s="883"/>
      <c r="OCZ50" s="883"/>
      <c r="ODA50" s="883"/>
      <c r="ODB50" s="883"/>
      <c r="ODC50" s="883"/>
      <c r="ODD50" s="883"/>
      <c r="ODE50" s="883"/>
      <c r="ODF50" s="863"/>
      <c r="ODG50" s="863"/>
      <c r="ODH50" s="863"/>
      <c r="ODI50" s="863"/>
      <c r="ODJ50" s="863"/>
      <c r="ODK50" s="863"/>
      <c r="ODL50" s="863"/>
      <c r="ODM50" s="863"/>
      <c r="ODN50" s="863"/>
      <c r="ODO50" s="863"/>
      <c r="ODP50" s="863"/>
      <c r="ODQ50" s="863"/>
      <c r="ODR50" s="863"/>
      <c r="ODS50" s="863"/>
      <c r="ODT50" s="863"/>
      <c r="ODU50" s="863"/>
      <c r="ODV50" s="863"/>
      <c r="ODW50" s="863"/>
      <c r="ODX50" s="863"/>
      <c r="ODY50" s="863"/>
      <c r="ODZ50" s="863"/>
      <c r="OEA50" s="863"/>
      <c r="OEB50" s="863"/>
      <c r="OEC50" s="883"/>
      <c r="OED50" s="883"/>
      <c r="OEE50" s="883"/>
      <c r="OEF50" s="883"/>
      <c r="OEG50" s="883"/>
      <c r="OEH50" s="883"/>
      <c r="OEI50" s="883"/>
      <c r="OEJ50" s="883"/>
      <c r="OEK50" s="883"/>
      <c r="OEL50" s="863"/>
      <c r="OEM50" s="863"/>
      <c r="OEN50" s="863"/>
      <c r="OEO50" s="863"/>
      <c r="OEP50" s="863"/>
      <c r="OEQ50" s="863"/>
      <c r="OER50" s="863"/>
      <c r="OES50" s="863"/>
      <c r="OET50" s="863"/>
      <c r="OEU50" s="863"/>
      <c r="OEV50" s="863"/>
      <c r="OEW50" s="863"/>
      <c r="OEX50" s="863"/>
      <c r="OEY50" s="863"/>
      <c r="OEZ50" s="863"/>
      <c r="OFA50" s="863"/>
      <c r="OFB50" s="863"/>
      <c r="OFC50" s="863"/>
      <c r="OFD50" s="863"/>
      <c r="OFE50" s="863"/>
      <c r="OFF50" s="863"/>
      <c r="OFG50" s="863"/>
      <c r="OFH50" s="863"/>
      <c r="OFI50" s="883"/>
      <c r="OFJ50" s="883"/>
      <c r="OFK50" s="883"/>
      <c r="OFL50" s="883"/>
      <c r="OFM50" s="883"/>
      <c r="OFN50" s="883"/>
      <c r="OFO50" s="883"/>
      <c r="OFP50" s="883"/>
      <c r="OFQ50" s="883"/>
      <c r="OFR50" s="863"/>
      <c r="OFS50" s="863"/>
      <c r="OFT50" s="863"/>
      <c r="OFU50" s="863"/>
      <c r="OFV50" s="863"/>
      <c r="OFW50" s="863"/>
      <c r="OFX50" s="863"/>
      <c r="OFY50" s="863"/>
      <c r="OFZ50" s="863"/>
      <c r="OGA50" s="863"/>
      <c r="OGB50" s="863"/>
      <c r="OGC50" s="863"/>
      <c r="OGD50" s="863"/>
      <c r="OGE50" s="863"/>
      <c r="OGF50" s="863"/>
      <c r="OGG50" s="863"/>
      <c r="OGH50" s="863"/>
      <c r="OGI50" s="863"/>
      <c r="OGJ50" s="863"/>
      <c r="OGK50" s="863"/>
      <c r="OGL50" s="863"/>
      <c r="OGM50" s="863"/>
      <c r="OGN50" s="863"/>
      <c r="OGO50" s="883"/>
      <c r="OGP50" s="883"/>
      <c r="OGQ50" s="883"/>
      <c r="OGR50" s="883"/>
      <c r="OGS50" s="883"/>
      <c r="OGT50" s="883"/>
      <c r="OGU50" s="883"/>
      <c r="OGV50" s="883"/>
      <c r="OGW50" s="883"/>
      <c r="OGX50" s="863"/>
      <c r="OGY50" s="863"/>
      <c r="OGZ50" s="863"/>
      <c r="OHA50" s="863"/>
      <c r="OHB50" s="863"/>
      <c r="OHC50" s="863"/>
      <c r="OHD50" s="863"/>
      <c r="OHE50" s="863"/>
      <c r="OHF50" s="863"/>
      <c r="OHG50" s="863"/>
      <c r="OHH50" s="863"/>
      <c r="OHI50" s="863"/>
      <c r="OHJ50" s="863"/>
      <c r="OHK50" s="863"/>
      <c r="OHL50" s="863"/>
      <c r="OHM50" s="863"/>
      <c r="OHN50" s="863"/>
      <c r="OHO50" s="863"/>
      <c r="OHP50" s="863"/>
      <c r="OHQ50" s="863"/>
      <c r="OHR50" s="863"/>
      <c r="OHS50" s="863"/>
      <c r="OHT50" s="863"/>
      <c r="OHU50" s="883"/>
      <c r="OHV50" s="883"/>
      <c r="OHW50" s="883"/>
      <c r="OHX50" s="883"/>
      <c r="OHY50" s="883"/>
      <c r="OHZ50" s="883"/>
      <c r="OIA50" s="883"/>
      <c r="OIB50" s="883"/>
      <c r="OIC50" s="883"/>
      <c r="OID50" s="863"/>
      <c r="OIE50" s="863"/>
      <c r="OIF50" s="863"/>
      <c r="OIG50" s="863"/>
      <c r="OIH50" s="863"/>
      <c r="OII50" s="863"/>
      <c r="OIJ50" s="863"/>
      <c r="OIK50" s="863"/>
      <c r="OIL50" s="863"/>
      <c r="OIM50" s="863"/>
      <c r="OIN50" s="863"/>
      <c r="OIO50" s="863"/>
      <c r="OIP50" s="863"/>
      <c r="OIQ50" s="863"/>
      <c r="OIR50" s="863"/>
      <c r="OIS50" s="863"/>
      <c r="OIT50" s="863"/>
      <c r="OIU50" s="863"/>
      <c r="OIV50" s="863"/>
      <c r="OIW50" s="863"/>
      <c r="OIX50" s="863"/>
      <c r="OIY50" s="863"/>
      <c r="OIZ50" s="863"/>
      <c r="OJA50" s="883"/>
      <c r="OJB50" s="883"/>
      <c r="OJC50" s="883"/>
      <c r="OJD50" s="883"/>
      <c r="OJE50" s="883"/>
      <c r="OJF50" s="883"/>
      <c r="OJG50" s="883"/>
      <c r="OJH50" s="883"/>
      <c r="OJI50" s="883"/>
      <c r="OJJ50" s="863"/>
      <c r="OJK50" s="863"/>
      <c r="OJL50" s="863"/>
      <c r="OJM50" s="863"/>
      <c r="OJN50" s="863"/>
      <c r="OJO50" s="863"/>
      <c r="OJP50" s="863"/>
      <c r="OJQ50" s="863"/>
      <c r="OJR50" s="863"/>
      <c r="OJS50" s="863"/>
      <c r="OJT50" s="863"/>
      <c r="OJU50" s="863"/>
      <c r="OJV50" s="863"/>
      <c r="OJW50" s="863"/>
      <c r="OJX50" s="863"/>
      <c r="OJY50" s="863"/>
      <c r="OJZ50" s="863"/>
      <c r="OKA50" s="863"/>
      <c r="OKB50" s="863"/>
      <c r="OKC50" s="863"/>
      <c r="OKD50" s="863"/>
      <c r="OKE50" s="863"/>
      <c r="OKF50" s="863"/>
      <c r="OKG50" s="883"/>
      <c r="OKH50" s="883"/>
      <c r="OKI50" s="883"/>
      <c r="OKJ50" s="883"/>
      <c r="OKK50" s="883"/>
      <c r="OKL50" s="883"/>
      <c r="OKM50" s="883"/>
      <c r="OKN50" s="883"/>
      <c r="OKO50" s="883"/>
      <c r="OKP50" s="863"/>
      <c r="OKQ50" s="863"/>
      <c r="OKR50" s="863"/>
      <c r="OKS50" s="863"/>
      <c r="OKT50" s="863"/>
      <c r="OKU50" s="863"/>
      <c r="OKV50" s="863"/>
      <c r="OKW50" s="863"/>
      <c r="OKX50" s="863"/>
      <c r="OKY50" s="863"/>
      <c r="OKZ50" s="863"/>
      <c r="OLA50" s="863"/>
      <c r="OLB50" s="863"/>
      <c r="OLC50" s="863"/>
      <c r="OLD50" s="863"/>
      <c r="OLE50" s="863"/>
      <c r="OLF50" s="863"/>
      <c r="OLG50" s="863"/>
      <c r="OLH50" s="863"/>
      <c r="OLI50" s="863"/>
      <c r="OLJ50" s="863"/>
      <c r="OLK50" s="863"/>
      <c r="OLL50" s="863"/>
      <c r="OLM50" s="883"/>
      <c r="OLN50" s="883"/>
      <c r="OLO50" s="883"/>
      <c r="OLP50" s="883"/>
      <c r="OLQ50" s="883"/>
      <c r="OLR50" s="883"/>
      <c r="OLS50" s="883"/>
      <c r="OLT50" s="883"/>
      <c r="OLU50" s="883"/>
      <c r="OLV50" s="863"/>
      <c r="OLW50" s="863"/>
      <c r="OLX50" s="863"/>
      <c r="OLY50" s="863"/>
      <c r="OLZ50" s="863"/>
      <c r="OMA50" s="863"/>
      <c r="OMB50" s="863"/>
      <c r="OMC50" s="863"/>
      <c r="OMD50" s="863"/>
      <c r="OME50" s="863"/>
      <c r="OMF50" s="863"/>
      <c r="OMG50" s="863"/>
      <c r="OMH50" s="863"/>
      <c r="OMI50" s="863"/>
      <c r="OMJ50" s="863"/>
      <c r="OMK50" s="863"/>
      <c r="OML50" s="863"/>
      <c r="OMM50" s="863"/>
      <c r="OMN50" s="863"/>
      <c r="OMO50" s="863"/>
      <c r="OMP50" s="863"/>
      <c r="OMQ50" s="863"/>
      <c r="OMR50" s="863"/>
      <c r="OMS50" s="883"/>
      <c r="OMT50" s="883"/>
      <c r="OMU50" s="883"/>
      <c r="OMV50" s="883"/>
      <c r="OMW50" s="883"/>
      <c r="OMX50" s="883"/>
      <c r="OMY50" s="883"/>
      <c r="OMZ50" s="883"/>
      <c r="ONA50" s="883"/>
      <c r="ONB50" s="863"/>
      <c r="ONC50" s="863"/>
      <c r="OND50" s="863"/>
      <c r="ONE50" s="863"/>
      <c r="ONF50" s="863"/>
      <c r="ONG50" s="863"/>
      <c r="ONH50" s="863"/>
      <c r="ONI50" s="863"/>
      <c r="ONJ50" s="863"/>
      <c r="ONK50" s="863"/>
      <c r="ONL50" s="863"/>
      <c r="ONM50" s="863"/>
      <c r="ONN50" s="863"/>
      <c r="ONO50" s="863"/>
      <c r="ONP50" s="863"/>
      <c r="ONQ50" s="863"/>
      <c r="ONR50" s="863"/>
      <c r="ONS50" s="863"/>
      <c r="ONT50" s="863"/>
      <c r="ONU50" s="863"/>
      <c r="ONV50" s="863"/>
      <c r="ONW50" s="863"/>
      <c r="ONX50" s="863"/>
      <c r="ONY50" s="883"/>
      <c r="ONZ50" s="883"/>
      <c r="OOA50" s="883"/>
      <c r="OOB50" s="883"/>
      <c r="OOC50" s="883"/>
      <c r="OOD50" s="883"/>
      <c r="OOE50" s="883"/>
      <c r="OOF50" s="883"/>
      <c r="OOG50" s="883"/>
      <c r="OOH50" s="863"/>
      <c r="OOI50" s="863"/>
      <c r="OOJ50" s="863"/>
      <c r="OOK50" s="863"/>
      <c r="OOL50" s="863"/>
      <c r="OOM50" s="863"/>
      <c r="OON50" s="863"/>
      <c r="OOO50" s="863"/>
      <c r="OOP50" s="863"/>
      <c r="OOQ50" s="863"/>
      <c r="OOR50" s="863"/>
      <c r="OOS50" s="863"/>
      <c r="OOT50" s="863"/>
      <c r="OOU50" s="863"/>
      <c r="OOV50" s="863"/>
      <c r="OOW50" s="863"/>
      <c r="OOX50" s="863"/>
      <c r="OOY50" s="863"/>
      <c r="OOZ50" s="863"/>
      <c r="OPA50" s="863"/>
      <c r="OPB50" s="863"/>
      <c r="OPC50" s="863"/>
      <c r="OPD50" s="863"/>
      <c r="OPE50" s="883"/>
      <c r="OPF50" s="883"/>
      <c r="OPG50" s="883"/>
      <c r="OPH50" s="883"/>
      <c r="OPI50" s="883"/>
      <c r="OPJ50" s="883"/>
      <c r="OPK50" s="883"/>
      <c r="OPL50" s="883"/>
      <c r="OPM50" s="883"/>
      <c r="OPN50" s="863"/>
      <c r="OPO50" s="863"/>
      <c r="OPP50" s="863"/>
      <c r="OPQ50" s="863"/>
      <c r="OPR50" s="863"/>
      <c r="OPS50" s="863"/>
      <c r="OPT50" s="863"/>
      <c r="OPU50" s="863"/>
      <c r="OPV50" s="863"/>
      <c r="OPW50" s="863"/>
      <c r="OPX50" s="863"/>
      <c r="OPY50" s="863"/>
      <c r="OPZ50" s="863"/>
      <c r="OQA50" s="863"/>
      <c r="OQB50" s="863"/>
      <c r="OQC50" s="863"/>
      <c r="OQD50" s="863"/>
      <c r="OQE50" s="863"/>
      <c r="OQF50" s="863"/>
      <c r="OQG50" s="863"/>
      <c r="OQH50" s="863"/>
      <c r="OQI50" s="863"/>
      <c r="OQJ50" s="863"/>
      <c r="OQK50" s="883"/>
      <c r="OQL50" s="883"/>
      <c r="OQM50" s="883"/>
      <c r="OQN50" s="883"/>
      <c r="OQO50" s="883"/>
      <c r="OQP50" s="883"/>
      <c r="OQQ50" s="883"/>
      <c r="OQR50" s="883"/>
      <c r="OQS50" s="883"/>
      <c r="OQT50" s="863"/>
      <c r="OQU50" s="863"/>
      <c r="OQV50" s="863"/>
      <c r="OQW50" s="863"/>
      <c r="OQX50" s="863"/>
      <c r="OQY50" s="863"/>
      <c r="OQZ50" s="863"/>
      <c r="ORA50" s="863"/>
      <c r="ORB50" s="863"/>
      <c r="ORC50" s="863"/>
      <c r="ORD50" s="863"/>
      <c r="ORE50" s="863"/>
      <c r="ORF50" s="863"/>
      <c r="ORG50" s="863"/>
      <c r="ORH50" s="863"/>
      <c r="ORI50" s="863"/>
      <c r="ORJ50" s="863"/>
      <c r="ORK50" s="863"/>
      <c r="ORL50" s="863"/>
      <c r="ORM50" s="863"/>
      <c r="ORN50" s="863"/>
      <c r="ORO50" s="863"/>
      <c r="ORP50" s="863"/>
      <c r="ORQ50" s="883"/>
      <c r="ORR50" s="883"/>
      <c r="ORS50" s="883"/>
      <c r="ORT50" s="883"/>
      <c r="ORU50" s="883"/>
      <c r="ORV50" s="883"/>
      <c r="ORW50" s="883"/>
      <c r="ORX50" s="883"/>
      <c r="ORY50" s="883"/>
      <c r="ORZ50" s="863"/>
      <c r="OSA50" s="863"/>
      <c r="OSB50" s="863"/>
      <c r="OSC50" s="863"/>
      <c r="OSD50" s="863"/>
      <c r="OSE50" s="863"/>
      <c r="OSF50" s="863"/>
      <c r="OSG50" s="863"/>
      <c r="OSH50" s="863"/>
      <c r="OSI50" s="863"/>
      <c r="OSJ50" s="863"/>
      <c r="OSK50" s="863"/>
      <c r="OSL50" s="863"/>
      <c r="OSM50" s="863"/>
      <c r="OSN50" s="863"/>
      <c r="OSO50" s="863"/>
      <c r="OSP50" s="863"/>
      <c r="OSQ50" s="863"/>
      <c r="OSR50" s="863"/>
      <c r="OSS50" s="863"/>
      <c r="OST50" s="863"/>
      <c r="OSU50" s="863"/>
      <c r="OSV50" s="863"/>
      <c r="OSW50" s="883"/>
      <c r="OSX50" s="883"/>
      <c r="OSY50" s="883"/>
      <c r="OSZ50" s="883"/>
      <c r="OTA50" s="883"/>
      <c r="OTB50" s="883"/>
      <c r="OTC50" s="883"/>
      <c r="OTD50" s="883"/>
      <c r="OTE50" s="883"/>
      <c r="OTF50" s="863"/>
      <c r="OTG50" s="863"/>
      <c r="OTH50" s="863"/>
      <c r="OTI50" s="863"/>
      <c r="OTJ50" s="863"/>
      <c r="OTK50" s="863"/>
      <c r="OTL50" s="863"/>
      <c r="OTM50" s="863"/>
      <c r="OTN50" s="863"/>
      <c r="OTO50" s="863"/>
      <c r="OTP50" s="863"/>
      <c r="OTQ50" s="863"/>
      <c r="OTR50" s="863"/>
      <c r="OTS50" s="863"/>
      <c r="OTT50" s="863"/>
      <c r="OTU50" s="863"/>
      <c r="OTV50" s="863"/>
      <c r="OTW50" s="863"/>
      <c r="OTX50" s="863"/>
      <c r="OTY50" s="863"/>
      <c r="OTZ50" s="863"/>
      <c r="OUA50" s="863"/>
      <c r="OUB50" s="863"/>
      <c r="OUC50" s="883"/>
      <c r="OUD50" s="883"/>
      <c r="OUE50" s="883"/>
      <c r="OUF50" s="883"/>
      <c r="OUG50" s="883"/>
      <c r="OUH50" s="883"/>
      <c r="OUI50" s="883"/>
      <c r="OUJ50" s="883"/>
      <c r="OUK50" s="883"/>
      <c r="OUL50" s="863"/>
      <c r="OUM50" s="863"/>
      <c r="OUN50" s="863"/>
      <c r="OUO50" s="863"/>
      <c r="OUP50" s="863"/>
      <c r="OUQ50" s="863"/>
      <c r="OUR50" s="863"/>
      <c r="OUS50" s="863"/>
      <c r="OUT50" s="863"/>
      <c r="OUU50" s="863"/>
      <c r="OUV50" s="863"/>
      <c r="OUW50" s="863"/>
      <c r="OUX50" s="863"/>
      <c r="OUY50" s="863"/>
      <c r="OUZ50" s="863"/>
      <c r="OVA50" s="863"/>
      <c r="OVB50" s="863"/>
      <c r="OVC50" s="863"/>
      <c r="OVD50" s="863"/>
      <c r="OVE50" s="863"/>
      <c r="OVF50" s="863"/>
      <c r="OVG50" s="863"/>
      <c r="OVH50" s="863"/>
      <c r="OVI50" s="883"/>
      <c r="OVJ50" s="883"/>
      <c r="OVK50" s="883"/>
      <c r="OVL50" s="883"/>
      <c r="OVM50" s="883"/>
      <c r="OVN50" s="883"/>
      <c r="OVO50" s="883"/>
      <c r="OVP50" s="883"/>
      <c r="OVQ50" s="883"/>
      <c r="OVR50" s="863"/>
      <c r="OVS50" s="863"/>
      <c r="OVT50" s="863"/>
      <c r="OVU50" s="863"/>
      <c r="OVV50" s="863"/>
      <c r="OVW50" s="863"/>
      <c r="OVX50" s="863"/>
      <c r="OVY50" s="863"/>
      <c r="OVZ50" s="863"/>
      <c r="OWA50" s="863"/>
      <c r="OWB50" s="863"/>
      <c r="OWC50" s="863"/>
      <c r="OWD50" s="863"/>
      <c r="OWE50" s="863"/>
      <c r="OWF50" s="863"/>
      <c r="OWG50" s="863"/>
      <c r="OWH50" s="863"/>
      <c r="OWI50" s="863"/>
      <c r="OWJ50" s="863"/>
      <c r="OWK50" s="863"/>
      <c r="OWL50" s="863"/>
      <c r="OWM50" s="863"/>
      <c r="OWN50" s="863"/>
      <c r="OWO50" s="883"/>
      <c r="OWP50" s="883"/>
      <c r="OWQ50" s="883"/>
      <c r="OWR50" s="883"/>
      <c r="OWS50" s="883"/>
      <c r="OWT50" s="883"/>
      <c r="OWU50" s="883"/>
      <c r="OWV50" s="883"/>
      <c r="OWW50" s="883"/>
      <c r="OWX50" s="863"/>
      <c r="OWY50" s="863"/>
      <c r="OWZ50" s="863"/>
      <c r="OXA50" s="863"/>
      <c r="OXB50" s="863"/>
      <c r="OXC50" s="863"/>
      <c r="OXD50" s="863"/>
      <c r="OXE50" s="863"/>
      <c r="OXF50" s="863"/>
      <c r="OXG50" s="863"/>
      <c r="OXH50" s="863"/>
      <c r="OXI50" s="863"/>
      <c r="OXJ50" s="863"/>
      <c r="OXK50" s="863"/>
      <c r="OXL50" s="863"/>
      <c r="OXM50" s="863"/>
      <c r="OXN50" s="863"/>
      <c r="OXO50" s="863"/>
      <c r="OXP50" s="863"/>
      <c r="OXQ50" s="863"/>
      <c r="OXR50" s="863"/>
      <c r="OXS50" s="863"/>
      <c r="OXT50" s="863"/>
      <c r="OXU50" s="883"/>
      <c r="OXV50" s="883"/>
      <c r="OXW50" s="883"/>
      <c r="OXX50" s="883"/>
      <c r="OXY50" s="883"/>
      <c r="OXZ50" s="883"/>
      <c r="OYA50" s="883"/>
      <c r="OYB50" s="883"/>
      <c r="OYC50" s="883"/>
      <c r="OYD50" s="863"/>
      <c r="OYE50" s="863"/>
      <c r="OYF50" s="863"/>
      <c r="OYG50" s="863"/>
      <c r="OYH50" s="863"/>
      <c r="OYI50" s="863"/>
      <c r="OYJ50" s="863"/>
      <c r="OYK50" s="863"/>
      <c r="OYL50" s="863"/>
      <c r="OYM50" s="863"/>
      <c r="OYN50" s="863"/>
      <c r="OYO50" s="863"/>
      <c r="OYP50" s="863"/>
      <c r="OYQ50" s="863"/>
      <c r="OYR50" s="863"/>
      <c r="OYS50" s="863"/>
      <c r="OYT50" s="863"/>
      <c r="OYU50" s="863"/>
      <c r="OYV50" s="863"/>
      <c r="OYW50" s="863"/>
      <c r="OYX50" s="863"/>
      <c r="OYY50" s="863"/>
      <c r="OYZ50" s="863"/>
      <c r="OZA50" s="883"/>
      <c r="OZB50" s="883"/>
      <c r="OZC50" s="883"/>
      <c r="OZD50" s="883"/>
      <c r="OZE50" s="883"/>
      <c r="OZF50" s="883"/>
      <c r="OZG50" s="883"/>
      <c r="OZH50" s="883"/>
      <c r="OZI50" s="883"/>
      <c r="OZJ50" s="863"/>
      <c r="OZK50" s="863"/>
      <c r="OZL50" s="863"/>
      <c r="OZM50" s="863"/>
      <c r="OZN50" s="863"/>
      <c r="OZO50" s="863"/>
      <c r="OZP50" s="863"/>
      <c r="OZQ50" s="863"/>
      <c r="OZR50" s="863"/>
      <c r="OZS50" s="863"/>
      <c r="OZT50" s="863"/>
      <c r="OZU50" s="863"/>
      <c r="OZV50" s="863"/>
      <c r="OZW50" s="863"/>
      <c r="OZX50" s="863"/>
      <c r="OZY50" s="863"/>
      <c r="OZZ50" s="863"/>
      <c r="PAA50" s="863"/>
      <c r="PAB50" s="863"/>
      <c r="PAC50" s="863"/>
      <c r="PAD50" s="863"/>
      <c r="PAE50" s="863"/>
      <c r="PAF50" s="863"/>
      <c r="PAG50" s="883"/>
      <c r="PAH50" s="883"/>
      <c r="PAI50" s="883"/>
      <c r="PAJ50" s="883"/>
      <c r="PAK50" s="883"/>
      <c r="PAL50" s="883"/>
      <c r="PAM50" s="883"/>
      <c r="PAN50" s="883"/>
      <c r="PAO50" s="883"/>
      <c r="PAP50" s="863"/>
      <c r="PAQ50" s="863"/>
      <c r="PAR50" s="863"/>
      <c r="PAS50" s="863"/>
      <c r="PAT50" s="863"/>
      <c r="PAU50" s="863"/>
      <c r="PAV50" s="863"/>
      <c r="PAW50" s="863"/>
      <c r="PAX50" s="863"/>
      <c r="PAY50" s="863"/>
      <c r="PAZ50" s="863"/>
      <c r="PBA50" s="863"/>
      <c r="PBB50" s="863"/>
      <c r="PBC50" s="863"/>
      <c r="PBD50" s="863"/>
      <c r="PBE50" s="863"/>
      <c r="PBF50" s="863"/>
      <c r="PBG50" s="863"/>
      <c r="PBH50" s="863"/>
      <c r="PBI50" s="863"/>
      <c r="PBJ50" s="863"/>
      <c r="PBK50" s="863"/>
      <c r="PBL50" s="863"/>
      <c r="PBM50" s="883"/>
      <c r="PBN50" s="883"/>
      <c r="PBO50" s="883"/>
      <c r="PBP50" s="883"/>
      <c r="PBQ50" s="883"/>
      <c r="PBR50" s="883"/>
      <c r="PBS50" s="883"/>
      <c r="PBT50" s="883"/>
      <c r="PBU50" s="883"/>
      <c r="PBV50" s="863"/>
      <c r="PBW50" s="863"/>
      <c r="PBX50" s="863"/>
      <c r="PBY50" s="863"/>
      <c r="PBZ50" s="863"/>
      <c r="PCA50" s="863"/>
      <c r="PCB50" s="863"/>
      <c r="PCC50" s="863"/>
      <c r="PCD50" s="863"/>
      <c r="PCE50" s="863"/>
      <c r="PCF50" s="863"/>
      <c r="PCG50" s="863"/>
      <c r="PCH50" s="863"/>
      <c r="PCI50" s="863"/>
      <c r="PCJ50" s="863"/>
      <c r="PCK50" s="863"/>
      <c r="PCL50" s="863"/>
      <c r="PCM50" s="863"/>
      <c r="PCN50" s="863"/>
      <c r="PCO50" s="863"/>
      <c r="PCP50" s="863"/>
      <c r="PCQ50" s="863"/>
      <c r="PCR50" s="863"/>
      <c r="PCS50" s="883"/>
      <c r="PCT50" s="883"/>
      <c r="PCU50" s="883"/>
      <c r="PCV50" s="883"/>
      <c r="PCW50" s="883"/>
      <c r="PCX50" s="883"/>
      <c r="PCY50" s="883"/>
      <c r="PCZ50" s="883"/>
      <c r="PDA50" s="883"/>
      <c r="PDB50" s="863"/>
      <c r="PDC50" s="863"/>
      <c r="PDD50" s="863"/>
      <c r="PDE50" s="863"/>
      <c r="PDF50" s="863"/>
      <c r="PDG50" s="863"/>
      <c r="PDH50" s="863"/>
      <c r="PDI50" s="863"/>
      <c r="PDJ50" s="863"/>
      <c r="PDK50" s="863"/>
      <c r="PDL50" s="863"/>
      <c r="PDM50" s="863"/>
      <c r="PDN50" s="863"/>
      <c r="PDO50" s="863"/>
      <c r="PDP50" s="863"/>
      <c r="PDQ50" s="863"/>
      <c r="PDR50" s="863"/>
      <c r="PDS50" s="863"/>
      <c r="PDT50" s="863"/>
      <c r="PDU50" s="863"/>
      <c r="PDV50" s="863"/>
      <c r="PDW50" s="863"/>
      <c r="PDX50" s="863"/>
      <c r="PDY50" s="883"/>
      <c r="PDZ50" s="883"/>
      <c r="PEA50" s="883"/>
      <c r="PEB50" s="883"/>
      <c r="PEC50" s="883"/>
      <c r="PED50" s="883"/>
      <c r="PEE50" s="883"/>
      <c r="PEF50" s="883"/>
      <c r="PEG50" s="883"/>
      <c r="PEH50" s="863"/>
      <c r="PEI50" s="863"/>
      <c r="PEJ50" s="863"/>
      <c r="PEK50" s="863"/>
      <c r="PEL50" s="863"/>
      <c r="PEM50" s="863"/>
      <c r="PEN50" s="863"/>
      <c r="PEO50" s="863"/>
      <c r="PEP50" s="863"/>
      <c r="PEQ50" s="863"/>
      <c r="PER50" s="863"/>
      <c r="PES50" s="863"/>
      <c r="PET50" s="863"/>
      <c r="PEU50" s="863"/>
      <c r="PEV50" s="863"/>
      <c r="PEW50" s="863"/>
      <c r="PEX50" s="863"/>
      <c r="PEY50" s="863"/>
      <c r="PEZ50" s="863"/>
      <c r="PFA50" s="863"/>
      <c r="PFB50" s="863"/>
      <c r="PFC50" s="863"/>
      <c r="PFD50" s="863"/>
      <c r="PFE50" s="883"/>
      <c r="PFF50" s="883"/>
      <c r="PFG50" s="883"/>
      <c r="PFH50" s="883"/>
      <c r="PFI50" s="883"/>
      <c r="PFJ50" s="883"/>
      <c r="PFK50" s="883"/>
      <c r="PFL50" s="883"/>
      <c r="PFM50" s="883"/>
      <c r="PFN50" s="863"/>
      <c r="PFO50" s="863"/>
      <c r="PFP50" s="863"/>
      <c r="PFQ50" s="863"/>
      <c r="PFR50" s="863"/>
      <c r="PFS50" s="863"/>
      <c r="PFT50" s="863"/>
      <c r="PFU50" s="863"/>
      <c r="PFV50" s="863"/>
      <c r="PFW50" s="863"/>
      <c r="PFX50" s="863"/>
      <c r="PFY50" s="863"/>
      <c r="PFZ50" s="863"/>
      <c r="PGA50" s="863"/>
      <c r="PGB50" s="863"/>
      <c r="PGC50" s="863"/>
      <c r="PGD50" s="863"/>
      <c r="PGE50" s="863"/>
      <c r="PGF50" s="863"/>
      <c r="PGG50" s="863"/>
      <c r="PGH50" s="863"/>
      <c r="PGI50" s="863"/>
      <c r="PGJ50" s="863"/>
      <c r="PGK50" s="883"/>
      <c r="PGL50" s="883"/>
      <c r="PGM50" s="883"/>
      <c r="PGN50" s="883"/>
      <c r="PGO50" s="883"/>
      <c r="PGP50" s="883"/>
      <c r="PGQ50" s="883"/>
      <c r="PGR50" s="883"/>
      <c r="PGS50" s="883"/>
      <c r="PGT50" s="863"/>
      <c r="PGU50" s="863"/>
      <c r="PGV50" s="863"/>
      <c r="PGW50" s="863"/>
      <c r="PGX50" s="863"/>
      <c r="PGY50" s="863"/>
      <c r="PGZ50" s="863"/>
      <c r="PHA50" s="863"/>
      <c r="PHB50" s="863"/>
      <c r="PHC50" s="863"/>
      <c r="PHD50" s="863"/>
      <c r="PHE50" s="863"/>
      <c r="PHF50" s="863"/>
      <c r="PHG50" s="863"/>
      <c r="PHH50" s="863"/>
      <c r="PHI50" s="863"/>
      <c r="PHJ50" s="863"/>
      <c r="PHK50" s="863"/>
      <c r="PHL50" s="863"/>
      <c r="PHM50" s="863"/>
      <c r="PHN50" s="863"/>
      <c r="PHO50" s="863"/>
      <c r="PHP50" s="863"/>
      <c r="PHQ50" s="883"/>
      <c r="PHR50" s="883"/>
      <c r="PHS50" s="883"/>
      <c r="PHT50" s="883"/>
      <c r="PHU50" s="883"/>
      <c r="PHV50" s="883"/>
      <c r="PHW50" s="883"/>
      <c r="PHX50" s="883"/>
      <c r="PHY50" s="883"/>
      <c r="PHZ50" s="863"/>
      <c r="PIA50" s="863"/>
      <c r="PIB50" s="863"/>
      <c r="PIC50" s="863"/>
      <c r="PID50" s="863"/>
      <c r="PIE50" s="863"/>
      <c r="PIF50" s="863"/>
      <c r="PIG50" s="863"/>
      <c r="PIH50" s="863"/>
      <c r="PII50" s="863"/>
      <c r="PIJ50" s="863"/>
      <c r="PIK50" s="863"/>
      <c r="PIL50" s="863"/>
      <c r="PIM50" s="863"/>
      <c r="PIN50" s="863"/>
      <c r="PIO50" s="863"/>
      <c r="PIP50" s="863"/>
      <c r="PIQ50" s="863"/>
      <c r="PIR50" s="863"/>
      <c r="PIS50" s="863"/>
      <c r="PIT50" s="863"/>
      <c r="PIU50" s="863"/>
      <c r="PIV50" s="863"/>
      <c r="PIW50" s="883"/>
      <c r="PIX50" s="883"/>
      <c r="PIY50" s="883"/>
      <c r="PIZ50" s="883"/>
      <c r="PJA50" s="883"/>
      <c r="PJB50" s="883"/>
      <c r="PJC50" s="883"/>
      <c r="PJD50" s="883"/>
      <c r="PJE50" s="883"/>
      <c r="PJF50" s="863"/>
      <c r="PJG50" s="863"/>
      <c r="PJH50" s="863"/>
      <c r="PJI50" s="863"/>
      <c r="PJJ50" s="863"/>
      <c r="PJK50" s="863"/>
      <c r="PJL50" s="863"/>
      <c r="PJM50" s="863"/>
      <c r="PJN50" s="863"/>
      <c r="PJO50" s="863"/>
      <c r="PJP50" s="863"/>
      <c r="PJQ50" s="863"/>
      <c r="PJR50" s="863"/>
      <c r="PJS50" s="863"/>
      <c r="PJT50" s="863"/>
      <c r="PJU50" s="863"/>
      <c r="PJV50" s="863"/>
      <c r="PJW50" s="863"/>
      <c r="PJX50" s="863"/>
      <c r="PJY50" s="863"/>
      <c r="PJZ50" s="863"/>
      <c r="PKA50" s="863"/>
      <c r="PKB50" s="863"/>
      <c r="PKC50" s="883"/>
      <c r="PKD50" s="883"/>
      <c r="PKE50" s="883"/>
      <c r="PKF50" s="883"/>
      <c r="PKG50" s="883"/>
      <c r="PKH50" s="883"/>
      <c r="PKI50" s="883"/>
      <c r="PKJ50" s="883"/>
      <c r="PKK50" s="883"/>
      <c r="PKL50" s="863"/>
      <c r="PKM50" s="863"/>
      <c r="PKN50" s="863"/>
      <c r="PKO50" s="863"/>
      <c r="PKP50" s="863"/>
      <c r="PKQ50" s="863"/>
      <c r="PKR50" s="863"/>
      <c r="PKS50" s="863"/>
      <c r="PKT50" s="863"/>
      <c r="PKU50" s="863"/>
      <c r="PKV50" s="863"/>
      <c r="PKW50" s="863"/>
      <c r="PKX50" s="863"/>
      <c r="PKY50" s="863"/>
      <c r="PKZ50" s="863"/>
      <c r="PLA50" s="863"/>
      <c r="PLB50" s="863"/>
      <c r="PLC50" s="863"/>
      <c r="PLD50" s="863"/>
      <c r="PLE50" s="863"/>
      <c r="PLF50" s="863"/>
      <c r="PLG50" s="863"/>
      <c r="PLH50" s="863"/>
      <c r="PLI50" s="883"/>
      <c r="PLJ50" s="883"/>
      <c r="PLK50" s="883"/>
      <c r="PLL50" s="883"/>
      <c r="PLM50" s="883"/>
      <c r="PLN50" s="883"/>
      <c r="PLO50" s="883"/>
      <c r="PLP50" s="883"/>
      <c r="PLQ50" s="883"/>
      <c r="PLR50" s="863"/>
      <c r="PLS50" s="863"/>
      <c r="PLT50" s="863"/>
      <c r="PLU50" s="863"/>
      <c r="PLV50" s="863"/>
      <c r="PLW50" s="863"/>
      <c r="PLX50" s="863"/>
      <c r="PLY50" s="863"/>
      <c r="PLZ50" s="863"/>
      <c r="PMA50" s="863"/>
      <c r="PMB50" s="863"/>
      <c r="PMC50" s="863"/>
      <c r="PMD50" s="863"/>
      <c r="PME50" s="863"/>
      <c r="PMF50" s="863"/>
      <c r="PMG50" s="863"/>
      <c r="PMH50" s="863"/>
      <c r="PMI50" s="863"/>
      <c r="PMJ50" s="863"/>
      <c r="PMK50" s="863"/>
      <c r="PML50" s="863"/>
      <c r="PMM50" s="863"/>
      <c r="PMN50" s="863"/>
      <c r="PMO50" s="883"/>
      <c r="PMP50" s="883"/>
      <c r="PMQ50" s="883"/>
      <c r="PMR50" s="883"/>
      <c r="PMS50" s="883"/>
      <c r="PMT50" s="883"/>
      <c r="PMU50" s="883"/>
      <c r="PMV50" s="883"/>
      <c r="PMW50" s="883"/>
      <c r="PMX50" s="863"/>
      <c r="PMY50" s="863"/>
      <c r="PMZ50" s="863"/>
      <c r="PNA50" s="863"/>
      <c r="PNB50" s="863"/>
      <c r="PNC50" s="863"/>
      <c r="PND50" s="863"/>
      <c r="PNE50" s="863"/>
      <c r="PNF50" s="863"/>
      <c r="PNG50" s="863"/>
      <c r="PNH50" s="863"/>
      <c r="PNI50" s="863"/>
      <c r="PNJ50" s="863"/>
      <c r="PNK50" s="863"/>
      <c r="PNL50" s="863"/>
      <c r="PNM50" s="863"/>
      <c r="PNN50" s="863"/>
      <c r="PNO50" s="863"/>
      <c r="PNP50" s="863"/>
      <c r="PNQ50" s="863"/>
      <c r="PNR50" s="863"/>
      <c r="PNS50" s="863"/>
      <c r="PNT50" s="863"/>
      <c r="PNU50" s="883"/>
      <c r="PNV50" s="883"/>
      <c r="PNW50" s="883"/>
      <c r="PNX50" s="883"/>
      <c r="PNY50" s="883"/>
      <c r="PNZ50" s="883"/>
      <c r="POA50" s="883"/>
      <c r="POB50" s="883"/>
      <c r="POC50" s="883"/>
      <c r="POD50" s="863"/>
      <c r="POE50" s="863"/>
      <c r="POF50" s="863"/>
      <c r="POG50" s="863"/>
      <c r="POH50" s="863"/>
      <c r="POI50" s="863"/>
      <c r="POJ50" s="863"/>
      <c r="POK50" s="863"/>
      <c r="POL50" s="863"/>
      <c r="POM50" s="863"/>
      <c r="PON50" s="863"/>
      <c r="POO50" s="863"/>
      <c r="POP50" s="863"/>
      <c r="POQ50" s="863"/>
      <c r="POR50" s="863"/>
      <c r="POS50" s="863"/>
      <c r="POT50" s="863"/>
      <c r="POU50" s="863"/>
      <c r="POV50" s="863"/>
      <c r="POW50" s="863"/>
      <c r="POX50" s="863"/>
      <c r="POY50" s="863"/>
      <c r="POZ50" s="863"/>
      <c r="PPA50" s="883"/>
      <c r="PPB50" s="883"/>
      <c r="PPC50" s="883"/>
      <c r="PPD50" s="883"/>
      <c r="PPE50" s="883"/>
      <c r="PPF50" s="883"/>
      <c r="PPG50" s="883"/>
      <c r="PPH50" s="883"/>
      <c r="PPI50" s="883"/>
      <c r="PPJ50" s="863"/>
      <c r="PPK50" s="863"/>
      <c r="PPL50" s="863"/>
      <c r="PPM50" s="863"/>
      <c r="PPN50" s="863"/>
      <c r="PPO50" s="863"/>
      <c r="PPP50" s="863"/>
      <c r="PPQ50" s="863"/>
      <c r="PPR50" s="863"/>
      <c r="PPS50" s="863"/>
      <c r="PPT50" s="863"/>
      <c r="PPU50" s="863"/>
      <c r="PPV50" s="863"/>
      <c r="PPW50" s="863"/>
      <c r="PPX50" s="863"/>
      <c r="PPY50" s="863"/>
      <c r="PPZ50" s="863"/>
      <c r="PQA50" s="863"/>
      <c r="PQB50" s="863"/>
      <c r="PQC50" s="863"/>
      <c r="PQD50" s="863"/>
      <c r="PQE50" s="863"/>
      <c r="PQF50" s="863"/>
      <c r="PQG50" s="883"/>
      <c r="PQH50" s="883"/>
      <c r="PQI50" s="883"/>
      <c r="PQJ50" s="883"/>
      <c r="PQK50" s="883"/>
      <c r="PQL50" s="883"/>
      <c r="PQM50" s="883"/>
      <c r="PQN50" s="883"/>
      <c r="PQO50" s="883"/>
      <c r="PQP50" s="863"/>
      <c r="PQQ50" s="863"/>
      <c r="PQR50" s="863"/>
      <c r="PQS50" s="863"/>
      <c r="PQT50" s="863"/>
      <c r="PQU50" s="863"/>
      <c r="PQV50" s="863"/>
      <c r="PQW50" s="863"/>
      <c r="PQX50" s="863"/>
      <c r="PQY50" s="863"/>
      <c r="PQZ50" s="863"/>
      <c r="PRA50" s="863"/>
      <c r="PRB50" s="863"/>
      <c r="PRC50" s="863"/>
      <c r="PRD50" s="863"/>
      <c r="PRE50" s="863"/>
      <c r="PRF50" s="863"/>
      <c r="PRG50" s="863"/>
      <c r="PRH50" s="863"/>
      <c r="PRI50" s="863"/>
      <c r="PRJ50" s="863"/>
      <c r="PRK50" s="863"/>
      <c r="PRL50" s="863"/>
      <c r="PRM50" s="883"/>
      <c r="PRN50" s="883"/>
      <c r="PRO50" s="883"/>
      <c r="PRP50" s="883"/>
      <c r="PRQ50" s="883"/>
      <c r="PRR50" s="883"/>
      <c r="PRS50" s="883"/>
      <c r="PRT50" s="883"/>
      <c r="PRU50" s="883"/>
      <c r="PRV50" s="863"/>
      <c r="PRW50" s="863"/>
      <c r="PRX50" s="863"/>
      <c r="PRY50" s="863"/>
      <c r="PRZ50" s="863"/>
      <c r="PSA50" s="863"/>
      <c r="PSB50" s="863"/>
      <c r="PSC50" s="863"/>
      <c r="PSD50" s="863"/>
      <c r="PSE50" s="863"/>
      <c r="PSF50" s="863"/>
      <c r="PSG50" s="863"/>
      <c r="PSH50" s="863"/>
      <c r="PSI50" s="863"/>
      <c r="PSJ50" s="863"/>
      <c r="PSK50" s="863"/>
      <c r="PSL50" s="863"/>
      <c r="PSM50" s="863"/>
      <c r="PSN50" s="863"/>
      <c r="PSO50" s="863"/>
      <c r="PSP50" s="863"/>
      <c r="PSQ50" s="863"/>
      <c r="PSR50" s="863"/>
      <c r="PSS50" s="883"/>
      <c r="PST50" s="883"/>
      <c r="PSU50" s="883"/>
      <c r="PSV50" s="883"/>
      <c r="PSW50" s="883"/>
      <c r="PSX50" s="883"/>
      <c r="PSY50" s="883"/>
      <c r="PSZ50" s="883"/>
      <c r="PTA50" s="883"/>
      <c r="PTB50" s="863"/>
      <c r="PTC50" s="863"/>
      <c r="PTD50" s="863"/>
      <c r="PTE50" s="863"/>
      <c r="PTF50" s="863"/>
      <c r="PTG50" s="863"/>
      <c r="PTH50" s="863"/>
      <c r="PTI50" s="863"/>
      <c r="PTJ50" s="863"/>
      <c r="PTK50" s="863"/>
      <c r="PTL50" s="863"/>
      <c r="PTM50" s="863"/>
      <c r="PTN50" s="863"/>
      <c r="PTO50" s="863"/>
      <c r="PTP50" s="863"/>
      <c r="PTQ50" s="863"/>
      <c r="PTR50" s="863"/>
      <c r="PTS50" s="863"/>
      <c r="PTT50" s="863"/>
      <c r="PTU50" s="863"/>
      <c r="PTV50" s="863"/>
      <c r="PTW50" s="863"/>
      <c r="PTX50" s="863"/>
      <c r="PTY50" s="883"/>
      <c r="PTZ50" s="883"/>
      <c r="PUA50" s="883"/>
      <c r="PUB50" s="883"/>
      <c r="PUC50" s="883"/>
      <c r="PUD50" s="883"/>
      <c r="PUE50" s="883"/>
      <c r="PUF50" s="883"/>
      <c r="PUG50" s="883"/>
      <c r="PUH50" s="863"/>
      <c r="PUI50" s="863"/>
      <c r="PUJ50" s="863"/>
      <c r="PUK50" s="863"/>
      <c r="PUL50" s="863"/>
      <c r="PUM50" s="863"/>
      <c r="PUN50" s="863"/>
      <c r="PUO50" s="863"/>
      <c r="PUP50" s="863"/>
      <c r="PUQ50" s="863"/>
      <c r="PUR50" s="863"/>
      <c r="PUS50" s="863"/>
      <c r="PUT50" s="863"/>
      <c r="PUU50" s="863"/>
      <c r="PUV50" s="863"/>
      <c r="PUW50" s="863"/>
      <c r="PUX50" s="863"/>
      <c r="PUY50" s="863"/>
      <c r="PUZ50" s="863"/>
      <c r="PVA50" s="863"/>
      <c r="PVB50" s="863"/>
      <c r="PVC50" s="863"/>
      <c r="PVD50" s="863"/>
      <c r="PVE50" s="883"/>
      <c r="PVF50" s="883"/>
      <c r="PVG50" s="883"/>
      <c r="PVH50" s="883"/>
      <c r="PVI50" s="883"/>
      <c r="PVJ50" s="883"/>
      <c r="PVK50" s="883"/>
      <c r="PVL50" s="883"/>
      <c r="PVM50" s="883"/>
      <c r="PVN50" s="863"/>
      <c r="PVO50" s="863"/>
      <c r="PVP50" s="863"/>
      <c r="PVQ50" s="863"/>
      <c r="PVR50" s="863"/>
      <c r="PVS50" s="863"/>
      <c r="PVT50" s="863"/>
      <c r="PVU50" s="863"/>
      <c r="PVV50" s="863"/>
      <c r="PVW50" s="863"/>
      <c r="PVX50" s="863"/>
      <c r="PVY50" s="863"/>
      <c r="PVZ50" s="863"/>
      <c r="PWA50" s="863"/>
      <c r="PWB50" s="863"/>
      <c r="PWC50" s="863"/>
      <c r="PWD50" s="863"/>
      <c r="PWE50" s="863"/>
      <c r="PWF50" s="863"/>
      <c r="PWG50" s="863"/>
      <c r="PWH50" s="863"/>
      <c r="PWI50" s="863"/>
      <c r="PWJ50" s="863"/>
      <c r="PWK50" s="883"/>
      <c r="PWL50" s="883"/>
      <c r="PWM50" s="883"/>
      <c r="PWN50" s="883"/>
      <c r="PWO50" s="883"/>
      <c r="PWP50" s="883"/>
      <c r="PWQ50" s="883"/>
      <c r="PWR50" s="883"/>
      <c r="PWS50" s="883"/>
      <c r="PWT50" s="863"/>
      <c r="PWU50" s="863"/>
      <c r="PWV50" s="863"/>
      <c r="PWW50" s="863"/>
      <c r="PWX50" s="863"/>
      <c r="PWY50" s="863"/>
      <c r="PWZ50" s="863"/>
      <c r="PXA50" s="863"/>
      <c r="PXB50" s="863"/>
      <c r="PXC50" s="863"/>
      <c r="PXD50" s="863"/>
      <c r="PXE50" s="863"/>
      <c r="PXF50" s="863"/>
      <c r="PXG50" s="863"/>
      <c r="PXH50" s="863"/>
      <c r="PXI50" s="863"/>
      <c r="PXJ50" s="863"/>
      <c r="PXK50" s="863"/>
      <c r="PXL50" s="863"/>
      <c r="PXM50" s="863"/>
      <c r="PXN50" s="863"/>
      <c r="PXO50" s="863"/>
      <c r="PXP50" s="863"/>
      <c r="PXQ50" s="883"/>
      <c r="PXR50" s="883"/>
      <c r="PXS50" s="883"/>
      <c r="PXT50" s="883"/>
      <c r="PXU50" s="883"/>
      <c r="PXV50" s="883"/>
      <c r="PXW50" s="883"/>
      <c r="PXX50" s="883"/>
      <c r="PXY50" s="883"/>
      <c r="PXZ50" s="863"/>
      <c r="PYA50" s="863"/>
      <c r="PYB50" s="863"/>
      <c r="PYC50" s="863"/>
      <c r="PYD50" s="863"/>
      <c r="PYE50" s="863"/>
      <c r="PYF50" s="863"/>
      <c r="PYG50" s="863"/>
      <c r="PYH50" s="863"/>
      <c r="PYI50" s="863"/>
      <c r="PYJ50" s="863"/>
      <c r="PYK50" s="863"/>
      <c r="PYL50" s="863"/>
      <c r="PYM50" s="863"/>
      <c r="PYN50" s="863"/>
      <c r="PYO50" s="863"/>
      <c r="PYP50" s="863"/>
      <c r="PYQ50" s="863"/>
      <c r="PYR50" s="863"/>
      <c r="PYS50" s="863"/>
      <c r="PYT50" s="863"/>
      <c r="PYU50" s="863"/>
      <c r="PYV50" s="863"/>
      <c r="PYW50" s="883"/>
      <c r="PYX50" s="883"/>
      <c r="PYY50" s="883"/>
      <c r="PYZ50" s="883"/>
      <c r="PZA50" s="883"/>
      <c r="PZB50" s="883"/>
      <c r="PZC50" s="883"/>
      <c r="PZD50" s="883"/>
      <c r="PZE50" s="883"/>
      <c r="PZF50" s="863"/>
      <c r="PZG50" s="863"/>
      <c r="PZH50" s="863"/>
      <c r="PZI50" s="863"/>
      <c r="PZJ50" s="863"/>
      <c r="PZK50" s="863"/>
      <c r="PZL50" s="863"/>
      <c r="PZM50" s="863"/>
      <c r="PZN50" s="863"/>
      <c r="PZO50" s="863"/>
      <c r="PZP50" s="863"/>
      <c r="PZQ50" s="863"/>
      <c r="PZR50" s="863"/>
      <c r="PZS50" s="863"/>
      <c r="PZT50" s="863"/>
      <c r="PZU50" s="863"/>
      <c r="PZV50" s="863"/>
      <c r="PZW50" s="863"/>
      <c r="PZX50" s="863"/>
      <c r="PZY50" s="863"/>
      <c r="PZZ50" s="863"/>
      <c r="QAA50" s="863"/>
      <c r="QAB50" s="863"/>
      <c r="QAC50" s="883"/>
      <c r="QAD50" s="883"/>
      <c r="QAE50" s="883"/>
      <c r="QAF50" s="883"/>
      <c r="QAG50" s="883"/>
      <c r="QAH50" s="883"/>
      <c r="QAI50" s="883"/>
      <c r="QAJ50" s="883"/>
      <c r="QAK50" s="883"/>
      <c r="QAL50" s="863"/>
      <c r="QAM50" s="863"/>
      <c r="QAN50" s="863"/>
      <c r="QAO50" s="863"/>
      <c r="QAP50" s="863"/>
      <c r="QAQ50" s="863"/>
      <c r="QAR50" s="863"/>
      <c r="QAS50" s="863"/>
      <c r="QAT50" s="863"/>
      <c r="QAU50" s="863"/>
      <c r="QAV50" s="863"/>
      <c r="QAW50" s="863"/>
      <c r="QAX50" s="863"/>
      <c r="QAY50" s="863"/>
      <c r="QAZ50" s="863"/>
      <c r="QBA50" s="863"/>
      <c r="QBB50" s="863"/>
      <c r="QBC50" s="863"/>
      <c r="QBD50" s="863"/>
      <c r="QBE50" s="863"/>
      <c r="QBF50" s="863"/>
      <c r="QBG50" s="863"/>
      <c r="QBH50" s="863"/>
      <c r="QBI50" s="883"/>
      <c r="QBJ50" s="883"/>
      <c r="QBK50" s="883"/>
      <c r="QBL50" s="883"/>
      <c r="QBM50" s="883"/>
      <c r="QBN50" s="883"/>
      <c r="QBO50" s="883"/>
      <c r="QBP50" s="883"/>
      <c r="QBQ50" s="883"/>
      <c r="QBR50" s="863"/>
      <c r="QBS50" s="863"/>
      <c r="QBT50" s="863"/>
      <c r="QBU50" s="863"/>
      <c r="QBV50" s="863"/>
      <c r="QBW50" s="863"/>
      <c r="QBX50" s="863"/>
      <c r="QBY50" s="863"/>
      <c r="QBZ50" s="863"/>
      <c r="QCA50" s="863"/>
      <c r="QCB50" s="863"/>
      <c r="QCC50" s="863"/>
      <c r="QCD50" s="863"/>
      <c r="QCE50" s="863"/>
      <c r="QCF50" s="863"/>
      <c r="QCG50" s="863"/>
      <c r="QCH50" s="863"/>
      <c r="QCI50" s="863"/>
      <c r="QCJ50" s="863"/>
      <c r="QCK50" s="863"/>
      <c r="QCL50" s="863"/>
      <c r="QCM50" s="863"/>
      <c r="QCN50" s="863"/>
      <c r="QCO50" s="883"/>
      <c r="QCP50" s="883"/>
      <c r="QCQ50" s="883"/>
      <c r="QCR50" s="883"/>
      <c r="QCS50" s="883"/>
      <c r="QCT50" s="883"/>
      <c r="QCU50" s="883"/>
      <c r="QCV50" s="883"/>
      <c r="QCW50" s="883"/>
      <c r="QCX50" s="863"/>
      <c r="QCY50" s="863"/>
      <c r="QCZ50" s="863"/>
      <c r="QDA50" s="863"/>
      <c r="QDB50" s="863"/>
      <c r="QDC50" s="863"/>
      <c r="QDD50" s="863"/>
      <c r="QDE50" s="863"/>
      <c r="QDF50" s="863"/>
      <c r="QDG50" s="863"/>
      <c r="QDH50" s="863"/>
      <c r="QDI50" s="863"/>
      <c r="QDJ50" s="863"/>
      <c r="QDK50" s="863"/>
      <c r="QDL50" s="863"/>
      <c r="QDM50" s="863"/>
      <c r="QDN50" s="863"/>
      <c r="QDO50" s="863"/>
      <c r="QDP50" s="863"/>
      <c r="QDQ50" s="863"/>
      <c r="QDR50" s="863"/>
      <c r="QDS50" s="863"/>
      <c r="QDT50" s="863"/>
      <c r="QDU50" s="883"/>
      <c r="QDV50" s="883"/>
      <c r="QDW50" s="883"/>
      <c r="QDX50" s="883"/>
      <c r="QDY50" s="883"/>
      <c r="QDZ50" s="883"/>
      <c r="QEA50" s="883"/>
      <c r="QEB50" s="883"/>
      <c r="QEC50" s="883"/>
      <c r="QED50" s="863"/>
      <c r="QEE50" s="863"/>
      <c r="QEF50" s="863"/>
      <c r="QEG50" s="863"/>
      <c r="QEH50" s="863"/>
      <c r="QEI50" s="863"/>
      <c r="QEJ50" s="863"/>
      <c r="QEK50" s="863"/>
      <c r="QEL50" s="863"/>
      <c r="QEM50" s="863"/>
      <c r="QEN50" s="863"/>
      <c r="QEO50" s="863"/>
      <c r="QEP50" s="863"/>
      <c r="QEQ50" s="863"/>
      <c r="QER50" s="863"/>
      <c r="QES50" s="863"/>
      <c r="QET50" s="863"/>
      <c r="QEU50" s="863"/>
      <c r="QEV50" s="863"/>
      <c r="QEW50" s="863"/>
      <c r="QEX50" s="863"/>
      <c r="QEY50" s="863"/>
      <c r="QEZ50" s="863"/>
      <c r="QFA50" s="883"/>
      <c r="QFB50" s="883"/>
      <c r="QFC50" s="883"/>
      <c r="QFD50" s="883"/>
      <c r="QFE50" s="883"/>
      <c r="QFF50" s="883"/>
      <c r="QFG50" s="883"/>
      <c r="QFH50" s="883"/>
      <c r="QFI50" s="883"/>
      <c r="QFJ50" s="863"/>
      <c r="QFK50" s="863"/>
      <c r="QFL50" s="863"/>
      <c r="QFM50" s="863"/>
      <c r="QFN50" s="863"/>
      <c r="QFO50" s="863"/>
      <c r="QFP50" s="863"/>
      <c r="QFQ50" s="863"/>
      <c r="QFR50" s="863"/>
      <c r="QFS50" s="863"/>
      <c r="QFT50" s="863"/>
      <c r="QFU50" s="863"/>
      <c r="QFV50" s="863"/>
      <c r="QFW50" s="863"/>
      <c r="QFX50" s="863"/>
      <c r="QFY50" s="863"/>
      <c r="QFZ50" s="863"/>
      <c r="QGA50" s="863"/>
      <c r="QGB50" s="863"/>
      <c r="QGC50" s="863"/>
      <c r="QGD50" s="863"/>
      <c r="QGE50" s="863"/>
      <c r="QGF50" s="863"/>
      <c r="QGG50" s="883"/>
      <c r="QGH50" s="883"/>
      <c r="QGI50" s="883"/>
      <c r="QGJ50" s="883"/>
      <c r="QGK50" s="883"/>
      <c r="QGL50" s="883"/>
      <c r="QGM50" s="883"/>
      <c r="QGN50" s="883"/>
      <c r="QGO50" s="883"/>
      <c r="QGP50" s="863"/>
      <c r="QGQ50" s="863"/>
      <c r="QGR50" s="863"/>
      <c r="QGS50" s="863"/>
      <c r="QGT50" s="863"/>
      <c r="QGU50" s="863"/>
      <c r="QGV50" s="863"/>
      <c r="QGW50" s="863"/>
      <c r="QGX50" s="863"/>
      <c r="QGY50" s="863"/>
      <c r="QGZ50" s="863"/>
      <c r="QHA50" s="863"/>
      <c r="QHB50" s="863"/>
      <c r="QHC50" s="863"/>
      <c r="QHD50" s="863"/>
      <c r="QHE50" s="863"/>
      <c r="QHF50" s="863"/>
      <c r="QHG50" s="863"/>
      <c r="QHH50" s="863"/>
      <c r="QHI50" s="863"/>
      <c r="QHJ50" s="863"/>
      <c r="QHK50" s="863"/>
      <c r="QHL50" s="863"/>
      <c r="QHM50" s="883"/>
      <c r="QHN50" s="883"/>
      <c r="QHO50" s="883"/>
      <c r="QHP50" s="883"/>
      <c r="QHQ50" s="883"/>
      <c r="QHR50" s="883"/>
      <c r="QHS50" s="883"/>
      <c r="QHT50" s="883"/>
      <c r="QHU50" s="883"/>
      <c r="QHV50" s="863"/>
      <c r="QHW50" s="863"/>
      <c r="QHX50" s="863"/>
      <c r="QHY50" s="863"/>
      <c r="QHZ50" s="863"/>
      <c r="QIA50" s="863"/>
      <c r="QIB50" s="863"/>
      <c r="QIC50" s="863"/>
      <c r="QID50" s="863"/>
      <c r="QIE50" s="863"/>
      <c r="QIF50" s="863"/>
      <c r="QIG50" s="863"/>
      <c r="QIH50" s="863"/>
      <c r="QII50" s="863"/>
      <c r="QIJ50" s="863"/>
      <c r="QIK50" s="863"/>
      <c r="QIL50" s="863"/>
      <c r="QIM50" s="863"/>
      <c r="QIN50" s="863"/>
      <c r="QIO50" s="863"/>
      <c r="QIP50" s="863"/>
      <c r="QIQ50" s="863"/>
      <c r="QIR50" s="863"/>
      <c r="QIS50" s="883"/>
      <c r="QIT50" s="883"/>
      <c r="QIU50" s="883"/>
      <c r="QIV50" s="883"/>
      <c r="QIW50" s="883"/>
      <c r="QIX50" s="883"/>
      <c r="QIY50" s="883"/>
      <c r="QIZ50" s="883"/>
      <c r="QJA50" s="883"/>
      <c r="QJB50" s="863"/>
      <c r="QJC50" s="863"/>
      <c r="QJD50" s="863"/>
      <c r="QJE50" s="863"/>
      <c r="QJF50" s="863"/>
      <c r="QJG50" s="863"/>
      <c r="QJH50" s="863"/>
      <c r="QJI50" s="863"/>
      <c r="QJJ50" s="863"/>
      <c r="QJK50" s="863"/>
      <c r="QJL50" s="863"/>
      <c r="QJM50" s="863"/>
      <c r="QJN50" s="863"/>
      <c r="QJO50" s="863"/>
      <c r="QJP50" s="863"/>
      <c r="QJQ50" s="863"/>
      <c r="QJR50" s="863"/>
      <c r="QJS50" s="863"/>
      <c r="QJT50" s="863"/>
      <c r="QJU50" s="863"/>
      <c r="QJV50" s="863"/>
      <c r="QJW50" s="863"/>
      <c r="QJX50" s="863"/>
      <c r="QJY50" s="883"/>
      <c r="QJZ50" s="883"/>
      <c r="QKA50" s="883"/>
      <c r="QKB50" s="883"/>
      <c r="QKC50" s="883"/>
      <c r="QKD50" s="883"/>
      <c r="QKE50" s="883"/>
      <c r="QKF50" s="883"/>
      <c r="QKG50" s="883"/>
      <c r="QKH50" s="863"/>
      <c r="QKI50" s="863"/>
      <c r="QKJ50" s="863"/>
      <c r="QKK50" s="863"/>
      <c r="QKL50" s="863"/>
      <c r="QKM50" s="863"/>
      <c r="QKN50" s="863"/>
      <c r="QKO50" s="863"/>
      <c r="QKP50" s="863"/>
      <c r="QKQ50" s="863"/>
      <c r="QKR50" s="863"/>
      <c r="QKS50" s="863"/>
      <c r="QKT50" s="863"/>
      <c r="QKU50" s="863"/>
      <c r="QKV50" s="863"/>
      <c r="QKW50" s="863"/>
      <c r="QKX50" s="863"/>
      <c r="QKY50" s="863"/>
      <c r="QKZ50" s="863"/>
      <c r="QLA50" s="863"/>
      <c r="QLB50" s="863"/>
      <c r="QLC50" s="863"/>
      <c r="QLD50" s="863"/>
      <c r="QLE50" s="883"/>
      <c r="QLF50" s="883"/>
      <c r="QLG50" s="883"/>
      <c r="QLH50" s="883"/>
      <c r="QLI50" s="883"/>
      <c r="QLJ50" s="883"/>
      <c r="QLK50" s="883"/>
      <c r="QLL50" s="883"/>
      <c r="QLM50" s="883"/>
      <c r="QLN50" s="863"/>
      <c r="QLO50" s="863"/>
      <c r="QLP50" s="863"/>
      <c r="QLQ50" s="863"/>
      <c r="QLR50" s="863"/>
      <c r="QLS50" s="863"/>
      <c r="QLT50" s="863"/>
      <c r="QLU50" s="863"/>
      <c r="QLV50" s="863"/>
      <c r="QLW50" s="863"/>
      <c r="QLX50" s="863"/>
      <c r="QLY50" s="863"/>
      <c r="QLZ50" s="863"/>
      <c r="QMA50" s="863"/>
      <c r="QMB50" s="863"/>
      <c r="QMC50" s="863"/>
      <c r="QMD50" s="863"/>
      <c r="QME50" s="863"/>
      <c r="QMF50" s="863"/>
      <c r="QMG50" s="863"/>
      <c r="QMH50" s="863"/>
      <c r="QMI50" s="863"/>
      <c r="QMJ50" s="863"/>
      <c r="QMK50" s="883"/>
      <c r="QML50" s="883"/>
      <c r="QMM50" s="883"/>
      <c r="QMN50" s="883"/>
      <c r="QMO50" s="883"/>
      <c r="QMP50" s="883"/>
      <c r="QMQ50" s="883"/>
      <c r="QMR50" s="883"/>
      <c r="QMS50" s="883"/>
      <c r="QMT50" s="863"/>
      <c r="QMU50" s="863"/>
      <c r="QMV50" s="863"/>
      <c r="QMW50" s="863"/>
      <c r="QMX50" s="863"/>
      <c r="QMY50" s="863"/>
      <c r="QMZ50" s="863"/>
      <c r="QNA50" s="863"/>
      <c r="QNB50" s="863"/>
      <c r="QNC50" s="863"/>
      <c r="QND50" s="863"/>
      <c r="QNE50" s="863"/>
      <c r="QNF50" s="863"/>
      <c r="QNG50" s="863"/>
      <c r="QNH50" s="863"/>
      <c r="QNI50" s="863"/>
      <c r="QNJ50" s="863"/>
      <c r="QNK50" s="863"/>
      <c r="QNL50" s="863"/>
      <c r="QNM50" s="863"/>
      <c r="QNN50" s="863"/>
      <c r="QNO50" s="863"/>
      <c r="QNP50" s="863"/>
      <c r="QNQ50" s="883"/>
      <c r="QNR50" s="883"/>
      <c r="QNS50" s="883"/>
      <c r="QNT50" s="883"/>
      <c r="QNU50" s="883"/>
      <c r="QNV50" s="883"/>
      <c r="QNW50" s="883"/>
      <c r="QNX50" s="883"/>
      <c r="QNY50" s="883"/>
      <c r="QNZ50" s="863"/>
      <c r="QOA50" s="863"/>
      <c r="QOB50" s="863"/>
      <c r="QOC50" s="863"/>
      <c r="QOD50" s="863"/>
      <c r="QOE50" s="863"/>
      <c r="QOF50" s="863"/>
      <c r="QOG50" s="863"/>
      <c r="QOH50" s="863"/>
      <c r="QOI50" s="863"/>
      <c r="QOJ50" s="863"/>
      <c r="QOK50" s="863"/>
      <c r="QOL50" s="863"/>
      <c r="QOM50" s="863"/>
      <c r="QON50" s="863"/>
      <c r="QOO50" s="863"/>
      <c r="QOP50" s="863"/>
      <c r="QOQ50" s="863"/>
      <c r="QOR50" s="863"/>
      <c r="QOS50" s="863"/>
      <c r="QOT50" s="863"/>
      <c r="QOU50" s="863"/>
      <c r="QOV50" s="863"/>
      <c r="QOW50" s="883"/>
      <c r="QOX50" s="883"/>
      <c r="QOY50" s="883"/>
      <c r="QOZ50" s="883"/>
      <c r="QPA50" s="883"/>
      <c r="QPB50" s="883"/>
      <c r="QPC50" s="883"/>
      <c r="QPD50" s="883"/>
      <c r="QPE50" s="883"/>
      <c r="QPF50" s="863"/>
      <c r="QPG50" s="863"/>
      <c r="QPH50" s="863"/>
      <c r="QPI50" s="863"/>
      <c r="QPJ50" s="863"/>
      <c r="QPK50" s="863"/>
      <c r="QPL50" s="863"/>
      <c r="QPM50" s="863"/>
      <c r="QPN50" s="863"/>
      <c r="QPO50" s="863"/>
      <c r="QPP50" s="863"/>
      <c r="QPQ50" s="863"/>
      <c r="QPR50" s="863"/>
      <c r="QPS50" s="863"/>
      <c r="QPT50" s="863"/>
      <c r="QPU50" s="863"/>
      <c r="QPV50" s="863"/>
      <c r="QPW50" s="863"/>
      <c r="QPX50" s="863"/>
      <c r="QPY50" s="863"/>
      <c r="QPZ50" s="863"/>
      <c r="QQA50" s="863"/>
      <c r="QQB50" s="863"/>
      <c r="QQC50" s="883"/>
      <c r="QQD50" s="883"/>
      <c r="QQE50" s="883"/>
      <c r="QQF50" s="883"/>
      <c r="QQG50" s="883"/>
      <c r="QQH50" s="883"/>
      <c r="QQI50" s="883"/>
      <c r="QQJ50" s="883"/>
      <c r="QQK50" s="883"/>
      <c r="QQL50" s="863"/>
      <c r="QQM50" s="863"/>
      <c r="QQN50" s="863"/>
      <c r="QQO50" s="863"/>
      <c r="QQP50" s="863"/>
      <c r="QQQ50" s="863"/>
      <c r="QQR50" s="863"/>
      <c r="QQS50" s="863"/>
      <c r="QQT50" s="863"/>
      <c r="QQU50" s="863"/>
      <c r="QQV50" s="863"/>
      <c r="QQW50" s="863"/>
      <c r="QQX50" s="863"/>
      <c r="QQY50" s="863"/>
      <c r="QQZ50" s="863"/>
      <c r="QRA50" s="863"/>
      <c r="QRB50" s="863"/>
      <c r="QRC50" s="863"/>
      <c r="QRD50" s="863"/>
      <c r="QRE50" s="863"/>
      <c r="QRF50" s="863"/>
      <c r="QRG50" s="863"/>
      <c r="QRH50" s="863"/>
      <c r="QRI50" s="883"/>
      <c r="QRJ50" s="883"/>
      <c r="QRK50" s="883"/>
      <c r="QRL50" s="883"/>
      <c r="QRM50" s="883"/>
      <c r="QRN50" s="883"/>
      <c r="QRO50" s="883"/>
      <c r="QRP50" s="883"/>
      <c r="QRQ50" s="883"/>
      <c r="QRR50" s="863"/>
      <c r="QRS50" s="863"/>
      <c r="QRT50" s="863"/>
      <c r="QRU50" s="863"/>
      <c r="QRV50" s="863"/>
      <c r="QRW50" s="863"/>
      <c r="QRX50" s="863"/>
      <c r="QRY50" s="863"/>
      <c r="QRZ50" s="863"/>
      <c r="QSA50" s="863"/>
      <c r="QSB50" s="863"/>
      <c r="QSC50" s="863"/>
      <c r="QSD50" s="863"/>
      <c r="QSE50" s="863"/>
      <c r="QSF50" s="863"/>
      <c r="QSG50" s="863"/>
      <c r="QSH50" s="863"/>
      <c r="QSI50" s="863"/>
      <c r="QSJ50" s="863"/>
      <c r="QSK50" s="863"/>
      <c r="QSL50" s="863"/>
      <c r="QSM50" s="863"/>
      <c r="QSN50" s="863"/>
      <c r="QSO50" s="883"/>
      <c r="QSP50" s="883"/>
      <c r="QSQ50" s="883"/>
      <c r="QSR50" s="883"/>
      <c r="QSS50" s="883"/>
      <c r="QST50" s="883"/>
      <c r="QSU50" s="883"/>
      <c r="QSV50" s="883"/>
      <c r="QSW50" s="883"/>
      <c r="QSX50" s="863"/>
      <c r="QSY50" s="863"/>
      <c r="QSZ50" s="863"/>
      <c r="QTA50" s="863"/>
      <c r="QTB50" s="863"/>
      <c r="QTC50" s="863"/>
      <c r="QTD50" s="863"/>
      <c r="QTE50" s="863"/>
      <c r="QTF50" s="863"/>
      <c r="QTG50" s="863"/>
      <c r="QTH50" s="863"/>
      <c r="QTI50" s="863"/>
      <c r="QTJ50" s="863"/>
      <c r="QTK50" s="863"/>
      <c r="QTL50" s="863"/>
      <c r="QTM50" s="863"/>
      <c r="QTN50" s="863"/>
      <c r="QTO50" s="863"/>
      <c r="QTP50" s="863"/>
      <c r="QTQ50" s="863"/>
      <c r="QTR50" s="863"/>
      <c r="QTS50" s="863"/>
      <c r="QTT50" s="863"/>
      <c r="QTU50" s="883"/>
      <c r="QTV50" s="883"/>
      <c r="QTW50" s="883"/>
      <c r="QTX50" s="883"/>
      <c r="QTY50" s="883"/>
      <c r="QTZ50" s="883"/>
      <c r="QUA50" s="883"/>
      <c r="QUB50" s="883"/>
      <c r="QUC50" s="883"/>
      <c r="QUD50" s="863"/>
      <c r="QUE50" s="863"/>
      <c r="QUF50" s="863"/>
      <c r="QUG50" s="863"/>
      <c r="QUH50" s="863"/>
      <c r="QUI50" s="863"/>
      <c r="QUJ50" s="863"/>
      <c r="QUK50" s="863"/>
      <c r="QUL50" s="863"/>
      <c r="QUM50" s="863"/>
      <c r="QUN50" s="863"/>
      <c r="QUO50" s="863"/>
      <c r="QUP50" s="863"/>
      <c r="QUQ50" s="863"/>
      <c r="QUR50" s="863"/>
      <c r="QUS50" s="863"/>
      <c r="QUT50" s="863"/>
      <c r="QUU50" s="863"/>
      <c r="QUV50" s="863"/>
      <c r="QUW50" s="863"/>
      <c r="QUX50" s="863"/>
      <c r="QUY50" s="863"/>
      <c r="QUZ50" s="863"/>
      <c r="QVA50" s="883"/>
      <c r="QVB50" s="883"/>
      <c r="QVC50" s="883"/>
      <c r="QVD50" s="883"/>
      <c r="QVE50" s="883"/>
      <c r="QVF50" s="883"/>
      <c r="QVG50" s="883"/>
      <c r="QVH50" s="883"/>
      <c r="QVI50" s="883"/>
      <c r="QVJ50" s="863"/>
      <c r="QVK50" s="863"/>
      <c r="QVL50" s="863"/>
      <c r="QVM50" s="863"/>
      <c r="QVN50" s="863"/>
      <c r="QVO50" s="863"/>
      <c r="QVP50" s="863"/>
      <c r="QVQ50" s="863"/>
      <c r="QVR50" s="863"/>
      <c r="QVS50" s="863"/>
      <c r="QVT50" s="863"/>
      <c r="QVU50" s="863"/>
      <c r="QVV50" s="863"/>
      <c r="QVW50" s="863"/>
      <c r="QVX50" s="863"/>
      <c r="QVY50" s="863"/>
      <c r="QVZ50" s="863"/>
      <c r="QWA50" s="863"/>
      <c r="QWB50" s="863"/>
      <c r="QWC50" s="863"/>
      <c r="QWD50" s="863"/>
      <c r="QWE50" s="863"/>
      <c r="QWF50" s="863"/>
      <c r="QWG50" s="883"/>
      <c r="QWH50" s="883"/>
      <c r="QWI50" s="883"/>
      <c r="QWJ50" s="883"/>
      <c r="QWK50" s="883"/>
      <c r="QWL50" s="883"/>
      <c r="QWM50" s="883"/>
      <c r="QWN50" s="883"/>
      <c r="QWO50" s="883"/>
      <c r="QWP50" s="863"/>
      <c r="QWQ50" s="863"/>
      <c r="QWR50" s="863"/>
      <c r="QWS50" s="863"/>
      <c r="QWT50" s="863"/>
      <c r="QWU50" s="863"/>
      <c r="QWV50" s="863"/>
      <c r="QWW50" s="863"/>
      <c r="QWX50" s="863"/>
      <c r="QWY50" s="863"/>
      <c r="QWZ50" s="863"/>
      <c r="QXA50" s="863"/>
      <c r="QXB50" s="863"/>
      <c r="QXC50" s="863"/>
      <c r="QXD50" s="863"/>
      <c r="QXE50" s="863"/>
      <c r="QXF50" s="863"/>
      <c r="QXG50" s="863"/>
      <c r="QXH50" s="863"/>
      <c r="QXI50" s="863"/>
      <c r="QXJ50" s="863"/>
      <c r="QXK50" s="863"/>
      <c r="QXL50" s="863"/>
      <c r="QXM50" s="883"/>
      <c r="QXN50" s="883"/>
      <c r="QXO50" s="883"/>
      <c r="QXP50" s="883"/>
      <c r="QXQ50" s="883"/>
      <c r="QXR50" s="883"/>
      <c r="QXS50" s="883"/>
      <c r="QXT50" s="883"/>
      <c r="QXU50" s="883"/>
      <c r="QXV50" s="863"/>
      <c r="QXW50" s="863"/>
      <c r="QXX50" s="863"/>
      <c r="QXY50" s="863"/>
      <c r="QXZ50" s="863"/>
      <c r="QYA50" s="863"/>
      <c r="QYB50" s="863"/>
      <c r="QYC50" s="863"/>
      <c r="QYD50" s="863"/>
      <c r="QYE50" s="863"/>
      <c r="QYF50" s="863"/>
      <c r="QYG50" s="863"/>
      <c r="QYH50" s="863"/>
      <c r="QYI50" s="863"/>
      <c r="QYJ50" s="863"/>
      <c r="QYK50" s="863"/>
      <c r="QYL50" s="863"/>
      <c r="QYM50" s="863"/>
      <c r="QYN50" s="863"/>
      <c r="QYO50" s="863"/>
      <c r="QYP50" s="863"/>
      <c r="QYQ50" s="863"/>
      <c r="QYR50" s="863"/>
      <c r="QYS50" s="883"/>
      <c r="QYT50" s="883"/>
      <c r="QYU50" s="883"/>
      <c r="QYV50" s="883"/>
      <c r="QYW50" s="883"/>
      <c r="QYX50" s="883"/>
      <c r="QYY50" s="883"/>
      <c r="QYZ50" s="883"/>
      <c r="QZA50" s="883"/>
      <c r="QZB50" s="863"/>
      <c r="QZC50" s="863"/>
      <c r="QZD50" s="863"/>
      <c r="QZE50" s="863"/>
      <c r="QZF50" s="863"/>
      <c r="QZG50" s="863"/>
      <c r="QZH50" s="863"/>
      <c r="QZI50" s="863"/>
      <c r="QZJ50" s="863"/>
      <c r="QZK50" s="863"/>
      <c r="QZL50" s="863"/>
      <c r="QZM50" s="863"/>
      <c r="QZN50" s="863"/>
      <c r="QZO50" s="863"/>
      <c r="QZP50" s="863"/>
      <c r="QZQ50" s="863"/>
      <c r="QZR50" s="863"/>
      <c r="QZS50" s="863"/>
      <c r="QZT50" s="863"/>
      <c r="QZU50" s="863"/>
      <c r="QZV50" s="863"/>
      <c r="QZW50" s="863"/>
      <c r="QZX50" s="863"/>
      <c r="QZY50" s="883"/>
      <c r="QZZ50" s="883"/>
      <c r="RAA50" s="883"/>
      <c r="RAB50" s="883"/>
      <c r="RAC50" s="883"/>
      <c r="RAD50" s="883"/>
      <c r="RAE50" s="883"/>
      <c r="RAF50" s="883"/>
      <c r="RAG50" s="883"/>
      <c r="RAH50" s="863"/>
      <c r="RAI50" s="863"/>
      <c r="RAJ50" s="863"/>
      <c r="RAK50" s="863"/>
      <c r="RAL50" s="863"/>
      <c r="RAM50" s="863"/>
      <c r="RAN50" s="863"/>
      <c r="RAO50" s="863"/>
      <c r="RAP50" s="863"/>
      <c r="RAQ50" s="863"/>
      <c r="RAR50" s="863"/>
      <c r="RAS50" s="863"/>
      <c r="RAT50" s="863"/>
      <c r="RAU50" s="863"/>
      <c r="RAV50" s="863"/>
      <c r="RAW50" s="863"/>
      <c r="RAX50" s="863"/>
      <c r="RAY50" s="863"/>
      <c r="RAZ50" s="863"/>
      <c r="RBA50" s="863"/>
      <c r="RBB50" s="863"/>
      <c r="RBC50" s="863"/>
      <c r="RBD50" s="863"/>
      <c r="RBE50" s="883"/>
      <c r="RBF50" s="883"/>
      <c r="RBG50" s="883"/>
      <c r="RBH50" s="883"/>
      <c r="RBI50" s="883"/>
      <c r="RBJ50" s="883"/>
      <c r="RBK50" s="883"/>
      <c r="RBL50" s="883"/>
      <c r="RBM50" s="883"/>
      <c r="RBN50" s="863"/>
      <c r="RBO50" s="863"/>
      <c r="RBP50" s="863"/>
      <c r="RBQ50" s="863"/>
      <c r="RBR50" s="863"/>
      <c r="RBS50" s="863"/>
      <c r="RBT50" s="863"/>
      <c r="RBU50" s="863"/>
      <c r="RBV50" s="863"/>
      <c r="RBW50" s="863"/>
      <c r="RBX50" s="863"/>
      <c r="RBY50" s="863"/>
      <c r="RBZ50" s="863"/>
      <c r="RCA50" s="863"/>
      <c r="RCB50" s="863"/>
      <c r="RCC50" s="863"/>
      <c r="RCD50" s="863"/>
      <c r="RCE50" s="863"/>
      <c r="RCF50" s="863"/>
      <c r="RCG50" s="863"/>
      <c r="RCH50" s="863"/>
      <c r="RCI50" s="863"/>
      <c r="RCJ50" s="863"/>
      <c r="RCK50" s="883"/>
      <c r="RCL50" s="883"/>
      <c r="RCM50" s="883"/>
      <c r="RCN50" s="883"/>
      <c r="RCO50" s="883"/>
      <c r="RCP50" s="883"/>
      <c r="RCQ50" s="883"/>
      <c r="RCR50" s="883"/>
      <c r="RCS50" s="883"/>
      <c r="RCT50" s="863"/>
      <c r="RCU50" s="863"/>
      <c r="RCV50" s="863"/>
      <c r="RCW50" s="863"/>
      <c r="RCX50" s="863"/>
      <c r="RCY50" s="863"/>
      <c r="RCZ50" s="863"/>
      <c r="RDA50" s="863"/>
      <c r="RDB50" s="863"/>
      <c r="RDC50" s="863"/>
      <c r="RDD50" s="863"/>
      <c r="RDE50" s="863"/>
      <c r="RDF50" s="863"/>
      <c r="RDG50" s="863"/>
      <c r="RDH50" s="863"/>
      <c r="RDI50" s="863"/>
      <c r="RDJ50" s="863"/>
      <c r="RDK50" s="863"/>
      <c r="RDL50" s="863"/>
      <c r="RDM50" s="863"/>
      <c r="RDN50" s="863"/>
      <c r="RDO50" s="863"/>
      <c r="RDP50" s="863"/>
      <c r="RDQ50" s="883"/>
      <c r="RDR50" s="883"/>
      <c r="RDS50" s="883"/>
      <c r="RDT50" s="883"/>
      <c r="RDU50" s="883"/>
      <c r="RDV50" s="883"/>
      <c r="RDW50" s="883"/>
      <c r="RDX50" s="883"/>
      <c r="RDY50" s="883"/>
      <c r="RDZ50" s="863"/>
      <c r="REA50" s="863"/>
      <c r="REB50" s="863"/>
      <c r="REC50" s="863"/>
      <c r="RED50" s="863"/>
      <c r="REE50" s="863"/>
      <c r="REF50" s="863"/>
      <c r="REG50" s="863"/>
      <c r="REH50" s="863"/>
      <c r="REI50" s="863"/>
      <c r="REJ50" s="863"/>
      <c r="REK50" s="863"/>
      <c r="REL50" s="863"/>
      <c r="REM50" s="863"/>
      <c r="REN50" s="863"/>
      <c r="REO50" s="863"/>
      <c r="REP50" s="863"/>
      <c r="REQ50" s="863"/>
      <c r="RER50" s="863"/>
      <c r="RES50" s="863"/>
      <c r="RET50" s="863"/>
      <c r="REU50" s="863"/>
      <c r="REV50" s="863"/>
      <c r="REW50" s="883"/>
      <c r="REX50" s="883"/>
      <c r="REY50" s="883"/>
      <c r="REZ50" s="883"/>
      <c r="RFA50" s="883"/>
      <c r="RFB50" s="883"/>
      <c r="RFC50" s="883"/>
      <c r="RFD50" s="883"/>
      <c r="RFE50" s="883"/>
      <c r="RFF50" s="863"/>
      <c r="RFG50" s="863"/>
      <c r="RFH50" s="863"/>
      <c r="RFI50" s="863"/>
      <c r="RFJ50" s="863"/>
      <c r="RFK50" s="863"/>
      <c r="RFL50" s="863"/>
      <c r="RFM50" s="863"/>
      <c r="RFN50" s="863"/>
      <c r="RFO50" s="863"/>
      <c r="RFP50" s="863"/>
      <c r="RFQ50" s="863"/>
      <c r="RFR50" s="863"/>
      <c r="RFS50" s="863"/>
      <c r="RFT50" s="863"/>
      <c r="RFU50" s="863"/>
      <c r="RFV50" s="863"/>
      <c r="RFW50" s="863"/>
      <c r="RFX50" s="863"/>
      <c r="RFY50" s="863"/>
      <c r="RFZ50" s="863"/>
      <c r="RGA50" s="863"/>
      <c r="RGB50" s="863"/>
      <c r="RGC50" s="883"/>
      <c r="RGD50" s="883"/>
      <c r="RGE50" s="883"/>
      <c r="RGF50" s="883"/>
      <c r="RGG50" s="883"/>
      <c r="RGH50" s="883"/>
      <c r="RGI50" s="883"/>
      <c r="RGJ50" s="883"/>
      <c r="RGK50" s="883"/>
      <c r="RGL50" s="863"/>
      <c r="RGM50" s="863"/>
      <c r="RGN50" s="863"/>
      <c r="RGO50" s="863"/>
      <c r="RGP50" s="863"/>
      <c r="RGQ50" s="863"/>
      <c r="RGR50" s="863"/>
      <c r="RGS50" s="863"/>
      <c r="RGT50" s="863"/>
      <c r="RGU50" s="863"/>
      <c r="RGV50" s="863"/>
      <c r="RGW50" s="863"/>
      <c r="RGX50" s="863"/>
      <c r="RGY50" s="863"/>
      <c r="RGZ50" s="863"/>
      <c r="RHA50" s="863"/>
      <c r="RHB50" s="863"/>
      <c r="RHC50" s="863"/>
      <c r="RHD50" s="863"/>
      <c r="RHE50" s="863"/>
      <c r="RHF50" s="863"/>
      <c r="RHG50" s="863"/>
      <c r="RHH50" s="863"/>
      <c r="RHI50" s="883"/>
      <c r="RHJ50" s="883"/>
      <c r="RHK50" s="883"/>
      <c r="RHL50" s="883"/>
      <c r="RHM50" s="883"/>
      <c r="RHN50" s="883"/>
      <c r="RHO50" s="883"/>
      <c r="RHP50" s="883"/>
      <c r="RHQ50" s="883"/>
      <c r="RHR50" s="863"/>
      <c r="RHS50" s="863"/>
      <c r="RHT50" s="863"/>
      <c r="RHU50" s="863"/>
      <c r="RHV50" s="863"/>
      <c r="RHW50" s="863"/>
      <c r="RHX50" s="863"/>
      <c r="RHY50" s="863"/>
      <c r="RHZ50" s="863"/>
      <c r="RIA50" s="863"/>
      <c r="RIB50" s="863"/>
      <c r="RIC50" s="863"/>
      <c r="RID50" s="863"/>
      <c r="RIE50" s="863"/>
      <c r="RIF50" s="863"/>
      <c r="RIG50" s="863"/>
      <c r="RIH50" s="863"/>
      <c r="RII50" s="863"/>
      <c r="RIJ50" s="863"/>
      <c r="RIK50" s="863"/>
      <c r="RIL50" s="863"/>
      <c r="RIM50" s="863"/>
      <c r="RIN50" s="863"/>
      <c r="RIO50" s="883"/>
      <c r="RIP50" s="883"/>
      <c r="RIQ50" s="883"/>
      <c r="RIR50" s="883"/>
      <c r="RIS50" s="883"/>
      <c r="RIT50" s="883"/>
      <c r="RIU50" s="883"/>
      <c r="RIV50" s="883"/>
      <c r="RIW50" s="883"/>
      <c r="RIX50" s="863"/>
      <c r="RIY50" s="863"/>
      <c r="RIZ50" s="863"/>
      <c r="RJA50" s="863"/>
      <c r="RJB50" s="863"/>
      <c r="RJC50" s="863"/>
      <c r="RJD50" s="863"/>
      <c r="RJE50" s="863"/>
      <c r="RJF50" s="863"/>
      <c r="RJG50" s="863"/>
      <c r="RJH50" s="863"/>
      <c r="RJI50" s="863"/>
      <c r="RJJ50" s="863"/>
      <c r="RJK50" s="863"/>
      <c r="RJL50" s="863"/>
      <c r="RJM50" s="863"/>
      <c r="RJN50" s="863"/>
      <c r="RJO50" s="863"/>
      <c r="RJP50" s="863"/>
      <c r="RJQ50" s="863"/>
      <c r="RJR50" s="863"/>
      <c r="RJS50" s="863"/>
      <c r="RJT50" s="863"/>
      <c r="RJU50" s="883"/>
      <c r="RJV50" s="883"/>
      <c r="RJW50" s="883"/>
      <c r="RJX50" s="883"/>
      <c r="RJY50" s="883"/>
      <c r="RJZ50" s="883"/>
      <c r="RKA50" s="883"/>
      <c r="RKB50" s="883"/>
      <c r="RKC50" s="883"/>
      <c r="RKD50" s="863"/>
      <c r="RKE50" s="863"/>
      <c r="RKF50" s="863"/>
      <c r="RKG50" s="863"/>
      <c r="RKH50" s="863"/>
      <c r="RKI50" s="863"/>
      <c r="RKJ50" s="863"/>
      <c r="RKK50" s="863"/>
      <c r="RKL50" s="863"/>
      <c r="RKM50" s="863"/>
      <c r="RKN50" s="863"/>
      <c r="RKO50" s="863"/>
      <c r="RKP50" s="863"/>
      <c r="RKQ50" s="863"/>
      <c r="RKR50" s="863"/>
      <c r="RKS50" s="863"/>
      <c r="RKT50" s="863"/>
      <c r="RKU50" s="863"/>
      <c r="RKV50" s="863"/>
      <c r="RKW50" s="863"/>
      <c r="RKX50" s="863"/>
      <c r="RKY50" s="863"/>
      <c r="RKZ50" s="863"/>
      <c r="RLA50" s="883"/>
      <c r="RLB50" s="883"/>
      <c r="RLC50" s="883"/>
      <c r="RLD50" s="883"/>
      <c r="RLE50" s="883"/>
      <c r="RLF50" s="883"/>
      <c r="RLG50" s="883"/>
      <c r="RLH50" s="883"/>
      <c r="RLI50" s="883"/>
      <c r="RLJ50" s="863"/>
      <c r="RLK50" s="863"/>
      <c r="RLL50" s="863"/>
      <c r="RLM50" s="863"/>
      <c r="RLN50" s="863"/>
      <c r="RLO50" s="863"/>
      <c r="RLP50" s="863"/>
      <c r="RLQ50" s="863"/>
      <c r="RLR50" s="863"/>
      <c r="RLS50" s="863"/>
      <c r="RLT50" s="863"/>
      <c r="RLU50" s="863"/>
      <c r="RLV50" s="863"/>
      <c r="RLW50" s="863"/>
      <c r="RLX50" s="863"/>
      <c r="RLY50" s="863"/>
      <c r="RLZ50" s="863"/>
      <c r="RMA50" s="863"/>
      <c r="RMB50" s="863"/>
      <c r="RMC50" s="863"/>
      <c r="RMD50" s="863"/>
      <c r="RME50" s="863"/>
      <c r="RMF50" s="863"/>
      <c r="RMG50" s="883"/>
      <c r="RMH50" s="883"/>
      <c r="RMI50" s="883"/>
      <c r="RMJ50" s="883"/>
      <c r="RMK50" s="883"/>
      <c r="RML50" s="883"/>
      <c r="RMM50" s="883"/>
      <c r="RMN50" s="883"/>
      <c r="RMO50" s="883"/>
      <c r="RMP50" s="863"/>
      <c r="RMQ50" s="863"/>
      <c r="RMR50" s="863"/>
      <c r="RMS50" s="863"/>
      <c r="RMT50" s="863"/>
      <c r="RMU50" s="863"/>
      <c r="RMV50" s="863"/>
      <c r="RMW50" s="863"/>
      <c r="RMX50" s="863"/>
      <c r="RMY50" s="863"/>
      <c r="RMZ50" s="863"/>
      <c r="RNA50" s="863"/>
      <c r="RNB50" s="863"/>
      <c r="RNC50" s="863"/>
      <c r="RND50" s="863"/>
      <c r="RNE50" s="863"/>
      <c r="RNF50" s="863"/>
      <c r="RNG50" s="863"/>
      <c r="RNH50" s="863"/>
      <c r="RNI50" s="863"/>
      <c r="RNJ50" s="863"/>
      <c r="RNK50" s="863"/>
      <c r="RNL50" s="863"/>
      <c r="RNM50" s="883"/>
      <c r="RNN50" s="883"/>
      <c r="RNO50" s="883"/>
      <c r="RNP50" s="883"/>
      <c r="RNQ50" s="883"/>
      <c r="RNR50" s="883"/>
      <c r="RNS50" s="883"/>
      <c r="RNT50" s="883"/>
      <c r="RNU50" s="883"/>
      <c r="RNV50" s="863"/>
      <c r="RNW50" s="863"/>
      <c r="RNX50" s="863"/>
      <c r="RNY50" s="863"/>
      <c r="RNZ50" s="863"/>
      <c r="ROA50" s="863"/>
      <c r="ROB50" s="863"/>
      <c r="ROC50" s="863"/>
      <c r="ROD50" s="863"/>
      <c r="ROE50" s="863"/>
      <c r="ROF50" s="863"/>
      <c r="ROG50" s="863"/>
      <c r="ROH50" s="863"/>
      <c r="ROI50" s="863"/>
      <c r="ROJ50" s="863"/>
      <c r="ROK50" s="863"/>
      <c r="ROL50" s="863"/>
      <c r="ROM50" s="863"/>
      <c r="RON50" s="863"/>
      <c r="ROO50" s="863"/>
      <c r="ROP50" s="863"/>
      <c r="ROQ50" s="863"/>
      <c r="ROR50" s="863"/>
      <c r="ROS50" s="883"/>
      <c r="ROT50" s="883"/>
      <c r="ROU50" s="883"/>
      <c r="ROV50" s="883"/>
      <c r="ROW50" s="883"/>
      <c r="ROX50" s="883"/>
      <c r="ROY50" s="883"/>
      <c r="ROZ50" s="883"/>
      <c r="RPA50" s="883"/>
      <c r="RPB50" s="863"/>
      <c r="RPC50" s="863"/>
      <c r="RPD50" s="863"/>
      <c r="RPE50" s="863"/>
      <c r="RPF50" s="863"/>
      <c r="RPG50" s="863"/>
      <c r="RPH50" s="863"/>
      <c r="RPI50" s="863"/>
      <c r="RPJ50" s="863"/>
      <c r="RPK50" s="863"/>
      <c r="RPL50" s="863"/>
      <c r="RPM50" s="863"/>
      <c r="RPN50" s="863"/>
      <c r="RPO50" s="863"/>
      <c r="RPP50" s="863"/>
      <c r="RPQ50" s="863"/>
      <c r="RPR50" s="863"/>
      <c r="RPS50" s="863"/>
      <c r="RPT50" s="863"/>
      <c r="RPU50" s="863"/>
      <c r="RPV50" s="863"/>
      <c r="RPW50" s="863"/>
      <c r="RPX50" s="863"/>
      <c r="RPY50" s="883"/>
      <c r="RPZ50" s="883"/>
      <c r="RQA50" s="883"/>
      <c r="RQB50" s="883"/>
      <c r="RQC50" s="883"/>
      <c r="RQD50" s="883"/>
      <c r="RQE50" s="883"/>
      <c r="RQF50" s="883"/>
      <c r="RQG50" s="883"/>
      <c r="RQH50" s="863"/>
      <c r="RQI50" s="863"/>
      <c r="RQJ50" s="863"/>
      <c r="RQK50" s="863"/>
      <c r="RQL50" s="863"/>
      <c r="RQM50" s="863"/>
      <c r="RQN50" s="863"/>
      <c r="RQO50" s="863"/>
      <c r="RQP50" s="863"/>
      <c r="RQQ50" s="863"/>
      <c r="RQR50" s="863"/>
      <c r="RQS50" s="863"/>
      <c r="RQT50" s="863"/>
      <c r="RQU50" s="863"/>
      <c r="RQV50" s="863"/>
      <c r="RQW50" s="863"/>
      <c r="RQX50" s="863"/>
      <c r="RQY50" s="863"/>
      <c r="RQZ50" s="863"/>
      <c r="RRA50" s="863"/>
      <c r="RRB50" s="863"/>
      <c r="RRC50" s="863"/>
      <c r="RRD50" s="863"/>
      <c r="RRE50" s="883"/>
      <c r="RRF50" s="883"/>
      <c r="RRG50" s="883"/>
      <c r="RRH50" s="883"/>
      <c r="RRI50" s="883"/>
      <c r="RRJ50" s="883"/>
      <c r="RRK50" s="883"/>
      <c r="RRL50" s="883"/>
      <c r="RRM50" s="883"/>
      <c r="RRN50" s="863"/>
      <c r="RRO50" s="863"/>
      <c r="RRP50" s="863"/>
      <c r="RRQ50" s="863"/>
      <c r="RRR50" s="863"/>
      <c r="RRS50" s="863"/>
      <c r="RRT50" s="863"/>
      <c r="RRU50" s="863"/>
      <c r="RRV50" s="863"/>
      <c r="RRW50" s="863"/>
      <c r="RRX50" s="863"/>
      <c r="RRY50" s="863"/>
      <c r="RRZ50" s="863"/>
      <c r="RSA50" s="863"/>
      <c r="RSB50" s="863"/>
      <c r="RSC50" s="863"/>
      <c r="RSD50" s="863"/>
      <c r="RSE50" s="863"/>
      <c r="RSF50" s="863"/>
      <c r="RSG50" s="863"/>
      <c r="RSH50" s="863"/>
      <c r="RSI50" s="863"/>
      <c r="RSJ50" s="863"/>
      <c r="RSK50" s="883"/>
      <c r="RSL50" s="883"/>
      <c r="RSM50" s="883"/>
      <c r="RSN50" s="883"/>
      <c r="RSO50" s="883"/>
      <c r="RSP50" s="883"/>
      <c r="RSQ50" s="883"/>
      <c r="RSR50" s="883"/>
      <c r="RSS50" s="883"/>
      <c r="RST50" s="863"/>
      <c r="RSU50" s="863"/>
      <c r="RSV50" s="863"/>
      <c r="RSW50" s="863"/>
      <c r="RSX50" s="863"/>
      <c r="RSY50" s="863"/>
      <c r="RSZ50" s="863"/>
      <c r="RTA50" s="863"/>
      <c r="RTB50" s="863"/>
      <c r="RTC50" s="863"/>
      <c r="RTD50" s="863"/>
      <c r="RTE50" s="863"/>
      <c r="RTF50" s="863"/>
      <c r="RTG50" s="863"/>
      <c r="RTH50" s="863"/>
      <c r="RTI50" s="863"/>
      <c r="RTJ50" s="863"/>
      <c r="RTK50" s="863"/>
      <c r="RTL50" s="863"/>
      <c r="RTM50" s="863"/>
      <c r="RTN50" s="863"/>
      <c r="RTO50" s="863"/>
      <c r="RTP50" s="863"/>
      <c r="RTQ50" s="883"/>
      <c r="RTR50" s="883"/>
      <c r="RTS50" s="883"/>
      <c r="RTT50" s="883"/>
      <c r="RTU50" s="883"/>
      <c r="RTV50" s="883"/>
      <c r="RTW50" s="883"/>
      <c r="RTX50" s="883"/>
      <c r="RTY50" s="883"/>
      <c r="RTZ50" s="863"/>
      <c r="RUA50" s="863"/>
      <c r="RUB50" s="863"/>
      <c r="RUC50" s="863"/>
      <c r="RUD50" s="863"/>
      <c r="RUE50" s="863"/>
      <c r="RUF50" s="863"/>
      <c r="RUG50" s="863"/>
      <c r="RUH50" s="863"/>
      <c r="RUI50" s="863"/>
      <c r="RUJ50" s="863"/>
      <c r="RUK50" s="863"/>
      <c r="RUL50" s="863"/>
      <c r="RUM50" s="863"/>
      <c r="RUN50" s="863"/>
      <c r="RUO50" s="863"/>
      <c r="RUP50" s="863"/>
      <c r="RUQ50" s="863"/>
      <c r="RUR50" s="863"/>
      <c r="RUS50" s="863"/>
      <c r="RUT50" s="863"/>
      <c r="RUU50" s="863"/>
      <c r="RUV50" s="863"/>
      <c r="RUW50" s="883"/>
      <c r="RUX50" s="883"/>
      <c r="RUY50" s="883"/>
      <c r="RUZ50" s="883"/>
      <c r="RVA50" s="883"/>
      <c r="RVB50" s="883"/>
      <c r="RVC50" s="883"/>
      <c r="RVD50" s="883"/>
      <c r="RVE50" s="883"/>
      <c r="RVF50" s="863"/>
      <c r="RVG50" s="863"/>
      <c r="RVH50" s="863"/>
      <c r="RVI50" s="863"/>
      <c r="RVJ50" s="863"/>
      <c r="RVK50" s="863"/>
      <c r="RVL50" s="863"/>
      <c r="RVM50" s="863"/>
      <c r="RVN50" s="863"/>
      <c r="RVO50" s="863"/>
      <c r="RVP50" s="863"/>
      <c r="RVQ50" s="863"/>
      <c r="RVR50" s="863"/>
      <c r="RVS50" s="863"/>
      <c r="RVT50" s="863"/>
      <c r="RVU50" s="863"/>
      <c r="RVV50" s="863"/>
      <c r="RVW50" s="863"/>
      <c r="RVX50" s="863"/>
      <c r="RVY50" s="863"/>
      <c r="RVZ50" s="863"/>
      <c r="RWA50" s="863"/>
      <c r="RWB50" s="863"/>
      <c r="RWC50" s="883"/>
      <c r="RWD50" s="883"/>
      <c r="RWE50" s="883"/>
      <c r="RWF50" s="883"/>
      <c r="RWG50" s="883"/>
      <c r="RWH50" s="883"/>
      <c r="RWI50" s="883"/>
      <c r="RWJ50" s="883"/>
      <c r="RWK50" s="883"/>
      <c r="RWL50" s="863"/>
      <c r="RWM50" s="863"/>
      <c r="RWN50" s="863"/>
      <c r="RWO50" s="863"/>
      <c r="RWP50" s="863"/>
      <c r="RWQ50" s="863"/>
      <c r="RWR50" s="863"/>
      <c r="RWS50" s="863"/>
      <c r="RWT50" s="863"/>
      <c r="RWU50" s="863"/>
      <c r="RWV50" s="863"/>
      <c r="RWW50" s="863"/>
      <c r="RWX50" s="863"/>
      <c r="RWY50" s="863"/>
      <c r="RWZ50" s="863"/>
      <c r="RXA50" s="863"/>
      <c r="RXB50" s="863"/>
      <c r="RXC50" s="863"/>
      <c r="RXD50" s="863"/>
      <c r="RXE50" s="863"/>
      <c r="RXF50" s="863"/>
      <c r="RXG50" s="863"/>
      <c r="RXH50" s="863"/>
      <c r="RXI50" s="883"/>
      <c r="RXJ50" s="883"/>
      <c r="RXK50" s="883"/>
      <c r="RXL50" s="883"/>
      <c r="RXM50" s="883"/>
      <c r="RXN50" s="883"/>
      <c r="RXO50" s="883"/>
      <c r="RXP50" s="883"/>
      <c r="RXQ50" s="883"/>
      <c r="RXR50" s="863"/>
      <c r="RXS50" s="863"/>
      <c r="RXT50" s="863"/>
      <c r="RXU50" s="863"/>
      <c r="RXV50" s="863"/>
      <c r="RXW50" s="863"/>
      <c r="RXX50" s="863"/>
      <c r="RXY50" s="863"/>
      <c r="RXZ50" s="863"/>
      <c r="RYA50" s="863"/>
      <c r="RYB50" s="863"/>
      <c r="RYC50" s="863"/>
      <c r="RYD50" s="863"/>
      <c r="RYE50" s="863"/>
      <c r="RYF50" s="863"/>
      <c r="RYG50" s="863"/>
      <c r="RYH50" s="863"/>
      <c r="RYI50" s="863"/>
      <c r="RYJ50" s="863"/>
      <c r="RYK50" s="863"/>
      <c r="RYL50" s="863"/>
      <c r="RYM50" s="863"/>
      <c r="RYN50" s="863"/>
      <c r="RYO50" s="883"/>
      <c r="RYP50" s="883"/>
      <c r="RYQ50" s="883"/>
      <c r="RYR50" s="883"/>
      <c r="RYS50" s="883"/>
      <c r="RYT50" s="883"/>
      <c r="RYU50" s="883"/>
      <c r="RYV50" s="883"/>
      <c r="RYW50" s="883"/>
      <c r="RYX50" s="863"/>
      <c r="RYY50" s="863"/>
      <c r="RYZ50" s="863"/>
      <c r="RZA50" s="863"/>
      <c r="RZB50" s="863"/>
      <c r="RZC50" s="863"/>
      <c r="RZD50" s="863"/>
      <c r="RZE50" s="863"/>
      <c r="RZF50" s="863"/>
      <c r="RZG50" s="863"/>
      <c r="RZH50" s="863"/>
      <c r="RZI50" s="863"/>
      <c r="RZJ50" s="863"/>
      <c r="RZK50" s="863"/>
      <c r="RZL50" s="863"/>
      <c r="RZM50" s="863"/>
      <c r="RZN50" s="863"/>
      <c r="RZO50" s="863"/>
      <c r="RZP50" s="863"/>
      <c r="RZQ50" s="863"/>
      <c r="RZR50" s="863"/>
      <c r="RZS50" s="863"/>
      <c r="RZT50" s="863"/>
      <c r="RZU50" s="883"/>
      <c r="RZV50" s="883"/>
      <c r="RZW50" s="883"/>
      <c r="RZX50" s="883"/>
      <c r="RZY50" s="883"/>
      <c r="RZZ50" s="883"/>
      <c r="SAA50" s="883"/>
      <c r="SAB50" s="883"/>
      <c r="SAC50" s="883"/>
      <c r="SAD50" s="863"/>
      <c r="SAE50" s="863"/>
      <c r="SAF50" s="863"/>
      <c r="SAG50" s="863"/>
      <c r="SAH50" s="863"/>
      <c r="SAI50" s="863"/>
      <c r="SAJ50" s="863"/>
      <c r="SAK50" s="863"/>
      <c r="SAL50" s="863"/>
      <c r="SAM50" s="863"/>
      <c r="SAN50" s="863"/>
      <c r="SAO50" s="863"/>
      <c r="SAP50" s="863"/>
      <c r="SAQ50" s="863"/>
      <c r="SAR50" s="863"/>
      <c r="SAS50" s="863"/>
      <c r="SAT50" s="863"/>
      <c r="SAU50" s="863"/>
      <c r="SAV50" s="863"/>
      <c r="SAW50" s="863"/>
      <c r="SAX50" s="863"/>
      <c r="SAY50" s="863"/>
      <c r="SAZ50" s="863"/>
      <c r="SBA50" s="883"/>
      <c r="SBB50" s="883"/>
      <c r="SBC50" s="883"/>
      <c r="SBD50" s="883"/>
      <c r="SBE50" s="883"/>
      <c r="SBF50" s="883"/>
      <c r="SBG50" s="883"/>
      <c r="SBH50" s="883"/>
      <c r="SBI50" s="883"/>
      <c r="SBJ50" s="863"/>
      <c r="SBK50" s="863"/>
      <c r="SBL50" s="863"/>
      <c r="SBM50" s="863"/>
      <c r="SBN50" s="863"/>
      <c r="SBO50" s="863"/>
      <c r="SBP50" s="863"/>
      <c r="SBQ50" s="863"/>
      <c r="SBR50" s="863"/>
      <c r="SBS50" s="863"/>
      <c r="SBT50" s="863"/>
      <c r="SBU50" s="863"/>
      <c r="SBV50" s="863"/>
      <c r="SBW50" s="863"/>
      <c r="SBX50" s="863"/>
      <c r="SBY50" s="863"/>
      <c r="SBZ50" s="863"/>
      <c r="SCA50" s="863"/>
      <c r="SCB50" s="863"/>
      <c r="SCC50" s="863"/>
      <c r="SCD50" s="863"/>
      <c r="SCE50" s="863"/>
      <c r="SCF50" s="863"/>
      <c r="SCG50" s="883"/>
      <c r="SCH50" s="883"/>
      <c r="SCI50" s="883"/>
      <c r="SCJ50" s="883"/>
      <c r="SCK50" s="883"/>
      <c r="SCL50" s="883"/>
      <c r="SCM50" s="883"/>
      <c r="SCN50" s="883"/>
      <c r="SCO50" s="883"/>
      <c r="SCP50" s="863"/>
      <c r="SCQ50" s="863"/>
      <c r="SCR50" s="863"/>
      <c r="SCS50" s="863"/>
      <c r="SCT50" s="863"/>
      <c r="SCU50" s="863"/>
      <c r="SCV50" s="863"/>
      <c r="SCW50" s="863"/>
      <c r="SCX50" s="863"/>
      <c r="SCY50" s="863"/>
      <c r="SCZ50" s="863"/>
      <c r="SDA50" s="863"/>
      <c r="SDB50" s="863"/>
      <c r="SDC50" s="863"/>
      <c r="SDD50" s="863"/>
      <c r="SDE50" s="863"/>
      <c r="SDF50" s="863"/>
      <c r="SDG50" s="863"/>
      <c r="SDH50" s="863"/>
      <c r="SDI50" s="863"/>
      <c r="SDJ50" s="863"/>
      <c r="SDK50" s="863"/>
      <c r="SDL50" s="863"/>
      <c r="SDM50" s="883"/>
      <c r="SDN50" s="883"/>
      <c r="SDO50" s="883"/>
      <c r="SDP50" s="883"/>
      <c r="SDQ50" s="883"/>
      <c r="SDR50" s="883"/>
      <c r="SDS50" s="883"/>
      <c r="SDT50" s="883"/>
      <c r="SDU50" s="883"/>
      <c r="SDV50" s="863"/>
      <c r="SDW50" s="863"/>
      <c r="SDX50" s="863"/>
      <c r="SDY50" s="863"/>
      <c r="SDZ50" s="863"/>
      <c r="SEA50" s="863"/>
      <c r="SEB50" s="863"/>
      <c r="SEC50" s="863"/>
      <c r="SED50" s="863"/>
      <c r="SEE50" s="863"/>
      <c r="SEF50" s="863"/>
      <c r="SEG50" s="863"/>
      <c r="SEH50" s="863"/>
      <c r="SEI50" s="863"/>
      <c r="SEJ50" s="863"/>
      <c r="SEK50" s="863"/>
      <c r="SEL50" s="863"/>
      <c r="SEM50" s="863"/>
      <c r="SEN50" s="863"/>
      <c r="SEO50" s="863"/>
      <c r="SEP50" s="863"/>
      <c r="SEQ50" s="863"/>
      <c r="SER50" s="863"/>
      <c r="SES50" s="883"/>
      <c r="SET50" s="883"/>
      <c r="SEU50" s="883"/>
      <c r="SEV50" s="883"/>
      <c r="SEW50" s="883"/>
      <c r="SEX50" s="883"/>
      <c r="SEY50" s="883"/>
      <c r="SEZ50" s="883"/>
      <c r="SFA50" s="883"/>
      <c r="SFB50" s="863"/>
      <c r="SFC50" s="863"/>
      <c r="SFD50" s="863"/>
      <c r="SFE50" s="863"/>
      <c r="SFF50" s="863"/>
      <c r="SFG50" s="863"/>
      <c r="SFH50" s="863"/>
      <c r="SFI50" s="863"/>
      <c r="SFJ50" s="863"/>
      <c r="SFK50" s="863"/>
      <c r="SFL50" s="863"/>
      <c r="SFM50" s="863"/>
      <c r="SFN50" s="863"/>
      <c r="SFO50" s="863"/>
      <c r="SFP50" s="863"/>
      <c r="SFQ50" s="863"/>
      <c r="SFR50" s="863"/>
      <c r="SFS50" s="863"/>
      <c r="SFT50" s="863"/>
      <c r="SFU50" s="863"/>
      <c r="SFV50" s="863"/>
      <c r="SFW50" s="863"/>
      <c r="SFX50" s="863"/>
      <c r="SFY50" s="883"/>
      <c r="SFZ50" s="883"/>
      <c r="SGA50" s="883"/>
      <c r="SGB50" s="883"/>
      <c r="SGC50" s="883"/>
      <c r="SGD50" s="883"/>
      <c r="SGE50" s="883"/>
      <c r="SGF50" s="883"/>
      <c r="SGG50" s="883"/>
      <c r="SGH50" s="863"/>
      <c r="SGI50" s="863"/>
      <c r="SGJ50" s="863"/>
      <c r="SGK50" s="863"/>
      <c r="SGL50" s="863"/>
      <c r="SGM50" s="863"/>
      <c r="SGN50" s="863"/>
      <c r="SGO50" s="863"/>
      <c r="SGP50" s="863"/>
      <c r="SGQ50" s="863"/>
      <c r="SGR50" s="863"/>
      <c r="SGS50" s="863"/>
      <c r="SGT50" s="863"/>
      <c r="SGU50" s="863"/>
      <c r="SGV50" s="863"/>
      <c r="SGW50" s="863"/>
      <c r="SGX50" s="863"/>
      <c r="SGY50" s="863"/>
      <c r="SGZ50" s="863"/>
      <c r="SHA50" s="863"/>
      <c r="SHB50" s="863"/>
      <c r="SHC50" s="863"/>
      <c r="SHD50" s="863"/>
      <c r="SHE50" s="883"/>
      <c r="SHF50" s="883"/>
      <c r="SHG50" s="883"/>
      <c r="SHH50" s="883"/>
      <c r="SHI50" s="883"/>
      <c r="SHJ50" s="883"/>
      <c r="SHK50" s="883"/>
      <c r="SHL50" s="883"/>
      <c r="SHM50" s="883"/>
      <c r="SHN50" s="863"/>
      <c r="SHO50" s="863"/>
      <c r="SHP50" s="863"/>
      <c r="SHQ50" s="863"/>
      <c r="SHR50" s="863"/>
      <c r="SHS50" s="863"/>
      <c r="SHT50" s="863"/>
      <c r="SHU50" s="863"/>
      <c r="SHV50" s="863"/>
      <c r="SHW50" s="863"/>
      <c r="SHX50" s="863"/>
      <c r="SHY50" s="863"/>
      <c r="SHZ50" s="863"/>
      <c r="SIA50" s="863"/>
      <c r="SIB50" s="863"/>
      <c r="SIC50" s="863"/>
      <c r="SID50" s="863"/>
      <c r="SIE50" s="863"/>
      <c r="SIF50" s="863"/>
      <c r="SIG50" s="863"/>
      <c r="SIH50" s="863"/>
      <c r="SII50" s="863"/>
      <c r="SIJ50" s="863"/>
      <c r="SIK50" s="883"/>
      <c r="SIL50" s="883"/>
      <c r="SIM50" s="883"/>
      <c r="SIN50" s="883"/>
      <c r="SIO50" s="883"/>
      <c r="SIP50" s="883"/>
      <c r="SIQ50" s="883"/>
      <c r="SIR50" s="883"/>
      <c r="SIS50" s="883"/>
      <c r="SIT50" s="863"/>
      <c r="SIU50" s="863"/>
      <c r="SIV50" s="863"/>
      <c r="SIW50" s="863"/>
      <c r="SIX50" s="863"/>
      <c r="SIY50" s="863"/>
      <c r="SIZ50" s="863"/>
      <c r="SJA50" s="863"/>
      <c r="SJB50" s="863"/>
      <c r="SJC50" s="863"/>
      <c r="SJD50" s="863"/>
      <c r="SJE50" s="863"/>
      <c r="SJF50" s="863"/>
      <c r="SJG50" s="863"/>
      <c r="SJH50" s="863"/>
      <c r="SJI50" s="863"/>
      <c r="SJJ50" s="863"/>
      <c r="SJK50" s="863"/>
      <c r="SJL50" s="863"/>
      <c r="SJM50" s="863"/>
      <c r="SJN50" s="863"/>
      <c r="SJO50" s="863"/>
      <c r="SJP50" s="863"/>
      <c r="SJQ50" s="883"/>
      <c r="SJR50" s="883"/>
      <c r="SJS50" s="883"/>
      <c r="SJT50" s="883"/>
      <c r="SJU50" s="883"/>
      <c r="SJV50" s="883"/>
      <c r="SJW50" s="883"/>
      <c r="SJX50" s="883"/>
      <c r="SJY50" s="883"/>
      <c r="SJZ50" s="863"/>
      <c r="SKA50" s="863"/>
      <c r="SKB50" s="863"/>
      <c r="SKC50" s="863"/>
      <c r="SKD50" s="863"/>
      <c r="SKE50" s="863"/>
      <c r="SKF50" s="863"/>
      <c r="SKG50" s="863"/>
      <c r="SKH50" s="863"/>
      <c r="SKI50" s="863"/>
      <c r="SKJ50" s="863"/>
      <c r="SKK50" s="863"/>
      <c r="SKL50" s="863"/>
      <c r="SKM50" s="863"/>
      <c r="SKN50" s="863"/>
      <c r="SKO50" s="863"/>
      <c r="SKP50" s="863"/>
      <c r="SKQ50" s="863"/>
      <c r="SKR50" s="863"/>
      <c r="SKS50" s="863"/>
      <c r="SKT50" s="863"/>
      <c r="SKU50" s="863"/>
      <c r="SKV50" s="863"/>
      <c r="SKW50" s="883"/>
      <c r="SKX50" s="883"/>
      <c r="SKY50" s="883"/>
      <c r="SKZ50" s="883"/>
      <c r="SLA50" s="883"/>
      <c r="SLB50" s="883"/>
      <c r="SLC50" s="883"/>
      <c r="SLD50" s="883"/>
      <c r="SLE50" s="883"/>
      <c r="SLF50" s="863"/>
      <c r="SLG50" s="863"/>
      <c r="SLH50" s="863"/>
      <c r="SLI50" s="863"/>
      <c r="SLJ50" s="863"/>
      <c r="SLK50" s="863"/>
      <c r="SLL50" s="863"/>
      <c r="SLM50" s="863"/>
      <c r="SLN50" s="863"/>
      <c r="SLO50" s="863"/>
      <c r="SLP50" s="863"/>
      <c r="SLQ50" s="863"/>
      <c r="SLR50" s="863"/>
      <c r="SLS50" s="863"/>
      <c r="SLT50" s="863"/>
      <c r="SLU50" s="863"/>
      <c r="SLV50" s="863"/>
      <c r="SLW50" s="863"/>
      <c r="SLX50" s="863"/>
      <c r="SLY50" s="863"/>
      <c r="SLZ50" s="863"/>
      <c r="SMA50" s="863"/>
      <c r="SMB50" s="863"/>
      <c r="SMC50" s="883"/>
      <c r="SMD50" s="883"/>
      <c r="SME50" s="883"/>
      <c r="SMF50" s="883"/>
      <c r="SMG50" s="883"/>
      <c r="SMH50" s="883"/>
      <c r="SMI50" s="883"/>
      <c r="SMJ50" s="883"/>
      <c r="SMK50" s="883"/>
      <c r="SML50" s="863"/>
      <c r="SMM50" s="863"/>
      <c r="SMN50" s="863"/>
      <c r="SMO50" s="863"/>
      <c r="SMP50" s="863"/>
      <c r="SMQ50" s="863"/>
      <c r="SMR50" s="863"/>
      <c r="SMS50" s="863"/>
      <c r="SMT50" s="863"/>
      <c r="SMU50" s="863"/>
      <c r="SMV50" s="863"/>
      <c r="SMW50" s="863"/>
      <c r="SMX50" s="863"/>
      <c r="SMY50" s="863"/>
      <c r="SMZ50" s="863"/>
      <c r="SNA50" s="863"/>
      <c r="SNB50" s="863"/>
      <c r="SNC50" s="863"/>
      <c r="SND50" s="863"/>
      <c r="SNE50" s="863"/>
      <c r="SNF50" s="863"/>
      <c r="SNG50" s="863"/>
      <c r="SNH50" s="863"/>
      <c r="SNI50" s="883"/>
      <c r="SNJ50" s="883"/>
      <c r="SNK50" s="883"/>
      <c r="SNL50" s="883"/>
      <c r="SNM50" s="883"/>
      <c r="SNN50" s="883"/>
      <c r="SNO50" s="883"/>
      <c r="SNP50" s="883"/>
      <c r="SNQ50" s="883"/>
      <c r="SNR50" s="863"/>
      <c r="SNS50" s="863"/>
      <c r="SNT50" s="863"/>
      <c r="SNU50" s="863"/>
      <c r="SNV50" s="863"/>
      <c r="SNW50" s="863"/>
      <c r="SNX50" s="863"/>
      <c r="SNY50" s="863"/>
      <c r="SNZ50" s="863"/>
      <c r="SOA50" s="863"/>
      <c r="SOB50" s="863"/>
      <c r="SOC50" s="863"/>
      <c r="SOD50" s="863"/>
      <c r="SOE50" s="863"/>
      <c r="SOF50" s="863"/>
      <c r="SOG50" s="863"/>
      <c r="SOH50" s="863"/>
      <c r="SOI50" s="863"/>
      <c r="SOJ50" s="863"/>
      <c r="SOK50" s="863"/>
      <c r="SOL50" s="863"/>
      <c r="SOM50" s="863"/>
      <c r="SON50" s="863"/>
      <c r="SOO50" s="883"/>
      <c r="SOP50" s="883"/>
      <c r="SOQ50" s="883"/>
      <c r="SOR50" s="883"/>
      <c r="SOS50" s="883"/>
      <c r="SOT50" s="883"/>
      <c r="SOU50" s="883"/>
      <c r="SOV50" s="883"/>
      <c r="SOW50" s="883"/>
      <c r="SOX50" s="863"/>
      <c r="SOY50" s="863"/>
      <c r="SOZ50" s="863"/>
      <c r="SPA50" s="863"/>
      <c r="SPB50" s="863"/>
      <c r="SPC50" s="863"/>
      <c r="SPD50" s="863"/>
      <c r="SPE50" s="863"/>
      <c r="SPF50" s="863"/>
      <c r="SPG50" s="863"/>
      <c r="SPH50" s="863"/>
      <c r="SPI50" s="863"/>
      <c r="SPJ50" s="863"/>
      <c r="SPK50" s="863"/>
      <c r="SPL50" s="863"/>
      <c r="SPM50" s="863"/>
      <c r="SPN50" s="863"/>
      <c r="SPO50" s="863"/>
      <c r="SPP50" s="863"/>
      <c r="SPQ50" s="863"/>
      <c r="SPR50" s="863"/>
      <c r="SPS50" s="863"/>
      <c r="SPT50" s="863"/>
      <c r="SPU50" s="883"/>
      <c r="SPV50" s="883"/>
      <c r="SPW50" s="883"/>
      <c r="SPX50" s="883"/>
      <c r="SPY50" s="883"/>
      <c r="SPZ50" s="883"/>
      <c r="SQA50" s="883"/>
      <c r="SQB50" s="883"/>
      <c r="SQC50" s="883"/>
      <c r="SQD50" s="863"/>
      <c r="SQE50" s="863"/>
      <c r="SQF50" s="863"/>
      <c r="SQG50" s="863"/>
      <c r="SQH50" s="863"/>
      <c r="SQI50" s="863"/>
      <c r="SQJ50" s="863"/>
      <c r="SQK50" s="863"/>
      <c r="SQL50" s="863"/>
      <c r="SQM50" s="863"/>
      <c r="SQN50" s="863"/>
      <c r="SQO50" s="863"/>
      <c r="SQP50" s="863"/>
      <c r="SQQ50" s="863"/>
      <c r="SQR50" s="863"/>
      <c r="SQS50" s="863"/>
      <c r="SQT50" s="863"/>
      <c r="SQU50" s="863"/>
      <c r="SQV50" s="863"/>
      <c r="SQW50" s="863"/>
      <c r="SQX50" s="863"/>
      <c r="SQY50" s="863"/>
      <c r="SQZ50" s="863"/>
      <c r="SRA50" s="883"/>
      <c r="SRB50" s="883"/>
      <c r="SRC50" s="883"/>
      <c r="SRD50" s="883"/>
      <c r="SRE50" s="883"/>
      <c r="SRF50" s="883"/>
      <c r="SRG50" s="883"/>
      <c r="SRH50" s="883"/>
      <c r="SRI50" s="883"/>
      <c r="SRJ50" s="863"/>
      <c r="SRK50" s="863"/>
      <c r="SRL50" s="863"/>
      <c r="SRM50" s="863"/>
      <c r="SRN50" s="863"/>
      <c r="SRO50" s="863"/>
      <c r="SRP50" s="863"/>
      <c r="SRQ50" s="863"/>
      <c r="SRR50" s="863"/>
      <c r="SRS50" s="863"/>
      <c r="SRT50" s="863"/>
      <c r="SRU50" s="863"/>
      <c r="SRV50" s="863"/>
      <c r="SRW50" s="863"/>
      <c r="SRX50" s="863"/>
      <c r="SRY50" s="863"/>
      <c r="SRZ50" s="863"/>
      <c r="SSA50" s="863"/>
      <c r="SSB50" s="863"/>
      <c r="SSC50" s="863"/>
      <c r="SSD50" s="863"/>
      <c r="SSE50" s="863"/>
      <c r="SSF50" s="863"/>
      <c r="SSG50" s="883"/>
      <c r="SSH50" s="883"/>
      <c r="SSI50" s="883"/>
      <c r="SSJ50" s="883"/>
      <c r="SSK50" s="883"/>
      <c r="SSL50" s="883"/>
      <c r="SSM50" s="883"/>
      <c r="SSN50" s="883"/>
      <c r="SSO50" s="883"/>
      <c r="SSP50" s="863"/>
      <c r="SSQ50" s="863"/>
      <c r="SSR50" s="863"/>
      <c r="SSS50" s="863"/>
      <c r="SST50" s="863"/>
      <c r="SSU50" s="863"/>
      <c r="SSV50" s="863"/>
      <c r="SSW50" s="863"/>
      <c r="SSX50" s="863"/>
      <c r="SSY50" s="863"/>
      <c r="SSZ50" s="863"/>
      <c r="STA50" s="863"/>
      <c r="STB50" s="863"/>
      <c r="STC50" s="863"/>
      <c r="STD50" s="863"/>
      <c r="STE50" s="863"/>
      <c r="STF50" s="863"/>
      <c r="STG50" s="863"/>
      <c r="STH50" s="863"/>
      <c r="STI50" s="863"/>
      <c r="STJ50" s="863"/>
      <c r="STK50" s="863"/>
      <c r="STL50" s="863"/>
      <c r="STM50" s="883"/>
      <c r="STN50" s="883"/>
      <c r="STO50" s="883"/>
      <c r="STP50" s="883"/>
      <c r="STQ50" s="883"/>
      <c r="STR50" s="883"/>
      <c r="STS50" s="883"/>
      <c r="STT50" s="883"/>
      <c r="STU50" s="883"/>
      <c r="STV50" s="863"/>
      <c r="STW50" s="863"/>
      <c r="STX50" s="863"/>
      <c r="STY50" s="863"/>
      <c r="STZ50" s="863"/>
      <c r="SUA50" s="863"/>
      <c r="SUB50" s="863"/>
      <c r="SUC50" s="863"/>
      <c r="SUD50" s="863"/>
      <c r="SUE50" s="863"/>
      <c r="SUF50" s="863"/>
      <c r="SUG50" s="863"/>
      <c r="SUH50" s="863"/>
      <c r="SUI50" s="863"/>
      <c r="SUJ50" s="863"/>
      <c r="SUK50" s="863"/>
      <c r="SUL50" s="863"/>
      <c r="SUM50" s="863"/>
      <c r="SUN50" s="863"/>
      <c r="SUO50" s="863"/>
      <c r="SUP50" s="863"/>
      <c r="SUQ50" s="863"/>
      <c r="SUR50" s="863"/>
      <c r="SUS50" s="883"/>
      <c r="SUT50" s="883"/>
      <c r="SUU50" s="883"/>
      <c r="SUV50" s="883"/>
      <c r="SUW50" s="883"/>
      <c r="SUX50" s="883"/>
      <c r="SUY50" s="883"/>
      <c r="SUZ50" s="883"/>
      <c r="SVA50" s="883"/>
      <c r="SVB50" s="863"/>
      <c r="SVC50" s="863"/>
      <c r="SVD50" s="863"/>
      <c r="SVE50" s="863"/>
      <c r="SVF50" s="863"/>
      <c r="SVG50" s="863"/>
      <c r="SVH50" s="863"/>
      <c r="SVI50" s="863"/>
      <c r="SVJ50" s="863"/>
      <c r="SVK50" s="863"/>
      <c r="SVL50" s="863"/>
      <c r="SVM50" s="863"/>
      <c r="SVN50" s="863"/>
      <c r="SVO50" s="863"/>
      <c r="SVP50" s="863"/>
      <c r="SVQ50" s="863"/>
      <c r="SVR50" s="863"/>
      <c r="SVS50" s="863"/>
      <c r="SVT50" s="863"/>
      <c r="SVU50" s="863"/>
      <c r="SVV50" s="863"/>
      <c r="SVW50" s="863"/>
      <c r="SVX50" s="863"/>
      <c r="SVY50" s="883"/>
      <c r="SVZ50" s="883"/>
      <c r="SWA50" s="883"/>
      <c r="SWB50" s="883"/>
      <c r="SWC50" s="883"/>
      <c r="SWD50" s="883"/>
      <c r="SWE50" s="883"/>
      <c r="SWF50" s="883"/>
      <c r="SWG50" s="883"/>
      <c r="SWH50" s="863"/>
      <c r="SWI50" s="863"/>
      <c r="SWJ50" s="863"/>
      <c r="SWK50" s="863"/>
      <c r="SWL50" s="863"/>
      <c r="SWM50" s="863"/>
      <c r="SWN50" s="863"/>
      <c r="SWO50" s="863"/>
      <c r="SWP50" s="863"/>
      <c r="SWQ50" s="863"/>
      <c r="SWR50" s="863"/>
      <c r="SWS50" s="863"/>
      <c r="SWT50" s="863"/>
      <c r="SWU50" s="863"/>
      <c r="SWV50" s="863"/>
      <c r="SWW50" s="863"/>
      <c r="SWX50" s="863"/>
      <c r="SWY50" s="863"/>
      <c r="SWZ50" s="863"/>
      <c r="SXA50" s="863"/>
      <c r="SXB50" s="863"/>
      <c r="SXC50" s="863"/>
      <c r="SXD50" s="863"/>
      <c r="SXE50" s="883"/>
      <c r="SXF50" s="883"/>
      <c r="SXG50" s="883"/>
      <c r="SXH50" s="883"/>
      <c r="SXI50" s="883"/>
      <c r="SXJ50" s="883"/>
      <c r="SXK50" s="883"/>
      <c r="SXL50" s="883"/>
      <c r="SXM50" s="883"/>
      <c r="SXN50" s="863"/>
      <c r="SXO50" s="863"/>
      <c r="SXP50" s="863"/>
      <c r="SXQ50" s="863"/>
      <c r="SXR50" s="863"/>
      <c r="SXS50" s="863"/>
      <c r="SXT50" s="863"/>
      <c r="SXU50" s="863"/>
      <c r="SXV50" s="863"/>
      <c r="SXW50" s="863"/>
      <c r="SXX50" s="863"/>
      <c r="SXY50" s="863"/>
      <c r="SXZ50" s="863"/>
      <c r="SYA50" s="863"/>
      <c r="SYB50" s="863"/>
      <c r="SYC50" s="863"/>
      <c r="SYD50" s="863"/>
      <c r="SYE50" s="863"/>
      <c r="SYF50" s="863"/>
      <c r="SYG50" s="863"/>
      <c r="SYH50" s="863"/>
      <c r="SYI50" s="863"/>
      <c r="SYJ50" s="863"/>
      <c r="SYK50" s="883"/>
      <c r="SYL50" s="883"/>
      <c r="SYM50" s="883"/>
      <c r="SYN50" s="883"/>
      <c r="SYO50" s="883"/>
      <c r="SYP50" s="883"/>
      <c r="SYQ50" s="883"/>
      <c r="SYR50" s="883"/>
      <c r="SYS50" s="883"/>
      <c r="SYT50" s="863"/>
      <c r="SYU50" s="863"/>
      <c r="SYV50" s="863"/>
      <c r="SYW50" s="863"/>
      <c r="SYX50" s="863"/>
      <c r="SYY50" s="863"/>
      <c r="SYZ50" s="863"/>
      <c r="SZA50" s="863"/>
      <c r="SZB50" s="863"/>
      <c r="SZC50" s="863"/>
      <c r="SZD50" s="863"/>
      <c r="SZE50" s="863"/>
      <c r="SZF50" s="863"/>
      <c r="SZG50" s="863"/>
      <c r="SZH50" s="863"/>
      <c r="SZI50" s="863"/>
      <c r="SZJ50" s="863"/>
      <c r="SZK50" s="863"/>
      <c r="SZL50" s="863"/>
      <c r="SZM50" s="863"/>
      <c r="SZN50" s="863"/>
      <c r="SZO50" s="863"/>
      <c r="SZP50" s="863"/>
      <c r="SZQ50" s="883"/>
      <c r="SZR50" s="883"/>
      <c r="SZS50" s="883"/>
      <c r="SZT50" s="883"/>
      <c r="SZU50" s="883"/>
      <c r="SZV50" s="883"/>
      <c r="SZW50" s="883"/>
      <c r="SZX50" s="883"/>
      <c r="SZY50" s="883"/>
      <c r="SZZ50" s="863"/>
      <c r="TAA50" s="863"/>
      <c r="TAB50" s="863"/>
      <c r="TAC50" s="863"/>
      <c r="TAD50" s="863"/>
      <c r="TAE50" s="863"/>
      <c r="TAF50" s="863"/>
      <c r="TAG50" s="863"/>
      <c r="TAH50" s="863"/>
      <c r="TAI50" s="863"/>
      <c r="TAJ50" s="863"/>
      <c r="TAK50" s="863"/>
      <c r="TAL50" s="863"/>
      <c r="TAM50" s="863"/>
      <c r="TAN50" s="863"/>
      <c r="TAO50" s="863"/>
      <c r="TAP50" s="863"/>
      <c r="TAQ50" s="863"/>
      <c r="TAR50" s="863"/>
      <c r="TAS50" s="863"/>
      <c r="TAT50" s="863"/>
      <c r="TAU50" s="863"/>
      <c r="TAV50" s="863"/>
      <c r="TAW50" s="883"/>
      <c r="TAX50" s="883"/>
      <c r="TAY50" s="883"/>
      <c r="TAZ50" s="883"/>
      <c r="TBA50" s="883"/>
      <c r="TBB50" s="883"/>
      <c r="TBC50" s="883"/>
      <c r="TBD50" s="883"/>
      <c r="TBE50" s="883"/>
      <c r="TBF50" s="863"/>
      <c r="TBG50" s="863"/>
      <c r="TBH50" s="863"/>
      <c r="TBI50" s="863"/>
      <c r="TBJ50" s="863"/>
      <c r="TBK50" s="863"/>
      <c r="TBL50" s="863"/>
      <c r="TBM50" s="863"/>
      <c r="TBN50" s="863"/>
      <c r="TBO50" s="863"/>
      <c r="TBP50" s="863"/>
      <c r="TBQ50" s="863"/>
      <c r="TBR50" s="863"/>
      <c r="TBS50" s="863"/>
      <c r="TBT50" s="863"/>
      <c r="TBU50" s="863"/>
      <c r="TBV50" s="863"/>
      <c r="TBW50" s="863"/>
      <c r="TBX50" s="863"/>
      <c r="TBY50" s="863"/>
      <c r="TBZ50" s="863"/>
      <c r="TCA50" s="863"/>
      <c r="TCB50" s="863"/>
      <c r="TCC50" s="883"/>
      <c r="TCD50" s="883"/>
      <c r="TCE50" s="883"/>
      <c r="TCF50" s="883"/>
      <c r="TCG50" s="883"/>
      <c r="TCH50" s="883"/>
      <c r="TCI50" s="883"/>
      <c r="TCJ50" s="883"/>
      <c r="TCK50" s="883"/>
      <c r="TCL50" s="863"/>
      <c r="TCM50" s="863"/>
      <c r="TCN50" s="863"/>
      <c r="TCO50" s="863"/>
      <c r="TCP50" s="863"/>
      <c r="TCQ50" s="863"/>
      <c r="TCR50" s="863"/>
      <c r="TCS50" s="863"/>
      <c r="TCT50" s="863"/>
      <c r="TCU50" s="863"/>
      <c r="TCV50" s="863"/>
      <c r="TCW50" s="863"/>
      <c r="TCX50" s="863"/>
      <c r="TCY50" s="863"/>
      <c r="TCZ50" s="863"/>
      <c r="TDA50" s="863"/>
      <c r="TDB50" s="863"/>
      <c r="TDC50" s="863"/>
      <c r="TDD50" s="863"/>
      <c r="TDE50" s="863"/>
      <c r="TDF50" s="863"/>
      <c r="TDG50" s="863"/>
      <c r="TDH50" s="863"/>
      <c r="TDI50" s="883"/>
      <c r="TDJ50" s="883"/>
      <c r="TDK50" s="883"/>
      <c r="TDL50" s="883"/>
      <c r="TDM50" s="883"/>
      <c r="TDN50" s="883"/>
      <c r="TDO50" s="883"/>
      <c r="TDP50" s="883"/>
      <c r="TDQ50" s="883"/>
      <c r="TDR50" s="863"/>
      <c r="TDS50" s="863"/>
      <c r="TDT50" s="863"/>
      <c r="TDU50" s="863"/>
      <c r="TDV50" s="863"/>
      <c r="TDW50" s="863"/>
      <c r="TDX50" s="863"/>
      <c r="TDY50" s="863"/>
      <c r="TDZ50" s="863"/>
      <c r="TEA50" s="863"/>
      <c r="TEB50" s="863"/>
      <c r="TEC50" s="863"/>
      <c r="TED50" s="863"/>
      <c r="TEE50" s="863"/>
      <c r="TEF50" s="863"/>
      <c r="TEG50" s="863"/>
      <c r="TEH50" s="863"/>
      <c r="TEI50" s="863"/>
      <c r="TEJ50" s="863"/>
      <c r="TEK50" s="863"/>
      <c r="TEL50" s="863"/>
      <c r="TEM50" s="863"/>
      <c r="TEN50" s="863"/>
      <c r="TEO50" s="883"/>
      <c r="TEP50" s="883"/>
      <c r="TEQ50" s="883"/>
      <c r="TER50" s="883"/>
      <c r="TES50" s="883"/>
      <c r="TET50" s="883"/>
      <c r="TEU50" s="883"/>
      <c r="TEV50" s="883"/>
      <c r="TEW50" s="883"/>
      <c r="TEX50" s="863"/>
      <c r="TEY50" s="863"/>
      <c r="TEZ50" s="863"/>
      <c r="TFA50" s="863"/>
      <c r="TFB50" s="863"/>
      <c r="TFC50" s="863"/>
      <c r="TFD50" s="863"/>
      <c r="TFE50" s="863"/>
      <c r="TFF50" s="863"/>
      <c r="TFG50" s="863"/>
      <c r="TFH50" s="863"/>
      <c r="TFI50" s="863"/>
      <c r="TFJ50" s="863"/>
      <c r="TFK50" s="863"/>
      <c r="TFL50" s="863"/>
      <c r="TFM50" s="863"/>
      <c r="TFN50" s="863"/>
      <c r="TFO50" s="863"/>
      <c r="TFP50" s="863"/>
      <c r="TFQ50" s="863"/>
      <c r="TFR50" s="863"/>
      <c r="TFS50" s="863"/>
      <c r="TFT50" s="863"/>
      <c r="TFU50" s="883"/>
      <c r="TFV50" s="883"/>
      <c r="TFW50" s="883"/>
      <c r="TFX50" s="883"/>
      <c r="TFY50" s="883"/>
      <c r="TFZ50" s="883"/>
      <c r="TGA50" s="883"/>
      <c r="TGB50" s="883"/>
      <c r="TGC50" s="883"/>
      <c r="TGD50" s="863"/>
      <c r="TGE50" s="863"/>
      <c r="TGF50" s="863"/>
      <c r="TGG50" s="863"/>
      <c r="TGH50" s="863"/>
      <c r="TGI50" s="863"/>
      <c r="TGJ50" s="863"/>
      <c r="TGK50" s="863"/>
      <c r="TGL50" s="863"/>
      <c r="TGM50" s="863"/>
      <c r="TGN50" s="863"/>
      <c r="TGO50" s="863"/>
      <c r="TGP50" s="863"/>
      <c r="TGQ50" s="863"/>
      <c r="TGR50" s="863"/>
      <c r="TGS50" s="863"/>
      <c r="TGT50" s="863"/>
      <c r="TGU50" s="863"/>
      <c r="TGV50" s="863"/>
      <c r="TGW50" s="863"/>
      <c r="TGX50" s="863"/>
      <c r="TGY50" s="863"/>
      <c r="TGZ50" s="863"/>
      <c r="THA50" s="883"/>
      <c r="THB50" s="883"/>
      <c r="THC50" s="883"/>
      <c r="THD50" s="883"/>
      <c r="THE50" s="883"/>
      <c r="THF50" s="883"/>
      <c r="THG50" s="883"/>
      <c r="THH50" s="883"/>
      <c r="THI50" s="883"/>
      <c r="THJ50" s="863"/>
      <c r="THK50" s="863"/>
      <c r="THL50" s="863"/>
      <c r="THM50" s="863"/>
      <c r="THN50" s="863"/>
      <c r="THO50" s="863"/>
      <c r="THP50" s="863"/>
      <c r="THQ50" s="863"/>
      <c r="THR50" s="863"/>
      <c r="THS50" s="863"/>
      <c r="THT50" s="863"/>
      <c r="THU50" s="863"/>
      <c r="THV50" s="863"/>
      <c r="THW50" s="863"/>
      <c r="THX50" s="863"/>
      <c r="THY50" s="863"/>
      <c r="THZ50" s="863"/>
      <c r="TIA50" s="863"/>
      <c r="TIB50" s="863"/>
      <c r="TIC50" s="863"/>
      <c r="TID50" s="863"/>
      <c r="TIE50" s="863"/>
      <c r="TIF50" s="863"/>
      <c r="TIG50" s="883"/>
      <c r="TIH50" s="883"/>
      <c r="TII50" s="883"/>
      <c r="TIJ50" s="883"/>
      <c r="TIK50" s="883"/>
      <c r="TIL50" s="883"/>
      <c r="TIM50" s="883"/>
      <c r="TIN50" s="883"/>
      <c r="TIO50" s="883"/>
      <c r="TIP50" s="863"/>
      <c r="TIQ50" s="863"/>
      <c r="TIR50" s="863"/>
      <c r="TIS50" s="863"/>
      <c r="TIT50" s="863"/>
      <c r="TIU50" s="863"/>
      <c r="TIV50" s="863"/>
      <c r="TIW50" s="863"/>
      <c r="TIX50" s="863"/>
      <c r="TIY50" s="863"/>
      <c r="TIZ50" s="863"/>
      <c r="TJA50" s="863"/>
      <c r="TJB50" s="863"/>
      <c r="TJC50" s="863"/>
      <c r="TJD50" s="863"/>
      <c r="TJE50" s="863"/>
      <c r="TJF50" s="863"/>
      <c r="TJG50" s="863"/>
      <c r="TJH50" s="863"/>
      <c r="TJI50" s="863"/>
      <c r="TJJ50" s="863"/>
      <c r="TJK50" s="863"/>
      <c r="TJL50" s="863"/>
      <c r="TJM50" s="883"/>
      <c r="TJN50" s="883"/>
      <c r="TJO50" s="883"/>
      <c r="TJP50" s="883"/>
      <c r="TJQ50" s="883"/>
      <c r="TJR50" s="883"/>
      <c r="TJS50" s="883"/>
      <c r="TJT50" s="883"/>
      <c r="TJU50" s="883"/>
      <c r="TJV50" s="863"/>
      <c r="TJW50" s="863"/>
      <c r="TJX50" s="863"/>
      <c r="TJY50" s="863"/>
      <c r="TJZ50" s="863"/>
      <c r="TKA50" s="863"/>
      <c r="TKB50" s="863"/>
      <c r="TKC50" s="863"/>
      <c r="TKD50" s="863"/>
      <c r="TKE50" s="863"/>
      <c r="TKF50" s="863"/>
      <c r="TKG50" s="863"/>
      <c r="TKH50" s="863"/>
      <c r="TKI50" s="863"/>
      <c r="TKJ50" s="863"/>
      <c r="TKK50" s="863"/>
      <c r="TKL50" s="863"/>
      <c r="TKM50" s="863"/>
      <c r="TKN50" s="863"/>
      <c r="TKO50" s="863"/>
      <c r="TKP50" s="863"/>
      <c r="TKQ50" s="863"/>
      <c r="TKR50" s="863"/>
      <c r="TKS50" s="883"/>
      <c r="TKT50" s="883"/>
      <c r="TKU50" s="883"/>
      <c r="TKV50" s="883"/>
      <c r="TKW50" s="883"/>
      <c r="TKX50" s="883"/>
      <c r="TKY50" s="883"/>
      <c r="TKZ50" s="883"/>
      <c r="TLA50" s="883"/>
      <c r="TLB50" s="863"/>
      <c r="TLC50" s="863"/>
      <c r="TLD50" s="863"/>
      <c r="TLE50" s="863"/>
      <c r="TLF50" s="863"/>
      <c r="TLG50" s="863"/>
      <c r="TLH50" s="863"/>
      <c r="TLI50" s="863"/>
      <c r="TLJ50" s="863"/>
      <c r="TLK50" s="863"/>
      <c r="TLL50" s="863"/>
      <c r="TLM50" s="863"/>
      <c r="TLN50" s="863"/>
      <c r="TLO50" s="863"/>
      <c r="TLP50" s="863"/>
      <c r="TLQ50" s="863"/>
      <c r="TLR50" s="863"/>
      <c r="TLS50" s="863"/>
      <c r="TLT50" s="863"/>
      <c r="TLU50" s="863"/>
      <c r="TLV50" s="863"/>
      <c r="TLW50" s="863"/>
      <c r="TLX50" s="863"/>
      <c r="TLY50" s="883"/>
      <c r="TLZ50" s="883"/>
      <c r="TMA50" s="883"/>
      <c r="TMB50" s="883"/>
      <c r="TMC50" s="883"/>
      <c r="TMD50" s="883"/>
      <c r="TME50" s="883"/>
      <c r="TMF50" s="883"/>
      <c r="TMG50" s="883"/>
      <c r="TMH50" s="863"/>
      <c r="TMI50" s="863"/>
      <c r="TMJ50" s="863"/>
      <c r="TMK50" s="863"/>
      <c r="TML50" s="863"/>
      <c r="TMM50" s="863"/>
      <c r="TMN50" s="863"/>
      <c r="TMO50" s="863"/>
      <c r="TMP50" s="863"/>
      <c r="TMQ50" s="863"/>
      <c r="TMR50" s="863"/>
      <c r="TMS50" s="863"/>
      <c r="TMT50" s="863"/>
      <c r="TMU50" s="863"/>
      <c r="TMV50" s="863"/>
      <c r="TMW50" s="863"/>
      <c r="TMX50" s="863"/>
      <c r="TMY50" s="863"/>
      <c r="TMZ50" s="863"/>
      <c r="TNA50" s="863"/>
      <c r="TNB50" s="863"/>
      <c r="TNC50" s="863"/>
      <c r="TND50" s="863"/>
      <c r="TNE50" s="883"/>
      <c r="TNF50" s="883"/>
      <c r="TNG50" s="883"/>
      <c r="TNH50" s="883"/>
      <c r="TNI50" s="883"/>
      <c r="TNJ50" s="883"/>
      <c r="TNK50" s="883"/>
      <c r="TNL50" s="883"/>
      <c r="TNM50" s="883"/>
      <c r="TNN50" s="863"/>
      <c r="TNO50" s="863"/>
      <c r="TNP50" s="863"/>
      <c r="TNQ50" s="863"/>
      <c r="TNR50" s="863"/>
      <c r="TNS50" s="863"/>
      <c r="TNT50" s="863"/>
      <c r="TNU50" s="863"/>
      <c r="TNV50" s="863"/>
      <c r="TNW50" s="863"/>
      <c r="TNX50" s="863"/>
      <c r="TNY50" s="863"/>
      <c r="TNZ50" s="863"/>
      <c r="TOA50" s="863"/>
      <c r="TOB50" s="863"/>
      <c r="TOC50" s="863"/>
      <c r="TOD50" s="863"/>
      <c r="TOE50" s="863"/>
      <c r="TOF50" s="863"/>
      <c r="TOG50" s="863"/>
      <c r="TOH50" s="863"/>
      <c r="TOI50" s="863"/>
      <c r="TOJ50" s="863"/>
      <c r="TOK50" s="883"/>
      <c r="TOL50" s="883"/>
      <c r="TOM50" s="883"/>
      <c r="TON50" s="883"/>
      <c r="TOO50" s="883"/>
      <c r="TOP50" s="883"/>
      <c r="TOQ50" s="883"/>
      <c r="TOR50" s="883"/>
      <c r="TOS50" s="883"/>
      <c r="TOT50" s="863"/>
      <c r="TOU50" s="863"/>
      <c r="TOV50" s="863"/>
      <c r="TOW50" s="863"/>
      <c r="TOX50" s="863"/>
      <c r="TOY50" s="863"/>
      <c r="TOZ50" s="863"/>
      <c r="TPA50" s="863"/>
      <c r="TPB50" s="863"/>
      <c r="TPC50" s="863"/>
      <c r="TPD50" s="863"/>
      <c r="TPE50" s="863"/>
      <c r="TPF50" s="863"/>
      <c r="TPG50" s="863"/>
      <c r="TPH50" s="863"/>
      <c r="TPI50" s="863"/>
      <c r="TPJ50" s="863"/>
      <c r="TPK50" s="863"/>
      <c r="TPL50" s="863"/>
      <c r="TPM50" s="863"/>
      <c r="TPN50" s="863"/>
      <c r="TPO50" s="863"/>
      <c r="TPP50" s="863"/>
      <c r="TPQ50" s="883"/>
      <c r="TPR50" s="883"/>
      <c r="TPS50" s="883"/>
      <c r="TPT50" s="883"/>
      <c r="TPU50" s="883"/>
      <c r="TPV50" s="883"/>
      <c r="TPW50" s="883"/>
      <c r="TPX50" s="883"/>
      <c r="TPY50" s="883"/>
      <c r="TPZ50" s="863"/>
      <c r="TQA50" s="863"/>
      <c r="TQB50" s="863"/>
      <c r="TQC50" s="863"/>
      <c r="TQD50" s="863"/>
      <c r="TQE50" s="863"/>
      <c r="TQF50" s="863"/>
      <c r="TQG50" s="863"/>
      <c r="TQH50" s="863"/>
      <c r="TQI50" s="863"/>
      <c r="TQJ50" s="863"/>
      <c r="TQK50" s="863"/>
      <c r="TQL50" s="863"/>
      <c r="TQM50" s="863"/>
      <c r="TQN50" s="863"/>
      <c r="TQO50" s="863"/>
      <c r="TQP50" s="863"/>
      <c r="TQQ50" s="863"/>
      <c r="TQR50" s="863"/>
      <c r="TQS50" s="863"/>
      <c r="TQT50" s="863"/>
      <c r="TQU50" s="863"/>
      <c r="TQV50" s="863"/>
      <c r="TQW50" s="883"/>
      <c r="TQX50" s="883"/>
      <c r="TQY50" s="883"/>
      <c r="TQZ50" s="883"/>
      <c r="TRA50" s="883"/>
      <c r="TRB50" s="883"/>
      <c r="TRC50" s="883"/>
      <c r="TRD50" s="883"/>
      <c r="TRE50" s="883"/>
      <c r="TRF50" s="863"/>
      <c r="TRG50" s="863"/>
      <c r="TRH50" s="863"/>
      <c r="TRI50" s="863"/>
      <c r="TRJ50" s="863"/>
      <c r="TRK50" s="863"/>
      <c r="TRL50" s="863"/>
      <c r="TRM50" s="863"/>
      <c r="TRN50" s="863"/>
      <c r="TRO50" s="863"/>
      <c r="TRP50" s="863"/>
      <c r="TRQ50" s="863"/>
      <c r="TRR50" s="863"/>
      <c r="TRS50" s="863"/>
      <c r="TRT50" s="863"/>
      <c r="TRU50" s="863"/>
      <c r="TRV50" s="863"/>
      <c r="TRW50" s="863"/>
      <c r="TRX50" s="863"/>
      <c r="TRY50" s="863"/>
      <c r="TRZ50" s="863"/>
      <c r="TSA50" s="863"/>
      <c r="TSB50" s="863"/>
      <c r="TSC50" s="883"/>
      <c r="TSD50" s="883"/>
      <c r="TSE50" s="883"/>
      <c r="TSF50" s="883"/>
      <c r="TSG50" s="883"/>
      <c r="TSH50" s="883"/>
      <c r="TSI50" s="883"/>
      <c r="TSJ50" s="883"/>
      <c r="TSK50" s="883"/>
      <c r="TSL50" s="863"/>
      <c r="TSM50" s="863"/>
      <c r="TSN50" s="863"/>
      <c r="TSO50" s="863"/>
      <c r="TSP50" s="863"/>
      <c r="TSQ50" s="863"/>
      <c r="TSR50" s="863"/>
      <c r="TSS50" s="863"/>
      <c r="TST50" s="863"/>
      <c r="TSU50" s="863"/>
      <c r="TSV50" s="863"/>
      <c r="TSW50" s="863"/>
      <c r="TSX50" s="863"/>
      <c r="TSY50" s="863"/>
      <c r="TSZ50" s="863"/>
      <c r="TTA50" s="863"/>
      <c r="TTB50" s="863"/>
      <c r="TTC50" s="863"/>
      <c r="TTD50" s="863"/>
      <c r="TTE50" s="863"/>
      <c r="TTF50" s="863"/>
      <c r="TTG50" s="863"/>
      <c r="TTH50" s="863"/>
      <c r="TTI50" s="883"/>
      <c r="TTJ50" s="883"/>
      <c r="TTK50" s="883"/>
      <c r="TTL50" s="883"/>
      <c r="TTM50" s="883"/>
      <c r="TTN50" s="883"/>
      <c r="TTO50" s="883"/>
      <c r="TTP50" s="883"/>
      <c r="TTQ50" s="883"/>
      <c r="TTR50" s="863"/>
      <c r="TTS50" s="863"/>
      <c r="TTT50" s="863"/>
      <c r="TTU50" s="863"/>
      <c r="TTV50" s="863"/>
      <c r="TTW50" s="863"/>
      <c r="TTX50" s="863"/>
      <c r="TTY50" s="863"/>
      <c r="TTZ50" s="863"/>
      <c r="TUA50" s="863"/>
      <c r="TUB50" s="863"/>
      <c r="TUC50" s="863"/>
      <c r="TUD50" s="863"/>
      <c r="TUE50" s="863"/>
      <c r="TUF50" s="863"/>
      <c r="TUG50" s="863"/>
      <c r="TUH50" s="863"/>
      <c r="TUI50" s="863"/>
      <c r="TUJ50" s="863"/>
      <c r="TUK50" s="863"/>
      <c r="TUL50" s="863"/>
      <c r="TUM50" s="863"/>
      <c r="TUN50" s="863"/>
      <c r="TUO50" s="883"/>
      <c r="TUP50" s="883"/>
      <c r="TUQ50" s="883"/>
      <c r="TUR50" s="883"/>
      <c r="TUS50" s="883"/>
      <c r="TUT50" s="883"/>
      <c r="TUU50" s="883"/>
      <c r="TUV50" s="883"/>
      <c r="TUW50" s="883"/>
      <c r="TUX50" s="863"/>
      <c r="TUY50" s="863"/>
      <c r="TUZ50" s="863"/>
      <c r="TVA50" s="863"/>
      <c r="TVB50" s="863"/>
      <c r="TVC50" s="863"/>
      <c r="TVD50" s="863"/>
      <c r="TVE50" s="863"/>
      <c r="TVF50" s="863"/>
      <c r="TVG50" s="863"/>
      <c r="TVH50" s="863"/>
      <c r="TVI50" s="863"/>
      <c r="TVJ50" s="863"/>
      <c r="TVK50" s="863"/>
      <c r="TVL50" s="863"/>
      <c r="TVM50" s="863"/>
      <c r="TVN50" s="863"/>
      <c r="TVO50" s="863"/>
      <c r="TVP50" s="863"/>
      <c r="TVQ50" s="863"/>
      <c r="TVR50" s="863"/>
      <c r="TVS50" s="863"/>
      <c r="TVT50" s="863"/>
      <c r="TVU50" s="883"/>
      <c r="TVV50" s="883"/>
      <c r="TVW50" s="883"/>
      <c r="TVX50" s="883"/>
      <c r="TVY50" s="883"/>
      <c r="TVZ50" s="883"/>
      <c r="TWA50" s="883"/>
      <c r="TWB50" s="883"/>
      <c r="TWC50" s="883"/>
      <c r="TWD50" s="863"/>
      <c r="TWE50" s="863"/>
      <c r="TWF50" s="863"/>
      <c r="TWG50" s="863"/>
      <c r="TWH50" s="863"/>
      <c r="TWI50" s="863"/>
      <c r="TWJ50" s="863"/>
      <c r="TWK50" s="863"/>
      <c r="TWL50" s="863"/>
      <c r="TWM50" s="863"/>
      <c r="TWN50" s="863"/>
      <c r="TWO50" s="863"/>
      <c r="TWP50" s="863"/>
      <c r="TWQ50" s="863"/>
      <c r="TWR50" s="863"/>
      <c r="TWS50" s="863"/>
      <c r="TWT50" s="863"/>
      <c r="TWU50" s="863"/>
      <c r="TWV50" s="863"/>
      <c r="TWW50" s="863"/>
      <c r="TWX50" s="863"/>
      <c r="TWY50" s="863"/>
      <c r="TWZ50" s="863"/>
      <c r="TXA50" s="883"/>
      <c r="TXB50" s="883"/>
      <c r="TXC50" s="883"/>
      <c r="TXD50" s="883"/>
      <c r="TXE50" s="883"/>
      <c r="TXF50" s="883"/>
      <c r="TXG50" s="883"/>
      <c r="TXH50" s="883"/>
      <c r="TXI50" s="883"/>
      <c r="TXJ50" s="863"/>
      <c r="TXK50" s="863"/>
      <c r="TXL50" s="863"/>
      <c r="TXM50" s="863"/>
      <c r="TXN50" s="863"/>
      <c r="TXO50" s="863"/>
      <c r="TXP50" s="863"/>
      <c r="TXQ50" s="863"/>
      <c r="TXR50" s="863"/>
      <c r="TXS50" s="863"/>
      <c r="TXT50" s="863"/>
      <c r="TXU50" s="863"/>
      <c r="TXV50" s="863"/>
      <c r="TXW50" s="863"/>
      <c r="TXX50" s="863"/>
      <c r="TXY50" s="863"/>
      <c r="TXZ50" s="863"/>
      <c r="TYA50" s="863"/>
      <c r="TYB50" s="863"/>
      <c r="TYC50" s="863"/>
      <c r="TYD50" s="863"/>
      <c r="TYE50" s="863"/>
      <c r="TYF50" s="863"/>
      <c r="TYG50" s="883"/>
      <c r="TYH50" s="883"/>
      <c r="TYI50" s="883"/>
      <c r="TYJ50" s="883"/>
      <c r="TYK50" s="883"/>
      <c r="TYL50" s="883"/>
      <c r="TYM50" s="883"/>
      <c r="TYN50" s="883"/>
      <c r="TYO50" s="883"/>
      <c r="TYP50" s="863"/>
      <c r="TYQ50" s="863"/>
      <c r="TYR50" s="863"/>
      <c r="TYS50" s="863"/>
      <c r="TYT50" s="863"/>
      <c r="TYU50" s="863"/>
      <c r="TYV50" s="863"/>
      <c r="TYW50" s="863"/>
      <c r="TYX50" s="863"/>
      <c r="TYY50" s="863"/>
      <c r="TYZ50" s="863"/>
      <c r="TZA50" s="863"/>
      <c r="TZB50" s="863"/>
      <c r="TZC50" s="863"/>
      <c r="TZD50" s="863"/>
      <c r="TZE50" s="863"/>
      <c r="TZF50" s="863"/>
      <c r="TZG50" s="863"/>
      <c r="TZH50" s="863"/>
      <c r="TZI50" s="863"/>
      <c r="TZJ50" s="863"/>
      <c r="TZK50" s="863"/>
      <c r="TZL50" s="863"/>
      <c r="TZM50" s="883"/>
      <c r="TZN50" s="883"/>
      <c r="TZO50" s="883"/>
      <c r="TZP50" s="883"/>
      <c r="TZQ50" s="883"/>
      <c r="TZR50" s="883"/>
      <c r="TZS50" s="883"/>
      <c r="TZT50" s="883"/>
      <c r="TZU50" s="883"/>
      <c r="TZV50" s="863"/>
      <c r="TZW50" s="863"/>
      <c r="TZX50" s="863"/>
      <c r="TZY50" s="863"/>
      <c r="TZZ50" s="863"/>
      <c r="UAA50" s="863"/>
      <c r="UAB50" s="863"/>
      <c r="UAC50" s="863"/>
      <c r="UAD50" s="863"/>
      <c r="UAE50" s="863"/>
      <c r="UAF50" s="863"/>
      <c r="UAG50" s="863"/>
      <c r="UAH50" s="863"/>
      <c r="UAI50" s="863"/>
      <c r="UAJ50" s="863"/>
      <c r="UAK50" s="863"/>
      <c r="UAL50" s="863"/>
      <c r="UAM50" s="863"/>
      <c r="UAN50" s="863"/>
      <c r="UAO50" s="863"/>
      <c r="UAP50" s="863"/>
      <c r="UAQ50" s="863"/>
      <c r="UAR50" s="863"/>
      <c r="UAS50" s="883"/>
      <c r="UAT50" s="883"/>
      <c r="UAU50" s="883"/>
      <c r="UAV50" s="883"/>
      <c r="UAW50" s="883"/>
      <c r="UAX50" s="883"/>
      <c r="UAY50" s="883"/>
      <c r="UAZ50" s="883"/>
      <c r="UBA50" s="883"/>
      <c r="UBB50" s="863"/>
      <c r="UBC50" s="863"/>
      <c r="UBD50" s="863"/>
      <c r="UBE50" s="863"/>
      <c r="UBF50" s="863"/>
      <c r="UBG50" s="863"/>
      <c r="UBH50" s="863"/>
      <c r="UBI50" s="863"/>
      <c r="UBJ50" s="863"/>
      <c r="UBK50" s="863"/>
      <c r="UBL50" s="863"/>
      <c r="UBM50" s="863"/>
      <c r="UBN50" s="863"/>
      <c r="UBO50" s="863"/>
      <c r="UBP50" s="863"/>
      <c r="UBQ50" s="863"/>
      <c r="UBR50" s="863"/>
      <c r="UBS50" s="863"/>
      <c r="UBT50" s="863"/>
      <c r="UBU50" s="863"/>
      <c r="UBV50" s="863"/>
      <c r="UBW50" s="863"/>
      <c r="UBX50" s="863"/>
      <c r="UBY50" s="883"/>
      <c r="UBZ50" s="883"/>
      <c r="UCA50" s="883"/>
      <c r="UCB50" s="883"/>
      <c r="UCC50" s="883"/>
      <c r="UCD50" s="883"/>
      <c r="UCE50" s="883"/>
      <c r="UCF50" s="883"/>
      <c r="UCG50" s="883"/>
      <c r="UCH50" s="863"/>
      <c r="UCI50" s="863"/>
      <c r="UCJ50" s="863"/>
      <c r="UCK50" s="863"/>
      <c r="UCL50" s="863"/>
      <c r="UCM50" s="863"/>
      <c r="UCN50" s="863"/>
      <c r="UCO50" s="863"/>
      <c r="UCP50" s="863"/>
      <c r="UCQ50" s="863"/>
      <c r="UCR50" s="863"/>
      <c r="UCS50" s="863"/>
      <c r="UCT50" s="863"/>
      <c r="UCU50" s="863"/>
      <c r="UCV50" s="863"/>
      <c r="UCW50" s="863"/>
      <c r="UCX50" s="863"/>
      <c r="UCY50" s="863"/>
      <c r="UCZ50" s="863"/>
      <c r="UDA50" s="863"/>
      <c r="UDB50" s="863"/>
      <c r="UDC50" s="863"/>
      <c r="UDD50" s="863"/>
      <c r="UDE50" s="883"/>
      <c r="UDF50" s="883"/>
      <c r="UDG50" s="883"/>
      <c r="UDH50" s="883"/>
      <c r="UDI50" s="883"/>
      <c r="UDJ50" s="883"/>
      <c r="UDK50" s="883"/>
      <c r="UDL50" s="883"/>
      <c r="UDM50" s="883"/>
      <c r="UDN50" s="863"/>
      <c r="UDO50" s="863"/>
      <c r="UDP50" s="863"/>
      <c r="UDQ50" s="863"/>
      <c r="UDR50" s="863"/>
      <c r="UDS50" s="863"/>
      <c r="UDT50" s="863"/>
      <c r="UDU50" s="863"/>
      <c r="UDV50" s="863"/>
      <c r="UDW50" s="863"/>
      <c r="UDX50" s="863"/>
      <c r="UDY50" s="863"/>
      <c r="UDZ50" s="863"/>
      <c r="UEA50" s="863"/>
      <c r="UEB50" s="863"/>
      <c r="UEC50" s="863"/>
      <c r="UED50" s="863"/>
      <c r="UEE50" s="863"/>
      <c r="UEF50" s="863"/>
      <c r="UEG50" s="863"/>
      <c r="UEH50" s="863"/>
      <c r="UEI50" s="863"/>
      <c r="UEJ50" s="863"/>
      <c r="UEK50" s="883"/>
      <c r="UEL50" s="883"/>
      <c r="UEM50" s="883"/>
      <c r="UEN50" s="883"/>
      <c r="UEO50" s="883"/>
      <c r="UEP50" s="883"/>
      <c r="UEQ50" s="883"/>
      <c r="UER50" s="883"/>
      <c r="UES50" s="883"/>
      <c r="UET50" s="863"/>
      <c r="UEU50" s="863"/>
      <c r="UEV50" s="863"/>
      <c r="UEW50" s="863"/>
      <c r="UEX50" s="863"/>
      <c r="UEY50" s="863"/>
      <c r="UEZ50" s="863"/>
      <c r="UFA50" s="863"/>
      <c r="UFB50" s="863"/>
      <c r="UFC50" s="863"/>
      <c r="UFD50" s="863"/>
      <c r="UFE50" s="863"/>
      <c r="UFF50" s="863"/>
      <c r="UFG50" s="863"/>
      <c r="UFH50" s="863"/>
      <c r="UFI50" s="863"/>
      <c r="UFJ50" s="863"/>
      <c r="UFK50" s="863"/>
      <c r="UFL50" s="863"/>
      <c r="UFM50" s="863"/>
      <c r="UFN50" s="863"/>
      <c r="UFO50" s="863"/>
      <c r="UFP50" s="863"/>
      <c r="UFQ50" s="883"/>
      <c r="UFR50" s="883"/>
      <c r="UFS50" s="883"/>
      <c r="UFT50" s="883"/>
      <c r="UFU50" s="883"/>
      <c r="UFV50" s="883"/>
      <c r="UFW50" s="883"/>
      <c r="UFX50" s="883"/>
      <c r="UFY50" s="883"/>
      <c r="UFZ50" s="863"/>
      <c r="UGA50" s="863"/>
      <c r="UGB50" s="863"/>
      <c r="UGC50" s="863"/>
      <c r="UGD50" s="863"/>
      <c r="UGE50" s="863"/>
      <c r="UGF50" s="863"/>
      <c r="UGG50" s="863"/>
      <c r="UGH50" s="863"/>
      <c r="UGI50" s="863"/>
      <c r="UGJ50" s="863"/>
      <c r="UGK50" s="863"/>
      <c r="UGL50" s="863"/>
      <c r="UGM50" s="863"/>
      <c r="UGN50" s="863"/>
      <c r="UGO50" s="863"/>
      <c r="UGP50" s="863"/>
      <c r="UGQ50" s="863"/>
      <c r="UGR50" s="863"/>
      <c r="UGS50" s="863"/>
      <c r="UGT50" s="863"/>
      <c r="UGU50" s="863"/>
      <c r="UGV50" s="863"/>
      <c r="UGW50" s="883"/>
      <c r="UGX50" s="883"/>
      <c r="UGY50" s="883"/>
      <c r="UGZ50" s="883"/>
      <c r="UHA50" s="883"/>
      <c r="UHB50" s="883"/>
      <c r="UHC50" s="883"/>
      <c r="UHD50" s="883"/>
      <c r="UHE50" s="883"/>
      <c r="UHF50" s="863"/>
      <c r="UHG50" s="863"/>
      <c r="UHH50" s="863"/>
      <c r="UHI50" s="863"/>
      <c r="UHJ50" s="863"/>
      <c r="UHK50" s="863"/>
      <c r="UHL50" s="863"/>
      <c r="UHM50" s="863"/>
      <c r="UHN50" s="863"/>
      <c r="UHO50" s="863"/>
      <c r="UHP50" s="863"/>
      <c r="UHQ50" s="863"/>
      <c r="UHR50" s="863"/>
      <c r="UHS50" s="863"/>
      <c r="UHT50" s="863"/>
      <c r="UHU50" s="863"/>
      <c r="UHV50" s="863"/>
      <c r="UHW50" s="863"/>
      <c r="UHX50" s="863"/>
      <c r="UHY50" s="863"/>
      <c r="UHZ50" s="863"/>
      <c r="UIA50" s="863"/>
      <c r="UIB50" s="863"/>
      <c r="UIC50" s="883"/>
      <c r="UID50" s="883"/>
      <c r="UIE50" s="883"/>
      <c r="UIF50" s="883"/>
      <c r="UIG50" s="883"/>
      <c r="UIH50" s="883"/>
      <c r="UII50" s="883"/>
      <c r="UIJ50" s="883"/>
      <c r="UIK50" s="883"/>
      <c r="UIL50" s="863"/>
      <c r="UIM50" s="863"/>
      <c r="UIN50" s="863"/>
      <c r="UIO50" s="863"/>
      <c r="UIP50" s="863"/>
      <c r="UIQ50" s="863"/>
      <c r="UIR50" s="863"/>
      <c r="UIS50" s="863"/>
      <c r="UIT50" s="863"/>
      <c r="UIU50" s="863"/>
      <c r="UIV50" s="863"/>
      <c r="UIW50" s="863"/>
      <c r="UIX50" s="863"/>
      <c r="UIY50" s="863"/>
      <c r="UIZ50" s="863"/>
      <c r="UJA50" s="863"/>
      <c r="UJB50" s="863"/>
      <c r="UJC50" s="863"/>
      <c r="UJD50" s="863"/>
      <c r="UJE50" s="863"/>
      <c r="UJF50" s="863"/>
      <c r="UJG50" s="863"/>
      <c r="UJH50" s="863"/>
      <c r="UJI50" s="883"/>
      <c r="UJJ50" s="883"/>
      <c r="UJK50" s="883"/>
      <c r="UJL50" s="883"/>
      <c r="UJM50" s="883"/>
      <c r="UJN50" s="883"/>
      <c r="UJO50" s="883"/>
      <c r="UJP50" s="883"/>
      <c r="UJQ50" s="883"/>
      <c r="UJR50" s="863"/>
      <c r="UJS50" s="863"/>
      <c r="UJT50" s="863"/>
      <c r="UJU50" s="863"/>
      <c r="UJV50" s="863"/>
      <c r="UJW50" s="863"/>
      <c r="UJX50" s="863"/>
      <c r="UJY50" s="863"/>
      <c r="UJZ50" s="863"/>
      <c r="UKA50" s="863"/>
      <c r="UKB50" s="863"/>
      <c r="UKC50" s="863"/>
      <c r="UKD50" s="863"/>
      <c r="UKE50" s="863"/>
      <c r="UKF50" s="863"/>
      <c r="UKG50" s="863"/>
      <c r="UKH50" s="863"/>
      <c r="UKI50" s="863"/>
      <c r="UKJ50" s="863"/>
      <c r="UKK50" s="863"/>
      <c r="UKL50" s="863"/>
      <c r="UKM50" s="863"/>
      <c r="UKN50" s="863"/>
      <c r="UKO50" s="883"/>
      <c r="UKP50" s="883"/>
      <c r="UKQ50" s="883"/>
      <c r="UKR50" s="883"/>
      <c r="UKS50" s="883"/>
      <c r="UKT50" s="883"/>
      <c r="UKU50" s="883"/>
      <c r="UKV50" s="883"/>
      <c r="UKW50" s="883"/>
      <c r="UKX50" s="863"/>
      <c r="UKY50" s="863"/>
      <c r="UKZ50" s="863"/>
      <c r="ULA50" s="863"/>
      <c r="ULB50" s="863"/>
      <c r="ULC50" s="863"/>
      <c r="ULD50" s="863"/>
      <c r="ULE50" s="863"/>
      <c r="ULF50" s="863"/>
      <c r="ULG50" s="863"/>
      <c r="ULH50" s="863"/>
      <c r="ULI50" s="863"/>
      <c r="ULJ50" s="863"/>
      <c r="ULK50" s="863"/>
      <c r="ULL50" s="863"/>
      <c r="ULM50" s="863"/>
      <c r="ULN50" s="863"/>
      <c r="ULO50" s="863"/>
      <c r="ULP50" s="863"/>
      <c r="ULQ50" s="863"/>
      <c r="ULR50" s="863"/>
      <c r="ULS50" s="863"/>
      <c r="ULT50" s="863"/>
      <c r="ULU50" s="883"/>
      <c r="ULV50" s="883"/>
      <c r="ULW50" s="883"/>
      <c r="ULX50" s="883"/>
      <c r="ULY50" s="883"/>
      <c r="ULZ50" s="883"/>
      <c r="UMA50" s="883"/>
      <c r="UMB50" s="883"/>
      <c r="UMC50" s="883"/>
      <c r="UMD50" s="863"/>
      <c r="UME50" s="863"/>
      <c r="UMF50" s="863"/>
      <c r="UMG50" s="863"/>
      <c r="UMH50" s="863"/>
      <c r="UMI50" s="863"/>
      <c r="UMJ50" s="863"/>
      <c r="UMK50" s="863"/>
      <c r="UML50" s="863"/>
      <c r="UMM50" s="863"/>
      <c r="UMN50" s="863"/>
      <c r="UMO50" s="863"/>
      <c r="UMP50" s="863"/>
      <c r="UMQ50" s="863"/>
      <c r="UMR50" s="863"/>
      <c r="UMS50" s="863"/>
      <c r="UMT50" s="863"/>
      <c r="UMU50" s="863"/>
      <c r="UMV50" s="863"/>
      <c r="UMW50" s="863"/>
      <c r="UMX50" s="863"/>
      <c r="UMY50" s="863"/>
      <c r="UMZ50" s="863"/>
      <c r="UNA50" s="883"/>
      <c r="UNB50" s="883"/>
      <c r="UNC50" s="883"/>
      <c r="UND50" s="883"/>
      <c r="UNE50" s="883"/>
      <c r="UNF50" s="883"/>
      <c r="UNG50" s="883"/>
      <c r="UNH50" s="883"/>
      <c r="UNI50" s="883"/>
      <c r="UNJ50" s="863"/>
      <c r="UNK50" s="863"/>
      <c r="UNL50" s="863"/>
      <c r="UNM50" s="863"/>
      <c r="UNN50" s="863"/>
      <c r="UNO50" s="863"/>
      <c r="UNP50" s="863"/>
      <c r="UNQ50" s="863"/>
      <c r="UNR50" s="863"/>
      <c r="UNS50" s="863"/>
      <c r="UNT50" s="863"/>
      <c r="UNU50" s="863"/>
      <c r="UNV50" s="863"/>
      <c r="UNW50" s="863"/>
      <c r="UNX50" s="863"/>
      <c r="UNY50" s="863"/>
      <c r="UNZ50" s="863"/>
      <c r="UOA50" s="863"/>
      <c r="UOB50" s="863"/>
      <c r="UOC50" s="863"/>
      <c r="UOD50" s="863"/>
      <c r="UOE50" s="863"/>
      <c r="UOF50" s="863"/>
      <c r="UOG50" s="883"/>
      <c r="UOH50" s="883"/>
      <c r="UOI50" s="883"/>
      <c r="UOJ50" s="883"/>
      <c r="UOK50" s="883"/>
      <c r="UOL50" s="883"/>
      <c r="UOM50" s="883"/>
      <c r="UON50" s="883"/>
      <c r="UOO50" s="883"/>
      <c r="UOP50" s="863"/>
      <c r="UOQ50" s="863"/>
      <c r="UOR50" s="863"/>
      <c r="UOS50" s="863"/>
      <c r="UOT50" s="863"/>
      <c r="UOU50" s="863"/>
      <c r="UOV50" s="863"/>
      <c r="UOW50" s="863"/>
      <c r="UOX50" s="863"/>
      <c r="UOY50" s="863"/>
      <c r="UOZ50" s="863"/>
      <c r="UPA50" s="863"/>
      <c r="UPB50" s="863"/>
      <c r="UPC50" s="863"/>
      <c r="UPD50" s="863"/>
      <c r="UPE50" s="863"/>
      <c r="UPF50" s="863"/>
      <c r="UPG50" s="863"/>
      <c r="UPH50" s="863"/>
      <c r="UPI50" s="863"/>
      <c r="UPJ50" s="863"/>
      <c r="UPK50" s="863"/>
      <c r="UPL50" s="863"/>
      <c r="UPM50" s="883"/>
      <c r="UPN50" s="883"/>
      <c r="UPO50" s="883"/>
      <c r="UPP50" s="883"/>
      <c r="UPQ50" s="883"/>
      <c r="UPR50" s="883"/>
      <c r="UPS50" s="883"/>
      <c r="UPT50" s="883"/>
      <c r="UPU50" s="883"/>
      <c r="UPV50" s="863"/>
      <c r="UPW50" s="863"/>
      <c r="UPX50" s="863"/>
      <c r="UPY50" s="863"/>
      <c r="UPZ50" s="863"/>
      <c r="UQA50" s="863"/>
      <c r="UQB50" s="863"/>
      <c r="UQC50" s="863"/>
      <c r="UQD50" s="863"/>
      <c r="UQE50" s="863"/>
      <c r="UQF50" s="863"/>
      <c r="UQG50" s="863"/>
      <c r="UQH50" s="863"/>
      <c r="UQI50" s="863"/>
      <c r="UQJ50" s="863"/>
      <c r="UQK50" s="863"/>
      <c r="UQL50" s="863"/>
      <c r="UQM50" s="863"/>
      <c r="UQN50" s="863"/>
      <c r="UQO50" s="863"/>
      <c r="UQP50" s="863"/>
      <c r="UQQ50" s="863"/>
      <c r="UQR50" s="863"/>
      <c r="UQS50" s="883"/>
      <c r="UQT50" s="883"/>
      <c r="UQU50" s="883"/>
      <c r="UQV50" s="883"/>
      <c r="UQW50" s="883"/>
      <c r="UQX50" s="883"/>
      <c r="UQY50" s="883"/>
      <c r="UQZ50" s="883"/>
      <c r="URA50" s="883"/>
      <c r="URB50" s="863"/>
      <c r="URC50" s="863"/>
      <c r="URD50" s="863"/>
      <c r="URE50" s="863"/>
      <c r="URF50" s="863"/>
      <c r="URG50" s="863"/>
      <c r="URH50" s="863"/>
      <c r="URI50" s="863"/>
      <c r="URJ50" s="863"/>
      <c r="URK50" s="863"/>
      <c r="URL50" s="863"/>
      <c r="URM50" s="863"/>
      <c r="URN50" s="863"/>
      <c r="URO50" s="863"/>
      <c r="URP50" s="863"/>
      <c r="URQ50" s="863"/>
      <c r="URR50" s="863"/>
      <c r="URS50" s="863"/>
      <c r="URT50" s="863"/>
      <c r="URU50" s="863"/>
      <c r="URV50" s="863"/>
      <c r="URW50" s="863"/>
      <c r="URX50" s="863"/>
      <c r="URY50" s="883"/>
      <c r="URZ50" s="883"/>
      <c r="USA50" s="883"/>
      <c r="USB50" s="883"/>
      <c r="USC50" s="883"/>
      <c r="USD50" s="883"/>
      <c r="USE50" s="883"/>
      <c r="USF50" s="883"/>
      <c r="USG50" s="883"/>
      <c r="USH50" s="863"/>
      <c r="USI50" s="863"/>
      <c r="USJ50" s="863"/>
      <c r="USK50" s="863"/>
      <c r="USL50" s="863"/>
      <c r="USM50" s="863"/>
      <c r="USN50" s="863"/>
      <c r="USO50" s="863"/>
      <c r="USP50" s="863"/>
      <c r="USQ50" s="863"/>
      <c r="USR50" s="863"/>
      <c r="USS50" s="863"/>
      <c r="UST50" s="863"/>
      <c r="USU50" s="863"/>
      <c r="USV50" s="863"/>
      <c r="USW50" s="863"/>
      <c r="USX50" s="863"/>
      <c r="USY50" s="863"/>
      <c r="USZ50" s="863"/>
      <c r="UTA50" s="863"/>
      <c r="UTB50" s="863"/>
      <c r="UTC50" s="863"/>
      <c r="UTD50" s="863"/>
      <c r="UTE50" s="883"/>
      <c r="UTF50" s="883"/>
      <c r="UTG50" s="883"/>
      <c r="UTH50" s="883"/>
      <c r="UTI50" s="883"/>
      <c r="UTJ50" s="883"/>
      <c r="UTK50" s="883"/>
      <c r="UTL50" s="883"/>
      <c r="UTM50" s="883"/>
      <c r="UTN50" s="863"/>
      <c r="UTO50" s="863"/>
      <c r="UTP50" s="863"/>
      <c r="UTQ50" s="863"/>
      <c r="UTR50" s="863"/>
      <c r="UTS50" s="863"/>
      <c r="UTT50" s="863"/>
      <c r="UTU50" s="863"/>
      <c r="UTV50" s="863"/>
      <c r="UTW50" s="863"/>
      <c r="UTX50" s="863"/>
      <c r="UTY50" s="863"/>
      <c r="UTZ50" s="863"/>
      <c r="UUA50" s="863"/>
      <c r="UUB50" s="863"/>
      <c r="UUC50" s="863"/>
      <c r="UUD50" s="863"/>
      <c r="UUE50" s="863"/>
      <c r="UUF50" s="863"/>
      <c r="UUG50" s="863"/>
      <c r="UUH50" s="863"/>
      <c r="UUI50" s="863"/>
      <c r="UUJ50" s="863"/>
      <c r="UUK50" s="883"/>
      <c r="UUL50" s="883"/>
      <c r="UUM50" s="883"/>
      <c r="UUN50" s="883"/>
      <c r="UUO50" s="883"/>
      <c r="UUP50" s="883"/>
      <c r="UUQ50" s="883"/>
      <c r="UUR50" s="883"/>
      <c r="UUS50" s="883"/>
      <c r="UUT50" s="863"/>
      <c r="UUU50" s="863"/>
      <c r="UUV50" s="863"/>
      <c r="UUW50" s="863"/>
      <c r="UUX50" s="863"/>
      <c r="UUY50" s="863"/>
      <c r="UUZ50" s="863"/>
      <c r="UVA50" s="863"/>
      <c r="UVB50" s="863"/>
      <c r="UVC50" s="863"/>
      <c r="UVD50" s="863"/>
      <c r="UVE50" s="863"/>
      <c r="UVF50" s="863"/>
      <c r="UVG50" s="863"/>
      <c r="UVH50" s="863"/>
      <c r="UVI50" s="863"/>
      <c r="UVJ50" s="863"/>
      <c r="UVK50" s="863"/>
      <c r="UVL50" s="863"/>
      <c r="UVM50" s="863"/>
      <c r="UVN50" s="863"/>
      <c r="UVO50" s="863"/>
      <c r="UVP50" s="863"/>
      <c r="UVQ50" s="883"/>
      <c r="UVR50" s="883"/>
      <c r="UVS50" s="883"/>
      <c r="UVT50" s="883"/>
      <c r="UVU50" s="883"/>
      <c r="UVV50" s="883"/>
      <c r="UVW50" s="883"/>
      <c r="UVX50" s="883"/>
      <c r="UVY50" s="883"/>
      <c r="UVZ50" s="863"/>
      <c r="UWA50" s="863"/>
      <c r="UWB50" s="863"/>
      <c r="UWC50" s="863"/>
      <c r="UWD50" s="863"/>
      <c r="UWE50" s="863"/>
      <c r="UWF50" s="863"/>
      <c r="UWG50" s="863"/>
      <c r="UWH50" s="863"/>
      <c r="UWI50" s="863"/>
      <c r="UWJ50" s="863"/>
      <c r="UWK50" s="863"/>
      <c r="UWL50" s="863"/>
      <c r="UWM50" s="863"/>
      <c r="UWN50" s="863"/>
      <c r="UWO50" s="863"/>
      <c r="UWP50" s="863"/>
      <c r="UWQ50" s="863"/>
      <c r="UWR50" s="863"/>
      <c r="UWS50" s="863"/>
      <c r="UWT50" s="863"/>
      <c r="UWU50" s="863"/>
      <c r="UWV50" s="863"/>
      <c r="UWW50" s="883"/>
      <c r="UWX50" s="883"/>
      <c r="UWY50" s="883"/>
      <c r="UWZ50" s="883"/>
      <c r="UXA50" s="883"/>
      <c r="UXB50" s="883"/>
      <c r="UXC50" s="883"/>
      <c r="UXD50" s="883"/>
      <c r="UXE50" s="883"/>
      <c r="UXF50" s="863"/>
      <c r="UXG50" s="863"/>
      <c r="UXH50" s="863"/>
      <c r="UXI50" s="863"/>
      <c r="UXJ50" s="863"/>
      <c r="UXK50" s="863"/>
      <c r="UXL50" s="863"/>
      <c r="UXM50" s="863"/>
      <c r="UXN50" s="863"/>
      <c r="UXO50" s="863"/>
      <c r="UXP50" s="863"/>
      <c r="UXQ50" s="863"/>
      <c r="UXR50" s="863"/>
      <c r="UXS50" s="863"/>
      <c r="UXT50" s="863"/>
      <c r="UXU50" s="863"/>
      <c r="UXV50" s="863"/>
      <c r="UXW50" s="863"/>
      <c r="UXX50" s="863"/>
      <c r="UXY50" s="863"/>
      <c r="UXZ50" s="863"/>
      <c r="UYA50" s="863"/>
      <c r="UYB50" s="863"/>
      <c r="UYC50" s="883"/>
      <c r="UYD50" s="883"/>
      <c r="UYE50" s="883"/>
      <c r="UYF50" s="883"/>
      <c r="UYG50" s="883"/>
      <c r="UYH50" s="883"/>
      <c r="UYI50" s="883"/>
      <c r="UYJ50" s="883"/>
      <c r="UYK50" s="883"/>
      <c r="UYL50" s="863"/>
      <c r="UYM50" s="863"/>
      <c r="UYN50" s="863"/>
      <c r="UYO50" s="863"/>
      <c r="UYP50" s="863"/>
      <c r="UYQ50" s="863"/>
      <c r="UYR50" s="863"/>
      <c r="UYS50" s="863"/>
      <c r="UYT50" s="863"/>
      <c r="UYU50" s="863"/>
      <c r="UYV50" s="863"/>
      <c r="UYW50" s="863"/>
      <c r="UYX50" s="863"/>
      <c r="UYY50" s="863"/>
      <c r="UYZ50" s="863"/>
      <c r="UZA50" s="863"/>
      <c r="UZB50" s="863"/>
      <c r="UZC50" s="863"/>
      <c r="UZD50" s="863"/>
      <c r="UZE50" s="863"/>
      <c r="UZF50" s="863"/>
      <c r="UZG50" s="863"/>
      <c r="UZH50" s="863"/>
      <c r="UZI50" s="883"/>
      <c r="UZJ50" s="883"/>
      <c r="UZK50" s="883"/>
      <c r="UZL50" s="883"/>
      <c r="UZM50" s="883"/>
      <c r="UZN50" s="883"/>
      <c r="UZO50" s="883"/>
      <c r="UZP50" s="883"/>
      <c r="UZQ50" s="883"/>
      <c r="UZR50" s="863"/>
      <c r="UZS50" s="863"/>
      <c r="UZT50" s="863"/>
      <c r="UZU50" s="863"/>
      <c r="UZV50" s="863"/>
      <c r="UZW50" s="863"/>
      <c r="UZX50" s="863"/>
      <c r="UZY50" s="863"/>
      <c r="UZZ50" s="863"/>
      <c r="VAA50" s="863"/>
      <c r="VAB50" s="863"/>
      <c r="VAC50" s="863"/>
      <c r="VAD50" s="863"/>
      <c r="VAE50" s="863"/>
      <c r="VAF50" s="863"/>
      <c r="VAG50" s="863"/>
      <c r="VAH50" s="863"/>
      <c r="VAI50" s="863"/>
      <c r="VAJ50" s="863"/>
      <c r="VAK50" s="863"/>
      <c r="VAL50" s="863"/>
      <c r="VAM50" s="863"/>
      <c r="VAN50" s="863"/>
      <c r="VAO50" s="883"/>
      <c r="VAP50" s="883"/>
      <c r="VAQ50" s="883"/>
      <c r="VAR50" s="883"/>
      <c r="VAS50" s="883"/>
      <c r="VAT50" s="883"/>
      <c r="VAU50" s="883"/>
      <c r="VAV50" s="883"/>
      <c r="VAW50" s="883"/>
      <c r="VAX50" s="863"/>
      <c r="VAY50" s="863"/>
      <c r="VAZ50" s="863"/>
      <c r="VBA50" s="863"/>
      <c r="VBB50" s="863"/>
      <c r="VBC50" s="863"/>
      <c r="VBD50" s="863"/>
      <c r="VBE50" s="863"/>
      <c r="VBF50" s="863"/>
      <c r="VBG50" s="863"/>
      <c r="VBH50" s="863"/>
      <c r="VBI50" s="863"/>
      <c r="VBJ50" s="863"/>
      <c r="VBK50" s="863"/>
      <c r="VBL50" s="863"/>
      <c r="VBM50" s="863"/>
      <c r="VBN50" s="863"/>
      <c r="VBO50" s="863"/>
      <c r="VBP50" s="863"/>
      <c r="VBQ50" s="863"/>
      <c r="VBR50" s="863"/>
      <c r="VBS50" s="863"/>
      <c r="VBT50" s="863"/>
      <c r="VBU50" s="883"/>
      <c r="VBV50" s="883"/>
      <c r="VBW50" s="883"/>
      <c r="VBX50" s="883"/>
      <c r="VBY50" s="883"/>
      <c r="VBZ50" s="883"/>
      <c r="VCA50" s="883"/>
      <c r="VCB50" s="883"/>
      <c r="VCC50" s="883"/>
      <c r="VCD50" s="863"/>
      <c r="VCE50" s="863"/>
      <c r="VCF50" s="863"/>
      <c r="VCG50" s="863"/>
      <c r="VCH50" s="863"/>
      <c r="VCI50" s="863"/>
      <c r="VCJ50" s="863"/>
      <c r="VCK50" s="863"/>
      <c r="VCL50" s="863"/>
      <c r="VCM50" s="863"/>
      <c r="VCN50" s="863"/>
      <c r="VCO50" s="863"/>
      <c r="VCP50" s="863"/>
      <c r="VCQ50" s="863"/>
      <c r="VCR50" s="863"/>
      <c r="VCS50" s="863"/>
      <c r="VCT50" s="863"/>
      <c r="VCU50" s="863"/>
      <c r="VCV50" s="863"/>
      <c r="VCW50" s="863"/>
      <c r="VCX50" s="863"/>
      <c r="VCY50" s="863"/>
      <c r="VCZ50" s="863"/>
      <c r="VDA50" s="883"/>
      <c r="VDB50" s="883"/>
      <c r="VDC50" s="883"/>
      <c r="VDD50" s="883"/>
      <c r="VDE50" s="883"/>
      <c r="VDF50" s="883"/>
      <c r="VDG50" s="883"/>
      <c r="VDH50" s="883"/>
      <c r="VDI50" s="883"/>
      <c r="VDJ50" s="863"/>
      <c r="VDK50" s="863"/>
      <c r="VDL50" s="863"/>
      <c r="VDM50" s="863"/>
      <c r="VDN50" s="863"/>
      <c r="VDO50" s="863"/>
      <c r="VDP50" s="863"/>
      <c r="VDQ50" s="863"/>
      <c r="VDR50" s="863"/>
      <c r="VDS50" s="863"/>
      <c r="VDT50" s="863"/>
      <c r="VDU50" s="863"/>
      <c r="VDV50" s="863"/>
      <c r="VDW50" s="863"/>
      <c r="VDX50" s="863"/>
      <c r="VDY50" s="863"/>
      <c r="VDZ50" s="863"/>
      <c r="VEA50" s="863"/>
      <c r="VEB50" s="863"/>
      <c r="VEC50" s="863"/>
      <c r="VED50" s="863"/>
      <c r="VEE50" s="863"/>
      <c r="VEF50" s="863"/>
      <c r="VEG50" s="883"/>
      <c r="VEH50" s="883"/>
      <c r="VEI50" s="883"/>
      <c r="VEJ50" s="883"/>
      <c r="VEK50" s="883"/>
      <c r="VEL50" s="883"/>
      <c r="VEM50" s="883"/>
      <c r="VEN50" s="883"/>
      <c r="VEO50" s="883"/>
      <c r="VEP50" s="863"/>
      <c r="VEQ50" s="863"/>
      <c r="VER50" s="863"/>
      <c r="VES50" s="863"/>
      <c r="VET50" s="863"/>
      <c r="VEU50" s="863"/>
      <c r="VEV50" s="863"/>
      <c r="VEW50" s="863"/>
      <c r="VEX50" s="863"/>
      <c r="VEY50" s="863"/>
      <c r="VEZ50" s="863"/>
      <c r="VFA50" s="863"/>
      <c r="VFB50" s="863"/>
      <c r="VFC50" s="863"/>
      <c r="VFD50" s="863"/>
      <c r="VFE50" s="863"/>
      <c r="VFF50" s="863"/>
      <c r="VFG50" s="863"/>
      <c r="VFH50" s="863"/>
      <c r="VFI50" s="863"/>
      <c r="VFJ50" s="863"/>
      <c r="VFK50" s="863"/>
      <c r="VFL50" s="863"/>
      <c r="VFM50" s="883"/>
      <c r="VFN50" s="883"/>
      <c r="VFO50" s="883"/>
      <c r="VFP50" s="883"/>
      <c r="VFQ50" s="883"/>
      <c r="VFR50" s="883"/>
      <c r="VFS50" s="883"/>
      <c r="VFT50" s="883"/>
      <c r="VFU50" s="883"/>
      <c r="VFV50" s="863"/>
      <c r="VFW50" s="863"/>
      <c r="VFX50" s="863"/>
      <c r="VFY50" s="863"/>
      <c r="VFZ50" s="863"/>
      <c r="VGA50" s="863"/>
      <c r="VGB50" s="863"/>
      <c r="VGC50" s="863"/>
      <c r="VGD50" s="863"/>
      <c r="VGE50" s="863"/>
      <c r="VGF50" s="863"/>
      <c r="VGG50" s="863"/>
      <c r="VGH50" s="863"/>
      <c r="VGI50" s="863"/>
      <c r="VGJ50" s="863"/>
      <c r="VGK50" s="863"/>
      <c r="VGL50" s="863"/>
      <c r="VGM50" s="863"/>
      <c r="VGN50" s="863"/>
      <c r="VGO50" s="863"/>
      <c r="VGP50" s="863"/>
      <c r="VGQ50" s="863"/>
      <c r="VGR50" s="863"/>
      <c r="VGS50" s="883"/>
      <c r="VGT50" s="883"/>
      <c r="VGU50" s="883"/>
      <c r="VGV50" s="883"/>
      <c r="VGW50" s="883"/>
      <c r="VGX50" s="883"/>
      <c r="VGY50" s="883"/>
      <c r="VGZ50" s="883"/>
      <c r="VHA50" s="883"/>
      <c r="VHB50" s="863"/>
      <c r="VHC50" s="863"/>
      <c r="VHD50" s="863"/>
      <c r="VHE50" s="863"/>
      <c r="VHF50" s="863"/>
      <c r="VHG50" s="863"/>
      <c r="VHH50" s="863"/>
      <c r="VHI50" s="863"/>
      <c r="VHJ50" s="863"/>
      <c r="VHK50" s="863"/>
      <c r="VHL50" s="863"/>
      <c r="VHM50" s="863"/>
      <c r="VHN50" s="863"/>
      <c r="VHO50" s="863"/>
      <c r="VHP50" s="863"/>
      <c r="VHQ50" s="863"/>
      <c r="VHR50" s="863"/>
      <c r="VHS50" s="863"/>
      <c r="VHT50" s="863"/>
      <c r="VHU50" s="863"/>
      <c r="VHV50" s="863"/>
      <c r="VHW50" s="863"/>
      <c r="VHX50" s="863"/>
      <c r="VHY50" s="883"/>
      <c r="VHZ50" s="883"/>
      <c r="VIA50" s="883"/>
      <c r="VIB50" s="883"/>
      <c r="VIC50" s="883"/>
      <c r="VID50" s="883"/>
      <c r="VIE50" s="883"/>
      <c r="VIF50" s="883"/>
      <c r="VIG50" s="883"/>
      <c r="VIH50" s="863"/>
      <c r="VII50" s="863"/>
      <c r="VIJ50" s="863"/>
      <c r="VIK50" s="863"/>
      <c r="VIL50" s="863"/>
      <c r="VIM50" s="863"/>
      <c r="VIN50" s="863"/>
      <c r="VIO50" s="863"/>
      <c r="VIP50" s="863"/>
      <c r="VIQ50" s="863"/>
      <c r="VIR50" s="863"/>
      <c r="VIS50" s="863"/>
      <c r="VIT50" s="863"/>
      <c r="VIU50" s="863"/>
      <c r="VIV50" s="863"/>
      <c r="VIW50" s="863"/>
      <c r="VIX50" s="863"/>
      <c r="VIY50" s="863"/>
      <c r="VIZ50" s="863"/>
      <c r="VJA50" s="863"/>
      <c r="VJB50" s="863"/>
      <c r="VJC50" s="863"/>
      <c r="VJD50" s="863"/>
      <c r="VJE50" s="883"/>
      <c r="VJF50" s="883"/>
      <c r="VJG50" s="883"/>
      <c r="VJH50" s="883"/>
      <c r="VJI50" s="883"/>
      <c r="VJJ50" s="883"/>
      <c r="VJK50" s="883"/>
      <c r="VJL50" s="883"/>
      <c r="VJM50" s="883"/>
      <c r="VJN50" s="863"/>
      <c r="VJO50" s="863"/>
      <c r="VJP50" s="863"/>
      <c r="VJQ50" s="863"/>
      <c r="VJR50" s="863"/>
      <c r="VJS50" s="863"/>
      <c r="VJT50" s="863"/>
      <c r="VJU50" s="863"/>
      <c r="VJV50" s="863"/>
      <c r="VJW50" s="863"/>
      <c r="VJX50" s="863"/>
      <c r="VJY50" s="863"/>
      <c r="VJZ50" s="863"/>
      <c r="VKA50" s="863"/>
      <c r="VKB50" s="863"/>
      <c r="VKC50" s="863"/>
      <c r="VKD50" s="863"/>
      <c r="VKE50" s="863"/>
      <c r="VKF50" s="863"/>
      <c r="VKG50" s="863"/>
      <c r="VKH50" s="863"/>
      <c r="VKI50" s="863"/>
      <c r="VKJ50" s="863"/>
      <c r="VKK50" s="883"/>
      <c r="VKL50" s="883"/>
      <c r="VKM50" s="883"/>
      <c r="VKN50" s="883"/>
      <c r="VKO50" s="883"/>
      <c r="VKP50" s="883"/>
      <c r="VKQ50" s="883"/>
      <c r="VKR50" s="883"/>
      <c r="VKS50" s="883"/>
      <c r="VKT50" s="863"/>
      <c r="VKU50" s="863"/>
      <c r="VKV50" s="863"/>
      <c r="VKW50" s="863"/>
      <c r="VKX50" s="863"/>
      <c r="VKY50" s="863"/>
      <c r="VKZ50" s="863"/>
      <c r="VLA50" s="863"/>
      <c r="VLB50" s="863"/>
      <c r="VLC50" s="863"/>
      <c r="VLD50" s="863"/>
      <c r="VLE50" s="863"/>
      <c r="VLF50" s="863"/>
      <c r="VLG50" s="863"/>
      <c r="VLH50" s="863"/>
      <c r="VLI50" s="863"/>
      <c r="VLJ50" s="863"/>
      <c r="VLK50" s="863"/>
      <c r="VLL50" s="863"/>
      <c r="VLM50" s="863"/>
      <c r="VLN50" s="863"/>
      <c r="VLO50" s="863"/>
      <c r="VLP50" s="863"/>
      <c r="VLQ50" s="883"/>
      <c r="VLR50" s="883"/>
      <c r="VLS50" s="883"/>
      <c r="VLT50" s="883"/>
      <c r="VLU50" s="883"/>
      <c r="VLV50" s="883"/>
      <c r="VLW50" s="883"/>
      <c r="VLX50" s="883"/>
      <c r="VLY50" s="883"/>
      <c r="VLZ50" s="863"/>
      <c r="VMA50" s="863"/>
      <c r="VMB50" s="863"/>
      <c r="VMC50" s="863"/>
      <c r="VMD50" s="863"/>
      <c r="VME50" s="863"/>
      <c r="VMF50" s="863"/>
      <c r="VMG50" s="863"/>
      <c r="VMH50" s="863"/>
      <c r="VMI50" s="863"/>
      <c r="VMJ50" s="863"/>
      <c r="VMK50" s="863"/>
      <c r="VML50" s="863"/>
      <c r="VMM50" s="863"/>
      <c r="VMN50" s="863"/>
      <c r="VMO50" s="863"/>
      <c r="VMP50" s="863"/>
      <c r="VMQ50" s="863"/>
      <c r="VMR50" s="863"/>
      <c r="VMS50" s="863"/>
      <c r="VMT50" s="863"/>
      <c r="VMU50" s="863"/>
      <c r="VMV50" s="863"/>
      <c r="VMW50" s="883"/>
      <c r="VMX50" s="883"/>
      <c r="VMY50" s="883"/>
      <c r="VMZ50" s="883"/>
      <c r="VNA50" s="883"/>
      <c r="VNB50" s="883"/>
      <c r="VNC50" s="883"/>
      <c r="VND50" s="883"/>
      <c r="VNE50" s="883"/>
      <c r="VNF50" s="863"/>
      <c r="VNG50" s="863"/>
      <c r="VNH50" s="863"/>
      <c r="VNI50" s="863"/>
      <c r="VNJ50" s="863"/>
      <c r="VNK50" s="863"/>
      <c r="VNL50" s="863"/>
      <c r="VNM50" s="863"/>
      <c r="VNN50" s="863"/>
      <c r="VNO50" s="863"/>
      <c r="VNP50" s="863"/>
      <c r="VNQ50" s="863"/>
      <c r="VNR50" s="863"/>
      <c r="VNS50" s="863"/>
      <c r="VNT50" s="863"/>
      <c r="VNU50" s="863"/>
      <c r="VNV50" s="863"/>
      <c r="VNW50" s="863"/>
      <c r="VNX50" s="863"/>
      <c r="VNY50" s="863"/>
      <c r="VNZ50" s="863"/>
      <c r="VOA50" s="863"/>
      <c r="VOB50" s="863"/>
      <c r="VOC50" s="883"/>
      <c r="VOD50" s="883"/>
      <c r="VOE50" s="883"/>
      <c r="VOF50" s="883"/>
      <c r="VOG50" s="883"/>
      <c r="VOH50" s="883"/>
      <c r="VOI50" s="883"/>
      <c r="VOJ50" s="883"/>
      <c r="VOK50" s="883"/>
      <c r="VOL50" s="863"/>
      <c r="VOM50" s="863"/>
      <c r="VON50" s="863"/>
      <c r="VOO50" s="863"/>
      <c r="VOP50" s="863"/>
      <c r="VOQ50" s="863"/>
      <c r="VOR50" s="863"/>
      <c r="VOS50" s="863"/>
      <c r="VOT50" s="863"/>
      <c r="VOU50" s="863"/>
      <c r="VOV50" s="863"/>
      <c r="VOW50" s="863"/>
      <c r="VOX50" s="863"/>
      <c r="VOY50" s="863"/>
      <c r="VOZ50" s="863"/>
      <c r="VPA50" s="863"/>
      <c r="VPB50" s="863"/>
      <c r="VPC50" s="863"/>
      <c r="VPD50" s="863"/>
      <c r="VPE50" s="863"/>
      <c r="VPF50" s="863"/>
      <c r="VPG50" s="863"/>
      <c r="VPH50" s="863"/>
      <c r="VPI50" s="883"/>
      <c r="VPJ50" s="883"/>
      <c r="VPK50" s="883"/>
      <c r="VPL50" s="883"/>
      <c r="VPM50" s="883"/>
      <c r="VPN50" s="883"/>
      <c r="VPO50" s="883"/>
      <c r="VPP50" s="883"/>
      <c r="VPQ50" s="883"/>
      <c r="VPR50" s="863"/>
      <c r="VPS50" s="863"/>
      <c r="VPT50" s="863"/>
      <c r="VPU50" s="863"/>
      <c r="VPV50" s="863"/>
      <c r="VPW50" s="863"/>
      <c r="VPX50" s="863"/>
      <c r="VPY50" s="863"/>
      <c r="VPZ50" s="863"/>
      <c r="VQA50" s="863"/>
      <c r="VQB50" s="863"/>
      <c r="VQC50" s="863"/>
      <c r="VQD50" s="863"/>
      <c r="VQE50" s="863"/>
      <c r="VQF50" s="863"/>
      <c r="VQG50" s="863"/>
      <c r="VQH50" s="863"/>
      <c r="VQI50" s="863"/>
      <c r="VQJ50" s="863"/>
      <c r="VQK50" s="863"/>
      <c r="VQL50" s="863"/>
      <c r="VQM50" s="863"/>
      <c r="VQN50" s="863"/>
      <c r="VQO50" s="883"/>
      <c r="VQP50" s="883"/>
      <c r="VQQ50" s="883"/>
      <c r="VQR50" s="883"/>
      <c r="VQS50" s="883"/>
      <c r="VQT50" s="883"/>
      <c r="VQU50" s="883"/>
      <c r="VQV50" s="883"/>
      <c r="VQW50" s="883"/>
      <c r="VQX50" s="863"/>
      <c r="VQY50" s="863"/>
      <c r="VQZ50" s="863"/>
      <c r="VRA50" s="863"/>
      <c r="VRB50" s="863"/>
      <c r="VRC50" s="863"/>
      <c r="VRD50" s="863"/>
      <c r="VRE50" s="863"/>
      <c r="VRF50" s="863"/>
      <c r="VRG50" s="863"/>
      <c r="VRH50" s="863"/>
      <c r="VRI50" s="863"/>
      <c r="VRJ50" s="863"/>
      <c r="VRK50" s="863"/>
      <c r="VRL50" s="863"/>
      <c r="VRM50" s="863"/>
      <c r="VRN50" s="863"/>
      <c r="VRO50" s="863"/>
      <c r="VRP50" s="863"/>
      <c r="VRQ50" s="863"/>
      <c r="VRR50" s="863"/>
      <c r="VRS50" s="863"/>
      <c r="VRT50" s="863"/>
      <c r="VRU50" s="883"/>
      <c r="VRV50" s="883"/>
      <c r="VRW50" s="883"/>
      <c r="VRX50" s="883"/>
      <c r="VRY50" s="883"/>
      <c r="VRZ50" s="883"/>
      <c r="VSA50" s="883"/>
      <c r="VSB50" s="883"/>
      <c r="VSC50" s="883"/>
      <c r="VSD50" s="863"/>
      <c r="VSE50" s="863"/>
      <c r="VSF50" s="863"/>
      <c r="VSG50" s="863"/>
      <c r="VSH50" s="863"/>
      <c r="VSI50" s="863"/>
      <c r="VSJ50" s="863"/>
      <c r="VSK50" s="863"/>
      <c r="VSL50" s="863"/>
      <c r="VSM50" s="863"/>
      <c r="VSN50" s="863"/>
      <c r="VSO50" s="863"/>
      <c r="VSP50" s="863"/>
      <c r="VSQ50" s="863"/>
      <c r="VSR50" s="863"/>
      <c r="VSS50" s="863"/>
      <c r="VST50" s="863"/>
      <c r="VSU50" s="863"/>
      <c r="VSV50" s="863"/>
      <c r="VSW50" s="863"/>
      <c r="VSX50" s="863"/>
      <c r="VSY50" s="863"/>
      <c r="VSZ50" s="863"/>
      <c r="VTA50" s="883"/>
      <c r="VTB50" s="883"/>
      <c r="VTC50" s="883"/>
      <c r="VTD50" s="883"/>
      <c r="VTE50" s="883"/>
      <c r="VTF50" s="883"/>
      <c r="VTG50" s="883"/>
      <c r="VTH50" s="883"/>
      <c r="VTI50" s="883"/>
      <c r="VTJ50" s="863"/>
      <c r="VTK50" s="863"/>
      <c r="VTL50" s="863"/>
      <c r="VTM50" s="863"/>
      <c r="VTN50" s="863"/>
      <c r="VTO50" s="863"/>
      <c r="VTP50" s="863"/>
      <c r="VTQ50" s="863"/>
      <c r="VTR50" s="863"/>
      <c r="VTS50" s="863"/>
      <c r="VTT50" s="863"/>
      <c r="VTU50" s="863"/>
      <c r="VTV50" s="863"/>
      <c r="VTW50" s="863"/>
      <c r="VTX50" s="863"/>
      <c r="VTY50" s="863"/>
      <c r="VTZ50" s="863"/>
      <c r="VUA50" s="863"/>
      <c r="VUB50" s="863"/>
      <c r="VUC50" s="863"/>
      <c r="VUD50" s="863"/>
      <c r="VUE50" s="863"/>
      <c r="VUF50" s="863"/>
      <c r="VUG50" s="883"/>
      <c r="VUH50" s="883"/>
      <c r="VUI50" s="883"/>
      <c r="VUJ50" s="883"/>
      <c r="VUK50" s="883"/>
      <c r="VUL50" s="883"/>
      <c r="VUM50" s="883"/>
      <c r="VUN50" s="883"/>
      <c r="VUO50" s="883"/>
      <c r="VUP50" s="863"/>
      <c r="VUQ50" s="863"/>
      <c r="VUR50" s="863"/>
      <c r="VUS50" s="863"/>
      <c r="VUT50" s="863"/>
      <c r="VUU50" s="863"/>
      <c r="VUV50" s="863"/>
      <c r="VUW50" s="863"/>
      <c r="VUX50" s="863"/>
      <c r="VUY50" s="863"/>
      <c r="VUZ50" s="863"/>
      <c r="VVA50" s="863"/>
      <c r="VVB50" s="863"/>
      <c r="VVC50" s="863"/>
      <c r="VVD50" s="863"/>
      <c r="VVE50" s="863"/>
      <c r="VVF50" s="863"/>
      <c r="VVG50" s="863"/>
      <c r="VVH50" s="863"/>
      <c r="VVI50" s="863"/>
      <c r="VVJ50" s="863"/>
      <c r="VVK50" s="863"/>
      <c r="VVL50" s="863"/>
      <c r="VVM50" s="883"/>
      <c r="VVN50" s="883"/>
      <c r="VVO50" s="883"/>
      <c r="VVP50" s="883"/>
      <c r="VVQ50" s="883"/>
      <c r="VVR50" s="883"/>
      <c r="VVS50" s="883"/>
      <c r="VVT50" s="883"/>
      <c r="VVU50" s="883"/>
      <c r="VVV50" s="863"/>
      <c r="VVW50" s="863"/>
      <c r="VVX50" s="863"/>
      <c r="VVY50" s="863"/>
      <c r="VVZ50" s="863"/>
      <c r="VWA50" s="863"/>
      <c r="VWB50" s="863"/>
      <c r="VWC50" s="863"/>
      <c r="VWD50" s="863"/>
      <c r="VWE50" s="863"/>
      <c r="VWF50" s="863"/>
      <c r="VWG50" s="863"/>
      <c r="VWH50" s="863"/>
      <c r="VWI50" s="863"/>
      <c r="VWJ50" s="863"/>
      <c r="VWK50" s="863"/>
      <c r="VWL50" s="863"/>
      <c r="VWM50" s="863"/>
      <c r="VWN50" s="863"/>
      <c r="VWO50" s="863"/>
      <c r="VWP50" s="863"/>
      <c r="VWQ50" s="863"/>
      <c r="VWR50" s="863"/>
      <c r="VWS50" s="883"/>
      <c r="VWT50" s="883"/>
      <c r="VWU50" s="883"/>
      <c r="VWV50" s="883"/>
      <c r="VWW50" s="883"/>
      <c r="VWX50" s="883"/>
      <c r="VWY50" s="883"/>
      <c r="VWZ50" s="883"/>
      <c r="VXA50" s="883"/>
      <c r="VXB50" s="863"/>
      <c r="VXC50" s="863"/>
      <c r="VXD50" s="863"/>
      <c r="VXE50" s="863"/>
      <c r="VXF50" s="863"/>
      <c r="VXG50" s="863"/>
      <c r="VXH50" s="863"/>
      <c r="VXI50" s="863"/>
      <c r="VXJ50" s="863"/>
      <c r="VXK50" s="863"/>
      <c r="VXL50" s="863"/>
      <c r="VXM50" s="863"/>
      <c r="VXN50" s="863"/>
      <c r="VXO50" s="863"/>
      <c r="VXP50" s="863"/>
      <c r="VXQ50" s="863"/>
      <c r="VXR50" s="863"/>
      <c r="VXS50" s="863"/>
      <c r="VXT50" s="863"/>
      <c r="VXU50" s="863"/>
      <c r="VXV50" s="863"/>
      <c r="VXW50" s="863"/>
      <c r="VXX50" s="863"/>
      <c r="VXY50" s="883"/>
      <c r="VXZ50" s="883"/>
      <c r="VYA50" s="883"/>
      <c r="VYB50" s="883"/>
      <c r="VYC50" s="883"/>
      <c r="VYD50" s="883"/>
      <c r="VYE50" s="883"/>
      <c r="VYF50" s="883"/>
      <c r="VYG50" s="883"/>
      <c r="VYH50" s="863"/>
      <c r="VYI50" s="863"/>
      <c r="VYJ50" s="863"/>
      <c r="VYK50" s="863"/>
      <c r="VYL50" s="863"/>
      <c r="VYM50" s="863"/>
      <c r="VYN50" s="863"/>
      <c r="VYO50" s="863"/>
      <c r="VYP50" s="863"/>
      <c r="VYQ50" s="863"/>
      <c r="VYR50" s="863"/>
      <c r="VYS50" s="863"/>
      <c r="VYT50" s="863"/>
      <c r="VYU50" s="863"/>
      <c r="VYV50" s="863"/>
      <c r="VYW50" s="863"/>
      <c r="VYX50" s="863"/>
      <c r="VYY50" s="863"/>
      <c r="VYZ50" s="863"/>
      <c r="VZA50" s="863"/>
      <c r="VZB50" s="863"/>
      <c r="VZC50" s="863"/>
      <c r="VZD50" s="863"/>
      <c r="VZE50" s="883"/>
      <c r="VZF50" s="883"/>
      <c r="VZG50" s="883"/>
      <c r="VZH50" s="883"/>
      <c r="VZI50" s="883"/>
      <c r="VZJ50" s="883"/>
      <c r="VZK50" s="883"/>
      <c r="VZL50" s="883"/>
      <c r="VZM50" s="883"/>
      <c r="VZN50" s="863"/>
      <c r="VZO50" s="863"/>
      <c r="VZP50" s="863"/>
      <c r="VZQ50" s="863"/>
      <c r="VZR50" s="863"/>
      <c r="VZS50" s="863"/>
      <c r="VZT50" s="863"/>
      <c r="VZU50" s="863"/>
      <c r="VZV50" s="863"/>
      <c r="VZW50" s="863"/>
      <c r="VZX50" s="863"/>
      <c r="VZY50" s="863"/>
      <c r="VZZ50" s="863"/>
      <c r="WAA50" s="863"/>
      <c r="WAB50" s="863"/>
      <c r="WAC50" s="863"/>
      <c r="WAD50" s="863"/>
      <c r="WAE50" s="863"/>
      <c r="WAF50" s="863"/>
      <c r="WAG50" s="863"/>
      <c r="WAH50" s="863"/>
      <c r="WAI50" s="863"/>
      <c r="WAJ50" s="863"/>
      <c r="WAK50" s="883"/>
      <c r="WAL50" s="883"/>
      <c r="WAM50" s="883"/>
      <c r="WAN50" s="883"/>
      <c r="WAO50" s="883"/>
      <c r="WAP50" s="883"/>
      <c r="WAQ50" s="883"/>
      <c r="WAR50" s="883"/>
      <c r="WAS50" s="883"/>
      <c r="WAT50" s="863"/>
      <c r="WAU50" s="863"/>
      <c r="WAV50" s="863"/>
      <c r="WAW50" s="863"/>
      <c r="WAX50" s="863"/>
      <c r="WAY50" s="863"/>
      <c r="WAZ50" s="863"/>
      <c r="WBA50" s="863"/>
      <c r="WBB50" s="863"/>
      <c r="WBC50" s="863"/>
      <c r="WBD50" s="863"/>
      <c r="WBE50" s="863"/>
      <c r="WBF50" s="863"/>
      <c r="WBG50" s="863"/>
      <c r="WBH50" s="863"/>
      <c r="WBI50" s="863"/>
      <c r="WBJ50" s="863"/>
      <c r="WBK50" s="863"/>
      <c r="WBL50" s="863"/>
      <c r="WBM50" s="863"/>
      <c r="WBN50" s="863"/>
      <c r="WBO50" s="863"/>
      <c r="WBP50" s="863"/>
      <c r="WBQ50" s="883"/>
      <c r="WBR50" s="883"/>
      <c r="WBS50" s="883"/>
      <c r="WBT50" s="883"/>
      <c r="WBU50" s="883"/>
      <c r="WBV50" s="883"/>
      <c r="WBW50" s="883"/>
      <c r="WBX50" s="883"/>
      <c r="WBY50" s="883"/>
      <c r="WBZ50" s="863"/>
      <c r="WCA50" s="863"/>
      <c r="WCB50" s="863"/>
      <c r="WCC50" s="863"/>
      <c r="WCD50" s="863"/>
      <c r="WCE50" s="863"/>
      <c r="WCF50" s="863"/>
      <c r="WCG50" s="863"/>
      <c r="WCH50" s="863"/>
      <c r="WCI50" s="863"/>
      <c r="WCJ50" s="863"/>
      <c r="WCK50" s="863"/>
      <c r="WCL50" s="863"/>
      <c r="WCM50" s="863"/>
      <c r="WCN50" s="863"/>
      <c r="WCO50" s="863"/>
      <c r="WCP50" s="863"/>
      <c r="WCQ50" s="863"/>
      <c r="WCR50" s="863"/>
      <c r="WCS50" s="863"/>
      <c r="WCT50" s="863"/>
      <c r="WCU50" s="863"/>
      <c r="WCV50" s="863"/>
      <c r="WCW50" s="883"/>
      <c r="WCX50" s="883"/>
      <c r="WCY50" s="883"/>
      <c r="WCZ50" s="883"/>
      <c r="WDA50" s="883"/>
      <c r="WDB50" s="883"/>
      <c r="WDC50" s="883"/>
      <c r="WDD50" s="883"/>
      <c r="WDE50" s="883"/>
      <c r="WDF50" s="863"/>
      <c r="WDG50" s="863"/>
      <c r="WDH50" s="863"/>
      <c r="WDI50" s="863"/>
      <c r="WDJ50" s="863"/>
      <c r="WDK50" s="863"/>
      <c r="WDL50" s="863"/>
      <c r="WDM50" s="863"/>
      <c r="WDN50" s="863"/>
      <c r="WDO50" s="863"/>
      <c r="WDP50" s="863"/>
      <c r="WDQ50" s="863"/>
      <c r="WDR50" s="863"/>
      <c r="WDS50" s="863"/>
      <c r="WDT50" s="863"/>
      <c r="WDU50" s="863"/>
      <c r="WDV50" s="863"/>
      <c r="WDW50" s="863"/>
      <c r="WDX50" s="863"/>
      <c r="WDY50" s="863"/>
      <c r="WDZ50" s="863"/>
      <c r="WEA50" s="863"/>
      <c r="WEB50" s="863"/>
      <c r="WEC50" s="883"/>
      <c r="WED50" s="883"/>
      <c r="WEE50" s="883"/>
      <c r="WEF50" s="883"/>
      <c r="WEG50" s="883"/>
      <c r="WEH50" s="883"/>
      <c r="WEI50" s="883"/>
      <c r="WEJ50" s="883"/>
      <c r="WEK50" s="883"/>
      <c r="WEL50" s="863"/>
      <c r="WEM50" s="863"/>
      <c r="WEN50" s="863"/>
      <c r="WEO50" s="863"/>
      <c r="WEP50" s="863"/>
      <c r="WEQ50" s="863"/>
      <c r="WER50" s="863"/>
      <c r="WES50" s="863"/>
      <c r="WET50" s="863"/>
      <c r="WEU50" s="863"/>
      <c r="WEV50" s="863"/>
      <c r="WEW50" s="863"/>
      <c r="WEX50" s="863"/>
      <c r="WEY50" s="863"/>
      <c r="WEZ50" s="863"/>
      <c r="WFA50" s="863"/>
      <c r="WFB50" s="863"/>
      <c r="WFC50" s="863"/>
      <c r="WFD50" s="863"/>
      <c r="WFE50" s="863"/>
      <c r="WFF50" s="863"/>
      <c r="WFG50" s="863"/>
      <c r="WFH50" s="863"/>
      <c r="WFI50" s="883"/>
      <c r="WFJ50" s="883"/>
      <c r="WFK50" s="883"/>
      <c r="WFL50" s="883"/>
      <c r="WFM50" s="883"/>
      <c r="WFN50" s="883"/>
      <c r="WFO50" s="883"/>
      <c r="WFP50" s="883"/>
      <c r="WFQ50" s="883"/>
      <c r="WFR50" s="863"/>
      <c r="WFS50" s="863"/>
      <c r="WFT50" s="863"/>
      <c r="WFU50" s="863"/>
      <c r="WFV50" s="863"/>
      <c r="WFW50" s="863"/>
      <c r="WFX50" s="863"/>
      <c r="WFY50" s="863"/>
      <c r="WFZ50" s="863"/>
      <c r="WGA50" s="863"/>
      <c r="WGB50" s="863"/>
      <c r="WGC50" s="863"/>
      <c r="WGD50" s="863"/>
      <c r="WGE50" s="863"/>
      <c r="WGF50" s="863"/>
      <c r="WGG50" s="863"/>
      <c r="WGH50" s="863"/>
      <c r="WGI50" s="863"/>
      <c r="WGJ50" s="863"/>
      <c r="WGK50" s="863"/>
      <c r="WGL50" s="863"/>
      <c r="WGM50" s="863"/>
      <c r="WGN50" s="863"/>
      <c r="WGO50" s="883"/>
      <c r="WGP50" s="883"/>
      <c r="WGQ50" s="883"/>
      <c r="WGR50" s="883"/>
      <c r="WGS50" s="883"/>
      <c r="WGT50" s="883"/>
      <c r="WGU50" s="883"/>
      <c r="WGV50" s="883"/>
      <c r="WGW50" s="883"/>
      <c r="WGX50" s="863"/>
      <c r="WGY50" s="863"/>
      <c r="WGZ50" s="863"/>
      <c r="WHA50" s="863"/>
      <c r="WHB50" s="863"/>
      <c r="WHC50" s="863"/>
      <c r="WHD50" s="863"/>
      <c r="WHE50" s="863"/>
      <c r="WHF50" s="863"/>
      <c r="WHG50" s="863"/>
      <c r="WHH50" s="863"/>
      <c r="WHI50" s="863"/>
      <c r="WHJ50" s="863"/>
      <c r="WHK50" s="863"/>
      <c r="WHL50" s="863"/>
      <c r="WHM50" s="863"/>
      <c r="WHN50" s="863"/>
      <c r="WHO50" s="863"/>
      <c r="WHP50" s="863"/>
      <c r="WHQ50" s="863"/>
      <c r="WHR50" s="863"/>
      <c r="WHS50" s="863"/>
      <c r="WHT50" s="863"/>
      <c r="WHU50" s="883"/>
      <c r="WHV50" s="883"/>
      <c r="WHW50" s="883"/>
      <c r="WHX50" s="883"/>
      <c r="WHY50" s="883"/>
      <c r="WHZ50" s="883"/>
      <c r="WIA50" s="883"/>
      <c r="WIB50" s="883"/>
      <c r="WIC50" s="883"/>
      <c r="WID50" s="863"/>
      <c r="WIE50" s="863"/>
      <c r="WIF50" s="863"/>
      <c r="WIG50" s="863"/>
      <c r="WIH50" s="863"/>
      <c r="WII50" s="863"/>
      <c r="WIJ50" s="863"/>
      <c r="WIK50" s="863"/>
      <c r="WIL50" s="863"/>
      <c r="WIM50" s="863"/>
      <c r="WIN50" s="863"/>
      <c r="WIO50" s="863"/>
      <c r="WIP50" s="863"/>
      <c r="WIQ50" s="863"/>
      <c r="WIR50" s="863"/>
      <c r="WIS50" s="863"/>
      <c r="WIT50" s="863"/>
      <c r="WIU50" s="863"/>
      <c r="WIV50" s="863"/>
      <c r="WIW50" s="863"/>
      <c r="WIX50" s="863"/>
      <c r="WIY50" s="863"/>
      <c r="WIZ50" s="863"/>
      <c r="WJA50" s="883"/>
      <c r="WJB50" s="883"/>
      <c r="WJC50" s="883"/>
      <c r="WJD50" s="883"/>
      <c r="WJE50" s="883"/>
      <c r="WJF50" s="883"/>
      <c r="WJG50" s="883"/>
      <c r="WJH50" s="883"/>
      <c r="WJI50" s="883"/>
      <c r="WJJ50" s="863"/>
      <c r="WJK50" s="863"/>
      <c r="WJL50" s="863"/>
      <c r="WJM50" s="863"/>
      <c r="WJN50" s="863"/>
      <c r="WJO50" s="863"/>
      <c r="WJP50" s="863"/>
      <c r="WJQ50" s="863"/>
      <c r="WJR50" s="863"/>
      <c r="WJS50" s="863"/>
      <c r="WJT50" s="863"/>
      <c r="WJU50" s="863"/>
      <c r="WJV50" s="863"/>
      <c r="WJW50" s="863"/>
      <c r="WJX50" s="863"/>
      <c r="WJY50" s="863"/>
      <c r="WJZ50" s="863"/>
      <c r="WKA50" s="863"/>
      <c r="WKB50" s="863"/>
      <c r="WKC50" s="863"/>
      <c r="WKD50" s="863"/>
      <c r="WKE50" s="863"/>
      <c r="WKF50" s="863"/>
      <c r="WKG50" s="883"/>
      <c r="WKH50" s="883"/>
      <c r="WKI50" s="883"/>
      <c r="WKJ50" s="883"/>
      <c r="WKK50" s="883"/>
      <c r="WKL50" s="883"/>
      <c r="WKM50" s="883"/>
      <c r="WKN50" s="883"/>
      <c r="WKO50" s="883"/>
      <c r="WKP50" s="863"/>
      <c r="WKQ50" s="863"/>
      <c r="WKR50" s="863"/>
      <c r="WKS50" s="863"/>
      <c r="WKT50" s="863"/>
      <c r="WKU50" s="863"/>
      <c r="WKV50" s="863"/>
      <c r="WKW50" s="863"/>
      <c r="WKX50" s="863"/>
      <c r="WKY50" s="863"/>
      <c r="WKZ50" s="863"/>
      <c r="WLA50" s="863"/>
      <c r="WLB50" s="863"/>
      <c r="WLC50" s="863"/>
      <c r="WLD50" s="863"/>
      <c r="WLE50" s="863"/>
      <c r="WLF50" s="863"/>
      <c r="WLG50" s="863"/>
      <c r="WLH50" s="863"/>
      <c r="WLI50" s="863"/>
      <c r="WLJ50" s="863"/>
      <c r="WLK50" s="863"/>
      <c r="WLL50" s="863"/>
      <c r="WLM50" s="883"/>
      <c r="WLN50" s="883"/>
      <c r="WLO50" s="883"/>
      <c r="WLP50" s="883"/>
      <c r="WLQ50" s="883"/>
      <c r="WLR50" s="883"/>
      <c r="WLS50" s="883"/>
      <c r="WLT50" s="883"/>
      <c r="WLU50" s="883"/>
      <c r="WLV50" s="863"/>
      <c r="WLW50" s="863"/>
      <c r="WLX50" s="863"/>
      <c r="WLY50" s="863"/>
      <c r="WLZ50" s="863"/>
      <c r="WMA50" s="863"/>
      <c r="WMB50" s="863"/>
      <c r="WMC50" s="863"/>
      <c r="WMD50" s="863"/>
      <c r="WME50" s="863"/>
      <c r="WMF50" s="863"/>
      <c r="WMG50" s="863"/>
      <c r="WMH50" s="863"/>
      <c r="WMI50" s="863"/>
      <c r="WMJ50" s="863"/>
      <c r="WMK50" s="863"/>
      <c r="WML50" s="863"/>
      <c r="WMM50" s="863"/>
      <c r="WMN50" s="863"/>
      <c r="WMO50" s="863"/>
      <c r="WMP50" s="863"/>
      <c r="WMQ50" s="863"/>
      <c r="WMR50" s="863"/>
      <c r="WMS50" s="883"/>
      <c r="WMT50" s="883"/>
      <c r="WMU50" s="883"/>
      <c r="WMV50" s="883"/>
      <c r="WMW50" s="883"/>
      <c r="WMX50" s="883"/>
      <c r="WMY50" s="883"/>
      <c r="WMZ50" s="883"/>
      <c r="WNA50" s="883"/>
      <c r="WNB50" s="863"/>
      <c r="WNC50" s="863"/>
      <c r="WND50" s="863"/>
      <c r="WNE50" s="863"/>
      <c r="WNF50" s="863"/>
      <c r="WNG50" s="863"/>
      <c r="WNH50" s="863"/>
      <c r="WNI50" s="863"/>
      <c r="WNJ50" s="863"/>
      <c r="WNK50" s="863"/>
      <c r="WNL50" s="863"/>
      <c r="WNM50" s="863"/>
      <c r="WNN50" s="863"/>
      <c r="WNO50" s="863"/>
      <c r="WNP50" s="863"/>
      <c r="WNQ50" s="863"/>
      <c r="WNR50" s="863"/>
      <c r="WNS50" s="863"/>
      <c r="WNT50" s="863"/>
      <c r="WNU50" s="863"/>
      <c r="WNV50" s="863"/>
      <c r="WNW50" s="863"/>
      <c r="WNX50" s="863"/>
      <c r="WNY50" s="883"/>
      <c r="WNZ50" s="883"/>
      <c r="WOA50" s="883"/>
      <c r="WOB50" s="883"/>
      <c r="WOC50" s="883"/>
      <c r="WOD50" s="883"/>
      <c r="WOE50" s="883"/>
      <c r="WOF50" s="883"/>
      <c r="WOG50" s="883"/>
      <c r="WOH50" s="863"/>
      <c r="WOI50" s="863"/>
      <c r="WOJ50" s="863"/>
      <c r="WOK50" s="863"/>
      <c r="WOL50" s="863"/>
      <c r="WOM50" s="863"/>
      <c r="WON50" s="863"/>
      <c r="WOO50" s="863"/>
      <c r="WOP50" s="863"/>
      <c r="WOQ50" s="863"/>
      <c r="WOR50" s="863"/>
      <c r="WOS50" s="863"/>
      <c r="WOT50" s="863"/>
      <c r="WOU50" s="863"/>
      <c r="WOV50" s="863"/>
      <c r="WOW50" s="863"/>
      <c r="WOX50" s="863"/>
      <c r="WOY50" s="863"/>
      <c r="WOZ50" s="863"/>
      <c r="WPA50" s="863"/>
      <c r="WPB50" s="863"/>
      <c r="WPC50" s="863"/>
      <c r="WPD50" s="863"/>
      <c r="WPE50" s="883"/>
      <c r="WPF50" s="883"/>
      <c r="WPG50" s="883"/>
      <c r="WPH50" s="883"/>
      <c r="WPI50" s="883"/>
      <c r="WPJ50" s="883"/>
      <c r="WPK50" s="883"/>
      <c r="WPL50" s="883"/>
      <c r="WPM50" s="883"/>
      <c r="WPN50" s="863"/>
      <c r="WPO50" s="863"/>
      <c r="WPP50" s="863"/>
      <c r="WPQ50" s="863"/>
      <c r="WPR50" s="863"/>
      <c r="WPS50" s="863"/>
      <c r="WPT50" s="863"/>
      <c r="WPU50" s="863"/>
      <c r="WPV50" s="863"/>
      <c r="WPW50" s="863"/>
      <c r="WPX50" s="863"/>
      <c r="WPY50" s="863"/>
      <c r="WPZ50" s="863"/>
      <c r="WQA50" s="863"/>
      <c r="WQB50" s="863"/>
      <c r="WQC50" s="863"/>
      <c r="WQD50" s="863"/>
      <c r="WQE50" s="863"/>
      <c r="WQF50" s="863"/>
      <c r="WQG50" s="863"/>
      <c r="WQH50" s="863"/>
      <c r="WQI50" s="863"/>
      <c r="WQJ50" s="863"/>
      <c r="WQK50" s="883"/>
      <c r="WQL50" s="883"/>
      <c r="WQM50" s="883"/>
      <c r="WQN50" s="883"/>
      <c r="WQO50" s="883"/>
      <c r="WQP50" s="883"/>
      <c r="WQQ50" s="883"/>
      <c r="WQR50" s="883"/>
      <c r="WQS50" s="883"/>
      <c r="WQT50" s="863"/>
      <c r="WQU50" s="863"/>
      <c r="WQV50" s="863"/>
      <c r="WQW50" s="863"/>
      <c r="WQX50" s="863"/>
      <c r="WQY50" s="863"/>
      <c r="WQZ50" s="863"/>
      <c r="WRA50" s="863"/>
      <c r="WRB50" s="863"/>
      <c r="WRC50" s="863"/>
      <c r="WRD50" s="863"/>
      <c r="WRE50" s="863"/>
      <c r="WRF50" s="863"/>
      <c r="WRG50" s="863"/>
      <c r="WRH50" s="863"/>
      <c r="WRI50" s="863"/>
      <c r="WRJ50" s="863"/>
      <c r="WRK50" s="863"/>
      <c r="WRL50" s="863"/>
      <c r="WRM50" s="863"/>
      <c r="WRN50" s="863"/>
      <c r="WRO50" s="863"/>
      <c r="WRP50" s="863"/>
      <c r="WRQ50" s="883"/>
      <c r="WRR50" s="883"/>
      <c r="WRS50" s="883"/>
      <c r="WRT50" s="883"/>
      <c r="WRU50" s="883"/>
      <c r="WRV50" s="883"/>
      <c r="WRW50" s="883"/>
      <c r="WRX50" s="883"/>
      <c r="WRY50" s="883"/>
      <c r="WRZ50" s="863"/>
      <c r="WSA50" s="863"/>
      <c r="WSB50" s="863"/>
      <c r="WSC50" s="863"/>
      <c r="WSD50" s="863"/>
      <c r="WSE50" s="863"/>
      <c r="WSF50" s="863"/>
      <c r="WSG50" s="863"/>
      <c r="WSH50" s="863"/>
      <c r="WSI50" s="863"/>
      <c r="WSJ50" s="863"/>
      <c r="WSK50" s="863"/>
      <c r="WSL50" s="863"/>
      <c r="WSM50" s="863"/>
      <c r="WSN50" s="863"/>
      <c r="WSO50" s="863"/>
      <c r="WSP50" s="863"/>
      <c r="WSQ50" s="863"/>
      <c r="WSR50" s="863"/>
      <c r="WSS50" s="863"/>
      <c r="WST50" s="863"/>
      <c r="WSU50" s="863"/>
      <c r="WSV50" s="863"/>
      <c r="WSW50" s="883"/>
      <c r="WSX50" s="883"/>
      <c r="WSY50" s="883"/>
      <c r="WSZ50" s="883"/>
      <c r="WTA50" s="883"/>
      <c r="WTB50" s="883"/>
      <c r="WTC50" s="883"/>
      <c r="WTD50" s="883"/>
      <c r="WTE50" s="883"/>
      <c r="WTF50" s="863"/>
      <c r="WTG50" s="863"/>
      <c r="WTH50" s="863"/>
      <c r="WTI50" s="863"/>
      <c r="WTJ50" s="863"/>
      <c r="WTK50" s="863"/>
      <c r="WTL50" s="863"/>
      <c r="WTM50" s="863"/>
      <c r="WTN50" s="863"/>
      <c r="WTO50" s="863"/>
      <c r="WTP50" s="863"/>
      <c r="WTQ50" s="863"/>
      <c r="WTR50" s="863"/>
      <c r="WTS50" s="863"/>
      <c r="WTT50" s="863"/>
      <c r="WTU50" s="863"/>
      <c r="WTV50" s="863"/>
      <c r="WTW50" s="863"/>
      <c r="WTX50" s="863"/>
      <c r="WTY50" s="863"/>
      <c r="WTZ50" s="863"/>
      <c r="WUA50" s="863"/>
      <c r="WUB50" s="863"/>
      <c r="WUC50" s="883"/>
      <c r="WUD50" s="883"/>
      <c r="WUE50" s="883"/>
      <c r="WUF50" s="883"/>
      <c r="WUG50" s="883"/>
      <c r="WUH50" s="883"/>
      <c r="WUI50" s="883"/>
      <c r="WUJ50" s="883"/>
      <c r="WUK50" s="883"/>
      <c r="WUL50" s="863"/>
      <c r="WUM50" s="863"/>
      <c r="WUN50" s="863"/>
      <c r="WUO50" s="863"/>
      <c r="WUP50" s="863"/>
      <c r="WUQ50" s="863"/>
      <c r="WUR50" s="863"/>
      <c r="WUS50" s="863"/>
      <c r="WUT50" s="863"/>
      <c r="WUU50" s="863"/>
      <c r="WUV50" s="863"/>
      <c r="WUW50" s="863"/>
      <c r="WUX50" s="863"/>
      <c r="WUY50" s="863"/>
      <c r="WUZ50" s="863"/>
      <c r="WVA50" s="863"/>
      <c r="WVB50" s="863"/>
      <c r="WVC50" s="863"/>
      <c r="WVD50" s="863"/>
      <c r="WVE50" s="863"/>
      <c r="WVF50" s="863"/>
      <c r="WVG50" s="863"/>
      <c r="WVH50" s="863"/>
      <c r="WVI50" s="883"/>
      <c r="WVJ50" s="883"/>
      <c r="WVK50" s="883"/>
      <c r="WVL50" s="883"/>
      <c r="WVM50" s="883"/>
      <c r="WVN50" s="883"/>
      <c r="WVO50" s="883"/>
      <c r="WVP50" s="883"/>
      <c r="WVQ50" s="883"/>
      <c r="WVR50" s="863"/>
      <c r="WVS50" s="863"/>
      <c r="WVT50" s="863"/>
      <c r="WVU50" s="863"/>
      <c r="WVV50" s="863"/>
      <c r="WVW50" s="863"/>
      <c r="WVX50" s="863"/>
      <c r="WVY50" s="863"/>
      <c r="WVZ50" s="863"/>
      <c r="WWA50" s="863"/>
      <c r="WWB50" s="863"/>
      <c r="WWC50" s="863"/>
      <c r="WWD50" s="863"/>
      <c r="WWE50" s="863"/>
      <c r="WWF50" s="863"/>
      <c r="WWG50" s="863"/>
      <c r="WWH50" s="863"/>
      <c r="WWI50" s="863"/>
      <c r="WWJ50" s="863"/>
      <c r="WWK50" s="863"/>
      <c r="WWL50" s="863"/>
      <c r="WWM50" s="863"/>
      <c r="WWN50" s="863"/>
      <c r="WWO50" s="883"/>
      <c r="WWP50" s="883"/>
      <c r="WWQ50" s="883"/>
      <c r="WWR50" s="883"/>
      <c r="WWS50" s="883"/>
      <c r="WWT50" s="883"/>
      <c r="WWU50" s="883"/>
      <c r="WWV50" s="883"/>
      <c r="WWW50" s="883"/>
      <c r="WWX50" s="863"/>
      <c r="WWY50" s="863"/>
      <c r="WWZ50" s="863"/>
      <c r="WXA50" s="863"/>
      <c r="WXB50" s="863"/>
      <c r="WXC50" s="863"/>
      <c r="WXD50" s="863"/>
      <c r="WXE50" s="863"/>
      <c r="WXF50" s="863"/>
      <c r="WXG50" s="863"/>
      <c r="WXH50" s="863"/>
      <c r="WXI50" s="863"/>
      <c r="WXJ50" s="863"/>
      <c r="WXK50" s="863"/>
      <c r="WXL50" s="863"/>
      <c r="WXM50" s="863"/>
      <c r="WXN50" s="863"/>
      <c r="WXO50" s="863"/>
      <c r="WXP50" s="863"/>
      <c r="WXQ50" s="863"/>
      <c r="WXR50" s="863"/>
      <c r="WXS50" s="863"/>
      <c r="WXT50" s="863"/>
      <c r="WXU50" s="883"/>
      <c r="WXV50" s="883"/>
      <c r="WXW50" s="883"/>
      <c r="WXX50" s="883"/>
      <c r="WXY50" s="883"/>
      <c r="WXZ50" s="883"/>
      <c r="WYA50" s="883"/>
      <c r="WYB50" s="883"/>
      <c r="WYC50" s="883"/>
      <c r="WYD50" s="863"/>
      <c r="WYE50" s="863"/>
      <c r="WYF50" s="863"/>
      <c r="WYG50" s="863"/>
      <c r="WYH50" s="863"/>
      <c r="WYI50" s="863"/>
      <c r="WYJ50" s="863"/>
      <c r="WYK50" s="863"/>
      <c r="WYL50" s="863"/>
      <c r="WYM50" s="863"/>
      <c r="WYN50" s="863"/>
      <c r="WYO50" s="863"/>
      <c r="WYP50" s="863"/>
      <c r="WYQ50" s="863"/>
      <c r="WYR50" s="863"/>
      <c r="WYS50" s="863"/>
      <c r="WYT50" s="863"/>
      <c r="WYU50" s="863"/>
      <c r="WYV50" s="863"/>
      <c r="WYW50" s="863"/>
      <c r="WYX50" s="863"/>
      <c r="WYY50" s="863"/>
      <c r="WYZ50" s="863"/>
      <c r="WZA50" s="883"/>
      <c r="WZB50" s="883"/>
      <c r="WZC50" s="883"/>
      <c r="WZD50" s="883"/>
      <c r="WZE50" s="883"/>
      <c r="WZF50" s="883"/>
      <c r="WZG50" s="883"/>
      <c r="WZH50" s="883"/>
      <c r="WZI50" s="883"/>
      <c r="WZJ50" s="863"/>
      <c r="WZK50" s="863"/>
      <c r="WZL50" s="863"/>
      <c r="WZM50" s="863"/>
      <c r="WZN50" s="863"/>
      <c r="WZO50" s="863"/>
      <c r="WZP50" s="863"/>
      <c r="WZQ50" s="863"/>
      <c r="WZR50" s="863"/>
      <c r="WZS50" s="863"/>
      <c r="WZT50" s="863"/>
      <c r="WZU50" s="863"/>
      <c r="WZV50" s="863"/>
      <c r="WZW50" s="863"/>
      <c r="WZX50" s="863"/>
      <c r="WZY50" s="863"/>
      <c r="WZZ50" s="863"/>
      <c r="XAA50" s="863"/>
      <c r="XAB50" s="863"/>
      <c r="XAC50" s="863"/>
      <c r="XAD50" s="863"/>
      <c r="XAE50" s="863"/>
      <c r="XAF50" s="863"/>
      <c r="XAG50" s="883"/>
      <c r="XAH50" s="883"/>
      <c r="XAI50" s="883"/>
      <c r="XAJ50" s="883"/>
      <c r="XAK50" s="883"/>
      <c r="XAL50" s="883"/>
      <c r="XAM50" s="883"/>
      <c r="XAN50" s="883"/>
      <c r="XAO50" s="883"/>
      <c r="XAP50" s="863"/>
      <c r="XAQ50" s="863"/>
      <c r="XAR50" s="863"/>
      <c r="XAS50" s="863"/>
      <c r="XAT50" s="863"/>
      <c r="XAU50" s="863"/>
      <c r="XAV50" s="863"/>
      <c r="XAW50" s="863"/>
      <c r="XAX50" s="863"/>
      <c r="XAY50" s="863"/>
      <c r="XAZ50" s="863"/>
      <c r="XBA50" s="863"/>
      <c r="XBB50" s="863"/>
      <c r="XBC50" s="863"/>
      <c r="XBD50" s="863"/>
      <c r="XBE50" s="863"/>
      <c r="XBF50" s="863"/>
      <c r="XBG50" s="863"/>
      <c r="XBH50" s="863"/>
      <c r="XBI50" s="863"/>
      <c r="XBJ50" s="863"/>
      <c r="XBK50" s="863"/>
      <c r="XBL50" s="863"/>
      <c r="XBM50" s="883"/>
      <c r="XBN50" s="883"/>
      <c r="XBO50" s="883"/>
      <c r="XBP50" s="883"/>
      <c r="XBQ50" s="883"/>
      <c r="XBR50" s="883"/>
      <c r="XBS50" s="883"/>
      <c r="XBT50" s="883"/>
      <c r="XBU50" s="883"/>
      <c r="XBV50" s="863"/>
      <c r="XBW50" s="863"/>
      <c r="XBX50" s="863"/>
      <c r="XBY50" s="863"/>
      <c r="XBZ50" s="863"/>
      <c r="XCA50" s="863"/>
      <c r="XCB50" s="863"/>
      <c r="XCC50" s="863"/>
      <c r="XCD50" s="863"/>
      <c r="XCE50" s="863"/>
      <c r="XCF50" s="863"/>
      <c r="XCG50" s="863"/>
      <c r="XCH50" s="863"/>
      <c r="XCI50" s="863"/>
      <c r="XCJ50" s="863"/>
      <c r="XCK50" s="863"/>
      <c r="XCL50" s="863"/>
      <c r="XCM50" s="863"/>
      <c r="XCN50" s="863"/>
      <c r="XCO50" s="863"/>
      <c r="XCP50" s="863"/>
      <c r="XCQ50" s="863"/>
      <c r="XCR50" s="863"/>
      <c r="XCS50" s="883"/>
      <c r="XCT50" s="883"/>
      <c r="XCU50" s="883"/>
      <c r="XCV50" s="883"/>
      <c r="XCW50" s="883"/>
      <c r="XCX50" s="883"/>
      <c r="XCY50" s="883"/>
      <c r="XCZ50" s="883"/>
      <c r="XDA50" s="883"/>
      <c r="XDB50" s="863"/>
      <c r="XDC50" s="863"/>
      <c r="XDD50" s="863"/>
      <c r="XDE50" s="863"/>
      <c r="XDF50" s="863"/>
      <c r="XDG50" s="863"/>
      <c r="XDH50" s="863"/>
      <c r="XDI50" s="863"/>
      <c r="XDJ50" s="863"/>
      <c r="XDK50" s="863"/>
      <c r="XDL50" s="863"/>
      <c r="XDM50" s="863"/>
      <c r="XDN50" s="863"/>
      <c r="XDO50" s="863"/>
      <c r="XDP50" s="863"/>
      <c r="XDQ50" s="863"/>
      <c r="XDR50" s="863"/>
      <c r="XDS50" s="863"/>
      <c r="XDT50" s="863"/>
      <c r="XDU50" s="863"/>
      <c r="XDV50" s="863"/>
      <c r="XDW50" s="863"/>
      <c r="XDX50" s="863"/>
      <c r="XDY50" s="883"/>
      <c r="XDZ50" s="883"/>
      <c r="XEA50" s="883"/>
      <c r="XEB50" s="883"/>
      <c r="XEC50" s="883"/>
      <c r="XED50" s="883"/>
      <c r="XEE50" s="883"/>
      <c r="XEF50" s="883"/>
      <c r="XEG50" s="883"/>
      <c r="XEH50" s="863"/>
      <c r="XEI50" s="863"/>
      <c r="XEJ50" s="863"/>
      <c r="XEK50" s="863"/>
      <c r="XEL50" s="863"/>
      <c r="XEM50" s="863"/>
      <c r="XEN50" s="863"/>
      <c r="XEO50" s="863"/>
      <c r="XEP50" s="863"/>
      <c r="XEQ50" s="863"/>
      <c r="XER50" s="863"/>
      <c r="XES50" s="863"/>
      <c r="XET50" s="863"/>
      <c r="XEU50" s="863"/>
      <c r="XEV50" s="863"/>
      <c r="XEW50" s="863"/>
      <c r="XEX50" s="863"/>
      <c r="XEY50" s="863"/>
      <c r="XEZ50" s="863"/>
      <c r="XFA50" s="863"/>
      <c r="XFB50" s="863"/>
      <c r="XFC50" s="863"/>
      <c r="XFD50" s="863"/>
    </row>
    <row r="51" spans="1:16384" ht="30.75" customHeight="1" x14ac:dyDescent="0.3">
      <c r="A51" s="885" t="s">
        <v>2384</v>
      </c>
      <c r="B51" s="885"/>
      <c r="C51" s="885"/>
      <c r="D51" s="885"/>
      <c r="E51" s="885"/>
      <c r="F51" s="885"/>
      <c r="G51" s="885"/>
      <c r="H51" s="885"/>
      <c r="I51" s="885"/>
      <c r="J51" s="863" t="s">
        <v>2399</v>
      </c>
      <c r="K51" s="863"/>
      <c r="L51" s="863"/>
      <c r="M51" s="863"/>
      <c r="N51" s="863"/>
      <c r="O51" s="863"/>
      <c r="P51" s="863"/>
      <c r="Q51" s="863"/>
      <c r="R51" s="863"/>
      <c r="S51" s="863"/>
      <c r="T51" s="863"/>
      <c r="U51" s="863"/>
      <c r="V51" s="863"/>
      <c r="W51" s="863"/>
      <c r="X51" s="863"/>
      <c r="Y51" s="863"/>
      <c r="Z51" s="863"/>
      <c r="AA51" s="863"/>
      <c r="AB51" s="863"/>
      <c r="AC51" s="863"/>
      <c r="AD51" s="863"/>
      <c r="AE51" s="863"/>
      <c r="AF51" s="863"/>
    </row>
    <row r="52" spans="1:16384" ht="52.5" customHeight="1" x14ac:dyDescent="0.3">
      <c r="A52" s="885" t="s">
        <v>2384</v>
      </c>
      <c r="B52" s="885"/>
      <c r="C52" s="885"/>
      <c r="D52" s="885"/>
      <c r="E52" s="885"/>
      <c r="F52" s="885"/>
      <c r="G52" s="885"/>
      <c r="H52" s="885"/>
      <c r="I52" s="885"/>
      <c r="J52" s="863" t="s">
        <v>2400</v>
      </c>
      <c r="K52" s="863"/>
      <c r="L52" s="863"/>
      <c r="M52" s="863"/>
      <c r="N52" s="863"/>
      <c r="O52" s="863"/>
      <c r="P52" s="863"/>
      <c r="Q52" s="863"/>
      <c r="R52" s="863"/>
      <c r="S52" s="863"/>
      <c r="T52" s="863"/>
      <c r="U52" s="863"/>
      <c r="V52" s="863"/>
      <c r="W52" s="863"/>
      <c r="X52" s="863"/>
      <c r="Y52" s="863"/>
      <c r="Z52" s="863"/>
      <c r="AA52" s="863"/>
      <c r="AB52" s="863"/>
      <c r="AC52" s="863"/>
      <c r="AD52" s="863"/>
      <c r="AE52" s="863"/>
      <c r="AF52" s="863"/>
    </row>
    <row r="54" spans="1:16384" ht="33" customHeight="1" x14ac:dyDescent="0.3">
      <c r="A54" s="883" t="s">
        <v>2394</v>
      </c>
      <c r="B54" s="883"/>
      <c r="C54" s="883"/>
      <c r="D54" s="883"/>
      <c r="E54" s="883"/>
      <c r="F54" s="883"/>
      <c r="G54" s="883"/>
      <c r="H54" s="883"/>
      <c r="I54" s="883"/>
      <c r="J54" s="863" t="s">
        <v>2395</v>
      </c>
      <c r="K54" s="863"/>
      <c r="L54" s="863"/>
      <c r="M54" s="863"/>
      <c r="N54" s="863"/>
      <c r="O54" s="863"/>
      <c r="P54" s="863"/>
      <c r="Q54" s="863"/>
      <c r="R54" s="863"/>
      <c r="S54" s="863"/>
      <c r="T54" s="863"/>
      <c r="U54" s="863"/>
      <c r="V54" s="863"/>
      <c r="W54" s="863"/>
      <c r="X54" s="863"/>
      <c r="Y54" s="863"/>
      <c r="Z54" s="863"/>
      <c r="AA54" s="863"/>
      <c r="AB54" s="863"/>
      <c r="AC54" s="863"/>
      <c r="AD54" s="863"/>
      <c r="AE54" s="863"/>
      <c r="AF54" s="863"/>
    </row>
    <row r="55" spans="1:16384" x14ac:dyDescent="0.3">
      <c r="A55" s="133"/>
      <c r="B55" s="133"/>
      <c r="C55" s="133"/>
      <c r="D55" s="133"/>
      <c r="E55" s="133"/>
      <c r="F55" s="133"/>
      <c r="G55" s="133"/>
      <c r="H55" s="133"/>
      <c r="I55" s="133"/>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pans="1:16384" ht="51.75" customHeight="1" x14ac:dyDescent="0.3">
      <c r="A56" s="883" t="s">
        <v>2857</v>
      </c>
      <c r="B56" s="883"/>
      <c r="C56" s="883"/>
      <c r="D56" s="883"/>
      <c r="E56" s="883"/>
      <c r="F56" s="883"/>
      <c r="G56" s="883"/>
      <c r="H56" s="883"/>
      <c r="I56" s="883"/>
      <c r="J56" s="863" t="s">
        <v>2858</v>
      </c>
      <c r="K56" s="863"/>
      <c r="L56" s="863"/>
      <c r="M56" s="863"/>
      <c r="N56" s="863"/>
      <c r="O56" s="863"/>
      <c r="P56" s="863"/>
      <c r="Q56" s="863"/>
      <c r="R56" s="863"/>
      <c r="S56" s="863"/>
      <c r="T56" s="863"/>
      <c r="U56" s="863"/>
      <c r="V56" s="863"/>
      <c r="W56" s="863"/>
      <c r="X56" s="863"/>
      <c r="Y56" s="863"/>
      <c r="Z56" s="863"/>
      <c r="AA56" s="863"/>
      <c r="AB56" s="863"/>
      <c r="AC56" s="863"/>
      <c r="AD56" s="863"/>
      <c r="AE56" s="863"/>
      <c r="AF56" s="863"/>
    </row>
    <row r="58" spans="1:16384" ht="36.75" customHeight="1" x14ac:dyDescent="0.3">
      <c r="A58" s="883" t="s">
        <v>428</v>
      </c>
      <c r="B58" s="883"/>
      <c r="C58" s="883"/>
      <c r="D58" s="883"/>
      <c r="E58" s="883"/>
      <c r="F58" s="883"/>
      <c r="G58" s="883"/>
      <c r="H58" s="883"/>
      <c r="I58" s="883"/>
      <c r="J58" s="863" t="s">
        <v>2396</v>
      </c>
      <c r="K58" s="863"/>
      <c r="L58" s="863"/>
      <c r="M58" s="863"/>
      <c r="N58" s="863"/>
      <c r="O58" s="863"/>
      <c r="P58" s="863"/>
      <c r="Q58" s="863"/>
      <c r="R58" s="863"/>
      <c r="S58" s="863"/>
      <c r="T58" s="863"/>
      <c r="U58" s="863"/>
      <c r="V58" s="863"/>
      <c r="W58" s="863"/>
      <c r="X58" s="863"/>
      <c r="Y58" s="863"/>
      <c r="Z58" s="863"/>
      <c r="AA58" s="863"/>
      <c r="AB58" s="863"/>
      <c r="AC58" s="863"/>
      <c r="AD58" s="863"/>
      <c r="AE58" s="863"/>
      <c r="AF58" s="863"/>
    </row>
    <row r="60" spans="1:16384" ht="54.75" customHeight="1" x14ac:dyDescent="0.3">
      <c r="A60" s="883" t="s">
        <v>2401</v>
      </c>
      <c r="B60" s="883"/>
      <c r="C60" s="883"/>
      <c r="D60" s="883"/>
      <c r="E60" s="883"/>
      <c r="F60" s="883"/>
      <c r="G60" s="883"/>
      <c r="H60" s="883"/>
      <c r="I60" s="883"/>
      <c r="J60" s="863" t="s">
        <v>2402</v>
      </c>
      <c r="K60" s="863"/>
      <c r="L60" s="863"/>
      <c r="M60" s="863"/>
      <c r="N60" s="863"/>
      <c r="O60" s="863"/>
      <c r="P60" s="863"/>
      <c r="Q60" s="863"/>
      <c r="R60" s="863"/>
      <c r="S60" s="863"/>
      <c r="T60" s="863"/>
      <c r="U60" s="863"/>
      <c r="V60" s="863"/>
      <c r="W60" s="863"/>
      <c r="X60" s="863"/>
      <c r="Y60" s="863"/>
      <c r="Z60" s="863"/>
      <c r="AA60" s="863"/>
      <c r="AB60" s="863"/>
      <c r="AC60" s="863"/>
      <c r="AD60" s="863"/>
      <c r="AE60" s="863"/>
      <c r="AF60" s="863"/>
    </row>
    <row r="62" spans="1:16384" ht="157.5" customHeight="1" x14ac:dyDescent="0.3">
      <c r="A62" s="883" t="s">
        <v>2404</v>
      </c>
      <c r="B62" s="883"/>
      <c r="C62" s="883"/>
      <c r="D62" s="883"/>
      <c r="E62" s="883"/>
      <c r="F62" s="883"/>
      <c r="G62" s="883"/>
      <c r="H62" s="883"/>
      <c r="I62" s="883"/>
      <c r="J62" s="863" t="s">
        <v>2403</v>
      </c>
      <c r="K62" s="863"/>
      <c r="L62" s="863"/>
      <c r="M62" s="863"/>
      <c r="N62" s="863"/>
      <c r="O62" s="863"/>
      <c r="P62" s="863"/>
      <c r="Q62" s="863"/>
      <c r="R62" s="863"/>
      <c r="S62" s="863"/>
      <c r="T62" s="863"/>
      <c r="U62" s="863"/>
      <c r="V62" s="863"/>
      <c r="W62" s="863"/>
      <c r="X62" s="863"/>
      <c r="Y62" s="863"/>
      <c r="Z62" s="863"/>
      <c r="AA62" s="863"/>
      <c r="AB62" s="863"/>
      <c r="AC62" s="863"/>
      <c r="AD62" s="863"/>
      <c r="AE62" s="863"/>
      <c r="AF62" s="863"/>
    </row>
    <row r="63" spans="1:16384" x14ac:dyDescent="0.3">
      <c r="A63" s="133"/>
      <c r="B63" s="133"/>
      <c r="C63" s="133"/>
      <c r="D63" s="133"/>
      <c r="E63" s="133"/>
      <c r="F63" s="133"/>
      <c r="G63" s="133"/>
      <c r="H63" s="133"/>
      <c r="I63" s="133"/>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row>
    <row r="64" spans="1:16384" ht="93.75" customHeight="1" x14ac:dyDescent="0.3">
      <c r="A64" s="883" t="s">
        <v>2860</v>
      </c>
      <c r="B64" s="883"/>
      <c r="C64" s="883"/>
      <c r="D64" s="883"/>
      <c r="E64" s="883"/>
      <c r="F64" s="883"/>
      <c r="G64" s="883"/>
      <c r="H64" s="883"/>
      <c r="I64" s="883"/>
      <c r="J64" s="863" t="s">
        <v>2861</v>
      </c>
      <c r="K64" s="863"/>
      <c r="L64" s="863"/>
      <c r="M64" s="863"/>
      <c r="N64" s="863"/>
      <c r="O64" s="863"/>
      <c r="P64" s="863"/>
      <c r="Q64" s="863"/>
      <c r="R64" s="863"/>
      <c r="S64" s="863"/>
      <c r="T64" s="863"/>
      <c r="U64" s="863"/>
      <c r="V64" s="863"/>
      <c r="W64" s="863"/>
      <c r="X64" s="863"/>
      <c r="Y64" s="863"/>
      <c r="Z64" s="863"/>
      <c r="AA64" s="863"/>
      <c r="AB64" s="863"/>
      <c r="AC64" s="863"/>
      <c r="AD64" s="863"/>
      <c r="AE64" s="863"/>
      <c r="AF64" s="863"/>
    </row>
    <row r="65" spans="1:32" ht="15" customHeight="1" x14ac:dyDescent="0.3">
      <c r="A65" s="133"/>
      <c r="B65" s="133"/>
      <c r="C65" s="133"/>
      <c r="D65" s="133"/>
      <c r="E65" s="133"/>
      <c r="F65" s="133"/>
      <c r="G65" s="133"/>
      <c r="H65" s="133"/>
      <c r="I65" s="133"/>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row>
    <row r="66" spans="1:32" ht="79.5" customHeight="1" x14ac:dyDescent="0.3">
      <c r="A66" s="883" t="s">
        <v>2405</v>
      </c>
      <c r="B66" s="883"/>
      <c r="C66" s="883"/>
      <c r="D66" s="883"/>
      <c r="E66" s="883"/>
      <c r="F66" s="883"/>
      <c r="G66" s="883"/>
      <c r="H66" s="883"/>
      <c r="I66" s="883"/>
      <c r="J66" s="863" t="s">
        <v>2406</v>
      </c>
      <c r="K66" s="863"/>
      <c r="L66" s="863"/>
      <c r="M66" s="863"/>
      <c r="N66" s="863"/>
      <c r="O66" s="863"/>
      <c r="P66" s="863"/>
      <c r="Q66" s="863"/>
      <c r="R66" s="863"/>
      <c r="S66" s="863"/>
      <c r="T66" s="863"/>
      <c r="U66" s="863"/>
      <c r="V66" s="863"/>
      <c r="W66" s="863"/>
      <c r="X66" s="863"/>
      <c r="Y66" s="863"/>
      <c r="Z66" s="863"/>
      <c r="AA66" s="863"/>
      <c r="AB66" s="863"/>
      <c r="AC66" s="863"/>
      <c r="AD66" s="863"/>
      <c r="AE66" s="863"/>
      <c r="AF66" s="863"/>
    </row>
    <row r="67" spans="1:32" ht="68.25" customHeight="1" x14ac:dyDescent="0.3">
      <c r="J67" s="863" t="s">
        <v>2407</v>
      </c>
      <c r="K67" s="863"/>
      <c r="L67" s="863"/>
      <c r="M67" s="863"/>
      <c r="N67" s="863"/>
      <c r="O67" s="863"/>
      <c r="P67" s="863"/>
      <c r="Q67" s="863"/>
      <c r="R67" s="863"/>
      <c r="S67" s="863"/>
      <c r="T67" s="863"/>
      <c r="U67" s="863"/>
      <c r="V67" s="863"/>
      <c r="W67" s="863"/>
      <c r="X67" s="863"/>
      <c r="Y67" s="863"/>
      <c r="Z67" s="863"/>
      <c r="AA67" s="863"/>
      <c r="AB67" s="863"/>
      <c r="AC67" s="863"/>
      <c r="AD67" s="863"/>
      <c r="AE67" s="863"/>
      <c r="AF67" s="863"/>
    </row>
    <row r="68" spans="1:32" ht="40.5" customHeight="1" x14ac:dyDescent="0.3">
      <c r="A68" s="883"/>
      <c r="B68" s="883"/>
      <c r="C68" s="883"/>
      <c r="D68" s="883"/>
      <c r="E68" s="883"/>
      <c r="F68" s="883"/>
      <c r="G68" s="883"/>
      <c r="H68" s="883"/>
      <c r="I68" s="883"/>
      <c r="J68" s="863" t="s">
        <v>2408</v>
      </c>
      <c r="K68" s="863"/>
      <c r="L68" s="863"/>
      <c r="M68" s="863"/>
      <c r="N68" s="863"/>
      <c r="O68" s="863"/>
      <c r="P68" s="863"/>
      <c r="Q68" s="863"/>
      <c r="R68" s="863"/>
      <c r="S68" s="863"/>
      <c r="T68" s="863"/>
      <c r="U68" s="863"/>
      <c r="V68" s="863"/>
      <c r="W68" s="863"/>
      <c r="X68" s="863"/>
      <c r="Y68" s="863"/>
      <c r="Z68" s="863"/>
      <c r="AA68" s="863"/>
      <c r="AB68" s="863"/>
      <c r="AC68" s="863"/>
      <c r="AD68" s="863"/>
      <c r="AE68" s="863"/>
      <c r="AF68" s="863"/>
    </row>
    <row r="69" spans="1:32" x14ac:dyDescent="0.3">
      <c r="A69" s="133"/>
      <c r="B69" s="133"/>
      <c r="C69" s="133"/>
      <c r="D69" s="133"/>
      <c r="E69" s="133"/>
      <c r="F69" s="133"/>
      <c r="G69" s="133"/>
      <c r="H69" s="133"/>
      <c r="I69" s="133"/>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row>
    <row r="70" spans="1:32" ht="64.5" customHeight="1" x14ac:dyDescent="0.3">
      <c r="A70" s="883" t="s">
        <v>2490</v>
      </c>
      <c r="B70" s="883"/>
      <c r="C70" s="883"/>
      <c r="D70" s="883"/>
      <c r="E70" s="883"/>
      <c r="F70" s="883"/>
      <c r="G70" s="883"/>
      <c r="H70" s="883"/>
      <c r="I70" s="883"/>
      <c r="J70" s="863" t="s">
        <v>2491</v>
      </c>
      <c r="K70" s="863"/>
      <c r="L70" s="863"/>
      <c r="M70" s="863"/>
      <c r="N70" s="863"/>
      <c r="O70" s="863"/>
      <c r="P70" s="863"/>
      <c r="Q70" s="863"/>
      <c r="R70" s="863"/>
      <c r="S70" s="863"/>
      <c r="T70" s="863"/>
      <c r="U70" s="863"/>
      <c r="V70" s="863"/>
      <c r="W70" s="863"/>
      <c r="X70" s="863"/>
      <c r="Y70" s="863"/>
      <c r="Z70" s="863"/>
      <c r="AA70" s="863"/>
      <c r="AB70" s="863"/>
      <c r="AC70" s="863"/>
      <c r="AD70" s="863"/>
      <c r="AE70" s="863"/>
      <c r="AF70" s="863"/>
    </row>
    <row r="71" spans="1:32" x14ac:dyDescent="0.3">
      <c r="A71" s="133"/>
      <c r="B71" s="133"/>
      <c r="C71" s="133"/>
      <c r="D71" s="133"/>
      <c r="E71" s="133"/>
      <c r="F71" s="133"/>
      <c r="G71" s="133"/>
      <c r="H71" s="133"/>
      <c r="I71" s="133"/>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row>
    <row r="72" spans="1:32" ht="68.25" customHeight="1" x14ac:dyDescent="0.3">
      <c r="A72" s="883" t="s">
        <v>2487</v>
      </c>
      <c r="B72" s="883"/>
      <c r="C72" s="883"/>
      <c r="D72" s="883"/>
      <c r="E72" s="883"/>
      <c r="F72" s="883"/>
      <c r="G72" s="883"/>
      <c r="H72" s="883"/>
      <c r="I72" s="883"/>
      <c r="J72" s="884" t="s">
        <v>2488</v>
      </c>
      <c r="K72" s="884"/>
      <c r="L72" s="884"/>
      <c r="M72" s="884"/>
      <c r="N72" s="884"/>
      <c r="O72" s="884"/>
      <c r="P72" s="884"/>
      <c r="Q72" s="884"/>
      <c r="R72" s="884"/>
      <c r="S72" s="884"/>
      <c r="T72" s="884"/>
      <c r="U72" s="884"/>
      <c r="V72" s="884"/>
      <c r="W72" s="884"/>
      <c r="X72" s="884"/>
      <c r="Y72" s="884"/>
      <c r="Z72" s="884"/>
      <c r="AA72" s="884"/>
      <c r="AB72" s="884"/>
      <c r="AC72" s="884"/>
      <c r="AD72" s="884"/>
      <c r="AE72" s="884"/>
      <c r="AF72" s="884"/>
    </row>
    <row r="74" spans="1:32" ht="52.5" customHeight="1" x14ac:dyDescent="0.3">
      <c r="A74" s="883" t="s">
        <v>1132</v>
      </c>
      <c r="B74" s="883"/>
      <c r="C74" s="883"/>
      <c r="D74" s="883"/>
      <c r="E74" s="883"/>
      <c r="F74" s="883"/>
      <c r="G74" s="883"/>
      <c r="H74" s="883"/>
      <c r="I74" s="883"/>
      <c r="J74" s="884" t="s">
        <v>2863</v>
      </c>
      <c r="K74" s="884"/>
      <c r="L74" s="884"/>
      <c r="M74" s="884"/>
      <c r="N74" s="884"/>
      <c r="O74" s="884"/>
      <c r="P74" s="884"/>
      <c r="Q74" s="884"/>
      <c r="R74" s="884"/>
      <c r="S74" s="884"/>
      <c r="T74" s="884"/>
      <c r="U74" s="884"/>
      <c r="V74" s="884"/>
      <c r="W74" s="884"/>
      <c r="X74" s="884"/>
      <c r="Y74" s="884"/>
      <c r="Z74" s="884"/>
      <c r="AA74" s="884"/>
      <c r="AB74" s="884"/>
      <c r="AC74" s="884"/>
      <c r="AD74" s="884"/>
      <c r="AE74" s="884"/>
      <c r="AF74" s="884"/>
    </row>
    <row r="76" spans="1:32" ht="35.25" customHeight="1" x14ac:dyDescent="0.3">
      <c r="A76" s="883" t="s">
        <v>2409</v>
      </c>
      <c r="B76" s="883"/>
      <c r="C76" s="883"/>
      <c r="D76" s="883"/>
      <c r="E76" s="883"/>
      <c r="F76" s="883"/>
      <c r="G76" s="883"/>
      <c r="H76" s="883"/>
      <c r="I76" s="883"/>
      <c r="J76" s="863" t="s">
        <v>2410</v>
      </c>
      <c r="K76" s="863"/>
      <c r="L76" s="863"/>
      <c r="M76" s="863"/>
      <c r="N76" s="863"/>
      <c r="O76" s="863"/>
      <c r="P76" s="863"/>
      <c r="Q76" s="863"/>
      <c r="R76" s="863"/>
      <c r="S76" s="863"/>
      <c r="T76" s="863"/>
      <c r="U76" s="863"/>
      <c r="V76" s="863"/>
      <c r="W76" s="863"/>
      <c r="X76" s="863"/>
      <c r="Y76" s="863"/>
      <c r="Z76" s="863"/>
      <c r="AA76" s="863"/>
      <c r="AB76" s="863"/>
      <c r="AC76" s="863"/>
      <c r="AD76" s="863"/>
      <c r="AE76" s="863"/>
      <c r="AF76" s="863"/>
    </row>
    <row r="78" spans="1:32" ht="33.75" customHeight="1" x14ac:dyDescent="0.3">
      <c r="A78" s="883" t="s">
        <v>2411</v>
      </c>
      <c r="B78" s="883"/>
      <c r="C78" s="883"/>
      <c r="D78" s="883"/>
      <c r="E78" s="883"/>
      <c r="F78" s="883"/>
      <c r="G78" s="883"/>
      <c r="H78" s="883"/>
      <c r="I78" s="883"/>
      <c r="J78" s="863" t="s">
        <v>2412</v>
      </c>
      <c r="K78" s="863"/>
      <c r="L78" s="863"/>
      <c r="M78" s="863"/>
      <c r="N78" s="863"/>
      <c r="O78" s="863"/>
      <c r="P78" s="863"/>
      <c r="Q78" s="863"/>
      <c r="R78" s="863"/>
      <c r="S78" s="863"/>
      <c r="T78" s="863"/>
      <c r="U78" s="863"/>
      <c r="V78" s="863"/>
      <c r="W78" s="863"/>
      <c r="X78" s="863"/>
      <c r="Y78" s="863"/>
      <c r="Z78" s="863"/>
      <c r="AA78" s="863"/>
      <c r="AB78" s="863"/>
      <c r="AC78" s="863"/>
      <c r="AD78" s="863"/>
      <c r="AE78" s="863"/>
      <c r="AF78" s="863"/>
    </row>
    <row r="80" spans="1:32" ht="52.5" customHeight="1" x14ac:dyDescent="0.3">
      <c r="A80" s="883" t="s">
        <v>2413</v>
      </c>
      <c r="B80" s="883"/>
      <c r="C80" s="883"/>
      <c r="D80" s="883"/>
      <c r="E80" s="883"/>
      <c r="F80" s="883"/>
      <c r="G80" s="883"/>
      <c r="H80" s="883"/>
      <c r="I80" s="883"/>
      <c r="J80" s="863" t="s">
        <v>2414</v>
      </c>
      <c r="K80" s="863"/>
      <c r="L80" s="863"/>
      <c r="M80" s="863"/>
      <c r="N80" s="863"/>
      <c r="O80" s="863"/>
      <c r="P80" s="863"/>
      <c r="Q80" s="863"/>
      <c r="R80" s="863"/>
      <c r="S80" s="863"/>
      <c r="T80" s="863"/>
      <c r="U80" s="863"/>
      <c r="V80" s="863"/>
      <c r="W80" s="863"/>
      <c r="X80" s="863"/>
      <c r="Y80" s="863"/>
      <c r="Z80" s="863"/>
      <c r="AA80" s="863"/>
      <c r="AB80" s="863"/>
      <c r="AC80" s="863"/>
      <c r="AD80" s="863"/>
      <c r="AE80" s="863"/>
      <c r="AF80" s="863"/>
    </row>
    <row r="82" spans="1:32" ht="126.75" customHeight="1" x14ac:dyDescent="0.3">
      <c r="A82" s="883" t="s">
        <v>2416</v>
      </c>
      <c r="B82" s="883"/>
      <c r="C82" s="883"/>
      <c r="D82" s="883"/>
      <c r="E82" s="883"/>
      <c r="F82" s="883"/>
      <c r="G82" s="883"/>
      <c r="H82" s="883"/>
      <c r="I82" s="883"/>
      <c r="J82" s="863" t="s">
        <v>2415</v>
      </c>
      <c r="K82" s="863"/>
      <c r="L82" s="863"/>
      <c r="M82" s="863"/>
      <c r="N82" s="863"/>
      <c r="O82" s="863"/>
      <c r="P82" s="863"/>
      <c r="Q82" s="863"/>
      <c r="R82" s="863"/>
      <c r="S82" s="863"/>
      <c r="T82" s="863"/>
      <c r="U82" s="863"/>
      <c r="V82" s="863"/>
      <c r="W82" s="863"/>
      <c r="X82" s="863"/>
      <c r="Y82" s="863"/>
      <c r="Z82" s="863"/>
      <c r="AA82" s="863"/>
      <c r="AB82" s="863"/>
      <c r="AC82" s="863"/>
      <c r="AD82" s="863"/>
      <c r="AE82" s="863"/>
      <c r="AF82" s="863"/>
    </row>
    <row r="84" spans="1:32" ht="80.25" customHeight="1" x14ac:dyDescent="0.3">
      <c r="A84" s="883" t="s">
        <v>2483</v>
      </c>
      <c r="B84" s="883"/>
      <c r="C84" s="883"/>
      <c r="D84" s="883"/>
      <c r="E84" s="883"/>
      <c r="F84" s="883"/>
      <c r="G84" s="883"/>
      <c r="H84" s="883"/>
      <c r="I84" s="883"/>
      <c r="J84" s="884" t="s">
        <v>2481</v>
      </c>
      <c r="K84" s="884"/>
      <c r="L84" s="884"/>
      <c r="M84" s="884"/>
      <c r="N84" s="884"/>
      <c r="O84" s="884"/>
      <c r="P84" s="884"/>
      <c r="Q84" s="884"/>
      <c r="R84" s="884"/>
      <c r="S84" s="884"/>
      <c r="T84" s="884"/>
      <c r="U84" s="884"/>
      <c r="V84" s="884"/>
      <c r="W84" s="884"/>
      <c r="X84" s="884"/>
      <c r="Y84" s="884"/>
      <c r="Z84" s="884"/>
      <c r="AA84" s="884"/>
      <c r="AB84" s="884"/>
      <c r="AC84" s="884"/>
      <c r="AD84" s="884"/>
      <c r="AE84" s="884"/>
      <c r="AF84" s="884"/>
    </row>
    <row r="86" spans="1:32" ht="38.25" customHeight="1" x14ac:dyDescent="0.3">
      <c r="A86" s="883" t="s">
        <v>2482</v>
      </c>
      <c r="B86" s="883"/>
      <c r="C86" s="883"/>
      <c r="D86" s="883"/>
      <c r="E86" s="883"/>
      <c r="F86" s="883"/>
      <c r="G86" s="883"/>
      <c r="H86" s="883"/>
      <c r="I86" s="883"/>
      <c r="J86" s="884" t="s">
        <v>2484</v>
      </c>
      <c r="K86" s="884"/>
      <c r="L86" s="884"/>
      <c r="M86" s="884"/>
      <c r="N86" s="884"/>
      <c r="O86" s="884"/>
      <c r="P86" s="884"/>
      <c r="Q86" s="884"/>
      <c r="R86" s="884"/>
      <c r="S86" s="884"/>
      <c r="T86" s="884"/>
      <c r="U86" s="884"/>
      <c r="V86" s="884"/>
      <c r="W86" s="884"/>
      <c r="X86" s="884"/>
      <c r="Y86" s="884"/>
      <c r="Z86" s="884"/>
      <c r="AA86" s="884"/>
      <c r="AB86" s="884"/>
      <c r="AC86" s="884"/>
      <c r="AD86" s="884"/>
      <c r="AE86" s="884"/>
      <c r="AF86" s="884"/>
    </row>
    <row r="88" spans="1:32" ht="159" customHeight="1" x14ac:dyDescent="0.3">
      <c r="A88" s="883" t="s">
        <v>2417</v>
      </c>
      <c r="B88" s="883"/>
      <c r="C88" s="883"/>
      <c r="D88" s="883"/>
      <c r="E88" s="883"/>
      <c r="F88" s="883"/>
      <c r="G88" s="883"/>
      <c r="H88" s="883"/>
      <c r="I88" s="883"/>
      <c r="J88" s="863" t="s">
        <v>2864</v>
      </c>
      <c r="K88" s="863"/>
      <c r="L88" s="863"/>
      <c r="M88" s="863"/>
      <c r="N88" s="863"/>
      <c r="O88" s="863"/>
      <c r="P88" s="863"/>
      <c r="Q88" s="863"/>
      <c r="R88" s="863"/>
      <c r="S88" s="863"/>
      <c r="T88" s="863"/>
      <c r="U88" s="863"/>
      <c r="V88" s="863"/>
      <c r="W88" s="863"/>
      <c r="X88" s="863"/>
      <c r="Y88" s="863"/>
      <c r="Z88" s="863"/>
      <c r="AA88" s="863"/>
      <c r="AB88" s="863"/>
      <c r="AC88" s="863"/>
      <c r="AD88" s="863"/>
      <c r="AE88" s="863"/>
      <c r="AF88" s="863"/>
    </row>
    <row r="90" spans="1:32" ht="114" customHeight="1" x14ac:dyDescent="0.3">
      <c r="A90" s="883" t="s">
        <v>2418</v>
      </c>
      <c r="B90" s="883"/>
      <c r="C90" s="883"/>
      <c r="D90" s="883"/>
      <c r="E90" s="883"/>
      <c r="F90" s="883"/>
      <c r="G90" s="883"/>
      <c r="H90" s="883"/>
      <c r="I90" s="883"/>
      <c r="J90" s="863" t="s">
        <v>2419</v>
      </c>
      <c r="K90" s="863"/>
      <c r="L90" s="863"/>
      <c r="M90" s="863"/>
      <c r="N90" s="863"/>
      <c r="O90" s="863"/>
      <c r="P90" s="863"/>
      <c r="Q90" s="863"/>
      <c r="R90" s="863"/>
      <c r="S90" s="863"/>
      <c r="T90" s="863"/>
      <c r="U90" s="863"/>
      <c r="V90" s="863"/>
      <c r="W90" s="863"/>
      <c r="X90" s="863"/>
      <c r="Y90" s="863"/>
      <c r="Z90" s="863"/>
      <c r="AA90" s="863"/>
      <c r="AB90" s="863"/>
      <c r="AC90" s="863"/>
      <c r="AD90" s="863"/>
      <c r="AE90" s="863"/>
      <c r="AF90" s="863"/>
    </row>
    <row r="92" spans="1:32" ht="217.5" customHeight="1" x14ac:dyDescent="0.3">
      <c r="A92" s="883" t="s">
        <v>1769</v>
      </c>
      <c r="B92" s="883"/>
      <c r="C92" s="883"/>
      <c r="D92" s="883"/>
      <c r="E92" s="883"/>
      <c r="F92" s="883"/>
      <c r="G92" s="883"/>
      <c r="H92" s="883"/>
      <c r="I92" s="883"/>
      <c r="J92" s="863" t="s">
        <v>2420</v>
      </c>
      <c r="K92" s="863"/>
      <c r="L92" s="863"/>
      <c r="M92" s="863"/>
      <c r="N92" s="863"/>
      <c r="O92" s="863"/>
      <c r="P92" s="863"/>
      <c r="Q92" s="863"/>
      <c r="R92" s="863"/>
      <c r="S92" s="863"/>
      <c r="T92" s="863"/>
      <c r="U92" s="863"/>
      <c r="V92" s="863"/>
      <c r="W92" s="863"/>
      <c r="X92" s="863"/>
      <c r="Y92" s="863"/>
      <c r="Z92" s="863"/>
      <c r="AA92" s="863"/>
      <c r="AB92" s="863"/>
      <c r="AC92" s="863"/>
      <c r="AD92" s="863"/>
      <c r="AE92" s="863"/>
      <c r="AF92" s="863"/>
    </row>
    <row r="94" spans="1:32" ht="33.75" customHeight="1" x14ac:dyDescent="0.3">
      <c r="A94" s="883" t="s">
        <v>2421</v>
      </c>
      <c r="B94" s="883"/>
      <c r="C94" s="883"/>
      <c r="D94" s="883"/>
      <c r="E94" s="883"/>
      <c r="F94" s="883"/>
      <c r="G94" s="883"/>
      <c r="H94" s="883"/>
      <c r="I94" s="883"/>
      <c r="J94" s="863" t="s">
        <v>2422</v>
      </c>
      <c r="K94" s="863"/>
      <c r="L94" s="863"/>
      <c r="M94" s="863"/>
      <c r="N94" s="863"/>
      <c r="O94" s="863"/>
      <c r="P94" s="863"/>
      <c r="Q94" s="863"/>
      <c r="R94" s="863"/>
      <c r="S94" s="863"/>
      <c r="T94" s="863"/>
      <c r="U94" s="863"/>
      <c r="V94" s="863"/>
      <c r="W94" s="863"/>
      <c r="X94" s="863"/>
      <c r="Y94" s="863"/>
      <c r="Z94" s="863"/>
      <c r="AA94" s="863"/>
      <c r="AB94" s="863"/>
      <c r="AC94" s="863"/>
      <c r="AD94" s="863"/>
      <c r="AE94" s="863"/>
      <c r="AF94" s="863"/>
    </row>
    <row r="96" spans="1:32" ht="37.5" customHeight="1" x14ac:dyDescent="0.3">
      <c r="A96" s="883" t="s">
        <v>2423</v>
      </c>
      <c r="B96" s="883"/>
      <c r="C96" s="883"/>
      <c r="D96" s="883"/>
      <c r="E96" s="883"/>
      <c r="F96" s="883"/>
      <c r="G96" s="883"/>
      <c r="H96" s="883"/>
      <c r="I96" s="883"/>
      <c r="J96" s="863" t="s">
        <v>2424</v>
      </c>
      <c r="K96" s="863"/>
      <c r="L96" s="863"/>
      <c r="M96" s="863"/>
      <c r="N96" s="863"/>
      <c r="O96" s="863"/>
      <c r="P96" s="863"/>
      <c r="Q96" s="863"/>
      <c r="R96" s="863"/>
      <c r="S96" s="863"/>
      <c r="T96" s="863"/>
      <c r="U96" s="863"/>
      <c r="V96" s="863"/>
      <c r="W96" s="863"/>
      <c r="X96" s="863"/>
      <c r="Y96" s="863"/>
      <c r="Z96" s="863"/>
      <c r="AA96" s="863"/>
      <c r="AB96" s="863"/>
      <c r="AC96" s="863"/>
      <c r="AD96" s="863"/>
      <c r="AE96" s="863"/>
      <c r="AF96" s="863"/>
    </row>
    <row r="98" spans="1:16384" ht="69.75" customHeight="1" x14ac:dyDescent="0.3">
      <c r="A98" s="883" t="s">
        <v>2425</v>
      </c>
      <c r="B98" s="883"/>
      <c r="C98" s="883"/>
      <c r="D98" s="883"/>
      <c r="E98" s="883"/>
      <c r="F98" s="883"/>
      <c r="G98" s="883"/>
      <c r="H98" s="883"/>
      <c r="I98" s="883"/>
      <c r="J98" s="863" t="s">
        <v>2426</v>
      </c>
      <c r="K98" s="863"/>
      <c r="L98" s="863"/>
      <c r="M98" s="863"/>
      <c r="N98" s="863"/>
      <c r="O98" s="863"/>
      <c r="P98" s="863"/>
      <c r="Q98" s="863"/>
      <c r="R98" s="863"/>
      <c r="S98" s="863"/>
      <c r="T98" s="863"/>
      <c r="U98" s="863"/>
      <c r="V98" s="863"/>
      <c r="W98" s="863"/>
      <c r="X98" s="863"/>
      <c r="Y98" s="863"/>
      <c r="Z98" s="863"/>
      <c r="AA98" s="863"/>
      <c r="AB98" s="863"/>
      <c r="AC98" s="863"/>
      <c r="AD98" s="863"/>
      <c r="AE98" s="863"/>
      <c r="AF98" s="863"/>
    </row>
    <row r="100" spans="1:16384" ht="87" customHeight="1" x14ac:dyDescent="0.3">
      <c r="A100" s="883" t="s">
        <v>2427</v>
      </c>
      <c r="B100" s="883"/>
      <c r="C100" s="883"/>
      <c r="D100" s="883"/>
      <c r="E100" s="883"/>
      <c r="F100" s="883"/>
      <c r="G100" s="883"/>
      <c r="H100" s="883"/>
      <c r="I100" s="883"/>
      <c r="J100" s="863" t="s">
        <v>2428</v>
      </c>
      <c r="K100" s="863"/>
      <c r="L100" s="863"/>
      <c r="M100" s="863"/>
      <c r="N100" s="863"/>
      <c r="O100" s="863"/>
      <c r="P100" s="863"/>
      <c r="Q100" s="863"/>
      <c r="R100" s="863"/>
      <c r="S100" s="863"/>
      <c r="T100" s="863"/>
      <c r="U100" s="863"/>
      <c r="V100" s="863"/>
      <c r="W100" s="863"/>
      <c r="X100" s="863"/>
      <c r="Y100" s="863"/>
      <c r="Z100" s="863"/>
      <c r="AA100" s="863"/>
      <c r="AB100" s="863"/>
      <c r="AC100" s="863"/>
      <c r="AD100" s="863"/>
      <c r="AE100" s="863"/>
      <c r="AF100" s="863"/>
    </row>
    <row r="102" spans="1:16384" ht="67.5" customHeight="1" x14ac:dyDescent="0.3">
      <c r="A102" s="883" t="s">
        <v>2429</v>
      </c>
      <c r="B102" s="883"/>
      <c r="C102" s="883"/>
      <c r="D102" s="883"/>
      <c r="E102" s="883"/>
      <c r="F102" s="883"/>
      <c r="G102" s="883"/>
      <c r="H102" s="883"/>
      <c r="I102" s="883"/>
      <c r="J102" s="863" t="s">
        <v>2430</v>
      </c>
      <c r="K102" s="863"/>
      <c r="L102" s="863"/>
      <c r="M102" s="863"/>
      <c r="N102" s="863"/>
      <c r="O102" s="863"/>
      <c r="P102" s="863"/>
      <c r="Q102" s="863"/>
      <c r="R102" s="863"/>
      <c r="S102" s="863"/>
      <c r="T102" s="863"/>
      <c r="U102" s="863"/>
      <c r="V102" s="863"/>
      <c r="W102" s="863"/>
      <c r="X102" s="863"/>
      <c r="Y102" s="863"/>
      <c r="Z102" s="863"/>
      <c r="AA102" s="863"/>
      <c r="AB102" s="863"/>
      <c r="AC102" s="863"/>
      <c r="AD102" s="863"/>
      <c r="AE102" s="863"/>
      <c r="AF102" s="863"/>
    </row>
    <row r="104" spans="1:16384" ht="66.75" customHeight="1" x14ac:dyDescent="0.3">
      <c r="A104" s="883" t="s">
        <v>2431</v>
      </c>
      <c r="B104" s="883"/>
      <c r="C104" s="883"/>
      <c r="D104" s="883"/>
      <c r="E104" s="883"/>
      <c r="F104" s="883"/>
      <c r="G104" s="883"/>
      <c r="H104" s="883"/>
      <c r="I104" s="883"/>
      <c r="J104" s="863" t="s">
        <v>2432</v>
      </c>
      <c r="K104" s="863"/>
      <c r="L104" s="863"/>
      <c r="M104" s="863"/>
      <c r="N104" s="863"/>
      <c r="O104" s="863"/>
      <c r="P104" s="863"/>
      <c r="Q104" s="863"/>
      <c r="R104" s="863"/>
      <c r="S104" s="863"/>
      <c r="T104" s="863"/>
      <c r="U104" s="863"/>
      <c r="V104" s="863"/>
      <c r="W104" s="863"/>
      <c r="X104" s="863"/>
      <c r="Y104" s="863"/>
      <c r="Z104" s="863"/>
      <c r="AA104" s="863"/>
      <c r="AB104" s="863"/>
      <c r="AC104" s="863"/>
      <c r="AD104" s="863"/>
      <c r="AE104" s="863"/>
      <c r="AF104" s="863"/>
    </row>
    <row r="106" spans="1:16384" ht="33" customHeight="1" x14ac:dyDescent="0.3">
      <c r="A106" s="883" t="s">
        <v>2434</v>
      </c>
      <c r="B106" s="883"/>
      <c r="C106" s="883"/>
      <c r="D106" s="883"/>
      <c r="E106" s="883"/>
      <c r="F106" s="883"/>
      <c r="G106" s="883"/>
      <c r="H106" s="883"/>
      <c r="I106" s="883"/>
      <c r="J106" s="863" t="s">
        <v>2433</v>
      </c>
      <c r="K106" s="863"/>
      <c r="L106" s="863"/>
      <c r="M106" s="863"/>
      <c r="N106" s="863"/>
      <c r="O106" s="863"/>
      <c r="P106" s="863"/>
      <c r="Q106" s="863"/>
      <c r="R106" s="863"/>
      <c r="S106" s="863"/>
      <c r="T106" s="863"/>
      <c r="U106" s="863"/>
      <c r="V106" s="863"/>
      <c r="W106" s="863"/>
      <c r="X106" s="863"/>
      <c r="Y106" s="863"/>
      <c r="Z106" s="863"/>
      <c r="AA106" s="863"/>
      <c r="AB106" s="863"/>
      <c r="AC106" s="863"/>
      <c r="AD106" s="863"/>
      <c r="AE106" s="863"/>
      <c r="AF106" s="863"/>
    </row>
    <row r="108" spans="1:16384" ht="47.25" customHeight="1" x14ac:dyDescent="0.3">
      <c r="A108" s="883" t="s">
        <v>2435</v>
      </c>
      <c r="B108" s="883"/>
      <c r="C108" s="883"/>
      <c r="D108" s="883"/>
      <c r="E108" s="883"/>
      <c r="F108" s="883"/>
      <c r="G108" s="883"/>
      <c r="H108" s="883"/>
      <c r="I108" s="883"/>
      <c r="J108" s="863" t="s">
        <v>2436</v>
      </c>
      <c r="K108" s="863"/>
      <c r="L108" s="863"/>
      <c r="M108" s="863"/>
      <c r="N108" s="863"/>
      <c r="O108" s="863"/>
      <c r="P108" s="863"/>
      <c r="Q108" s="863"/>
      <c r="R108" s="863"/>
      <c r="S108" s="863"/>
      <c r="T108" s="863"/>
      <c r="U108" s="863"/>
      <c r="V108" s="863"/>
      <c r="W108" s="863"/>
      <c r="X108" s="863"/>
      <c r="Y108" s="863"/>
      <c r="Z108" s="863"/>
      <c r="AA108" s="863"/>
      <c r="AB108" s="863"/>
      <c r="AC108" s="863"/>
      <c r="AD108" s="863"/>
      <c r="AE108" s="863"/>
      <c r="AF108" s="863"/>
    </row>
    <row r="110" spans="1:16384" ht="30.75" customHeight="1" x14ac:dyDescent="0.3">
      <c r="A110" s="883" t="s">
        <v>2437</v>
      </c>
      <c r="B110" s="883"/>
      <c r="C110" s="883"/>
      <c r="D110" s="883"/>
      <c r="E110" s="883"/>
      <c r="F110" s="883"/>
      <c r="G110" s="883"/>
      <c r="H110" s="883"/>
      <c r="I110" s="883"/>
      <c r="J110" s="863" t="s">
        <v>2438</v>
      </c>
      <c r="K110" s="863"/>
      <c r="L110" s="863"/>
      <c r="M110" s="863"/>
      <c r="N110" s="863"/>
      <c r="O110" s="863"/>
      <c r="P110" s="863"/>
      <c r="Q110" s="863"/>
      <c r="R110" s="863"/>
      <c r="S110" s="863"/>
      <c r="T110" s="863"/>
      <c r="U110" s="863"/>
      <c r="V110" s="863"/>
      <c r="W110" s="863"/>
      <c r="X110" s="863"/>
      <c r="Y110" s="863"/>
      <c r="Z110" s="863"/>
      <c r="AA110" s="863"/>
      <c r="AB110" s="863"/>
      <c r="AC110" s="863"/>
      <c r="AD110" s="863"/>
      <c r="AE110" s="863"/>
      <c r="AF110" s="863"/>
      <c r="AG110" s="883"/>
      <c r="AH110" s="883"/>
      <c r="AI110" s="883"/>
      <c r="AJ110" s="883"/>
      <c r="AK110" s="883"/>
      <c r="AL110" s="883"/>
      <c r="AM110" s="883"/>
      <c r="AN110" s="883"/>
      <c r="AO110" s="88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83"/>
      <c r="BN110" s="883"/>
      <c r="BO110" s="883"/>
      <c r="BP110" s="883"/>
      <c r="BQ110" s="883"/>
      <c r="BR110" s="883"/>
      <c r="BS110" s="883"/>
      <c r="BT110" s="883"/>
      <c r="BU110" s="883"/>
      <c r="BV110" s="863"/>
      <c r="BW110" s="863"/>
      <c r="BX110" s="863"/>
      <c r="BY110" s="863"/>
      <c r="BZ110" s="863"/>
      <c r="CA110" s="863"/>
      <c r="CB110" s="863"/>
      <c r="CC110" s="863"/>
      <c r="CD110" s="863"/>
      <c r="CE110" s="863"/>
      <c r="CF110" s="863"/>
      <c r="CG110" s="863"/>
      <c r="CH110" s="863"/>
      <c r="CI110" s="863"/>
      <c r="CJ110" s="863"/>
      <c r="CK110" s="863"/>
      <c r="CL110" s="863"/>
      <c r="CM110" s="863"/>
      <c r="CN110" s="863"/>
      <c r="CO110" s="863"/>
      <c r="CP110" s="863"/>
      <c r="CQ110" s="863"/>
      <c r="CR110" s="863"/>
      <c r="CS110" s="883"/>
      <c r="CT110" s="883"/>
      <c r="CU110" s="883"/>
      <c r="CV110" s="883"/>
      <c r="CW110" s="883"/>
      <c r="CX110" s="883"/>
      <c r="CY110" s="883"/>
      <c r="CZ110" s="883"/>
      <c r="DA110" s="883"/>
      <c r="DB110" s="863"/>
      <c r="DC110" s="863"/>
      <c r="DD110" s="863"/>
      <c r="DE110" s="863"/>
      <c r="DF110" s="863"/>
      <c r="DG110" s="863"/>
      <c r="DH110" s="863"/>
      <c r="DI110" s="863"/>
      <c r="DJ110" s="863"/>
      <c r="DK110" s="863"/>
      <c r="DL110" s="863"/>
      <c r="DM110" s="863"/>
      <c r="DN110" s="863"/>
      <c r="DO110" s="863"/>
      <c r="DP110" s="863"/>
      <c r="DQ110" s="863"/>
      <c r="DR110" s="863"/>
      <c r="DS110" s="863"/>
      <c r="DT110" s="863"/>
      <c r="DU110" s="863"/>
      <c r="DV110" s="863"/>
      <c r="DW110" s="863"/>
      <c r="DX110" s="863"/>
      <c r="DY110" s="883"/>
      <c r="DZ110" s="883"/>
      <c r="EA110" s="883"/>
      <c r="EB110" s="883"/>
      <c r="EC110" s="883"/>
      <c r="ED110" s="883"/>
      <c r="EE110" s="883"/>
      <c r="EF110" s="883"/>
      <c r="EG110" s="883"/>
      <c r="EH110" s="863"/>
      <c r="EI110" s="863"/>
      <c r="EJ110" s="863"/>
      <c r="EK110" s="863"/>
      <c r="EL110" s="863"/>
      <c r="EM110" s="863"/>
      <c r="EN110" s="863"/>
      <c r="EO110" s="863"/>
      <c r="EP110" s="863"/>
      <c r="EQ110" s="863"/>
      <c r="ER110" s="863"/>
      <c r="ES110" s="863"/>
      <c r="ET110" s="863"/>
      <c r="EU110" s="863"/>
      <c r="EV110" s="863"/>
      <c r="EW110" s="863"/>
      <c r="EX110" s="863"/>
      <c r="EY110" s="863"/>
      <c r="EZ110" s="863"/>
      <c r="FA110" s="863"/>
      <c r="FB110" s="863"/>
      <c r="FC110" s="863"/>
      <c r="FD110" s="863"/>
      <c r="FE110" s="883"/>
      <c r="FF110" s="883"/>
      <c r="FG110" s="883"/>
      <c r="FH110" s="883"/>
      <c r="FI110" s="883"/>
      <c r="FJ110" s="883"/>
      <c r="FK110" s="883"/>
      <c r="FL110" s="883"/>
      <c r="FM110" s="883"/>
      <c r="FN110" s="863"/>
      <c r="FO110" s="863"/>
      <c r="FP110" s="863"/>
      <c r="FQ110" s="863"/>
      <c r="FR110" s="863"/>
      <c r="FS110" s="863"/>
      <c r="FT110" s="863"/>
      <c r="FU110" s="863"/>
      <c r="FV110" s="863"/>
      <c r="FW110" s="863"/>
      <c r="FX110" s="863"/>
      <c r="FY110" s="863"/>
      <c r="FZ110" s="863"/>
      <c r="GA110" s="863"/>
      <c r="GB110" s="863"/>
      <c r="GC110" s="863"/>
      <c r="GD110" s="863"/>
      <c r="GE110" s="863"/>
      <c r="GF110" s="863"/>
      <c r="GG110" s="863"/>
      <c r="GH110" s="863"/>
      <c r="GI110" s="863"/>
      <c r="GJ110" s="863"/>
      <c r="GK110" s="883"/>
      <c r="GL110" s="883"/>
      <c r="GM110" s="883"/>
      <c r="GN110" s="883"/>
      <c r="GO110" s="883"/>
      <c r="GP110" s="883"/>
      <c r="GQ110" s="883"/>
      <c r="GR110" s="883"/>
      <c r="GS110" s="883"/>
      <c r="GT110" s="863"/>
      <c r="GU110" s="863"/>
      <c r="GV110" s="863"/>
      <c r="GW110" s="863"/>
      <c r="GX110" s="863"/>
      <c r="GY110" s="863"/>
      <c r="GZ110" s="863"/>
      <c r="HA110" s="863"/>
      <c r="HB110" s="863"/>
      <c r="HC110" s="863"/>
      <c r="HD110" s="863"/>
      <c r="HE110" s="863"/>
      <c r="HF110" s="863"/>
      <c r="HG110" s="863"/>
      <c r="HH110" s="863"/>
      <c r="HI110" s="863"/>
      <c r="HJ110" s="863"/>
      <c r="HK110" s="863"/>
      <c r="HL110" s="863"/>
      <c r="HM110" s="863"/>
      <c r="HN110" s="863"/>
      <c r="HO110" s="863"/>
      <c r="HP110" s="863"/>
      <c r="HQ110" s="883"/>
      <c r="HR110" s="883"/>
      <c r="HS110" s="883"/>
      <c r="HT110" s="883"/>
      <c r="HU110" s="883"/>
      <c r="HV110" s="883"/>
      <c r="HW110" s="883"/>
      <c r="HX110" s="883"/>
      <c r="HY110" s="883"/>
      <c r="HZ110" s="863"/>
      <c r="IA110" s="863"/>
      <c r="IB110" s="863"/>
      <c r="IC110" s="863"/>
      <c r="ID110" s="863"/>
      <c r="IE110" s="863"/>
      <c r="IF110" s="863"/>
      <c r="IG110" s="863"/>
      <c r="IH110" s="863"/>
      <c r="II110" s="863"/>
      <c r="IJ110" s="863"/>
      <c r="IK110" s="863"/>
      <c r="IL110" s="863"/>
      <c r="IM110" s="863"/>
      <c r="IN110" s="863"/>
      <c r="IO110" s="863"/>
      <c r="IP110" s="863"/>
      <c r="IQ110" s="863"/>
      <c r="IR110" s="863"/>
      <c r="IS110" s="863"/>
      <c r="IT110" s="863"/>
      <c r="IU110" s="863"/>
      <c r="IV110" s="863"/>
      <c r="IW110" s="883"/>
      <c r="IX110" s="883"/>
      <c r="IY110" s="883"/>
      <c r="IZ110" s="883"/>
      <c r="JA110" s="883"/>
      <c r="JB110" s="883"/>
      <c r="JC110" s="883"/>
      <c r="JD110" s="883"/>
      <c r="JE110" s="883"/>
      <c r="JF110" s="863"/>
      <c r="JG110" s="863"/>
      <c r="JH110" s="863"/>
      <c r="JI110" s="863"/>
      <c r="JJ110" s="863"/>
      <c r="JK110" s="863"/>
      <c r="JL110" s="863"/>
      <c r="JM110" s="863"/>
      <c r="JN110" s="863"/>
      <c r="JO110" s="863"/>
      <c r="JP110" s="863"/>
      <c r="JQ110" s="863"/>
      <c r="JR110" s="863"/>
      <c r="JS110" s="863"/>
      <c r="JT110" s="863"/>
      <c r="JU110" s="863"/>
      <c r="JV110" s="863"/>
      <c r="JW110" s="863"/>
      <c r="JX110" s="863"/>
      <c r="JY110" s="863"/>
      <c r="JZ110" s="863"/>
      <c r="KA110" s="863"/>
      <c r="KB110" s="863"/>
      <c r="KC110" s="883"/>
      <c r="KD110" s="883"/>
      <c r="KE110" s="883"/>
      <c r="KF110" s="883"/>
      <c r="KG110" s="883"/>
      <c r="KH110" s="883"/>
      <c r="KI110" s="883"/>
      <c r="KJ110" s="883"/>
      <c r="KK110" s="883"/>
      <c r="KL110" s="863"/>
      <c r="KM110" s="863"/>
      <c r="KN110" s="863"/>
      <c r="KO110" s="863"/>
      <c r="KP110" s="863"/>
      <c r="KQ110" s="863"/>
      <c r="KR110" s="863"/>
      <c r="KS110" s="863"/>
      <c r="KT110" s="863"/>
      <c r="KU110" s="863"/>
      <c r="KV110" s="863"/>
      <c r="KW110" s="863"/>
      <c r="KX110" s="863"/>
      <c r="KY110" s="863"/>
      <c r="KZ110" s="863"/>
      <c r="LA110" s="863"/>
      <c r="LB110" s="863"/>
      <c r="LC110" s="863"/>
      <c r="LD110" s="863"/>
      <c r="LE110" s="863"/>
      <c r="LF110" s="863"/>
      <c r="LG110" s="863"/>
      <c r="LH110" s="863"/>
      <c r="LI110" s="883"/>
      <c r="LJ110" s="883"/>
      <c r="LK110" s="883"/>
      <c r="LL110" s="883"/>
      <c r="LM110" s="883"/>
      <c r="LN110" s="883"/>
      <c r="LO110" s="883"/>
      <c r="LP110" s="883"/>
      <c r="LQ110" s="883"/>
      <c r="LR110" s="863"/>
      <c r="LS110" s="863"/>
      <c r="LT110" s="863"/>
      <c r="LU110" s="863"/>
      <c r="LV110" s="863"/>
      <c r="LW110" s="863"/>
      <c r="LX110" s="863"/>
      <c r="LY110" s="863"/>
      <c r="LZ110" s="863"/>
      <c r="MA110" s="863"/>
      <c r="MB110" s="863"/>
      <c r="MC110" s="863"/>
      <c r="MD110" s="863"/>
      <c r="ME110" s="863"/>
      <c r="MF110" s="863"/>
      <c r="MG110" s="863"/>
      <c r="MH110" s="863"/>
      <c r="MI110" s="863"/>
      <c r="MJ110" s="863"/>
      <c r="MK110" s="863"/>
      <c r="ML110" s="863"/>
      <c r="MM110" s="863"/>
      <c r="MN110" s="863"/>
      <c r="MO110" s="883"/>
      <c r="MP110" s="883"/>
      <c r="MQ110" s="883"/>
      <c r="MR110" s="883"/>
      <c r="MS110" s="883"/>
      <c r="MT110" s="883"/>
      <c r="MU110" s="883"/>
      <c r="MV110" s="883"/>
      <c r="MW110" s="883"/>
      <c r="MX110" s="863"/>
      <c r="MY110" s="863"/>
      <c r="MZ110" s="863"/>
      <c r="NA110" s="863"/>
      <c r="NB110" s="863"/>
      <c r="NC110" s="863"/>
      <c r="ND110" s="863"/>
      <c r="NE110" s="863"/>
      <c r="NF110" s="863"/>
      <c r="NG110" s="863"/>
      <c r="NH110" s="863"/>
      <c r="NI110" s="863"/>
      <c r="NJ110" s="863"/>
      <c r="NK110" s="863"/>
      <c r="NL110" s="863"/>
      <c r="NM110" s="863"/>
      <c r="NN110" s="863"/>
      <c r="NO110" s="863"/>
      <c r="NP110" s="863"/>
      <c r="NQ110" s="863"/>
      <c r="NR110" s="863"/>
      <c r="NS110" s="863"/>
      <c r="NT110" s="863"/>
      <c r="NU110" s="883"/>
      <c r="NV110" s="883"/>
      <c r="NW110" s="883"/>
      <c r="NX110" s="883"/>
      <c r="NY110" s="883"/>
      <c r="NZ110" s="883"/>
      <c r="OA110" s="883"/>
      <c r="OB110" s="883"/>
      <c r="OC110" s="883"/>
      <c r="OD110" s="863"/>
      <c r="OE110" s="863"/>
      <c r="OF110" s="863"/>
      <c r="OG110" s="863"/>
      <c r="OH110" s="863"/>
      <c r="OI110" s="863"/>
      <c r="OJ110" s="863"/>
      <c r="OK110" s="863"/>
      <c r="OL110" s="863"/>
      <c r="OM110" s="863"/>
      <c r="ON110" s="863"/>
      <c r="OO110" s="863"/>
      <c r="OP110" s="863"/>
      <c r="OQ110" s="863"/>
      <c r="OR110" s="863"/>
      <c r="OS110" s="863"/>
      <c r="OT110" s="863"/>
      <c r="OU110" s="863"/>
      <c r="OV110" s="863"/>
      <c r="OW110" s="863"/>
      <c r="OX110" s="863"/>
      <c r="OY110" s="863"/>
      <c r="OZ110" s="863"/>
      <c r="PA110" s="883"/>
      <c r="PB110" s="883"/>
      <c r="PC110" s="883"/>
      <c r="PD110" s="883"/>
      <c r="PE110" s="883"/>
      <c r="PF110" s="883"/>
      <c r="PG110" s="883"/>
      <c r="PH110" s="883"/>
      <c r="PI110" s="883"/>
      <c r="PJ110" s="863"/>
      <c r="PK110" s="863"/>
      <c r="PL110" s="863"/>
      <c r="PM110" s="863"/>
      <c r="PN110" s="863"/>
      <c r="PO110" s="863"/>
      <c r="PP110" s="863"/>
      <c r="PQ110" s="863"/>
      <c r="PR110" s="863"/>
      <c r="PS110" s="863"/>
      <c r="PT110" s="863"/>
      <c r="PU110" s="863"/>
      <c r="PV110" s="863"/>
      <c r="PW110" s="863"/>
      <c r="PX110" s="863"/>
      <c r="PY110" s="863"/>
      <c r="PZ110" s="863"/>
      <c r="QA110" s="863"/>
      <c r="QB110" s="863"/>
      <c r="QC110" s="863"/>
      <c r="QD110" s="863"/>
      <c r="QE110" s="863"/>
      <c r="QF110" s="863"/>
      <c r="QG110" s="883"/>
      <c r="QH110" s="883"/>
      <c r="QI110" s="883"/>
      <c r="QJ110" s="883"/>
      <c r="QK110" s="883"/>
      <c r="QL110" s="883"/>
      <c r="QM110" s="883"/>
      <c r="QN110" s="883"/>
      <c r="QO110" s="883"/>
      <c r="QP110" s="863"/>
      <c r="QQ110" s="863"/>
      <c r="QR110" s="863"/>
      <c r="QS110" s="863"/>
      <c r="QT110" s="863"/>
      <c r="QU110" s="863"/>
      <c r="QV110" s="863"/>
      <c r="QW110" s="863"/>
      <c r="QX110" s="863"/>
      <c r="QY110" s="863"/>
      <c r="QZ110" s="863"/>
      <c r="RA110" s="863"/>
      <c r="RB110" s="863"/>
      <c r="RC110" s="863"/>
      <c r="RD110" s="863"/>
      <c r="RE110" s="863"/>
      <c r="RF110" s="863"/>
      <c r="RG110" s="863"/>
      <c r="RH110" s="863"/>
      <c r="RI110" s="863"/>
      <c r="RJ110" s="863"/>
      <c r="RK110" s="863"/>
      <c r="RL110" s="863"/>
      <c r="RM110" s="883"/>
      <c r="RN110" s="883"/>
      <c r="RO110" s="883"/>
      <c r="RP110" s="883"/>
      <c r="RQ110" s="883"/>
      <c r="RR110" s="883"/>
      <c r="RS110" s="883"/>
      <c r="RT110" s="883"/>
      <c r="RU110" s="883"/>
      <c r="RV110" s="863"/>
      <c r="RW110" s="863"/>
      <c r="RX110" s="863"/>
      <c r="RY110" s="863"/>
      <c r="RZ110" s="863"/>
      <c r="SA110" s="863"/>
      <c r="SB110" s="863"/>
      <c r="SC110" s="863"/>
      <c r="SD110" s="863"/>
      <c r="SE110" s="863"/>
      <c r="SF110" s="863"/>
      <c r="SG110" s="863"/>
      <c r="SH110" s="863"/>
      <c r="SI110" s="863"/>
      <c r="SJ110" s="863"/>
      <c r="SK110" s="863"/>
      <c r="SL110" s="863"/>
      <c r="SM110" s="863"/>
      <c r="SN110" s="863"/>
      <c r="SO110" s="863"/>
      <c r="SP110" s="863"/>
      <c r="SQ110" s="863"/>
      <c r="SR110" s="863"/>
      <c r="SS110" s="883"/>
      <c r="ST110" s="883"/>
      <c r="SU110" s="883"/>
      <c r="SV110" s="883"/>
      <c r="SW110" s="883"/>
      <c r="SX110" s="883"/>
      <c r="SY110" s="883"/>
      <c r="SZ110" s="883"/>
      <c r="TA110" s="883"/>
      <c r="TB110" s="863"/>
      <c r="TC110" s="863"/>
      <c r="TD110" s="863"/>
      <c r="TE110" s="863"/>
      <c r="TF110" s="863"/>
      <c r="TG110" s="863"/>
      <c r="TH110" s="863"/>
      <c r="TI110" s="863"/>
      <c r="TJ110" s="863"/>
      <c r="TK110" s="863"/>
      <c r="TL110" s="863"/>
      <c r="TM110" s="863"/>
      <c r="TN110" s="863"/>
      <c r="TO110" s="863"/>
      <c r="TP110" s="863"/>
      <c r="TQ110" s="863"/>
      <c r="TR110" s="863"/>
      <c r="TS110" s="863"/>
      <c r="TT110" s="863"/>
      <c r="TU110" s="863"/>
      <c r="TV110" s="863"/>
      <c r="TW110" s="863"/>
      <c r="TX110" s="863"/>
      <c r="TY110" s="883"/>
      <c r="TZ110" s="883"/>
      <c r="UA110" s="883"/>
      <c r="UB110" s="883"/>
      <c r="UC110" s="883"/>
      <c r="UD110" s="883"/>
      <c r="UE110" s="883"/>
      <c r="UF110" s="883"/>
      <c r="UG110" s="883"/>
      <c r="UH110" s="863"/>
      <c r="UI110" s="863"/>
      <c r="UJ110" s="863"/>
      <c r="UK110" s="863"/>
      <c r="UL110" s="863"/>
      <c r="UM110" s="863"/>
      <c r="UN110" s="863"/>
      <c r="UO110" s="863"/>
      <c r="UP110" s="863"/>
      <c r="UQ110" s="863"/>
      <c r="UR110" s="863"/>
      <c r="US110" s="863"/>
      <c r="UT110" s="863"/>
      <c r="UU110" s="863"/>
      <c r="UV110" s="863"/>
      <c r="UW110" s="863"/>
      <c r="UX110" s="863"/>
      <c r="UY110" s="863"/>
      <c r="UZ110" s="863"/>
      <c r="VA110" s="863"/>
      <c r="VB110" s="863"/>
      <c r="VC110" s="863"/>
      <c r="VD110" s="863"/>
      <c r="VE110" s="883"/>
      <c r="VF110" s="883"/>
      <c r="VG110" s="883"/>
      <c r="VH110" s="883"/>
      <c r="VI110" s="883"/>
      <c r="VJ110" s="883"/>
      <c r="VK110" s="883"/>
      <c r="VL110" s="883"/>
      <c r="VM110" s="883"/>
      <c r="VN110" s="863"/>
      <c r="VO110" s="863"/>
      <c r="VP110" s="863"/>
      <c r="VQ110" s="863"/>
      <c r="VR110" s="863"/>
      <c r="VS110" s="863"/>
      <c r="VT110" s="863"/>
      <c r="VU110" s="863"/>
      <c r="VV110" s="863"/>
      <c r="VW110" s="863"/>
      <c r="VX110" s="863"/>
      <c r="VY110" s="863"/>
      <c r="VZ110" s="863"/>
      <c r="WA110" s="863"/>
      <c r="WB110" s="863"/>
      <c r="WC110" s="863"/>
      <c r="WD110" s="863"/>
      <c r="WE110" s="863"/>
      <c r="WF110" s="863"/>
      <c r="WG110" s="863"/>
      <c r="WH110" s="863"/>
      <c r="WI110" s="863"/>
      <c r="WJ110" s="863"/>
      <c r="WK110" s="883"/>
      <c r="WL110" s="883"/>
      <c r="WM110" s="883"/>
      <c r="WN110" s="883"/>
      <c r="WO110" s="883"/>
      <c r="WP110" s="883"/>
      <c r="WQ110" s="883"/>
      <c r="WR110" s="883"/>
      <c r="WS110" s="883"/>
      <c r="WT110" s="863"/>
      <c r="WU110" s="863"/>
      <c r="WV110" s="863"/>
      <c r="WW110" s="863"/>
      <c r="WX110" s="863"/>
      <c r="WY110" s="863"/>
      <c r="WZ110" s="863"/>
      <c r="XA110" s="863"/>
      <c r="XB110" s="863"/>
      <c r="XC110" s="863"/>
      <c r="XD110" s="863"/>
      <c r="XE110" s="863"/>
      <c r="XF110" s="863"/>
      <c r="XG110" s="863"/>
      <c r="XH110" s="863"/>
      <c r="XI110" s="863"/>
      <c r="XJ110" s="863"/>
      <c r="XK110" s="863"/>
      <c r="XL110" s="863"/>
      <c r="XM110" s="863"/>
      <c r="XN110" s="863"/>
      <c r="XO110" s="863"/>
      <c r="XP110" s="863"/>
      <c r="XQ110" s="883"/>
      <c r="XR110" s="883"/>
      <c r="XS110" s="883"/>
      <c r="XT110" s="883"/>
      <c r="XU110" s="883"/>
      <c r="XV110" s="883"/>
      <c r="XW110" s="883"/>
      <c r="XX110" s="883"/>
      <c r="XY110" s="883"/>
      <c r="XZ110" s="863"/>
      <c r="YA110" s="863"/>
      <c r="YB110" s="863"/>
      <c r="YC110" s="863"/>
      <c r="YD110" s="863"/>
      <c r="YE110" s="863"/>
      <c r="YF110" s="863"/>
      <c r="YG110" s="863"/>
      <c r="YH110" s="863"/>
      <c r="YI110" s="863"/>
      <c r="YJ110" s="863"/>
      <c r="YK110" s="863"/>
      <c r="YL110" s="863"/>
      <c r="YM110" s="863"/>
      <c r="YN110" s="863"/>
      <c r="YO110" s="863"/>
      <c r="YP110" s="863"/>
      <c r="YQ110" s="863"/>
      <c r="YR110" s="863"/>
      <c r="YS110" s="863"/>
      <c r="YT110" s="863"/>
      <c r="YU110" s="863"/>
      <c r="YV110" s="863"/>
      <c r="YW110" s="883"/>
      <c r="YX110" s="883"/>
      <c r="YY110" s="883"/>
      <c r="YZ110" s="883"/>
      <c r="ZA110" s="883"/>
      <c r="ZB110" s="883"/>
      <c r="ZC110" s="883"/>
      <c r="ZD110" s="883"/>
      <c r="ZE110" s="883"/>
      <c r="ZF110" s="863"/>
      <c r="ZG110" s="863"/>
      <c r="ZH110" s="863"/>
      <c r="ZI110" s="863"/>
      <c r="ZJ110" s="863"/>
      <c r="ZK110" s="863"/>
      <c r="ZL110" s="863"/>
      <c r="ZM110" s="863"/>
      <c r="ZN110" s="863"/>
      <c r="ZO110" s="863"/>
      <c r="ZP110" s="863"/>
      <c r="ZQ110" s="863"/>
      <c r="ZR110" s="863"/>
      <c r="ZS110" s="863"/>
      <c r="ZT110" s="863"/>
      <c r="ZU110" s="863"/>
      <c r="ZV110" s="863"/>
      <c r="ZW110" s="863"/>
      <c r="ZX110" s="863"/>
      <c r="ZY110" s="863"/>
      <c r="ZZ110" s="863"/>
      <c r="AAA110" s="863"/>
      <c r="AAB110" s="863"/>
      <c r="AAC110" s="883"/>
      <c r="AAD110" s="883"/>
      <c r="AAE110" s="883"/>
      <c r="AAF110" s="883"/>
      <c r="AAG110" s="883"/>
      <c r="AAH110" s="883"/>
      <c r="AAI110" s="883"/>
      <c r="AAJ110" s="883"/>
      <c r="AAK110" s="883"/>
      <c r="AAL110" s="863"/>
      <c r="AAM110" s="863"/>
      <c r="AAN110" s="863"/>
      <c r="AAO110" s="863"/>
      <c r="AAP110" s="863"/>
      <c r="AAQ110" s="863"/>
      <c r="AAR110" s="863"/>
      <c r="AAS110" s="863"/>
      <c r="AAT110" s="863"/>
      <c r="AAU110" s="863"/>
      <c r="AAV110" s="863"/>
      <c r="AAW110" s="863"/>
      <c r="AAX110" s="863"/>
      <c r="AAY110" s="863"/>
      <c r="AAZ110" s="863"/>
      <c r="ABA110" s="863"/>
      <c r="ABB110" s="863"/>
      <c r="ABC110" s="863"/>
      <c r="ABD110" s="863"/>
      <c r="ABE110" s="863"/>
      <c r="ABF110" s="863"/>
      <c r="ABG110" s="863"/>
      <c r="ABH110" s="863"/>
      <c r="ABI110" s="883"/>
      <c r="ABJ110" s="883"/>
      <c r="ABK110" s="883"/>
      <c r="ABL110" s="883"/>
      <c r="ABM110" s="883"/>
      <c r="ABN110" s="883"/>
      <c r="ABO110" s="883"/>
      <c r="ABP110" s="883"/>
      <c r="ABQ110" s="883"/>
      <c r="ABR110" s="863"/>
      <c r="ABS110" s="863"/>
      <c r="ABT110" s="863"/>
      <c r="ABU110" s="863"/>
      <c r="ABV110" s="863"/>
      <c r="ABW110" s="863"/>
      <c r="ABX110" s="863"/>
      <c r="ABY110" s="863"/>
      <c r="ABZ110" s="863"/>
      <c r="ACA110" s="863"/>
      <c r="ACB110" s="863"/>
      <c r="ACC110" s="863"/>
      <c r="ACD110" s="863"/>
      <c r="ACE110" s="863"/>
      <c r="ACF110" s="863"/>
      <c r="ACG110" s="863"/>
      <c r="ACH110" s="863"/>
      <c r="ACI110" s="863"/>
      <c r="ACJ110" s="863"/>
      <c r="ACK110" s="863"/>
      <c r="ACL110" s="863"/>
      <c r="ACM110" s="863"/>
      <c r="ACN110" s="863"/>
      <c r="ACO110" s="883"/>
      <c r="ACP110" s="883"/>
      <c r="ACQ110" s="883"/>
      <c r="ACR110" s="883"/>
      <c r="ACS110" s="883"/>
      <c r="ACT110" s="883"/>
      <c r="ACU110" s="883"/>
      <c r="ACV110" s="883"/>
      <c r="ACW110" s="883"/>
      <c r="ACX110" s="863"/>
      <c r="ACY110" s="863"/>
      <c r="ACZ110" s="863"/>
      <c r="ADA110" s="863"/>
      <c r="ADB110" s="863"/>
      <c r="ADC110" s="863"/>
      <c r="ADD110" s="863"/>
      <c r="ADE110" s="863"/>
      <c r="ADF110" s="863"/>
      <c r="ADG110" s="863"/>
      <c r="ADH110" s="863"/>
      <c r="ADI110" s="863"/>
      <c r="ADJ110" s="863"/>
      <c r="ADK110" s="863"/>
      <c r="ADL110" s="863"/>
      <c r="ADM110" s="863"/>
      <c r="ADN110" s="863"/>
      <c r="ADO110" s="863"/>
      <c r="ADP110" s="863"/>
      <c r="ADQ110" s="863"/>
      <c r="ADR110" s="863"/>
      <c r="ADS110" s="863"/>
      <c r="ADT110" s="863"/>
      <c r="ADU110" s="883"/>
      <c r="ADV110" s="883"/>
      <c r="ADW110" s="883"/>
      <c r="ADX110" s="883"/>
      <c r="ADY110" s="883"/>
      <c r="ADZ110" s="883"/>
      <c r="AEA110" s="883"/>
      <c r="AEB110" s="883"/>
      <c r="AEC110" s="883"/>
      <c r="AED110" s="863"/>
      <c r="AEE110" s="863"/>
      <c r="AEF110" s="863"/>
      <c r="AEG110" s="863"/>
      <c r="AEH110" s="863"/>
      <c r="AEI110" s="863"/>
      <c r="AEJ110" s="863"/>
      <c r="AEK110" s="863"/>
      <c r="AEL110" s="863"/>
      <c r="AEM110" s="863"/>
      <c r="AEN110" s="863"/>
      <c r="AEO110" s="863"/>
      <c r="AEP110" s="863"/>
      <c r="AEQ110" s="863"/>
      <c r="AER110" s="863"/>
      <c r="AES110" s="863"/>
      <c r="AET110" s="863"/>
      <c r="AEU110" s="863"/>
      <c r="AEV110" s="863"/>
      <c r="AEW110" s="863"/>
      <c r="AEX110" s="863"/>
      <c r="AEY110" s="863"/>
      <c r="AEZ110" s="863"/>
      <c r="AFA110" s="883"/>
      <c r="AFB110" s="883"/>
      <c r="AFC110" s="883"/>
      <c r="AFD110" s="883"/>
      <c r="AFE110" s="883"/>
      <c r="AFF110" s="883"/>
      <c r="AFG110" s="883"/>
      <c r="AFH110" s="883"/>
      <c r="AFI110" s="883"/>
      <c r="AFJ110" s="863"/>
      <c r="AFK110" s="863"/>
      <c r="AFL110" s="863"/>
      <c r="AFM110" s="863"/>
      <c r="AFN110" s="863"/>
      <c r="AFO110" s="863"/>
      <c r="AFP110" s="863"/>
      <c r="AFQ110" s="863"/>
      <c r="AFR110" s="863"/>
      <c r="AFS110" s="863"/>
      <c r="AFT110" s="863"/>
      <c r="AFU110" s="863"/>
      <c r="AFV110" s="863"/>
      <c r="AFW110" s="863"/>
      <c r="AFX110" s="863"/>
      <c r="AFY110" s="863"/>
      <c r="AFZ110" s="863"/>
      <c r="AGA110" s="863"/>
      <c r="AGB110" s="863"/>
      <c r="AGC110" s="863"/>
      <c r="AGD110" s="863"/>
      <c r="AGE110" s="863"/>
      <c r="AGF110" s="863"/>
      <c r="AGG110" s="883"/>
      <c r="AGH110" s="883"/>
      <c r="AGI110" s="883"/>
      <c r="AGJ110" s="883"/>
      <c r="AGK110" s="883"/>
      <c r="AGL110" s="883"/>
      <c r="AGM110" s="883"/>
      <c r="AGN110" s="883"/>
      <c r="AGO110" s="883"/>
      <c r="AGP110" s="863"/>
      <c r="AGQ110" s="863"/>
      <c r="AGR110" s="863"/>
      <c r="AGS110" s="863"/>
      <c r="AGT110" s="863"/>
      <c r="AGU110" s="863"/>
      <c r="AGV110" s="863"/>
      <c r="AGW110" s="863"/>
      <c r="AGX110" s="863"/>
      <c r="AGY110" s="863"/>
      <c r="AGZ110" s="863"/>
      <c r="AHA110" s="863"/>
      <c r="AHB110" s="863"/>
      <c r="AHC110" s="863"/>
      <c r="AHD110" s="863"/>
      <c r="AHE110" s="863"/>
      <c r="AHF110" s="863"/>
      <c r="AHG110" s="863"/>
      <c r="AHH110" s="863"/>
      <c r="AHI110" s="863"/>
      <c r="AHJ110" s="863"/>
      <c r="AHK110" s="863"/>
      <c r="AHL110" s="863"/>
      <c r="AHM110" s="883"/>
      <c r="AHN110" s="883"/>
      <c r="AHO110" s="883"/>
      <c r="AHP110" s="883"/>
      <c r="AHQ110" s="883"/>
      <c r="AHR110" s="883"/>
      <c r="AHS110" s="883"/>
      <c r="AHT110" s="883"/>
      <c r="AHU110" s="883"/>
      <c r="AHV110" s="863"/>
      <c r="AHW110" s="863"/>
      <c r="AHX110" s="863"/>
      <c r="AHY110" s="863"/>
      <c r="AHZ110" s="863"/>
      <c r="AIA110" s="863"/>
      <c r="AIB110" s="863"/>
      <c r="AIC110" s="863"/>
      <c r="AID110" s="863"/>
      <c r="AIE110" s="863"/>
      <c r="AIF110" s="863"/>
      <c r="AIG110" s="863"/>
      <c r="AIH110" s="863"/>
      <c r="AII110" s="863"/>
      <c r="AIJ110" s="863"/>
      <c r="AIK110" s="863"/>
      <c r="AIL110" s="863"/>
      <c r="AIM110" s="863"/>
      <c r="AIN110" s="863"/>
      <c r="AIO110" s="863"/>
      <c r="AIP110" s="863"/>
      <c r="AIQ110" s="863"/>
      <c r="AIR110" s="863"/>
      <c r="AIS110" s="883"/>
      <c r="AIT110" s="883"/>
      <c r="AIU110" s="883"/>
      <c r="AIV110" s="883"/>
      <c r="AIW110" s="883"/>
      <c r="AIX110" s="883"/>
      <c r="AIY110" s="883"/>
      <c r="AIZ110" s="883"/>
      <c r="AJA110" s="883"/>
      <c r="AJB110" s="863"/>
      <c r="AJC110" s="863"/>
      <c r="AJD110" s="863"/>
      <c r="AJE110" s="863"/>
      <c r="AJF110" s="863"/>
      <c r="AJG110" s="863"/>
      <c r="AJH110" s="863"/>
      <c r="AJI110" s="863"/>
      <c r="AJJ110" s="863"/>
      <c r="AJK110" s="863"/>
      <c r="AJL110" s="863"/>
      <c r="AJM110" s="863"/>
      <c r="AJN110" s="863"/>
      <c r="AJO110" s="863"/>
      <c r="AJP110" s="863"/>
      <c r="AJQ110" s="863"/>
      <c r="AJR110" s="863"/>
      <c r="AJS110" s="863"/>
      <c r="AJT110" s="863"/>
      <c r="AJU110" s="863"/>
      <c r="AJV110" s="863"/>
      <c r="AJW110" s="863"/>
      <c r="AJX110" s="863"/>
      <c r="AJY110" s="883"/>
      <c r="AJZ110" s="883"/>
      <c r="AKA110" s="883"/>
      <c r="AKB110" s="883"/>
      <c r="AKC110" s="883"/>
      <c r="AKD110" s="883"/>
      <c r="AKE110" s="883"/>
      <c r="AKF110" s="883"/>
      <c r="AKG110" s="883"/>
      <c r="AKH110" s="863"/>
      <c r="AKI110" s="863"/>
      <c r="AKJ110" s="863"/>
      <c r="AKK110" s="863"/>
      <c r="AKL110" s="863"/>
      <c r="AKM110" s="863"/>
      <c r="AKN110" s="863"/>
      <c r="AKO110" s="863"/>
      <c r="AKP110" s="863"/>
      <c r="AKQ110" s="863"/>
      <c r="AKR110" s="863"/>
      <c r="AKS110" s="863"/>
      <c r="AKT110" s="863"/>
      <c r="AKU110" s="863"/>
      <c r="AKV110" s="863"/>
      <c r="AKW110" s="863"/>
      <c r="AKX110" s="863"/>
      <c r="AKY110" s="863"/>
      <c r="AKZ110" s="863"/>
      <c r="ALA110" s="863"/>
      <c r="ALB110" s="863"/>
      <c r="ALC110" s="863"/>
      <c r="ALD110" s="863"/>
      <c r="ALE110" s="883"/>
      <c r="ALF110" s="883"/>
      <c r="ALG110" s="883"/>
      <c r="ALH110" s="883"/>
      <c r="ALI110" s="883"/>
      <c r="ALJ110" s="883"/>
      <c r="ALK110" s="883"/>
      <c r="ALL110" s="883"/>
      <c r="ALM110" s="883"/>
      <c r="ALN110" s="863"/>
      <c r="ALO110" s="863"/>
      <c r="ALP110" s="863"/>
      <c r="ALQ110" s="863"/>
      <c r="ALR110" s="863"/>
      <c r="ALS110" s="863"/>
      <c r="ALT110" s="863"/>
      <c r="ALU110" s="863"/>
      <c r="ALV110" s="863"/>
      <c r="ALW110" s="863"/>
      <c r="ALX110" s="863"/>
      <c r="ALY110" s="863"/>
      <c r="ALZ110" s="863"/>
      <c r="AMA110" s="863"/>
      <c r="AMB110" s="863"/>
      <c r="AMC110" s="863"/>
      <c r="AMD110" s="863"/>
      <c r="AME110" s="863"/>
      <c r="AMF110" s="863"/>
      <c r="AMG110" s="863"/>
      <c r="AMH110" s="863"/>
      <c r="AMI110" s="863"/>
      <c r="AMJ110" s="863"/>
      <c r="AMK110" s="883"/>
      <c r="AML110" s="883"/>
      <c r="AMM110" s="883"/>
      <c r="AMN110" s="883"/>
      <c r="AMO110" s="883"/>
      <c r="AMP110" s="883"/>
      <c r="AMQ110" s="883"/>
      <c r="AMR110" s="883"/>
      <c r="AMS110" s="883"/>
      <c r="AMT110" s="863"/>
      <c r="AMU110" s="863"/>
      <c r="AMV110" s="863"/>
      <c r="AMW110" s="863"/>
      <c r="AMX110" s="863"/>
      <c r="AMY110" s="863"/>
      <c r="AMZ110" s="863"/>
      <c r="ANA110" s="863"/>
      <c r="ANB110" s="863"/>
      <c r="ANC110" s="863"/>
      <c r="AND110" s="863"/>
      <c r="ANE110" s="863"/>
      <c r="ANF110" s="863"/>
      <c r="ANG110" s="863"/>
      <c r="ANH110" s="863"/>
      <c r="ANI110" s="863"/>
      <c r="ANJ110" s="863"/>
      <c r="ANK110" s="863"/>
      <c r="ANL110" s="863"/>
      <c r="ANM110" s="863"/>
      <c r="ANN110" s="863"/>
      <c r="ANO110" s="863"/>
      <c r="ANP110" s="863"/>
      <c r="ANQ110" s="883"/>
      <c r="ANR110" s="883"/>
      <c r="ANS110" s="883"/>
      <c r="ANT110" s="883"/>
      <c r="ANU110" s="883"/>
      <c r="ANV110" s="883"/>
      <c r="ANW110" s="883"/>
      <c r="ANX110" s="883"/>
      <c r="ANY110" s="883"/>
      <c r="ANZ110" s="863"/>
      <c r="AOA110" s="863"/>
      <c r="AOB110" s="863"/>
      <c r="AOC110" s="863"/>
      <c r="AOD110" s="863"/>
      <c r="AOE110" s="863"/>
      <c r="AOF110" s="863"/>
      <c r="AOG110" s="863"/>
      <c r="AOH110" s="863"/>
      <c r="AOI110" s="863"/>
      <c r="AOJ110" s="863"/>
      <c r="AOK110" s="863"/>
      <c r="AOL110" s="863"/>
      <c r="AOM110" s="863"/>
      <c r="AON110" s="863"/>
      <c r="AOO110" s="863"/>
      <c r="AOP110" s="863"/>
      <c r="AOQ110" s="863"/>
      <c r="AOR110" s="863"/>
      <c r="AOS110" s="863"/>
      <c r="AOT110" s="863"/>
      <c r="AOU110" s="863"/>
      <c r="AOV110" s="863"/>
      <c r="AOW110" s="883"/>
      <c r="AOX110" s="883"/>
      <c r="AOY110" s="883"/>
      <c r="AOZ110" s="883"/>
      <c r="APA110" s="883"/>
      <c r="APB110" s="883"/>
      <c r="APC110" s="883"/>
      <c r="APD110" s="883"/>
      <c r="APE110" s="883"/>
      <c r="APF110" s="863"/>
      <c r="APG110" s="863"/>
      <c r="APH110" s="863"/>
      <c r="API110" s="863"/>
      <c r="APJ110" s="863"/>
      <c r="APK110" s="863"/>
      <c r="APL110" s="863"/>
      <c r="APM110" s="863"/>
      <c r="APN110" s="863"/>
      <c r="APO110" s="863"/>
      <c r="APP110" s="863"/>
      <c r="APQ110" s="863"/>
      <c r="APR110" s="863"/>
      <c r="APS110" s="863"/>
      <c r="APT110" s="863"/>
      <c r="APU110" s="863"/>
      <c r="APV110" s="863"/>
      <c r="APW110" s="863"/>
      <c r="APX110" s="863"/>
      <c r="APY110" s="863"/>
      <c r="APZ110" s="863"/>
      <c r="AQA110" s="863"/>
      <c r="AQB110" s="863"/>
      <c r="AQC110" s="883"/>
      <c r="AQD110" s="883"/>
      <c r="AQE110" s="883"/>
      <c r="AQF110" s="883"/>
      <c r="AQG110" s="883"/>
      <c r="AQH110" s="883"/>
      <c r="AQI110" s="883"/>
      <c r="AQJ110" s="883"/>
      <c r="AQK110" s="883"/>
      <c r="AQL110" s="863"/>
      <c r="AQM110" s="863"/>
      <c r="AQN110" s="863"/>
      <c r="AQO110" s="863"/>
      <c r="AQP110" s="863"/>
      <c r="AQQ110" s="863"/>
      <c r="AQR110" s="863"/>
      <c r="AQS110" s="863"/>
      <c r="AQT110" s="863"/>
      <c r="AQU110" s="863"/>
      <c r="AQV110" s="863"/>
      <c r="AQW110" s="863"/>
      <c r="AQX110" s="863"/>
      <c r="AQY110" s="863"/>
      <c r="AQZ110" s="863"/>
      <c r="ARA110" s="863"/>
      <c r="ARB110" s="863"/>
      <c r="ARC110" s="863"/>
      <c r="ARD110" s="863"/>
      <c r="ARE110" s="863"/>
      <c r="ARF110" s="863"/>
      <c r="ARG110" s="863"/>
      <c r="ARH110" s="863"/>
      <c r="ARI110" s="883"/>
      <c r="ARJ110" s="883"/>
      <c r="ARK110" s="883"/>
      <c r="ARL110" s="883"/>
      <c r="ARM110" s="883"/>
      <c r="ARN110" s="883"/>
      <c r="ARO110" s="883"/>
      <c r="ARP110" s="883"/>
      <c r="ARQ110" s="883"/>
      <c r="ARR110" s="863"/>
      <c r="ARS110" s="863"/>
      <c r="ART110" s="863"/>
      <c r="ARU110" s="863"/>
      <c r="ARV110" s="863"/>
      <c r="ARW110" s="863"/>
      <c r="ARX110" s="863"/>
      <c r="ARY110" s="863"/>
      <c r="ARZ110" s="863"/>
      <c r="ASA110" s="863"/>
      <c r="ASB110" s="863"/>
      <c r="ASC110" s="863"/>
      <c r="ASD110" s="863"/>
      <c r="ASE110" s="863"/>
      <c r="ASF110" s="863"/>
      <c r="ASG110" s="863"/>
      <c r="ASH110" s="863"/>
      <c r="ASI110" s="863"/>
      <c r="ASJ110" s="863"/>
      <c r="ASK110" s="863"/>
      <c r="ASL110" s="863"/>
      <c r="ASM110" s="863"/>
      <c r="ASN110" s="863"/>
      <c r="ASO110" s="883"/>
      <c r="ASP110" s="883"/>
      <c r="ASQ110" s="883"/>
      <c r="ASR110" s="883"/>
      <c r="ASS110" s="883"/>
      <c r="AST110" s="883"/>
      <c r="ASU110" s="883"/>
      <c r="ASV110" s="883"/>
      <c r="ASW110" s="883"/>
      <c r="ASX110" s="863"/>
      <c r="ASY110" s="863"/>
      <c r="ASZ110" s="863"/>
      <c r="ATA110" s="863"/>
      <c r="ATB110" s="863"/>
      <c r="ATC110" s="863"/>
      <c r="ATD110" s="863"/>
      <c r="ATE110" s="863"/>
      <c r="ATF110" s="863"/>
      <c r="ATG110" s="863"/>
      <c r="ATH110" s="863"/>
      <c r="ATI110" s="863"/>
      <c r="ATJ110" s="863"/>
      <c r="ATK110" s="863"/>
      <c r="ATL110" s="863"/>
      <c r="ATM110" s="863"/>
      <c r="ATN110" s="863"/>
      <c r="ATO110" s="863"/>
      <c r="ATP110" s="863"/>
      <c r="ATQ110" s="863"/>
      <c r="ATR110" s="863"/>
      <c r="ATS110" s="863"/>
      <c r="ATT110" s="863"/>
      <c r="ATU110" s="883"/>
      <c r="ATV110" s="883"/>
      <c r="ATW110" s="883"/>
      <c r="ATX110" s="883"/>
      <c r="ATY110" s="883"/>
      <c r="ATZ110" s="883"/>
      <c r="AUA110" s="883"/>
      <c r="AUB110" s="883"/>
      <c r="AUC110" s="883"/>
      <c r="AUD110" s="863"/>
      <c r="AUE110" s="863"/>
      <c r="AUF110" s="863"/>
      <c r="AUG110" s="863"/>
      <c r="AUH110" s="863"/>
      <c r="AUI110" s="863"/>
      <c r="AUJ110" s="863"/>
      <c r="AUK110" s="863"/>
      <c r="AUL110" s="863"/>
      <c r="AUM110" s="863"/>
      <c r="AUN110" s="863"/>
      <c r="AUO110" s="863"/>
      <c r="AUP110" s="863"/>
      <c r="AUQ110" s="863"/>
      <c r="AUR110" s="863"/>
      <c r="AUS110" s="863"/>
      <c r="AUT110" s="863"/>
      <c r="AUU110" s="863"/>
      <c r="AUV110" s="863"/>
      <c r="AUW110" s="863"/>
      <c r="AUX110" s="863"/>
      <c r="AUY110" s="863"/>
      <c r="AUZ110" s="863"/>
      <c r="AVA110" s="883"/>
      <c r="AVB110" s="883"/>
      <c r="AVC110" s="883"/>
      <c r="AVD110" s="883"/>
      <c r="AVE110" s="883"/>
      <c r="AVF110" s="883"/>
      <c r="AVG110" s="883"/>
      <c r="AVH110" s="883"/>
      <c r="AVI110" s="883"/>
      <c r="AVJ110" s="863"/>
      <c r="AVK110" s="863"/>
      <c r="AVL110" s="863"/>
      <c r="AVM110" s="863"/>
      <c r="AVN110" s="863"/>
      <c r="AVO110" s="863"/>
      <c r="AVP110" s="863"/>
      <c r="AVQ110" s="863"/>
      <c r="AVR110" s="863"/>
      <c r="AVS110" s="863"/>
      <c r="AVT110" s="863"/>
      <c r="AVU110" s="863"/>
      <c r="AVV110" s="863"/>
      <c r="AVW110" s="863"/>
      <c r="AVX110" s="863"/>
      <c r="AVY110" s="863"/>
      <c r="AVZ110" s="863"/>
      <c r="AWA110" s="863"/>
      <c r="AWB110" s="863"/>
      <c r="AWC110" s="863"/>
      <c r="AWD110" s="863"/>
      <c r="AWE110" s="863"/>
      <c r="AWF110" s="863"/>
      <c r="AWG110" s="883"/>
      <c r="AWH110" s="883"/>
      <c r="AWI110" s="883"/>
      <c r="AWJ110" s="883"/>
      <c r="AWK110" s="883"/>
      <c r="AWL110" s="883"/>
      <c r="AWM110" s="883"/>
      <c r="AWN110" s="883"/>
      <c r="AWO110" s="883"/>
      <c r="AWP110" s="863"/>
      <c r="AWQ110" s="863"/>
      <c r="AWR110" s="863"/>
      <c r="AWS110" s="863"/>
      <c r="AWT110" s="863"/>
      <c r="AWU110" s="863"/>
      <c r="AWV110" s="863"/>
      <c r="AWW110" s="863"/>
      <c r="AWX110" s="863"/>
      <c r="AWY110" s="863"/>
      <c r="AWZ110" s="863"/>
      <c r="AXA110" s="863"/>
      <c r="AXB110" s="863"/>
      <c r="AXC110" s="863"/>
      <c r="AXD110" s="863"/>
      <c r="AXE110" s="863"/>
      <c r="AXF110" s="863"/>
      <c r="AXG110" s="863"/>
      <c r="AXH110" s="863"/>
      <c r="AXI110" s="863"/>
      <c r="AXJ110" s="863"/>
      <c r="AXK110" s="863"/>
      <c r="AXL110" s="863"/>
      <c r="AXM110" s="883"/>
      <c r="AXN110" s="883"/>
      <c r="AXO110" s="883"/>
      <c r="AXP110" s="883"/>
      <c r="AXQ110" s="883"/>
      <c r="AXR110" s="883"/>
      <c r="AXS110" s="883"/>
      <c r="AXT110" s="883"/>
      <c r="AXU110" s="883"/>
      <c r="AXV110" s="863"/>
      <c r="AXW110" s="863"/>
      <c r="AXX110" s="863"/>
      <c r="AXY110" s="863"/>
      <c r="AXZ110" s="863"/>
      <c r="AYA110" s="863"/>
      <c r="AYB110" s="863"/>
      <c r="AYC110" s="863"/>
      <c r="AYD110" s="863"/>
      <c r="AYE110" s="863"/>
      <c r="AYF110" s="863"/>
      <c r="AYG110" s="863"/>
      <c r="AYH110" s="863"/>
      <c r="AYI110" s="863"/>
      <c r="AYJ110" s="863"/>
      <c r="AYK110" s="863"/>
      <c r="AYL110" s="863"/>
      <c r="AYM110" s="863"/>
      <c r="AYN110" s="863"/>
      <c r="AYO110" s="863"/>
      <c r="AYP110" s="863"/>
      <c r="AYQ110" s="863"/>
      <c r="AYR110" s="863"/>
      <c r="AYS110" s="883"/>
      <c r="AYT110" s="883"/>
      <c r="AYU110" s="883"/>
      <c r="AYV110" s="883"/>
      <c r="AYW110" s="883"/>
      <c r="AYX110" s="883"/>
      <c r="AYY110" s="883"/>
      <c r="AYZ110" s="883"/>
      <c r="AZA110" s="883"/>
      <c r="AZB110" s="863"/>
      <c r="AZC110" s="863"/>
      <c r="AZD110" s="863"/>
      <c r="AZE110" s="863"/>
      <c r="AZF110" s="863"/>
      <c r="AZG110" s="863"/>
      <c r="AZH110" s="863"/>
      <c r="AZI110" s="863"/>
      <c r="AZJ110" s="863"/>
      <c r="AZK110" s="863"/>
      <c r="AZL110" s="863"/>
      <c r="AZM110" s="863"/>
      <c r="AZN110" s="863"/>
      <c r="AZO110" s="863"/>
      <c r="AZP110" s="863"/>
      <c r="AZQ110" s="863"/>
      <c r="AZR110" s="863"/>
      <c r="AZS110" s="863"/>
      <c r="AZT110" s="863"/>
      <c r="AZU110" s="863"/>
      <c r="AZV110" s="863"/>
      <c r="AZW110" s="863"/>
      <c r="AZX110" s="863"/>
      <c r="AZY110" s="883"/>
      <c r="AZZ110" s="883"/>
      <c r="BAA110" s="883"/>
      <c r="BAB110" s="883"/>
      <c r="BAC110" s="883"/>
      <c r="BAD110" s="883"/>
      <c r="BAE110" s="883"/>
      <c r="BAF110" s="883"/>
      <c r="BAG110" s="883"/>
      <c r="BAH110" s="863"/>
      <c r="BAI110" s="863"/>
      <c r="BAJ110" s="863"/>
      <c r="BAK110" s="863"/>
      <c r="BAL110" s="863"/>
      <c r="BAM110" s="863"/>
      <c r="BAN110" s="863"/>
      <c r="BAO110" s="863"/>
      <c r="BAP110" s="863"/>
      <c r="BAQ110" s="863"/>
      <c r="BAR110" s="863"/>
      <c r="BAS110" s="863"/>
      <c r="BAT110" s="863"/>
      <c r="BAU110" s="863"/>
      <c r="BAV110" s="863"/>
      <c r="BAW110" s="863"/>
      <c r="BAX110" s="863"/>
      <c r="BAY110" s="863"/>
      <c r="BAZ110" s="863"/>
      <c r="BBA110" s="863"/>
      <c r="BBB110" s="863"/>
      <c r="BBC110" s="863"/>
      <c r="BBD110" s="863"/>
      <c r="BBE110" s="883"/>
      <c r="BBF110" s="883"/>
      <c r="BBG110" s="883"/>
      <c r="BBH110" s="883"/>
      <c r="BBI110" s="883"/>
      <c r="BBJ110" s="883"/>
      <c r="BBK110" s="883"/>
      <c r="BBL110" s="883"/>
      <c r="BBM110" s="883"/>
      <c r="BBN110" s="863"/>
      <c r="BBO110" s="863"/>
      <c r="BBP110" s="863"/>
      <c r="BBQ110" s="863"/>
      <c r="BBR110" s="863"/>
      <c r="BBS110" s="863"/>
      <c r="BBT110" s="863"/>
      <c r="BBU110" s="863"/>
      <c r="BBV110" s="863"/>
      <c r="BBW110" s="863"/>
      <c r="BBX110" s="863"/>
      <c r="BBY110" s="863"/>
      <c r="BBZ110" s="863"/>
      <c r="BCA110" s="863"/>
      <c r="BCB110" s="863"/>
      <c r="BCC110" s="863"/>
      <c r="BCD110" s="863"/>
      <c r="BCE110" s="863"/>
      <c r="BCF110" s="863"/>
      <c r="BCG110" s="863"/>
      <c r="BCH110" s="863"/>
      <c r="BCI110" s="863"/>
      <c r="BCJ110" s="863"/>
      <c r="BCK110" s="883"/>
      <c r="BCL110" s="883"/>
      <c r="BCM110" s="883"/>
      <c r="BCN110" s="883"/>
      <c r="BCO110" s="883"/>
      <c r="BCP110" s="883"/>
      <c r="BCQ110" s="883"/>
      <c r="BCR110" s="883"/>
      <c r="BCS110" s="883"/>
      <c r="BCT110" s="863"/>
      <c r="BCU110" s="863"/>
      <c r="BCV110" s="863"/>
      <c r="BCW110" s="863"/>
      <c r="BCX110" s="863"/>
      <c r="BCY110" s="863"/>
      <c r="BCZ110" s="863"/>
      <c r="BDA110" s="863"/>
      <c r="BDB110" s="863"/>
      <c r="BDC110" s="863"/>
      <c r="BDD110" s="863"/>
      <c r="BDE110" s="863"/>
      <c r="BDF110" s="863"/>
      <c r="BDG110" s="863"/>
      <c r="BDH110" s="863"/>
      <c r="BDI110" s="863"/>
      <c r="BDJ110" s="863"/>
      <c r="BDK110" s="863"/>
      <c r="BDL110" s="863"/>
      <c r="BDM110" s="863"/>
      <c r="BDN110" s="863"/>
      <c r="BDO110" s="863"/>
      <c r="BDP110" s="863"/>
      <c r="BDQ110" s="883"/>
      <c r="BDR110" s="883"/>
      <c r="BDS110" s="883"/>
      <c r="BDT110" s="883"/>
      <c r="BDU110" s="883"/>
      <c r="BDV110" s="883"/>
      <c r="BDW110" s="883"/>
      <c r="BDX110" s="883"/>
      <c r="BDY110" s="883"/>
      <c r="BDZ110" s="863"/>
      <c r="BEA110" s="863"/>
      <c r="BEB110" s="863"/>
      <c r="BEC110" s="863"/>
      <c r="BED110" s="863"/>
      <c r="BEE110" s="863"/>
      <c r="BEF110" s="863"/>
      <c r="BEG110" s="863"/>
      <c r="BEH110" s="863"/>
      <c r="BEI110" s="863"/>
      <c r="BEJ110" s="863"/>
      <c r="BEK110" s="863"/>
      <c r="BEL110" s="863"/>
      <c r="BEM110" s="863"/>
      <c r="BEN110" s="863"/>
      <c r="BEO110" s="863"/>
      <c r="BEP110" s="863"/>
      <c r="BEQ110" s="863"/>
      <c r="BER110" s="863"/>
      <c r="BES110" s="863"/>
      <c r="BET110" s="863"/>
      <c r="BEU110" s="863"/>
      <c r="BEV110" s="863"/>
      <c r="BEW110" s="883"/>
      <c r="BEX110" s="883"/>
      <c r="BEY110" s="883"/>
      <c r="BEZ110" s="883"/>
      <c r="BFA110" s="883"/>
      <c r="BFB110" s="883"/>
      <c r="BFC110" s="883"/>
      <c r="BFD110" s="883"/>
      <c r="BFE110" s="883"/>
      <c r="BFF110" s="863"/>
      <c r="BFG110" s="863"/>
      <c r="BFH110" s="863"/>
      <c r="BFI110" s="863"/>
      <c r="BFJ110" s="863"/>
      <c r="BFK110" s="863"/>
      <c r="BFL110" s="863"/>
      <c r="BFM110" s="863"/>
      <c r="BFN110" s="863"/>
      <c r="BFO110" s="863"/>
      <c r="BFP110" s="863"/>
      <c r="BFQ110" s="863"/>
      <c r="BFR110" s="863"/>
      <c r="BFS110" s="863"/>
      <c r="BFT110" s="863"/>
      <c r="BFU110" s="863"/>
      <c r="BFV110" s="863"/>
      <c r="BFW110" s="863"/>
      <c r="BFX110" s="863"/>
      <c r="BFY110" s="863"/>
      <c r="BFZ110" s="863"/>
      <c r="BGA110" s="863"/>
      <c r="BGB110" s="863"/>
      <c r="BGC110" s="883"/>
      <c r="BGD110" s="883"/>
      <c r="BGE110" s="883"/>
      <c r="BGF110" s="883"/>
      <c r="BGG110" s="883"/>
      <c r="BGH110" s="883"/>
      <c r="BGI110" s="883"/>
      <c r="BGJ110" s="883"/>
      <c r="BGK110" s="883"/>
      <c r="BGL110" s="863"/>
      <c r="BGM110" s="863"/>
      <c r="BGN110" s="863"/>
      <c r="BGO110" s="863"/>
      <c r="BGP110" s="863"/>
      <c r="BGQ110" s="863"/>
      <c r="BGR110" s="863"/>
      <c r="BGS110" s="863"/>
      <c r="BGT110" s="863"/>
      <c r="BGU110" s="863"/>
      <c r="BGV110" s="863"/>
      <c r="BGW110" s="863"/>
      <c r="BGX110" s="863"/>
      <c r="BGY110" s="863"/>
      <c r="BGZ110" s="863"/>
      <c r="BHA110" s="863"/>
      <c r="BHB110" s="863"/>
      <c r="BHC110" s="863"/>
      <c r="BHD110" s="863"/>
      <c r="BHE110" s="863"/>
      <c r="BHF110" s="863"/>
      <c r="BHG110" s="863"/>
      <c r="BHH110" s="863"/>
      <c r="BHI110" s="883"/>
      <c r="BHJ110" s="883"/>
      <c r="BHK110" s="883"/>
      <c r="BHL110" s="883"/>
      <c r="BHM110" s="883"/>
      <c r="BHN110" s="883"/>
      <c r="BHO110" s="883"/>
      <c r="BHP110" s="883"/>
      <c r="BHQ110" s="883"/>
      <c r="BHR110" s="863"/>
      <c r="BHS110" s="863"/>
      <c r="BHT110" s="863"/>
      <c r="BHU110" s="863"/>
      <c r="BHV110" s="863"/>
      <c r="BHW110" s="863"/>
      <c r="BHX110" s="863"/>
      <c r="BHY110" s="863"/>
      <c r="BHZ110" s="863"/>
      <c r="BIA110" s="863"/>
      <c r="BIB110" s="863"/>
      <c r="BIC110" s="863"/>
      <c r="BID110" s="863"/>
      <c r="BIE110" s="863"/>
      <c r="BIF110" s="863"/>
      <c r="BIG110" s="863"/>
      <c r="BIH110" s="863"/>
      <c r="BII110" s="863"/>
      <c r="BIJ110" s="863"/>
      <c r="BIK110" s="863"/>
      <c r="BIL110" s="863"/>
      <c r="BIM110" s="863"/>
      <c r="BIN110" s="863"/>
      <c r="BIO110" s="883"/>
      <c r="BIP110" s="883"/>
      <c r="BIQ110" s="883"/>
      <c r="BIR110" s="883"/>
      <c r="BIS110" s="883"/>
      <c r="BIT110" s="883"/>
      <c r="BIU110" s="883"/>
      <c r="BIV110" s="883"/>
      <c r="BIW110" s="883"/>
      <c r="BIX110" s="863"/>
      <c r="BIY110" s="863"/>
      <c r="BIZ110" s="863"/>
      <c r="BJA110" s="863"/>
      <c r="BJB110" s="863"/>
      <c r="BJC110" s="863"/>
      <c r="BJD110" s="863"/>
      <c r="BJE110" s="863"/>
      <c r="BJF110" s="863"/>
      <c r="BJG110" s="863"/>
      <c r="BJH110" s="863"/>
      <c r="BJI110" s="863"/>
      <c r="BJJ110" s="863"/>
      <c r="BJK110" s="863"/>
      <c r="BJL110" s="863"/>
      <c r="BJM110" s="863"/>
      <c r="BJN110" s="863"/>
      <c r="BJO110" s="863"/>
      <c r="BJP110" s="863"/>
      <c r="BJQ110" s="863"/>
      <c r="BJR110" s="863"/>
      <c r="BJS110" s="863"/>
      <c r="BJT110" s="863"/>
      <c r="BJU110" s="883"/>
      <c r="BJV110" s="883"/>
      <c r="BJW110" s="883"/>
      <c r="BJX110" s="883"/>
      <c r="BJY110" s="883"/>
      <c r="BJZ110" s="883"/>
      <c r="BKA110" s="883"/>
      <c r="BKB110" s="883"/>
      <c r="BKC110" s="883"/>
      <c r="BKD110" s="863"/>
      <c r="BKE110" s="863"/>
      <c r="BKF110" s="863"/>
      <c r="BKG110" s="863"/>
      <c r="BKH110" s="863"/>
      <c r="BKI110" s="863"/>
      <c r="BKJ110" s="863"/>
      <c r="BKK110" s="863"/>
      <c r="BKL110" s="863"/>
      <c r="BKM110" s="863"/>
      <c r="BKN110" s="863"/>
      <c r="BKO110" s="863"/>
      <c r="BKP110" s="863"/>
      <c r="BKQ110" s="863"/>
      <c r="BKR110" s="863"/>
      <c r="BKS110" s="863"/>
      <c r="BKT110" s="863"/>
      <c r="BKU110" s="863"/>
      <c r="BKV110" s="863"/>
      <c r="BKW110" s="863"/>
      <c r="BKX110" s="863"/>
      <c r="BKY110" s="863"/>
      <c r="BKZ110" s="863"/>
      <c r="BLA110" s="883"/>
      <c r="BLB110" s="883"/>
      <c r="BLC110" s="883"/>
      <c r="BLD110" s="883"/>
      <c r="BLE110" s="883"/>
      <c r="BLF110" s="883"/>
      <c r="BLG110" s="883"/>
      <c r="BLH110" s="883"/>
      <c r="BLI110" s="883"/>
      <c r="BLJ110" s="863"/>
      <c r="BLK110" s="863"/>
      <c r="BLL110" s="863"/>
      <c r="BLM110" s="863"/>
      <c r="BLN110" s="863"/>
      <c r="BLO110" s="863"/>
      <c r="BLP110" s="863"/>
      <c r="BLQ110" s="863"/>
      <c r="BLR110" s="863"/>
      <c r="BLS110" s="863"/>
      <c r="BLT110" s="863"/>
      <c r="BLU110" s="863"/>
      <c r="BLV110" s="863"/>
      <c r="BLW110" s="863"/>
      <c r="BLX110" s="863"/>
      <c r="BLY110" s="863"/>
      <c r="BLZ110" s="863"/>
      <c r="BMA110" s="863"/>
      <c r="BMB110" s="863"/>
      <c r="BMC110" s="863"/>
      <c r="BMD110" s="863"/>
      <c r="BME110" s="863"/>
      <c r="BMF110" s="863"/>
      <c r="BMG110" s="883"/>
      <c r="BMH110" s="883"/>
      <c r="BMI110" s="883"/>
      <c r="BMJ110" s="883"/>
      <c r="BMK110" s="883"/>
      <c r="BML110" s="883"/>
      <c r="BMM110" s="883"/>
      <c r="BMN110" s="883"/>
      <c r="BMO110" s="883"/>
      <c r="BMP110" s="863"/>
      <c r="BMQ110" s="863"/>
      <c r="BMR110" s="863"/>
      <c r="BMS110" s="863"/>
      <c r="BMT110" s="863"/>
      <c r="BMU110" s="863"/>
      <c r="BMV110" s="863"/>
      <c r="BMW110" s="863"/>
      <c r="BMX110" s="863"/>
      <c r="BMY110" s="863"/>
      <c r="BMZ110" s="863"/>
      <c r="BNA110" s="863"/>
      <c r="BNB110" s="863"/>
      <c r="BNC110" s="863"/>
      <c r="BND110" s="863"/>
      <c r="BNE110" s="863"/>
      <c r="BNF110" s="863"/>
      <c r="BNG110" s="863"/>
      <c r="BNH110" s="863"/>
      <c r="BNI110" s="863"/>
      <c r="BNJ110" s="863"/>
      <c r="BNK110" s="863"/>
      <c r="BNL110" s="863"/>
      <c r="BNM110" s="883"/>
      <c r="BNN110" s="883"/>
      <c r="BNO110" s="883"/>
      <c r="BNP110" s="883"/>
      <c r="BNQ110" s="883"/>
      <c r="BNR110" s="883"/>
      <c r="BNS110" s="883"/>
      <c r="BNT110" s="883"/>
      <c r="BNU110" s="883"/>
      <c r="BNV110" s="863"/>
      <c r="BNW110" s="863"/>
      <c r="BNX110" s="863"/>
      <c r="BNY110" s="863"/>
      <c r="BNZ110" s="863"/>
      <c r="BOA110" s="863"/>
      <c r="BOB110" s="863"/>
      <c r="BOC110" s="863"/>
      <c r="BOD110" s="863"/>
      <c r="BOE110" s="863"/>
      <c r="BOF110" s="863"/>
      <c r="BOG110" s="863"/>
      <c r="BOH110" s="863"/>
      <c r="BOI110" s="863"/>
      <c r="BOJ110" s="863"/>
      <c r="BOK110" s="863"/>
      <c r="BOL110" s="863"/>
      <c r="BOM110" s="863"/>
      <c r="BON110" s="863"/>
      <c r="BOO110" s="863"/>
      <c r="BOP110" s="863"/>
      <c r="BOQ110" s="863"/>
      <c r="BOR110" s="863"/>
      <c r="BOS110" s="883"/>
      <c r="BOT110" s="883"/>
      <c r="BOU110" s="883"/>
      <c r="BOV110" s="883"/>
      <c r="BOW110" s="883"/>
      <c r="BOX110" s="883"/>
      <c r="BOY110" s="883"/>
      <c r="BOZ110" s="883"/>
      <c r="BPA110" s="883"/>
      <c r="BPB110" s="863"/>
      <c r="BPC110" s="863"/>
      <c r="BPD110" s="863"/>
      <c r="BPE110" s="863"/>
      <c r="BPF110" s="863"/>
      <c r="BPG110" s="863"/>
      <c r="BPH110" s="863"/>
      <c r="BPI110" s="863"/>
      <c r="BPJ110" s="863"/>
      <c r="BPK110" s="863"/>
      <c r="BPL110" s="863"/>
      <c r="BPM110" s="863"/>
      <c r="BPN110" s="863"/>
      <c r="BPO110" s="863"/>
      <c r="BPP110" s="863"/>
      <c r="BPQ110" s="863"/>
      <c r="BPR110" s="863"/>
      <c r="BPS110" s="863"/>
      <c r="BPT110" s="863"/>
      <c r="BPU110" s="863"/>
      <c r="BPV110" s="863"/>
      <c r="BPW110" s="863"/>
      <c r="BPX110" s="863"/>
      <c r="BPY110" s="883"/>
      <c r="BPZ110" s="883"/>
      <c r="BQA110" s="883"/>
      <c r="BQB110" s="883"/>
      <c r="BQC110" s="883"/>
      <c r="BQD110" s="883"/>
      <c r="BQE110" s="883"/>
      <c r="BQF110" s="883"/>
      <c r="BQG110" s="883"/>
      <c r="BQH110" s="863"/>
      <c r="BQI110" s="863"/>
      <c r="BQJ110" s="863"/>
      <c r="BQK110" s="863"/>
      <c r="BQL110" s="863"/>
      <c r="BQM110" s="863"/>
      <c r="BQN110" s="863"/>
      <c r="BQO110" s="863"/>
      <c r="BQP110" s="863"/>
      <c r="BQQ110" s="863"/>
      <c r="BQR110" s="863"/>
      <c r="BQS110" s="863"/>
      <c r="BQT110" s="863"/>
      <c r="BQU110" s="863"/>
      <c r="BQV110" s="863"/>
      <c r="BQW110" s="863"/>
      <c r="BQX110" s="863"/>
      <c r="BQY110" s="863"/>
      <c r="BQZ110" s="863"/>
      <c r="BRA110" s="863"/>
      <c r="BRB110" s="863"/>
      <c r="BRC110" s="863"/>
      <c r="BRD110" s="863"/>
      <c r="BRE110" s="883"/>
      <c r="BRF110" s="883"/>
      <c r="BRG110" s="883"/>
      <c r="BRH110" s="883"/>
      <c r="BRI110" s="883"/>
      <c r="BRJ110" s="883"/>
      <c r="BRK110" s="883"/>
      <c r="BRL110" s="883"/>
      <c r="BRM110" s="883"/>
      <c r="BRN110" s="863"/>
      <c r="BRO110" s="863"/>
      <c r="BRP110" s="863"/>
      <c r="BRQ110" s="863"/>
      <c r="BRR110" s="863"/>
      <c r="BRS110" s="863"/>
      <c r="BRT110" s="863"/>
      <c r="BRU110" s="863"/>
      <c r="BRV110" s="863"/>
      <c r="BRW110" s="863"/>
      <c r="BRX110" s="863"/>
      <c r="BRY110" s="863"/>
      <c r="BRZ110" s="863"/>
      <c r="BSA110" s="863"/>
      <c r="BSB110" s="863"/>
      <c r="BSC110" s="863"/>
      <c r="BSD110" s="863"/>
      <c r="BSE110" s="863"/>
      <c r="BSF110" s="863"/>
      <c r="BSG110" s="863"/>
      <c r="BSH110" s="863"/>
      <c r="BSI110" s="863"/>
      <c r="BSJ110" s="863"/>
      <c r="BSK110" s="883"/>
      <c r="BSL110" s="883"/>
      <c r="BSM110" s="883"/>
      <c r="BSN110" s="883"/>
      <c r="BSO110" s="883"/>
      <c r="BSP110" s="883"/>
      <c r="BSQ110" s="883"/>
      <c r="BSR110" s="883"/>
      <c r="BSS110" s="883"/>
      <c r="BST110" s="863"/>
      <c r="BSU110" s="863"/>
      <c r="BSV110" s="863"/>
      <c r="BSW110" s="863"/>
      <c r="BSX110" s="863"/>
      <c r="BSY110" s="863"/>
      <c r="BSZ110" s="863"/>
      <c r="BTA110" s="863"/>
      <c r="BTB110" s="863"/>
      <c r="BTC110" s="863"/>
      <c r="BTD110" s="863"/>
      <c r="BTE110" s="863"/>
      <c r="BTF110" s="863"/>
      <c r="BTG110" s="863"/>
      <c r="BTH110" s="863"/>
      <c r="BTI110" s="863"/>
      <c r="BTJ110" s="863"/>
      <c r="BTK110" s="863"/>
      <c r="BTL110" s="863"/>
      <c r="BTM110" s="863"/>
      <c r="BTN110" s="863"/>
      <c r="BTO110" s="863"/>
      <c r="BTP110" s="863"/>
      <c r="BTQ110" s="883"/>
      <c r="BTR110" s="883"/>
      <c r="BTS110" s="883"/>
      <c r="BTT110" s="883"/>
      <c r="BTU110" s="883"/>
      <c r="BTV110" s="883"/>
      <c r="BTW110" s="883"/>
      <c r="BTX110" s="883"/>
      <c r="BTY110" s="883"/>
      <c r="BTZ110" s="863"/>
      <c r="BUA110" s="863"/>
      <c r="BUB110" s="863"/>
      <c r="BUC110" s="863"/>
      <c r="BUD110" s="863"/>
      <c r="BUE110" s="863"/>
      <c r="BUF110" s="863"/>
      <c r="BUG110" s="863"/>
      <c r="BUH110" s="863"/>
      <c r="BUI110" s="863"/>
      <c r="BUJ110" s="863"/>
      <c r="BUK110" s="863"/>
      <c r="BUL110" s="863"/>
      <c r="BUM110" s="863"/>
      <c r="BUN110" s="863"/>
      <c r="BUO110" s="863"/>
      <c r="BUP110" s="863"/>
      <c r="BUQ110" s="863"/>
      <c r="BUR110" s="863"/>
      <c r="BUS110" s="863"/>
      <c r="BUT110" s="863"/>
      <c r="BUU110" s="863"/>
      <c r="BUV110" s="863"/>
      <c r="BUW110" s="883"/>
      <c r="BUX110" s="883"/>
      <c r="BUY110" s="883"/>
      <c r="BUZ110" s="883"/>
      <c r="BVA110" s="883"/>
      <c r="BVB110" s="883"/>
      <c r="BVC110" s="883"/>
      <c r="BVD110" s="883"/>
      <c r="BVE110" s="883"/>
      <c r="BVF110" s="863"/>
      <c r="BVG110" s="863"/>
      <c r="BVH110" s="863"/>
      <c r="BVI110" s="863"/>
      <c r="BVJ110" s="863"/>
      <c r="BVK110" s="863"/>
      <c r="BVL110" s="863"/>
      <c r="BVM110" s="863"/>
      <c r="BVN110" s="863"/>
      <c r="BVO110" s="863"/>
      <c r="BVP110" s="863"/>
      <c r="BVQ110" s="863"/>
      <c r="BVR110" s="863"/>
      <c r="BVS110" s="863"/>
      <c r="BVT110" s="863"/>
      <c r="BVU110" s="863"/>
      <c r="BVV110" s="863"/>
      <c r="BVW110" s="863"/>
      <c r="BVX110" s="863"/>
      <c r="BVY110" s="863"/>
      <c r="BVZ110" s="863"/>
      <c r="BWA110" s="863"/>
      <c r="BWB110" s="863"/>
      <c r="BWC110" s="883"/>
      <c r="BWD110" s="883"/>
      <c r="BWE110" s="883"/>
      <c r="BWF110" s="883"/>
      <c r="BWG110" s="883"/>
      <c r="BWH110" s="883"/>
      <c r="BWI110" s="883"/>
      <c r="BWJ110" s="883"/>
      <c r="BWK110" s="883"/>
      <c r="BWL110" s="863"/>
      <c r="BWM110" s="863"/>
      <c r="BWN110" s="863"/>
      <c r="BWO110" s="863"/>
      <c r="BWP110" s="863"/>
      <c r="BWQ110" s="863"/>
      <c r="BWR110" s="863"/>
      <c r="BWS110" s="863"/>
      <c r="BWT110" s="863"/>
      <c r="BWU110" s="863"/>
      <c r="BWV110" s="863"/>
      <c r="BWW110" s="863"/>
      <c r="BWX110" s="863"/>
      <c r="BWY110" s="863"/>
      <c r="BWZ110" s="863"/>
      <c r="BXA110" s="863"/>
      <c r="BXB110" s="863"/>
      <c r="BXC110" s="863"/>
      <c r="BXD110" s="863"/>
      <c r="BXE110" s="863"/>
      <c r="BXF110" s="863"/>
      <c r="BXG110" s="863"/>
      <c r="BXH110" s="863"/>
      <c r="BXI110" s="883"/>
      <c r="BXJ110" s="883"/>
      <c r="BXK110" s="883"/>
      <c r="BXL110" s="883"/>
      <c r="BXM110" s="883"/>
      <c r="BXN110" s="883"/>
      <c r="BXO110" s="883"/>
      <c r="BXP110" s="883"/>
      <c r="BXQ110" s="883"/>
      <c r="BXR110" s="863"/>
      <c r="BXS110" s="863"/>
      <c r="BXT110" s="863"/>
      <c r="BXU110" s="863"/>
      <c r="BXV110" s="863"/>
      <c r="BXW110" s="863"/>
      <c r="BXX110" s="863"/>
      <c r="BXY110" s="863"/>
      <c r="BXZ110" s="863"/>
      <c r="BYA110" s="863"/>
      <c r="BYB110" s="863"/>
      <c r="BYC110" s="863"/>
      <c r="BYD110" s="863"/>
      <c r="BYE110" s="863"/>
      <c r="BYF110" s="863"/>
      <c r="BYG110" s="863"/>
      <c r="BYH110" s="863"/>
      <c r="BYI110" s="863"/>
      <c r="BYJ110" s="863"/>
      <c r="BYK110" s="863"/>
      <c r="BYL110" s="863"/>
      <c r="BYM110" s="863"/>
      <c r="BYN110" s="863"/>
      <c r="BYO110" s="883"/>
      <c r="BYP110" s="883"/>
      <c r="BYQ110" s="883"/>
      <c r="BYR110" s="883"/>
      <c r="BYS110" s="883"/>
      <c r="BYT110" s="883"/>
      <c r="BYU110" s="883"/>
      <c r="BYV110" s="883"/>
      <c r="BYW110" s="883"/>
      <c r="BYX110" s="863"/>
      <c r="BYY110" s="863"/>
      <c r="BYZ110" s="863"/>
      <c r="BZA110" s="863"/>
      <c r="BZB110" s="863"/>
      <c r="BZC110" s="863"/>
      <c r="BZD110" s="863"/>
      <c r="BZE110" s="863"/>
      <c r="BZF110" s="863"/>
      <c r="BZG110" s="863"/>
      <c r="BZH110" s="863"/>
      <c r="BZI110" s="863"/>
      <c r="BZJ110" s="863"/>
      <c r="BZK110" s="863"/>
      <c r="BZL110" s="863"/>
      <c r="BZM110" s="863"/>
      <c r="BZN110" s="863"/>
      <c r="BZO110" s="863"/>
      <c r="BZP110" s="863"/>
      <c r="BZQ110" s="863"/>
      <c r="BZR110" s="863"/>
      <c r="BZS110" s="863"/>
      <c r="BZT110" s="863"/>
      <c r="BZU110" s="883"/>
      <c r="BZV110" s="883"/>
      <c r="BZW110" s="883"/>
      <c r="BZX110" s="883"/>
      <c r="BZY110" s="883"/>
      <c r="BZZ110" s="883"/>
      <c r="CAA110" s="883"/>
      <c r="CAB110" s="883"/>
      <c r="CAC110" s="883"/>
      <c r="CAD110" s="863"/>
      <c r="CAE110" s="863"/>
      <c r="CAF110" s="863"/>
      <c r="CAG110" s="863"/>
      <c r="CAH110" s="863"/>
      <c r="CAI110" s="863"/>
      <c r="CAJ110" s="863"/>
      <c r="CAK110" s="863"/>
      <c r="CAL110" s="863"/>
      <c r="CAM110" s="863"/>
      <c r="CAN110" s="863"/>
      <c r="CAO110" s="863"/>
      <c r="CAP110" s="863"/>
      <c r="CAQ110" s="863"/>
      <c r="CAR110" s="863"/>
      <c r="CAS110" s="863"/>
      <c r="CAT110" s="863"/>
      <c r="CAU110" s="863"/>
      <c r="CAV110" s="863"/>
      <c r="CAW110" s="863"/>
      <c r="CAX110" s="863"/>
      <c r="CAY110" s="863"/>
      <c r="CAZ110" s="863"/>
      <c r="CBA110" s="883"/>
      <c r="CBB110" s="883"/>
      <c r="CBC110" s="883"/>
      <c r="CBD110" s="883"/>
      <c r="CBE110" s="883"/>
      <c r="CBF110" s="883"/>
      <c r="CBG110" s="883"/>
      <c r="CBH110" s="883"/>
      <c r="CBI110" s="883"/>
      <c r="CBJ110" s="863"/>
      <c r="CBK110" s="863"/>
      <c r="CBL110" s="863"/>
      <c r="CBM110" s="863"/>
      <c r="CBN110" s="863"/>
      <c r="CBO110" s="863"/>
      <c r="CBP110" s="863"/>
      <c r="CBQ110" s="863"/>
      <c r="CBR110" s="863"/>
      <c r="CBS110" s="863"/>
      <c r="CBT110" s="863"/>
      <c r="CBU110" s="863"/>
      <c r="CBV110" s="863"/>
      <c r="CBW110" s="863"/>
      <c r="CBX110" s="863"/>
      <c r="CBY110" s="863"/>
      <c r="CBZ110" s="863"/>
      <c r="CCA110" s="863"/>
      <c r="CCB110" s="863"/>
      <c r="CCC110" s="863"/>
      <c r="CCD110" s="863"/>
      <c r="CCE110" s="863"/>
      <c r="CCF110" s="863"/>
      <c r="CCG110" s="883"/>
      <c r="CCH110" s="883"/>
      <c r="CCI110" s="883"/>
      <c r="CCJ110" s="883"/>
      <c r="CCK110" s="883"/>
      <c r="CCL110" s="883"/>
      <c r="CCM110" s="883"/>
      <c r="CCN110" s="883"/>
      <c r="CCO110" s="883"/>
      <c r="CCP110" s="863"/>
      <c r="CCQ110" s="863"/>
      <c r="CCR110" s="863"/>
      <c r="CCS110" s="863"/>
      <c r="CCT110" s="863"/>
      <c r="CCU110" s="863"/>
      <c r="CCV110" s="863"/>
      <c r="CCW110" s="863"/>
      <c r="CCX110" s="863"/>
      <c r="CCY110" s="863"/>
      <c r="CCZ110" s="863"/>
      <c r="CDA110" s="863"/>
      <c r="CDB110" s="863"/>
      <c r="CDC110" s="863"/>
      <c r="CDD110" s="863"/>
      <c r="CDE110" s="863"/>
      <c r="CDF110" s="863"/>
      <c r="CDG110" s="863"/>
      <c r="CDH110" s="863"/>
      <c r="CDI110" s="863"/>
      <c r="CDJ110" s="863"/>
      <c r="CDK110" s="863"/>
      <c r="CDL110" s="863"/>
      <c r="CDM110" s="883"/>
      <c r="CDN110" s="883"/>
      <c r="CDO110" s="883"/>
      <c r="CDP110" s="883"/>
      <c r="CDQ110" s="883"/>
      <c r="CDR110" s="883"/>
      <c r="CDS110" s="883"/>
      <c r="CDT110" s="883"/>
      <c r="CDU110" s="883"/>
      <c r="CDV110" s="863"/>
      <c r="CDW110" s="863"/>
      <c r="CDX110" s="863"/>
      <c r="CDY110" s="863"/>
      <c r="CDZ110" s="863"/>
      <c r="CEA110" s="863"/>
      <c r="CEB110" s="863"/>
      <c r="CEC110" s="863"/>
      <c r="CED110" s="863"/>
      <c r="CEE110" s="863"/>
      <c r="CEF110" s="863"/>
      <c r="CEG110" s="863"/>
      <c r="CEH110" s="863"/>
      <c r="CEI110" s="863"/>
      <c r="CEJ110" s="863"/>
      <c r="CEK110" s="863"/>
      <c r="CEL110" s="863"/>
      <c r="CEM110" s="863"/>
      <c r="CEN110" s="863"/>
      <c r="CEO110" s="863"/>
      <c r="CEP110" s="863"/>
      <c r="CEQ110" s="863"/>
      <c r="CER110" s="863"/>
      <c r="CES110" s="883"/>
      <c r="CET110" s="883"/>
      <c r="CEU110" s="883"/>
      <c r="CEV110" s="883"/>
      <c r="CEW110" s="883"/>
      <c r="CEX110" s="883"/>
      <c r="CEY110" s="883"/>
      <c r="CEZ110" s="883"/>
      <c r="CFA110" s="883"/>
      <c r="CFB110" s="863"/>
      <c r="CFC110" s="863"/>
      <c r="CFD110" s="863"/>
      <c r="CFE110" s="863"/>
      <c r="CFF110" s="863"/>
      <c r="CFG110" s="863"/>
      <c r="CFH110" s="863"/>
      <c r="CFI110" s="863"/>
      <c r="CFJ110" s="863"/>
      <c r="CFK110" s="863"/>
      <c r="CFL110" s="863"/>
      <c r="CFM110" s="863"/>
      <c r="CFN110" s="863"/>
      <c r="CFO110" s="863"/>
      <c r="CFP110" s="863"/>
      <c r="CFQ110" s="863"/>
      <c r="CFR110" s="863"/>
      <c r="CFS110" s="863"/>
      <c r="CFT110" s="863"/>
      <c r="CFU110" s="863"/>
      <c r="CFV110" s="863"/>
      <c r="CFW110" s="863"/>
      <c r="CFX110" s="863"/>
      <c r="CFY110" s="883"/>
      <c r="CFZ110" s="883"/>
      <c r="CGA110" s="883"/>
      <c r="CGB110" s="883"/>
      <c r="CGC110" s="883"/>
      <c r="CGD110" s="883"/>
      <c r="CGE110" s="883"/>
      <c r="CGF110" s="883"/>
      <c r="CGG110" s="883"/>
      <c r="CGH110" s="863"/>
      <c r="CGI110" s="863"/>
      <c r="CGJ110" s="863"/>
      <c r="CGK110" s="863"/>
      <c r="CGL110" s="863"/>
      <c r="CGM110" s="863"/>
      <c r="CGN110" s="863"/>
      <c r="CGO110" s="863"/>
      <c r="CGP110" s="863"/>
      <c r="CGQ110" s="863"/>
      <c r="CGR110" s="863"/>
      <c r="CGS110" s="863"/>
      <c r="CGT110" s="863"/>
      <c r="CGU110" s="863"/>
      <c r="CGV110" s="863"/>
      <c r="CGW110" s="863"/>
      <c r="CGX110" s="863"/>
      <c r="CGY110" s="863"/>
      <c r="CGZ110" s="863"/>
      <c r="CHA110" s="863"/>
      <c r="CHB110" s="863"/>
      <c r="CHC110" s="863"/>
      <c r="CHD110" s="863"/>
      <c r="CHE110" s="883"/>
      <c r="CHF110" s="883"/>
      <c r="CHG110" s="883"/>
      <c r="CHH110" s="883"/>
      <c r="CHI110" s="883"/>
      <c r="CHJ110" s="883"/>
      <c r="CHK110" s="883"/>
      <c r="CHL110" s="883"/>
      <c r="CHM110" s="883"/>
      <c r="CHN110" s="863"/>
      <c r="CHO110" s="863"/>
      <c r="CHP110" s="863"/>
      <c r="CHQ110" s="863"/>
      <c r="CHR110" s="863"/>
      <c r="CHS110" s="863"/>
      <c r="CHT110" s="863"/>
      <c r="CHU110" s="863"/>
      <c r="CHV110" s="863"/>
      <c r="CHW110" s="863"/>
      <c r="CHX110" s="863"/>
      <c r="CHY110" s="863"/>
      <c r="CHZ110" s="863"/>
      <c r="CIA110" s="863"/>
      <c r="CIB110" s="863"/>
      <c r="CIC110" s="863"/>
      <c r="CID110" s="863"/>
      <c r="CIE110" s="863"/>
      <c r="CIF110" s="863"/>
      <c r="CIG110" s="863"/>
      <c r="CIH110" s="863"/>
      <c r="CII110" s="863"/>
      <c r="CIJ110" s="863"/>
      <c r="CIK110" s="883"/>
      <c r="CIL110" s="883"/>
      <c r="CIM110" s="883"/>
      <c r="CIN110" s="883"/>
      <c r="CIO110" s="883"/>
      <c r="CIP110" s="883"/>
      <c r="CIQ110" s="883"/>
      <c r="CIR110" s="883"/>
      <c r="CIS110" s="883"/>
      <c r="CIT110" s="863"/>
      <c r="CIU110" s="863"/>
      <c r="CIV110" s="863"/>
      <c r="CIW110" s="863"/>
      <c r="CIX110" s="863"/>
      <c r="CIY110" s="863"/>
      <c r="CIZ110" s="863"/>
      <c r="CJA110" s="863"/>
      <c r="CJB110" s="863"/>
      <c r="CJC110" s="863"/>
      <c r="CJD110" s="863"/>
      <c r="CJE110" s="863"/>
      <c r="CJF110" s="863"/>
      <c r="CJG110" s="863"/>
      <c r="CJH110" s="863"/>
      <c r="CJI110" s="863"/>
      <c r="CJJ110" s="863"/>
      <c r="CJK110" s="863"/>
      <c r="CJL110" s="863"/>
      <c r="CJM110" s="863"/>
      <c r="CJN110" s="863"/>
      <c r="CJO110" s="863"/>
      <c r="CJP110" s="863"/>
      <c r="CJQ110" s="883"/>
      <c r="CJR110" s="883"/>
      <c r="CJS110" s="883"/>
      <c r="CJT110" s="883"/>
      <c r="CJU110" s="883"/>
      <c r="CJV110" s="883"/>
      <c r="CJW110" s="883"/>
      <c r="CJX110" s="883"/>
      <c r="CJY110" s="883"/>
      <c r="CJZ110" s="863"/>
      <c r="CKA110" s="863"/>
      <c r="CKB110" s="863"/>
      <c r="CKC110" s="863"/>
      <c r="CKD110" s="863"/>
      <c r="CKE110" s="863"/>
      <c r="CKF110" s="863"/>
      <c r="CKG110" s="863"/>
      <c r="CKH110" s="863"/>
      <c r="CKI110" s="863"/>
      <c r="CKJ110" s="863"/>
      <c r="CKK110" s="863"/>
      <c r="CKL110" s="863"/>
      <c r="CKM110" s="863"/>
      <c r="CKN110" s="863"/>
      <c r="CKO110" s="863"/>
      <c r="CKP110" s="863"/>
      <c r="CKQ110" s="863"/>
      <c r="CKR110" s="863"/>
      <c r="CKS110" s="863"/>
      <c r="CKT110" s="863"/>
      <c r="CKU110" s="863"/>
      <c r="CKV110" s="863"/>
      <c r="CKW110" s="883"/>
      <c r="CKX110" s="883"/>
      <c r="CKY110" s="883"/>
      <c r="CKZ110" s="883"/>
      <c r="CLA110" s="883"/>
      <c r="CLB110" s="883"/>
      <c r="CLC110" s="883"/>
      <c r="CLD110" s="883"/>
      <c r="CLE110" s="883"/>
      <c r="CLF110" s="863"/>
      <c r="CLG110" s="863"/>
      <c r="CLH110" s="863"/>
      <c r="CLI110" s="863"/>
      <c r="CLJ110" s="863"/>
      <c r="CLK110" s="863"/>
      <c r="CLL110" s="863"/>
      <c r="CLM110" s="863"/>
      <c r="CLN110" s="863"/>
      <c r="CLO110" s="863"/>
      <c r="CLP110" s="863"/>
      <c r="CLQ110" s="863"/>
      <c r="CLR110" s="863"/>
      <c r="CLS110" s="863"/>
      <c r="CLT110" s="863"/>
      <c r="CLU110" s="863"/>
      <c r="CLV110" s="863"/>
      <c r="CLW110" s="863"/>
      <c r="CLX110" s="863"/>
      <c r="CLY110" s="863"/>
      <c r="CLZ110" s="863"/>
      <c r="CMA110" s="863"/>
      <c r="CMB110" s="863"/>
      <c r="CMC110" s="883"/>
      <c r="CMD110" s="883"/>
      <c r="CME110" s="883"/>
      <c r="CMF110" s="883"/>
      <c r="CMG110" s="883"/>
      <c r="CMH110" s="883"/>
      <c r="CMI110" s="883"/>
      <c r="CMJ110" s="883"/>
      <c r="CMK110" s="883"/>
      <c r="CML110" s="863"/>
      <c r="CMM110" s="863"/>
      <c r="CMN110" s="863"/>
      <c r="CMO110" s="863"/>
      <c r="CMP110" s="863"/>
      <c r="CMQ110" s="863"/>
      <c r="CMR110" s="863"/>
      <c r="CMS110" s="863"/>
      <c r="CMT110" s="863"/>
      <c r="CMU110" s="863"/>
      <c r="CMV110" s="863"/>
      <c r="CMW110" s="863"/>
      <c r="CMX110" s="863"/>
      <c r="CMY110" s="863"/>
      <c r="CMZ110" s="863"/>
      <c r="CNA110" s="863"/>
      <c r="CNB110" s="863"/>
      <c r="CNC110" s="863"/>
      <c r="CND110" s="863"/>
      <c r="CNE110" s="863"/>
      <c r="CNF110" s="863"/>
      <c r="CNG110" s="863"/>
      <c r="CNH110" s="863"/>
      <c r="CNI110" s="883"/>
      <c r="CNJ110" s="883"/>
      <c r="CNK110" s="883"/>
      <c r="CNL110" s="883"/>
      <c r="CNM110" s="883"/>
      <c r="CNN110" s="883"/>
      <c r="CNO110" s="883"/>
      <c r="CNP110" s="883"/>
      <c r="CNQ110" s="883"/>
      <c r="CNR110" s="863"/>
      <c r="CNS110" s="863"/>
      <c r="CNT110" s="863"/>
      <c r="CNU110" s="863"/>
      <c r="CNV110" s="863"/>
      <c r="CNW110" s="863"/>
      <c r="CNX110" s="863"/>
      <c r="CNY110" s="863"/>
      <c r="CNZ110" s="863"/>
      <c r="COA110" s="863"/>
      <c r="COB110" s="863"/>
      <c r="COC110" s="863"/>
      <c r="COD110" s="863"/>
      <c r="COE110" s="863"/>
      <c r="COF110" s="863"/>
      <c r="COG110" s="863"/>
      <c r="COH110" s="863"/>
      <c r="COI110" s="863"/>
      <c r="COJ110" s="863"/>
      <c r="COK110" s="863"/>
      <c r="COL110" s="863"/>
      <c r="COM110" s="863"/>
      <c r="CON110" s="863"/>
      <c r="COO110" s="883"/>
      <c r="COP110" s="883"/>
      <c r="COQ110" s="883"/>
      <c r="COR110" s="883"/>
      <c r="COS110" s="883"/>
      <c r="COT110" s="883"/>
      <c r="COU110" s="883"/>
      <c r="COV110" s="883"/>
      <c r="COW110" s="883"/>
      <c r="COX110" s="863"/>
      <c r="COY110" s="863"/>
      <c r="COZ110" s="863"/>
      <c r="CPA110" s="863"/>
      <c r="CPB110" s="863"/>
      <c r="CPC110" s="863"/>
      <c r="CPD110" s="863"/>
      <c r="CPE110" s="863"/>
      <c r="CPF110" s="863"/>
      <c r="CPG110" s="863"/>
      <c r="CPH110" s="863"/>
      <c r="CPI110" s="863"/>
      <c r="CPJ110" s="863"/>
      <c r="CPK110" s="863"/>
      <c r="CPL110" s="863"/>
      <c r="CPM110" s="863"/>
      <c r="CPN110" s="863"/>
      <c r="CPO110" s="863"/>
      <c r="CPP110" s="863"/>
      <c r="CPQ110" s="863"/>
      <c r="CPR110" s="863"/>
      <c r="CPS110" s="863"/>
      <c r="CPT110" s="863"/>
      <c r="CPU110" s="883"/>
      <c r="CPV110" s="883"/>
      <c r="CPW110" s="883"/>
      <c r="CPX110" s="883"/>
      <c r="CPY110" s="883"/>
      <c r="CPZ110" s="883"/>
      <c r="CQA110" s="883"/>
      <c r="CQB110" s="883"/>
      <c r="CQC110" s="883"/>
      <c r="CQD110" s="863"/>
      <c r="CQE110" s="863"/>
      <c r="CQF110" s="863"/>
      <c r="CQG110" s="863"/>
      <c r="CQH110" s="863"/>
      <c r="CQI110" s="863"/>
      <c r="CQJ110" s="863"/>
      <c r="CQK110" s="863"/>
      <c r="CQL110" s="863"/>
      <c r="CQM110" s="863"/>
      <c r="CQN110" s="863"/>
      <c r="CQO110" s="863"/>
      <c r="CQP110" s="863"/>
      <c r="CQQ110" s="863"/>
      <c r="CQR110" s="863"/>
      <c r="CQS110" s="863"/>
      <c r="CQT110" s="863"/>
      <c r="CQU110" s="863"/>
      <c r="CQV110" s="863"/>
      <c r="CQW110" s="863"/>
      <c r="CQX110" s="863"/>
      <c r="CQY110" s="863"/>
      <c r="CQZ110" s="863"/>
      <c r="CRA110" s="883"/>
      <c r="CRB110" s="883"/>
      <c r="CRC110" s="883"/>
      <c r="CRD110" s="883"/>
      <c r="CRE110" s="883"/>
      <c r="CRF110" s="883"/>
      <c r="CRG110" s="883"/>
      <c r="CRH110" s="883"/>
      <c r="CRI110" s="883"/>
      <c r="CRJ110" s="863"/>
      <c r="CRK110" s="863"/>
      <c r="CRL110" s="863"/>
      <c r="CRM110" s="863"/>
      <c r="CRN110" s="863"/>
      <c r="CRO110" s="863"/>
      <c r="CRP110" s="863"/>
      <c r="CRQ110" s="863"/>
      <c r="CRR110" s="863"/>
      <c r="CRS110" s="863"/>
      <c r="CRT110" s="863"/>
      <c r="CRU110" s="863"/>
      <c r="CRV110" s="863"/>
      <c r="CRW110" s="863"/>
      <c r="CRX110" s="863"/>
      <c r="CRY110" s="863"/>
      <c r="CRZ110" s="863"/>
      <c r="CSA110" s="863"/>
      <c r="CSB110" s="863"/>
      <c r="CSC110" s="863"/>
      <c r="CSD110" s="863"/>
      <c r="CSE110" s="863"/>
      <c r="CSF110" s="863"/>
      <c r="CSG110" s="883"/>
      <c r="CSH110" s="883"/>
      <c r="CSI110" s="883"/>
      <c r="CSJ110" s="883"/>
      <c r="CSK110" s="883"/>
      <c r="CSL110" s="883"/>
      <c r="CSM110" s="883"/>
      <c r="CSN110" s="883"/>
      <c r="CSO110" s="883"/>
      <c r="CSP110" s="863"/>
      <c r="CSQ110" s="863"/>
      <c r="CSR110" s="863"/>
      <c r="CSS110" s="863"/>
      <c r="CST110" s="863"/>
      <c r="CSU110" s="863"/>
      <c r="CSV110" s="863"/>
      <c r="CSW110" s="863"/>
      <c r="CSX110" s="863"/>
      <c r="CSY110" s="863"/>
      <c r="CSZ110" s="863"/>
      <c r="CTA110" s="863"/>
      <c r="CTB110" s="863"/>
      <c r="CTC110" s="863"/>
      <c r="CTD110" s="863"/>
      <c r="CTE110" s="863"/>
      <c r="CTF110" s="863"/>
      <c r="CTG110" s="863"/>
      <c r="CTH110" s="863"/>
      <c r="CTI110" s="863"/>
      <c r="CTJ110" s="863"/>
      <c r="CTK110" s="863"/>
      <c r="CTL110" s="863"/>
      <c r="CTM110" s="883"/>
      <c r="CTN110" s="883"/>
      <c r="CTO110" s="883"/>
      <c r="CTP110" s="883"/>
      <c r="CTQ110" s="883"/>
      <c r="CTR110" s="883"/>
      <c r="CTS110" s="883"/>
      <c r="CTT110" s="883"/>
      <c r="CTU110" s="883"/>
      <c r="CTV110" s="863"/>
      <c r="CTW110" s="863"/>
      <c r="CTX110" s="863"/>
      <c r="CTY110" s="863"/>
      <c r="CTZ110" s="863"/>
      <c r="CUA110" s="863"/>
      <c r="CUB110" s="863"/>
      <c r="CUC110" s="863"/>
      <c r="CUD110" s="863"/>
      <c r="CUE110" s="863"/>
      <c r="CUF110" s="863"/>
      <c r="CUG110" s="863"/>
      <c r="CUH110" s="863"/>
      <c r="CUI110" s="863"/>
      <c r="CUJ110" s="863"/>
      <c r="CUK110" s="863"/>
      <c r="CUL110" s="863"/>
      <c r="CUM110" s="863"/>
      <c r="CUN110" s="863"/>
      <c r="CUO110" s="863"/>
      <c r="CUP110" s="863"/>
      <c r="CUQ110" s="863"/>
      <c r="CUR110" s="863"/>
      <c r="CUS110" s="883"/>
      <c r="CUT110" s="883"/>
      <c r="CUU110" s="883"/>
      <c r="CUV110" s="883"/>
      <c r="CUW110" s="883"/>
      <c r="CUX110" s="883"/>
      <c r="CUY110" s="883"/>
      <c r="CUZ110" s="883"/>
      <c r="CVA110" s="883"/>
      <c r="CVB110" s="863"/>
      <c r="CVC110" s="863"/>
      <c r="CVD110" s="863"/>
      <c r="CVE110" s="863"/>
      <c r="CVF110" s="863"/>
      <c r="CVG110" s="863"/>
      <c r="CVH110" s="863"/>
      <c r="CVI110" s="863"/>
      <c r="CVJ110" s="863"/>
      <c r="CVK110" s="863"/>
      <c r="CVL110" s="863"/>
      <c r="CVM110" s="863"/>
      <c r="CVN110" s="863"/>
      <c r="CVO110" s="863"/>
      <c r="CVP110" s="863"/>
      <c r="CVQ110" s="863"/>
      <c r="CVR110" s="863"/>
      <c r="CVS110" s="863"/>
      <c r="CVT110" s="863"/>
      <c r="CVU110" s="863"/>
      <c r="CVV110" s="863"/>
      <c r="CVW110" s="863"/>
      <c r="CVX110" s="863"/>
      <c r="CVY110" s="883"/>
      <c r="CVZ110" s="883"/>
      <c r="CWA110" s="883"/>
      <c r="CWB110" s="883"/>
      <c r="CWC110" s="883"/>
      <c r="CWD110" s="883"/>
      <c r="CWE110" s="883"/>
      <c r="CWF110" s="883"/>
      <c r="CWG110" s="883"/>
      <c r="CWH110" s="863"/>
      <c r="CWI110" s="863"/>
      <c r="CWJ110" s="863"/>
      <c r="CWK110" s="863"/>
      <c r="CWL110" s="863"/>
      <c r="CWM110" s="863"/>
      <c r="CWN110" s="863"/>
      <c r="CWO110" s="863"/>
      <c r="CWP110" s="863"/>
      <c r="CWQ110" s="863"/>
      <c r="CWR110" s="863"/>
      <c r="CWS110" s="863"/>
      <c r="CWT110" s="863"/>
      <c r="CWU110" s="863"/>
      <c r="CWV110" s="863"/>
      <c r="CWW110" s="863"/>
      <c r="CWX110" s="863"/>
      <c r="CWY110" s="863"/>
      <c r="CWZ110" s="863"/>
      <c r="CXA110" s="863"/>
      <c r="CXB110" s="863"/>
      <c r="CXC110" s="863"/>
      <c r="CXD110" s="863"/>
      <c r="CXE110" s="883"/>
      <c r="CXF110" s="883"/>
      <c r="CXG110" s="883"/>
      <c r="CXH110" s="883"/>
      <c r="CXI110" s="883"/>
      <c r="CXJ110" s="883"/>
      <c r="CXK110" s="883"/>
      <c r="CXL110" s="883"/>
      <c r="CXM110" s="883"/>
      <c r="CXN110" s="863"/>
      <c r="CXO110" s="863"/>
      <c r="CXP110" s="863"/>
      <c r="CXQ110" s="863"/>
      <c r="CXR110" s="863"/>
      <c r="CXS110" s="863"/>
      <c r="CXT110" s="863"/>
      <c r="CXU110" s="863"/>
      <c r="CXV110" s="863"/>
      <c r="CXW110" s="863"/>
      <c r="CXX110" s="863"/>
      <c r="CXY110" s="863"/>
      <c r="CXZ110" s="863"/>
      <c r="CYA110" s="863"/>
      <c r="CYB110" s="863"/>
      <c r="CYC110" s="863"/>
      <c r="CYD110" s="863"/>
      <c r="CYE110" s="863"/>
      <c r="CYF110" s="863"/>
      <c r="CYG110" s="863"/>
      <c r="CYH110" s="863"/>
      <c r="CYI110" s="863"/>
      <c r="CYJ110" s="863"/>
      <c r="CYK110" s="883"/>
      <c r="CYL110" s="883"/>
      <c r="CYM110" s="883"/>
      <c r="CYN110" s="883"/>
      <c r="CYO110" s="883"/>
      <c r="CYP110" s="883"/>
      <c r="CYQ110" s="883"/>
      <c r="CYR110" s="883"/>
      <c r="CYS110" s="883"/>
      <c r="CYT110" s="863"/>
      <c r="CYU110" s="863"/>
      <c r="CYV110" s="863"/>
      <c r="CYW110" s="863"/>
      <c r="CYX110" s="863"/>
      <c r="CYY110" s="863"/>
      <c r="CYZ110" s="863"/>
      <c r="CZA110" s="863"/>
      <c r="CZB110" s="863"/>
      <c r="CZC110" s="863"/>
      <c r="CZD110" s="863"/>
      <c r="CZE110" s="863"/>
      <c r="CZF110" s="863"/>
      <c r="CZG110" s="863"/>
      <c r="CZH110" s="863"/>
      <c r="CZI110" s="863"/>
      <c r="CZJ110" s="863"/>
      <c r="CZK110" s="863"/>
      <c r="CZL110" s="863"/>
      <c r="CZM110" s="863"/>
      <c r="CZN110" s="863"/>
      <c r="CZO110" s="863"/>
      <c r="CZP110" s="863"/>
      <c r="CZQ110" s="883"/>
      <c r="CZR110" s="883"/>
      <c r="CZS110" s="883"/>
      <c r="CZT110" s="883"/>
      <c r="CZU110" s="883"/>
      <c r="CZV110" s="883"/>
      <c r="CZW110" s="883"/>
      <c r="CZX110" s="883"/>
      <c r="CZY110" s="883"/>
      <c r="CZZ110" s="863"/>
      <c r="DAA110" s="863"/>
      <c r="DAB110" s="863"/>
      <c r="DAC110" s="863"/>
      <c r="DAD110" s="863"/>
      <c r="DAE110" s="863"/>
      <c r="DAF110" s="863"/>
      <c r="DAG110" s="863"/>
      <c r="DAH110" s="863"/>
      <c r="DAI110" s="863"/>
      <c r="DAJ110" s="863"/>
      <c r="DAK110" s="863"/>
      <c r="DAL110" s="863"/>
      <c r="DAM110" s="863"/>
      <c r="DAN110" s="863"/>
      <c r="DAO110" s="863"/>
      <c r="DAP110" s="863"/>
      <c r="DAQ110" s="863"/>
      <c r="DAR110" s="863"/>
      <c r="DAS110" s="863"/>
      <c r="DAT110" s="863"/>
      <c r="DAU110" s="863"/>
      <c r="DAV110" s="863"/>
      <c r="DAW110" s="883"/>
      <c r="DAX110" s="883"/>
      <c r="DAY110" s="883"/>
      <c r="DAZ110" s="883"/>
      <c r="DBA110" s="883"/>
      <c r="DBB110" s="883"/>
      <c r="DBC110" s="883"/>
      <c r="DBD110" s="883"/>
      <c r="DBE110" s="883"/>
      <c r="DBF110" s="863"/>
      <c r="DBG110" s="863"/>
      <c r="DBH110" s="863"/>
      <c r="DBI110" s="863"/>
      <c r="DBJ110" s="863"/>
      <c r="DBK110" s="863"/>
      <c r="DBL110" s="863"/>
      <c r="DBM110" s="863"/>
      <c r="DBN110" s="863"/>
      <c r="DBO110" s="863"/>
      <c r="DBP110" s="863"/>
      <c r="DBQ110" s="863"/>
      <c r="DBR110" s="863"/>
      <c r="DBS110" s="863"/>
      <c r="DBT110" s="863"/>
      <c r="DBU110" s="863"/>
      <c r="DBV110" s="863"/>
      <c r="DBW110" s="863"/>
      <c r="DBX110" s="863"/>
      <c r="DBY110" s="863"/>
      <c r="DBZ110" s="863"/>
      <c r="DCA110" s="863"/>
      <c r="DCB110" s="863"/>
      <c r="DCC110" s="883"/>
      <c r="DCD110" s="883"/>
      <c r="DCE110" s="883"/>
      <c r="DCF110" s="883"/>
      <c r="DCG110" s="883"/>
      <c r="DCH110" s="883"/>
      <c r="DCI110" s="883"/>
      <c r="DCJ110" s="883"/>
      <c r="DCK110" s="883"/>
      <c r="DCL110" s="863"/>
      <c r="DCM110" s="863"/>
      <c r="DCN110" s="863"/>
      <c r="DCO110" s="863"/>
      <c r="DCP110" s="863"/>
      <c r="DCQ110" s="863"/>
      <c r="DCR110" s="863"/>
      <c r="DCS110" s="863"/>
      <c r="DCT110" s="863"/>
      <c r="DCU110" s="863"/>
      <c r="DCV110" s="863"/>
      <c r="DCW110" s="863"/>
      <c r="DCX110" s="863"/>
      <c r="DCY110" s="863"/>
      <c r="DCZ110" s="863"/>
      <c r="DDA110" s="863"/>
      <c r="DDB110" s="863"/>
      <c r="DDC110" s="863"/>
      <c r="DDD110" s="863"/>
      <c r="DDE110" s="863"/>
      <c r="DDF110" s="863"/>
      <c r="DDG110" s="863"/>
      <c r="DDH110" s="863"/>
      <c r="DDI110" s="883"/>
      <c r="DDJ110" s="883"/>
      <c r="DDK110" s="883"/>
      <c r="DDL110" s="883"/>
      <c r="DDM110" s="883"/>
      <c r="DDN110" s="883"/>
      <c r="DDO110" s="883"/>
      <c r="DDP110" s="883"/>
      <c r="DDQ110" s="883"/>
      <c r="DDR110" s="863"/>
      <c r="DDS110" s="863"/>
      <c r="DDT110" s="863"/>
      <c r="DDU110" s="863"/>
      <c r="DDV110" s="863"/>
      <c r="DDW110" s="863"/>
      <c r="DDX110" s="863"/>
      <c r="DDY110" s="863"/>
      <c r="DDZ110" s="863"/>
      <c r="DEA110" s="863"/>
      <c r="DEB110" s="863"/>
      <c r="DEC110" s="863"/>
      <c r="DED110" s="863"/>
      <c r="DEE110" s="863"/>
      <c r="DEF110" s="863"/>
      <c r="DEG110" s="863"/>
      <c r="DEH110" s="863"/>
      <c r="DEI110" s="863"/>
      <c r="DEJ110" s="863"/>
      <c r="DEK110" s="863"/>
      <c r="DEL110" s="863"/>
      <c r="DEM110" s="863"/>
      <c r="DEN110" s="863"/>
      <c r="DEO110" s="883"/>
      <c r="DEP110" s="883"/>
      <c r="DEQ110" s="883"/>
      <c r="DER110" s="883"/>
      <c r="DES110" s="883"/>
      <c r="DET110" s="883"/>
      <c r="DEU110" s="883"/>
      <c r="DEV110" s="883"/>
      <c r="DEW110" s="883"/>
      <c r="DEX110" s="863"/>
      <c r="DEY110" s="863"/>
      <c r="DEZ110" s="863"/>
      <c r="DFA110" s="863"/>
      <c r="DFB110" s="863"/>
      <c r="DFC110" s="863"/>
      <c r="DFD110" s="863"/>
      <c r="DFE110" s="863"/>
      <c r="DFF110" s="863"/>
      <c r="DFG110" s="863"/>
      <c r="DFH110" s="863"/>
      <c r="DFI110" s="863"/>
      <c r="DFJ110" s="863"/>
      <c r="DFK110" s="863"/>
      <c r="DFL110" s="863"/>
      <c r="DFM110" s="863"/>
      <c r="DFN110" s="863"/>
      <c r="DFO110" s="863"/>
      <c r="DFP110" s="863"/>
      <c r="DFQ110" s="863"/>
      <c r="DFR110" s="863"/>
      <c r="DFS110" s="863"/>
      <c r="DFT110" s="863"/>
      <c r="DFU110" s="883"/>
      <c r="DFV110" s="883"/>
      <c r="DFW110" s="883"/>
      <c r="DFX110" s="883"/>
      <c r="DFY110" s="883"/>
      <c r="DFZ110" s="883"/>
      <c r="DGA110" s="883"/>
      <c r="DGB110" s="883"/>
      <c r="DGC110" s="883"/>
      <c r="DGD110" s="863"/>
      <c r="DGE110" s="863"/>
      <c r="DGF110" s="863"/>
      <c r="DGG110" s="863"/>
      <c r="DGH110" s="863"/>
      <c r="DGI110" s="863"/>
      <c r="DGJ110" s="863"/>
      <c r="DGK110" s="863"/>
      <c r="DGL110" s="863"/>
      <c r="DGM110" s="863"/>
      <c r="DGN110" s="863"/>
      <c r="DGO110" s="863"/>
      <c r="DGP110" s="863"/>
      <c r="DGQ110" s="863"/>
      <c r="DGR110" s="863"/>
      <c r="DGS110" s="863"/>
      <c r="DGT110" s="863"/>
      <c r="DGU110" s="863"/>
      <c r="DGV110" s="863"/>
      <c r="DGW110" s="863"/>
      <c r="DGX110" s="863"/>
      <c r="DGY110" s="863"/>
      <c r="DGZ110" s="863"/>
      <c r="DHA110" s="883"/>
      <c r="DHB110" s="883"/>
      <c r="DHC110" s="883"/>
      <c r="DHD110" s="883"/>
      <c r="DHE110" s="883"/>
      <c r="DHF110" s="883"/>
      <c r="DHG110" s="883"/>
      <c r="DHH110" s="883"/>
      <c r="DHI110" s="883"/>
      <c r="DHJ110" s="863"/>
      <c r="DHK110" s="863"/>
      <c r="DHL110" s="863"/>
      <c r="DHM110" s="863"/>
      <c r="DHN110" s="863"/>
      <c r="DHO110" s="863"/>
      <c r="DHP110" s="863"/>
      <c r="DHQ110" s="863"/>
      <c r="DHR110" s="863"/>
      <c r="DHS110" s="863"/>
      <c r="DHT110" s="863"/>
      <c r="DHU110" s="863"/>
      <c r="DHV110" s="863"/>
      <c r="DHW110" s="863"/>
      <c r="DHX110" s="863"/>
      <c r="DHY110" s="863"/>
      <c r="DHZ110" s="863"/>
      <c r="DIA110" s="863"/>
      <c r="DIB110" s="863"/>
      <c r="DIC110" s="863"/>
      <c r="DID110" s="863"/>
      <c r="DIE110" s="863"/>
      <c r="DIF110" s="863"/>
      <c r="DIG110" s="883"/>
      <c r="DIH110" s="883"/>
      <c r="DII110" s="883"/>
      <c r="DIJ110" s="883"/>
      <c r="DIK110" s="883"/>
      <c r="DIL110" s="883"/>
      <c r="DIM110" s="883"/>
      <c r="DIN110" s="883"/>
      <c r="DIO110" s="883"/>
      <c r="DIP110" s="863"/>
      <c r="DIQ110" s="863"/>
      <c r="DIR110" s="863"/>
      <c r="DIS110" s="863"/>
      <c r="DIT110" s="863"/>
      <c r="DIU110" s="863"/>
      <c r="DIV110" s="863"/>
      <c r="DIW110" s="863"/>
      <c r="DIX110" s="863"/>
      <c r="DIY110" s="863"/>
      <c r="DIZ110" s="863"/>
      <c r="DJA110" s="863"/>
      <c r="DJB110" s="863"/>
      <c r="DJC110" s="863"/>
      <c r="DJD110" s="863"/>
      <c r="DJE110" s="863"/>
      <c r="DJF110" s="863"/>
      <c r="DJG110" s="863"/>
      <c r="DJH110" s="863"/>
      <c r="DJI110" s="863"/>
      <c r="DJJ110" s="863"/>
      <c r="DJK110" s="863"/>
      <c r="DJL110" s="863"/>
      <c r="DJM110" s="883"/>
      <c r="DJN110" s="883"/>
      <c r="DJO110" s="883"/>
      <c r="DJP110" s="883"/>
      <c r="DJQ110" s="883"/>
      <c r="DJR110" s="883"/>
      <c r="DJS110" s="883"/>
      <c r="DJT110" s="883"/>
      <c r="DJU110" s="883"/>
      <c r="DJV110" s="863"/>
      <c r="DJW110" s="863"/>
      <c r="DJX110" s="863"/>
      <c r="DJY110" s="863"/>
      <c r="DJZ110" s="863"/>
      <c r="DKA110" s="863"/>
      <c r="DKB110" s="863"/>
      <c r="DKC110" s="863"/>
      <c r="DKD110" s="863"/>
      <c r="DKE110" s="863"/>
      <c r="DKF110" s="863"/>
      <c r="DKG110" s="863"/>
      <c r="DKH110" s="863"/>
      <c r="DKI110" s="863"/>
      <c r="DKJ110" s="863"/>
      <c r="DKK110" s="863"/>
      <c r="DKL110" s="863"/>
      <c r="DKM110" s="863"/>
      <c r="DKN110" s="863"/>
      <c r="DKO110" s="863"/>
      <c r="DKP110" s="863"/>
      <c r="DKQ110" s="863"/>
      <c r="DKR110" s="863"/>
      <c r="DKS110" s="883"/>
      <c r="DKT110" s="883"/>
      <c r="DKU110" s="883"/>
      <c r="DKV110" s="883"/>
      <c r="DKW110" s="883"/>
      <c r="DKX110" s="883"/>
      <c r="DKY110" s="883"/>
      <c r="DKZ110" s="883"/>
      <c r="DLA110" s="883"/>
      <c r="DLB110" s="863"/>
      <c r="DLC110" s="863"/>
      <c r="DLD110" s="863"/>
      <c r="DLE110" s="863"/>
      <c r="DLF110" s="863"/>
      <c r="DLG110" s="863"/>
      <c r="DLH110" s="863"/>
      <c r="DLI110" s="863"/>
      <c r="DLJ110" s="863"/>
      <c r="DLK110" s="863"/>
      <c r="DLL110" s="863"/>
      <c r="DLM110" s="863"/>
      <c r="DLN110" s="863"/>
      <c r="DLO110" s="863"/>
      <c r="DLP110" s="863"/>
      <c r="DLQ110" s="863"/>
      <c r="DLR110" s="863"/>
      <c r="DLS110" s="863"/>
      <c r="DLT110" s="863"/>
      <c r="DLU110" s="863"/>
      <c r="DLV110" s="863"/>
      <c r="DLW110" s="863"/>
      <c r="DLX110" s="863"/>
      <c r="DLY110" s="883"/>
      <c r="DLZ110" s="883"/>
      <c r="DMA110" s="883"/>
      <c r="DMB110" s="883"/>
      <c r="DMC110" s="883"/>
      <c r="DMD110" s="883"/>
      <c r="DME110" s="883"/>
      <c r="DMF110" s="883"/>
      <c r="DMG110" s="883"/>
      <c r="DMH110" s="863"/>
      <c r="DMI110" s="863"/>
      <c r="DMJ110" s="863"/>
      <c r="DMK110" s="863"/>
      <c r="DML110" s="863"/>
      <c r="DMM110" s="863"/>
      <c r="DMN110" s="863"/>
      <c r="DMO110" s="863"/>
      <c r="DMP110" s="863"/>
      <c r="DMQ110" s="863"/>
      <c r="DMR110" s="863"/>
      <c r="DMS110" s="863"/>
      <c r="DMT110" s="863"/>
      <c r="DMU110" s="863"/>
      <c r="DMV110" s="863"/>
      <c r="DMW110" s="863"/>
      <c r="DMX110" s="863"/>
      <c r="DMY110" s="863"/>
      <c r="DMZ110" s="863"/>
      <c r="DNA110" s="863"/>
      <c r="DNB110" s="863"/>
      <c r="DNC110" s="863"/>
      <c r="DND110" s="863"/>
      <c r="DNE110" s="883"/>
      <c r="DNF110" s="883"/>
      <c r="DNG110" s="883"/>
      <c r="DNH110" s="883"/>
      <c r="DNI110" s="883"/>
      <c r="DNJ110" s="883"/>
      <c r="DNK110" s="883"/>
      <c r="DNL110" s="883"/>
      <c r="DNM110" s="883"/>
      <c r="DNN110" s="863"/>
      <c r="DNO110" s="863"/>
      <c r="DNP110" s="863"/>
      <c r="DNQ110" s="863"/>
      <c r="DNR110" s="863"/>
      <c r="DNS110" s="863"/>
      <c r="DNT110" s="863"/>
      <c r="DNU110" s="863"/>
      <c r="DNV110" s="863"/>
      <c r="DNW110" s="863"/>
      <c r="DNX110" s="863"/>
      <c r="DNY110" s="863"/>
      <c r="DNZ110" s="863"/>
      <c r="DOA110" s="863"/>
      <c r="DOB110" s="863"/>
      <c r="DOC110" s="863"/>
      <c r="DOD110" s="863"/>
      <c r="DOE110" s="863"/>
      <c r="DOF110" s="863"/>
      <c r="DOG110" s="863"/>
      <c r="DOH110" s="863"/>
      <c r="DOI110" s="863"/>
      <c r="DOJ110" s="863"/>
      <c r="DOK110" s="883"/>
      <c r="DOL110" s="883"/>
      <c r="DOM110" s="883"/>
      <c r="DON110" s="883"/>
      <c r="DOO110" s="883"/>
      <c r="DOP110" s="883"/>
      <c r="DOQ110" s="883"/>
      <c r="DOR110" s="883"/>
      <c r="DOS110" s="883"/>
      <c r="DOT110" s="863"/>
      <c r="DOU110" s="863"/>
      <c r="DOV110" s="863"/>
      <c r="DOW110" s="863"/>
      <c r="DOX110" s="863"/>
      <c r="DOY110" s="863"/>
      <c r="DOZ110" s="863"/>
      <c r="DPA110" s="863"/>
      <c r="DPB110" s="863"/>
      <c r="DPC110" s="863"/>
      <c r="DPD110" s="863"/>
      <c r="DPE110" s="863"/>
      <c r="DPF110" s="863"/>
      <c r="DPG110" s="863"/>
      <c r="DPH110" s="863"/>
      <c r="DPI110" s="863"/>
      <c r="DPJ110" s="863"/>
      <c r="DPK110" s="863"/>
      <c r="DPL110" s="863"/>
      <c r="DPM110" s="863"/>
      <c r="DPN110" s="863"/>
      <c r="DPO110" s="863"/>
      <c r="DPP110" s="863"/>
      <c r="DPQ110" s="883"/>
      <c r="DPR110" s="883"/>
      <c r="DPS110" s="883"/>
      <c r="DPT110" s="883"/>
      <c r="DPU110" s="883"/>
      <c r="DPV110" s="883"/>
      <c r="DPW110" s="883"/>
      <c r="DPX110" s="883"/>
      <c r="DPY110" s="883"/>
      <c r="DPZ110" s="863"/>
      <c r="DQA110" s="863"/>
      <c r="DQB110" s="863"/>
      <c r="DQC110" s="863"/>
      <c r="DQD110" s="863"/>
      <c r="DQE110" s="863"/>
      <c r="DQF110" s="863"/>
      <c r="DQG110" s="863"/>
      <c r="DQH110" s="863"/>
      <c r="DQI110" s="863"/>
      <c r="DQJ110" s="863"/>
      <c r="DQK110" s="863"/>
      <c r="DQL110" s="863"/>
      <c r="DQM110" s="863"/>
      <c r="DQN110" s="863"/>
      <c r="DQO110" s="863"/>
      <c r="DQP110" s="863"/>
      <c r="DQQ110" s="863"/>
      <c r="DQR110" s="863"/>
      <c r="DQS110" s="863"/>
      <c r="DQT110" s="863"/>
      <c r="DQU110" s="863"/>
      <c r="DQV110" s="863"/>
      <c r="DQW110" s="883"/>
      <c r="DQX110" s="883"/>
      <c r="DQY110" s="883"/>
      <c r="DQZ110" s="883"/>
      <c r="DRA110" s="883"/>
      <c r="DRB110" s="883"/>
      <c r="DRC110" s="883"/>
      <c r="DRD110" s="883"/>
      <c r="DRE110" s="883"/>
      <c r="DRF110" s="863"/>
      <c r="DRG110" s="863"/>
      <c r="DRH110" s="863"/>
      <c r="DRI110" s="863"/>
      <c r="DRJ110" s="863"/>
      <c r="DRK110" s="863"/>
      <c r="DRL110" s="863"/>
      <c r="DRM110" s="863"/>
      <c r="DRN110" s="863"/>
      <c r="DRO110" s="863"/>
      <c r="DRP110" s="863"/>
      <c r="DRQ110" s="863"/>
      <c r="DRR110" s="863"/>
      <c r="DRS110" s="863"/>
      <c r="DRT110" s="863"/>
      <c r="DRU110" s="863"/>
      <c r="DRV110" s="863"/>
      <c r="DRW110" s="863"/>
      <c r="DRX110" s="863"/>
      <c r="DRY110" s="863"/>
      <c r="DRZ110" s="863"/>
      <c r="DSA110" s="863"/>
      <c r="DSB110" s="863"/>
      <c r="DSC110" s="883"/>
      <c r="DSD110" s="883"/>
      <c r="DSE110" s="883"/>
      <c r="DSF110" s="883"/>
      <c r="DSG110" s="883"/>
      <c r="DSH110" s="883"/>
      <c r="DSI110" s="883"/>
      <c r="DSJ110" s="883"/>
      <c r="DSK110" s="883"/>
      <c r="DSL110" s="863"/>
      <c r="DSM110" s="863"/>
      <c r="DSN110" s="863"/>
      <c r="DSO110" s="863"/>
      <c r="DSP110" s="863"/>
      <c r="DSQ110" s="863"/>
      <c r="DSR110" s="863"/>
      <c r="DSS110" s="863"/>
      <c r="DST110" s="863"/>
      <c r="DSU110" s="863"/>
      <c r="DSV110" s="863"/>
      <c r="DSW110" s="863"/>
      <c r="DSX110" s="863"/>
      <c r="DSY110" s="863"/>
      <c r="DSZ110" s="863"/>
      <c r="DTA110" s="863"/>
      <c r="DTB110" s="863"/>
      <c r="DTC110" s="863"/>
      <c r="DTD110" s="863"/>
      <c r="DTE110" s="863"/>
      <c r="DTF110" s="863"/>
      <c r="DTG110" s="863"/>
      <c r="DTH110" s="863"/>
      <c r="DTI110" s="883"/>
      <c r="DTJ110" s="883"/>
      <c r="DTK110" s="883"/>
      <c r="DTL110" s="883"/>
      <c r="DTM110" s="883"/>
      <c r="DTN110" s="883"/>
      <c r="DTO110" s="883"/>
      <c r="DTP110" s="883"/>
      <c r="DTQ110" s="883"/>
      <c r="DTR110" s="863"/>
      <c r="DTS110" s="863"/>
      <c r="DTT110" s="863"/>
      <c r="DTU110" s="863"/>
      <c r="DTV110" s="863"/>
      <c r="DTW110" s="863"/>
      <c r="DTX110" s="863"/>
      <c r="DTY110" s="863"/>
      <c r="DTZ110" s="863"/>
      <c r="DUA110" s="863"/>
      <c r="DUB110" s="863"/>
      <c r="DUC110" s="863"/>
      <c r="DUD110" s="863"/>
      <c r="DUE110" s="863"/>
      <c r="DUF110" s="863"/>
      <c r="DUG110" s="863"/>
      <c r="DUH110" s="863"/>
      <c r="DUI110" s="863"/>
      <c r="DUJ110" s="863"/>
      <c r="DUK110" s="863"/>
      <c r="DUL110" s="863"/>
      <c r="DUM110" s="863"/>
      <c r="DUN110" s="863"/>
      <c r="DUO110" s="883"/>
      <c r="DUP110" s="883"/>
      <c r="DUQ110" s="883"/>
      <c r="DUR110" s="883"/>
      <c r="DUS110" s="883"/>
      <c r="DUT110" s="883"/>
      <c r="DUU110" s="883"/>
      <c r="DUV110" s="883"/>
      <c r="DUW110" s="883"/>
      <c r="DUX110" s="863"/>
      <c r="DUY110" s="863"/>
      <c r="DUZ110" s="863"/>
      <c r="DVA110" s="863"/>
      <c r="DVB110" s="863"/>
      <c r="DVC110" s="863"/>
      <c r="DVD110" s="863"/>
      <c r="DVE110" s="863"/>
      <c r="DVF110" s="863"/>
      <c r="DVG110" s="863"/>
      <c r="DVH110" s="863"/>
      <c r="DVI110" s="863"/>
      <c r="DVJ110" s="863"/>
      <c r="DVK110" s="863"/>
      <c r="DVL110" s="863"/>
      <c r="DVM110" s="863"/>
      <c r="DVN110" s="863"/>
      <c r="DVO110" s="863"/>
      <c r="DVP110" s="863"/>
      <c r="DVQ110" s="863"/>
      <c r="DVR110" s="863"/>
      <c r="DVS110" s="863"/>
      <c r="DVT110" s="863"/>
      <c r="DVU110" s="883"/>
      <c r="DVV110" s="883"/>
      <c r="DVW110" s="883"/>
      <c r="DVX110" s="883"/>
      <c r="DVY110" s="883"/>
      <c r="DVZ110" s="883"/>
      <c r="DWA110" s="883"/>
      <c r="DWB110" s="883"/>
      <c r="DWC110" s="883"/>
      <c r="DWD110" s="863"/>
      <c r="DWE110" s="863"/>
      <c r="DWF110" s="863"/>
      <c r="DWG110" s="863"/>
      <c r="DWH110" s="863"/>
      <c r="DWI110" s="863"/>
      <c r="DWJ110" s="863"/>
      <c r="DWK110" s="863"/>
      <c r="DWL110" s="863"/>
      <c r="DWM110" s="863"/>
      <c r="DWN110" s="863"/>
      <c r="DWO110" s="863"/>
      <c r="DWP110" s="863"/>
      <c r="DWQ110" s="863"/>
      <c r="DWR110" s="863"/>
      <c r="DWS110" s="863"/>
      <c r="DWT110" s="863"/>
      <c r="DWU110" s="863"/>
      <c r="DWV110" s="863"/>
      <c r="DWW110" s="863"/>
      <c r="DWX110" s="863"/>
      <c r="DWY110" s="863"/>
      <c r="DWZ110" s="863"/>
      <c r="DXA110" s="883"/>
      <c r="DXB110" s="883"/>
      <c r="DXC110" s="883"/>
      <c r="DXD110" s="883"/>
      <c r="DXE110" s="883"/>
      <c r="DXF110" s="883"/>
      <c r="DXG110" s="883"/>
      <c r="DXH110" s="883"/>
      <c r="DXI110" s="883"/>
      <c r="DXJ110" s="863"/>
      <c r="DXK110" s="863"/>
      <c r="DXL110" s="863"/>
      <c r="DXM110" s="863"/>
      <c r="DXN110" s="863"/>
      <c r="DXO110" s="863"/>
      <c r="DXP110" s="863"/>
      <c r="DXQ110" s="863"/>
      <c r="DXR110" s="863"/>
      <c r="DXS110" s="863"/>
      <c r="DXT110" s="863"/>
      <c r="DXU110" s="863"/>
      <c r="DXV110" s="863"/>
      <c r="DXW110" s="863"/>
      <c r="DXX110" s="863"/>
      <c r="DXY110" s="863"/>
      <c r="DXZ110" s="863"/>
      <c r="DYA110" s="863"/>
      <c r="DYB110" s="863"/>
      <c r="DYC110" s="863"/>
      <c r="DYD110" s="863"/>
      <c r="DYE110" s="863"/>
      <c r="DYF110" s="863"/>
      <c r="DYG110" s="883"/>
      <c r="DYH110" s="883"/>
      <c r="DYI110" s="883"/>
      <c r="DYJ110" s="883"/>
      <c r="DYK110" s="883"/>
      <c r="DYL110" s="883"/>
      <c r="DYM110" s="883"/>
      <c r="DYN110" s="883"/>
      <c r="DYO110" s="883"/>
      <c r="DYP110" s="863"/>
      <c r="DYQ110" s="863"/>
      <c r="DYR110" s="863"/>
      <c r="DYS110" s="863"/>
      <c r="DYT110" s="863"/>
      <c r="DYU110" s="863"/>
      <c r="DYV110" s="863"/>
      <c r="DYW110" s="863"/>
      <c r="DYX110" s="863"/>
      <c r="DYY110" s="863"/>
      <c r="DYZ110" s="863"/>
      <c r="DZA110" s="863"/>
      <c r="DZB110" s="863"/>
      <c r="DZC110" s="863"/>
      <c r="DZD110" s="863"/>
      <c r="DZE110" s="863"/>
      <c r="DZF110" s="863"/>
      <c r="DZG110" s="863"/>
      <c r="DZH110" s="863"/>
      <c r="DZI110" s="863"/>
      <c r="DZJ110" s="863"/>
      <c r="DZK110" s="863"/>
      <c r="DZL110" s="863"/>
      <c r="DZM110" s="883"/>
      <c r="DZN110" s="883"/>
      <c r="DZO110" s="883"/>
      <c r="DZP110" s="883"/>
      <c r="DZQ110" s="883"/>
      <c r="DZR110" s="883"/>
      <c r="DZS110" s="883"/>
      <c r="DZT110" s="883"/>
      <c r="DZU110" s="883"/>
      <c r="DZV110" s="863"/>
      <c r="DZW110" s="863"/>
      <c r="DZX110" s="863"/>
      <c r="DZY110" s="863"/>
      <c r="DZZ110" s="863"/>
      <c r="EAA110" s="863"/>
      <c r="EAB110" s="863"/>
      <c r="EAC110" s="863"/>
      <c r="EAD110" s="863"/>
      <c r="EAE110" s="863"/>
      <c r="EAF110" s="863"/>
      <c r="EAG110" s="863"/>
      <c r="EAH110" s="863"/>
      <c r="EAI110" s="863"/>
      <c r="EAJ110" s="863"/>
      <c r="EAK110" s="863"/>
      <c r="EAL110" s="863"/>
      <c r="EAM110" s="863"/>
      <c r="EAN110" s="863"/>
      <c r="EAO110" s="863"/>
      <c r="EAP110" s="863"/>
      <c r="EAQ110" s="863"/>
      <c r="EAR110" s="863"/>
      <c r="EAS110" s="883"/>
      <c r="EAT110" s="883"/>
      <c r="EAU110" s="883"/>
      <c r="EAV110" s="883"/>
      <c r="EAW110" s="883"/>
      <c r="EAX110" s="883"/>
      <c r="EAY110" s="883"/>
      <c r="EAZ110" s="883"/>
      <c r="EBA110" s="883"/>
      <c r="EBB110" s="863"/>
      <c r="EBC110" s="863"/>
      <c r="EBD110" s="863"/>
      <c r="EBE110" s="863"/>
      <c r="EBF110" s="863"/>
      <c r="EBG110" s="863"/>
      <c r="EBH110" s="863"/>
      <c r="EBI110" s="863"/>
      <c r="EBJ110" s="863"/>
      <c r="EBK110" s="863"/>
      <c r="EBL110" s="863"/>
      <c r="EBM110" s="863"/>
      <c r="EBN110" s="863"/>
      <c r="EBO110" s="863"/>
      <c r="EBP110" s="863"/>
      <c r="EBQ110" s="863"/>
      <c r="EBR110" s="863"/>
      <c r="EBS110" s="863"/>
      <c r="EBT110" s="863"/>
      <c r="EBU110" s="863"/>
      <c r="EBV110" s="863"/>
      <c r="EBW110" s="863"/>
      <c r="EBX110" s="863"/>
      <c r="EBY110" s="883"/>
      <c r="EBZ110" s="883"/>
      <c r="ECA110" s="883"/>
      <c r="ECB110" s="883"/>
      <c r="ECC110" s="883"/>
      <c r="ECD110" s="883"/>
      <c r="ECE110" s="883"/>
      <c r="ECF110" s="883"/>
      <c r="ECG110" s="883"/>
      <c r="ECH110" s="863"/>
      <c r="ECI110" s="863"/>
      <c r="ECJ110" s="863"/>
      <c r="ECK110" s="863"/>
      <c r="ECL110" s="863"/>
      <c r="ECM110" s="863"/>
      <c r="ECN110" s="863"/>
      <c r="ECO110" s="863"/>
      <c r="ECP110" s="863"/>
      <c r="ECQ110" s="863"/>
      <c r="ECR110" s="863"/>
      <c r="ECS110" s="863"/>
      <c r="ECT110" s="863"/>
      <c r="ECU110" s="863"/>
      <c r="ECV110" s="863"/>
      <c r="ECW110" s="863"/>
      <c r="ECX110" s="863"/>
      <c r="ECY110" s="863"/>
      <c r="ECZ110" s="863"/>
      <c r="EDA110" s="863"/>
      <c r="EDB110" s="863"/>
      <c r="EDC110" s="863"/>
      <c r="EDD110" s="863"/>
      <c r="EDE110" s="883"/>
      <c r="EDF110" s="883"/>
      <c r="EDG110" s="883"/>
      <c r="EDH110" s="883"/>
      <c r="EDI110" s="883"/>
      <c r="EDJ110" s="883"/>
      <c r="EDK110" s="883"/>
      <c r="EDL110" s="883"/>
      <c r="EDM110" s="883"/>
      <c r="EDN110" s="863"/>
      <c r="EDO110" s="863"/>
      <c r="EDP110" s="863"/>
      <c r="EDQ110" s="863"/>
      <c r="EDR110" s="863"/>
      <c r="EDS110" s="863"/>
      <c r="EDT110" s="863"/>
      <c r="EDU110" s="863"/>
      <c r="EDV110" s="863"/>
      <c r="EDW110" s="863"/>
      <c r="EDX110" s="863"/>
      <c r="EDY110" s="863"/>
      <c r="EDZ110" s="863"/>
      <c r="EEA110" s="863"/>
      <c r="EEB110" s="863"/>
      <c r="EEC110" s="863"/>
      <c r="EED110" s="863"/>
      <c r="EEE110" s="863"/>
      <c r="EEF110" s="863"/>
      <c r="EEG110" s="863"/>
      <c r="EEH110" s="863"/>
      <c r="EEI110" s="863"/>
      <c r="EEJ110" s="863"/>
      <c r="EEK110" s="883"/>
      <c r="EEL110" s="883"/>
      <c r="EEM110" s="883"/>
      <c r="EEN110" s="883"/>
      <c r="EEO110" s="883"/>
      <c r="EEP110" s="883"/>
      <c r="EEQ110" s="883"/>
      <c r="EER110" s="883"/>
      <c r="EES110" s="883"/>
      <c r="EET110" s="863"/>
      <c r="EEU110" s="863"/>
      <c r="EEV110" s="863"/>
      <c r="EEW110" s="863"/>
      <c r="EEX110" s="863"/>
      <c r="EEY110" s="863"/>
      <c r="EEZ110" s="863"/>
      <c r="EFA110" s="863"/>
      <c r="EFB110" s="863"/>
      <c r="EFC110" s="863"/>
      <c r="EFD110" s="863"/>
      <c r="EFE110" s="863"/>
      <c r="EFF110" s="863"/>
      <c r="EFG110" s="863"/>
      <c r="EFH110" s="863"/>
      <c r="EFI110" s="863"/>
      <c r="EFJ110" s="863"/>
      <c r="EFK110" s="863"/>
      <c r="EFL110" s="863"/>
      <c r="EFM110" s="863"/>
      <c r="EFN110" s="863"/>
      <c r="EFO110" s="863"/>
      <c r="EFP110" s="863"/>
      <c r="EFQ110" s="883"/>
      <c r="EFR110" s="883"/>
      <c r="EFS110" s="883"/>
      <c r="EFT110" s="883"/>
      <c r="EFU110" s="883"/>
      <c r="EFV110" s="883"/>
      <c r="EFW110" s="883"/>
      <c r="EFX110" s="883"/>
      <c r="EFY110" s="883"/>
      <c r="EFZ110" s="863"/>
      <c r="EGA110" s="863"/>
      <c r="EGB110" s="863"/>
      <c r="EGC110" s="863"/>
      <c r="EGD110" s="863"/>
      <c r="EGE110" s="863"/>
      <c r="EGF110" s="863"/>
      <c r="EGG110" s="863"/>
      <c r="EGH110" s="863"/>
      <c r="EGI110" s="863"/>
      <c r="EGJ110" s="863"/>
      <c r="EGK110" s="863"/>
      <c r="EGL110" s="863"/>
      <c r="EGM110" s="863"/>
      <c r="EGN110" s="863"/>
      <c r="EGO110" s="863"/>
      <c r="EGP110" s="863"/>
      <c r="EGQ110" s="863"/>
      <c r="EGR110" s="863"/>
      <c r="EGS110" s="863"/>
      <c r="EGT110" s="863"/>
      <c r="EGU110" s="863"/>
      <c r="EGV110" s="863"/>
      <c r="EGW110" s="883"/>
      <c r="EGX110" s="883"/>
      <c r="EGY110" s="883"/>
      <c r="EGZ110" s="883"/>
      <c r="EHA110" s="883"/>
      <c r="EHB110" s="883"/>
      <c r="EHC110" s="883"/>
      <c r="EHD110" s="883"/>
      <c r="EHE110" s="883"/>
      <c r="EHF110" s="863"/>
      <c r="EHG110" s="863"/>
      <c r="EHH110" s="863"/>
      <c r="EHI110" s="863"/>
      <c r="EHJ110" s="863"/>
      <c r="EHK110" s="863"/>
      <c r="EHL110" s="863"/>
      <c r="EHM110" s="863"/>
      <c r="EHN110" s="863"/>
      <c r="EHO110" s="863"/>
      <c r="EHP110" s="863"/>
      <c r="EHQ110" s="863"/>
      <c r="EHR110" s="863"/>
      <c r="EHS110" s="863"/>
      <c r="EHT110" s="863"/>
      <c r="EHU110" s="863"/>
      <c r="EHV110" s="863"/>
      <c r="EHW110" s="863"/>
      <c r="EHX110" s="863"/>
      <c r="EHY110" s="863"/>
      <c r="EHZ110" s="863"/>
      <c r="EIA110" s="863"/>
      <c r="EIB110" s="863"/>
      <c r="EIC110" s="883"/>
      <c r="EID110" s="883"/>
      <c r="EIE110" s="883"/>
      <c r="EIF110" s="883"/>
      <c r="EIG110" s="883"/>
      <c r="EIH110" s="883"/>
      <c r="EII110" s="883"/>
      <c r="EIJ110" s="883"/>
      <c r="EIK110" s="883"/>
      <c r="EIL110" s="863"/>
      <c r="EIM110" s="863"/>
      <c r="EIN110" s="863"/>
      <c r="EIO110" s="863"/>
      <c r="EIP110" s="863"/>
      <c r="EIQ110" s="863"/>
      <c r="EIR110" s="863"/>
      <c r="EIS110" s="863"/>
      <c r="EIT110" s="863"/>
      <c r="EIU110" s="863"/>
      <c r="EIV110" s="863"/>
      <c r="EIW110" s="863"/>
      <c r="EIX110" s="863"/>
      <c r="EIY110" s="863"/>
      <c r="EIZ110" s="863"/>
      <c r="EJA110" s="863"/>
      <c r="EJB110" s="863"/>
      <c r="EJC110" s="863"/>
      <c r="EJD110" s="863"/>
      <c r="EJE110" s="863"/>
      <c r="EJF110" s="863"/>
      <c r="EJG110" s="863"/>
      <c r="EJH110" s="863"/>
      <c r="EJI110" s="883"/>
      <c r="EJJ110" s="883"/>
      <c r="EJK110" s="883"/>
      <c r="EJL110" s="883"/>
      <c r="EJM110" s="883"/>
      <c r="EJN110" s="883"/>
      <c r="EJO110" s="883"/>
      <c r="EJP110" s="883"/>
      <c r="EJQ110" s="883"/>
      <c r="EJR110" s="863"/>
      <c r="EJS110" s="863"/>
      <c r="EJT110" s="863"/>
      <c r="EJU110" s="863"/>
      <c r="EJV110" s="863"/>
      <c r="EJW110" s="863"/>
      <c r="EJX110" s="863"/>
      <c r="EJY110" s="863"/>
      <c r="EJZ110" s="863"/>
      <c r="EKA110" s="863"/>
      <c r="EKB110" s="863"/>
      <c r="EKC110" s="863"/>
      <c r="EKD110" s="863"/>
      <c r="EKE110" s="863"/>
      <c r="EKF110" s="863"/>
      <c r="EKG110" s="863"/>
      <c r="EKH110" s="863"/>
      <c r="EKI110" s="863"/>
      <c r="EKJ110" s="863"/>
      <c r="EKK110" s="863"/>
      <c r="EKL110" s="863"/>
      <c r="EKM110" s="863"/>
      <c r="EKN110" s="863"/>
      <c r="EKO110" s="883"/>
      <c r="EKP110" s="883"/>
      <c r="EKQ110" s="883"/>
      <c r="EKR110" s="883"/>
      <c r="EKS110" s="883"/>
      <c r="EKT110" s="883"/>
      <c r="EKU110" s="883"/>
      <c r="EKV110" s="883"/>
      <c r="EKW110" s="883"/>
      <c r="EKX110" s="863"/>
      <c r="EKY110" s="863"/>
      <c r="EKZ110" s="863"/>
      <c r="ELA110" s="863"/>
      <c r="ELB110" s="863"/>
      <c r="ELC110" s="863"/>
      <c r="ELD110" s="863"/>
      <c r="ELE110" s="863"/>
      <c r="ELF110" s="863"/>
      <c r="ELG110" s="863"/>
      <c r="ELH110" s="863"/>
      <c r="ELI110" s="863"/>
      <c r="ELJ110" s="863"/>
      <c r="ELK110" s="863"/>
      <c r="ELL110" s="863"/>
      <c r="ELM110" s="863"/>
      <c r="ELN110" s="863"/>
      <c r="ELO110" s="863"/>
      <c r="ELP110" s="863"/>
      <c r="ELQ110" s="863"/>
      <c r="ELR110" s="863"/>
      <c r="ELS110" s="863"/>
      <c r="ELT110" s="863"/>
      <c r="ELU110" s="883"/>
      <c r="ELV110" s="883"/>
      <c r="ELW110" s="883"/>
      <c r="ELX110" s="883"/>
      <c r="ELY110" s="883"/>
      <c r="ELZ110" s="883"/>
      <c r="EMA110" s="883"/>
      <c r="EMB110" s="883"/>
      <c r="EMC110" s="883"/>
      <c r="EMD110" s="863"/>
      <c r="EME110" s="863"/>
      <c r="EMF110" s="863"/>
      <c r="EMG110" s="863"/>
      <c r="EMH110" s="863"/>
      <c r="EMI110" s="863"/>
      <c r="EMJ110" s="863"/>
      <c r="EMK110" s="863"/>
      <c r="EML110" s="863"/>
      <c r="EMM110" s="863"/>
      <c r="EMN110" s="863"/>
      <c r="EMO110" s="863"/>
      <c r="EMP110" s="863"/>
      <c r="EMQ110" s="863"/>
      <c r="EMR110" s="863"/>
      <c r="EMS110" s="863"/>
      <c r="EMT110" s="863"/>
      <c r="EMU110" s="863"/>
      <c r="EMV110" s="863"/>
      <c r="EMW110" s="863"/>
      <c r="EMX110" s="863"/>
      <c r="EMY110" s="863"/>
      <c r="EMZ110" s="863"/>
      <c r="ENA110" s="883"/>
      <c r="ENB110" s="883"/>
      <c r="ENC110" s="883"/>
      <c r="END110" s="883"/>
      <c r="ENE110" s="883"/>
      <c r="ENF110" s="883"/>
      <c r="ENG110" s="883"/>
      <c r="ENH110" s="883"/>
      <c r="ENI110" s="883"/>
      <c r="ENJ110" s="863"/>
      <c r="ENK110" s="863"/>
      <c r="ENL110" s="863"/>
      <c r="ENM110" s="863"/>
      <c r="ENN110" s="863"/>
      <c r="ENO110" s="863"/>
      <c r="ENP110" s="863"/>
      <c r="ENQ110" s="863"/>
      <c r="ENR110" s="863"/>
      <c r="ENS110" s="863"/>
      <c r="ENT110" s="863"/>
      <c r="ENU110" s="863"/>
      <c r="ENV110" s="863"/>
      <c r="ENW110" s="863"/>
      <c r="ENX110" s="863"/>
      <c r="ENY110" s="863"/>
      <c r="ENZ110" s="863"/>
      <c r="EOA110" s="863"/>
      <c r="EOB110" s="863"/>
      <c r="EOC110" s="863"/>
      <c r="EOD110" s="863"/>
      <c r="EOE110" s="863"/>
      <c r="EOF110" s="863"/>
      <c r="EOG110" s="883"/>
      <c r="EOH110" s="883"/>
      <c r="EOI110" s="883"/>
      <c r="EOJ110" s="883"/>
      <c r="EOK110" s="883"/>
      <c r="EOL110" s="883"/>
      <c r="EOM110" s="883"/>
      <c r="EON110" s="883"/>
      <c r="EOO110" s="883"/>
      <c r="EOP110" s="863"/>
      <c r="EOQ110" s="863"/>
      <c r="EOR110" s="863"/>
      <c r="EOS110" s="863"/>
      <c r="EOT110" s="863"/>
      <c r="EOU110" s="863"/>
      <c r="EOV110" s="863"/>
      <c r="EOW110" s="863"/>
      <c r="EOX110" s="863"/>
      <c r="EOY110" s="863"/>
      <c r="EOZ110" s="863"/>
      <c r="EPA110" s="863"/>
      <c r="EPB110" s="863"/>
      <c r="EPC110" s="863"/>
      <c r="EPD110" s="863"/>
      <c r="EPE110" s="863"/>
      <c r="EPF110" s="863"/>
      <c r="EPG110" s="863"/>
      <c r="EPH110" s="863"/>
      <c r="EPI110" s="863"/>
      <c r="EPJ110" s="863"/>
      <c r="EPK110" s="863"/>
      <c r="EPL110" s="863"/>
      <c r="EPM110" s="883"/>
      <c r="EPN110" s="883"/>
      <c r="EPO110" s="883"/>
      <c r="EPP110" s="883"/>
      <c r="EPQ110" s="883"/>
      <c r="EPR110" s="883"/>
      <c r="EPS110" s="883"/>
      <c r="EPT110" s="883"/>
      <c r="EPU110" s="883"/>
      <c r="EPV110" s="863"/>
      <c r="EPW110" s="863"/>
      <c r="EPX110" s="863"/>
      <c r="EPY110" s="863"/>
      <c r="EPZ110" s="863"/>
      <c r="EQA110" s="863"/>
      <c r="EQB110" s="863"/>
      <c r="EQC110" s="863"/>
      <c r="EQD110" s="863"/>
      <c r="EQE110" s="863"/>
      <c r="EQF110" s="863"/>
      <c r="EQG110" s="863"/>
      <c r="EQH110" s="863"/>
      <c r="EQI110" s="863"/>
      <c r="EQJ110" s="863"/>
      <c r="EQK110" s="863"/>
      <c r="EQL110" s="863"/>
      <c r="EQM110" s="863"/>
      <c r="EQN110" s="863"/>
      <c r="EQO110" s="863"/>
      <c r="EQP110" s="863"/>
      <c r="EQQ110" s="863"/>
      <c r="EQR110" s="863"/>
      <c r="EQS110" s="883"/>
      <c r="EQT110" s="883"/>
      <c r="EQU110" s="883"/>
      <c r="EQV110" s="883"/>
      <c r="EQW110" s="883"/>
      <c r="EQX110" s="883"/>
      <c r="EQY110" s="883"/>
      <c r="EQZ110" s="883"/>
      <c r="ERA110" s="883"/>
      <c r="ERB110" s="863"/>
      <c r="ERC110" s="863"/>
      <c r="ERD110" s="863"/>
      <c r="ERE110" s="863"/>
      <c r="ERF110" s="863"/>
      <c r="ERG110" s="863"/>
      <c r="ERH110" s="863"/>
      <c r="ERI110" s="863"/>
      <c r="ERJ110" s="863"/>
      <c r="ERK110" s="863"/>
      <c r="ERL110" s="863"/>
      <c r="ERM110" s="863"/>
      <c r="ERN110" s="863"/>
      <c r="ERO110" s="863"/>
      <c r="ERP110" s="863"/>
      <c r="ERQ110" s="863"/>
      <c r="ERR110" s="863"/>
      <c r="ERS110" s="863"/>
      <c r="ERT110" s="863"/>
      <c r="ERU110" s="863"/>
      <c r="ERV110" s="863"/>
      <c r="ERW110" s="863"/>
      <c r="ERX110" s="863"/>
      <c r="ERY110" s="883"/>
      <c r="ERZ110" s="883"/>
      <c r="ESA110" s="883"/>
      <c r="ESB110" s="883"/>
      <c r="ESC110" s="883"/>
      <c r="ESD110" s="883"/>
      <c r="ESE110" s="883"/>
      <c r="ESF110" s="883"/>
      <c r="ESG110" s="883"/>
      <c r="ESH110" s="863"/>
      <c r="ESI110" s="863"/>
      <c r="ESJ110" s="863"/>
      <c r="ESK110" s="863"/>
      <c r="ESL110" s="863"/>
      <c r="ESM110" s="863"/>
      <c r="ESN110" s="863"/>
      <c r="ESO110" s="863"/>
      <c r="ESP110" s="863"/>
      <c r="ESQ110" s="863"/>
      <c r="ESR110" s="863"/>
      <c r="ESS110" s="863"/>
      <c r="EST110" s="863"/>
      <c r="ESU110" s="863"/>
      <c r="ESV110" s="863"/>
      <c r="ESW110" s="863"/>
      <c r="ESX110" s="863"/>
      <c r="ESY110" s="863"/>
      <c r="ESZ110" s="863"/>
      <c r="ETA110" s="863"/>
      <c r="ETB110" s="863"/>
      <c r="ETC110" s="863"/>
      <c r="ETD110" s="863"/>
      <c r="ETE110" s="883"/>
      <c r="ETF110" s="883"/>
      <c r="ETG110" s="883"/>
      <c r="ETH110" s="883"/>
      <c r="ETI110" s="883"/>
      <c r="ETJ110" s="883"/>
      <c r="ETK110" s="883"/>
      <c r="ETL110" s="883"/>
      <c r="ETM110" s="883"/>
      <c r="ETN110" s="863"/>
      <c r="ETO110" s="863"/>
      <c r="ETP110" s="863"/>
      <c r="ETQ110" s="863"/>
      <c r="ETR110" s="863"/>
      <c r="ETS110" s="863"/>
      <c r="ETT110" s="863"/>
      <c r="ETU110" s="863"/>
      <c r="ETV110" s="863"/>
      <c r="ETW110" s="863"/>
      <c r="ETX110" s="863"/>
      <c r="ETY110" s="863"/>
      <c r="ETZ110" s="863"/>
      <c r="EUA110" s="863"/>
      <c r="EUB110" s="863"/>
      <c r="EUC110" s="863"/>
      <c r="EUD110" s="863"/>
      <c r="EUE110" s="863"/>
      <c r="EUF110" s="863"/>
      <c r="EUG110" s="863"/>
      <c r="EUH110" s="863"/>
      <c r="EUI110" s="863"/>
      <c r="EUJ110" s="863"/>
      <c r="EUK110" s="883"/>
      <c r="EUL110" s="883"/>
      <c r="EUM110" s="883"/>
      <c r="EUN110" s="883"/>
      <c r="EUO110" s="883"/>
      <c r="EUP110" s="883"/>
      <c r="EUQ110" s="883"/>
      <c r="EUR110" s="883"/>
      <c r="EUS110" s="883"/>
      <c r="EUT110" s="863"/>
      <c r="EUU110" s="863"/>
      <c r="EUV110" s="863"/>
      <c r="EUW110" s="863"/>
      <c r="EUX110" s="863"/>
      <c r="EUY110" s="863"/>
      <c r="EUZ110" s="863"/>
      <c r="EVA110" s="863"/>
      <c r="EVB110" s="863"/>
      <c r="EVC110" s="863"/>
      <c r="EVD110" s="863"/>
      <c r="EVE110" s="863"/>
      <c r="EVF110" s="863"/>
      <c r="EVG110" s="863"/>
      <c r="EVH110" s="863"/>
      <c r="EVI110" s="863"/>
      <c r="EVJ110" s="863"/>
      <c r="EVK110" s="863"/>
      <c r="EVL110" s="863"/>
      <c r="EVM110" s="863"/>
      <c r="EVN110" s="863"/>
      <c r="EVO110" s="863"/>
      <c r="EVP110" s="863"/>
      <c r="EVQ110" s="883"/>
      <c r="EVR110" s="883"/>
      <c r="EVS110" s="883"/>
      <c r="EVT110" s="883"/>
      <c r="EVU110" s="883"/>
      <c r="EVV110" s="883"/>
      <c r="EVW110" s="883"/>
      <c r="EVX110" s="883"/>
      <c r="EVY110" s="883"/>
      <c r="EVZ110" s="863"/>
      <c r="EWA110" s="863"/>
      <c r="EWB110" s="863"/>
      <c r="EWC110" s="863"/>
      <c r="EWD110" s="863"/>
      <c r="EWE110" s="863"/>
      <c r="EWF110" s="863"/>
      <c r="EWG110" s="863"/>
      <c r="EWH110" s="863"/>
      <c r="EWI110" s="863"/>
      <c r="EWJ110" s="863"/>
      <c r="EWK110" s="863"/>
      <c r="EWL110" s="863"/>
      <c r="EWM110" s="863"/>
      <c r="EWN110" s="863"/>
      <c r="EWO110" s="863"/>
      <c r="EWP110" s="863"/>
      <c r="EWQ110" s="863"/>
      <c r="EWR110" s="863"/>
      <c r="EWS110" s="863"/>
      <c r="EWT110" s="863"/>
      <c r="EWU110" s="863"/>
      <c r="EWV110" s="863"/>
      <c r="EWW110" s="883"/>
      <c r="EWX110" s="883"/>
      <c r="EWY110" s="883"/>
      <c r="EWZ110" s="883"/>
      <c r="EXA110" s="883"/>
      <c r="EXB110" s="883"/>
      <c r="EXC110" s="883"/>
      <c r="EXD110" s="883"/>
      <c r="EXE110" s="883"/>
      <c r="EXF110" s="863"/>
      <c r="EXG110" s="863"/>
      <c r="EXH110" s="863"/>
      <c r="EXI110" s="863"/>
      <c r="EXJ110" s="863"/>
      <c r="EXK110" s="863"/>
      <c r="EXL110" s="863"/>
      <c r="EXM110" s="863"/>
      <c r="EXN110" s="863"/>
      <c r="EXO110" s="863"/>
      <c r="EXP110" s="863"/>
      <c r="EXQ110" s="863"/>
      <c r="EXR110" s="863"/>
      <c r="EXS110" s="863"/>
      <c r="EXT110" s="863"/>
      <c r="EXU110" s="863"/>
      <c r="EXV110" s="863"/>
      <c r="EXW110" s="863"/>
      <c r="EXX110" s="863"/>
      <c r="EXY110" s="863"/>
      <c r="EXZ110" s="863"/>
      <c r="EYA110" s="863"/>
      <c r="EYB110" s="863"/>
      <c r="EYC110" s="883"/>
      <c r="EYD110" s="883"/>
      <c r="EYE110" s="883"/>
      <c r="EYF110" s="883"/>
      <c r="EYG110" s="883"/>
      <c r="EYH110" s="883"/>
      <c r="EYI110" s="883"/>
      <c r="EYJ110" s="883"/>
      <c r="EYK110" s="883"/>
      <c r="EYL110" s="863"/>
      <c r="EYM110" s="863"/>
      <c r="EYN110" s="863"/>
      <c r="EYO110" s="863"/>
      <c r="EYP110" s="863"/>
      <c r="EYQ110" s="863"/>
      <c r="EYR110" s="863"/>
      <c r="EYS110" s="863"/>
      <c r="EYT110" s="863"/>
      <c r="EYU110" s="863"/>
      <c r="EYV110" s="863"/>
      <c r="EYW110" s="863"/>
      <c r="EYX110" s="863"/>
      <c r="EYY110" s="863"/>
      <c r="EYZ110" s="863"/>
      <c r="EZA110" s="863"/>
      <c r="EZB110" s="863"/>
      <c r="EZC110" s="863"/>
      <c r="EZD110" s="863"/>
      <c r="EZE110" s="863"/>
      <c r="EZF110" s="863"/>
      <c r="EZG110" s="863"/>
      <c r="EZH110" s="863"/>
      <c r="EZI110" s="883"/>
      <c r="EZJ110" s="883"/>
      <c r="EZK110" s="883"/>
      <c r="EZL110" s="883"/>
      <c r="EZM110" s="883"/>
      <c r="EZN110" s="883"/>
      <c r="EZO110" s="883"/>
      <c r="EZP110" s="883"/>
      <c r="EZQ110" s="883"/>
      <c r="EZR110" s="863"/>
      <c r="EZS110" s="863"/>
      <c r="EZT110" s="863"/>
      <c r="EZU110" s="863"/>
      <c r="EZV110" s="863"/>
      <c r="EZW110" s="863"/>
      <c r="EZX110" s="863"/>
      <c r="EZY110" s="863"/>
      <c r="EZZ110" s="863"/>
      <c r="FAA110" s="863"/>
      <c r="FAB110" s="863"/>
      <c r="FAC110" s="863"/>
      <c r="FAD110" s="863"/>
      <c r="FAE110" s="863"/>
      <c r="FAF110" s="863"/>
      <c r="FAG110" s="863"/>
      <c r="FAH110" s="863"/>
      <c r="FAI110" s="863"/>
      <c r="FAJ110" s="863"/>
      <c r="FAK110" s="863"/>
      <c r="FAL110" s="863"/>
      <c r="FAM110" s="863"/>
      <c r="FAN110" s="863"/>
      <c r="FAO110" s="883"/>
      <c r="FAP110" s="883"/>
      <c r="FAQ110" s="883"/>
      <c r="FAR110" s="883"/>
      <c r="FAS110" s="883"/>
      <c r="FAT110" s="883"/>
      <c r="FAU110" s="883"/>
      <c r="FAV110" s="883"/>
      <c r="FAW110" s="883"/>
      <c r="FAX110" s="863"/>
      <c r="FAY110" s="863"/>
      <c r="FAZ110" s="863"/>
      <c r="FBA110" s="863"/>
      <c r="FBB110" s="863"/>
      <c r="FBC110" s="863"/>
      <c r="FBD110" s="863"/>
      <c r="FBE110" s="863"/>
      <c r="FBF110" s="863"/>
      <c r="FBG110" s="863"/>
      <c r="FBH110" s="863"/>
      <c r="FBI110" s="863"/>
      <c r="FBJ110" s="863"/>
      <c r="FBK110" s="863"/>
      <c r="FBL110" s="863"/>
      <c r="FBM110" s="863"/>
      <c r="FBN110" s="863"/>
      <c r="FBO110" s="863"/>
      <c r="FBP110" s="863"/>
      <c r="FBQ110" s="863"/>
      <c r="FBR110" s="863"/>
      <c r="FBS110" s="863"/>
      <c r="FBT110" s="863"/>
      <c r="FBU110" s="883"/>
      <c r="FBV110" s="883"/>
      <c r="FBW110" s="883"/>
      <c r="FBX110" s="883"/>
      <c r="FBY110" s="883"/>
      <c r="FBZ110" s="883"/>
      <c r="FCA110" s="883"/>
      <c r="FCB110" s="883"/>
      <c r="FCC110" s="883"/>
      <c r="FCD110" s="863"/>
      <c r="FCE110" s="863"/>
      <c r="FCF110" s="863"/>
      <c r="FCG110" s="863"/>
      <c r="FCH110" s="863"/>
      <c r="FCI110" s="863"/>
      <c r="FCJ110" s="863"/>
      <c r="FCK110" s="863"/>
      <c r="FCL110" s="863"/>
      <c r="FCM110" s="863"/>
      <c r="FCN110" s="863"/>
      <c r="FCO110" s="863"/>
      <c r="FCP110" s="863"/>
      <c r="FCQ110" s="863"/>
      <c r="FCR110" s="863"/>
      <c r="FCS110" s="863"/>
      <c r="FCT110" s="863"/>
      <c r="FCU110" s="863"/>
      <c r="FCV110" s="863"/>
      <c r="FCW110" s="863"/>
      <c r="FCX110" s="863"/>
      <c r="FCY110" s="863"/>
      <c r="FCZ110" s="863"/>
      <c r="FDA110" s="883"/>
      <c r="FDB110" s="883"/>
      <c r="FDC110" s="883"/>
      <c r="FDD110" s="883"/>
      <c r="FDE110" s="883"/>
      <c r="FDF110" s="883"/>
      <c r="FDG110" s="883"/>
      <c r="FDH110" s="883"/>
      <c r="FDI110" s="883"/>
      <c r="FDJ110" s="863"/>
      <c r="FDK110" s="863"/>
      <c r="FDL110" s="863"/>
      <c r="FDM110" s="863"/>
      <c r="FDN110" s="863"/>
      <c r="FDO110" s="863"/>
      <c r="FDP110" s="863"/>
      <c r="FDQ110" s="863"/>
      <c r="FDR110" s="863"/>
      <c r="FDS110" s="863"/>
      <c r="FDT110" s="863"/>
      <c r="FDU110" s="863"/>
      <c r="FDV110" s="863"/>
      <c r="FDW110" s="863"/>
      <c r="FDX110" s="863"/>
      <c r="FDY110" s="863"/>
      <c r="FDZ110" s="863"/>
      <c r="FEA110" s="863"/>
      <c r="FEB110" s="863"/>
      <c r="FEC110" s="863"/>
      <c r="FED110" s="863"/>
      <c r="FEE110" s="863"/>
      <c r="FEF110" s="863"/>
      <c r="FEG110" s="883"/>
      <c r="FEH110" s="883"/>
      <c r="FEI110" s="883"/>
      <c r="FEJ110" s="883"/>
      <c r="FEK110" s="883"/>
      <c r="FEL110" s="883"/>
      <c r="FEM110" s="883"/>
      <c r="FEN110" s="883"/>
      <c r="FEO110" s="883"/>
      <c r="FEP110" s="863"/>
      <c r="FEQ110" s="863"/>
      <c r="FER110" s="863"/>
      <c r="FES110" s="863"/>
      <c r="FET110" s="863"/>
      <c r="FEU110" s="863"/>
      <c r="FEV110" s="863"/>
      <c r="FEW110" s="863"/>
      <c r="FEX110" s="863"/>
      <c r="FEY110" s="863"/>
      <c r="FEZ110" s="863"/>
      <c r="FFA110" s="863"/>
      <c r="FFB110" s="863"/>
      <c r="FFC110" s="863"/>
      <c r="FFD110" s="863"/>
      <c r="FFE110" s="863"/>
      <c r="FFF110" s="863"/>
      <c r="FFG110" s="863"/>
      <c r="FFH110" s="863"/>
      <c r="FFI110" s="863"/>
      <c r="FFJ110" s="863"/>
      <c r="FFK110" s="863"/>
      <c r="FFL110" s="863"/>
      <c r="FFM110" s="883"/>
      <c r="FFN110" s="883"/>
      <c r="FFO110" s="883"/>
      <c r="FFP110" s="883"/>
      <c r="FFQ110" s="883"/>
      <c r="FFR110" s="883"/>
      <c r="FFS110" s="883"/>
      <c r="FFT110" s="883"/>
      <c r="FFU110" s="883"/>
      <c r="FFV110" s="863"/>
      <c r="FFW110" s="863"/>
      <c r="FFX110" s="863"/>
      <c r="FFY110" s="863"/>
      <c r="FFZ110" s="863"/>
      <c r="FGA110" s="863"/>
      <c r="FGB110" s="863"/>
      <c r="FGC110" s="863"/>
      <c r="FGD110" s="863"/>
      <c r="FGE110" s="863"/>
      <c r="FGF110" s="863"/>
      <c r="FGG110" s="863"/>
      <c r="FGH110" s="863"/>
      <c r="FGI110" s="863"/>
      <c r="FGJ110" s="863"/>
      <c r="FGK110" s="863"/>
      <c r="FGL110" s="863"/>
      <c r="FGM110" s="863"/>
      <c r="FGN110" s="863"/>
      <c r="FGO110" s="863"/>
      <c r="FGP110" s="863"/>
      <c r="FGQ110" s="863"/>
      <c r="FGR110" s="863"/>
      <c r="FGS110" s="883"/>
      <c r="FGT110" s="883"/>
      <c r="FGU110" s="883"/>
      <c r="FGV110" s="883"/>
      <c r="FGW110" s="883"/>
      <c r="FGX110" s="883"/>
      <c r="FGY110" s="883"/>
      <c r="FGZ110" s="883"/>
      <c r="FHA110" s="883"/>
      <c r="FHB110" s="863"/>
      <c r="FHC110" s="863"/>
      <c r="FHD110" s="863"/>
      <c r="FHE110" s="863"/>
      <c r="FHF110" s="863"/>
      <c r="FHG110" s="863"/>
      <c r="FHH110" s="863"/>
      <c r="FHI110" s="863"/>
      <c r="FHJ110" s="863"/>
      <c r="FHK110" s="863"/>
      <c r="FHL110" s="863"/>
      <c r="FHM110" s="863"/>
      <c r="FHN110" s="863"/>
      <c r="FHO110" s="863"/>
      <c r="FHP110" s="863"/>
      <c r="FHQ110" s="863"/>
      <c r="FHR110" s="863"/>
      <c r="FHS110" s="863"/>
      <c r="FHT110" s="863"/>
      <c r="FHU110" s="863"/>
      <c r="FHV110" s="863"/>
      <c r="FHW110" s="863"/>
      <c r="FHX110" s="863"/>
      <c r="FHY110" s="883"/>
      <c r="FHZ110" s="883"/>
      <c r="FIA110" s="883"/>
      <c r="FIB110" s="883"/>
      <c r="FIC110" s="883"/>
      <c r="FID110" s="883"/>
      <c r="FIE110" s="883"/>
      <c r="FIF110" s="883"/>
      <c r="FIG110" s="883"/>
      <c r="FIH110" s="863"/>
      <c r="FII110" s="863"/>
      <c r="FIJ110" s="863"/>
      <c r="FIK110" s="863"/>
      <c r="FIL110" s="863"/>
      <c r="FIM110" s="863"/>
      <c r="FIN110" s="863"/>
      <c r="FIO110" s="863"/>
      <c r="FIP110" s="863"/>
      <c r="FIQ110" s="863"/>
      <c r="FIR110" s="863"/>
      <c r="FIS110" s="863"/>
      <c r="FIT110" s="863"/>
      <c r="FIU110" s="863"/>
      <c r="FIV110" s="863"/>
      <c r="FIW110" s="863"/>
      <c r="FIX110" s="863"/>
      <c r="FIY110" s="863"/>
      <c r="FIZ110" s="863"/>
      <c r="FJA110" s="863"/>
      <c r="FJB110" s="863"/>
      <c r="FJC110" s="863"/>
      <c r="FJD110" s="863"/>
      <c r="FJE110" s="883"/>
      <c r="FJF110" s="883"/>
      <c r="FJG110" s="883"/>
      <c r="FJH110" s="883"/>
      <c r="FJI110" s="883"/>
      <c r="FJJ110" s="883"/>
      <c r="FJK110" s="883"/>
      <c r="FJL110" s="883"/>
      <c r="FJM110" s="883"/>
      <c r="FJN110" s="863"/>
      <c r="FJO110" s="863"/>
      <c r="FJP110" s="863"/>
      <c r="FJQ110" s="863"/>
      <c r="FJR110" s="863"/>
      <c r="FJS110" s="863"/>
      <c r="FJT110" s="863"/>
      <c r="FJU110" s="863"/>
      <c r="FJV110" s="863"/>
      <c r="FJW110" s="863"/>
      <c r="FJX110" s="863"/>
      <c r="FJY110" s="863"/>
      <c r="FJZ110" s="863"/>
      <c r="FKA110" s="863"/>
      <c r="FKB110" s="863"/>
      <c r="FKC110" s="863"/>
      <c r="FKD110" s="863"/>
      <c r="FKE110" s="863"/>
      <c r="FKF110" s="863"/>
      <c r="FKG110" s="863"/>
      <c r="FKH110" s="863"/>
      <c r="FKI110" s="863"/>
      <c r="FKJ110" s="863"/>
      <c r="FKK110" s="883"/>
      <c r="FKL110" s="883"/>
      <c r="FKM110" s="883"/>
      <c r="FKN110" s="883"/>
      <c r="FKO110" s="883"/>
      <c r="FKP110" s="883"/>
      <c r="FKQ110" s="883"/>
      <c r="FKR110" s="883"/>
      <c r="FKS110" s="883"/>
      <c r="FKT110" s="863"/>
      <c r="FKU110" s="863"/>
      <c r="FKV110" s="863"/>
      <c r="FKW110" s="863"/>
      <c r="FKX110" s="863"/>
      <c r="FKY110" s="863"/>
      <c r="FKZ110" s="863"/>
      <c r="FLA110" s="863"/>
      <c r="FLB110" s="863"/>
      <c r="FLC110" s="863"/>
      <c r="FLD110" s="863"/>
      <c r="FLE110" s="863"/>
      <c r="FLF110" s="863"/>
      <c r="FLG110" s="863"/>
      <c r="FLH110" s="863"/>
      <c r="FLI110" s="863"/>
      <c r="FLJ110" s="863"/>
      <c r="FLK110" s="863"/>
      <c r="FLL110" s="863"/>
      <c r="FLM110" s="863"/>
      <c r="FLN110" s="863"/>
      <c r="FLO110" s="863"/>
      <c r="FLP110" s="863"/>
      <c r="FLQ110" s="883"/>
      <c r="FLR110" s="883"/>
      <c r="FLS110" s="883"/>
      <c r="FLT110" s="883"/>
      <c r="FLU110" s="883"/>
      <c r="FLV110" s="883"/>
      <c r="FLW110" s="883"/>
      <c r="FLX110" s="883"/>
      <c r="FLY110" s="883"/>
      <c r="FLZ110" s="863"/>
      <c r="FMA110" s="863"/>
      <c r="FMB110" s="863"/>
      <c r="FMC110" s="863"/>
      <c r="FMD110" s="863"/>
      <c r="FME110" s="863"/>
      <c r="FMF110" s="863"/>
      <c r="FMG110" s="863"/>
      <c r="FMH110" s="863"/>
      <c r="FMI110" s="863"/>
      <c r="FMJ110" s="863"/>
      <c r="FMK110" s="863"/>
      <c r="FML110" s="863"/>
      <c r="FMM110" s="863"/>
      <c r="FMN110" s="863"/>
      <c r="FMO110" s="863"/>
      <c r="FMP110" s="863"/>
      <c r="FMQ110" s="863"/>
      <c r="FMR110" s="863"/>
      <c r="FMS110" s="863"/>
      <c r="FMT110" s="863"/>
      <c r="FMU110" s="863"/>
      <c r="FMV110" s="863"/>
      <c r="FMW110" s="883"/>
      <c r="FMX110" s="883"/>
      <c r="FMY110" s="883"/>
      <c r="FMZ110" s="883"/>
      <c r="FNA110" s="883"/>
      <c r="FNB110" s="883"/>
      <c r="FNC110" s="883"/>
      <c r="FND110" s="883"/>
      <c r="FNE110" s="883"/>
      <c r="FNF110" s="863"/>
      <c r="FNG110" s="863"/>
      <c r="FNH110" s="863"/>
      <c r="FNI110" s="863"/>
      <c r="FNJ110" s="863"/>
      <c r="FNK110" s="863"/>
      <c r="FNL110" s="863"/>
      <c r="FNM110" s="863"/>
      <c r="FNN110" s="863"/>
      <c r="FNO110" s="863"/>
      <c r="FNP110" s="863"/>
      <c r="FNQ110" s="863"/>
      <c r="FNR110" s="863"/>
      <c r="FNS110" s="863"/>
      <c r="FNT110" s="863"/>
      <c r="FNU110" s="863"/>
      <c r="FNV110" s="863"/>
      <c r="FNW110" s="863"/>
      <c r="FNX110" s="863"/>
      <c r="FNY110" s="863"/>
      <c r="FNZ110" s="863"/>
      <c r="FOA110" s="863"/>
      <c r="FOB110" s="863"/>
      <c r="FOC110" s="883"/>
      <c r="FOD110" s="883"/>
      <c r="FOE110" s="883"/>
      <c r="FOF110" s="883"/>
      <c r="FOG110" s="883"/>
      <c r="FOH110" s="883"/>
      <c r="FOI110" s="883"/>
      <c r="FOJ110" s="883"/>
      <c r="FOK110" s="883"/>
      <c r="FOL110" s="863"/>
      <c r="FOM110" s="863"/>
      <c r="FON110" s="863"/>
      <c r="FOO110" s="863"/>
      <c r="FOP110" s="863"/>
      <c r="FOQ110" s="863"/>
      <c r="FOR110" s="863"/>
      <c r="FOS110" s="863"/>
      <c r="FOT110" s="863"/>
      <c r="FOU110" s="863"/>
      <c r="FOV110" s="863"/>
      <c r="FOW110" s="863"/>
      <c r="FOX110" s="863"/>
      <c r="FOY110" s="863"/>
      <c r="FOZ110" s="863"/>
      <c r="FPA110" s="863"/>
      <c r="FPB110" s="863"/>
      <c r="FPC110" s="863"/>
      <c r="FPD110" s="863"/>
      <c r="FPE110" s="863"/>
      <c r="FPF110" s="863"/>
      <c r="FPG110" s="863"/>
      <c r="FPH110" s="863"/>
      <c r="FPI110" s="883"/>
      <c r="FPJ110" s="883"/>
      <c r="FPK110" s="883"/>
      <c r="FPL110" s="883"/>
      <c r="FPM110" s="883"/>
      <c r="FPN110" s="883"/>
      <c r="FPO110" s="883"/>
      <c r="FPP110" s="883"/>
      <c r="FPQ110" s="883"/>
      <c r="FPR110" s="863"/>
      <c r="FPS110" s="863"/>
      <c r="FPT110" s="863"/>
      <c r="FPU110" s="863"/>
      <c r="FPV110" s="863"/>
      <c r="FPW110" s="863"/>
      <c r="FPX110" s="863"/>
      <c r="FPY110" s="863"/>
      <c r="FPZ110" s="863"/>
      <c r="FQA110" s="863"/>
      <c r="FQB110" s="863"/>
      <c r="FQC110" s="863"/>
      <c r="FQD110" s="863"/>
      <c r="FQE110" s="863"/>
      <c r="FQF110" s="863"/>
      <c r="FQG110" s="863"/>
      <c r="FQH110" s="863"/>
      <c r="FQI110" s="863"/>
      <c r="FQJ110" s="863"/>
      <c r="FQK110" s="863"/>
      <c r="FQL110" s="863"/>
      <c r="FQM110" s="863"/>
      <c r="FQN110" s="863"/>
      <c r="FQO110" s="883"/>
      <c r="FQP110" s="883"/>
      <c r="FQQ110" s="883"/>
      <c r="FQR110" s="883"/>
      <c r="FQS110" s="883"/>
      <c r="FQT110" s="883"/>
      <c r="FQU110" s="883"/>
      <c r="FQV110" s="883"/>
      <c r="FQW110" s="883"/>
      <c r="FQX110" s="863"/>
      <c r="FQY110" s="863"/>
      <c r="FQZ110" s="863"/>
      <c r="FRA110" s="863"/>
      <c r="FRB110" s="863"/>
      <c r="FRC110" s="863"/>
      <c r="FRD110" s="863"/>
      <c r="FRE110" s="863"/>
      <c r="FRF110" s="863"/>
      <c r="FRG110" s="863"/>
      <c r="FRH110" s="863"/>
      <c r="FRI110" s="863"/>
      <c r="FRJ110" s="863"/>
      <c r="FRK110" s="863"/>
      <c r="FRL110" s="863"/>
      <c r="FRM110" s="863"/>
      <c r="FRN110" s="863"/>
      <c r="FRO110" s="863"/>
      <c r="FRP110" s="863"/>
      <c r="FRQ110" s="863"/>
      <c r="FRR110" s="863"/>
      <c r="FRS110" s="863"/>
      <c r="FRT110" s="863"/>
      <c r="FRU110" s="883"/>
      <c r="FRV110" s="883"/>
      <c r="FRW110" s="883"/>
      <c r="FRX110" s="883"/>
      <c r="FRY110" s="883"/>
      <c r="FRZ110" s="883"/>
      <c r="FSA110" s="883"/>
      <c r="FSB110" s="883"/>
      <c r="FSC110" s="883"/>
      <c r="FSD110" s="863"/>
      <c r="FSE110" s="863"/>
      <c r="FSF110" s="863"/>
      <c r="FSG110" s="863"/>
      <c r="FSH110" s="863"/>
      <c r="FSI110" s="863"/>
      <c r="FSJ110" s="863"/>
      <c r="FSK110" s="863"/>
      <c r="FSL110" s="863"/>
      <c r="FSM110" s="863"/>
      <c r="FSN110" s="863"/>
      <c r="FSO110" s="863"/>
      <c r="FSP110" s="863"/>
      <c r="FSQ110" s="863"/>
      <c r="FSR110" s="863"/>
      <c r="FSS110" s="863"/>
      <c r="FST110" s="863"/>
      <c r="FSU110" s="863"/>
      <c r="FSV110" s="863"/>
      <c r="FSW110" s="863"/>
      <c r="FSX110" s="863"/>
      <c r="FSY110" s="863"/>
      <c r="FSZ110" s="863"/>
      <c r="FTA110" s="883"/>
      <c r="FTB110" s="883"/>
      <c r="FTC110" s="883"/>
      <c r="FTD110" s="883"/>
      <c r="FTE110" s="883"/>
      <c r="FTF110" s="883"/>
      <c r="FTG110" s="883"/>
      <c r="FTH110" s="883"/>
      <c r="FTI110" s="883"/>
      <c r="FTJ110" s="863"/>
      <c r="FTK110" s="863"/>
      <c r="FTL110" s="863"/>
      <c r="FTM110" s="863"/>
      <c r="FTN110" s="863"/>
      <c r="FTO110" s="863"/>
      <c r="FTP110" s="863"/>
      <c r="FTQ110" s="863"/>
      <c r="FTR110" s="863"/>
      <c r="FTS110" s="863"/>
      <c r="FTT110" s="863"/>
      <c r="FTU110" s="863"/>
      <c r="FTV110" s="863"/>
      <c r="FTW110" s="863"/>
      <c r="FTX110" s="863"/>
      <c r="FTY110" s="863"/>
      <c r="FTZ110" s="863"/>
      <c r="FUA110" s="863"/>
      <c r="FUB110" s="863"/>
      <c r="FUC110" s="863"/>
      <c r="FUD110" s="863"/>
      <c r="FUE110" s="863"/>
      <c r="FUF110" s="863"/>
      <c r="FUG110" s="883"/>
      <c r="FUH110" s="883"/>
      <c r="FUI110" s="883"/>
      <c r="FUJ110" s="883"/>
      <c r="FUK110" s="883"/>
      <c r="FUL110" s="883"/>
      <c r="FUM110" s="883"/>
      <c r="FUN110" s="883"/>
      <c r="FUO110" s="883"/>
      <c r="FUP110" s="863"/>
      <c r="FUQ110" s="863"/>
      <c r="FUR110" s="863"/>
      <c r="FUS110" s="863"/>
      <c r="FUT110" s="863"/>
      <c r="FUU110" s="863"/>
      <c r="FUV110" s="863"/>
      <c r="FUW110" s="863"/>
      <c r="FUX110" s="863"/>
      <c r="FUY110" s="863"/>
      <c r="FUZ110" s="863"/>
      <c r="FVA110" s="863"/>
      <c r="FVB110" s="863"/>
      <c r="FVC110" s="863"/>
      <c r="FVD110" s="863"/>
      <c r="FVE110" s="863"/>
      <c r="FVF110" s="863"/>
      <c r="FVG110" s="863"/>
      <c r="FVH110" s="863"/>
      <c r="FVI110" s="863"/>
      <c r="FVJ110" s="863"/>
      <c r="FVK110" s="863"/>
      <c r="FVL110" s="863"/>
      <c r="FVM110" s="883"/>
      <c r="FVN110" s="883"/>
      <c r="FVO110" s="883"/>
      <c r="FVP110" s="883"/>
      <c r="FVQ110" s="883"/>
      <c r="FVR110" s="883"/>
      <c r="FVS110" s="883"/>
      <c r="FVT110" s="883"/>
      <c r="FVU110" s="883"/>
      <c r="FVV110" s="863"/>
      <c r="FVW110" s="863"/>
      <c r="FVX110" s="863"/>
      <c r="FVY110" s="863"/>
      <c r="FVZ110" s="863"/>
      <c r="FWA110" s="863"/>
      <c r="FWB110" s="863"/>
      <c r="FWC110" s="863"/>
      <c r="FWD110" s="863"/>
      <c r="FWE110" s="863"/>
      <c r="FWF110" s="863"/>
      <c r="FWG110" s="863"/>
      <c r="FWH110" s="863"/>
      <c r="FWI110" s="863"/>
      <c r="FWJ110" s="863"/>
      <c r="FWK110" s="863"/>
      <c r="FWL110" s="863"/>
      <c r="FWM110" s="863"/>
      <c r="FWN110" s="863"/>
      <c r="FWO110" s="863"/>
      <c r="FWP110" s="863"/>
      <c r="FWQ110" s="863"/>
      <c r="FWR110" s="863"/>
      <c r="FWS110" s="883"/>
      <c r="FWT110" s="883"/>
      <c r="FWU110" s="883"/>
      <c r="FWV110" s="883"/>
      <c r="FWW110" s="883"/>
      <c r="FWX110" s="883"/>
      <c r="FWY110" s="883"/>
      <c r="FWZ110" s="883"/>
      <c r="FXA110" s="883"/>
      <c r="FXB110" s="863"/>
      <c r="FXC110" s="863"/>
      <c r="FXD110" s="863"/>
      <c r="FXE110" s="863"/>
      <c r="FXF110" s="863"/>
      <c r="FXG110" s="863"/>
      <c r="FXH110" s="863"/>
      <c r="FXI110" s="863"/>
      <c r="FXJ110" s="863"/>
      <c r="FXK110" s="863"/>
      <c r="FXL110" s="863"/>
      <c r="FXM110" s="863"/>
      <c r="FXN110" s="863"/>
      <c r="FXO110" s="863"/>
      <c r="FXP110" s="863"/>
      <c r="FXQ110" s="863"/>
      <c r="FXR110" s="863"/>
      <c r="FXS110" s="863"/>
      <c r="FXT110" s="863"/>
      <c r="FXU110" s="863"/>
      <c r="FXV110" s="863"/>
      <c r="FXW110" s="863"/>
      <c r="FXX110" s="863"/>
      <c r="FXY110" s="883"/>
      <c r="FXZ110" s="883"/>
      <c r="FYA110" s="883"/>
      <c r="FYB110" s="883"/>
      <c r="FYC110" s="883"/>
      <c r="FYD110" s="883"/>
      <c r="FYE110" s="883"/>
      <c r="FYF110" s="883"/>
      <c r="FYG110" s="883"/>
      <c r="FYH110" s="863"/>
      <c r="FYI110" s="863"/>
      <c r="FYJ110" s="863"/>
      <c r="FYK110" s="863"/>
      <c r="FYL110" s="863"/>
      <c r="FYM110" s="863"/>
      <c r="FYN110" s="863"/>
      <c r="FYO110" s="863"/>
      <c r="FYP110" s="863"/>
      <c r="FYQ110" s="863"/>
      <c r="FYR110" s="863"/>
      <c r="FYS110" s="863"/>
      <c r="FYT110" s="863"/>
      <c r="FYU110" s="863"/>
      <c r="FYV110" s="863"/>
      <c r="FYW110" s="863"/>
      <c r="FYX110" s="863"/>
      <c r="FYY110" s="863"/>
      <c r="FYZ110" s="863"/>
      <c r="FZA110" s="863"/>
      <c r="FZB110" s="863"/>
      <c r="FZC110" s="863"/>
      <c r="FZD110" s="863"/>
      <c r="FZE110" s="883"/>
      <c r="FZF110" s="883"/>
      <c r="FZG110" s="883"/>
      <c r="FZH110" s="883"/>
      <c r="FZI110" s="883"/>
      <c r="FZJ110" s="883"/>
      <c r="FZK110" s="883"/>
      <c r="FZL110" s="883"/>
      <c r="FZM110" s="883"/>
      <c r="FZN110" s="863"/>
      <c r="FZO110" s="863"/>
      <c r="FZP110" s="863"/>
      <c r="FZQ110" s="863"/>
      <c r="FZR110" s="863"/>
      <c r="FZS110" s="863"/>
      <c r="FZT110" s="863"/>
      <c r="FZU110" s="863"/>
      <c r="FZV110" s="863"/>
      <c r="FZW110" s="863"/>
      <c r="FZX110" s="863"/>
      <c r="FZY110" s="863"/>
      <c r="FZZ110" s="863"/>
      <c r="GAA110" s="863"/>
      <c r="GAB110" s="863"/>
      <c r="GAC110" s="863"/>
      <c r="GAD110" s="863"/>
      <c r="GAE110" s="863"/>
      <c r="GAF110" s="863"/>
      <c r="GAG110" s="863"/>
      <c r="GAH110" s="863"/>
      <c r="GAI110" s="863"/>
      <c r="GAJ110" s="863"/>
      <c r="GAK110" s="883"/>
      <c r="GAL110" s="883"/>
      <c r="GAM110" s="883"/>
      <c r="GAN110" s="883"/>
      <c r="GAO110" s="883"/>
      <c r="GAP110" s="883"/>
      <c r="GAQ110" s="883"/>
      <c r="GAR110" s="883"/>
      <c r="GAS110" s="883"/>
      <c r="GAT110" s="863"/>
      <c r="GAU110" s="863"/>
      <c r="GAV110" s="863"/>
      <c r="GAW110" s="863"/>
      <c r="GAX110" s="863"/>
      <c r="GAY110" s="863"/>
      <c r="GAZ110" s="863"/>
      <c r="GBA110" s="863"/>
      <c r="GBB110" s="863"/>
      <c r="GBC110" s="863"/>
      <c r="GBD110" s="863"/>
      <c r="GBE110" s="863"/>
      <c r="GBF110" s="863"/>
      <c r="GBG110" s="863"/>
      <c r="GBH110" s="863"/>
      <c r="GBI110" s="863"/>
      <c r="GBJ110" s="863"/>
      <c r="GBK110" s="863"/>
      <c r="GBL110" s="863"/>
      <c r="GBM110" s="863"/>
      <c r="GBN110" s="863"/>
      <c r="GBO110" s="863"/>
      <c r="GBP110" s="863"/>
      <c r="GBQ110" s="883"/>
      <c r="GBR110" s="883"/>
      <c r="GBS110" s="883"/>
      <c r="GBT110" s="883"/>
      <c r="GBU110" s="883"/>
      <c r="GBV110" s="883"/>
      <c r="GBW110" s="883"/>
      <c r="GBX110" s="883"/>
      <c r="GBY110" s="883"/>
      <c r="GBZ110" s="863"/>
      <c r="GCA110" s="863"/>
      <c r="GCB110" s="863"/>
      <c r="GCC110" s="863"/>
      <c r="GCD110" s="863"/>
      <c r="GCE110" s="863"/>
      <c r="GCF110" s="863"/>
      <c r="GCG110" s="863"/>
      <c r="GCH110" s="863"/>
      <c r="GCI110" s="863"/>
      <c r="GCJ110" s="863"/>
      <c r="GCK110" s="863"/>
      <c r="GCL110" s="863"/>
      <c r="GCM110" s="863"/>
      <c r="GCN110" s="863"/>
      <c r="GCO110" s="863"/>
      <c r="GCP110" s="863"/>
      <c r="GCQ110" s="863"/>
      <c r="GCR110" s="863"/>
      <c r="GCS110" s="863"/>
      <c r="GCT110" s="863"/>
      <c r="GCU110" s="863"/>
      <c r="GCV110" s="863"/>
      <c r="GCW110" s="883"/>
      <c r="GCX110" s="883"/>
      <c r="GCY110" s="883"/>
      <c r="GCZ110" s="883"/>
      <c r="GDA110" s="883"/>
      <c r="GDB110" s="883"/>
      <c r="GDC110" s="883"/>
      <c r="GDD110" s="883"/>
      <c r="GDE110" s="883"/>
      <c r="GDF110" s="863"/>
      <c r="GDG110" s="863"/>
      <c r="GDH110" s="863"/>
      <c r="GDI110" s="863"/>
      <c r="GDJ110" s="863"/>
      <c r="GDK110" s="863"/>
      <c r="GDL110" s="863"/>
      <c r="GDM110" s="863"/>
      <c r="GDN110" s="863"/>
      <c r="GDO110" s="863"/>
      <c r="GDP110" s="863"/>
      <c r="GDQ110" s="863"/>
      <c r="GDR110" s="863"/>
      <c r="GDS110" s="863"/>
      <c r="GDT110" s="863"/>
      <c r="GDU110" s="863"/>
      <c r="GDV110" s="863"/>
      <c r="GDW110" s="863"/>
      <c r="GDX110" s="863"/>
      <c r="GDY110" s="863"/>
      <c r="GDZ110" s="863"/>
      <c r="GEA110" s="863"/>
      <c r="GEB110" s="863"/>
      <c r="GEC110" s="883"/>
      <c r="GED110" s="883"/>
      <c r="GEE110" s="883"/>
      <c r="GEF110" s="883"/>
      <c r="GEG110" s="883"/>
      <c r="GEH110" s="883"/>
      <c r="GEI110" s="883"/>
      <c r="GEJ110" s="883"/>
      <c r="GEK110" s="883"/>
      <c r="GEL110" s="863"/>
      <c r="GEM110" s="863"/>
      <c r="GEN110" s="863"/>
      <c r="GEO110" s="863"/>
      <c r="GEP110" s="863"/>
      <c r="GEQ110" s="863"/>
      <c r="GER110" s="863"/>
      <c r="GES110" s="863"/>
      <c r="GET110" s="863"/>
      <c r="GEU110" s="863"/>
      <c r="GEV110" s="863"/>
      <c r="GEW110" s="863"/>
      <c r="GEX110" s="863"/>
      <c r="GEY110" s="863"/>
      <c r="GEZ110" s="863"/>
      <c r="GFA110" s="863"/>
      <c r="GFB110" s="863"/>
      <c r="GFC110" s="863"/>
      <c r="GFD110" s="863"/>
      <c r="GFE110" s="863"/>
      <c r="GFF110" s="863"/>
      <c r="GFG110" s="863"/>
      <c r="GFH110" s="863"/>
      <c r="GFI110" s="883"/>
      <c r="GFJ110" s="883"/>
      <c r="GFK110" s="883"/>
      <c r="GFL110" s="883"/>
      <c r="GFM110" s="883"/>
      <c r="GFN110" s="883"/>
      <c r="GFO110" s="883"/>
      <c r="GFP110" s="883"/>
      <c r="GFQ110" s="883"/>
      <c r="GFR110" s="863"/>
      <c r="GFS110" s="863"/>
      <c r="GFT110" s="863"/>
      <c r="GFU110" s="863"/>
      <c r="GFV110" s="863"/>
      <c r="GFW110" s="863"/>
      <c r="GFX110" s="863"/>
      <c r="GFY110" s="863"/>
      <c r="GFZ110" s="863"/>
      <c r="GGA110" s="863"/>
      <c r="GGB110" s="863"/>
      <c r="GGC110" s="863"/>
      <c r="GGD110" s="863"/>
      <c r="GGE110" s="863"/>
      <c r="GGF110" s="863"/>
      <c r="GGG110" s="863"/>
      <c r="GGH110" s="863"/>
      <c r="GGI110" s="863"/>
      <c r="GGJ110" s="863"/>
      <c r="GGK110" s="863"/>
      <c r="GGL110" s="863"/>
      <c r="GGM110" s="863"/>
      <c r="GGN110" s="863"/>
      <c r="GGO110" s="883"/>
      <c r="GGP110" s="883"/>
      <c r="GGQ110" s="883"/>
      <c r="GGR110" s="883"/>
      <c r="GGS110" s="883"/>
      <c r="GGT110" s="883"/>
      <c r="GGU110" s="883"/>
      <c r="GGV110" s="883"/>
      <c r="GGW110" s="883"/>
      <c r="GGX110" s="863"/>
      <c r="GGY110" s="863"/>
      <c r="GGZ110" s="863"/>
      <c r="GHA110" s="863"/>
      <c r="GHB110" s="863"/>
      <c r="GHC110" s="863"/>
      <c r="GHD110" s="863"/>
      <c r="GHE110" s="863"/>
      <c r="GHF110" s="863"/>
      <c r="GHG110" s="863"/>
      <c r="GHH110" s="863"/>
      <c r="GHI110" s="863"/>
      <c r="GHJ110" s="863"/>
      <c r="GHK110" s="863"/>
      <c r="GHL110" s="863"/>
      <c r="GHM110" s="863"/>
      <c r="GHN110" s="863"/>
      <c r="GHO110" s="863"/>
      <c r="GHP110" s="863"/>
      <c r="GHQ110" s="863"/>
      <c r="GHR110" s="863"/>
      <c r="GHS110" s="863"/>
      <c r="GHT110" s="863"/>
      <c r="GHU110" s="883"/>
      <c r="GHV110" s="883"/>
      <c r="GHW110" s="883"/>
      <c r="GHX110" s="883"/>
      <c r="GHY110" s="883"/>
      <c r="GHZ110" s="883"/>
      <c r="GIA110" s="883"/>
      <c r="GIB110" s="883"/>
      <c r="GIC110" s="883"/>
      <c r="GID110" s="863"/>
      <c r="GIE110" s="863"/>
      <c r="GIF110" s="863"/>
      <c r="GIG110" s="863"/>
      <c r="GIH110" s="863"/>
      <c r="GII110" s="863"/>
      <c r="GIJ110" s="863"/>
      <c r="GIK110" s="863"/>
      <c r="GIL110" s="863"/>
      <c r="GIM110" s="863"/>
      <c r="GIN110" s="863"/>
      <c r="GIO110" s="863"/>
      <c r="GIP110" s="863"/>
      <c r="GIQ110" s="863"/>
      <c r="GIR110" s="863"/>
      <c r="GIS110" s="863"/>
      <c r="GIT110" s="863"/>
      <c r="GIU110" s="863"/>
      <c r="GIV110" s="863"/>
      <c r="GIW110" s="863"/>
      <c r="GIX110" s="863"/>
      <c r="GIY110" s="863"/>
      <c r="GIZ110" s="863"/>
      <c r="GJA110" s="883"/>
      <c r="GJB110" s="883"/>
      <c r="GJC110" s="883"/>
      <c r="GJD110" s="883"/>
      <c r="GJE110" s="883"/>
      <c r="GJF110" s="883"/>
      <c r="GJG110" s="883"/>
      <c r="GJH110" s="883"/>
      <c r="GJI110" s="883"/>
      <c r="GJJ110" s="863"/>
      <c r="GJK110" s="863"/>
      <c r="GJL110" s="863"/>
      <c r="GJM110" s="863"/>
      <c r="GJN110" s="863"/>
      <c r="GJO110" s="863"/>
      <c r="GJP110" s="863"/>
      <c r="GJQ110" s="863"/>
      <c r="GJR110" s="863"/>
      <c r="GJS110" s="863"/>
      <c r="GJT110" s="863"/>
      <c r="GJU110" s="863"/>
      <c r="GJV110" s="863"/>
      <c r="GJW110" s="863"/>
      <c r="GJX110" s="863"/>
      <c r="GJY110" s="863"/>
      <c r="GJZ110" s="863"/>
      <c r="GKA110" s="863"/>
      <c r="GKB110" s="863"/>
      <c r="GKC110" s="863"/>
      <c r="GKD110" s="863"/>
      <c r="GKE110" s="863"/>
      <c r="GKF110" s="863"/>
      <c r="GKG110" s="883"/>
      <c r="GKH110" s="883"/>
      <c r="GKI110" s="883"/>
      <c r="GKJ110" s="883"/>
      <c r="GKK110" s="883"/>
      <c r="GKL110" s="883"/>
      <c r="GKM110" s="883"/>
      <c r="GKN110" s="883"/>
      <c r="GKO110" s="883"/>
      <c r="GKP110" s="863"/>
      <c r="GKQ110" s="863"/>
      <c r="GKR110" s="863"/>
      <c r="GKS110" s="863"/>
      <c r="GKT110" s="863"/>
      <c r="GKU110" s="863"/>
      <c r="GKV110" s="863"/>
      <c r="GKW110" s="863"/>
      <c r="GKX110" s="863"/>
      <c r="GKY110" s="863"/>
      <c r="GKZ110" s="863"/>
      <c r="GLA110" s="863"/>
      <c r="GLB110" s="863"/>
      <c r="GLC110" s="863"/>
      <c r="GLD110" s="863"/>
      <c r="GLE110" s="863"/>
      <c r="GLF110" s="863"/>
      <c r="GLG110" s="863"/>
      <c r="GLH110" s="863"/>
      <c r="GLI110" s="863"/>
      <c r="GLJ110" s="863"/>
      <c r="GLK110" s="863"/>
      <c r="GLL110" s="863"/>
      <c r="GLM110" s="883"/>
      <c r="GLN110" s="883"/>
      <c r="GLO110" s="883"/>
      <c r="GLP110" s="883"/>
      <c r="GLQ110" s="883"/>
      <c r="GLR110" s="883"/>
      <c r="GLS110" s="883"/>
      <c r="GLT110" s="883"/>
      <c r="GLU110" s="883"/>
      <c r="GLV110" s="863"/>
      <c r="GLW110" s="863"/>
      <c r="GLX110" s="863"/>
      <c r="GLY110" s="863"/>
      <c r="GLZ110" s="863"/>
      <c r="GMA110" s="863"/>
      <c r="GMB110" s="863"/>
      <c r="GMC110" s="863"/>
      <c r="GMD110" s="863"/>
      <c r="GME110" s="863"/>
      <c r="GMF110" s="863"/>
      <c r="GMG110" s="863"/>
      <c r="GMH110" s="863"/>
      <c r="GMI110" s="863"/>
      <c r="GMJ110" s="863"/>
      <c r="GMK110" s="863"/>
      <c r="GML110" s="863"/>
      <c r="GMM110" s="863"/>
      <c r="GMN110" s="863"/>
      <c r="GMO110" s="863"/>
      <c r="GMP110" s="863"/>
      <c r="GMQ110" s="863"/>
      <c r="GMR110" s="863"/>
      <c r="GMS110" s="883"/>
      <c r="GMT110" s="883"/>
      <c r="GMU110" s="883"/>
      <c r="GMV110" s="883"/>
      <c r="GMW110" s="883"/>
      <c r="GMX110" s="883"/>
      <c r="GMY110" s="883"/>
      <c r="GMZ110" s="883"/>
      <c r="GNA110" s="883"/>
      <c r="GNB110" s="863"/>
      <c r="GNC110" s="863"/>
      <c r="GND110" s="863"/>
      <c r="GNE110" s="863"/>
      <c r="GNF110" s="863"/>
      <c r="GNG110" s="863"/>
      <c r="GNH110" s="863"/>
      <c r="GNI110" s="863"/>
      <c r="GNJ110" s="863"/>
      <c r="GNK110" s="863"/>
      <c r="GNL110" s="863"/>
      <c r="GNM110" s="863"/>
      <c r="GNN110" s="863"/>
      <c r="GNO110" s="863"/>
      <c r="GNP110" s="863"/>
      <c r="GNQ110" s="863"/>
      <c r="GNR110" s="863"/>
      <c r="GNS110" s="863"/>
      <c r="GNT110" s="863"/>
      <c r="GNU110" s="863"/>
      <c r="GNV110" s="863"/>
      <c r="GNW110" s="863"/>
      <c r="GNX110" s="863"/>
      <c r="GNY110" s="883"/>
      <c r="GNZ110" s="883"/>
      <c r="GOA110" s="883"/>
      <c r="GOB110" s="883"/>
      <c r="GOC110" s="883"/>
      <c r="GOD110" s="883"/>
      <c r="GOE110" s="883"/>
      <c r="GOF110" s="883"/>
      <c r="GOG110" s="883"/>
      <c r="GOH110" s="863"/>
      <c r="GOI110" s="863"/>
      <c r="GOJ110" s="863"/>
      <c r="GOK110" s="863"/>
      <c r="GOL110" s="863"/>
      <c r="GOM110" s="863"/>
      <c r="GON110" s="863"/>
      <c r="GOO110" s="863"/>
      <c r="GOP110" s="863"/>
      <c r="GOQ110" s="863"/>
      <c r="GOR110" s="863"/>
      <c r="GOS110" s="863"/>
      <c r="GOT110" s="863"/>
      <c r="GOU110" s="863"/>
      <c r="GOV110" s="863"/>
      <c r="GOW110" s="863"/>
      <c r="GOX110" s="863"/>
      <c r="GOY110" s="863"/>
      <c r="GOZ110" s="863"/>
      <c r="GPA110" s="863"/>
      <c r="GPB110" s="863"/>
      <c r="GPC110" s="863"/>
      <c r="GPD110" s="863"/>
      <c r="GPE110" s="883"/>
      <c r="GPF110" s="883"/>
      <c r="GPG110" s="883"/>
      <c r="GPH110" s="883"/>
      <c r="GPI110" s="883"/>
      <c r="GPJ110" s="883"/>
      <c r="GPK110" s="883"/>
      <c r="GPL110" s="883"/>
      <c r="GPM110" s="883"/>
      <c r="GPN110" s="863"/>
      <c r="GPO110" s="863"/>
      <c r="GPP110" s="863"/>
      <c r="GPQ110" s="863"/>
      <c r="GPR110" s="863"/>
      <c r="GPS110" s="863"/>
      <c r="GPT110" s="863"/>
      <c r="GPU110" s="863"/>
      <c r="GPV110" s="863"/>
      <c r="GPW110" s="863"/>
      <c r="GPX110" s="863"/>
      <c r="GPY110" s="863"/>
      <c r="GPZ110" s="863"/>
      <c r="GQA110" s="863"/>
      <c r="GQB110" s="863"/>
      <c r="GQC110" s="863"/>
      <c r="GQD110" s="863"/>
      <c r="GQE110" s="863"/>
      <c r="GQF110" s="863"/>
      <c r="GQG110" s="863"/>
      <c r="GQH110" s="863"/>
      <c r="GQI110" s="863"/>
      <c r="GQJ110" s="863"/>
      <c r="GQK110" s="883"/>
      <c r="GQL110" s="883"/>
      <c r="GQM110" s="883"/>
      <c r="GQN110" s="883"/>
      <c r="GQO110" s="883"/>
      <c r="GQP110" s="883"/>
      <c r="GQQ110" s="883"/>
      <c r="GQR110" s="883"/>
      <c r="GQS110" s="883"/>
      <c r="GQT110" s="863"/>
      <c r="GQU110" s="863"/>
      <c r="GQV110" s="863"/>
      <c r="GQW110" s="863"/>
      <c r="GQX110" s="863"/>
      <c r="GQY110" s="863"/>
      <c r="GQZ110" s="863"/>
      <c r="GRA110" s="863"/>
      <c r="GRB110" s="863"/>
      <c r="GRC110" s="863"/>
      <c r="GRD110" s="863"/>
      <c r="GRE110" s="863"/>
      <c r="GRF110" s="863"/>
      <c r="GRG110" s="863"/>
      <c r="GRH110" s="863"/>
      <c r="GRI110" s="863"/>
      <c r="GRJ110" s="863"/>
      <c r="GRK110" s="863"/>
      <c r="GRL110" s="863"/>
      <c r="GRM110" s="863"/>
      <c r="GRN110" s="863"/>
      <c r="GRO110" s="863"/>
      <c r="GRP110" s="863"/>
      <c r="GRQ110" s="883"/>
      <c r="GRR110" s="883"/>
      <c r="GRS110" s="883"/>
      <c r="GRT110" s="883"/>
      <c r="GRU110" s="883"/>
      <c r="GRV110" s="883"/>
      <c r="GRW110" s="883"/>
      <c r="GRX110" s="883"/>
      <c r="GRY110" s="883"/>
      <c r="GRZ110" s="863"/>
      <c r="GSA110" s="863"/>
      <c r="GSB110" s="863"/>
      <c r="GSC110" s="863"/>
      <c r="GSD110" s="863"/>
      <c r="GSE110" s="863"/>
      <c r="GSF110" s="863"/>
      <c r="GSG110" s="863"/>
      <c r="GSH110" s="863"/>
      <c r="GSI110" s="863"/>
      <c r="GSJ110" s="863"/>
      <c r="GSK110" s="863"/>
      <c r="GSL110" s="863"/>
      <c r="GSM110" s="863"/>
      <c r="GSN110" s="863"/>
      <c r="GSO110" s="863"/>
      <c r="GSP110" s="863"/>
      <c r="GSQ110" s="863"/>
      <c r="GSR110" s="863"/>
      <c r="GSS110" s="863"/>
      <c r="GST110" s="863"/>
      <c r="GSU110" s="863"/>
      <c r="GSV110" s="863"/>
      <c r="GSW110" s="883"/>
      <c r="GSX110" s="883"/>
      <c r="GSY110" s="883"/>
      <c r="GSZ110" s="883"/>
      <c r="GTA110" s="883"/>
      <c r="GTB110" s="883"/>
      <c r="GTC110" s="883"/>
      <c r="GTD110" s="883"/>
      <c r="GTE110" s="883"/>
      <c r="GTF110" s="863"/>
      <c r="GTG110" s="863"/>
      <c r="GTH110" s="863"/>
      <c r="GTI110" s="863"/>
      <c r="GTJ110" s="863"/>
      <c r="GTK110" s="863"/>
      <c r="GTL110" s="863"/>
      <c r="GTM110" s="863"/>
      <c r="GTN110" s="863"/>
      <c r="GTO110" s="863"/>
      <c r="GTP110" s="863"/>
      <c r="GTQ110" s="863"/>
      <c r="GTR110" s="863"/>
      <c r="GTS110" s="863"/>
      <c r="GTT110" s="863"/>
      <c r="GTU110" s="863"/>
      <c r="GTV110" s="863"/>
      <c r="GTW110" s="863"/>
      <c r="GTX110" s="863"/>
      <c r="GTY110" s="863"/>
      <c r="GTZ110" s="863"/>
      <c r="GUA110" s="863"/>
      <c r="GUB110" s="863"/>
      <c r="GUC110" s="883"/>
      <c r="GUD110" s="883"/>
      <c r="GUE110" s="883"/>
      <c r="GUF110" s="883"/>
      <c r="GUG110" s="883"/>
      <c r="GUH110" s="883"/>
      <c r="GUI110" s="883"/>
      <c r="GUJ110" s="883"/>
      <c r="GUK110" s="883"/>
      <c r="GUL110" s="863"/>
      <c r="GUM110" s="863"/>
      <c r="GUN110" s="863"/>
      <c r="GUO110" s="863"/>
      <c r="GUP110" s="863"/>
      <c r="GUQ110" s="863"/>
      <c r="GUR110" s="863"/>
      <c r="GUS110" s="863"/>
      <c r="GUT110" s="863"/>
      <c r="GUU110" s="863"/>
      <c r="GUV110" s="863"/>
      <c r="GUW110" s="863"/>
      <c r="GUX110" s="863"/>
      <c r="GUY110" s="863"/>
      <c r="GUZ110" s="863"/>
      <c r="GVA110" s="863"/>
      <c r="GVB110" s="863"/>
      <c r="GVC110" s="863"/>
      <c r="GVD110" s="863"/>
      <c r="GVE110" s="863"/>
      <c r="GVF110" s="863"/>
      <c r="GVG110" s="863"/>
      <c r="GVH110" s="863"/>
      <c r="GVI110" s="883"/>
      <c r="GVJ110" s="883"/>
      <c r="GVK110" s="883"/>
      <c r="GVL110" s="883"/>
      <c r="GVM110" s="883"/>
      <c r="GVN110" s="883"/>
      <c r="GVO110" s="883"/>
      <c r="GVP110" s="883"/>
      <c r="GVQ110" s="883"/>
      <c r="GVR110" s="863"/>
      <c r="GVS110" s="863"/>
      <c r="GVT110" s="863"/>
      <c r="GVU110" s="863"/>
      <c r="GVV110" s="863"/>
      <c r="GVW110" s="863"/>
      <c r="GVX110" s="863"/>
      <c r="GVY110" s="863"/>
      <c r="GVZ110" s="863"/>
      <c r="GWA110" s="863"/>
      <c r="GWB110" s="863"/>
      <c r="GWC110" s="863"/>
      <c r="GWD110" s="863"/>
      <c r="GWE110" s="863"/>
      <c r="GWF110" s="863"/>
      <c r="GWG110" s="863"/>
      <c r="GWH110" s="863"/>
      <c r="GWI110" s="863"/>
      <c r="GWJ110" s="863"/>
      <c r="GWK110" s="863"/>
      <c r="GWL110" s="863"/>
      <c r="GWM110" s="863"/>
      <c r="GWN110" s="863"/>
      <c r="GWO110" s="883"/>
      <c r="GWP110" s="883"/>
      <c r="GWQ110" s="883"/>
      <c r="GWR110" s="883"/>
      <c r="GWS110" s="883"/>
      <c r="GWT110" s="883"/>
      <c r="GWU110" s="883"/>
      <c r="GWV110" s="883"/>
      <c r="GWW110" s="883"/>
      <c r="GWX110" s="863"/>
      <c r="GWY110" s="863"/>
      <c r="GWZ110" s="863"/>
      <c r="GXA110" s="863"/>
      <c r="GXB110" s="863"/>
      <c r="GXC110" s="863"/>
      <c r="GXD110" s="863"/>
      <c r="GXE110" s="863"/>
      <c r="GXF110" s="863"/>
      <c r="GXG110" s="863"/>
      <c r="GXH110" s="863"/>
      <c r="GXI110" s="863"/>
      <c r="GXJ110" s="863"/>
      <c r="GXK110" s="863"/>
      <c r="GXL110" s="863"/>
      <c r="GXM110" s="863"/>
      <c r="GXN110" s="863"/>
      <c r="GXO110" s="863"/>
      <c r="GXP110" s="863"/>
      <c r="GXQ110" s="863"/>
      <c r="GXR110" s="863"/>
      <c r="GXS110" s="863"/>
      <c r="GXT110" s="863"/>
      <c r="GXU110" s="883"/>
      <c r="GXV110" s="883"/>
      <c r="GXW110" s="883"/>
      <c r="GXX110" s="883"/>
      <c r="GXY110" s="883"/>
      <c r="GXZ110" s="883"/>
      <c r="GYA110" s="883"/>
      <c r="GYB110" s="883"/>
      <c r="GYC110" s="883"/>
      <c r="GYD110" s="863"/>
      <c r="GYE110" s="863"/>
      <c r="GYF110" s="863"/>
      <c r="GYG110" s="863"/>
      <c r="GYH110" s="863"/>
      <c r="GYI110" s="863"/>
      <c r="GYJ110" s="863"/>
      <c r="GYK110" s="863"/>
      <c r="GYL110" s="863"/>
      <c r="GYM110" s="863"/>
      <c r="GYN110" s="863"/>
      <c r="GYO110" s="863"/>
      <c r="GYP110" s="863"/>
      <c r="GYQ110" s="863"/>
      <c r="GYR110" s="863"/>
      <c r="GYS110" s="863"/>
      <c r="GYT110" s="863"/>
      <c r="GYU110" s="863"/>
      <c r="GYV110" s="863"/>
      <c r="GYW110" s="863"/>
      <c r="GYX110" s="863"/>
      <c r="GYY110" s="863"/>
      <c r="GYZ110" s="863"/>
      <c r="GZA110" s="883"/>
      <c r="GZB110" s="883"/>
      <c r="GZC110" s="883"/>
      <c r="GZD110" s="883"/>
      <c r="GZE110" s="883"/>
      <c r="GZF110" s="883"/>
      <c r="GZG110" s="883"/>
      <c r="GZH110" s="883"/>
      <c r="GZI110" s="883"/>
      <c r="GZJ110" s="863"/>
      <c r="GZK110" s="863"/>
      <c r="GZL110" s="863"/>
      <c r="GZM110" s="863"/>
      <c r="GZN110" s="863"/>
      <c r="GZO110" s="863"/>
      <c r="GZP110" s="863"/>
      <c r="GZQ110" s="863"/>
      <c r="GZR110" s="863"/>
      <c r="GZS110" s="863"/>
      <c r="GZT110" s="863"/>
      <c r="GZU110" s="863"/>
      <c r="GZV110" s="863"/>
      <c r="GZW110" s="863"/>
      <c r="GZX110" s="863"/>
      <c r="GZY110" s="863"/>
      <c r="GZZ110" s="863"/>
      <c r="HAA110" s="863"/>
      <c r="HAB110" s="863"/>
      <c r="HAC110" s="863"/>
      <c r="HAD110" s="863"/>
      <c r="HAE110" s="863"/>
      <c r="HAF110" s="863"/>
      <c r="HAG110" s="883"/>
      <c r="HAH110" s="883"/>
      <c r="HAI110" s="883"/>
      <c r="HAJ110" s="883"/>
      <c r="HAK110" s="883"/>
      <c r="HAL110" s="883"/>
      <c r="HAM110" s="883"/>
      <c r="HAN110" s="883"/>
      <c r="HAO110" s="883"/>
      <c r="HAP110" s="863"/>
      <c r="HAQ110" s="863"/>
      <c r="HAR110" s="863"/>
      <c r="HAS110" s="863"/>
      <c r="HAT110" s="863"/>
      <c r="HAU110" s="863"/>
      <c r="HAV110" s="863"/>
      <c r="HAW110" s="863"/>
      <c r="HAX110" s="863"/>
      <c r="HAY110" s="863"/>
      <c r="HAZ110" s="863"/>
      <c r="HBA110" s="863"/>
      <c r="HBB110" s="863"/>
      <c r="HBC110" s="863"/>
      <c r="HBD110" s="863"/>
      <c r="HBE110" s="863"/>
      <c r="HBF110" s="863"/>
      <c r="HBG110" s="863"/>
      <c r="HBH110" s="863"/>
      <c r="HBI110" s="863"/>
      <c r="HBJ110" s="863"/>
      <c r="HBK110" s="863"/>
      <c r="HBL110" s="863"/>
      <c r="HBM110" s="883"/>
      <c r="HBN110" s="883"/>
      <c r="HBO110" s="883"/>
      <c r="HBP110" s="883"/>
      <c r="HBQ110" s="883"/>
      <c r="HBR110" s="883"/>
      <c r="HBS110" s="883"/>
      <c r="HBT110" s="883"/>
      <c r="HBU110" s="883"/>
      <c r="HBV110" s="863"/>
      <c r="HBW110" s="863"/>
      <c r="HBX110" s="863"/>
      <c r="HBY110" s="863"/>
      <c r="HBZ110" s="863"/>
      <c r="HCA110" s="863"/>
      <c r="HCB110" s="863"/>
      <c r="HCC110" s="863"/>
      <c r="HCD110" s="863"/>
      <c r="HCE110" s="863"/>
      <c r="HCF110" s="863"/>
      <c r="HCG110" s="863"/>
      <c r="HCH110" s="863"/>
      <c r="HCI110" s="863"/>
      <c r="HCJ110" s="863"/>
      <c r="HCK110" s="863"/>
      <c r="HCL110" s="863"/>
      <c r="HCM110" s="863"/>
      <c r="HCN110" s="863"/>
      <c r="HCO110" s="863"/>
      <c r="HCP110" s="863"/>
      <c r="HCQ110" s="863"/>
      <c r="HCR110" s="863"/>
      <c r="HCS110" s="883"/>
      <c r="HCT110" s="883"/>
      <c r="HCU110" s="883"/>
      <c r="HCV110" s="883"/>
      <c r="HCW110" s="883"/>
      <c r="HCX110" s="883"/>
      <c r="HCY110" s="883"/>
      <c r="HCZ110" s="883"/>
      <c r="HDA110" s="883"/>
      <c r="HDB110" s="863"/>
      <c r="HDC110" s="863"/>
      <c r="HDD110" s="863"/>
      <c r="HDE110" s="863"/>
      <c r="HDF110" s="863"/>
      <c r="HDG110" s="863"/>
      <c r="HDH110" s="863"/>
      <c r="HDI110" s="863"/>
      <c r="HDJ110" s="863"/>
      <c r="HDK110" s="863"/>
      <c r="HDL110" s="863"/>
      <c r="HDM110" s="863"/>
      <c r="HDN110" s="863"/>
      <c r="HDO110" s="863"/>
      <c r="HDP110" s="863"/>
      <c r="HDQ110" s="863"/>
      <c r="HDR110" s="863"/>
      <c r="HDS110" s="863"/>
      <c r="HDT110" s="863"/>
      <c r="HDU110" s="863"/>
      <c r="HDV110" s="863"/>
      <c r="HDW110" s="863"/>
      <c r="HDX110" s="863"/>
      <c r="HDY110" s="883"/>
      <c r="HDZ110" s="883"/>
      <c r="HEA110" s="883"/>
      <c r="HEB110" s="883"/>
      <c r="HEC110" s="883"/>
      <c r="HED110" s="883"/>
      <c r="HEE110" s="883"/>
      <c r="HEF110" s="883"/>
      <c r="HEG110" s="883"/>
      <c r="HEH110" s="863"/>
      <c r="HEI110" s="863"/>
      <c r="HEJ110" s="863"/>
      <c r="HEK110" s="863"/>
      <c r="HEL110" s="863"/>
      <c r="HEM110" s="863"/>
      <c r="HEN110" s="863"/>
      <c r="HEO110" s="863"/>
      <c r="HEP110" s="863"/>
      <c r="HEQ110" s="863"/>
      <c r="HER110" s="863"/>
      <c r="HES110" s="863"/>
      <c r="HET110" s="863"/>
      <c r="HEU110" s="863"/>
      <c r="HEV110" s="863"/>
      <c r="HEW110" s="863"/>
      <c r="HEX110" s="863"/>
      <c r="HEY110" s="863"/>
      <c r="HEZ110" s="863"/>
      <c r="HFA110" s="863"/>
      <c r="HFB110" s="863"/>
      <c r="HFC110" s="863"/>
      <c r="HFD110" s="863"/>
      <c r="HFE110" s="883"/>
      <c r="HFF110" s="883"/>
      <c r="HFG110" s="883"/>
      <c r="HFH110" s="883"/>
      <c r="HFI110" s="883"/>
      <c r="HFJ110" s="883"/>
      <c r="HFK110" s="883"/>
      <c r="HFL110" s="883"/>
      <c r="HFM110" s="883"/>
      <c r="HFN110" s="863"/>
      <c r="HFO110" s="863"/>
      <c r="HFP110" s="863"/>
      <c r="HFQ110" s="863"/>
      <c r="HFR110" s="863"/>
      <c r="HFS110" s="863"/>
      <c r="HFT110" s="863"/>
      <c r="HFU110" s="863"/>
      <c r="HFV110" s="863"/>
      <c r="HFW110" s="863"/>
      <c r="HFX110" s="863"/>
      <c r="HFY110" s="863"/>
      <c r="HFZ110" s="863"/>
      <c r="HGA110" s="863"/>
      <c r="HGB110" s="863"/>
      <c r="HGC110" s="863"/>
      <c r="HGD110" s="863"/>
      <c r="HGE110" s="863"/>
      <c r="HGF110" s="863"/>
      <c r="HGG110" s="863"/>
      <c r="HGH110" s="863"/>
      <c r="HGI110" s="863"/>
      <c r="HGJ110" s="863"/>
      <c r="HGK110" s="883"/>
      <c r="HGL110" s="883"/>
      <c r="HGM110" s="883"/>
      <c r="HGN110" s="883"/>
      <c r="HGO110" s="883"/>
      <c r="HGP110" s="883"/>
      <c r="HGQ110" s="883"/>
      <c r="HGR110" s="883"/>
      <c r="HGS110" s="883"/>
      <c r="HGT110" s="863"/>
      <c r="HGU110" s="863"/>
      <c r="HGV110" s="863"/>
      <c r="HGW110" s="863"/>
      <c r="HGX110" s="863"/>
      <c r="HGY110" s="863"/>
      <c r="HGZ110" s="863"/>
      <c r="HHA110" s="863"/>
      <c r="HHB110" s="863"/>
      <c r="HHC110" s="863"/>
      <c r="HHD110" s="863"/>
      <c r="HHE110" s="863"/>
      <c r="HHF110" s="863"/>
      <c r="HHG110" s="863"/>
      <c r="HHH110" s="863"/>
      <c r="HHI110" s="863"/>
      <c r="HHJ110" s="863"/>
      <c r="HHK110" s="863"/>
      <c r="HHL110" s="863"/>
      <c r="HHM110" s="863"/>
      <c r="HHN110" s="863"/>
      <c r="HHO110" s="863"/>
      <c r="HHP110" s="863"/>
      <c r="HHQ110" s="883"/>
      <c r="HHR110" s="883"/>
      <c r="HHS110" s="883"/>
      <c r="HHT110" s="883"/>
      <c r="HHU110" s="883"/>
      <c r="HHV110" s="883"/>
      <c r="HHW110" s="883"/>
      <c r="HHX110" s="883"/>
      <c r="HHY110" s="883"/>
      <c r="HHZ110" s="863"/>
      <c r="HIA110" s="863"/>
      <c r="HIB110" s="863"/>
      <c r="HIC110" s="863"/>
      <c r="HID110" s="863"/>
      <c r="HIE110" s="863"/>
      <c r="HIF110" s="863"/>
      <c r="HIG110" s="863"/>
      <c r="HIH110" s="863"/>
      <c r="HII110" s="863"/>
      <c r="HIJ110" s="863"/>
      <c r="HIK110" s="863"/>
      <c r="HIL110" s="863"/>
      <c r="HIM110" s="863"/>
      <c r="HIN110" s="863"/>
      <c r="HIO110" s="863"/>
      <c r="HIP110" s="863"/>
      <c r="HIQ110" s="863"/>
      <c r="HIR110" s="863"/>
      <c r="HIS110" s="863"/>
      <c r="HIT110" s="863"/>
      <c r="HIU110" s="863"/>
      <c r="HIV110" s="863"/>
      <c r="HIW110" s="883"/>
      <c r="HIX110" s="883"/>
      <c r="HIY110" s="883"/>
      <c r="HIZ110" s="883"/>
      <c r="HJA110" s="883"/>
      <c r="HJB110" s="883"/>
      <c r="HJC110" s="883"/>
      <c r="HJD110" s="883"/>
      <c r="HJE110" s="883"/>
      <c r="HJF110" s="863"/>
      <c r="HJG110" s="863"/>
      <c r="HJH110" s="863"/>
      <c r="HJI110" s="863"/>
      <c r="HJJ110" s="863"/>
      <c r="HJK110" s="863"/>
      <c r="HJL110" s="863"/>
      <c r="HJM110" s="863"/>
      <c r="HJN110" s="863"/>
      <c r="HJO110" s="863"/>
      <c r="HJP110" s="863"/>
      <c r="HJQ110" s="863"/>
      <c r="HJR110" s="863"/>
      <c r="HJS110" s="863"/>
      <c r="HJT110" s="863"/>
      <c r="HJU110" s="863"/>
      <c r="HJV110" s="863"/>
      <c r="HJW110" s="863"/>
      <c r="HJX110" s="863"/>
      <c r="HJY110" s="863"/>
      <c r="HJZ110" s="863"/>
      <c r="HKA110" s="863"/>
      <c r="HKB110" s="863"/>
      <c r="HKC110" s="883"/>
      <c r="HKD110" s="883"/>
      <c r="HKE110" s="883"/>
      <c r="HKF110" s="883"/>
      <c r="HKG110" s="883"/>
      <c r="HKH110" s="883"/>
      <c r="HKI110" s="883"/>
      <c r="HKJ110" s="883"/>
      <c r="HKK110" s="883"/>
      <c r="HKL110" s="863"/>
      <c r="HKM110" s="863"/>
      <c r="HKN110" s="863"/>
      <c r="HKO110" s="863"/>
      <c r="HKP110" s="863"/>
      <c r="HKQ110" s="863"/>
      <c r="HKR110" s="863"/>
      <c r="HKS110" s="863"/>
      <c r="HKT110" s="863"/>
      <c r="HKU110" s="863"/>
      <c r="HKV110" s="863"/>
      <c r="HKW110" s="863"/>
      <c r="HKX110" s="863"/>
      <c r="HKY110" s="863"/>
      <c r="HKZ110" s="863"/>
      <c r="HLA110" s="863"/>
      <c r="HLB110" s="863"/>
      <c r="HLC110" s="863"/>
      <c r="HLD110" s="863"/>
      <c r="HLE110" s="863"/>
      <c r="HLF110" s="863"/>
      <c r="HLG110" s="863"/>
      <c r="HLH110" s="863"/>
      <c r="HLI110" s="883"/>
      <c r="HLJ110" s="883"/>
      <c r="HLK110" s="883"/>
      <c r="HLL110" s="883"/>
      <c r="HLM110" s="883"/>
      <c r="HLN110" s="883"/>
      <c r="HLO110" s="883"/>
      <c r="HLP110" s="883"/>
      <c r="HLQ110" s="883"/>
      <c r="HLR110" s="863"/>
      <c r="HLS110" s="863"/>
      <c r="HLT110" s="863"/>
      <c r="HLU110" s="863"/>
      <c r="HLV110" s="863"/>
      <c r="HLW110" s="863"/>
      <c r="HLX110" s="863"/>
      <c r="HLY110" s="863"/>
      <c r="HLZ110" s="863"/>
      <c r="HMA110" s="863"/>
      <c r="HMB110" s="863"/>
      <c r="HMC110" s="863"/>
      <c r="HMD110" s="863"/>
      <c r="HME110" s="863"/>
      <c r="HMF110" s="863"/>
      <c r="HMG110" s="863"/>
      <c r="HMH110" s="863"/>
      <c r="HMI110" s="863"/>
      <c r="HMJ110" s="863"/>
      <c r="HMK110" s="863"/>
      <c r="HML110" s="863"/>
      <c r="HMM110" s="863"/>
      <c r="HMN110" s="863"/>
      <c r="HMO110" s="883"/>
      <c r="HMP110" s="883"/>
      <c r="HMQ110" s="883"/>
      <c r="HMR110" s="883"/>
      <c r="HMS110" s="883"/>
      <c r="HMT110" s="883"/>
      <c r="HMU110" s="883"/>
      <c r="HMV110" s="883"/>
      <c r="HMW110" s="883"/>
      <c r="HMX110" s="863"/>
      <c r="HMY110" s="863"/>
      <c r="HMZ110" s="863"/>
      <c r="HNA110" s="863"/>
      <c r="HNB110" s="863"/>
      <c r="HNC110" s="863"/>
      <c r="HND110" s="863"/>
      <c r="HNE110" s="863"/>
      <c r="HNF110" s="863"/>
      <c r="HNG110" s="863"/>
      <c r="HNH110" s="863"/>
      <c r="HNI110" s="863"/>
      <c r="HNJ110" s="863"/>
      <c r="HNK110" s="863"/>
      <c r="HNL110" s="863"/>
      <c r="HNM110" s="863"/>
      <c r="HNN110" s="863"/>
      <c r="HNO110" s="863"/>
      <c r="HNP110" s="863"/>
      <c r="HNQ110" s="863"/>
      <c r="HNR110" s="863"/>
      <c r="HNS110" s="863"/>
      <c r="HNT110" s="863"/>
      <c r="HNU110" s="883"/>
      <c r="HNV110" s="883"/>
      <c r="HNW110" s="883"/>
      <c r="HNX110" s="883"/>
      <c r="HNY110" s="883"/>
      <c r="HNZ110" s="883"/>
      <c r="HOA110" s="883"/>
      <c r="HOB110" s="883"/>
      <c r="HOC110" s="883"/>
      <c r="HOD110" s="863"/>
      <c r="HOE110" s="863"/>
      <c r="HOF110" s="863"/>
      <c r="HOG110" s="863"/>
      <c r="HOH110" s="863"/>
      <c r="HOI110" s="863"/>
      <c r="HOJ110" s="863"/>
      <c r="HOK110" s="863"/>
      <c r="HOL110" s="863"/>
      <c r="HOM110" s="863"/>
      <c r="HON110" s="863"/>
      <c r="HOO110" s="863"/>
      <c r="HOP110" s="863"/>
      <c r="HOQ110" s="863"/>
      <c r="HOR110" s="863"/>
      <c r="HOS110" s="863"/>
      <c r="HOT110" s="863"/>
      <c r="HOU110" s="863"/>
      <c r="HOV110" s="863"/>
      <c r="HOW110" s="863"/>
      <c r="HOX110" s="863"/>
      <c r="HOY110" s="863"/>
      <c r="HOZ110" s="863"/>
      <c r="HPA110" s="883"/>
      <c r="HPB110" s="883"/>
      <c r="HPC110" s="883"/>
      <c r="HPD110" s="883"/>
      <c r="HPE110" s="883"/>
      <c r="HPF110" s="883"/>
      <c r="HPG110" s="883"/>
      <c r="HPH110" s="883"/>
      <c r="HPI110" s="883"/>
      <c r="HPJ110" s="863"/>
      <c r="HPK110" s="863"/>
      <c r="HPL110" s="863"/>
      <c r="HPM110" s="863"/>
      <c r="HPN110" s="863"/>
      <c r="HPO110" s="863"/>
      <c r="HPP110" s="863"/>
      <c r="HPQ110" s="863"/>
      <c r="HPR110" s="863"/>
      <c r="HPS110" s="863"/>
      <c r="HPT110" s="863"/>
      <c r="HPU110" s="863"/>
      <c r="HPV110" s="863"/>
      <c r="HPW110" s="863"/>
      <c r="HPX110" s="863"/>
      <c r="HPY110" s="863"/>
      <c r="HPZ110" s="863"/>
      <c r="HQA110" s="863"/>
      <c r="HQB110" s="863"/>
      <c r="HQC110" s="863"/>
      <c r="HQD110" s="863"/>
      <c r="HQE110" s="863"/>
      <c r="HQF110" s="863"/>
      <c r="HQG110" s="883"/>
      <c r="HQH110" s="883"/>
      <c r="HQI110" s="883"/>
      <c r="HQJ110" s="883"/>
      <c r="HQK110" s="883"/>
      <c r="HQL110" s="883"/>
      <c r="HQM110" s="883"/>
      <c r="HQN110" s="883"/>
      <c r="HQO110" s="883"/>
      <c r="HQP110" s="863"/>
      <c r="HQQ110" s="863"/>
      <c r="HQR110" s="863"/>
      <c r="HQS110" s="863"/>
      <c r="HQT110" s="863"/>
      <c r="HQU110" s="863"/>
      <c r="HQV110" s="863"/>
      <c r="HQW110" s="863"/>
      <c r="HQX110" s="863"/>
      <c r="HQY110" s="863"/>
      <c r="HQZ110" s="863"/>
      <c r="HRA110" s="863"/>
      <c r="HRB110" s="863"/>
      <c r="HRC110" s="863"/>
      <c r="HRD110" s="863"/>
      <c r="HRE110" s="863"/>
      <c r="HRF110" s="863"/>
      <c r="HRG110" s="863"/>
      <c r="HRH110" s="863"/>
      <c r="HRI110" s="863"/>
      <c r="HRJ110" s="863"/>
      <c r="HRK110" s="863"/>
      <c r="HRL110" s="863"/>
      <c r="HRM110" s="883"/>
      <c r="HRN110" s="883"/>
      <c r="HRO110" s="883"/>
      <c r="HRP110" s="883"/>
      <c r="HRQ110" s="883"/>
      <c r="HRR110" s="883"/>
      <c r="HRS110" s="883"/>
      <c r="HRT110" s="883"/>
      <c r="HRU110" s="883"/>
      <c r="HRV110" s="863"/>
      <c r="HRW110" s="863"/>
      <c r="HRX110" s="863"/>
      <c r="HRY110" s="863"/>
      <c r="HRZ110" s="863"/>
      <c r="HSA110" s="863"/>
      <c r="HSB110" s="863"/>
      <c r="HSC110" s="863"/>
      <c r="HSD110" s="863"/>
      <c r="HSE110" s="863"/>
      <c r="HSF110" s="863"/>
      <c r="HSG110" s="863"/>
      <c r="HSH110" s="863"/>
      <c r="HSI110" s="863"/>
      <c r="HSJ110" s="863"/>
      <c r="HSK110" s="863"/>
      <c r="HSL110" s="863"/>
      <c r="HSM110" s="863"/>
      <c r="HSN110" s="863"/>
      <c r="HSO110" s="863"/>
      <c r="HSP110" s="863"/>
      <c r="HSQ110" s="863"/>
      <c r="HSR110" s="863"/>
      <c r="HSS110" s="883"/>
      <c r="HST110" s="883"/>
      <c r="HSU110" s="883"/>
      <c r="HSV110" s="883"/>
      <c r="HSW110" s="883"/>
      <c r="HSX110" s="883"/>
      <c r="HSY110" s="883"/>
      <c r="HSZ110" s="883"/>
      <c r="HTA110" s="883"/>
      <c r="HTB110" s="863"/>
      <c r="HTC110" s="863"/>
      <c r="HTD110" s="863"/>
      <c r="HTE110" s="863"/>
      <c r="HTF110" s="863"/>
      <c r="HTG110" s="863"/>
      <c r="HTH110" s="863"/>
      <c r="HTI110" s="863"/>
      <c r="HTJ110" s="863"/>
      <c r="HTK110" s="863"/>
      <c r="HTL110" s="863"/>
      <c r="HTM110" s="863"/>
      <c r="HTN110" s="863"/>
      <c r="HTO110" s="863"/>
      <c r="HTP110" s="863"/>
      <c r="HTQ110" s="863"/>
      <c r="HTR110" s="863"/>
      <c r="HTS110" s="863"/>
      <c r="HTT110" s="863"/>
      <c r="HTU110" s="863"/>
      <c r="HTV110" s="863"/>
      <c r="HTW110" s="863"/>
      <c r="HTX110" s="863"/>
      <c r="HTY110" s="883"/>
      <c r="HTZ110" s="883"/>
      <c r="HUA110" s="883"/>
      <c r="HUB110" s="883"/>
      <c r="HUC110" s="883"/>
      <c r="HUD110" s="883"/>
      <c r="HUE110" s="883"/>
      <c r="HUF110" s="883"/>
      <c r="HUG110" s="883"/>
      <c r="HUH110" s="863"/>
      <c r="HUI110" s="863"/>
      <c r="HUJ110" s="863"/>
      <c r="HUK110" s="863"/>
      <c r="HUL110" s="863"/>
      <c r="HUM110" s="863"/>
      <c r="HUN110" s="863"/>
      <c r="HUO110" s="863"/>
      <c r="HUP110" s="863"/>
      <c r="HUQ110" s="863"/>
      <c r="HUR110" s="863"/>
      <c r="HUS110" s="863"/>
      <c r="HUT110" s="863"/>
      <c r="HUU110" s="863"/>
      <c r="HUV110" s="863"/>
      <c r="HUW110" s="863"/>
      <c r="HUX110" s="863"/>
      <c r="HUY110" s="863"/>
      <c r="HUZ110" s="863"/>
      <c r="HVA110" s="863"/>
      <c r="HVB110" s="863"/>
      <c r="HVC110" s="863"/>
      <c r="HVD110" s="863"/>
      <c r="HVE110" s="883"/>
      <c r="HVF110" s="883"/>
      <c r="HVG110" s="883"/>
      <c r="HVH110" s="883"/>
      <c r="HVI110" s="883"/>
      <c r="HVJ110" s="883"/>
      <c r="HVK110" s="883"/>
      <c r="HVL110" s="883"/>
      <c r="HVM110" s="883"/>
      <c r="HVN110" s="863"/>
      <c r="HVO110" s="863"/>
      <c r="HVP110" s="863"/>
      <c r="HVQ110" s="863"/>
      <c r="HVR110" s="863"/>
      <c r="HVS110" s="863"/>
      <c r="HVT110" s="863"/>
      <c r="HVU110" s="863"/>
      <c r="HVV110" s="863"/>
      <c r="HVW110" s="863"/>
      <c r="HVX110" s="863"/>
      <c r="HVY110" s="863"/>
      <c r="HVZ110" s="863"/>
      <c r="HWA110" s="863"/>
      <c r="HWB110" s="863"/>
      <c r="HWC110" s="863"/>
      <c r="HWD110" s="863"/>
      <c r="HWE110" s="863"/>
      <c r="HWF110" s="863"/>
      <c r="HWG110" s="863"/>
      <c r="HWH110" s="863"/>
      <c r="HWI110" s="863"/>
      <c r="HWJ110" s="863"/>
      <c r="HWK110" s="883"/>
      <c r="HWL110" s="883"/>
      <c r="HWM110" s="883"/>
      <c r="HWN110" s="883"/>
      <c r="HWO110" s="883"/>
      <c r="HWP110" s="883"/>
      <c r="HWQ110" s="883"/>
      <c r="HWR110" s="883"/>
      <c r="HWS110" s="883"/>
      <c r="HWT110" s="863"/>
      <c r="HWU110" s="863"/>
      <c r="HWV110" s="863"/>
      <c r="HWW110" s="863"/>
      <c r="HWX110" s="863"/>
      <c r="HWY110" s="863"/>
      <c r="HWZ110" s="863"/>
      <c r="HXA110" s="863"/>
      <c r="HXB110" s="863"/>
      <c r="HXC110" s="863"/>
      <c r="HXD110" s="863"/>
      <c r="HXE110" s="863"/>
      <c r="HXF110" s="863"/>
      <c r="HXG110" s="863"/>
      <c r="HXH110" s="863"/>
      <c r="HXI110" s="863"/>
      <c r="HXJ110" s="863"/>
      <c r="HXK110" s="863"/>
      <c r="HXL110" s="863"/>
      <c r="HXM110" s="863"/>
      <c r="HXN110" s="863"/>
      <c r="HXO110" s="863"/>
      <c r="HXP110" s="863"/>
      <c r="HXQ110" s="883"/>
      <c r="HXR110" s="883"/>
      <c r="HXS110" s="883"/>
      <c r="HXT110" s="883"/>
      <c r="HXU110" s="883"/>
      <c r="HXV110" s="883"/>
      <c r="HXW110" s="883"/>
      <c r="HXX110" s="883"/>
      <c r="HXY110" s="883"/>
      <c r="HXZ110" s="863"/>
      <c r="HYA110" s="863"/>
      <c r="HYB110" s="863"/>
      <c r="HYC110" s="863"/>
      <c r="HYD110" s="863"/>
      <c r="HYE110" s="863"/>
      <c r="HYF110" s="863"/>
      <c r="HYG110" s="863"/>
      <c r="HYH110" s="863"/>
      <c r="HYI110" s="863"/>
      <c r="HYJ110" s="863"/>
      <c r="HYK110" s="863"/>
      <c r="HYL110" s="863"/>
      <c r="HYM110" s="863"/>
      <c r="HYN110" s="863"/>
      <c r="HYO110" s="863"/>
      <c r="HYP110" s="863"/>
      <c r="HYQ110" s="863"/>
      <c r="HYR110" s="863"/>
      <c r="HYS110" s="863"/>
      <c r="HYT110" s="863"/>
      <c r="HYU110" s="863"/>
      <c r="HYV110" s="863"/>
      <c r="HYW110" s="883"/>
      <c r="HYX110" s="883"/>
      <c r="HYY110" s="883"/>
      <c r="HYZ110" s="883"/>
      <c r="HZA110" s="883"/>
      <c r="HZB110" s="883"/>
      <c r="HZC110" s="883"/>
      <c r="HZD110" s="883"/>
      <c r="HZE110" s="883"/>
      <c r="HZF110" s="863"/>
      <c r="HZG110" s="863"/>
      <c r="HZH110" s="863"/>
      <c r="HZI110" s="863"/>
      <c r="HZJ110" s="863"/>
      <c r="HZK110" s="863"/>
      <c r="HZL110" s="863"/>
      <c r="HZM110" s="863"/>
      <c r="HZN110" s="863"/>
      <c r="HZO110" s="863"/>
      <c r="HZP110" s="863"/>
      <c r="HZQ110" s="863"/>
      <c r="HZR110" s="863"/>
      <c r="HZS110" s="863"/>
      <c r="HZT110" s="863"/>
      <c r="HZU110" s="863"/>
      <c r="HZV110" s="863"/>
      <c r="HZW110" s="863"/>
      <c r="HZX110" s="863"/>
      <c r="HZY110" s="863"/>
      <c r="HZZ110" s="863"/>
      <c r="IAA110" s="863"/>
      <c r="IAB110" s="863"/>
      <c r="IAC110" s="883"/>
      <c r="IAD110" s="883"/>
      <c r="IAE110" s="883"/>
      <c r="IAF110" s="883"/>
      <c r="IAG110" s="883"/>
      <c r="IAH110" s="883"/>
      <c r="IAI110" s="883"/>
      <c r="IAJ110" s="883"/>
      <c r="IAK110" s="883"/>
      <c r="IAL110" s="863"/>
      <c r="IAM110" s="863"/>
      <c r="IAN110" s="863"/>
      <c r="IAO110" s="863"/>
      <c r="IAP110" s="863"/>
      <c r="IAQ110" s="863"/>
      <c r="IAR110" s="863"/>
      <c r="IAS110" s="863"/>
      <c r="IAT110" s="863"/>
      <c r="IAU110" s="863"/>
      <c r="IAV110" s="863"/>
      <c r="IAW110" s="863"/>
      <c r="IAX110" s="863"/>
      <c r="IAY110" s="863"/>
      <c r="IAZ110" s="863"/>
      <c r="IBA110" s="863"/>
      <c r="IBB110" s="863"/>
      <c r="IBC110" s="863"/>
      <c r="IBD110" s="863"/>
      <c r="IBE110" s="863"/>
      <c r="IBF110" s="863"/>
      <c r="IBG110" s="863"/>
      <c r="IBH110" s="863"/>
      <c r="IBI110" s="883"/>
      <c r="IBJ110" s="883"/>
      <c r="IBK110" s="883"/>
      <c r="IBL110" s="883"/>
      <c r="IBM110" s="883"/>
      <c r="IBN110" s="883"/>
      <c r="IBO110" s="883"/>
      <c r="IBP110" s="883"/>
      <c r="IBQ110" s="883"/>
      <c r="IBR110" s="863"/>
      <c r="IBS110" s="863"/>
      <c r="IBT110" s="863"/>
      <c r="IBU110" s="863"/>
      <c r="IBV110" s="863"/>
      <c r="IBW110" s="863"/>
      <c r="IBX110" s="863"/>
      <c r="IBY110" s="863"/>
      <c r="IBZ110" s="863"/>
      <c r="ICA110" s="863"/>
      <c r="ICB110" s="863"/>
      <c r="ICC110" s="863"/>
      <c r="ICD110" s="863"/>
      <c r="ICE110" s="863"/>
      <c r="ICF110" s="863"/>
      <c r="ICG110" s="863"/>
      <c r="ICH110" s="863"/>
      <c r="ICI110" s="863"/>
      <c r="ICJ110" s="863"/>
      <c r="ICK110" s="863"/>
      <c r="ICL110" s="863"/>
      <c r="ICM110" s="863"/>
      <c r="ICN110" s="863"/>
      <c r="ICO110" s="883"/>
      <c r="ICP110" s="883"/>
      <c r="ICQ110" s="883"/>
      <c r="ICR110" s="883"/>
      <c r="ICS110" s="883"/>
      <c r="ICT110" s="883"/>
      <c r="ICU110" s="883"/>
      <c r="ICV110" s="883"/>
      <c r="ICW110" s="883"/>
      <c r="ICX110" s="863"/>
      <c r="ICY110" s="863"/>
      <c r="ICZ110" s="863"/>
      <c r="IDA110" s="863"/>
      <c r="IDB110" s="863"/>
      <c r="IDC110" s="863"/>
      <c r="IDD110" s="863"/>
      <c r="IDE110" s="863"/>
      <c r="IDF110" s="863"/>
      <c r="IDG110" s="863"/>
      <c r="IDH110" s="863"/>
      <c r="IDI110" s="863"/>
      <c r="IDJ110" s="863"/>
      <c r="IDK110" s="863"/>
      <c r="IDL110" s="863"/>
      <c r="IDM110" s="863"/>
      <c r="IDN110" s="863"/>
      <c r="IDO110" s="863"/>
      <c r="IDP110" s="863"/>
      <c r="IDQ110" s="863"/>
      <c r="IDR110" s="863"/>
      <c r="IDS110" s="863"/>
      <c r="IDT110" s="863"/>
      <c r="IDU110" s="883"/>
      <c r="IDV110" s="883"/>
      <c r="IDW110" s="883"/>
      <c r="IDX110" s="883"/>
      <c r="IDY110" s="883"/>
      <c r="IDZ110" s="883"/>
      <c r="IEA110" s="883"/>
      <c r="IEB110" s="883"/>
      <c r="IEC110" s="883"/>
      <c r="IED110" s="863"/>
      <c r="IEE110" s="863"/>
      <c r="IEF110" s="863"/>
      <c r="IEG110" s="863"/>
      <c r="IEH110" s="863"/>
      <c r="IEI110" s="863"/>
      <c r="IEJ110" s="863"/>
      <c r="IEK110" s="863"/>
      <c r="IEL110" s="863"/>
      <c r="IEM110" s="863"/>
      <c r="IEN110" s="863"/>
      <c r="IEO110" s="863"/>
      <c r="IEP110" s="863"/>
      <c r="IEQ110" s="863"/>
      <c r="IER110" s="863"/>
      <c r="IES110" s="863"/>
      <c r="IET110" s="863"/>
      <c r="IEU110" s="863"/>
      <c r="IEV110" s="863"/>
      <c r="IEW110" s="863"/>
      <c r="IEX110" s="863"/>
      <c r="IEY110" s="863"/>
      <c r="IEZ110" s="863"/>
      <c r="IFA110" s="883"/>
      <c r="IFB110" s="883"/>
      <c r="IFC110" s="883"/>
      <c r="IFD110" s="883"/>
      <c r="IFE110" s="883"/>
      <c r="IFF110" s="883"/>
      <c r="IFG110" s="883"/>
      <c r="IFH110" s="883"/>
      <c r="IFI110" s="883"/>
      <c r="IFJ110" s="863"/>
      <c r="IFK110" s="863"/>
      <c r="IFL110" s="863"/>
      <c r="IFM110" s="863"/>
      <c r="IFN110" s="863"/>
      <c r="IFO110" s="863"/>
      <c r="IFP110" s="863"/>
      <c r="IFQ110" s="863"/>
      <c r="IFR110" s="863"/>
      <c r="IFS110" s="863"/>
      <c r="IFT110" s="863"/>
      <c r="IFU110" s="863"/>
      <c r="IFV110" s="863"/>
      <c r="IFW110" s="863"/>
      <c r="IFX110" s="863"/>
      <c r="IFY110" s="863"/>
      <c r="IFZ110" s="863"/>
      <c r="IGA110" s="863"/>
      <c r="IGB110" s="863"/>
      <c r="IGC110" s="863"/>
      <c r="IGD110" s="863"/>
      <c r="IGE110" s="863"/>
      <c r="IGF110" s="863"/>
      <c r="IGG110" s="883"/>
      <c r="IGH110" s="883"/>
      <c r="IGI110" s="883"/>
      <c r="IGJ110" s="883"/>
      <c r="IGK110" s="883"/>
      <c r="IGL110" s="883"/>
      <c r="IGM110" s="883"/>
      <c r="IGN110" s="883"/>
      <c r="IGO110" s="883"/>
      <c r="IGP110" s="863"/>
      <c r="IGQ110" s="863"/>
      <c r="IGR110" s="863"/>
      <c r="IGS110" s="863"/>
      <c r="IGT110" s="863"/>
      <c r="IGU110" s="863"/>
      <c r="IGV110" s="863"/>
      <c r="IGW110" s="863"/>
      <c r="IGX110" s="863"/>
      <c r="IGY110" s="863"/>
      <c r="IGZ110" s="863"/>
      <c r="IHA110" s="863"/>
      <c r="IHB110" s="863"/>
      <c r="IHC110" s="863"/>
      <c r="IHD110" s="863"/>
      <c r="IHE110" s="863"/>
      <c r="IHF110" s="863"/>
      <c r="IHG110" s="863"/>
      <c r="IHH110" s="863"/>
      <c r="IHI110" s="863"/>
      <c r="IHJ110" s="863"/>
      <c r="IHK110" s="863"/>
      <c r="IHL110" s="863"/>
      <c r="IHM110" s="883"/>
      <c r="IHN110" s="883"/>
      <c r="IHO110" s="883"/>
      <c r="IHP110" s="883"/>
      <c r="IHQ110" s="883"/>
      <c r="IHR110" s="883"/>
      <c r="IHS110" s="883"/>
      <c r="IHT110" s="883"/>
      <c r="IHU110" s="883"/>
      <c r="IHV110" s="863"/>
      <c r="IHW110" s="863"/>
      <c r="IHX110" s="863"/>
      <c r="IHY110" s="863"/>
      <c r="IHZ110" s="863"/>
      <c r="IIA110" s="863"/>
      <c r="IIB110" s="863"/>
      <c r="IIC110" s="863"/>
      <c r="IID110" s="863"/>
      <c r="IIE110" s="863"/>
      <c r="IIF110" s="863"/>
      <c r="IIG110" s="863"/>
      <c r="IIH110" s="863"/>
      <c r="III110" s="863"/>
      <c r="IIJ110" s="863"/>
      <c r="IIK110" s="863"/>
      <c r="IIL110" s="863"/>
      <c r="IIM110" s="863"/>
      <c r="IIN110" s="863"/>
      <c r="IIO110" s="863"/>
      <c r="IIP110" s="863"/>
      <c r="IIQ110" s="863"/>
      <c r="IIR110" s="863"/>
      <c r="IIS110" s="883"/>
      <c r="IIT110" s="883"/>
      <c r="IIU110" s="883"/>
      <c r="IIV110" s="883"/>
      <c r="IIW110" s="883"/>
      <c r="IIX110" s="883"/>
      <c r="IIY110" s="883"/>
      <c r="IIZ110" s="883"/>
      <c r="IJA110" s="883"/>
      <c r="IJB110" s="863"/>
      <c r="IJC110" s="863"/>
      <c r="IJD110" s="863"/>
      <c r="IJE110" s="863"/>
      <c r="IJF110" s="863"/>
      <c r="IJG110" s="863"/>
      <c r="IJH110" s="863"/>
      <c r="IJI110" s="863"/>
      <c r="IJJ110" s="863"/>
      <c r="IJK110" s="863"/>
      <c r="IJL110" s="863"/>
      <c r="IJM110" s="863"/>
      <c r="IJN110" s="863"/>
      <c r="IJO110" s="863"/>
      <c r="IJP110" s="863"/>
      <c r="IJQ110" s="863"/>
      <c r="IJR110" s="863"/>
      <c r="IJS110" s="863"/>
      <c r="IJT110" s="863"/>
      <c r="IJU110" s="863"/>
      <c r="IJV110" s="863"/>
      <c r="IJW110" s="863"/>
      <c r="IJX110" s="863"/>
      <c r="IJY110" s="883"/>
      <c r="IJZ110" s="883"/>
      <c r="IKA110" s="883"/>
      <c r="IKB110" s="883"/>
      <c r="IKC110" s="883"/>
      <c r="IKD110" s="883"/>
      <c r="IKE110" s="883"/>
      <c r="IKF110" s="883"/>
      <c r="IKG110" s="883"/>
      <c r="IKH110" s="863"/>
      <c r="IKI110" s="863"/>
      <c r="IKJ110" s="863"/>
      <c r="IKK110" s="863"/>
      <c r="IKL110" s="863"/>
      <c r="IKM110" s="863"/>
      <c r="IKN110" s="863"/>
      <c r="IKO110" s="863"/>
      <c r="IKP110" s="863"/>
      <c r="IKQ110" s="863"/>
      <c r="IKR110" s="863"/>
      <c r="IKS110" s="863"/>
      <c r="IKT110" s="863"/>
      <c r="IKU110" s="863"/>
      <c r="IKV110" s="863"/>
      <c r="IKW110" s="863"/>
      <c r="IKX110" s="863"/>
      <c r="IKY110" s="863"/>
      <c r="IKZ110" s="863"/>
      <c r="ILA110" s="863"/>
      <c r="ILB110" s="863"/>
      <c r="ILC110" s="863"/>
      <c r="ILD110" s="863"/>
      <c r="ILE110" s="883"/>
      <c r="ILF110" s="883"/>
      <c r="ILG110" s="883"/>
      <c r="ILH110" s="883"/>
      <c r="ILI110" s="883"/>
      <c r="ILJ110" s="883"/>
      <c r="ILK110" s="883"/>
      <c r="ILL110" s="883"/>
      <c r="ILM110" s="883"/>
      <c r="ILN110" s="863"/>
      <c r="ILO110" s="863"/>
      <c r="ILP110" s="863"/>
      <c r="ILQ110" s="863"/>
      <c r="ILR110" s="863"/>
      <c r="ILS110" s="863"/>
      <c r="ILT110" s="863"/>
      <c r="ILU110" s="863"/>
      <c r="ILV110" s="863"/>
      <c r="ILW110" s="863"/>
      <c r="ILX110" s="863"/>
      <c r="ILY110" s="863"/>
      <c r="ILZ110" s="863"/>
      <c r="IMA110" s="863"/>
      <c r="IMB110" s="863"/>
      <c r="IMC110" s="863"/>
      <c r="IMD110" s="863"/>
      <c r="IME110" s="863"/>
      <c r="IMF110" s="863"/>
      <c r="IMG110" s="863"/>
      <c r="IMH110" s="863"/>
      <c r="IMI110" s="863"/>
      <c r="IMJ110" s="863"/>
      <c r="IMK110" s="883"/>
      <c r="IML110" s="883"/>
      <c r="IMM110" s="883"/>
      <c r="IMN110" s="883"/>
      <c r="IMO110" s="883"/>
      <c r="IMP110" s="883"/>
      <c r="IMQ110" s="883"/>
      <c r="IMR110" s="883"/>
      <c r="IMS110" s="883"/>
      <c r="IMT110" s="863"/>
      <c r="IMU110" s="863"/>
      <c r="IMV110" s="863"/>
      <c r="IMW110" s="863"/>
      <c r="IMX110" s="863"/>
      <c r="IMY110" s="863"/>
      <c r="IMZ110" s="863"/>
      <c r="INA110" s="863"/>
      <c r="INB110" s="863"/>
      <c r="INC110" s="863"/>
      <c r="IND110" s="863"/>
      <c r="INE110" s="863"/>
      <c r="INF110" s="863"/>
      <c r="ING110" s="863"/>
      <c r="INH110" s="863"/>
      <c r="INI110" s="863"/>
      <c r="INJ110" s="863"/>
      <c r="INK110" s="863"/>
      <c r="INL110" s="863"/>
      <c r="INM110" s="863"/>
      <c r="INN110" s="863"/>
      <c r="INO110" s="863"/>
      <c r="INP110" s="863"/>
      <c r="INQ110" s="883"/>
      <c r="INR110" s="883"/>
      <c r="INS110" s="883"/>
      <c r="INT110" s="883"/>
      <c r="INU110" s="883"/>
      <c r="INV110" s="883"/>
      <c r="INW110" s="883"/>
      <c r="INX110" s="883"/>
      <c r="INY110" s="883"/>
      <c r="INZ110" s="863"/>
      <c r="IOA110" s="863"/>
      <c r="IOB110" s="863"/>
      <c r="IOC110" s="863"/>
      <c r="IOD110" s="863"/>
      <c r="IOE110" s="863"/>
      <c r="IOF110" s="863"/>
      <c r="IOG110" s="863"/>
      <c r="IOH110" s="863"/>
      <c r="IOI110" s="863"/>
      <c r="IOJ110" s="863"/>
      <c r="IOK110" s="863"/>
      <c r="IOL110" s="863"/>
      <c r="IOM110" s="863"/>
      <c r="ION110" s="863"/>
      <c r="IOO110" s="863"/>
      <c r="IOP110" s="863"/>
      <c r="IOQ110" s="863"/>
      <c r="IOR110" s="863"/>
      <c r="IOS110" s="863"/>
      <c r="IOT110" s="863"/>
      <c r="IOU110" s="863"/>
      <c r="IOV110" s="863"/>
      <c r="IOW110" s="883"/>
      <c r="IOX110" s="883"/>
      <c r="IOY110" s="883"/>
      <c r="IOZ110" s="883"/>
      <c r="IPA110" s="883"/>
      <c r="IPB110" s="883"/>
      <c r="IPC110" s="883"/>
      <c r="IPD110" s="883"/>
      <c r="IPE110" s="883"/>
      <c r="IPF110" s="863"/>
      <c r="IPG110" s="863"/>
      <c r="IPH110" s="863"/>
      <c r="IPI110" s="863"/>
      <c r="IPJ110" s="863"/>
      <c r="IPK110" s="863"/>
      <c r="IPL110" s="863"/>
      <c r="IPM110" s="863"/>
      <c r="IPN110" s="863"/>
      <c r="IPO110" s="863"/>
      <c r="IPP110" s="863"/>
      <c r="IPQ110" s="863"/>
      <c r="IPR110" s="863"/>
      <c r="IPS110" s="863"/>
      <c r="IPT110" s="863"/>
      <c r="IPU110" s="863"/>
      <c r="IPV110" s="863"/>
      <c r="IPW110" s="863"/>
      <c r="IPX110" s="863"/>
      <c r="IPY110" s="863"/>
      <c r="IPZ110" s="863"/>
      <c r="IQA110" s="863"/>
      <c r="IQB110" s="863"/>
      <c r="IQC110" s="883"/>
      <c r="IQD110" s="883"/>
      <c r="IQE110" s="883"/>
      <c r="IQF110" s="883"/>
      <c r="IQG110" s="883"/>
      <c r="IQH110" s="883"/>
      <c r="IQI110" s="883"/>
      <c r="IQJ110" s="883"/>
      <c r="IQK110" s="883"/>
      <c r="IQL110" s="863"/>
      <c r="IQM110" s="863"/>
      <c r="IQN110" s="863"/>
      <c r="IQO110" s="863"/>
      <c r="IQP110" s="863"/>
      <c r="IQQ110" s="863"/>
      <c r="IQR110" s="863"/>
      <c r="IQS110" s="863"/>
      <c r="IQT110" s="863"/>
      <c r="IQU110" s="863"/>
      <c r="IQV110" s="863"/>
      <c r="IQW110" s="863"/>
      <c r="IQX110" s="863"/>
      <c r="IQY110" s="863"/>
      <c r="IQZ110" s="863"/>
      <c r="IRA110" s="863"/>
      <c r="IRB110" s="863"/>
      <c r="IRC110" s="863"/>
      <c r="IRD110" s="863"/>
      <c r="IRE110" s="863"/>
      <c r="IRF110" s="863"/>
      <c r="IRG110" s="863"/>
      <c r="IRH110" s="863"/>
      <c r="IRI110" s="883"/>
      <c r="IRJ110" s="883"/>
      <c r="IRK110" s="883"/>
      <c r="IRL110" s="883"/>
      <c r="IRM110" s="883"/>
      <c r="IRN110" s="883"/>
      <c r="IRO110" s="883"/>
      <c r="IRP110" s="883"/>
      <c r="IRQ110" s="883"/>
      <c r="IRR110" s="863"/>
      <c r="IRS110" s="863"/>
      <c r="IRT110" s="863"/>
      <c r="IRU110" s="863"/>
      <c r="IRV110" s="863"/>
      <c r="IRW110" s="863"/>
      <c r="IRX110" s="863"/>
      <c r="IRY110" s="863"/>
      <c r="IRZ110" s="863"/>
      <c r="ISA110" s="863"/>
      <c r="ISB110" s="863"/>
      <c r="ISC110" s="863"/>
      <c r="ISD110" s="863"/>
      <c r="ISE110" s="863"/>
      <c r="ISF110" s="863"/>
      <c r="ISG110" s="863"/>
      <c r="ISH110" s="863"/>
      <c r="ISI110" s="863"/>
      <c r="ISJ110" s="863"/>
      <c r="ISK110" s="863"/>
      <c r="ISL110" s="863"/>
      <c r="ISM110" s="863"/>
      <c r="ISN110" s="863"/>
      <c r="ISO110" s="883"/>
      <c r="ISP110" s="883"/>
      <c r="ISQ110" s="883"/>
      <c r="ISR110" s="883"/>
      <c r="ISS110" s="883"/>
      <c r="IST110" s="883"/>
      <c r="ISU110" s="883"/>
      <c r="ISV110" s="883"/>
      <c r="ISW110" s="883"/>
      <c r="ISX110" s="863"/>
      <c r="ISY110" s="863"/>
      <c r="ISZ110" s="863"/>
      <c r="ITA110" s="863"/>
      <c r="ITB110" s="863"/>
      <c r="ITC110" s="863"/>
      <c r="ITD110" s="863"/>
      <c r="ITE110" s="863"/>
      <c r="ITF110" s="863"/>
      <c r="ITG110" s="863"/>
      <c r="ITH110" s="863"/>
      <c r="ITI110" s="863"/>
      <c r="ITJ110" s="863"/>
      <c r="ITK110" s="863"/>
      <c r="ITL110" s="863"/>
      <c r="ITM110" s="863"/>
      <c r="ITN110" s="863"/>
      <c r="ITO110" s="863"/>
      <c r="ITP110" s="863"/>
      <c r="ITQ110" s="863"/>
      <c r="ITR110" s="863"/>
      <c r="ITS110" s="863"/>
      <c r="ITT110" s="863"/>
      <c r="ITU110" s="883"/>
      <c r="ITV110" s="883"/>
      <c r="ITW110" s="883"/>
      <c r="ITX110" s="883"/>
      <c r="ITY110" s="883"/>
      <c r="ITZ110" s="883"/>
      <c r="IUA110" s="883"/>
      <c r="IUB110" s="883"/>
      <c r="IUC110" s="883"/>
      <c r="IUD110" s="863"/>
      <c r="IUE110" s="863"/>
      <c r="IUF110" s="863"/>
      <c r="IUG110" s="863"/>
      <c r="IUH110" s="863"/>
      <c r="IUI110" s="863"/>
      <c r="IUJ110" s="863"/>
      <c r="IUK110" s="863"/>
      <c r="IUL110" s="863"/>
      <c r="IUM110" s="863"/>
      <c r="IUN110" s="863"/>
      <c r="IUO110" s="863"/>
      <c r="IUP110" s="863"/>
      <c r="IUQ110" s="863"/>
      <c r="IUR110" s="863"/>
      <c r="IUS110" s="863"/>
      <c r="IUT110" s="863"/>
      <c r="IUU110" s="863"/>
      <c r="IUV110" s="863"/>
      <c r="IUW110" s="863"/>
      <c r="IUX110" s="863"/>
      <c r="IUY110" s="863"/>
      <c r="IUZ110" s="863"/>
      <c r="IVA110" s="883"/>
      <c r="IVB110" s="883"/>
      <c r="IVC110" s="883"/>
      <c r="IVD110" s="883"/>
      <c r="IVE110" s="883"/>
      <c r="IVF110" s="883"/>
      <c r="IVG110" s="883"/>
      <c r="IVH110" s="883"/>
      <c r="IVI110" s="883"/>
      <c r="IVJ110" s="863"/>
      <c r="IVK110" s="863"/>
      <c r="IVL110" s="863"/>
      <c r="IVM110" s="863"/>
      <c r="IVN110" s="863"/>
      <c r="IVO110" s="863"/>
      <c r="IVP110" s="863"/>
      <c r="IVQ110" s="863"/>
      <c r="IVR110" s="863"/>
      <c r="IVS110" s="863"/>
      <c r="IVT110" s="863"/>
      <c r="IVU110" s="863"/>
      <c r="IVV110" s="863"/>
      <c r="IVW110" s="863"/>
      <c r="IVX110" s="863"/>
      <c r="IVY110" s="863"/>
      <c r="IVZ110" s="863"/>
      <c r="IWA110" s="863"/>
      <c r="IWB110" s="863"/>
      <c r="IWC110" s="863"/>
      <c r="IWD110" s="863"/>
      <c r="IWE110" s="863"/>
      <c r="IWF110" s="863"/>
      <c r="IWG110" s="883"/>
      <c r="IWH110" s="883"/>
      <c r="IWI110" s="883"/>
      <c r="IWJ110" s="883"/>
      <c r="IWK110" s="883"/>
      <c r="IWL110" s="883"/>
      <c r="IWM110" s="883"/>
      <c r="IWN110" s="883"/>
      <c r="IWO110" s="883"/>
      <c r="IWP110" s="863"/>
      <c r="IWQ110" s="863"/>
      <c r="IWR110" s="863"/>
      <c r="IWS110" s="863"/>
      <c r="IWT110" s="863"/>
      <c r="IWU110" s="863"/>
      <c r="IWV110" s="863"/>
      <c r="IWW110" s="863"/>
      <c r="IWX110" s="863"/>
      <c r="IWY110" s="863"/>
      <c r="IWZ110" s="863"/>
      <c r="IXA110" s="863"/>
      <c r="IXB110" s="863"/>
      <c r="IXC110" s="863"/>
      <c r="IXD110" s="863"/>
      <c r="IXE110" s="863"/>
      <c r="IXF110" s="863"/>
      <c r="IXG110" s="863"/>
      <c r="IXH110" s="863"/>
      <c r="IXI110" s="863"/>
      <c r="IXJ110" s="863"/>
      <c r="IXK110" s="863"/>
      <c r="IXL110" s="863"/>
      <c r="IXM110" s="883"/>
      <c r="IXN110" s="883"/>
      <c r="IXO110" s="883"/>
      <c r="IXP110" s="883"/>
      <c r="IXQ110" s="883"/>
      <c r="IXR110" s="883"/>
      <c r="IXS110" s="883"/>
      <c r="IXT110" s="883"/>
      <c r="IXU110" s="883"/>
      <c r="IXV110" s="863"/>
      <c r="IXW110" s="863"/>
      <c r="IXX110" s="863"/>
      <c r="IXY110" s="863"/>
      <c r="IXZ110" s="863"/>
      <c r="IYA110" s="863"/>
      <c r="IYB110" s="863"/>
      <c r="IYC110" s="863"/>
      <c r="IYD110" s="863"/>
      <c r="IYE110" s="863"/>
      <c r="IYF110" s="863"/>
      <c r="IYG110" s="863"/>
      <c r="IYH110" s="863"/>
      <c r="IYI110" s="863"/>
      <c r="IYJ110" s="863"/>
      <c r="IYK110" s="863"/>
      <c r="IYL110" s="863"/>
      <c r="IYM110" s="863"/>
      <c r="IYN110" s="863"/>
      <c r="IYO110" s="863"/>
      <c r="IYP110" s="863"/>
      <c r="IYQ110" s="863"/>
      <c r="IYR110" s="863"/>
      <c r="IYS110" s="883"/>
      <c r="IYT110" s="883"/>
      <c r="IYU110" s="883"/>
      <c r="IYV110" s="883"/>
      <c r="IYW110" s="883"/>
      <c r="IYX110" s="883"/>
      <c r="IYY110" s="883"/>
      <c r="IYZ110" s="883"/>
      <c r="IZA110" s="883"/>
      <c r="IZB110" s="863"/>
      <c r="IZC110" s="863"/>
      <c r="IZD110" s="863"/>
      <c r="IZE110" s="863"/>
      <c r="IZF110" s="863"/>
      <c r="IZG110" s="863"/>
      <c r="IZH110" s="863"/>
      <c r="IZI110" s="863"/>
      <c r="IZJ110" s="863"/>
      <c r="IZK110" s="863"/>
      <c r="IZL110" s="863"/>
      <c r="IZM110" s="863"/>
      <c r="IZN110" s="863"/>
      <c r="IZO110" s="863"/>
      <c r="IZP110" s="863"/>
      <c r="IZQ110" s="863"/>
      <c r="IZR110" s="863"/>
      <c r="IZS110" s="863"/>
      <c r="IZT110" s="863"/>
      <c r="IZU110" s="863"/>
      <c r="IZV110" s="863"/>
      <c r="IZW110" s="863"/>
      <c r="IZX110" s="863"/>
      <c r="IZY110" s="883"/>
      <c r="IZZ110" s="883"/>
      <c r="JAA110" s="883"/>
      <c r="JAB110" s="883"/>
      <c r="JAC110" s="883"/>
      <c r="JAD110" s="883"/>
      <c r="JAE110" s="883"/>
      <c r="JAF110" s="883"/>
      <c r="JAG110" s="883"/>
      <c r="JAH110" s="863"/>
      <c r="JAI110" s="863"/>
      <c r="JAJ110" s="863"/>
      <c r="JAK110" s="863"/>
      <c r="JAL110" s="863"/>
      <c r="JAM110" s="863"/>
      <c r="JAN110" s="863"/>
      <c r="JAO110" s="863"/>
      <c r="JAP110" s="863"/>
      <c r="JAQ110" s="863"/>
      <c r="JAR110" s="863"/>
      <c r="JAS110" s="863"/>
      <c r="JAT110" s="863"/>
      <c r="JAU110" s="863"/>
      <c r="JAV110" s="863"/>
      <c r="JAW110" s="863"/>
      <c r="JAX110" s="863"/>
      <c r="JAY110" s="863"/>
      <c r="JAZ110" s="863"/>
      <c r="JBA110" s="863"/>
      <c r="JBB110" s="863"/>
      <c r="JBC110" s="863"/>
      <c r="JBD110" s="863"/>
      <c r="JBE110" s="883"/>
      <c r="JBF110" s="883"/>
      <c r="JBG110" s="883"/>
      <c r="JBH110" s="883"/>
      <c r="JBI110" s="883"/>
      <c r="JBJ110" s="883"/>
      <c r="JBK110" s="883"/>
      <c r="JBL110" s="883"/>
      <c r="JBM110" s="883"/>
      <c r="JBN110" s="863"/>
      <c r="JBO110" s="863"/>
      <c r="JBP110" s="863"/>
      <c r="JBQ110" s="863"/>
      <c r="JBR110" s="863"/>
      <c r="JBS110" s="863"/>
      <c r="JBT110" s="863"/>
      <c r="JBU110" s="863"/>
      <c r="JBV110" s="863"/>
      <c r="JBW110" s="863"/>
      <c r="JBX110" s="863"/>
      <c r="JBY110" s="863"/>
      <c r="JBZ110" s="863"/>
      <c r="JCA110" s="863"/>
      <c r="JCB110" s="863"/>
      <c r="JCC110" s="863"/>
      <c r="JCD110" s="863"/>
      <c r="JCE110" s="863"/>
      <c r="JCF110" s="863"/>
      <c r="JCG110" s="863"/>
      <c r="JCH110" s="863"/>
      <c r="JCI110" s="863"/>
      <c r="JCJ110" s="863"/>
      <c r="JCK110" s="883"/>
      <c r="JCL110" s="883"/>
      <c r="JCM110" s="883"/>
      <c r="JCN110" s="883"/>
      <c r="JCO110" s="883"/>
      <c r="JCP110" s="883"/>
      <c r="JCQ110" s="883"/>
      <c r="JCR110" s="883"/>
      <c r="JCS110" s="883"/>
      <c r="JCT110" s="863"/>
      <c r="JCU110" s="863"/>
      <c r="JCV110" s="863"/>
      <c r="JCW110" s="863"/>
      <c r="JCX110" s="863"/>
      <c r="JCY110" s="863"/>
      <c r="JCZ110" s="863"/>
      <c r="JDA110" s="863"/>
      <c r="JDB110" s="863"/>
      <c r="JDC110" s="863"/>
      <c r="JDD110" s="863"/>
      <c r="JDE110" s="863"/>
      <c r="JDF110" s="863"/>
      <c r="JDG110" s="863"/>
      <c r="JDH110" s="863"/>
      <c r="JDI110" s="863"/>
      <c r="JDJ110" s="863"/>
      <c r="JDK110" s="863"/>
      <c r="JDL110" s="863"/>
      <c r="JDM110" s="863"/>
      <c r="JDN110" s="863"/>
      <c r="JDO110" s="863"/>
      <c r="JDP110" s="863"/>
      <c r="JDQ110" s="883"/>
      <c r="JDR110" s="883"/>
      <c r="JDS110" s="883"/>
      <c r="JDT110" s="883"/>
      <c r="JDU110" s="883"/>
      <c r="JDV110" s="883"/>
      <c r="JDW110" s="883"/>
      <c r="JDX110" s="883"/>
      <c r="JDY110" s="883"/>
      <c r="JDZ110" s="863"/>
      <c r="JEA110" s="863"/>
      <c r="JEB110" s="863"/>
      <c r="JEC110" s="863"/>
      <c r="JED110" s="863"/>
      <c r="JEE110" s="863"/>
      <c r="JEF110" s="863"/>
      <c r="JEG110" s="863"/>
      <c r="JEH110" s="863"/>
      <c r="JEI110" s="863"/>
      <c r="JEJ110" s="863"/>
      <c r="JEK110" s="863"/>
      <c r="JEL110" s="863"/>
      <c r="JEM110" s="863"/>
      <c r="JEN110" s="863"/>
      <c r="JEO110" s="863"/>
      <c r="JEP110" s="863"/>
      <c r="JEQ110" s="863"/>
      <c r="JER110" s="863"/>
      <c r="JES110" s="863"/>
      <c r="JET110" s="863"/>
      <c r="JEU110" s="863"/>
      <c r="JEV110" s="863"/>
      <c r="JEW110" s="883"/>
      <c r="JEX110" s="883"/>
      <c r="JEY110" s="883"/>
      <c r="JEZ110" s="883"/>
      <c r="JFA110" s="883"/>
      <c r="JFB110" s="883"/>
      <c r="JFC110" s="883"/>
      <c r="JFD110" s="883"/>
      <c r="JFE110" s="883"/>
      <c r="JFF110" s="863"/>
      <c r="JFG110" s="863"/>
      <c r="JFH110" s="863"/>
      <c r="JFI110" s="863"/>
      <c r="JFJ110" s="863"/>
      <c r="JFK110" s="863"/>
      <c r="JFL110" s="863"/>
      <c r="JFM110" s="863"/>
      <c r="JFN110" s="863"/>
      <c r="JFO110" s="863"/>
      <c r="JFP110" s="863"/>
      <c r="JFQ110" s="863"/>
      <c r="JFR110" s="863"/>
      <c r="JFS110" s="863"/>
      <c r="JFT110" s="863"/>
      <c r="JFU110" s="863"/>
      <c r="JFV110" s="863"/>
      <c r="JFW110" s="863"/>
      <c r="JFX110" s="863"/>
      <c r="JFY110" s="863"/>
      <c r="JFZ110" s="863"/>
      <c r="JGA110" s="863"/>
      <c r="JGB110" s="863"/>
      <c r="JGC110" s="883"/>
      <c r="JGD110" s="883"/>
      <c r="JGE110" s="883"/>
      <c r="JGF110" s="883"/>
      <c r="JGG110" s="883"/>
      <c r="JGH110" s="883"/>
      <c r="JGI110" s="883"/>
      <c r="JGJ110" s="883"/>
      <c r="JGK110" s="883"/>
      <c r="JGL110" s="863"/>
      <c r="JGM110" s="863"/>
      <c r="JGN110" s="863"/>
      <c r="JGO110" s="863"/>
      <c r="JGP110" s="863"/>
      <c r="JGQ110" s="863"/>
      <c r="JGR110" s="863"/>
      <c r="JGS110" s="863"/>
      <c r="JGT110" s="863"/>
      <c r="JGU110" s="863"/>
      <c r="JGV110" s="863"/>
      <c r="JGW110" s="863"/>
      <c r="JGX110" s="863"/>
      <c r="JGY110" s="863"/>
      <c r="JGZ110" s="863"/>
      <c r="JHA110" s="863"/>
      <c r="JHB110" s="863"/>
      <c r="JHC110" s="863"/>
      <c r="JHD110" s="863"/>
      <c r="JHE110" s="863"/>
      <c r="JHF110" s="863"/>
      <c r="JHG110" s="863"/>
      <c r="JHH110" s="863"/>
      <c r="JHI110" s="883"/>
      <c r="JHJ110" s="883"/>
      <c r="JHK110" s="883"/>
      <c r="JHL110" s="883"/>
      <c r="JHM110" s="883"/>
      <c r="JHN110" s="883"/>
      <c r="JHO110" s="883"/>
      <c r="JHP110" s="883"/>
      <c r="JHQ110" s="883"/>
      <c r="JHR110" s="863"/>
      <c r="JHS110" s="863"/>
      <c r="JHT110" s="863"/>
      <c r="JHU110" s="863"/>
      <c r="JHV110" s="863"/>
      <c r="JHW110" s="863"/>
      <c r="JHX110" s="863"/>
      <c r="JHY110" s="863"/>
      <c r="JHZ110" s="863"/>
      <c r="JIA110" s="863"/>
      <c r="JIB110" s="863"/>
      <c r="JIC110" s="863"/>
      <c r="JID110" s="863"/>
      <c r="JIE110" s="863"/>
      <c r="JIF110" s="863"/>
      <c r="JIG110" s="863"/>
      <c r="JIH110" s="863"/>
      <c r="JII110" s="863"/>
      <c r="JIJ110" s="863"/>
      <c r="JIK110" s="863"/>
      <c r="JIL110" s="863"/>
      <c r="JIM110" s="863"/>
      <c r="JIN110" s="863"/>
      <c r="JIO110" s="883"/>
      <c r="JIP110" s="883"/>
      <c r="JIQ110" s="883"/>
      <c r="JIR110" s="883"/>
      <c r="JIS110" s="883"/>
      <c r="JIT110" s="883"/>
      <c r="JIU110" s="883"/>
      <c r="JIV110" s="883"/>
      <c r="JIW110" s="883"/>
      <c r="JIX110" s="863"/>
      <c r="JIY110" s="863"/>
      <c r="JIZ110" s="863"/>
      <c r="JJA110" s="863"/>
      <c r="JJB110" s="863"/>
      <c r="JJC110" s="863"/>
      <c r="JJD110" s="863"/>
      <c r="JJE110" s="863"/>
      <c r="JJF110" s="863"/>
      <c r="JJG110" s="863"/>
      <c r="JJH110" s="863"/>
      <c r="JJI110" s="863"/>
      <c r="JJJ110" s="863"/>
      <c r="JJK110" s="863"/>
      <c r="JJL110" s="863"/>
      <c r="JJM110" s="863"/>
      <c r="JJN110" s="863"/>
      <c r="JJO110" s="863"/>
      <c r="JJP110" s="863"/>
      <c r="JJQ110" s="863"/>
      <c r="JJR110" s="863"/>
      <c r="JJS110" s="863"/>
      <c r="JJT110" s="863"/>
      <c r="JJU110" s="883"/>
      <c r="JJV110" s="883"/>
      <c r="JJW110" s="883"/>
      <c r="JJX110" s="883"/>
      <c r="JJY110" s="883"/>
      <c r="JJZ110" s="883"/>
      <c r="JKA110" s="883"/>
      <c r="JKB110" s="883"/>
      <c r="JKC110" s="883"/>
      <c r="JKD110" s="863"/>
      <c r="JKE110" s="863"/>
      <c r="JKF110" s="863"/>
      <c r="JKG110" s="863"/>
      <c r="JKH110" s="863"/>
      <c r="JKI110" s="863"/>
      <c r="JKJ110" s="863"/>
      <c r="JKK110" s="863"/>
      <c r="JKL110" s="863"/>
      <c r="JKM110" s="863"/>
      <c r="JKN110" s="863"/>
      <c r="JKO110" s="863"/>
      <c r="JKP110" s="863"/>
      <c r="JKQ110" s="863"/>
      <c r="JKR110" s="863"/>
      <c r="JKS110" s="863"/>
      <c r="JKT110" s="863"/>
      <c r="JKU110" s="863"/>
      <c r="JKV110" s="863"/>
      <c r="JKW110" s="863"/>
      <c r="JKX110" s="863"/>
      <c r="JKY110" s="863"/>
      <c r="JKZ110" s="863"/>
      <c r="JLA110" s="883"/>
      <c r="JLB110" s="883"/>
      <c r="JLC110" s="883"/>
      <c r="JLD110" s="883"/>
      <c r="JLE110" s="883"/>
      <c r="JLF110" s="883"/>
      <c r="JLG110" s="883"/>
      <c r="JLH110" s="883"/>
      <c r="JLI110" s="883"/>
      <c r="JLJ110" s="863"/>
      <c r="JLK110" s="863"/>
      <c r="JLL110" s="863"/>
      <c r="JLM110" s="863"/>
      <c r="JLN110" s="863"/>
      <c r="JLO110" s="863"/>
      <c r="JLP110" s="863"/>
      <c r="JLQ110" s="863"/>
      <c r="JLR110" s="863"/>
      <c r="JLS110" s="863"/>
      <c r="JLT110" s="863"/>
      <c r="JLU110" s="863"/>
      <c r="JLV110" s="863"/>
      <c r="JLW110" s="863"/>
      <c r="JLX110" s="863"/>
      <c r="JLY110" s="863"/>
      <c r="JLZ110" s="863"/>
      <c r="JMA110" s="863"/>
      <c r="JMB110" s="863"/>
      <c r="JMC110" s="863"/>
      <c r="JMD110" s="863"/>
      <c r="JME110" s="863"/>
      <c r="JMF110" s="863"/>
      <c r="JMG110" s="883"/>
      <c r="JMH110" s="883"/>
      <c r="JMI110" s="883"/>
      <c r="JMJ110" s="883"/>
      <c r="JMK110" s="883"/>
      <c r="JML110" s="883"/>
      <c r="JMM110" s="883"/>
      <c r="JMN110" s="883"/>
      <c r="JMO110" s="883"/>
      <c r="JMP110" s="863"/>
      <c r="JMQ110" s="863"/>
      <c r="JMR110" s="863"/>
      <c r="JMS110" s="863"/>
      <c r="JMT110" s="863"/>
      <c r="JMU110" s="863"/>
      <c r="JMV110" s="863"/>
      <c r="JMW110" s="863"/>
      <c r="JMX110" s="863"/>
      <c r="JMY110" s="863"/>
      <c r="JMZ110" s="863"/>
      <c r="JNA110" s="863"/>
      <c r="JNB110" s="863"/>
      <c r="JNC110" s="863"/>
      <c r="JND110" s="863"/>
      <c r="JNE110" s="863"/>
      <c r="JNF110" s="863"/>
      <c r="JNG110" s="863"/>
      <c r="JNH110" s="863"/>
      <c r="JNI110" s="863"/>
      <c r="JNJ110" s="863"/>
      <c r="JNK110" s="863"/>
      <c r="JNL110" s="863"/>
      <c r="JNM110" s="883"/>
      <c r="JNN110" s="883"/>
      <c r="JNO110" s="883"/>
      <c r="JNP110" s="883"/>
      <c r="JNQ110" s="883"/>
      <c r="JNR110" s="883"/>
      <c r="JNS110" s="883"/>
      <c r="JNT110" s="883"/>
      <c r="JNU110" s="883"/>
      <c r="JNV110" s="863"/>
      <c r="JNW110" s="863"/>
      <c r="JNX110" s="863"/>
      <c r="JNY110" s="863"/>
      <c r="JNZ110" s="863"/>
      <c r="JOA110" s="863"/>
      <c r="JOB110" s="863"/>
      <c r="JOC110" s="863"/>
      <c r="JOD110" s="863"/>
      <c r="JOE110" s="863"/>
      <c r="JOF110" s="863"/>
      <c r="JOG110" s="863"/>
      <c r="JOH110" s="863"/>
      <c r="JOI110" s="863"/>
      <c r="JOJ110" s="863"/>
      <c r="JOK110" s="863"/>
      <c r="JOL110" s="863"/>
      <c r="JOM110" s="863"/>
      <c r="JON110" s="863"/>
      <c r="JOO110" s="863"/>
      <c r="JOP110" s="863"/>
      <c r="JOQ110" s="863"/>
      <c r="JOR110" s="863"/>
      <c r="JOS110" s="883"/>
      <c r="JOT110" s="883"/>
      <c r="JOU110" s="883"/>
      <c r="JOV110" s="883"/>
      <c r="JOW110" s="883"/>
      <c r="JOX110" s="883"/>
      <c r="JOY110" s="883"/>
      <c r="JOZ110" s="883"/>
      <c r="JPA110" s="883"/>
      <c r="JPB110" s="863"/>
      <c r="JPC110" s="863"/>
      <c r="JPD110" s="863"/>
      <c r="JPE110" s="863"/>
      <c r="JPF110" s="863"/>
      <c r="JPG110" s="863"/>
      <c r="JPH110" s="863"/>
      <c r="JPI110" s="863"/>
      <c r="JPJ110" s="863"/>
      <c r="JPK110" s="863"/>
      <c r="JPL110" s="863"/>
      <c r="JPM110" s="863"/>
      <c r="JPN110" s="863"/>
      <c r="JPO110" s="863"/>
      <c r="JPP110" s="863"/>
      <c r="JPQ110" s="863"/>
      <c r="JPR110" s="863"/>
      <c r="JPS110" s="863"/>
      <c r="JPT110" s="863"/>
      <c r="JPU110" s="863"/>
      <c r="JPV110" s="863"/>
      <c r="JPW110" s="863"/>
      <c r="JPX110" s="863"/>
      <c r="JPY110" s="883"/>
      <c r="JPZ110" s="883"/>
      <c r="JQA110" s="883"/>
      <c r="JQB110" s="883"/>
      <c r="JQC110" s="883"/>
      <c r="JQD110" s="883"/>
      <c r="JQE110" s="883"/>
      <c r="JQF110" s="883"/>
      <c r="JQG110" s="883"/>
      <c r="JQH110" s="863"/>
      <c r="JQI110" s="863"/>
      <c r="JQJ110" s="863"/>
      <c r="JQK110" s="863"/>
      <c r="JQL110" s="863"/>
      <c r="JQM110" s="863"/>
      <c r="JQN110" s="863"/>
      <c r="JQO110" s="863"/>
      <c r="JQP110" s="863"/>
      <c r="JQQ110" s="863"/>
      <c r="JQR110" s="863"/>
      <c r="JQS110" s="863"/>
      <c r="JQT110" s="863"/>
      <c r="JQU110" s="863"/>
      <c r="JQV110" s="863"/>
      <c r="JQW110" s="863"/>
      <c r="JQX110" s="863"/>
      <c r="JQY110" s="863"/>
      <c r="JQZ110" s="863"/>
      <c r="JRA110" s="863"/>
      <c r="JRB110" s="863"/>
      <c r="JRC110" s="863"/>
      <c r="JRD110" s="863"/>
      <c r="JRE110" s="883"/>
      <c r="JRF110" s="883"/>
      <c r="JRG110" s="883"/>
      <c r="JRH110" s="883"/>
      <c r="JRI110" s="883"/>
      <c r="JRJ110" s="883"/>
      <c r="JRK110" s="883"/>
      <c r="JRL110" s="883"/>
      <c r="JRM110" s="883"/>
      <c r="JRN110" s="863"/>
      <c r="JRO110" s="863"/>
      <c r="JRP110" s="863"/>
      <c r="JRQ110" s="863"/>
      <c r="JRR110" s="863"/>
      <c r="JRS110" s="863"/>
      <c r="JRT110" s="863"/>
      <c r="JRU110" s="863"/>
      <c r="JRV110" s="863"/>
      <c r="JRW110" s="863"/>
      <c r="JRX110" s="863"/>
      <c r="JRY110" s="863"/>
      <c r="JRZ110" s="863"/>
      <c r="JSA110" s="863"/>
      <c r="JSB110" s="863"/>
      <c r="JSC110" s="863"/>
      <c r="JSD110" s="863"/>
      <c r="JSE110" s="863"/>
      <c r="JSF110" s="863"/>
      <c r="JSG110" s="863"/>
      <c r="JSH110" s="863"/>
      <c r="JSI110" s="863"/>
      <c r="JSJ110" s="863"/>
      <c r="JSK110" s="883"/>
      <c r="JSL110" s="883"/>
      <c r="JSM110" s="883"/>
      <c r="JSN110" s="883"/>
      <c r="JSO110" s="883"/>
      <c r="JSP110" s="883"/>
      <c r="JSQ110" s="883"/>
      <c r="JSR110" s="883"/>
      <c r="JSS110" s="883"/>
      <c r="JST110" s="863"/>
      <c r="JSU110" s="863"/>
      <c r="JSV110" s="863"/>
      <c r="JSW110" s="863"/>
      <c r="JSX110" s="863"/>
      <c r="JSY110" s="863"/>
      <c r="JSZ110" s="863"/>
      <c r="JTA110" s="863"/>
      <c r="JTB110" s="863"/>
      <c r="JTC110" s="863"/>
      <c r="JTD110" s="863"/>
      <c r="JTE110" s="863"/>
      <c r="JTF110" s="863"/>
      <c r="JTG110" s="863"/>
      <c r="JTH110" s="863"/>
      <c r="JTI110" s="863"/>
      <c r="JTJ110" s="863"/>
      <c r="JTK110" s="863"/>
      <c r="JTL110" s="863"/>
      <c r="JTM110" s="863"/>
      <c r="JTN110" s="863"/>
      <c r="JTO110" s="863"/>
      <c r="JTP110" s="863"/>
      <c r="JTQ110" s="883"/>
      <c r="JTR110" s="883"/>
      <c r="JTS110" s="883"/>
      <c r="JTT110" s="883"/>
      <c r="JTU110" s="883"/>
      <c r="JTV110" s="883"/>
      <c r="JTW110" s="883"/>
      <c r="JTX110" s="883"/>
      <c r="JTY110" s="883"/>
      <c r="JTZ110" s="863"/>
      <c r="JUA110" s="863"/>
      <c r="JUB110" s="863"/>
      <c r="JUC110" s="863"/>
      <c r="JUD110" s="863"/>
      <c r="JUE110" s="863"/>
      <c r="JUF110" s="863"/>
      <c r="JUG110" s="863"/>
      <c r="JUH110" s="863"/>
      <c r="JUI110" s="863"/>
      <c r="JUJ110" s="863"/>
      <c r="JUK110" s="863"/>
      <c r="JUL110" s="863"/>
      <c r="JUM110" s="863"/>
      <c r="JUN110" s="863"/>
      <c r="JUO110" s="863"/>
      <c r="JUP110" s="863"/>
      <c r="JUQ110" s="863"/>
      <c r="JUR110" s="863"/>
      <c r="JUS110" s="863"/>
      <c r="JUT110" s="863"/>
      <c r="JUU110" s="863"/>
      <c r="JUV110" s="863"/>
      <c r="JUW110" s="883"/>
      <c r="JUX110" s="883"/>
      <c r="JUY110" s="883"/>
      <c r="JUZ110" s="883"/>
      <c r="JVA110" s="883"/>
      <c r="JVB110" s="883"/>
      <c r="JVC110" s="883"/>
      <c r="JVD110" s="883"/>
      <c r="JVE110" s="883"/>
      <c r="JVF110" s="863"/>
      <c r="JVG110" s="863"/>
      <c r="JVH110" s="863"/>
      <c r="JVI110" s="863"/>
      <c r="JVJ110" s="863"/>
      <c r="JVK110" s="863"/>
      <c r="JVL110" s="863"/>
      <c r="JVM110" s="863"/>
      <c r="JVN110" s="863"/>
      <c r="JVO110" s="863"/>
      <c r="JVP110" s="863"/>
      <c r="JVQ110" s="863"/>
      <c r="JVR110" s="863"/>
      <c r="JVS110" s="863"/>
      <c r="JVT110" s="863"/>
      <c r="JVU110" s="863"/>
      <c r="JVV110" s="863"/>
      <c r="JVW110" s="863"/>
      <c r="JVX110" s="863"/>
      <c r="JVY110" s="863"/>
      <c r="JVZ110" s="863"/>
      <c r="JWA110" s="863"/>
      <c r="JWB110" s="863"/>
      <c r="JWC110" s="883"/>
      <c r="JWD110" s="883"/>
      <c r="JWE110" s="883"/>
      <c r="JWF110" s="883"/>
      <c r="JWG110" s="883"/>
      <c r="JWH110" s="883"/>
      <c r="JWI110" s="883"/>
      <c r="JWJ110" s="883"/>
      <c r="JWK110" s="883"/>
      <c r="JWL110" s="863"/>
      <c r="JWM110" s="863"/>
      <c r="JWN110" s="863"/>
      <c r="JWO110" s="863"/>
      <c r="JWP110" s="863"/>
      <c r="JWQ110" s="863"/>
      <c r="JWR110" s="863"/>
      <c r="JWS110" s="863"/>
      <c r="JWT110" s="863"/>
      <c r="JWU110" s="863"/>
      <c r="JWV110" s="863"/>
      <c r="JWW110" s="863"/>
      <c r="JWX110" s="863"/>
      <c r="JWY110" s="863"/>
      <c r="JWZ110" s="863"/>
      <c r="JXA110" s="863"/>
      <c r="JXB110" s="863"/>
      <c r="JXC110" s="863"/>
      <c r="JXD110" s="863"/>
      <c r="JXE110" s="863"/>
      <c r="JXF110" s="863"/>
      <c r="JXG110" s="863"/>
      <c r="JXH110" s="863"/>
      <c r="JXI110" s="883"/>
      <c r="JXJ110" s="883"/>
      <c r="JXK110" s="883"/>
      <c r="JXL110" s="883"/>
      <c r="JXM110" s="883"/>
      <c r="JXN110" s="883"/>
      <c r="JXO110" s="883"/>
      <c r="JXP110" s="883"/>
      <c r="JXQ110" s="883"/>
      <c r="JXR110" s="863"/>
      <c r="JXS110" s="863"/>
      <c r="JXT110" s="863"/>
      <c r="JXU110" s="863"/>
      <c r="JXV110" s="863"/>
      <c r="JXW110" s="863"/>
      <c r="JXX110" s="863"/>
      <c r="JXY110" s="863"/>
      <c r="JXZ110" s="863"/>
      <c r="JYA110" s="863"/>
      <c r="JYB110" s="863"/>
      <c r="JYC110" s="863"/>
      <c r="JYD110" s="863"/>
      <c r="JYE110" s="863"/>
      <c r="JYF110" s="863"/>
      <c r="JYG110" s="863"/>
      <c r="JYH110" s="863"/>
      <c r="JYI110" s="863"/>
      <c r="JYJ110" s="863"/>
      <c r="JYK110" s="863"/>
      <c r="JYL110" s="863"/>
      <c r="JYM110" s="863"/>
      <c r="JYN110" s="863"/>
      <c r="JYO110" s="883"/>
      <c r="JYP110" s="883"/>
      <c r="JYQ110" s="883"/>
      <c r="JYR110" s="883"/>
      <c r="JYS110" s="883"/>
      <c r="JYT110" s="883"/>
      <c r="JYU110" s="883"/>
      <c r="JYV110" s="883"/>
      <c r="JYW110" s="883"/>
      <c r="JYX110" s="863"/>
      <c r="JYY110" s="863"/>
      <c r="JYZ110" s="863"/>
      <c r="JZA110" s="863"/>
      <c r="JZB110" s="863"/>
      <c r="JZC110" s="863"/>
      <c r="JZD110" s="863"/>
      <c r="JZE110" s="863"/>
      <c r="JZF110" s="863"/>
      <c r="JZG110" s="863"/>
      <c r="JZH110" s="863"/>
      <c r="JZI110" s="863"/>
      <c r="JZJ110" s="863"/>
      <c r="JZK110" s="863"/>
      <c r="JZL110" s="863"/>
      <c r="JZM110" s="863"/>
      <c r="JZN110" s="863"/>
      <c r="JZO110" s="863"/>
      <c r="JZP110" s="863"/>
      <c r="JZQ110" s="863"/>
      <c r="JZR110" s="863"/>
      <c r="JZS110" s="863"/>
      <c r="JZT110" s="863"/>
      <c r="JZU110" s="883"/>
      <c r="JZV110" s="883"/>
      <c r="JZW110" s="883"/>
      <c r="JZX110" s="883"/>
      <c r="JZY110" s="883"/>
      <c r="JZZ110" s="883"/>
      <c r="KAA110" s="883"/>
      <c r="KAB110" s="883"/>
      <c r="KAC110" s="883"/>
      <c r="KAD110" s="863"/>
      <c r="KAE110" s="863"/>
      <c r="KAF110" s="863"/>
      <c r="KAG110" s="863"/>
      <c r="KAH110" s="863"/>
      <c r="KAI110" s="863"/>
      <c r="KAJ110" s="863"/>
      <c r="KAK110" s="863"/>
      <c r="KAL110" s="863"/>
      <c r="KAM110" s="863"/>
      <c r="KAN110" s="863"/>
      <c r="KAO110" s="863"/>
      <c r="KAP110" s="863"/>
      <c r="KAQ110" s="863"/>
      <c r="KAR110" s="863"/>
      <c r="KAS110" s="863"/>
      <c r="KAT110" s="863"/>
      <c r="KAU110" s="863"/>
      <c r="KAV110" s="863"/>
      <c r="KAW110" s="863"/>
      <c r="KAX110" s="863"/>
      <c r="KAY110" s="863"/>
      <c r="KAZ110" s="863"/>
      <c r="KBA110" s="883"/>
      <c r="KBB110" s="883"/>
      <c r="KBC110" s="883"/>
      <c r="KBD110" s="883"/>
      <c r="KBE110" s="883"/>
      <c r="KBF110" s="883"/>
      <c r="KBG110" s="883"/>
      <c r="KBH110" s="883"/>
      <c r="KBI110" s="883"/>
      <c r="KBJ110" s="863"/>
      <c r="KBK110" s="863"/>
      <c r="KBL110" s="863"/>
      <c r="KBM110" s="863"/>
      <c r="KBN110" s="863"/>
      <c r="KBO110" s="863"/>
      <c r="KBP110" s="863"/>
      <c r="KBQ110" s="863"/>
      <c r="KBR110" s="863"/>
      <c r="KBS110" s="863"/>
      <c r="KBT110" s="863"/>
      <c r="KBU110" s="863"/>
      <c r="KBV110" s="863"/>
      <c r="KBW110" s="863"/>
      <c r="KBX110" s="863"/>
      <c r="KBY110" s="863"/>
      <c r="KBZ110" s="863"/>
      <c r="KCA110" s="863"/>
      <c r="KCB110" s="863"/>
      <c r="KCC110" s="863"/>
      <c r="KCD110" s="863"/>
      <c r="KCE110" s="863"/>
      <c r="KCF110" s="863"/>
      <c r="KCG110" s="883"/>
      <c r="KCH110" s="883"/>
      <c r="KCI110" s="883"/>
      <c r="KCJ110" s="883"/>
      <c r="KCK110" s="883"/>
      <c r="KCL110" s="883"/>
      <c r="KCM110" s="883"/>
      <c r="KCN110" s="883"/>
      <c r="KCO110" s="883"/>
      <c r="KCP110" s="863"/>
      <c r="KCQ110" s="863"/>
      <c r="KCR110" s="863"/>
      <c r="KCS110" s="863"/>
      <c r="KCT110" s="863"/>
      <c r="KCU110" s="863"/>
      <c r="KCV110" s="863"/>
      <c r="KCW110" s="863"/>
      <c r="KCX110" s="863"/>
      <c r="KCY110" s="863"/>
      <c r="KCZ110" s="863"/>
      <c r="KDA110" s="863"/>
      <c r="KDB110" s="863"/>
      <c r="KDC110" s="863"/>
      <c r="KDD110" s="863"/>
      <c r="KDE110" s="863"/>
      <c r="KDF110" s="863"/>
      <c r="KDG110" s="863"/>
      <c r="KDH110" s="863"/>
      <c r="KDI110" s="863"/>
      <c r="KDJ110" s="863"/>
      <c r="KDK110" s="863"/>
      <c r="KDL110" s="863"/>
      <c r="KDM110" s="883"/>
      <c r="KDN110" s="883"/>
      <c r="KDO110" s="883"/>
      <c r="KDP110" s="883"/>
      <c r="KDQ110" s="883"/>
      <c r="KDR110" s="883"/>
      <c r="KDS110" s="883"/>
      <c r="KDT110" s="883"/>
      <c r="KDU110" s="883"/>
      <c r="KDV110" s="863"/>
      <c r="KDW110" s="863"/>
      <c r="KDX110" s="863"/>
      <c r="KDY110" s="863"/>
      <c r="KDZ110" s="863"/>
      <c r="KEA110" s="863"/>
      <c r="KEB110" s="863"/>
      <c r="KEC110" s="863"/>
      <c r="KED110" s="863"/>
      <c r="KEE110" s="863"/>
      <c r="KEF110" s="863"/>
      <c r="KEG110" s="863"/>
      <c r="KEH110" s="863"/>
      <c r="KEI110" s="863"/>
      <c r="KEJ110" s="863"/>
      <c r="KEK110" s="863"/>
      <c r="KEL110" s="863"/>
      <c r="KEM110" s="863"/>
      <c r="KEN110" s="863"/>
      <c r="KEO110" s="863"/>
      <c r="KEP110" s="863"/>
      <c r="KEQ110" s="863"/>
      <c r="KER110" s="863"/>
      <c r="KES110" s="883"/>
      <c r="KET110" s="883"/>
      <c r="KEU110" s="883"/>
      <c r="KEV110" s="883"/>
      <c r="KEW110" s="883"/>
      <c r="KEX110" s="883"/>
      <c r="KEY110" s="883"/>
      <c r="KEZ110" s="883"/>
      <c r="KFA110" s="883"/>
      <c r="KFB110" s="863"/>
      <c r="KFC110" s="863"/>
      <c r="KFD110" s="863"/>
      <c r="KFE110" s="863"/>
      <c r="KFF110" s="863"/>
      <c r="KFG110" s="863"/>
      <c r="KFH110" s="863"/>
      <c r="KFI110" s="863"/>
      <c r="KFJ110" s="863"/>
      <c r="KFK110" s="863"/>
      <c r="KFL110" s="863"/>
      <c r="KFM110" s="863"/>
      <c r="KFN110" s="863"/>
      <c r="KFO110" s="863"/>
      <c r="KFP110" s="863"/>
      <c r="KFQ110" s="863"/>
      <c r="KFR110" s="863"/>
      <c r="KFS110" s="863"/>
      <c r="KFT110" s="863"/>
      <c r="KFU110" s="863"/>
      <c r="KFV110" s="863"/>
      <c r="KFW110" s="863"/>
      <c r="KFX110" s="863"/>
      <c r="KFY110" s="883"/>
      <c r="KFZ110" s="883"/>
      <c r="KGA110" s="883"/>
      <c r="KGB110" s="883"/>
      <c r="KGC110" s="883"/>
      <c r="KGD110" s="883"/>
      <c r="KGE110" s="883"/>
      <c r="KGF110" s="883"/>
      <c r="KGG110" s="883"/>
      <c r="KGH110" s="863"/>
      <c r="KGI110" s="863"/>
      <c r="KGJ110" s="863"/>
      <c r="KGK110" s="863"/>
      <c r="KGL110" s="863"/>
      <c r="KGM110" s="863"/>
      <c r="KGN110" s="863"/>
      <c r="KGO110" s="863"/>
      <c r="KGP110" s="863"/>
      <c r="KGQ110" s="863"/>
      <c r="KGR110" s="863"/>
      <c r="KGS110" s="863"/>
      <c r="KGT110" s="863"/>
      <c r="KGU110" s="863"/>
      <c r="KGV110" s="863"/>
      <c r="KGW110" s="863"/>
      <c r="KGX110" s="863"/>
      <c r="KGY110" s="863"/>
      <c r="KGZ110" s="863"/>
      <c r="KHA110" s="863"/>
      <c r="KHB110" s="863"/>
      <c r="KHC110" s="863"/>
      <c r="KHD110" s="863"/>
      <c r="KHE110" s="883"/>
      <c r="KHF110" s="883"/>
      <c r="KHG110" s="883"/>
      <c r="KHH110" s="883"/>
      <c r="KHI110" s="883"/>
      <c r="KHJ110" s="883"/>
      <c r="KHK110" s="883"/>
      <c r="KHL110" s="883"/>
      <c r="KHM110" s="883"/>
      <c r="KHN110" s="863"/>
      <c r="KHO110" s="863"/>
      <c r="KHP110" s="863"/>
      <c r="KHQ110" s="863"/>
      <c r="KHR110" s="863"/>
      <c r="KHS110" s="863"/>
      <c r="KHT110" s="863"/>
      <c r="KHU110" s="863"/>
      <c r="KHV110" s="863"/>
      <c r="KHW110" s="863"/>
      <c r="KHX110" s="863"/>
      <c r="KHY110" s="863"/>
      <c r="KHZ110" s="863"/>
      <c r="KIA110" s="863"/>
      <c r="KIB110" s="863"/>
      <c r="KIC110" s="863"/>
      <c r="KID110" s="863"/>
      <c r="KIE110" s="863"/>
      <c r="KIF110" s="863"/>
      <c r="KIG110" s="863"/>
      <c r="KIH110" s="863"/>
      <c r="KII110" s="863"/>
      <c r="KIJ110" s="863"/>
      <c r="KIK110" s="883"/>
      <c r="KIL110" s="883"/>
      <c r="KIM110" s="883"/>
      <c r="KIN110" s="883"/>
      <c r="KIO110" s="883"/>
      <c r="KIP110" s="883"/>
      <c r="KIQ110" s="883"/>
      <c r="KIR110" s="883"/>
      <c r="KIS110" s="883"/>
      <c r="KIT110" s="863"/>
      <c r="KIU110" s="863"/>
      <c r="KIV110" s="863"/>
      <c r="KIW110" s="863"/>
      <c r="KIX110" s="863"/>
      <c r="KIY110" s="863"/>
      <c r="KIZ110" s="863"/>
      <c r="KJA110" s="863"/>
      <c r="KJB110" s="863"/>
      <c r="KJC110" s="863"/>
      <c r="KJD110" s="863"/>
      <c r="KJE110" s="863"/>
      <c r="KJF110" s="863"/>
      <c r="KJG110" s="863"/>
      <c r="KJH110" s="863"/>
      <c r="KJI110" s="863"/>
      <c r="KJJ110" s="863"/>
      <c r="KJK110" s="863"/>
      <c r="KJL110" s="863"/>
      <c r="KJM110" s="863"/>
      <c r="KJN110" s="863"/>
      <c r="KJO110" s="863"/>
      <c r="KJP110" s="863"/>
      <c r="KJQ110" s="883"/>
      <c r="KJR110" s="883"/>
      <c r="KJS110" s="883"/>
      <c r="KJT110" s="883"/>
      <c r="KJU110" s="883"/>
      <c r="KJV110" s="883"/>
      <c r="KJW110" s="883"/>
      <c r="KJX110" s="883"/>
      <c r="KJY110" s="883"/>
      <c r="KJZ110" s="863"/>
      <c r="KKA110" s="863"/>
      <c r="KKB110" s="863"/>
      <c r="KKC110" s="863"/>
      <c r="KKD110" s="863"/>
      <c r="KKE110" s="863"/>
      <c r="KKF110" s="863"/>
      <c r="KKG110" s="863"/>
      <c r="KKH110" s="863"/>
      <c r="KKI110" s="863"/>
      <c r="KKJ110" s="863"/>
      <c r="KKK110" s="863"/>
      <c r="KKL110" s="863"/>
      <c r="KKM110" s="863"/>
      <c r="KKN110" s="863"/>
      <c r="KKO110" s="863"/>
      <c r="KKP110" s="863"/>
      <c r="KKQ110" s="863"/>
      <c r="KKR110" s="863"/>
      <c r="KKS110" s="863"/>
      <c r="KKT110" s="863"/>
      <c r="KKU110" s="863"/>
      <c r="KKV110" s="863"/>
      <c r="KKW110" s="883"/>
      <c r="KKX110" s="883"/>
      <c r="KKY110" s="883"/>
      <c r="KKZ110" s="883"/>
      <c r="KLA110" s="883"/>
      <c r="KLB110" s="883"/>
      <c r="KLC110" s="883"/>
      <c r="KLD110" s="883"/>
      <c r="KLE110" s="883"/>
      <c r="KLF110" s="863"/>
      <c r="KLG110" s="863"/>
      <c r="KLH110" s="863"/>
      <c r="KLI110" s="863"/>
      <c r="KLJ110" s="863"/>
      <c r="KLK110" s="863"/>
      <c r="KLL110" s="863"/>
      <c r="KLM110" s="863"/>
      <c r="KLN110" s="863"/>
      <c r="KLO110" s="863"/>
      <c r="KLP110" s="863"/>
      <c r="KLQ110" s="863"/>
      <c r="KLR110" s="863"/>
      <c r="KLS110" s="863"/>
      <c r="KLT110" s="863"/>
      <c r="KLU110" s="863"/>
      <c r="KLV110" s="863"/>
      <c r="KLW110" s="863"/>
      <c r="KLX110" s="863"/>
      <c r="KLY110" s="863"/>
      <c r="KLZ110" s="863"/>
      <c r="KMA110" s="863"/>
      <c r="KMB110" s="863"/>
      <c r="KMC110" s="883"/>
      <c r="KMD110" s="883"/>
      <c r="KME110" s="883"/>
      <c r="KMF110" s="883"/>
      <c r="KMG110" s="883"/>
      <c r="KMH110" s="883"/>
      <c r="KMI110" s="883"/>
      <c r="KMJ110" s="883"/>
      <c r="KMK110" s="883"/>
      <c r="KML110" s="863"/>
      <c r="KMM110" s="863"/>
      <c r="KMN110" s="863"/>
      <c r="KMO110" s="863"/>
      <c r="KMP110" s="863"/>
      <c r="KMQ110" s="863"/>
      <c r="KMR110" s="863"/>
      <c r="KMS110" s="863"/>
      <c r="KMT110" s="863"/>
      <c r="KMU110" s="863"/>
      <c r="KMV110" s="863"/>
      <c r="KMW110" s="863"/>
      <c r="KMX110" s="863"/>
      <c r="KMY110" s="863"/>
      <c r="KMZ110" s="863"/>
      <c r="KNA110" s="863"/>
      <c r="KNB110" s="863"/>
      <c r="KNC110" s="863"/>
      <c r="KND110" s="863"/>
      <c r="KNE110" s="863"/>
      <c r="KNF110" s="863"/>
      <c r="KNG110" s="863"/>
      <c r="KNH110" s="863"/>
      <c r="KNI110" s="883"/>
      <c r="KNJ110" s="883"/>
      <c r="KNK110" s="883"/>
      <c r="KNL110" s="883"/>
      <c r="KNM110" s="883"/>
      <c r="KNN110" s="883"/>
      <c r="KNO110" s="883"/>
      <c r="KNP110" s="883"/>
      <c r="KNQ110" s="883"/>
      <c r="KNR110" s="863"/>
      <c r="KNS110" s="863"/>
      <c r="KNT110" s="863"/>
      <c r="KNU110" s="863"/>
      <c r="KNV110" s="863"/>
      <c r="KNW110" s="863"/>
      <c r="KNX110" s="863"/>
      <c r="KNY110" s="863"/>
      <c r="KNZ110" s="863"/>
      <c r="KOA110" s="863"/>
      <c r="KOB110" s="863"/>
      <c r="KOC110" s="863"/>
      <c r="KOD110" s="863"/>
      <c r="KOE110" s="863"/>
      <c r="KOF110" s="863"/>
      <c r="KOG110" s="863"/>
      <c r="KOH110" s="863"/>
      <c r="KOI110" s="863"/>
      <c r="KOJ110" s="863"/>
      <c r="KOK110" s="863"/>
      <c r="KOL110" s="863"/>
      <c r="KOM110" s="863"/>
      <c r="KON110" s="863"/>
      <c r="KOO110" s="883"/>
      <c r="KOP110" s="883"/>
      <c r="KOQ110" s="883"/>
      <c r="KOR110" s="883"/>
      <c r="KOS110" s="883"/>
      <c r="KOT110" s="883"/>
      <c r="KOU110" s="883"/>
      <c r="KOV110" s="883"/>
      <c r="KOW110" s="883"/>
      <c r="KOX110" s="863"/>
      <c r="KOY110" s="863"/>
      <c r="KOZ110" s="863"/>
      <c r="KPA110" s="863"/>
      <c r="KPB110" s="863"/>
      <c r="KPC110" s="863"/>
      <c r="KPD110" s="863"/>
      <c r="KPE110" s="863"/>
      <c r="KPF110" s="863"/>
      <c r="KPG110" s="863"/>
      <c r="KPH110" s="863"/>
      <c r="KPI110" s="863"/>
      <c r="KPJ110" s="863"/>
      <c r="KPK110" s="863"/>
      <c r="KPL110" s="863"/>
      <c r="KPM110" s="863"/>
      <c r="KPN110" s="863"/>
      <c r="KPO110" s="863"/>
      <c r="KPP110" s="863"/>
      <c r="KPQ110" s="863"/>
      <c r="KPR110" s="863"/>
      <c r="KPS110" s="863"/>
      <c r="KPT110" s="863"/>
      <c r="KPU110" s="883"/>
      <c r="KPV110" s="883"/>
      <c r="KPW110" s="883"/>
      <c r="KPX110" s="883"/>
      <c r="KPY110" s="883"/>
      <c r="KPZ110" s="883"/>
      <c r="KQA110" s="883"/>
      <c r="KQB110" s="883"/>
      <c r="KQC110" s="883"/>
      <c r="KQD110" s="863"/>
      <c r="KQE110" s="863"/>
      <c r="KQF110" s="863"/>
      <c r="KQG110" s="863"/>
      <c r="KQH110" s="863"/>
      <c r="KQI110" s="863"/>
      <c r="KQJ110" s="863"/>
      <c r="KQK110" s="863"/>
      <c r="KQL110" s="863"/>
      <c r="KQM110" s="863"/>
      <c r="KQN110" s="863"/>
      <c r="KQO110" s="863"/>
      <c r="KQP110" s="863"/>
      <c r="KQQ110" s="863"/>
      <c r="KQR110" s="863"/>
      <c r="KQS110" s="863"/>
      <c r="KQT110" s="863"/>
      <c r="KQU110" s="863"/>
      <c r="KQV110" s="863"/>
      <c r="KQW110" s="863"/>
      <c r="KQX110" s="863"/>
      <c r="KQY110" s="863"/>
      <c r="KQZ110" s="863"/>
      <c r="KRA110" s="883"/>
      <c r="KRB110" s="883"/>
      <c r="KRC110" s="883"/>
      <c r="KRD110" s="883"/>
      <c r="KRE110" s="883"/>
      <c r="KRF110" s="883"/>
      <c r="KRG110" s="883"/>
      <c r="KRH110" s="883"/>
      <c r="KRI110" s="883"/>
      <c r="KRJ110" s="863"/>
      <c r="KRK110" s="863"/>
      <c r="KRL110" s="863"/>
      <c r="KRM110" s="863"/>
      <c r="KRN110" s="863"/>
      <c r="KRO110" s="863"/>
      <c r="KRP110" s="863"/>
      <c r="KRQ110" s="863"/>
      <c r="KRR110" s="863"/>
      <c r="KRS110" s="863"/>
      <c r="KRT110" s="863"/>
      <c r="KRU110" s="863"/>
      <c r="KRV110" s="863"/>
      <c r="KRW110" s="863"/>
      <c r="KRX110" s="863"/>
      <c r="KRY110" s="863"/>
      <c r="KRZ110" s="863"/>
      <c r="KSA110" s="863"/>
      <c r="KSB110" s="863"/>
      <c r="KSC110" s="863"/>
      <c r="KSD110" s="863"/>
      <c r="KSE110" s="863"/>
      <c r="KSF110" s="863"/>
      <c r="KSG110" s="883"/>
      <c r="KSH110" s="883"/>
      <c r="KSI110" s="883"/>
      <c r="KSJ110" s="883"/>
      <c r="KSK110" s="883"/>
      <c r="KSL110" s="883"/>
      <c r="KSM110" s="883"/>
      <c r="KSN110" s="883"/>
      <c r="KSO110" s="883"/>
      <c r="KSP110" s="863"/>
      <c r="KSQ110" s="863"/>
      <c r="KSR110" s="863"/>
      <c r="KSS110" s="863"/>
      <c r="KST110" s="863"/>
      <c r="KSU110" s="863"/>
      <c r="KSV110" s="863"/>
      <c r="KSW110" s="863"/>
      <c r="KSX110" s="863"/>
      <c r="KSY110" s="863"/>
      <c r="KSZ110" s="863"/>
      <c r="KTA110" s="863"/>
      <c r="KTB110" s="863"/>
      <c r="KTC110" s="863"/>
      <c r="KTD110" s="863"/>
      <c r="KTE110" s="863"/>
      <c r="KTF110" s="863"/>
      <c r="KTG110" s="863"/>
      <c r="KTH110" s="863"/>
      <c r="KTI110" s="863"/>
      <c r="KTJ110" s="863"/>
      <c r="KTK110" s="863"/>
      <c r="KTL110" s="863"/>
      <c r="KTM110" s="883"/>
      <c r="KTN110" s="883"/>
      <c r="KTO110" s="883"/>
      <c r="KTP110" s="883"/>
      <c r="KTQ110" s="883"/>
      <c r="KTR110" s="883"/>
      <c r="KTS110" s="883"/>
      <c r="KTT110" s="883"/>
      <c r="KTU110" s="883"/>
      <c r="KTV110" s="863"/>
      <c r="KTW110" s="863"/>
      <c r="KTX110" s="863"/>
      <c r="KTY110" s="863"/>
      <c r="KTZ110" s="863"/>
      <c r="KUA110" s="863"/>
      <c r="KUB110" s="863"/>
      <c r="KUC110" s="863"/>
      <c r="KUD110" s="863"/>
      <c r="KUE110" s="863"/>
      <c r="KUF110" s="863"/>
      <c r="KUG110" s="863"/>
      <c r="KUH110" s="863"/>
      <c r="KUI110" s="863"/>
      <c r="KUJ110" s="863"/>
      <c r="KUK110" s="863"/>
      <c r="KUL110" s="863"/>
      <c r="KUM110" s="863"/>
      <c r="KUN110" s="863"/>
      <c r="KUO110" s="863"/>
      <c r="KUP110" s="863"/>
      <c r="KUQ110" s="863"/>
      <c r="KUR110" s="863"/>
      <c r="KUS110" s="883"/>
      <c r="KUT110" s="883"/>
      <c r="KUU110" s="883"/>
      <c r="KUV110" s="883"/>
      <c r="KUW110" s="883"/>
      <c r="KUX110" s="883"/>
      <c r="KUY110" s="883"/>
      <c r="KUZ110" s="883"/>
      <c r="KVA110" s="883"/>
      <c r="KVB110" s="863"/>
      <c r="KVC110" s="863"/>
      <c r="KVD110" s="863"/>
      <c r="KVE110" s="863"/>
      <c r="KVF110" s="863"/>
      <c r="KVG110" s="863"/>
      <c r="KVH110" s="863"/>
      <c r="KVI110" s="863"/>
      <c r="KVJ110" s="863"/>
      <c r="KVK110" s="863"/>
      <c r="KVL110" s="863"/>
      <c r="KVM110" s="863"/>
      <c r="KVN110" s="863"/>
      <c r="KVO110" s="863"/>
      <c r="KVP110" s="863"/>
      <c r="KVQ110" s="863"/>
      <c r="KVR110" s="863"/>
      <c r="KVS110" s="863"/>
      <c r="KVT110" s="863"/>
      <c r="KVU110" s="863"/>
      <c r="KVV110" s="863"/>
      <c r="KVW110" s="863"/>
      <c r="KVX110" s="863"/>
      <c r="KVY110" s="883"/>
      <c r="KVZ110" s="883"/>
      <c r="KWA110" s="883"/>
      <c r="KWB110" s="883"/>
      <c r="KWC110" s="883"/>
      <c r="KWD110" s="883"/>
      <c r="KWE110" s="883"/>
      <c r="KWF110" s="883"/>
      <c r="KWG110" s="883"/>
      <c r="KWH110" s="863"/>
      <c r="KWI110" s="863"/>
      <c r="KWJ110" s="863"/>
      <c r="KWK110" s="863"/>
      <c r="KWL110" s="863"/>
      <c r="KWM110" s="863"/>
      <c r="KWN110" s="863"/>
      <c r="KWO110" s="863"/>
      <c r="KWP110" s="863"/>
      <c r="KWQ110" s="863"/>
      <c r="KWR110" s="863"/>
      <c r="KWS110" s="863"/>
      <c r="KWT110" s="863"/>
      <c r="KWU110" s="863"/>
      <c r="KWV110" s="863"/>
      <c r="KWW110" s="863"/>
      <c r="KWX110" s="863"/>
      <c r="KWY110" s="863"/>
      <c r="KWZ110" s="863"/>
      <c r="KXA110" s="863"/>
      <c r="KXB110" s="863"/>
      <c r="KXC110" s="863"/>
      <c r="KXD110" s="863"/>
      <c r="KXE110" s="883"/>
      <c r="KXF110" s="883"/>
      <c r="KXG110" s="883"/>
      <c r="KXH110" s="883"/>
      <c r="KXI110" s="883"/>
      <c r="KXJ110" s="883"/>
      <c r="KXK110" s="883"/>
      <c r="KXL110" s="883"/>
      <c r="KXM110" s="883"/>
      <c r="KXN110" s="863"/>
      <c r="KXO110" s="863"/>
      <c r="KXP110" s="863"/>
      <c r="KXQ110" s="863"/>
      <c r="KXR110" s="863"/>
      <c r="KXS110" s="863"/>
      <c r="KXT110" s="863"/>
      <c r="KXU110" s="863"/>
      <c r="KXV110" s="863"/>
      <c r="KXW110" s="863"/>
      <c r="KXX110" s="863"/>
      <c r="KXY110" s="863"/>
      <c r="KXZ110" s="863"/>
      <c r="KYA110" s="863"/>
      <c r="KYB110" s="863"/>
      <c r="KYC110" s="863"/>
      <c r="KYD110" s="863"/>
      <c r="KYE110" s="863"/>
      <c r="KYF110" s="863"/>
      <c r="KYG110" s="863"/>
      <c r="KYH110" s="863"/>
      <c r="KYI110" s="863"/>
      <c r="KYJ110" s="863"/>
      <c r="KYK110" s="883"/>
      <c r="KYL110" s="883"/>
      <c r="KYM110" s="883"/>
      <c r="KYN110" s="883"/>
      <c r="KYO110" s="883"/>
      <c r="KYP110" s="883"/>
      <c r="KYQ110" s="883"/>
      <c r="KYR110" s="883"/>
      <c r="KYS110" s="883"/>
      <c r="KYT110" s="863"/>
      <c r="KYU110" s="863"/>
      <c r="KYV110" s="863"/>
      <c r="KYW110" s="863"/>
      <c r="KYX110" s="863"/>
      <c r="KYY110" s="863"/>
      <c r="KYZ110" s="863"/>
      <c r="KZA110" s="863"/>
      <c r="KZB110" s="863"/>
      <c r="KZC110" s="863"/>
      <c r="KZD110" s="863"/>
      <c r="KZE110" s="863"/>
      <c r="KZF110" s="863"/>
      <c r="KZG110" s="863"/>
      <c r="KZH110" s="863"/>
      <c r="KZI110" s="863"/>
      <c r="KZJ110" s="863"/>
      <c r="KZK110" s="863"/>
      <c r="KZL110" s="863"/>
      <c r="KZM110" s="863"/>
      <c r="KZN110" s="863"/>
      <c r="KZO110" s="863"/>
      <c r="KZP110" s="863"/>
      <c r="KZQ110" s="883"/>
      <c r="KZR110" s="883"/>
      <c r="KZS110" s="883"/>
      <c r="KZT110" s="883"/>
      <c r="KZU110" s="883"/>
      <c r="KZV110" s="883"/>
      <c r="KZW110" s="883"/>
      <c r="KZX110" s="883"/>
      <c r="KZY110" s="883"/>
      <c r="KZZ110" s="863"/>
      <c r="LAA110" s="863"/>
      <c r="LAB110" s="863"/>
      <c r="LAC110" s="863"/>
      <c r="LAD110" s="863"/>
      <c r="LAE110" s="863"/>
      <c r="LAF110" s="863"/>
      <c r="LAG110" s="863"/>
      <c r="LAH110" s="863"/>
      <c r="LAI110" s="863"/>
      <c r="LAJ110" s="863"/>
      <c r="LAK110" s="863"/>
      <c r="LAL110" s="863"/>
      <c r="LAM110" s="863"/>
      <c r="LAN110" s="863"/>
      <c r="LAO110" s="863"/>
      <c r="LAP110" s="863"/>
      <c r="LAQ110" s="863"/>
      <c r="LAR110" s="863"/>
      <c r="LAS110" s="863"/>
      <c r="LAT110" s="863"/>
      <c r="LAU110" s="863"/>
      <c r="LAV110" s="863"/>
      <c r="LAW110" s="883"/>
      <c r="LAX110" s="883"/>
      <c r="LAY110" s="883"/>
      <c r="LAZ110" s="883"/>
      <c r="LBA110" s="883"/>
      <c r="LBB110" s="883"/>
      <c r="LBC110" s="883"/>
      <c r="LBD110" s="883"/>
      <c r="LBE110" s="883"/>
      <c r="LBF110" s="863"/>
      <c r="LBG110" s="863"/>
      <c r="LBH110" s="863"/>
      <c r="LBI110" s="863"/>
      <c r="LBJ110" s="863"/>
      <c r="LBK110" s="863"/>
      <c r="LBL110" s="863"/>
      <c r="LBM110" s="863"/>
      <c r="LBN110" s="863"/>
      <c r="LBO110" s="863"/>
      <c r="LBP110" s="863"/>
      <c r="LBQ110" s="863"/>
      <c r="LBR110" s="863"/>
      <c r="LBS110" s="863"/>
      <c r="LBT110" s="863"/>
      <c r="LBU110" s="863"/>
      <c r="LBV110" s="863"/>
      <c r="LBW110" s="863"/>
      <c r="LBX110" s="863"/>
      <c r="LBY110" s="863"/>
      <c r="LBZ110" s="863"/>
      <c r="LCA110" s="863"/>
      <c r="LCB110" s="863"/>
      <c r="LCC110" s="883"/>
      <c r="LCD110" s="883"/>
      <c r="LCE110" s="883"/>
      <c r="LCF110" s="883"/>
      <c r="LCG110" s="883"/>
      <c r="LCH110" s="883"/>
      <c r="LCI110" s="883"/>
      <c r="LCJ110" s="883"/>
      <c r="LCK110" s="883"/>
      <c r="LCL110" s="863"/>
      <c r="LCM110" s="863"/>
      <c r="LCN110" s="863"/>
      <c r="LCO110" s="863"/>
      <c r="LCP110" s="863"/>
      <c r="LCQ110" s="863"/>
      <c r="LCR110" s="863"/>
      <c r="LCS110" s="863"/>
      <c r="LCT110" s="863"/>
      <c r="LCU110" s="863"/>
      <c r="LCV110" s="863"/>
      <c r="LCW110" s="863"/>
      <c r="LCX110" s="863"/>
      <c r="LCY110" s="863"/>
      <c r="LCZ110" s="863"/>
      <c r="LDA110" s="863"/>
      <c r="LDB110" s="863"/>
      <c r="LDC110" s="863"/>
      <c r="LDD110" s="863"/>
      <c r="LDE110" s="863"/>
      <c r="LDF110" s="863"/>
      <c r="LDG110" s="863"/>
      <c r="LDH110" s="863"/>
      <c r="LDI110" s="883"/>
      <c r="LDJ110" s="883"/>
      <c r="LDK110" s="883"/>
      <c r="LDL110" s="883"/>
      <c r="LDM110" s="883"/>
      <c r="LDN110" s="883"/>
      <c r="LDO110" s="883"/>
      <c r="LDP110" s="883"/>
      <c r="LDQ110" s="883"/>
      <c r="LDR110" s="863"/>
      <c r="LDS110" s="863"/>
      <c r="LDT110" s="863"/>
      <c r="LDU110" s="863"/>
      <c r="LDV110" s="863"/>
      <c r="LDW110" s="863"/>
      <c r="LDX110" s="863"/>
      <c r="LDY110" s="863"/>
      <c r="LDZ110" s="863"/>
      <c r="LEA110" s="863"/>
      <c r="LEB110" s="863"/>
      <c r="LEC110" s="863"/>
      <c r="LED110" s="863"/>
      <c r="LEE110" s="863"/>
      <c r="LEF110" s="863"/>
      <c r="LEG110" s="863"/>
      <c r="LEH110" s="863"/>
      <c r="LEI110" s="863"/>
      <c r="LEJ110" s="863"/>
      <c r="LEK110" s="863"/>
      <c r="LEL110" s="863"/>
      <c r="LEM110" s="863"/>
      <c r="LEN110" s="863"/>
      <c r="LEO110" s="883"/>
      <c r="LEP110" s="883"/>
      <c r="LEQ110" s="883"/>
      <c r="LER110" s="883"/>
      <c r="LES110" s="883"/>
      <c r="LET110" s="883"/>
      <c r="LEU110" s="883"/>
      <c r="LEV110" s="883"/>
      <c r="LEW110" s="883"/>
      <c r="LEX110" s="863"/>
      <c r="LEY110" s="863"/>
      <c r="LEZ110" s="863"/>
      <c r="LFA110" s="863"/>
      <c r="LFB110" s="863"/>
      <c r="LFC110" s="863"/>
      <c r="LFD110" s="863"/>
      <c r="LFE110" s="863"/>
      <c r="LFF110" s="863"/>
      <c r="LFG110" s="863"/>
      <c r="LFH110" s="863"/>
      <c r="LFI110" s="863"/>
      <c r="LFJ110" s="863"/>
      <c r="LFK110" s="863"/>
      <c r="LFL110" s="863"/>
      <c r="LFM110" s="863"/>
      <c r="LFN110" s="863"/>
      <c r="LFO110" s="863"/>
      <c r="LFP110" s="863"/>
      <c r="LFQ110" s="863"/>
      <c r="LFR110" s="863"/>
      <c r="LFS110" s="863"/>
      <c r="LFT110" s="863"/>
      <c r="LFU110" s="883"/>
      <c r="LFV110" s="883"/>
      <c r="LFW110" s="883"/>
      <c r="LFX110" s="883"/>
      <c r="LFY110" s="883"/>
      <c r="LFZ110" s="883"/>
      <c r="LGA110" s="883"/>
      <c r="LGB110" s="883"/>
      <c r="LGC110" s="883"/>
      <c r="LGD110" s="863"/>
      <c r="LGE110" s="863"/>
      <c r="LGF110" s="863"/>
      <c r="LGG110" s="863"/>
      <c r="LGH110" s="863"/>
      <c r="LGI110" s="863"/>
      <c r="LGJ110" s="863"/>
      <c r="LGK110" s="863"/>
      <c r="LGL110" s="863"/>
      <c r="LGM110" s="863"/>
      <c r="LGN110" s="863"/>
      <c r="LGO110" s="863"/>
      <c r="LGP110" s="863"/>
      <c r="LGQ110" s="863"/>
      <c r="LGR110" s="863"/>
      <c r="LGS110" s="863"/>
      <c r="LGT110" s="863"/>
      <c r="LGU110" s="863"/>
      <c r="LGV110" s="863"/>
      <c r="LGW110" s="863"/>
      <c r="LGX110" s="863"/>
      <c r="LGY110" s="863"/>
      <c r="LGZ110" s="863"/>
      <c r="LHA110" s="883"/>
      <c r="LHB110" s="883"/>
      <c r="LHC110" s="883"/>
      <c r="LHD110" s="883"/>
      <c r="LHE110" s="883"/>
      <c r="LHF110" s="883"/>
      <c r="LHG110" s="883"/>
      <c r="LHH110" s="883"/>
      <c r="LHI110" s="883"/>
      <c r="LHJ110" s="863"/>
      <c r="LHK110" s="863"/>
      <c r="LHL110" s="863"/>
      <c r="LHM110" s="863"/>
      <c r="LHN110" s="863"/>
      <c r="LHO110" s="863"/>
      <c r="LHP110" s="863"/>
      <c r="LHQ110" s="863"/>
      <c r="LHR110" s="863"/>
      <c r="LHS110" s="863"/>
      <c r="LHT110" s="863"/>
      <c r="LHU110" s="863"/>
      <c r="LHV110" s="863"/>
      <c r="LHW110" s="863"/>
      <c r="LHX110" s="863"/>
      <c r="LHY110" s="863"/>
      <c r="LHZ110" s="863"/>
      <c r="LIA110" s="863"/>
      <c r="LIB110" s="863"/>
      <c r="LIC110" s="863"/>
      <c r="LID110" s="863"/>
      <c r="LIE110" s="863"/>
      <c r="LIF110" s="863"/>
      <c r="LIG110" s="883"/>
      <c r="LIH110" s="883"/>
      <c r="LII110" s="883"/>
      <c r="LIJ110" s="883"/>
      <c r="LIK110" s="883"/>
      <c r="LIL110" s="883"/>
      <c r="LIM110" s="883"/>
      <c r="LIN110" s="883"/>
      <c r="LIO110" s="883"/>
      <c r="LIP110" s="863"/>
      <c r="LIQ110" s="863"/>
      <c r="LIR110" s="863"/>
      <c r="LIS110" s="863"/>
      <c r="LIT110" s="863"/>
      <c r="LIU110" s="863"/>
      <c r="LIV110" s="863"/>
      <c r="LIW110" s="863"/>
      <c r="LIX110" s="863"/>
      <c r="LIY110" s="863"/>
      <c r="LIZ110" s="863"/>
      <c r="LJA110" s="863"/>
      <c r="LJB110" s="863"/>
      <c r="LJC110" s="863"/>
      <c r="LJD110" s="863"/>
      <c r="LJE110" s="863"/>
      <c r="LJF110" s="863"/>
      <c r="LJG110" s="863"/>
      <c r="LJH110" s="863"/>
      <c r="LJI110" s="863"/>
      <c r="LJJ110" s="863"/>
      <c r="LJK110" s="863"/>
      <c r="LJL110" s="863"/>
      <c r="LJM110" s="883"/>
      <c r="LJN110" s="883"/>
      <c r="LJO110" s="883"/>
      <c r="LJP110" s="883"/>
      <c r="LJQ110" s="883"/>
      <c r="LJR110" s="883"/>
      <c r="LJS110" s="883"/>
      <c r="LJT110" s="883"/>
      <c r="LJU110" s="883"/>
      <c r="LJV110" s="863"/>
      <c r="LJW110" s="863"/>
      <c r="LJX110" s="863"/>
      <c r="LJY110" s="863"/>
      <c r="LJZ110" s="863"/>
      <c r="LKA110" s="863"/>
      <c r="LKB110" s="863"/>
      <c r="LKC110" s="863"/>
      <c r="LKD110" s="863"/>
      <c r="LKE110" s="863"/>
      <c r="LKF110" s="863"/>
      <c r="LKG110" s="863"/>
      <c r="LKH110" s="863"/>
      <c r="LKI110" s="863"/>
      <c r="LKJ110" s="863"/>
      <c r="LKK110" s="863"/>
      <c r="LKL110" s="863"/>
      <c r="LKM110" s="863"/>
      <c r="LKN110" s="863"/>
      <c r="LKO110" s="863"/>
      <c r="LKP110" s="863"/>
      <c r="LKQ110" s="863"/>
      <c r="LKR110" s="863"/>
      <c r="LKS110" s="883"/>
      <c r="LKT110" s="883"/>
      <c r="LKU110" s="883"/>
      <c r="LKV110" s="883"/>
      <c r="LKW110" s="883"/>
      <c r="LKX110" s="883"/>
      <c r="LKY110" s="883"/>
      <c r="LKZ110" s="883"/>
      <c r="LLA110" s="883"/>
      <c r="LLB110" s="863"/>
      <c r="LLC110" s="863"/>
      <c r="LLD110" s="863"/>
      <c r="LLE110" s="863"/>
      <c r="LLF110" s="863"/>
      <c r="LLG110" s="863"/>
      <c r="LLH110" s="863"/>
      <c r="LLI110" s="863"/>
      <c r="LLJ110" s="863"/>
      <c r="LLK110" s="863"/>
      <c r="LLL110" s="863"/>
      <c r="LLM110" s="863"/>
      <c r="LLN110" s="863"/>
      <c r="LLO110" s="863"/>
      <c r="LLP110" s="863"/>
      <c r="LLQ110" s="863"/>
      <c r="LLR110" s="863"/>
      <c r="LLS110" s="863"/>
      <c r="LLT110" s="863"/>
      <c r="LLU110" s="863"/>
      <c r="LLV110" s="863"/>
      <c r="LLW110" s="863"/>
      <c r="LLX110" s="863"/>
      <c r="LLY110" s="883"/>
      <c r="LLZ110" s="883"/>
      <c r="LMA110" s="883"/>
      <c r="LMB110" s="883"/>
      <c r="LMC110" s="883"/>
      <c r="LMD110" s="883"/>
      <c r="LME110" s="883"/>
      <c r="LMF110" s="883"/>
      <c r="LMG110" s="883"/>
      <c r="LMH110" s="863"/>
      <c r="LMI110" s="863"/>
      <c r="LMJ110" s="863"/>
      <c r="LMK110" s="863"/>
      <c r="LML110" s="863"/>
      <c r="LMM110" s="863"/>
      <c r="LMN110" s="863"/>
      <c r="LMO110" s="863"/>
      <c r="LMP110" s="863"/>
      <c r="LMQ110" s="863"/>
      <c r="LMR110" s="863"/>
      <c r="LMS110" s="863"/>
      <c r="LMT110" s="863"/>
      <c r="LMU110" s="863"/>
      <c r="LMV110" s="863"/>
      <c r="LMW110" s="863"/>
      <c r="LMX110" s="863"/>
      <c r="LMY110" s="863"/>
      <c r="LMZ110" s="863"/>
      <c r="LNA110" s="863"/>
      <c r="LNB110" s="863"/>
      <c r="LNC110" s="863"/>
      <c r="LND110" s="863"/>
      <c r="LNE110" s="883"/>
      <c r="LNF110" s="883"/>
      <c r="LNG110" s="883"/>
      <c r="LNH110" s="883"/>
      <c r="LNI110" s="883"/>
      <c r="LNJ110" s="883"/>
      <c r="LNK110" s="883"/>
      <c r="LNL110" s="883"/>
      <c r="LNM110" s="883"/>
      <c r="LNN110" s="863"/>
      <c r="LNO110" s="863"/>
      <c r="LNP110" s="863"/>
      <c r="LNQ110" s="863"/>
      <c r="LNR110" s="863"/>
      <c r="LNS110" s="863"/>
      <c r="LNT110" s="863"/>
      <c r="LNU110" s="863"/>
      <c r="LNV110" s="863"/>
      <c r="LNW110" s="863"/>
      <c r="LNX110" s="863"/>
      <c r="LNY110" s="863"/>
      <c r="LNZ110" s="863"/>
      <c r="LOA110" s="863"/>
      <c r="LOB110" s="863"/>
      <c r="LOC110" s="863"/>
      <c r="LOD110" s="863"/>
      <c r="LOE110" s="863"/>
      <c r="LOF110" s="863"/>
      <c r="LOG110" s="863"/>
      <c r="LOH110" s="863"/>
      <c r="LOI110" s="863"/>
      <c r="LOJ110" s="863"/>
      <c r="LOK110" s="883"/>
      <c r="LOL110" s="883"/>
      <c r="LOM110" s="883"/>
      <c r="LON110" s="883"/>
      <c r="LOO110" s="883"/>
      <c r="LOP110" s="883"/>
      <c r="LOQ110" s="883"/>
      <c r="LOR110" s="883"/>
      <c r="LOS110" s="883"/>
      <c r="LOT110" s="863"/>
      <c r="LOU110" s="863"/>
      <c r="LOV110" s="863"/>
      <c r="LOW110" s="863"/>
      <c r="LOX110" s="863"/>
      <c r="LOY110" s="863"/>
      <c r="LOZ110" s="863"/>
      <c r="LPA110" s="863"/>
      <c r="LPB110" s="863"/>
      <c r="LPC110" s="863"/>
      <c r="LPD110" s="863"/>
      <c r="LPE110" s="863"/>
      <c r="LPF110" s="863"/>
      <c r="LPG110" s="863"/>
      <c r="LPH110" s="863"/>
      <c r="LPI110" s="863"/>
      <c r="LPJ110" s="863"/>
      <c r="LPK110" s="863"/>
      <c r="LPL110" s="863"/>
      <c r="LPM110" s="863"/>
      <c r="LPN110" s="863"/>
      <c r="LPO110" s="863"/>
      <c r="LPP110" s="863"/>
      <c r="LPQ110" s="883"/>
      <c r="LPR110" s="883"/>
      <c r="LPS110" s="883"/>
      <c r="LPT110" s="883"/>
      <c r="LPU110" s="883"/>
      <c r="LPV110" s="883"/>
      <c r="LPW110" s="883"/>
      <c r="LPX110" s="883"/>
      <c r="LPY110" s="883"/>
      <c r="LPZ110" s="863"/>
      <c r="LQA110" s="863"/>
      <c r="LQB110" s="863"/>
      <c r="LQC110" s="863"/>
      <c r="LQD110" s="863"/>
      <c r="LQE110" s="863"/>
      <c r="LQF110" s="863"/>
      <c r="LQG110" s="863"/>
      <c r="LQH110" s="863"/>
      <c r="LQI110" s="863"/>
      <c r="LQJ110" s="863"/>
      <c r="LQK110" s="863"/>
      <c r="LQL110" s="863"/>
      <c r="LQM110" s="863"/>
      <c r="LQN110" s="863"/>
      <c r="LQO110" s="863"/>
      <c r="LQP110" s="863"/>
      <c r="LQQ110" s="863"/>
      <c r="LQR110" s="863"/>
      <c r="LQS110" s="863"/>
      <c r="LQT110" s="863"/>
      <c r="LQU110" s="863"/>
      <c r="LQV110" s="863"/>
      <c r="LQW110" s="883"/>
      <c r="LQX110" s="883"/>
      <c r="LQY110" s="883"/>
      <c r="LQZ110" s="883"/>
      <c r="LRA110" s="883"/>
      <c r="LRB110" s="883"/>
      <c r="LRC110" s="883"/>
      <c r="LRD110" s="883"/>
      <c r="LRE110" s="883"/>
      <c r="LRF110" s="863"/>
      <c r="LRG110" s="863"/>
      <c r="LRH110" s="863"/>
      <c r="LRI110" s="863"/>
      <c r="LRJ110" s="863"/>
      <c r="LRK110" s="863"/>
      <c r="LRL110" s="863"/>
      <c r="LRM110" s="863"/>
      <c r="LRN110" s="863"/>
      <c r="LRO110" s="863"/>
      <c r="LRP110" s="863"/>
      <c r="LRQ110" s="863"/>
      <c r="LRR110" s="863"/>
      <c r="LRS110" s="863"/>
      <c r="LRT110" s="863"/>
      <c r="LRU110" s="863"/>
      <c r="LRV110" s="863"/>
      <c r="LRW110" s="863"/>
      <c r="LRX110" s="863"/>
      <c r="LRY110" s="863"/>
      <c r="LRZ110" s="863"/>
      <c r="LSA110" s="863"/>
      <c r="LSB110" s="863"/>
      <c r="LSC110" s="883"/>
      <c r="LSD110" s="883"/>
      <c r="LSE110" s="883"/>
      <c r="LSF110" s="883"/>
      <c r="LSG110" s="883"/>
      <c r="LSH110" s="883"/>
      <c r="LSI110" s="883"/>
      <c r="LSJ110" s="883"/>
      <c r="LSK110" s="883"/>
      <c r="LSL110" s="863"/>
      <c r="LSM110" s="863"/>
      <c r="LSN110" s="863"/>
      <c r="LSO110" s="863"/>
      <c r="LSP110" s="863"/>
      <c r="LSQ110" s="863"/>
      <c r="LSR110" s="863"/>
      <c r="LSS110" s="863"/>
      <c r="LST110" s="863"/>
      <c r="LSU110" s="863"/>
      <c r="LSV110" s="863"/>
      <c r="LSW110" s="863"/>
      <c r="LSX110" s="863"/>
      <c r="LSY110" s="863"/>
      <c r="LSZ110" s="863"/>
      <c r="LTA110" s="863"/>
      <c r="LTB110" s="863"/>
      <c r="LTC110" s="863"/>
      <c r="LTD110" s="863"/>
      <c r="LTE110" s="863"/>
      <c r="LTF110" s="863"/>
      <c r="LTG110" s="863"/>
      <c r="LTH110" s="863"/>
      <c r="LTI110" s="883"/>
      <c r="LTJ110" s="883"/>
      <c r="LTK110" s="883"/>
      <c r="LTL110" s="883"/>
      <c r="LTM110" s="883"/>
      <c r="LTN110" s="883"/>
      <c r="LTO110" s="883"/>
      <c r="LTP110" s="883"/>
      <c r="LTQ110" s="883"/>
      <c r="LTR110" s="863"/>
      <c r="LTS110" s="863"/>
      <c r="LTT110" s="863"/>
      <c r="LTU110" s="863"/>
      <c r="LTV110" s="863"/>
      <c r="LTW110" s="863"/>
      <c r="LTX110" s="863"/>
      <c r="LTY110" s="863"/>
      <c r="LTZ110" s="863"/>
      <c r="LUA110" s="863"/>
      <c r="LUB110" s="863"/>
      <c r="LUC110" s="863"/>
      <c r="LUD110" s="863"/>
      <c r="LUE110" s="863"/>
      <c r="LUF110" s="863"/>
      <c r="LUG110" s="863"/>
      <c r="LUH110" s="863"/>
      <c r="LUI110" s="863"/>
      <c r="LUJ110" s="863"/>
      <c r="LUK110" s="863"/>
      <c r="LUL110" s="863"/>
      <c r="LUM110" s="863"/>
      <c r="LUN110" s="863"/>
      <c r="LUO110" s="883"/>
      <c r="LUP110" s="883"/>
      <c r="LUQ110" s="883"/>
      <c r="LUR110" s="883"/>
      <c r="LUS110" s="883"/>
      <c r="LUT110" s="883"/>
      <c r="LUU110" s="883"/>
      <c r="LUV110" s="883"/>
      <c r="LUW110" s="883"/>
      <c r="LUX110" s="863"/>
      <c r="LUY110" s="863"/>
      <c r="LUZ110" s="863"/>
      <c r="LVA110" s="863"/>
      <c r="LVB110" s="863"/>
      <c r="LVC110" s="863"/>
      <c r="LVD110" s="863"/>
      <c r="LVE110" s="863"/>
      <c r="LVF110" s="863"/>
      <c r="LVG110" s="863"/>
      <c r="LVH110" s="863"/>
      <c r="LVI110" s="863"/>
      <c r="LVJ110" s="863"/>
      <c r="LVK110" s="863"/>
      <c r="LVL110" s="863"/>
      <c r="LVM110" s="863"/>
      <c r="LVN110" s="863"/>
      <c r="LVO110" s="863"/>
      <c r="LVP110" s="863"/>
      <c r="LVQ110" s="863"/>
      <c r="LVR110" s="863"/>
      <c r="LVS110" s="863"/>
      <c r="LVT110" s="863"/>
      <c r="LVU110" s="883"/>
      <c r="LVV110" s="883"/>
      <c r="LVW110" s="883"/>
      <c r="LVX110" s="883"/>
      <c r="LVY110" s="883"/>
      <c r="LVZ110" s="883"/>
      <c r="LWA110" s="883"/>
      <c r="LWB110" s="883"/>
      <c r="LWC110" s="883"/>
      <c r="LWD110" s="863"/>
      <c r="LWE110" s="863"/>
      <c r="LWF110" s="863"/>
      <c r="LWG110" s="863"/>
      <c r="LWH110" s="863"/>
      <c r="LWI110" s="863"/>
      <c r="LWJ110" s="863"/>
      <c r="LWK110" s="863"/>
      <c r="LWL110" s="863"/>
      <c r="LWM110" s="863"/>
      <c r="LWN110" s="863"/>
      <c r="LWO110" s="863"/>
      <c r="LWP110" s="863"/>
      <c r="LWQ110" s="863"/>
      <c r="LWR110" s="863"/>
      <c r="LWS110" s="863"/>
      <c r="LWT110" s="863"/>
      <c r="LWU110" s="863"/>
      <c r="LWV110" s="863"/>
      <c r="LWW110" s="863"/>
      <c r="LWX110" s="863"/>
      <c r="LWY110" s="863"/>
      <c r="LWZ110" s="863"/>
      <c r="LXA110" s="883"/>
      <c r="LXB110" s="883"/>
      <c r="LXC110" s="883"/>
      <c r="LXD110" s="883"/>
      <c r="LXE110" s="883"/>
      <c r="LXF110" s="883"/>
      <c r="LXG110" s="883"/>
      <c r="LXH110" s="883"/>
      <c r="LXI110" s="883"/>
      <c r="LXJ110" s="863"/>
      <c r="LXK110" s="863"/>
      <c r="LXL110" s="863"/>
      <c r="LXM110" s="863"/>
      <c r="LXN110" s="863"/>
      <c r="LXO110" s="863"/>
      <c r="LXP110" s="863"/>
      <c r="LXQ110" s="863"/>
      <c r="LXR110" s="863"/>
      <c r="LXS110" s="863"/>
      <c r="LXT110" s="863"/>
      <c r="LXU110" s="863"/>
      <c r="LXV110" s="863"/>
      <c r="LXW110" s="863"/>
      <c r="LXX110" s="863"/>
      <c r="LXY110" s="863"/>
      <c r="LXZ110" s="863"/>
      <c r="LYA110" s="863"/>
      <c r="LYB110" s="863"/>
      <c r="LYC110" s="863"/>
      <c r="LYD110" s="863"/>
      <c r="LYE110" s="863"/>
      <c r="LYF110" s="863"/>
      <c r="LYG110" s="883"/>
      <c r="LYH110" s="883"/>
      <c r="LYI110" s="883"/>
      <c r="LYJ110" s="883"/>
      <c r="LYK110" s="883"/>
      <c r="LYL110" s="883"/>
      <c r="LYM110" s="883"/>
      <c r="LYN110" s="883"/>
      <c r="LYO110" s="883"/>
      <c r="LYP110" s="863"/>
      <c r="LYQ110" s="863"/>
      <c r="LYR110" s="863"/>
      <c r="LYS110" s="863"/>
      <c r="LYT110" s="863"/>
      <c r="LYU110" s="863"/>
      <c r="LYV110" s="863"/>
      <c r="LYW110" s="863"/>
      <c r="LYX110" s="863"/>
      <c r="LYY110" s="863"/>
      <c r="LYZ110" s="863"/>
      <c r="LZA110" s="863"/>
      <c r="LZB110" s="863"/>
      <c r="LZC110" s="863"/>
      <c r="LZD110" s="863"/>
      <c r="LZE110" s="863"/>
      <c r="LZF110" s="863"/>
      <c r="LZG110" s="863"/>
      <c r="LZH110" s="863"/>
      <c r="LZI110" s="863"/>
      <c r="LZJ110" s="863"/>
      <c r="LZK110" s="863"/>
      <c r="LZL110" s="863"/>
      <c r="LZM110" s="883"/>
      <c r="LZN110" s="883"/>
      <c r="LZO110" s="883"/>
      <c r="LZP110" s="883"/>
      <c r="LZQ110" s="883"/>
      <c r="LZR110" s="883"/>
      <c r="LZS110" s="883"/>
      <c r="LZT110" s="883"/>
      <c r="LZU110" s="883"/>
      <c r="LZV110" s="863"/>
      <c r="LZW110" s="863"/>
      <c r="LZX110" s="863"/>
      <c r="LZY110" s="863"/>
      <c r="LZZ110" s="863"/>
      <c r="MAA110" s="863"/>
      <c r="MAB110" s="863"/>
      <c r="MAC110" s="863"/>
      <c r="MAD110" s="863"/>
      <c r="MAE110" s="863"/>
      <c r="MAF110" s="863"/>
      <c r="MAG110" s="863"/>
      <c r="MAH110" s="863"/>
      <c r="MAI110" s="863"/>
      <c r="MAJ110" s="863"/>
      <c r="MAK110" s="863"/>
      <c r="MAL110" s="863"/>
      <c r="MAM110" s="863"/>
      <c r="MAN110" s="863"/>
      <c r="MAO110" s="863"/>
      <c r="MAP110" s="863"/>
      <c r="MAQ110" s="863"/>
      <c r="MAR110" s="863"/>
      <c r="MAS110" s="883"/>
      <c r="MAT110" s="883"/>
      <c r="MAU110" s="883"/>
      <c r="MAV110" s="883"/>
      <c r="MAW110" s="883"/>
      <c r="MAX110" s="883"/>
      <c r="MAY110" s="883"/>
      <c r="MAZ110" s="883"/>
      <c r="MBA110" s="883"/>
      <c r="MBB110" s="863"/>
      <c r="MBC110" s="863"/>
      <c r="MBD110" s="863"/>
      <c r="MBE110" s="863"/>
      <c r="MBF110" s="863"/>
      <c r="MBG110" s="863"/>
      <c r="MBH110" s="863"/>
      <c r="MBI110" s="863"/>
      <c r="MBJ110" s="863"/>
      <c r="MBK110" s="863"/>
      <c r="MBL110" s="863"/>
      <c r="MBM110" s="863"/>
      <c r="MBN110" s="863"/>
      <c r="MBO110" s="863"/>
      <c r="MBP110" s="863"/>
      <c r="MBQ110" s="863"/>
      <c r="MBR110" s="863"/>
      <c r="MBS110" s="863"/>
      <c r="MBT110" s="863"/>
      <c r="MBU110" s="863"/>
      <c r="MBV110" s="863"/>
      <c r="MBW110" s="863"/>
      <c r="MBX110" s="863"/>
      <c r="MBY110" s="883"/>
      <c r="MBZ110" s="883"/>
      <c r="MCA110" s="883"/>
      <c r="MCB110" s="883"/>
      <c r="MCC110" s="883"/>
      <c r="MCD110" s="883"/>
      <c r="MCE110" s="883"/>
      <c r="MCF110" s="883"/>
      <c r="MCG110" s="883"/>
      <c r="MCH110" s="863"/>
      <c r="MCI110" s="863"/>
      <c r="MCJ110" s="863"/>
      <c r="MCK110" s="863"/>
      <c r="MCL110" s="863"/>
      <c r="MCM110" s="863"/>
      <c r="MCN110" s="863"/>
      <c r="MCO110" s="863"/>
      <c r="MCP110" s="863"/>
      <c r="MCQ110" s="863"/>
      <c r="MCR110" s="863"/>
      <c r="MCS110" s="863"/>
      <c r="MCT110" s="863"/>
      <c r="MCU110" s="863"/>
      <c r="MCV110" s="863"/>
      <c r="MCW110" s="863"/>
      <c r="MCX110" s="863"/>
      <c r="MCY110" s="863"/>
      <c r="MCZ110" s="863"/>
      <c r="MDA110" s="863"/>
      <c r="MDB110" s="863"/>
      <c r="MDC110" s="863"/>
      <c r="MDD110" s="863"/>
      <c r="MDE110" s="883"/>
      <c r="MDF110" s="883"/>
      <c r="MDG110" s="883"/>
      <c r="MDH110" s="883"/>
      <c r="MDI110" s="883"/>
      <c r="MDJ110" s="883"/>
      <c r="MDK110" s="883"/>
      <c r="MDL110" s="883"/>
      <c r="MDM110" s="883"/>
      <c r="MDN110" s="863"/>
      <c r="MDO110" s="863"/>
      <c r="MDP110" s="863"/>
      <c r="MDQ110" s="863"/>
      <c r="MDR110" s="863"/>
      <c r="MDS110" s="863"/>
      <c r="MDT110" s="863"/>
      <c r="MDU110" s="863"/>
      <c r="MDV110" s="863"/>
      <c r="MDW110" s="863"/>
      <c r="MDX110" s="863"/>
      <c r="MDY110" s="863"/>
      <c r="MDZ110" s="863"/>
      <c r="MEA110" s="863"/>
      <c r="MEB110" s="863"/>
      <c r="MEC110" s="863"/>
      <c r="MED110" s="863"/>
      <c r="MEE110" s="863"/>
      <c r="MEF110" s="863"/>
      <c r="MEG110" s="863"/>
      <c r="MEH110" s="863"/>
      <c r="MEI110" s="863"/>
      <c r="MEJ110" s="863"/>
      <c r="MEK110" s="883"/>
      <c r="MEL110" s="883"/>
      <c r="MEM110" s="883"/>
      <c r="MEN110" s="883"/>
      <c r="MEO110" s="883"/>
      <c r="MEP110" s="883"/>
      <c r="MEQ110" s="883"/>
      <c r="MER110" s="883"/>
      <c r="MES110" s="883"/>
      <c r="MET110" s="863"/>
      <c r="MEU110" s="863"/>
      <c r="MEV110" s="863"/>
      <c r="MEW110" s="863"/>
      <c r="MEX110" s="863"/>
      <c r="MEY110" s="863"/>
      <c r="MEZ110" s="863"/>
      <c r="MFA110" s="863"/>
      <c r="MFB110" s="863"/>
      <c r="MFC110" s="863"/>
      <c r="MFD110" s="863"/>
      <c r="MFE110" s="863"/>
      <c r="MFF110" s="863"/>
      <c r="MFG110" s="863"/>
      <c r="MFH110" s="863"/>
      <c r="MFI110" s="863"/>
      <c r="MFJ110" s="863"/>
      <c r="MFK110" s="863"/>
      <c r="MFL110" s="863"/>
      <c r="MFM110" s="863"/>
      <c r="MFN110" s="863"/>
      <c r="MFO110" s="863"/>
      <c r="MFP110" s="863"/>
      <c r="MFQ110" s="883"/>
      <c r="MFR110" s="883"/>
      <c r="MFS110" s="883"/>
      <c r="MFT110" s="883"/>
      <c r="MFU110" s="883"/>
      <c r="MFV110" s="883"/>
      <c r="MFW110" s="883"/>
      <c r="MFX110" s="883"/>
      <c r="MFY110" s="883"/>
      <c r="MFZ110" s="863"/>
      <c r="MGA110" s="863"/>
      <c r="MGB110" s="863"/>
      <c r="MGC110" s="863"/>
      <c r="MGD110" s="863"/>
      <c r="MGE110" s="863"/>
      <c r="MGF110" s="863"/>
      <c r="MGG110" s="863"/>
      <c r="MGH110" s="863"/>
      <c r="MGI110" s="863"/>
      <c r="MGJ110" s="863"/>
      <c r="MGK110" s="863"/>
      <c r="MGL110" s="863"/>
      <c r="MGM110" s="863"/>
      <c r="MGN110" s="863"/>
      <c r="MGO110" s="863"/>
      <c r="MGP110" s="863"/>
      <c r="MGQ110" s="863"/>
      <c r="MGR110" s="863"/>
      <c r="MGS110" s="863"/>
      <c r="MGT110" s="863"/>
      <c r="MGU110" s="863"/>
      <c r="MGV110" s="863"/>
      <c r="MGW110" s="883"/>
      <c r="MGX110" s="883"/>
      <c r="MGY110" s="883"/>
      <c r="MGZ110" s="883"/>
      <c r="MHA110" s="883"/>
      <c r="MHB110" s="883"/>
      <c r="MHC110" s="883"/>
      <c r="MHD110" s="883"/>
      <c r="MHE110" s="883"/>
      <c r="MHF110" s="863"/>
      <c r="MHG110" s="863"/>
      <c r="MHH110" s="863"/>
      <c r="MHI110" s="863"/>
      <c r="MHJ110" s="863"/>
      <c r="MHK110" s="863"/>
      <c r="MHL110" s="863"/>
      <c r="MHM110" s="863"/>
      <c r="MHN110" s="863"/>
      <c r="MHO110" s="863"/>
      <c r="MHP110" s="863"/>
      <c r="MHQ110" s="863"/>
      <c r="MHR110" s="863"/>
      <c r="MHS110" s="863"/>
      <c r="MHT110" s="863"/>
      <c r="MHU110" s="863"/>
      <c r="MHV110" s="863"/>
      <c r="MHW110" s="863"/>
      <c r="MHX110" s="863"/>
      <c r="MHY110" s="863"/>
      <c r="MHZ110" s="863"/>
      <c r="MIA110" s="863"/>
      <c r="MIB110" s="863"/>
      <c r="MIC110" s="883"/>
      <c r="MID110" s="883"/>
      <c r="MIE110" s="883"/>
      <c r="MIF110" s="883"/>
      <c r="MIG110" s="883"/>
      <c r="MIH110" s="883"/>
      <c r="MII110" s="883"/>
      <c r="MIJ110" s="883"/>
      <c r="MIK110" s="883"/>
      <c r="MIL110" s="863"/>
      <c r="MIM110" s="863"/>
      <c r="MIN110" s="863"/>
      <c r="MIO110" s="863"/>
      <c r="MIP110" s="863"/>
      <c r="MIQ110" s="863"/>
      <c r="MIR110" s="863"/>
      <c r="MIS110" s="863"/>
      <c r="MIT110" s="863"/>
      <c r="MIU110" s="863"/>
      <c r="MIV110" s="863"/>
      <c r="MIW110" s="863"/>
      <c r="MIX110" s="863"/>
      <c r="MIY110" s="863"/>
      <c r="MIZ110" s="863"/>
      <c r="MJA110" s="863"/>
      <c r="MJB110" s="863"/>
      <c r="MJC110" s="863"/>
      <c r="MJD110" s="863"/>
      <c r="MJE110" s="863"/>
      <c r="MJF110" s="863"/>
      <c r="MJG110" s="863"/>
      <c r="MJH110" s="863"/>
      <c r="MJI110" s="883"/>
      <c r="MJJ110" s="883"/>
      <c r="MJK110" s="883"/>
      <c r="MJL110" s="883"/>
      <c r="MJM110" s="883"/>
      <c r="MJN110" s="883"/>
      <c r="MJO110" s="883"/>
      <c r="MJP110" s="883"/>
      <c r="MJQ110" s="883"/>
      <c r="MJR110" s="863"/>
      <c r="MJS110" s="863"/>
      <c r="MJT110" s="863"/>
      <c r="MJU110" s="863"/>
      <c r="MJV110" s="863"/>
      <c r="MJW110" s="863"/>
      <c r="MJX110" s="863"/>
      <c r="MJY110" s="863"/>
      <c r="MJZ110" s="863"/>
      <c r="MKA110" s="863"/>
      <c r="MKB110" s="863"/>
      <c r="MKC110" s="863"/>
      <c r="MKD110" s="863"/>
      <c r="MKE110" s="863"/>
      <c r="MKF110" s="863"/>
      <c r="MKG110" s="863"/>
      <c r="MKH110" s="863"/>
      <c r="MKI110" s="863"/>
      <c r="MKJ110" s="863"/>
      <c r="MKK110" s="863"/>
      <c r="MKL110" s="863"/>
      <c r="MKM110" s="863"/>
      <c r="MKN110" s="863"/>
      <c r="MKO110" s="883"/>
      <c r="MKP110" s="883"/>
      <c r="MKQ110" s="883"/>
      <c r="MKR110" s="883"/>
      <c r="MKS110" s="883"/>
      <c r="MKT110" s="883"/>
      <c r="MKU110" s="883"/>
      <c r="MKV110" s="883"/>
      <c r="MKW110" s="883"/>
      <c r="MKX110" s="863"/>
      <c r="MKY110" s="863"/>
      <c r="MKZ110" s="863"/>
      <c r="MLA110" s="863"/>
      <c r="MLB110" s="863"/>
      <c r="MLC110" s="863"/>
      <c r="MLD110" s="863"/>
      <c r="MLE110" s="863"/>
      <c r="MLF110" s="863"/>
      <c r="MLG110" s="863"/>
      <c r="MLH110" s="863"/>
      <c r="MLI110" s="863"/>
      <c r="MLJ110" s="863"/>
      <c r="MLK110" s="863"/>
      <c r="MLL110" s="863"/>
      <c r="MLM110" s="863"/>
      <c r="MLN110" s="863"/>
      <c r="MLO110" s="863"/>
      <c r="MLP110" s="863"/>
      <c r="MLQ110" s="863"/>
      <c r="MLR110" s="863"/>
      <c r="MLS110" s="863"/>
      <c r="MLT110" s="863"/>
      <c r="MLU110" s="883"/>
      <c r="MLV110" s="883"/>
      <c r="MLW110" s="883"/>
      <c r="MLX110" s="883"/>
      <c r="MLY110" s="883"/>
      <c r="MLZ110" s="883"/>
      <c r="MMA110" s="883"/>
      <c r="MMB110" s="883"/>
      <c r="MMC110" s="883"/>
      <c r="MMD110" s="863"/>
      <c r="MME110" s="863"/>
      <c r="MMF110" s="863"/>
      <c r="MMG110" s="863"/>
      <c r="MMH110" s="863"/>
      <c r="MMI110" s="863"/>
      <c r="MMJ110" s="863"/>
      <c r="MMK110" s="863"/>
      <c r="MML110" s="863"/>
      <c r="MMM110" s="863"/>
      <c r="MMN110" s="863"/>
      <c r="MMO110" s="863"/>
      <c r="MMP110" s="863"/>
      <c r="MMQ110" s="863"/>
      <c r="MMR110" s="863"/>
      <c r="MMS110" s="863"/>
      <c r="MMT110" s="863"/>
      <c r="MMU110" s="863"/>
      <c r="MMV110" s="863"/>
      <c r="MMW110" s="863"/>
      <c r="MMX110" s="863"/>
      <c r="MMY110" s="863"/>
      <c r="MMZ110" s="863"/>
      <c r="MNA110" s="883"/>
      <c r="MNB110" s="883"/>
      <c r="MNC110" s="883"/>
      <c r="MND110" s="883"/>
      <c r="MNE110" s="883"/>
      <c r="MNF110" s="883"/>
      <c r="MNG110" s="883"/>
      <c r="MNH110" s="883"/>
      <c r="MNI110" s="883"/>
      <c r="MNJ110" s="863"/>
      <c r="MNK110" s="863"/>
      <c r="MNL110" s="863"/>
      <c r="MNM110" s="863"/>
      <c r="MNN110" s="863"/>
      <c r="MNO110" s="863"/>
      <c r="MNP110" s="863"/>
      <c r="MNQ110" s="863"/>
      <c r="MNR110" s="863"/>
      <c r="MNS110" s="863"/>
      <c r="MNT110" s="863"/>
      <c r="MNU110" s="863"/>
      <c r="MNV110" s="863"/>
      <c r="MNW110" s="863"/>
      <c r="MNX110" s="863"/>
      <c r="MNY110" s="863"/>
      <c r="MNZ110" s="863"/>
      <c r="MOA110" s="863"/>
      <c r="MOB110" s="863"/>
      <c r="MOC110" s="863"/>
      <c r="MOD110" s="863"/>
      <c r="MOE110" s="863"/>
      <c r="MOF110" s="863"/>
      <c r="MOG110" s="883"/>
      <c r="MOH110" s="883"/>
      <c r="MOI110" s="883"/>
      <c r="MOJ110" s="883"/>
      <c r="MOK110" s="883"/>
      <c r="MOL110" s="883"/>
      <c r="MOM110" s="883"/>
      <c r="MON110" s="883"/>
      <c r="MOO110" s="883"/>
      <c r="MOP110" s="863"/>
      <c r="MOQ110" s="863"/>
      <c r="MOR110" s="863"/>
      <c r="MOS110" s="863"/>
      <c r="MOT110" s="863"/>
      <c r="MOU110" s="863"/>
      <c r="MOV110" s="863"/>
      <c r="MOW110" s="863"/>
      <c r="MOX110" s="863"/>
      <c r="MOY110" s="863"/>
      <c r="MOZ110" s="863"/>
      <c r="MPA110" s="863"/>
      <c r="MPB110" s="863"/>
      <c r="MPC110" s="863"/>
      <c r="MPD110" s="863"/>
      <c r="MPE110" s="863"/>
      <c r="MPF110" s="863"/>
      <c r="MPG110" s="863"/>
      <c r="MPH110" s="863"/>
      <c r="MPI110" s="863"/>
      <c r="MPJ110" s="863"/>
      <c r="MPK110" s="863"/>
      <c r="MPL110" s="863"/>
      <c r="MPM110" s="883"/>
      <c r="MPN110" s="883"/>
      <c r="MPO110" s="883"/>
      <c r="MPP110" s="883"/>
      <c r="MPQ110" s="883"/>
      <c r="MPR110" s="883"/>
      <c r="MPS110" s="883"/>
      <c r="MPT110" s="883"/>
      <c r="MPU110" s="883"/>
      <c r="MPV110" s="863"/>
      <c r="MPW110" s="863"/>
      <c r="MPX110" s="863"/>
      <c r="MPY110" s="863"/>
      <c r="MPZ110" s="863"/>
      <c r="MQA110" s="863"/>
      <c r="MQB110" s="863"/>
      <c r="MQC110" s="863"/>
      <c r="MQD110" s="863"/>
      <c r="MQE110" s="863"/>
      <c r="MQF110" s="863"/>
      <c r="MQG110" s="863"/>
      <c r="MQH110" s="863"/>
      <c r="MQI110" s="863"/>
      <c r="MQJ110" s="863"/>
      <c r="MQK110" s="863"/>
      <c r="MQL110" s="863"/>
      <c r="MQM110" s="863"/>
      <c r="MQN110" s="863"/>
      <c r="MQO110" s="863"/>
      <c r="MQP110" s="863"/>
      <c r="MQQ110" s="863"/>
      <c r="MQR110" s="863"/>
      <c r="MQS110" s="883"/>
      <c r="MQT110" s="883"/>
      <c r="MQU110" s="883"/>
      <c r="MQV110" s="883"/>
      <c r="MQW110" s="883"/>
      <c r="MQX110" s="883"/>
      <c r="MQY110" s="883"/>
      <c r="MQZ110" s="883"/>
      <c r="MRA110" s="883"/>
      <c r="MRB110" s="863"/>
      <c r="MRC110" s="863"/>
      <c r="MRD110" s="863"/>
      <c r="MRE110" s="863"/>
      <c r="MRF110" s="863"/>
      <c r="MRG110" s="863"/>
      <c r="MRH110" s="863"/>
      <c r="MRI110" s="863"/>
      <c r="MRJ110" s="863"/>
      <c r="MRK110" s="863"/>
      <c r="MRL110" s="863"/>
      <c r="MRM110" s="863"/>
      <c r="MRN110" s="863"/>
      <c r="MRO110" s="863"/>
      <c r="MRP110" s="863"/>
      <c r="MRQ110" s="863"/>
      <c r="MRR110" s="863"/>
      <c r="MRS110" s="863"/>
      <c r="MRT110" s="863"/>
      <c r="MRU110" s="863"/>
      <c r="MRV110" s="863"/>
      <c r="MRW110" s="863"/>
      <c r="MRX110" s="863"/>
      <c r="MRY110" s="883"/>
      <c r="MRZ110" s="883"/>
      <c r="MSA110" s="883"/>
      <c r="MSB110" s="883"/>
      <c r="MSC110" s="883"/>
      <c r="MSD110" s="883"/>
      <c r="MSE110" s="883"/>
      <c r="MSF110" s="883"/>
      <c r="MSG110" s="883"/>
      <c r="MSH110" s="863"/>
      <c r="MSI110" s="863"/>
      <c r="MSJ110" s="863"/>
      <c r="MSK110" s="863"/>
      <c r="MSL110" s="863"/>
      <c r="MSM110" s="863"/>
      <c r="MSN110" s="863"/>
      <c r="MSO110" s="863"/>
      <c r="MSP110" s="863"/>
      <c r="MSQ110" s="863"/>
      <c r="MSR110" s="863"/>
      <c r="MSS110" s="863"/>
      <c r="MST110" s="863"/>
      <c r="MSU110" s="863"/>
      <c r="MSV110" s="863"/>
      <c r="MSW110" s="863"/>
      <c r="MSX110" s="863"/>
      <c r="MSY110" s="863"/>
      <c r="MSZ110" s="863"/>
      <c r="MTA110" s="863"/>
      <c r="MTB110" s="863"/>
      <c r="MTC110" s="863"/>
      <c r="MTD110" s="863"/>
      <c r="MTE110" s="883"/>
      <c r="MTF110" s="883"/>
      <c r="MTG110" s="883"/>
      <c r="MTH110" s="883"/>
      <c r="MTI110" s="883"/>
      <c r="MTJ110" s="883"/>
      <c r="MTK110" s="883"/>
      <c r="MTL110" s="883"/>
      <c r="MTM110" s="883"/>
      <c r="MTN110" s="863"/>
      <c r="MTO110" s="863"/>
      <c r="MTP110" s="863"/>
      <c r="MTQ110" s="863"/>
      <c r="MTR110" s="863"/>
      <c r="MTS110" s="863"/>
      <c r="MTT110" s="863"/>
      <c r="MTU110" s="863"/>
      <c r="MTV110" s="863"/>
      <c r="MTW110" s="863"/>
      <c r="MTX110" s="863"/>
      <c r="MTY110" s="863"/>
      <c r="MTZ110" s="863"/>
      <c r="MUA110" s="863"/>
      <c r="MUB110" s="863"/>
      <c r="MUC110" s="863"/>
      <c r="MUD110" s="863"/>
      <c r="MUE110" s="863"/>
      <c r="MUF110" s="863"/>
      <c r="MUG110" s="863"/>
      <c r="MUH110" s="863"/>
      <c r="MUI110" s="863"/>
      <c r="MUJ110" s="863"/>
      <c r="MUK110" s="883"/>
      <c r="MUL110" s="883"/>
      <c r="MUM110" s="883"/>
      <c r="MUN110" s="883"/>
      <c r="MUO110" s="883"/>
      <c r="MUP110" s="883"/>
      <c r="MUQ110" s="883"/>
      <c r="MUR110" s="883"/>
      <c r="MUS110" s="883"/>
      <c r="MUT110" s="863"/>
      <c r="MUU110" s="863"/>
      <c r="MUV110" s="863"/>
      <c r="MUW110" s="863"/>
      <c r="MUX110" s="863"/>
      <c r="MUY110" s="863"/>
      <c r="MUZ110" s="863"/>
      <c r="MVA110" s="863"/>
      <c r="MVB110" s="863"/>
      <c r="MVC110" s="863"/>
      <c r="MVD110" s="863"/>
      <c r="MVE110" s="863"/>
      <c r="MVF110" s="863"/>
      <c r="MVG110" s="863"/>
      <c r="MVH110" s="863"/>
      <c r="MVI110" s="863"/>
      <c r="MVJ110" s="863"/>
      <c r="MVK110" s="863"/>
      <c r="MVL110" s="863"/>
      <c r="MVM110" s="863"/>
      <c r="MVN110" s="863"/>
      <c r="MVO110" s="863"/>
      <c r="MVP110" s="863"/>
      <c r="MVQ110" s="883"/>
      <c r="MVR110" s="883"/>
      <c r="MVS110" s="883"/>
      <c r="MVT110" s="883"/>
      <c r="MVU110" s="883"/>
      <c r="MVV110" s="883"/>
      <c r="MVW110" s="883"/>
      <c r="MVX110" s="883"/>
      <c r="MVY110" s="883"/>
      <c r="MVZ110" s="863"/>
      <c r="MWA110" s="863"/>
      <c r="MWB110" s="863"/>
      <c r="MWC110" s="863"/>
      <c r="MWD110" s="863"/>
      <c r="MWE110" s="863"/>
      <c r="MWF110" s="863"/>
      <c r="MWG110" s="863"/>
      <c r="MWH110" s="863"/>
      <c r="MWI110" s="863"/>
      <c r="MWJ110" s="863"/>
      <c r="MWK110" s="863"/>
      <c r="MWL110" s="863"/>
      <c r="MWM110" s="863"/>
      <c r="MWN110" s="863"/>
      <c r="MWO110" s="863"/>
      <c r="MWP110" s="863"/>
      <c r="MWQ110" s="863"/>
      <c r="MWR110" s="863"/>
      <c r="MWS110" s="863"/>
      <c r="MWT110" s="863"/>
      <c r="MWU110" s="863"/>
      <c r="MWV110" s="863"/>
      <c r="MWW110" s="883"/>
      <c r="MWX110" s="883"/>
      <c r="MWY110" s="883"/>
      <c r="MWZ110" s="883"/>
      <c r="MXA110" s="883"/>
      <c r="MXB110" s="883"/>
      <c r="MXC110" s="883"/>
      <c r="MXD110" s="883"/>
      <c r="MXE110" s="883"/>
      <c r="MXF110" s="863"/>
      <c r="MXG110" s="863"/>
      <c r="MXH110" s="863"/>
      <c r="MXI110" s="863"/>
      <c r="MXJ110" s="863"/>
      <c r="MXK110" s="863"/>
      <c r="MXL110" s="863"/>
      <c r="MXM110" s="863"/>
      <c r="MXN110" s="863"/>
      <c r="MXO110" s="863"/>
      <c r="MXP110" s="863"/>
      <c r="MXQ110" s="863"/>
      <c r="MXR110" s="863"/>
      <c r="MXS110" s="863"/>
      <c r="MXT110" s="863"/>
      <c r="MXU110" s="863"/>
      <c r="MXV110" s="863"/>
      <c r="MXW110" s="863"/>
      <c r="MXX110" s="863"/>
      <c r="MXY110" s="863"/>
      <c r="MXZ110" s="863"/>
      <c r="MYA110" s="863"/>
      <c r="MYB110" s="863"/>
      <c r="MYC110" s="883"/>
      <c r="MYD110" s="883"/>
      <c r="MYE110" s="883"/>
      <c r="MYF110" s="883"/>
      <c r="MYG110" s="883"/>
      <c r="MYH110" s="883"/>
      <c r="MYI110" s="883"/>
      <c r="MYJ110" s="883"/>
      <c r="MYK110" s="883"/>
      <c r="MYL110" s="863"/>
      <c r="MYM110" s="863"/>
      <c r="MYN110" s="863"/>
      <c r="MYO110" s="863"/>
      <c r="MYP110" s="863"/>
      <c r="MYQ110" s="863"/>
      <c r="MYR110" s="863"/>
      <c r="MYS110" s="863"/>
      <c r="MYT110" s="863"/>
      <c r="MYU110" s="863"/>
      <c r="MYV110" s="863"/>
      <c r="MYW110" s="863"/>
      <c r="MYX110" s="863"/>
      <c r="MYY110" s="863"/>
      <c r="MYZ110" s="863"/>
      <c r="MZA110" s="863"/>
      <c r="MZB110" s="863"/>
      <c r="MZC110" s="863"/>
      <c r="MZD110" s="863"/>
      <c r="MZE110" s="863"/>
      <c r="MZF110" s="863"/>
      <c r="MZG110" s="863"/>
      <c r="MZH110" s="863"/>
      <c r="MZI110" s="883"/>
      <c r="MZJ110" s="883"/>
      <c r="MZK110" s="883"/>
      <c r="MZL110" s="883"/>
      <c r="MZM110" s="883"/>
      <c r="MZN110" s="883"/>
      <c r="MZO110" s="883"/>
      <c r="MZP110" s="883"/>
      <c r="MZQ110" s="883"/>
      <c r="MZR110" s="863"/>
      <c r="MZS110" s="863"/>
      <c r="MZT110" s="863"/>
      <c r="MZU110" s="863"/>
      <c r="MZV110" s="863"/>
      <c r="MZW110" s="863"/>
      <c r="MZX110" s="863"/>
      <c r="MZY110" s="863"/>
      <c r="MZZ110" s="863"/>
      <c r="NAA110" s="863"/>
      <c r="NAB110" s="863"/>
      <c r="NAC110" s="863"/>
      <c r="NAD110" s="863"/>
      <c r="NAE110" s="863"/>
      <c r="NAF110" s="863"/>
      <c r="NAG110" s="863"/>
      <c r="NAH110" s="863"/>
      <c r="NAI110" s="863"/>
      <c r="NAJ110" s="863"/>
      <c r="NAK110" s="863"/>
      <c r="NAL110" s="863"/>
      <c r="NAM110" s="863"/>
      <c r="NAN110" s="863"/>
      <c r="NAO110" s="883"/>
      <c r="NAP110" s="883"/>
      <c r="NAQ110" s="883"/>
      <c r="NAR110" s="883"/>
      <c r="NAS110" s="883"/>
      <c r="NAT110" s="883"/>
      <c r="NAU110" s="883"/>
      <c r="NAV110" s="883"/>
      <c r="NAW110" s="883"/>
      <c r="NAX110" s="863"/>
      <c r="NAY110" s="863"/>
      <c r="NAZ110" s="863"/>
      <c r="NBA110" s="863"/>
      <c r="NBB110" s="863"/>
      <c r="NBC110" s="863"/>
      <c r="NBD110" s="863"/>
      <c r="NBE110" s="863"/>
      <c r="NBF110" s="863"/>
      <c r="NBG110" s="863"/>
      <c r="NBH110" s="863"/>
      <c r="NBI110" s="863"/>
      <c r="NBJ110" s="863"/>
      <c r="NBK110" s="863"/>
      <c r="NBL110" s="863"/>
      <c r="NBM110" s="863"/>
      <c r="NBN110" s="863"/>
      <c r="NBO110" s="863"/>
      <c r="NBP110" s="863"/>
      <c r="NBQ110" s="863"/>
      <c r="NBR110" s="863"/>
      <c r="NBS110" s="863"/>
      <c r="NBT110" s="863"/>
      <c r="NBU110" s="883"/>
      <c r="NBV110" s="883"/>
      <c r="NBW110" s="883"/>
      <c r="NBX110" s="883"/>
      <c r="NBY110" s="883"/>
      <c r="NBZ110" s="883"/>
      <c r="NCA110" s="883"/>
      <c r="NCB110" s="883"/>
      <c r="NCC110" s="883"/>
      <c r="NCD110" s="863"/>
      <c r="NCE110" s="863"/>
      <c r="NCF110" s="863"/>
      <c r="NCG110" s="863"/>
      <c r="NCH110" s="863"/>
      <c r="NCI110" s="863"/>
      <c r="NCJ110" s="863"/>
      <c r="NCK110" s="863"/>
      <c r="NCL110" s="863"/>
      <c r="NCM110" s="863"/>
      <c r="NCN110" s="863"/>
      <c r="NCO110" s="863"/>
      <c r="NCP110" s="863"/>
      <c r="NCQ110" s="863"/>
      <c r="NCR110" s="863"/>
      <c r="NCS110" s="863"/>
      <c r="NCT110" s="863"/>
      <c r="NCU110" s="863"/>
      <c r="NCV110" s="863"/>
      <c r="NCW110" s="863"/>
      <c r="NCX110" s="863"/>
      <c r="NCY110" s="863"/>
      <c r="NCZ110" s="863"/>
      <c r="NDA110" s="883"/>
      <c r="NDB110" s="883"/>
      <c r="NDC110" s="883"/>
      <c r="NDD110" s="883"/>
      <c r="NDE110" s="883"/>
      <c r="NDF110" s="883"/>
      <c r="NDG110" s="883"/>
      <c r="NDH110" s="883"/>
      <c r="NDI110" s="883"/>
      <c r="NDJ110" s="863"/>
      <c r="NDK110" s="863"/>
      <c r="NDL110" s="863"/>
      <c r="NDM110" s="863"/>
      <c r="NDN110" s="863"/>
      <c r="NDO110" s="863"/>
      <c r="NDP110" s="863"/>
      <c r="NDQ110" s="863"/>
      <c r="NDR110" s="863"/>
      <c r="NDS110" s="863"/>
      <c r="NDT110" s="863"/>
      <c r="NDU110" s="863"/>
      <c r="NDV110" s="863"/>
      <c r="NDW110" s="863"/>
      <c r="NDX110" s="863"/>
      <c r="NDY110" s="863"/>
      <c r="NDZ110" s="863"/>
      <c r="NEA110" s="863"/>
      <c r="NEB110" s="863"/>
      <c r="NEC110" s="863"/>
      <c r="NED110" s="863"/>
      <c r="NEE110" s="863"/>
      <c r="NEF110" s="863"/>
      <c r="NEG110" s="883"/>
      <c r="NEH110" s="883"/>
      <c r="NEI110" s="883"/>
      <c r="NEJ110" s="883"/>
      <c r="NEK110" s="883"/>
      <c r="NEL110" s="883"/>
      <c r="NEM110" s="883"/>
      <c r="NEN110" s="883"/>
      <c r="NEO110" s="883"/>
      <c r="NEP110" s="863"/>
      <c r="NEQ110" s="863"/>
      <c r="NER110" s="863"/>
      <c r="NES110" s="863"/>
      <c r="NET110" s="863"/>
      <c r="NEU110" s="863"/>
      <c r="NEV110" s="863"/>
      <c r="NEW110" s="863"/>
      <c r="NEX110" s="863"/>
      <c r="NEY110" s="863"/>
      <c r="NEZ110" s="863"/>
      <c r="NFA110" s="863"/>
      <c r="NFB110" s="863"/>
      <c r="NFC110" s="863"/>
      <c r="NFD110" s="863"/>
      <c r="NFE110" s="863"/>
      <c r="NFF110" s="863"/>
      <c r="NFG110" s="863"/>
      <c r="NFH110" s="863"/>
      <c r="NFI110" s="863"/>
      <c r="NFJ110" s="863"/>
      <c r="NFK110" s="863"/>
      <c r="NFL110" s="863"/>
      <c r="NFM110" s="883"/>
      <c r="NFN110" s="883"/>
      <c r="NFO110" s="883"/>
      <c r="NFP110" s="883"/>
      <c r="NFQ110" s="883"/>
      <c r="NFR110" s="883"/>
      <c r="NFS110" s="883"/>
      <c r="NFT110" s="883"/>
      <c r="NFU110" s="883"/>
      <c r="NFV110" s="863"/>
      <c r="NFW110" s="863"/>
      <c r="NFX110" s="863"/>
      <c r="NFY110" s="863"/>
      <c r="NFZ110" s="863"/>
      <c r="NGA110" s="863"/>
      <c r="NGB110" s="863"/>
      <c r="NGC110" s="863"/>
      <c r="NGD110" s="863"/>
      <c r="NGE110" s="863"/>
      <c r="NGF110" s="863"/>
      <c r="NGG110" s="863"/>
      <c r="NGH110" s="863"/>
      <c r="NGI110" s="863"/>
      <c r="NGJ110" s="863"/>
      <c r="NGK110" s="863"/>
      <c r="NGL110" s="863"/>
      <c r="NGM110" s="863"/>
      <c r="NGN110" s="863"/>
      <c r="NGO110" s="863"/>
      <c r="NGP110" s="863"/>
      <c r="NGQ110" s="863"/>
      <c r="NGR110" s="863"/>
      <c r="NGS110" s="883"/>
      <c r="NGT110" s="883"/>
      <c r="NGU110" s="883"/>
      <c r="NGV110" s="883"/>
      <c r="NGW110" s="883"/>
      <c r="NGX110" s="883"/>
      <c r="NGY110" s="883"/>
      <c r="NGZ110" s="883"/>
      <c r="NHA110" s="883"/>
      <c r="NHB110" s="863"/>
      <c r="NHC110" s="863"/>
      <c r="NHD110" s="863"/>
      <c r="NHE110" s="863"/>
      <c r="NHF110" s="863"/>
      <c r="NHG110" s="863"/>
      <c r="NHH110" s="863"/>
      <c r="NHI110" s="863"/>
      <c r="NHJ110" s="863"/>
      <c r="NHK110" s="863"/>
      <c r="NHL110" s="863"/>
      <c r="NHM110" s="863"/>
      <c r="NHN110" s="863"/>
      <c r="NHO110" s="863"/>
      <c r="NHP110" s="863"/>
      <c r="NHQ110" s="863"/>
      <c r="NHR110" s="863"/>
      <c r="NHS110" s="863"/>
      <c r="NHT110" s="863"/>
      <c r="NHU110" s="863"/>
      <c r="NHV110" s="863"/>
      <c r="NHW110" s="863"/>
      <c r="NHX110" s="863"/>
      <c r="NHY110" s="883"/>
      <c r="NHZ110" s="883"/>
      <c r="NIA110" s="883"/>
      <c r="NIB110" s="883"/>
      <c r="NIC110" s="883"/>
      <c r="NID110" s="883"/>
      <c r="NIE110" s="883"/>
      <c r="NIF110" s="883"/>
      <c r="NIG110" s="883"/>
      <c r="NIH110" s="863"/>
      <c r="NII110" s="863"/>
      <c r="NIJ110" s="863"/>
      <c r="NIK110" s="863"/>
      <c r="NIL110" s="863"/>
      <c r="NIM110" s="863"/>
      <c r="NIN110" s="863"/>
      <c r="NIO110" s="863"/>
      <c r="NIP110" s="863"/>
      <c r="NIQ110" s="863"/>
      <c r="NIR110" s="863"/>
      <c r="NIS110" s="863"/>
      <c r="NIT110" s="863"/>
      <c r="NIU110" s="863"/>
      <c r="NIV110" s="863"/>
      <c r="NIW110" s="863"/>
      <c r="NIX110" s="863"/>
      <c r="NIY110" s="863"/>
      <c r="NIZ110" s="863"/>
      <c r="NJA110" s="863"/>
      <c r="NJB110" s="863"/>
      <c r="NJC110" s="863"/>
      <c r="NJD110" s="863"/>
      <c r="NJE110" s="883"/>
      <c r="NJF110" s="883"/>
      <c r="NJG110" s="883"/>
      <c r="NJH110" s="883"/>
      <c r="NJI110" s="883"/>
      <c r="NJJ110" s="883"/>
      <c r="NJK110" s="883"/>
      <c r="NJL110" s="883"/>
      <c r="NJM110" s="883"/>
      <c r="NJN110" s="863"/>
      <c r="NJO110" s="863"/>
      <c r="NJP110" s="863"/>
      <c r="NJQ110" s="863"/>
      <c r="NJR110" s="863"/>
      <c r="NJS110" s="863"/>
      <c r="NJT110" s="863"/>
      <c r="NJU110" s="863"/>
      <c r="NJV110" s="863"/>
      <c r="NJW110" s="863"/>
      <c r="NJX110" s="863"/>
      <c r="NJY110" s="863"/>
      <c r="NJZ110" s="863"/>
      <c r="NKA110" s="863"/>
      <c r="NKB110" s="863"/>
      <c r="NKC110" s="863"/>
      <c r="NKD110" s="863"/>
      <c r="NKE110" s="863"/>
      <c r="NKF110" s="863"/>
      <c r="NKG110" s="863"/>
      <c r="NKH110" s="863"/>
      <c r="NKI110" s="863"/>
      <c r="NKJ110" s="863"/>
      <c r="NKK110" s="883"/>
      <c r="NKL110" s="883"/>
      <c r="NKM110" s="883"/>
      <c r="NKN110" s="883"/>
      <c r="NKO110" s="883"/>
      <c r="NKP110" s="883"/>
      <c r="NKQ110" s="883"/>
      <c r="NKR110" s="883"/>
      <c r="NKS110" s="883"/>
      <c r="NKT110" s="863"/>
      <c r="NKU110" s="863"/>
      <c r="NKV110" s="863"/>
      <c r="NKW110" s="863"/>
      <c r="NKX110" s="863"/>
      <c r="NKY110" s="863"/>
      <c r="NKZ110" s="863"/>
      <c r="NLA110" s="863"/>
      <c r="NLB110" s="863"/>
      <c r="NLC110" s="863"/>
      <c r="NLD110" s="863"/>
      <c r="NLE110" s="863"/>
      <c r="NLF110" s="863"/>
      <c r="NLG110" s="863"/>
      <c r="NLH110" s="863"/>
      <c r="NLI110" s="863"/>
      <c r="NLJ110" s="863"/>
      <c r="NLK110" s="863"/>
      <c r="NLL110" s="863"/>
      <c r="NLM110" s="863"/>
      <c r="NLN110" s="863"/>
      <c r="NLO110" s="863"/>
      <c r="NLP110" s="863"/>
      <c r="NLQ110" s="883"/>
      <c r="NLR110" s="883"/>
      <c r="NLS110" s="883"/>
      <c r="NLT110" s="883"/>
      <c r="NLU110" s="883"/>
      <c r="NLV110" s="883"/>
      <c r="NLW110" s="883"/>
      <c r="NLX110" s="883"/>
      <c r="NLY110" s="883"/>
      <c r="NLZ110" s="863"/>
      <c r="NMA110" s="863"/>
      <c r="NMB110" s="863"/>
      <c r="NMC110" s="863"/>
      <c r="NMD110" s="863"/>
      <c r="NME110" s="863"/>
      <c r="NMF110" s="863"/>
      <c r="NMG110" s="863"/>
      <c r="NMH110" s="863"/>
      <c r="NMI110" s="863"/>
      <c r="NMJ110" s="863"/>
      <c r="NMK110" s="863"/>
      <c r="NML110" s="863"/>
      <c r="NMM110" s="863"/>
      <c r="NMN110" s="863"/>
      <c r="NMO110" s="863"/>
      <c r="NMP110" s="863"/>
      <c r="NMQ110" s="863"/>
      <c r="NMR110" s="863"/>
      <c r="NMS110" s="863"/>
      <c r="NMT110" s="863"/>
      <c r="NMU110" s="863"/>
      <c r="NMV110" s="863"/>
      <c r="NMW110" s="883"/>
      <c r="NMX110" s="883"/>
      <c r="NMY110" s="883"/>
      <c r="NMZ110" s="883"/>
      <c r="NNA110" s="883"/>
      <c r="NNB110" s="883"/>
      <c r="NNC110" s="883"/>
      <c r="NND110" s="883"/>
      <c r="NNE110" s="883"/>
      <c r="NNF110" s="863"/>
      <c r="NNG110" s="863"/>
      <c r="NNH110" s="863"/>
      <c r="NNI110" s="863"/>
      <c r="NNJ110" s="863"/>
      <c r="NNK110" s="863"/>
      <c r="NNL110" s="863"/>
      <c r="NNM110" s="863"/>
      <c r="NNN110" s="863"/>
      <c r="NNO110" s="863"/>
      <c r="NNP110" s="863"/>
      <c r="NNQ110" s="863"/>
      <c r="NNR110" s="863"/>
      <c r="NNS110" s="863"/>
      <c r="NNT110" s="863"/>
      <c r="NNU110" s="863"/>
      <c r="NNV110" s="863"/>
      <c r="NNW110" s="863"/>
      <c r="NNX110" s="863"/>
      <c r="NNY110" s="863"/>
      <c r="NNZ110" s="863"/>
      <c r="NOA110" s="863"/>
      <c r="NOB110" s="863"/>
      <c r="NOC110" s="883"/>
      <c r="NOD110" s="883"/>
      <c r="NOE110" s="883"/>
      <c r="NOF110" s="883"/>
      <c r="NOG110" s="883"/>
      <c r="NOH110" s="883"/>
      <c r="NOI110" s="883"/>
      <c r="NOJ110" s="883"/>
      <c r="NOK110" s="883"/>
      <c r="NOL110" s="863"/>
      <c r="NOM110" s="863"/>
      <c r="NON110" s="863"/>
      <c r="NOO110" s="863"/>
      <c r="NOP110" s="863"/>
      <c r="NOQ110" s="863"/>
      <c r="NOR110" s="863"/>
      <c r="NOS110" s="863"/>
      <c r="NOT110" s="863"/>
      <c r="NOU110" s="863"/>
      <c r="NOV110" s="863"/>
      <c r="NOW110" s="863"/>
      <c r="NOX110" s="863"/>
      <c r="NOY110" s="863"/>
      <c r="NOZ110" s="863"/>
      <c r="NPA110" s="863"/>
      <c r="NPB110" s="863"/>
      <c r="NPC110" s="863"/>
      <c r="NPD110" s="863"/>
      <c r="NPE110" s="863"/>
      <c r="NPF110" s="863"/>
      <c r="NPG110" s="863"/>
      <c r="NPH110" s="863"/>
      <c r="NPI110" s="883"/>
      <c r="NPJ110" s="883"/>
      <c r="NPK110" s="883"/>
      <c r="NPL110" s="883"/>
      <c r="NPM110" s="883"/>
      <c r="NPN110" s="883"/>
      <c r="NPO110" s="883"/>
      <c r="NPP110" s="883"/>
      <c r="NPQ110" s="883"/>
      <c r="NPR110" s="863"/>
      <c r="NPS110" s="863"/>
      <c r="NPT110" s="863"/>
      <c r="NPU110" s="863"/>
      <c r="NPV110" s="863"/>
      <c r="NPW110" s="863"/>
      <c r="NPX110" s="863"/>
      <c r="NPY110" s="863"/>
      <c r="NPZ110" s="863"/>
      <c r="NQA110" s="863"/>
      <c r="NQB110" s="863"/>
      <c r="NQC110" s="863"/>
      <c r="NQD110" s="863"/>
      <c r="NQE110" s="863"/>
      <c r="NQF110" s="863"/>
      <c r="NQG110" s="863"/>
      <c r="NQH110" s="863"/>
      <c r="NQI110" s="863"/>
      <c r="NQJ110" s="863"/>
      <c r="NQK110" s="863"/>
      <c r="NQL110" s="863"/>
      <c r="NQM110" s="863"/>
      <c r="NQN110" s="863"/>
      <c r="NQO110" s="883"/>
      <c r="NQP110" s="883"/>
      <c r="NQQ110" s="883"/>
      <c r="NQR110" s="883"/>
      <c r="NQS110" s="883"/>
      <c r="NQT110" s="883"/>
      <c r="NQU110" s="883"/>
      <c r="NQV110" s="883"/>
      <c r="NQW110" s="883"/>
      <c r="NQX110" s="863"/>
      <c r="NQY110" s="863"/>
      <c r="NQZ110" s="863"/>
      <c r="NRA110" s="863"/>
      <c r="NRB110" s="863"/>
      <c r="NRC110" s="863"/>
      <c r="NRD110" s="863"/>
      <c r="NRE110" s="863"/>
      <c r="NRF110" s="863"/>
      <c r="NRG110" s="863"/>
      <c r="NRH110" s="863"/>
      <c r="NRI110" s="863"/>
      <c r="NRJ110" s="863"/>
      <c r="NRK110" s="863"/>
      <c r="NRL110" s="863"/>
      <c r="NRM110" s="863"/>
      <c r="NRN110" s="863"/>
      <c r="NRO110" s="863"/>
      <c r="NRP110" s="863"/>
      <c r="NRQ110" s="863"/>
      <c r="NRR110" s="863"/>
      <c r="NRS110" s="863"/>
      <c r="NRT110" s="863"/>
      <c r="NRU110" s="883"/>
      <c r="NRV110" s="883"/>
      <c r="NRW110" s="883"/>
      <c r="NRX110" s="883"/>
      <c r="NRY110" s="883"/>
      <c r="NRZ110" s="883"/>
      <c r="NSA110" s="883"/>
      <c r="NSB110" s="883"/>
      <c r="NSC110" s="883"/>
      <c r="NSD110" s="863"/>
      <c r="NSE110" s="863"/>
      <c r="NSF110" s="863"/>
      <c r="NSG110" s="863"/>
      <c r="NSH110" s="863"/>
      <c r="NSI110" s="863"/>
      <c r="NSJ110" s="863"/>
      <c r="NSK110" s="863"/>
      <c r="NSL110" s="863"/>
      <c r="NSM110" s="863"/>
      <c r="NSN110" s="863"/>
      <c r="NSO110" s="863"/>
      <c r="NSP110" s="863"/>
      <c r="NSQ110" s="863"/>
      <c r="NSR110" s="863"/>
      <c r="NSS110" s="863"/>
      <c r="NST110" s="863"/>
      <c r="NSU110" s="863"/>
      <c r="NSV110" s="863"/>
      <c r="NSW110" s="863"/>
      <c r="NSX110" s="863"/>
      <c r="NSY110" s="863"/>
      <c r="NSZ110" s="863"/>
      <c r="NTA110" s="883"/>
      <c r="NTB110" s="883"/>
      <c r="NTC110" s="883"/>
      <c r="NTD110" s="883"/>
      <c r="NTE110" s="883"/>
      <c r="NTF110" s="883"/>
      <c r="NTG110" s="883"/>
      <c r="NTH110" s="883"/>
      <c r="NTI110" s="883"/>
      <c r="NTJ110" s="863"/>
      <c r="NTK110" s="863"/>
      <c r="NTL110" s="863"/>
      <c r="NTM110" s="863"/>
      <c r="NTN110" s="863"/>
      <c r="NTO110" s="863"/>
      <c r="NTP110" s="863"/>
      <c r="NTQ110" s="863"/>
      <c r="NTR110" s="863"/>
      <c r="NTS110" s="863"/>
      <c r="NTT110" s="863"/>
      <c r="NTU110" s="863"/>
      <c r="NTV110" s="863"/>
      <c r="NTW110" s="863"/>
      <c r="NTX110" s="863"/>
      <c r="NTY110" s="863"/>
      <c r="NTZ110" s="863"/>
      <c r="NUA110" s="863"/>
      <c r="NUB110" s="863"/>
      <c r="NUC110" s="863"/>
      <c r="NUD110" s="863"/>
      <c r="NUE110" s="863"/>
      <c r="NUF110" s="863"/>
      <c r="NUG110" s="883"/>
      <c r="NUH110" s="883"/>
      <c r="NUI110" s="883"/>
      <c r="NUJ110" s="883"/>
      <c r="NUK110" s="883"/>
      <c r="NUL110" s="883"/>
      <c r="NUM110" s="883"/>
      <c r="NUN110" s="883"/>
      <c r="NUO110" s="883"/>
      <c r="NUP110" s="863"/>
      <c r="NUQ110" s="863"/>
      <c r="NUR110" s="863"/>
      <c r="NUS110" s="863"/>
      <c r="NUT110" s="863"/>
      <c r="NUU110" s="863"/>
      <c r="NUV110" s="863"/>
      <c r="NUW110" s="863"/>
      <c r="NUX110" s="863"/>
      <c r="NUY110" s="863"/>
      <c r="NUZ110" s="863"/>
      <c r="NVA110" s="863"/>
      <c r="NVB110" s="863"/>
      <c r="NVC110" s="863"/>
      <c r="NVD110" s="863"/>
      <c r="NVE110" s="863"/>
      <c r="NVF110" s="863"/>
      <c r="NVG110" s="863"/>
      <c r="NVH110" s="863"/>
      <c r="NVI110" s="863"/>
      <c r="NVJ110" s="863"/>
      <c r="NVK110" s="863"/>
      <c r="NVL110" s="863"/>
      <c r="NVM110" s="883"/>
      <c r="NVN110" s="883"/>
      <c r="NVO110" s="883"/>
      <c r="NVP110" s="883"/>
      <c r="NVQ110" s="883"/>
      <c r="NVR110" s="883"/>
      <c r="NVS110" s="883"/>
      <c r="NVT110" s="883"/>
      <c r="NVU110" s="883"/>
      <c r="NVV110" s="863"/>
      <c r="NVW110" s="863"/>
      <c r="NVX110" s="863"/>
      <c r="NVY110" s="863"/>
      <c r="NVZ110" s="863"/>
      <c r="NWA110" s="863"/>
      <c r="NWB110" s="863"/>
      <c r="NWC110" s="863"/>
      <c r="NWD110" s="863"/>
      <c r="NWE110" s="863"/>
      <c r="NWF110" s="863"/>
      <c r="NWG110" s="863"/>
      <c r="NWH110" s="863"/>
      <c r="NWI110" s="863"/>
      <c r="NWJ110" s="863"/>
      <c r="NWK110" s="863"/>
      <c r="NWL110" s="863"/>
      <c r="NWM110" s="863"/>
      <c r="NWN110" s="863"/>
      <c r="NWO110" s="863"/>
      <c r="NWP110" s="863"/>
      <c r="NWQ110" s="863"/>
      <c r="NWR110" s="863"/>
      <c r="NWS110" s="883"/>
      <c r="NWT110" s="883"/>
      <c r="NWU110" s="883"/>
      <c r="NWV110" s="883"/>
      <c r="NWW110" s="883"/>
      <c r="NWX110" s="883"/>
      <c r="NWY110" s="883"/>
      <c r="NWZ110" s="883"/>
      <c r="NXA110" s="883"/>
      <c r="NXB110" s="863"/>
      <c r="NXC110" s="863"/>
      <c r="NXD110" s="863"/>
      <c r="NXE110" s="863"/>
      <c r="NXF110" s="863"/>
      <c r="NXG110" s="863"/>
      <c r="NXH110" s="863"/>
      <c r="NXI110" s="863"/>
      <c r="NXJ110" s="863"/>
      <c r="NXK110" s="863"/>
      <c r="NXL110" s="863"/>
      <c r="NXM110" s="863"/>
      <c r="NXN110" s="863"/>
      <c r="NXO110" s="863"/>
      <c r="NXP110" s="863"/>
      <c r="NXQ110" s="863"/>
      <c r="NXR110" s="863"/>
      <c r="NXS110" s="863"/>
      <c r="NXT110" s="863"/>
      <c r="NXU110" s="863"/>
      <c r="NXV110" s="863"/>
      <c r="NXW110" s="863"/>
      <c r="NXX110" s="863"/>
      <c r="NXY110" s="883"/>
      <c r="NXZ110" s="883"/>
      <c r="NYA110" s="883"/>
      <c r="NYB110" s="883"/>
      <c r="NYC110" s="883"/>
      <c r="NYD110" s="883"/>
      <c r="NYE110" s="883"/>
      <c r="NYF110" s="883"/>
      <c r="NYG110" s="883"/>
      <c r="NYH110" s="863"/>
      <c r="NYI110" s="863"/>
      <c r="NYJ110" s="863"/>
      <c r="NYK110" s="863"/>
      <c r="NYL110" s="863"/>
      <c r="NYM110" s="863"/>
      <c r="NYN110" s="863"/>
      <c r="NYO110" s="863"/>
      <c r="NYP110" s="863"/>
      <c r="NYQ110" s="863"/>
      <c r="NYR110" s="863"/>
      <c r="NYS110" s="863"/>
      <c r="NYT110" s="863"/>
      <c r="NYU110" s="863"/>
      <c r="NYV110" s="863"/>
      <c r="NYW110" s="863"/>
      <c r="NYX110" s="863"/>
      <c r="NYY110" s="863"/>
      <c r="NYZ110" s="863"/>
      <c r="NZA110" s="863"/>
      <c r="NZB110" s="863"/>
      <c r="NZC110" s="863"/>
      <c r="NZD110" s="863"/>
      <c r="NZE110" s="883"/>
      <c r="NZF110" s="883"/>
      <c r="NZG110" s="883"/>
      <c r="NZH110" s="883"/>
      <c r="NZI110" s="883"/>
      <c r="NZJ110" s="883"/>
      <c r="NZK110" s="883"/>
      <c r="NZL110" s="883"/>
      <c r="NZM110" s="883"/>
      <c r="NZN110" s="863"/>
      <c r="NZO110" s="863"/>
      <c r="NZP110" s="863"/>
      <c r="NZQ110" s="863"/>
      <c r="NZR110" s="863"/>
      <c r="NZS110" s="863"/>
      <c r="NZT110" s="863"/>
      <c r="NZU110" s="863"/>
      <c r="NZV110" s="863"/>
      <c r="NZW110" s="863"/>
      <c r="NZX110" s="863"/>
      <c r="NZY110" s="863"/>
      <c r="NZZ110" s="863"/>
      <c r="OAA110" s="863"/>
      <c r="OAB110" s="863"/>
      <c r="OAC110" s="863"/>
      <c r="OAD110" s="863"/>
      <c r="OAE110" s="863"/>
      <c r="OAF110" s="863"/>
      <c r="OAG110" s="863"/>
      <c r="OAH110" s="863"/>
      <c r="OAI110" s="863"/>
      <c r="OAJ110" s="863"/>
      <c r="OAK110" s="883"/>
      <c r="OAL110" s="883"/>
      <c r="OAM110" s="883"/>
      <c r="OAN110" s="883"/>
      <c r="OAO110" s="883"/>
      <c r="OAP110" s="883"/>
      <c r="OAQ110" s="883"/>
      <c r="OAR110" s="883"/>
      <c r="OAS110" s="883"/>
      <c r="OAT110" s="863"/>
      <c r="OAU110" s="863"/>
      <c r="OAV110" s="863"/>
      <c r="OAW110" s="863"/>
      <c r="OAX110" s="863"/>
      <c r="OAY110" s="863"/>
      <c r="OAZ110" s="863"/>
      <c r="OBA110" s="863"/>
      <c r="OBB110" s="863"/>
      <c r="OBC110" s="863"/>
      <c r="OBD110" s="863"/>
      <c r="OBE110" s="863"/>
      <c r="OBF110" s="863"/>
      <c r="OBG110" s="863"/>
      <c r="OBH110" s="863"/>
      <c r="OBI110" s="863"/>
      <c r="OBJ110" s="863"/>
      <c r="OBK110" s="863"/>
      <c r="OBL110" s="863"/>
      <c r="OBM110" s="863"/>
      <c r="OBN110" s="863"/>
      <c r="OBO110" s="863"/>
      <c r="OBP110" s="863"/>
      <c r="OBQ110" s="883"/>
      <c r="OBR110" s="883"/>
      <c r="OBS110" s="883"/>
      <c r="OBT110" s="883"/>
      <c r="OBU110" s="883"/>
      <c r="OBV110" s="883"/>
      <c r="OBW110" s="883"/>
      <c r="OBX110" s="883"/>
      <c r="OBY110" s="883"/>
      <c r="OBZ110" s="863"/>
      <c r="OCA110" s="863"/>
      <c r="OCB110" s="863"/>
      <c r="OCC110" s="863"/>
      <c r="OCD110" s="863"/>
      <c r="OCE110" s="863"/>
      <c r="OCF110" s="863"/>
      <c r="OCG110" s="863"/>
      <c r="OCH110" s="863"/>
      <c r="OCI110" s="863"/>
      <c r="OCJ110" s="863"/>
      <c r="OCK110" s="863"/>
      <c r="OCL110" s="863"/>
      <c r="OCM110" s="863"/>
      <c r="OCN110" s="863"/>
      <c r="OCO110" s="863"/>
      <c r="OCP110" s="863"/>
      <c r="OCQ110" s="863"/>
      <c r="OCR110" s="863"/>
      <c r="OCS110" s="863"/>
      <c r="OCT110" s="863"/>
      <c r="OCU110" s="863"/>
      <c r="OCV110" s="863"/>
      <c r="OCW110" s="883"/>
      <c r="OCX110" s="883"/>
      <c r="OCY110" s="883"/>
      <c r="OCZ110" s="883"/>
      <c r="ODA110" s="883"/>
      <c r="ODB110" s="883"/>
      <c r="ODC110" s="883"/>
      <c r="ODD110" s="883"/>
      <c r="ODE110" s="883"/>
      <c r="ODF110" s="863"/>
      <c r="ODG110" s="863"/>
      <c r="ODH110" s="863"/>
      <c r="ODI110" s="863"/>
      <c r="ODJ110" s="863"/>
      <c r="ODK110" s="863"/>
      <c r="ODL110" s="863"/>
      <c r="ODM110" s="863"/>
      <c r="ODN110" s="863"/>
      <c r="ODO110" s="863"/>
      <c r="ODP110" s="863"/>
      <c r="ODQ110" s="863"/>
      <c r="ODR110" s="863"/>
      <c r="ODS110" s="863"/>
      <c r="ODT110" s="863"/>
      <c r="ODU110" s="863"/>
      <c r="ODV110" s="863"/>
      <c r="ODW110" s="863"/>
      <c r="ODX110" s="863"/>
      <c r="ODY110" s="863"/>
      <c r="ODZ110" s="863"/>
      <c r="OEA110" s="863"/>
      <c r="OEB110" s="863"/>
      <c r="OEC110" s="883"/>
      <c r="OED110" s="883"/>
      <c r="OEE110" s="883"/>
      <c r="OEF110" s="883"/>
      <c r="OEG110" s="883"/>
      <c r="OEH110" s="883"/>
      <c r="OEI110" s="883"/>
      <c r="OEJ110" s="883"/>
      <c r="OEK110" s="883"/>
      <c r="OEL110" s="863"/>
      <c r="OEM110" s="863"/>
      <c r="OEN110" s="863"/>
      <c r="OEO110" s="863"/>
      <c r="OEP110" s="863"/>
      <c r="OEQ110" s="863"/>
      <c r="OER110" s="863"/>
      <c r="OES110" s="863"/>
      <c r="OET110" s="863"/>
      <c r="OEU110" s="863"/>
      <c r="OEV110" s="863"/>
      <c r="OEW110" s="863"/>
      <c r="OEX110" s="863"/>
      <c r="OEY110" s="863"/>
      <c r="OEZ110" s="863"/>
      <c r="OFA110" s="863"/>
      <c r="OFB110" s="863"/>
      <c r="OFC110" s="863"/>
      <c r="OFD110" s="863"/>
      <c r="OFE110" s="863"/>
      <c r="OFF110" s="863"/>
      <c r="OFG110" s="863"/>
      <c r="OFH110" s="863"/>
      <c r="OFI110" s="883"/>
      <c r="OFJ110" s="883"/>
      <c r="OFK110" s="883"/>
      <c r="OFL110" s="883"/>
      <c r="OFM110" s="883"/>
      <c r="OFN110" s="883"/>
      <c r="OFO110" s="883"/>
      <c r="OFP110" s="883"/>
      <c r="OFQ110" s="883"/>
      <c r="OFR110" s="863"/>
      <c r="OFS110" s="863"/>
      <c r="OFT110" s="863"/>
      <c r="OFU110" s="863"/>
      <c r="OFV110" s="863"/>
      <c r="OFW110" s="863"/>
      <c r="OFX110" s="863"/>
      <c r="OFY110" s="863"/>
      <c r="OFZ110" s="863"/>
      <c r="OGA110" s="863"/>
      <c r="OGB110" s="863"/>
      <c r="OGC110" s="863"/>
      <c r="OGD110" s="863"/>
      <c r="OGE110" s="863"/>
      <c r="OGF110" s="863"/>
      <c r="OGG110" s="863"/>
      <c r="OGH110" s="863"/>
      <c r="OGI110" s="863"/>
      <c r="OGJ110" s="863"/>
      <c r="OGK110" s="863"/>
      <c r="OGL110" s="863"/>
      <c r="OGM110" s="863"/>
      <c r="OGN110" s="863"/>
      <c r="OGO110" s="883"/>
      <c r="OGP110" s="883"/>
      <c r="OGQ110" s="883"/>
      <c r="OGR110" s="883"/>
      <c r="OGS110" s="883"/>
      <c r="OGT110" s="883"/>
      <c r="OGU110" s="883"/>
      <c r="OGV110" s="883"/>
      <c r="OGW110" s="883"/>
      <c r="OGX110" s="863"/>
      <c r="OGY110" s="863"/>
      <c r="OGZ110" s="863"/>
      <c r="OHA110" s="863"/>
      <c r="OHB110" s="863"/>
      <c r="OHC110" s="863"/>
      <c r="OHD110" s="863"/>
      <c r="OHE110" s="863"/>
      <c r="OHF110" s="863"/>
      <c r="OHG110" s="863"/>
      <c r="OHH110" s="863"/>
      <c r="OHI110" s="863"/>
      <c r="OHJ110" s="863"/>
      <c r="OHK110" s="863"/>
      <c r="OHL110" s="863"/>
      <c r="OHM110" s="863"/>
      <c r="OHN110" s="863"/>
      <c r="OHO110" s="863"/>
      <c r="OHP110" s="863"/>
      <c r="OHQ110" s="863"/>
      <c r="OHR110" s="863"/>
      <c r="OHS110" s="863"/>
      <c r="OHT110" s="863"/>
      <c r="OHU110" s="883"/>
      <c r="OHV110" s="883"/>
      <c r="OHW110" s="883"/>
      <c r="OHX110" s="883"/>
      <c r="OHY110" s="883"/>
      <c r="OHZ110" s="883"/>
      <c r="OIA110" s="883"/>
      <c r="OIB110" s="883"/>
      <c r="OIC110" s="883"/>
      <c r="OID110" s="863"/>
      <c r="OIE110" s="863"/>
      <c r="OIF110" s="863"/>
      <c r="OIG110" s="863"/>
      <c r="OIH110" s="863"/>
      <c r="OII110" s="863"/>
      <c r="OIJ110" s="863"/>
      <c r="OIK110" s="863"/>
      <c r="OIL110" s="863"/>
      <c r="OIM110" s="863"/>
      <c r="OIN110" s="863"/>
      <c r="OIO110" s="863"/>
      <c r="OIP110" s="863"/>
      <c r="OIQ110" s="863"/>
      <c r="OIR110" s="863"/>
      <c r="OIS110" s="863"/>
      <c r="OIT110" s="863"/>
      <c r="OIU110" s="863"/>
      <c r="OIV110" s="863"/>
      <c r="OIW110" s="863"/>
      <c r="OIX110" s="863"/>
      <c r="OIY110" s="863"/>
      <c r="OIZ110" s="863"/>
      <c r="OJA110" s="883"/>
      <c r="OJB110" s="883"/>
      <c r="OJC110" s="883"/>
      <c r="OJD110" s="883"/>
      <c r="OJE110" s="883"/>
      <c r="OJF110" s="883"/>
      <c r="OJG110" s="883"/>
      <c r="OJH110" s="883"/>
      <c r="OJI110" s="883"/>
      <c r="OJJ110" s="863"/>
      <c r="OJK110" s="863"/>
      <c r="OJL110" s="863"/>
      <c r="OJM110" s="863"/>
      <c r="OJN110" s="863"/>
      <c r="OJO110" s="863"/>
      <c r="OJP110" s="863"/>
      <c r="OJQ110" s="863"/>
      <c r="OJR110" s="863"/>
      <c r="OJS110" s="863"/>
      <c r="OJT110" s="863"/>
      <c r="OJU110" s="863"/>
      <c r="OJV110" s="863"/>
      <c r="OJW110" s="863"/>
      <c r="OJX110" s="863"/>
      <c r="OJY110" s="863"/>
      <c r="OJZ110" s="863"/>
      <c r="OKA110" s="863"/>
      <c r="OKB110" s="863"/>
      <c r="OKC110" s="863"/>
      <c r="OKD110" s="863"/>
      <c r="OKE110" s="863"/>
      <c r="OKF110" s="863"/>
      <c r="OKG110" s="883"/>
      <c r="OKH110" s="883"/>
      <c r="OKI110" s="883"/>
      <c r="OKJ110" s="883"/>
      <c r="OKK110" s="883"/>
      <c r="OKL110" s="883"/>
      <c r="OKM110" s="883"/>
      <c r="OKN110" s="883"/>
      <c r="OKO110" s="883"/>
      <c r="OKP110" s="863"/>
      <c r="OKQ110" s="863"/>
      <c r="OKR110" s="863"/>
      <c r="OKS110" s="863"/>
      <c r="OKT110" s="863"/>
      <c r="OKU110" s="863"/>
      <c r="OKV110" s="863"/>
      <c r="OKW110" s="863"/>
      <c r="OKX110" s="863"/>
      <c r="OKY110" s="863"/>
      <c r="OKZ110" s="863"/>
      <c r="OLA110" s="863"/>
      <c r="OLB110" s="863"/>
      <c r="OLC110" s="863"/>
      <c r="OLD110" s="863"/>
      <c r="OLE110" s="863"/>
      <c r="OLF110" s="863"/>
      <c r="OLG110" s="863"/>
      <c r="OLH110" s="863"/>
      <c r="OLI110" s="863"/>
      <c r="OLJ110" s="863"/>
      <c r="OLK110" s="863"/>
      <c r="OLL110" s="863"/>
      <c r="OLM110" s="883"/>
      <c r="OLN110" s="883"/>
      <c r="OLO110" s="883"/>
      <c r="OLP110" s="883"/>
      <c r="OLQ110" s="883"/>
      <c r="OLR110" s="883"/>
      <c r="OLS110" s="883"/>
      <c r="OLT110" s="883"/>
      <c r="OLU110" s="883"/>
      <c r="OLV110" s="863"/>
      <c r="OLW110" s="863"/>
      <c r="OLX110" s="863"/>
      <c r="OLY110" s="863"/>
      <c r="OLZ110" s="863"/>
      <c r="OMA110" s="863"/>
      <c r="OMB110" s="863"/>
      <c r="OMC110" s="863"/>
      <c r="OMD110" s="863"/>
      <c r="OME110" s="863"/>
      <c r="OMF110" s="863"/>
      <c r="OMG110" s="863"/>
      <c r="OMH110" s="863"/>
      <c r="OMI110" s="863"/>
      <c r="OMJ110" s="863"/>
      <c r="OMK110" s="863"/>
      <c r="OML110" s="863"/>
      <c r="OMM110" s="863"/>
      <c r="OMN110" s="863"/>
      <c r="OMO110" s="863"/>
      <c r="OMP110" s="863"/>
      <c r="OMQ110" s="863"/>
      <c r="OMR110" s="863"/>
      <c r="OMS110" s="883"/>
      <c r="OMT110" s="883"/>
      <c r="OMU110" s="883"/>
      <c r="OMV110" s="883"/>
      <c r="OMW110" s="883"/>
      <c r="OMX110" s="883"/>
      <c r="OMY110" s="883"/>
      <c r="OMZ110" s="883"/>
      <c r="ONA110" s="883"/>
      <c r="ONB110" s="863"/>
      <c r="ONC110" s="863"/>
      <c r="OND110" s="863"/>
      <c r="ONE110" s="863"/>
      <c r="ONF110" s="863"/>
      <c r="ONG110" s="863"/>
      <c r="ONH110" s="863"/>
      <c r="ONI110" s="863"/>
      <c r="ONJ110" s="863"/>
      <c r="ONK110" s="863"/>
      <c r="ONL110" s="863"/>
      <c r="ONM110" s="863"/>
      <c r="ONN110" s="863"/>
      <c r="ONO110" s="863"/>
      <c r="ONP110" s="863"/>
      <c r="ONQ110" s="863"/>
      <c r="ONR110" s="863"/>
      <c r="ONS110" s="863"/>
      <c r="ONT110" s="863"/>
      <c r="ONU110" s="863"/>
      <c r="ONV110" s="863"/>
      <c r="ONW110" s="863"/>
      <c r="ONX110" s="863"/>
      <c r="ONY110" s="883"/>
      <c r="ONZ110" s="883"/>
      <c r="OOA110" s="883"/>
      <c r="OOB110" s="883"/>
      <c r="OOC110" s="883"/>
      <c r="OOD110" s="883"/>
      <c r="OOE110" s="883"/>
      <c r="OOF110" s="883"/>
      <c r="OOG110" s="883"/>
      <c r="OOH110" s="863"/>
      <c r="OOI110" s="863"/>
      <c r="OOJ110" s="863"/>
      <c r="OOK110" s="863"/>
      <c r="OOL110" s="863"/>
      <c r="OOM110" s="863"/>
      <c r="OON110" s="863"/>
      <c r="OOO110" s="863"/>
      <c r="OOP110" s="863"/>
      <c r="OOQ110" s="863"/>
      <c r="OOR110" s="863"/>
      <c r="OOS110" s="863"/>
      <c r="OOT110" s="863"/>
      <c r="OOU110" s="863"/>
      <c r="OOV110" s="863"/>
      <c r="OOW110" s="863"/>
      <c r="OOX110" s="863"/>
      <c r="OOY110" s="863"/>
      <c r="OOZ110" s="863"/>
      <c r="OPA110" s="863"/>
      <c r="OPB110" s="863"/>
      <c r="OPC110" s="863"/>
      <c r="OPD110" s="863"/>
      <c r="OPE110" s="883"/>
      <c r="OPF110" s="883"/>
      <c r="OPG110" s="883"/>
      <c r="OPH110" s="883"/>
      <c r="OPI110" s="883"/>
      <c r="OPJ110" s="883"/>
      <c r="OPK110" s="883"/>
      <c r="OPL110" s="883"/>
      <c r="OPM110" s="883"/>
      <c r="OPN110" s="863"/>
      <c r="OPO110" s="863"/>
      <c r="OPP110" s="863"/>
      <c r="OPQ110" s="863"/>
      <c r="OPR110" s="863"/>
      <c r="OPS110" s="863"/>
      <c r="OPT110" s="863"/>
      <c r="OPU110" s="863"/>
      <c r="OPV110" s="863"/>
      <c r="OPW110" s="863"/>
      <c r="OPX110" s="863"/>
      <c r="OPY110" s="863"/>
      <c r="OPZ110" s="863"/>
      <c r="OQA110" s="863"/>
      <c r="OQB110" s="863"/>
      <c r="OQC110" s="863"/>
      <c r="OQD110" s="863"/>
      <c r="OQE110" s="863"/>
      <c r="OQF110" s="863"/>
      <c r="OQG110" s="863"/>
      <c r="OQH110" s="863"/>
      <c r="OQI110" s="863"/>
      <c r="OQJ110" s="863"/>
      <c r="OQK110" s="883"/>
      <c r="OQL110" s="883"/>
      <c r="OQM110" s="883"/>
      <c r="OQN110" s="883"/>
      <c r="OQO110" s="883"/>
      <c r="OQP110" s="883"/>
      <c r="OQQ110" s="883"/>
      <c r="OQR110" s="883"/>
      <c r="OQS110" s="883"/>
      <c r="OQT110" s="863"/>
      <c r="OQU110" s="863"/>
      <c r="OQV110" s="863"/>
      <c r="OQW110" s="863"/>
      <c r="OQX110" s="863"/>
      <c r="OQY110" s="863"/>
      <c r="OQZ110" s="863"/>
      <c r="ORA110" s="863"/>
      <c r="ORB110" s="863"/>
      <c r="ORC110" s="863"/>
      <c r="ORD110" s="863"/>
      <c r="ORE110" s="863"/>
      <c r="ORF110" s="863"/>
      <c r="ORG110" s="863"/>
      <c r="ORH110" s="863"/>
      <c r="ORI110" s="863"/>
      <c r="ORJ110" s="863"/>
      <c r="ORK110" s="863"/>
      <c r="ORL110" s="863"/>
      <c r="ORM110" s="863"/>
      <c r="ORN110" s="863"/>
      <c r="ORO110" s="863"/>
      <c r="ORP110" s="863"/>
      <c r="ORQ110" s="883"/>
      <c r="ORR110" s="883"/>
      <c r="ORS110" s="883"/>
      <c r="ORT110" s="883"/>
      <c r="ORU110" s="883"/>
      <c r="ORV110" s="883"/>
      <c r="ORW110" s="883"/>
      <c r="ORX110" s="883"/>
      <c r="ORY110" s="883"/>
      <c r="ORZ110" s="863"/>
      <c r="OSA110" s="863"/>
      <c r="OSB110" s="863"/>
      <c r="OSC110" s="863"/>
      <c r="OSD110" s="863"/>
      <c r="OSE110" s="863"/>
      <c r="OSF110" s="863"/>
      <c r="OSG110" s="863"/>
      <c r="OSH110" s="863"/>
      <c r="OSI110" s="863"/>
      <c r="OSJ110" s="863"/>
      <c r="OSK110" s="863"/>
      <c r="OSL110" s="863"/>
      <c r="OSM110" s="863"/>
      <c r="OSN110" s="863"/>
      <c r="OSO110" s="863"/>
      <c r="OSP110" s="863"/>
      <c r="OSQ110" s="863"/>
      <c r="OSR110" s="863"/>
      <c r="OSS110" s="863"/>
      <c r="OST110" s="863"/>
      <c r="OSU110" s="863"/>
      <c r="OSV110" s="863"/>
      <c r="OSW110" s="883"/>
      <c r="OSX110" s="883"/>
      <c r="OSY110" s="883"/>
      <c r="OSZ110" s="883"/>
      <c r="OTA110" s="883"/>
      <c r="OTB110" s="883"/>
      <c r="OTC110" s="883"/>
      <c r="OTD110" s="883"/>
      <c r="OTE110" s="883"/>
      <c r="OTF110" s="863"/>
      <c r="OTG110" s="863"/>
      <c r="OTH110" s="863"/>
      <c r="OTI110" s="863"/>
      <c r="OTJ110" s="863"/>
      <c r="OTK110" s="863"/>
      <c r="OTL110" s="863"/>
      <c r="OTM110" s="863"/>
      <c r="OTN110" s="863"/>
      <c r="OTO110" s="863"/>
      <c r="OTP110" s="863"/>
      <c r="OTQ110" s="863"/>
      <c r="OTR110" s="863"/>
      <c r="OTS110" s="863"/>
      <c r="OTT110" s="863"/>
      <c r="OTU110" s="863"/>
      <c r="OTV110" s="863"/>
      <c r="OTW110" s="863"/>
      <c r="OTX110" s="863"/>
      <c r="OTY110" s="863"/>
      <c r="OTZ110" s="863"/>
      <c r="OUA110" s="863"/>
      <c r="OUB110" s="863"/>
      <c r="OUC110" s="883"/>
      <c r="OUD110" s="883"/>
      <c r="OUE110" s="883"/>
      <c r="OUF110" s="883"/>
      <c r="OUG110" s="883"/>
      <c r="OUH110" s="883"/>
      <c r="OUI110" s="883"/>
      <c r="OUJ110" s="883"/>
      <c r="OUK110" s="883"/>
      <c r="OUL110" s="863"/>
      <c r="OUM110" s="863"/>
      <c r="OUN110" s="863"/>
      <c r="OUO110" s="863"/>
      <c r="OUP110" s="863"/>
      <c r="OUQ110" s="863"/>
      <c r="OUR110" s="863"/>
      <c r="OUS110" s="863"/>
      <c r="OUT110" s="863"/>
      <c r="OUU110" s="863"/>
      <c r="OUV110" s="863"/>
      <c r="OUW110" s="863"/>
      <c r="OUX110" s="863"/>
      <c r="OUY110" s="863"/>
      <c r="OUZ110" s="863"/>
      <c r="OVA110" s="863"/>
      <c r="OVB110" s="863"/>
      <c r="OVC110" s="863"/>
      <c r="OVD110" s="863"/>
      <c r="OVE110" s="863"/>
      <c r="OVF110" s="863"/>
      <c r="OVG110" s="863"/>
      <c r="OVH110" s="863"/>
      <c r="OVI110" s="883"/>
      <c r="OVJ110" s="883"/>
      <c r="OVK110" s="883"/>
      <c r="OVL110" s="883"/>
      <c r="OVM110" s="883"/>
      <c r="OVN110" s="883"/>
      <c r="OVO110" s="883"/>
      <c r="OVP110" s="883"/>
      <c r="OVQ110" s="883"/>
      <c r="OVR110" s="863"/>
      <c r="OVS110" s="863"/>
      <c r="OVT110" s="863"/>
      <c r="OVU110" s="863"/>
      <c r="OVV110" s="863"/>
      <c r="OVW110" s="863"/>
      <c r="OVX110" s="863"/>
      <c r="OVY110" s="863"/>
      <c r="OVZ110" s="863"/>
      <c r="OWA110" s="863"/>
      <c r="OWB110" s="863"/>
      <c r="OWC110" s="863"/>
      <c r="OWD110" s="863"/>
      <c r="OWE110" s="863"/>
      <c r="OWF110" s="863"/>
      <c r="OWG110" s="863"/>
      <c r="OWH110" s="863"/>
      <c r="OWI110" s="863"/>
      <c r="OWJ110" s="863"/>
      <c r="OWK110" s="863"/>
      <c r="OWL110" s="863"/>
      <c r="OWM110" s="863"/>
      <c r="OWN110" s="863"/>
      <c r="OWO110" s="883"/>
      <c r="OWP110" s="883"/>
      <c r="OWQ110" s="883"/>
      <c r="OWR110" s="883"/>
      <c r="OWS110" s="883"/>
      <c r="OWT110" s="883"/>
      <c r="OWU110" s="883"/>
      <c r="OWV110" s="883"/>
      <c r="OWW110" s="883"/>
      <c r="OWX110" s="863"/>
      <c r="OWY110" s="863"/>
      <c r="OWZ110" s="863"/>
      <c r="OXA110" s="863"/>
      <c r="OXB110" s="863"/>
      <c r="OXC110" s="863"/>
      <c r="OXD110" s="863"/>
      <c r="OXE110" s="863"/>
      <c r="OXF110" s="863"/>
      <c r="OXG110" s="863"/>
      <c r="OXH110" s="863"/>
      <c r="OXI110" s="863"/>
      <c r="OXJ110" s="863"/>
      <c r="OXK110" s="863"/>
      <c r="OXL110" s="863"/>
      <c r="OXM110" s="863"/>
      <c r="OXN110" s="863"/>
      <c r="OXO110" s="863"/>
      <c r="OXP110" s="863"/>
      <c r="OXQ110" s="863"/>
      <c r="OXR110" s="863"/>
      <c r="OXS110" s="863"/>
      <c r="OXT110" s="863"/>
      <c r="OXU110" s="883"/>
      <c r="OXV110" s="883"/>
      <c r="OXW110" s="883"/>
      <c r="OXX110" s="883"/>
      <c r="OXY110" s="883"/>
      <c r="OXZ110" s="883"/>
      <c r="OYA110" s="883"/>
      <c r="OYB110" s="883"/>
      <c r="OYC110" s="883"/>
      <c r="OYD110" s="863"/>
      <c r="OYE110" s="863"/>
      <c r="OYF110" s="863"/>
      <c r="OYG110" s="863"/>
      <c r="OYH110" s="863"/>
      <c r="OYI110" s="863"/>
      <c r="OYJ110" s="863"/>
      <c r="OYK110" s="863"/>
      <c r="OYL110" s="863"/>
      <c r="OYM110" s="863"/>
      <c r="OYN110" s="863"/>
      <c r="OYO110" s="863"/>
      <c r="OYP110" s="863"/>
      <c r="OYQ110" s="863"/>
      <c r="OYR110" s="863"/>
      <c r="OYS110" s="863"/>
      <c r="OYT110" s="863"/>
      <c r="OYU110" s="863"/>
      <c r="OYV110" s="863"/>
      <c r="OYW110" s="863"/>
      <c r="OYX110" s="863"/>
      <c r="OYY110" s="863"/>
      <c r="OYZ110" s="863"/>
      <c r="OZA110" s="883"/>
      <c r="OZB110" s="883"/>
      <c r="OZC110" s="883"/>
      <c r="OZD110" s="883"/>
      <c r="OZE110" s="883"/>
      <c r="OZF110" s="883"/>
      <c r="OZG110" s="883"/>
      <c r="OZH110" s="883"/>
      <c r="OZI110" s="883"/>
      <c r="OZJ110" s="863"/>
      <c r="OZK110" s="863"/>
      <c r="OZL110" s="863"/>
      <c r="OZM110" s="863"/>
      <c r="OZN110" s="863"/>
      <c r="OZO110" s="863"/>
      <c r="OZP110" s="863"/>
      <c r="OZQ110" s="863"/>
      <c r="OZR110" s="863"/>
      <c r="OZS110" s="863"/>
      <c r="OZT110" s="863"/>
      <c r="OZU110" s="863"/>
      <c r="OZV110" s="863"/>
      <c r="OZW110" s="863"/>
      <c r="OZX110" s="863"/>
      <c r="OZY110" s="863"/>
      <c r="OZZ110" s="863"/>
      <c r="PAA110" s="863"/>
      <c r="PAB110" s="863"/>
      <c r="PAC110" s="863"/>
      <c r="PAD110" s="863"/>
      <c r="PAE110" s="863"/>
      <c r="PAF110" s="863"/>
      <c r="PAG110" s="883"/>
      <c r="PAH110" s="883"/>
      <c r="PAI110" s="883"/>
      <c r="PAJ110" s="883"/>
      <c r="PAK110" s="883"/>
      <c r="PAL110" s="883"/>
      <c r="PAM110" s="883"/>
      <c r="PAN110" s="883"/>
      <c r="PAO110" s="883"/>
      <c r="PAP110" s="863"/>
      <c r="PAQ110" s="863"/>
      <c r="PAR110" s="863"/>
      <c r="PAS110" s="863"/>
      <c r="PAT110" s="863"/>
      <c r="PAU110" s="863"/>
      <c r="PAV110" s="863"/>
      <c r="PAW110" s="863"/>
      <c r="PAX110" s="863"/>
      <c r="PAY110" s="863"/>
      <c r="PAZ110" s="863"/>
      <c r="PBA110" s="863"/>
      <c r="PBB110" s="863"/>
      <c r="PBC110" s="863"/>
      <c r="PBD110" s="863"/>
      <c r="PBE110" s="863"/>
      <c r="PBF110" s="863"/>
      <c r="PBG110" s="863"/>
      <c r="PBH110" s="863"/>
      <c r="PBI110" s="863"/>
      <c r="PBJ110" s="863"/>
      <c r="PBK110" s="863"/>
      <c r="PBL110" s="863"/>
      <c r="PBM110" s="883"/>
      <c r="PBN110" s="883"/>
      <c r="PBO110" s="883"/>
      <c r="PBP110" s="883"/>
      <c r="PBQ110" s="883"/>
      <c r="PBR110" s="883"/>
      <c r="PBS110" s="883"/>
      <c r="PBT110" s="883"/>
      <c r="PBU110" s="883"/>
      <c r="PBV110" s="863"/>
      <c r="PBW110" s="863"/>
      <c r="PBX110" s="863"/>
      <c r="PBY110" s="863"/>
      <c r="PBZ110" s="863"/>
      <c r="PCA110" s="863"/>
      <c r="PCB110" s="863"/>
      <c r="PCC110" s="863"/>
      <c r="PCD110" s="863"/>
      <c r="PCE110" s="863"/>
      <c r="PCF110" s="863"/>
      <c r="PCG110" s="863"/>
      <c r="PCH110" s="863"/>
      <c r="PCI110" s="863"/>
      <c r="PCJ110" s="863"/>
      <c r="PCK110" s="863"/>
      <c r="PCL110" s="863"/>
      <c r="PCM110" s="863"/>
      <c r="PCN110" s="863"/>
      <c r="PCO110" s="863"/>
      <c r="PCP110" s="863"/>
      <c r="PCQ110" s="863"/>
      <c r="PCR110" s="863"/>
      <c r="PCS110" s="883"/>
      <c r="PCT110" s="883"/>
      <c r="PCU110" s="883"/>
      <c r="PCV110" s="883"/>
      <c r="PCW110" s="883"/>
      <c r="PCX110" s="883"/>
      <c r="PCY110" s="883"/>
      <c r="PCZ110" s="883"/>
      <c r="PDA110" s="883"/>
      <c r="PDB110" s="863"/>
      <c r="PDC110" s="863"/>
      <c r="PDD110" s="863"/>
      <c r="PDE110" s="863"/>
      <c r="PDF110" s="863"/>
      <c r="PDG110" s="863"/>
      <c r="PDH110" s="863"/>
      <c r="PDI110" s="863"/>
      <c r="PDJ110" s="863"/>
      <c r="PDK110" s="863"/>
      <c r="PDL110" s="863"/>
      <c r="PDM110" s="863"/>
      <c r="PDN110" s="863"/>
      <c r="PDO110" s="863"/>
      <c r="PDP110" s="863"/>
      <c r="PDQ110" s="863"/>
      <c r="PDR110" s="863"/>
      <c r="PDS110" s="863"/>
      <c r="PDT110" s="863"/>
      <c r="PDU110" s="863"/>
      <c r="PDV110" s="863"/>
      <c r="PDW110" s="863"/>
      <c r="PDX110" s="863"/>
      <c r="PDY110" s="883"/>
      <c r="PDZ110" s="883"/>
      <c r="PEA110" s="883"/>
      <c r="PEB110" s="883"/>
      <c r="PEC110" s="883"/>
      <c r="PED110" s="883"/>
      <c r="PEE110" s="883"/>
      <c r="PEF110" s="883"/>
      <c r="PEG110" s="883"/>
      <c r="PEH110" s="863"/>
      <c r="PEI110" s="863"/>
      <c r="PEJ110" s="863"/>
      <c r="PEK110" s="863"/>
      <c r="PEL110" s="863"/>
      <c r="PEM110" s="863"/>
      <c r="PEN110" s="863"/>
      <c r="PEO110" s="863"/>
      <c r="PEP110" s="863"/>
      <c r="PEQ110" s="863"/>
      <c r="PER110" s="863"/>
      <c r="PES110" s="863"/>
      <c r="PET110" s="863"/>
      <c r="PEU110" s="863"/>
      <c r="PEV110" s="863"/>
      <c r="PEW110" s="863"/>
      <c r="PEX110" s="863"/>
      <c r="PEY110" s="863"/>
      <c r="PEZ110" s="863"/>
      <c r="PFA110" s="863"/>
      <c r="PFB110" s="863"/>
      <c r="PFC110" s="863"/>
      <c r="PFD110" s="863"/>
      <c r="PFE110" s="883"/>
      <c r="PFF110" s="883"/>
      <c r="PFG110" s="883"/>
      <c r="PFH110" s="883"/>
      <c r="PFI110" s="883"/>
      <c r="PFJ110" s="883"/>
      <c r="PFK110" s="883"/>
      <c r="PFL110" s="883"/>
      <c r="PFM110" s="883"/>
      <c r="PFN110" s="863"/>
      <c r="PFO110" s="863"/>
      <c r="PFP110" s="863"/>
      <c r="PFQ110" s="863"/>
      <c r="PFR110" s="863"/>
      <c r="PFS110" s="863"/>
      <c r="PFT110" s="863"/>
      <c r="PFU110" s="863"/>
      <c r="PFV110" s="863"/>
      <c r="PFW110" s="863"/>
      <c r="PFX110" s="863"/>
      <c r="PFY110" s="863"/>
      <c r="PFZ110" s="863"/>
      <c r="PGA110" s="863"/>
      <c r="PGB110" s="863"/>
      <c r="PGC110" s="863"/>
      <c r="PGD110" s="863"/>
      <c r="PGE110" s="863"/>
      <c r="PGF110" s="863"/>
      <c r="PGG110" s="863"/>
      <c r="PGH110" s="863"/>
      <c r="PGI110" s="863"/>
      <c r="PGJ110" s="863"/>
      <c r="PGK110" s="883"/>
      <c r="PGL110" s="883"/>
      <c r="PGM110" s="883"/>
      <c r="PGN110" s="883"/>
      <c r="PGO110" s="883"/>
      <c r="PGP110" s="883"/>
      <c r="PGQ110" s="883"/>
      <c r="PGR110" s="883"/>
      <c r="PGS110" s="883"/>
      <c r="PGT110" s="863"/>
      <c r="PGU110" s="863"/>
      <c r="PGV110" s="863"/>
      <c r="PGW110" s="863"/>
      <c r="PGX110" s="863"/>
      <c r="PGY110" s="863"/>
      <c r="PGZ110" s="863"/>
      <c r="PHA110" s="863"/>
      <c r="PHB110" s="863"/>
      <c r="PHC110" s="863"/>
      <c r="PHD110" s="863"/>
      <c r="PHE110" s="863"/>
      <c r="PHF110" s="863"/>
      <c r="PHG110" s="863"/>
      <c r="PHH110" s="863"/>
      <c r="PHI110" s="863"/>
      <c r="PHJ110" s="863"/>
      <c r="PHK110" s="863"/>
      <c r="PHL110" s="863"/>
      <c r="PHM110" s="863"/>
      <c r="PHN110" s="863"/>
      <c r="PHO110" s="863"/>
      <c r="PHP110" s="863"/>
      <c r="PHQ110" s="883"/>
      <c r="PHR110" s="883"/>
      <c r="PHS110" s="883"/>
      <c r="PHT110" s="883"/>
      <c r="PHU110" s="883"/>
      <c r="PHV110" s="883"/>
      <c r="PHW110" s="883"/>
      <c r="PHX110" s="883"/>
      <c r="PHY110" s="883"/>
      <c r="PHZ110" s="863"/>
      <c r="PIA110" s="863"/>
      <c r="PIB110" s="863"/>
      <c r="PIC110" s="863"/>
      <c r="PID110" s="863"/>
      <c r="PIE110" s="863"/>
      <c r="PIF110" s="863"/>
      <c r="PIG110" s="863"/>
      <c r="PIH110" s="863"/>
      <c r="PII110" s="863"/>
      <c r="PIJ110" s="863"/>
      <c r="PIK110" s="863"/>
      <c r="PIL110" s="863"/>
      <c r="PIM110" s="863"/>
      <c r="PIN110" s="863"/>
      <c r="PIO110" s="863"/>
      <c r="PIP110" s="863"/>
      <c r="PIQ110" s="863"/>
      <c r="PIR110" s="863"/>
      <c r="PIS110" s="863"/>
      <c r="PIT110" s="863"/>
      <c r="PIU110" s="863"/>
      <c r="PIV110" s="863"/>
      <c r="PIW110" s="883"/>
      <c r="PIX110" s="883"/>
      <c r="PIY110" s="883"/>
      <c r="PIZ110" s="883"/>
      <c r="PJA110" s="883"/>
      <c r="PJB110" s="883"/>
      <c r="PJC110" s="883"/>
      <c r="PJD110" s="883"/>
      <c r="PJE110" s="883"/>
      <c r="PJF110" s="863"/>
      <c r="PJG110" s="863"/>
      <c r="PJH110" s="863"/>
      <c r="PJI110" s="863"/>
      <c r="PJJ110" s="863"/>
      <c r="PJK110" s="863"/>
      <c r="PJL110" s="863"/>
      <c r="PJM110" s="863"/>
      <c r="PJN110" s="863"/>
      <c r="PJO110" s="863"/>
      <c r="PJP110" s="863"/>
      <c r="PJQ110" s="863"/>
      <c r="PJR110" s="863"/>
      <c r="PJS110" s="863"/>
      <c r="PJT110" s="863"/>
      <c r="PJU110" s="863"/>
      <c r="PJV110" s="863"/>
      <c r="PJW110" s="863"/>
      <c r="PJX110" s="863"/>
      <c r="PJY110" s="863"/>
      <c r="PJZ110" s="863"/>
      <c r="PKA110" s="863"/>
      <c r="PKB110" s="863"/>
      <c r="PKC110" s="883"/>
      <c r="PKD110" s="883"/>
      <c r="PKE110" s="883"/>
      <c r="PKF110" s="883"/>
      <c r="PKG110" s="883"/>
      <c r="PKH110" s="883"/>
      <c r="PKI110" s="883"/>
      <c r="PKJ110" s="883"/>
      <c r="PKK110" s="883"/>
      <c r="PKL110" s="863"/>
      <c r="PKM110" s="863"/>
      <c r="PKN110" s="863"/>
      <c r="PKO110" s="863"/>
      <c r="PKP110" s="863"/>
      <c r="PKQ110" s="863"/>
      <c r="PKR110" s="863"/>
      <c r="PKS110" s="863"/>
      <c r="PKT110" s="863"/>
      <c r="PKU110" s="863"/>
      <c r="PKV110" s="863"/>
      <c r="PKW110" s="863"/>
      <c r="PKX110" s="863"/>
      <c r="PKY110" s="863"/>
      <c r="PKZ110" s="863"/>
      <c r="PLA110" s="863"/>
      <c r="PLB110" s="863"/>
      <c r="PLC110" s="863"/>
      <c r="PLD110" s="863"/>
      <c r="PLE110" s="863"/>
      <c r="PLF110" s="863"/>
      <c r="PLG110" s="863"/>
      <c r="PLH110" s="863"/>
      <c r="PLI110" s="883"/>
      <c r="PLJ110" s="883"/>
      <c r="PLK110" s="883"/>
      <c r="PLL110" s="883"/>
      <c r="PLM110" s="883"/>
      <c r="PLN110" s="883"/>
      <c r="PLO110" s="883"/>
      <c r="PLP110" s="883"/>
      <c r="PLQ110" s="883"/>
      <c r="PLR110" s="863"/>
      <c r="PLS110" s="863"/>
      <c r="PLT110" s="863"/>
      <c r="PLU110" s="863"/>
      <c r="PLV110" s="863"/>
      <c r="PLW110" s="863"/>
      <c r="PLX110" s="863"/>
      <c r="PLY110" s="863"/>
      <c r="PLZ110" s="863"/>
      <c r="PMA110" s="863"/>
      <c r="PMB110" s="863"/>
      <c r="PMC110" s="863"/>
      <c r="PMD110" s="863"/>
      <c r="PME110" s="863"/>
      <c r="PMF110" s="863"/>
      <c r="PMG110" s="863"/>
      <c r="PMH110" s="863"/>
      <c r="PMI110" s="863"/>
      <c r="PMJ110" s="863"/>
      <c r="PMK110" s="863"/>
      <c r="PML110" s="863"/>
      <c r="PMM110" s="863"/>
      <c r="PMN110" s="863"/>
      <c r="PMO110" s="883"/>
      <c r="PMP110" s="883"/>
      <c r="PMQ110" s="883"/>
      <c r="PMR110" s="883"/>
      <c r="PMS110" s="883"/>
      <c r="PMT110" s="883"/>
      <c r="PMU110" s="883"/>
      <c r="PMV110" s="883"/>
      <c r="PMW110" s="883"/>
      <c r="PMX110" s="863"/>
      <c r="PMY110" s="863"/>
      <c r="PMZ110" s="863"/>
      <c r="PNA110" s="863"/>
      <c r="PNB110" s="863"/>
      <c r="PNC110" s="863"/>
      <c r="PND110" s="863"/>
      <c r="PNE110" s="863"/>
      <c r="PNF110" s="863"/>
      <c r="PNG110" s="863"/>
      <c r="PNH110" s="863"/>
      <c r="PNI110" s="863"/>
      <c r="PNJ110" s="863"/>
      <c r="PNK110" s="863"/>
      <c r="PNL110" s="863"/>
      <c r="PNM110" s="863"/>
      <c r="PNN110" s="863"/>
      <c r="PNO110" s="863"/>
      <c r="PNP110" s="863"/>
      <c r="PNQ110" s="863"/>
      <c r="PNR110" s="863"/>
      <c r="PNS110" s="863"/>
      <c r="PNT110" s="863"/>
      <c r="PNU110" s="883"/>
      <c r="PNV110" s="883"/>
      <c r="PNW110" s="883"/>
      <c r="PNX110" s="883"/>
      <c r="PNY110" s="883"/>
      <c r="PNZ110" s="883"/>
      <c r="POA110" s="883"/>
      <c r="POB110" s="883"/>
      <c r="POC110" s="883"/>
      <c r="POD110" s="863"/>
      <c r="POE110" s="863"/>
      <c r="POF110" s="863"/>
      <c r="POG110" s="863"/>
      <c r="POH110" s="863"/>
      <c r="POI110" s="863"/>
      <c r="POJ110" s="863"/>
      <c r="POK110" s="863"/>
      <c r="POL110" s="863"/>
      <c r="POM110" s="863"/>
      <c r="PON110" s="863"/>
      <c r="POO110" s="863"/>
      <c r="POP110" s="863"/>
      <c r="POQ110" s="863"/>
      <c r="POR110" s="863"/>
      <c r="POS110" s="863"/>
      <c r="POT110" s="863"/>
      <c r="POU110" s="863"/>
      <c r="POV110" s="863"/>
      <c r="POW110" s="863"/>
      <c r="POX110" s="863"/>
      <c r="POY110" s="863"/>
      <c r="POZ110" s="863"/>
      <c r="PPA110" s="883"/>
      <c r="PPB110" s="883"/>
      <c r="PPC110" s="883"/>
      <c r="PPD110" s="883"/>
      <c r="PPE110" s="883"/>
      <c r="PPF110" s="883"/>
      <c r="PPG110" s="883"/>
      <c r="PPH110" s="883"/>
      <c r="PPI110" s="883"/>
      <c r="PPJ110" s="863"/>
      <c r="PPK110" s="863"/>
      <c r="PPL110" s="863"/>
      <c r="PPM110" s="863"/>
      <c r="PPN110" s="863"/>
      <c r="PPO110" s="863"/>
      <c r="PPP110" s="863"/>
      <c r="PPQ110" s="863"/>
      <c r="PPR110" s="863"/>
      <c r="PPS110" s="863"/>
      <c r="PPT110" s="863"/>
      <c r="PPU110" s="863"/>
      <c r="PPV110" s="863"/>
      <c r="PPW110" s="863"/>
      <c r="PPX110" s="863"/>
      <c r="PPY110" s="863"/>
      <c r="PPZ110" s="863"/>
      <c r="PQA110" s="863"/>
      <c r="PQB110" s="863"/>
      <c r="PQC110" s="863"/>
      <c r="PQD110" s="863"/>
      <c r="PQE110" s="863"/>
      <c r="PQF110" s="863"/>
      <c r="PQG110" s="883"/>
      <c r="PQH110" s="883"/>
      <c r="PQI110" s="883"/>
      <c r="PQJ110" s="883"/>
      <c r="PQK110" s="883"/>
      <c r="PQL110" s="883"/>
      <c r="PQM110" s="883"/>
      <c r="PQN110" s="883"/>
      <c r="PQO110" s="883"/>
      <c r="PQP110" s="863"/>
      <c r="PQQ110" s="863"/>
      <c r="PQR110" s="863"/>
      <c r="PQS110" s="863"/>
      <c r="PQT110" s="863"/>
      <c r="PQU110" s="863"/>
      <c r="PQV110" s="863"/>
      <c r="PQW110" s="863"/>
      <c r="PQX110" s="863"/>
      <c r="PQY110" s="863"/>
      <c r="PQZ110" s="863"/>
      <c r="PRA110" s="863"/>
      <c r="PRB110" s="863"/>
      <c r="PRC110" s="863"/>
      <c r="PRD110" s="863"/>
      <c r="PRE110" s="863"/>
      <c r="PRF110" s="863"/>
      <c r="PRG110" s="863"/>
      <c r="PRH110" s="863"/>
      <c r="PRI110" s="863"/>
      <c r="PRJ110" s="863"/>
      <c r="PRK110" s="863"/>
      <c r="PRL110" s="863"/>
      <c r="PRM110" s="883"/>
      <c r="PRN110" s="883"/>
      <c r="PRO110" s="883"/>
      <c r="PRP110" s="883"/>
      <c r="PRQ110" s="883"/>
      <c r="PRR110" s="883"/>
      <c r="PRS110" s="883"/>
      <c r="PRT110" s="883"/>
      <c r="PRU110" s="883"/>
      <c r="PRV110" s="863"/>
      <c r="PRW110" s="863"/>
      <c r="PRX110" s="863"/>
      <c r="PRY110" s="863"/>
      <c r="PRZ110" s="863"/>
      <c r="PSA110" s="863"/>
      <c r="PSB110" s="863"/>
      <c r="PSC110" s="863"/>
      <c r="PSD110" s="863"/>
      <c r="PSE110" s="863"/>
      <c r="PSF110" s="863"/>
      <c r="PSG110" s="863"/>
      <c r="PSH110" s="863"/>
      <c r="PSI110" s="863"/>
      <c r="PSJ110" s="863"/>
      <c r="PSK110" s="863"/>
      <c r="PSL110" s="863"/>
      <c r="PSM110" s="863"/>
      <c r="PSN110" s="863"/>
      <c r="PSO110" s="863"/>
      <c r="PSP110" s="863"/>
      <c r="PSQ110" s="863"/>
      <c r="PSR110" s="863"/>
      <c r="PSS110" s="883"/>
      <c r="PST110" s="883"/>
      <c r="PSU110" s="883"/>
      <c r="PSV110" s="883"/>
      <c r="PSW110" s="883"/>
      <c r="PSX110" s="883"/>
      <c r="PSY110" s="883"/>
      <c r="PSZ110" s="883"/>
      <c r="PTA110" s="883"/>
      <c r="PTB110" s="863"/>
      <c r="PTC110" s="863"/>
      <c r="PTD110" s="863"/>
      <c r="PTE110" s="863"/>
      <c r="PTF110" s="863"/>
      <c r="PTG110" s="863"/>
      <c r="PTH110" s="863"/>
      <c r="PTI110" s="863"/>
      <c r="PTJ110" s="863"/>
      <c r="PTK110" s="863"/>
      <c r="PTL110" s="863"/>
      <c r="PTM110" s="863"/>
      <c r="PTN110" s="863"/>
      <c r="PTO110" s="863"/>
      <c r="PTP110" s="863"/>
      <c r="PTQ110" s="863"/>
      <c r="PTR110" s="863"/>
      <c r="PTS110" s="863"/>
      <c r="PTT110" s="863"/>
      <c r="PTU110" s="863"/>
      <c r="PTV110" s="863"/>
      <c r="PTW110" s="863"/>
      <c r="PTX110" s="863"/>
      <c r="PTY110" s="883"/>
      <c r="PTZ110" s="883"/>
      <c r="PUA110" s="883"/>
      <c r="PUB110" s="883"/>
      <c r="PUC110" s="883"/>
      <c r="PUD110" s="883"/>
      <c r="PUE110" s="883"/>
      <c r="PUF110" s="883"/>
      <c r="PUG110" s="883"/>
      <c r="PUH110" s="863"/>
      <c r="PUI110" s="863"/>
      <c r="PUJ110" s="863"/>
      <c r="PUK110" s="863"/>
      <c r="PUL110" s="863"/>
      <c r="PUM110" s="863"/>
      <c r="PUN110" s="863"/>
      <c r="PUO110" s="863"/>
      <c r="PUP110" s="863"/>
      <c r="PUQ110" s="863"/>
      <c r="PUR110" s="863"/>
      <c r="PUS110" s="863"/>
      <c r="PUT110" s="863"/>
      <c r="PUU110" s="863"/>
      <c r="PUV110" s="863"/>
      <c r="PUW110" s="863"/>
      <c r="PUX110" s="863"/>
      <c r="PUY110" s="863"/>
      <c r="PUZ110" s="863"/>
      <c r="PVA110" s="863"/>
      <c r="PVB110" s="863"/>
      <c r="PVC110" s="863"/>
      <c r="PVD110" s="863"/>
      <c r="PVE110" s="883"/>
      <c r="PVF110" s="883"/>
      <c r="PVG110" s="883"/>
      <c r="PVH110" s="883"/>
      <c r="PVI110" s="883"/>
      <c r="PVJ110" s="883"/>
      <c r="PVK110" s="883"/>
      <c r="PVL110" s="883"/>
      <c r="PVM110" s="883"/>
      <c r="PVN110" s="863"/>
      <c r="PVO110" s="863"/>
      <c r="PVP110" s="863"/>
      <c r="PVQ110" s="863"/>
      <c r="PVR110" s="863"/>
      <c r="PVS110" s="863"/>
      <c r="PVT110" s="863"/>
      <c r="PVU110" s="863"/>
      <c r="PVV110" s="863"/>
      <c r="PVW110" s="863"/>
      <c r="PVX110" s="863"/>
      <c r="PVY110" s="863"/>
      <c r="PVZ110" s="863"/>
      <c r="PWA110" s="863"/>
      <c r="PWB110" s="863"/>
      <c r="PWC110" s="863"/>
      <c r="PWD110" s="863"/>
      <c r="PWE110" s="863"/>
      <c r="PWF110" s="863"/>
      <c r="PWG110" s="863"/>
      <c r="PWH110" s="863"/>
      <c r="PWI110" s="863"/>
      <c r="PWJ110" s="863"/>
      <c r="PWK110" s="883"/>
      <c r="PWL110" s="883"/>
      <c r="PWM110" s="883"/>
      <c r="PWN110" s="883"/>
      <c r="PWO110" s="883"/>
      <c r="PWP110" s="883"/>
      <c r="PWQ110" s="883"/>
      <c r="PWR110" s="883"/>
      <c r="PWS110" s="883"/>
      <c r="PWT110" s="863"/>
      <c r="PWU110" s="863"/>
      <c r="PWV110" s="863"/>
      <c r="PWW110" s="863"/>
      <c r="PWX110" s="863"/>
      <c r="PWY110" s="863"/>
      <c r="PWZ110" s="863"/>
      <c r="PXA110" s="863"/>
      <c r="PXB110" s="863"/>
      <c r="PXC110" s="863"/>
      <c r="PXD110" s="863"/>
      <c r="PXE110" s="863"/>
      <c r="PXF110" s="863"/>
      <c r="PXG110" s="863"/>
      <c r="PXH110" s="863"/>
      <c r="PXI110" s="863"/>
      <c r="PXJ110" s="863"/>
      <c r="PXK110" s="863"/>
      <c r="PXL110" s="863"/>
      <c r="PXM110" s="863"/>
      <c r="PXN110" s="863"/>
      <c r="PXO110" s="863"/>
      <c r="PXP110" s="863"/>
      <c r="PXQ110" s="883"/>
      <c r="PXR110" s="883"/>
      <c r="PXS110" s="883"/>
      <c r="PXT110" s="883"/>
      <c r="PXU110" s="883"/>
      <c r="PXV110" s="883"/>
      <c r="PXW110" s="883"/>
      <c r="PXX110" s="883"/>
      <c r="PXY110" s="883"/>
      <c r="PXZ110" s="863"/>
      <c r="PYA110" s="863"/>
      <c r="PYB110" s="863"/>
      <c r="PYC110" s="863"/>
      <c r="PYD110" s="863"/>
      <c r="PYE110" s="863"/>
      <c r="PYF110" s="863"/>
      <c r="PYG110" s="863"/>
      <c r="PYH110" s="863"/>
      <c r="PYI110" s="863"/>
      <c r="PYJ110" s="863"/>
      <c r="PYK110" s="863"/>
      <c r="PYL110" s="863"/>
      <c r="PYM110" s="863"/>
      <c r="PYN110" s="863"/>
      <c r="PYO110" s="863"/>
      <c r="PYP110" s="863"/>
      <c r="PYQ110" s="863"/>
      <c r="PYR110" s="863"/>
      <c r="PYS110" s="863"/>
      <c r="PYT110" s="863"/>
      <c r="PYU110" s="863"/>
      <c r="PYV110" s="863"/>
      <c r="PYW110" s="883"/>
      <c r="PYX110" s="883"/>
      <c r="PYY110" s="883"/>
      <c r="PYZ110" s="883"/>
      <c r="PZA110" s="883"/>
      <c r="PZB110" s="883"/>
      <c r="PZC110" s="883"/>
      <c r="PZD110" s="883"/>
      <c r="PZE110" s="883"/>
      <c r="PZF110" s="863"/>
      <c r="PZG110" s="863"/>
      <c r="PZH110" s="863"/>
      <c r="PZI110" s="863"/>
      <c r="PZJ110" s="863"/>
      <c r="PZK110" s="863"/>
      <c r="PZL110" s="863"/>
      <c r="PZM110" s="863"/>
      <c r="PZN110" s="863"/>
      <c r="PZO110" s="863"/>
      <c r="PZP110" s="863"/>
      <c r="PZQ110" s="863"/>
      <c r="PZR110" s="863"/>
      <c r="PZS110" s="863"/>
      <c r="PZT110" s="863"/>
      <c r="PZU110" s="863"/>
      <c r="PZV110" s="863"/>
      <c r="PZW110" s="863"/>
      <c r="PZX110" s="863"/>
      <c r="PZY110" s="863"/>
      <c r="PZZ110" s="863"/>
      <c r="QAA110" s="863"/>
      <c r="QAB110" s="863"/>
      <c r="QAC110" s="883"/>
      <c r="QAD110" s="883"/>
      <c r="QAE110" s="883"/>
      <c r="QAF110" s="883"/>
      <c r="QAG110" s="883"/>
      <c r="QAH110" s="883"/>
      <c r="QAI110" s="883"/>
      <c r="QAJ110" s="883"/>
      <c r="QAK110" s="883"/>
      <c r="QAL110" s="863"/>
      <c r="QAM110" s="863"/>
      <c r="QAN110" s="863"/>
      <c r="QAO110" s="863"/>
      <c r="QAP110" s="863"/>
      <c r="QAQ110" s="863"/>
      <c r="QAR110" s="863"/>
      <c r="QAS110" s="863"/>
      <c r="QAT110" s="863"/>
      <c r="QAU110" s="863"/>
      <c r="QAV110" s="863"/>
      <c r="QAW110" s="863"/>
      <c r="QAX110" s="863"/>
      <c r="QAY110" s="863"/>
      <c r="QAZ110" s="863"/>
      <c r="QBA110" s="863"/>
      <c r="QBB110" s="863"/>
      <c r="QBC110" s="863"/>
      <c r="QBD110" s="863"/>
      <c r="QBE110" s="863"/>
      <c r="QBF110" s="863"/>
      <c r="QBG110" s="863"/>
      <c r="QBH110" s="863"/>
      <c r="QBI110" s="883"/>
      <c r="QBJ110" s="883"/>
      <c r="QBK110" s="883"/>
      <c r="QBL110" s="883"/>
      <c r="QBM110" s="883"/>
      <c r="QBN110" s="883"/>
      <c r="QBO110" s="883"/>
      <c r="QBP110" s="883"/>
      <c r="QBQ110" s="883"/>
      <c r="QBR110" s="863"/>
      <c r="QBS110" s="863"/>
      <c r="QBT110" s="863"/>
      <c r="QBU110" s="863"/>
      <c r="QBV110" s="863"/>
      <c r="QBW110" s="863"/>
      <c r="QBX110" s="863"/>
      <c r="QBY110" s="863"/>
      <c r="QBZ110" s="863"/>
      <c r="QCA110" s="863"/>
      <c r="QCB110" s="863"/>
      <c r="QCC110" s="863"/>
      <c r="QCD110" s="863"/>
      <c r="QCE110" s="863"/>
      <c r="QCF110" s="863"/>
      <c r="QCG110" s="863"/>
      <c r="QCH110" s="863"/>
      <c r="QCI110" s="863"/>
      <c r="QCJ110" s="863"/>
      <c r="QCK110" s="863"/>
      <c r="QCL110" s="863"/>
      <c r="QCM110" s="863"/>
      <c r="QCN110" s="863"/>
      <c r="QCO110" s="883"/>
      <c r="QCP110" s="883"/>
      <c r="QCQ110" s="883"/>
      <c r="QCR110" s="883"/>
      <c r="QCS110" s="883"/>
      <c r="QCT110" s="883"/>
      <c r="QCU110" s="883"/>
      <c r="QCV110" s="883"/>
      <c r="QCW110" s="883"/>
      <c r="QCX110" s="863"/>
      <c r="QCY110" s="863"/>
      <c r="QCZ110" s="863"/>
      <c r="QDA110" s="863"/>
      <c r="QDB110" s="863"/>
      <c r="QDC110" s="863"/>
      <c r="QDD110" s="863"/>
      <c r="QDE110" s="863"/>
      <c r="QDF110" s="863"/>
      <c r="QDG110" s="863"/>
      <c r="QDH110" s="863"/>
      <c r="QDI110" s="863"/>
      <c r="QDJ110" s="863"/>
      <c r="QDK110" s="863"/>
      <c r="QDL110" s="863"/>
      <c r="QDM110" s="863"/>
      <c r="QDN110" s="863"/>
      <c r="QDO110" s="863"/>
      <c r="QDP110" s="863"/>
      <c r="QDQ110" s="863"/>
      <c r="QDR110" s="863"/>
      <c r="QDS110" s="863"/>
      <c r="QDT110" s="863"/>
      <c r="QDU110" s="883"/>
      <c r="QDV110" s="883"/>
      <c r="QDW110" s="883"/>
      <c r="QDX110" s="883"/>
      <c r="QDY110" s="883"/>
      <c r="QDZ110" s="883"/>
      <c r="QEA110" s="883"/>
      <c r="QEB110" s="883"/>
      <c r="QEC110" s="883"/>
      <c r="QED110" s="863"/>
      <c r="QEE110" s="863"/>
      <c r="QEF110" s="863"/>
      <c r="QEG110" s="863"/>
      <c r="QEH110" s="863"/>
      <c r="QEI110" s="863"/>
      <c r="QEJ110" s="863"/>
      <c r="QEK110" s="863"/>
      <c r="QEL110" s="863"/>
      <c r="QEM110" s="863"/>
      <c r="QEN110" s="863"/>
      <c r="QEO110" s="863"/>
      <c r="QEP110" s="863"/>
      <c r="QEQ110" s="863"/>
      <c r="QER110" s="863"/>
      <c r="QES110" s="863"/>
      <c r="QET110" s="863"/>
      <c r="QEU110" s="863"/>
      <c r="QEV110" s="863"/>
      <c r="QEW110" s="863"/>
      <c r="QEX110" s="863"/>
      <c r="QEY110" s="863"/>
      <c r="QEZ110" s="863"/>
      <c r="QFA110" s="883"/>
      <c r="QFB110" s="883"/>
      <c r="QFC110" s="883"/>
      <c r="QFD110" s="883"/>
      <c r="QFE110" s="883"/>
      <c r="QFF110" s="883"/>
      <c r="QFG110" s="883"/>
      <c r="QFH110" s="883"/>
      <c r="QFI110" s="883"/>
      <c r="QFJ110" s="863"/>
      <c r="QFK110" s="863"/>
      <c r="QFL110" s="863"/>
      <c r="QFM110" s="863"/>
      <c r="QFN110" s="863"/>
      <c r="QFO110" s="863"/>
      <c r="QFP110" s="863"/>
      <c r="QFQ110" s="863"/>
      <c r="QFR110" s="863"/>
      <c r="QFS110" s="863"/>
      <c r="QFT110" s="863"/>
      <c r="QFU110" s="863"/>
      <c r="QFV110" s="863"/>
      <c r="QFW110" s="863"/>
      <c r="QFX110" s="863"/>
      <c r="QFY110" s="863"/>
      <c r="QFZ110" s="863"/>
      <c r="QGA110" s="863"/>
      <c r="QGB110" s="863"/>
      <c r="QGC110" s="863"/>
      <c r="QGD110" s="863"/>
      <c r="QGE110" s="863"/>
      <c r="QGF110" s="863"/>
      <c r="QGG110" s="883"/>
      <c r="QGH110" s="883"/>
      <c r="QGI110" s="883"/>
      <c r="QGJ110" s="883"/>
      <c r="QGK110" s="883"/>
      <c r="QGL110" s="883"/>
      <c r="QGM110" s="883"/>
      <c r="QGN110" s="883"/>
      <c r="QGO110" s="883"/>
      <c r="QGP110" s="863"/>
      <c r="QGQ110" s="863"/>
      <c r="QGR110" s="863"/>
      <c r="QGS110" s="863"/>
      <c r="QGT110" s="863"/>
      <c r="QGU110" s="863"/>
      <c r="QGV110" s="863"/>
      <c r="QGW110" s="863"/>
      <c r="QGX110" s="863"/>
      <c r="QGY110" s="863"/>
      <c r="QGZ110" s="863"/>
      <c r="QHA110" s="863"/>
      <c r="QHB110" s="863"/>
      <c r="QHC110" s="863"/>
      <c r="QHD110" s="863"/>
      <c r="QHE110" s="863"/>
      <c r="QHF110" s="863"/>
      <c r="QHG110" s="863"/>
      <c r="QHH110" s="863"/>
      <c r="QHI110" s="863"/>
      <c r="QHJ110" s="863"/>
      <c r="QHK110" s="863"/>
      <c r="QHL110" s="863"/>
      <c r="QHM110" s="883"/>
      <c r="QHN110" s="883"/>
      <c r="QHO110" s="883"/>
      <c r="QHP110" s="883"/>
      <c r="QHQ110" s="883"/>
      <c r="QHR110" s="883"/>
      <c r="QHS110" s="883"/>
      <c r="QHT110" s="883"/>
      <c r="QHU110" s="883"/>
      <c r="QHV110" s="863"/>
      <c r="QHW110" s="863"/>
      <c r="QHX110" s="863"/>
      <c r="QHY110" s="863"/>
      <c r="QHZ110" s="863"/>
      <c r="QIA110" s="863"/>
      <c r="QIB110" s="863"/>
      <c r="QIC110" s="863"/>
      <c r="QID110" s="863"/>
      <c r="QIE110" s="863"/>
      <c r="QIF110" s="863"/>
      <c r="QIG110" s="863"/>
      <c r="QIH110" s="863"/>
      <c r="QII110" s="863"/>
      <c r="QIJ110" s="863"/>
      <c r="QIK110" s="863"/>
      <c r="QIL110" s="863"/>
      <c r="QIM110" s="863"/>
      <c r="QIN110" s="863"/>
      <c r="QIO110" s="863"/>
      <c r="QIP110" s="863"/>
      <c r="QIQ110" s="863"/>
      <c r="QIR110" s="863"/>
      <c r="QIS110" s="883"/>
      <c r="QIT110" s="883"/>
      <c r="QIU110" s="883"/>
      <c r="QIV110" s="883"/>
      <c r="QIW110" s="883"/>
      <c r="QIX110" s="883"/>
      <c r="QIY110" s="883"/>
      <c r="QIZ110" s="883"/>
      <c r="QJA110" s="883"/>
      <c r="QJB110" s="863"/>
      <c r="QJC110" s="863"/>
      <c r="QJD110" s="863"/>
      <c r="QJE110" s="863"/>
      <c r="QJF110" s="863"/>
      <c r="QJG110" s="863"/>
      <c r="QJH110" s="863"/>
      <c r="QJI110" s="863"/>
      <c r="QJJ110" s="863"/>
      <c r="QJK110" s="863"/>
      <c r="QJL110" s="863"/>
      <c r="QJM110" s="863"/>
      <c r="QJN110" s="863"/>
      <c r="QJO110" s="863"/>
      <c r="QJP110" s="863"/>
      <c r="QJQ110" s="863"/>
      <c r="QJR110" s="863"/>
      <c r="QJS110" s="863"/>
      <c r="QJT110" s="863"/>
      <c r="QJU110" s="863"/>
      <c r="QJV110" s="863"/>
      <c r="QJW110" s="863"/>
      <c r="QJX110" s="863"/>
      <c r="QJY110" s="883"/>
      <c r="QJZ110" s="883"/>
      <c r="QKA110" s="883"/>
      <c r="QKB110" s="883"/>
      <c r="QKC110" s="883"/>
      <c r="QKD110" s="883"/>
      <c r="QKE110" s="883"/>
      <c r="QKF110" s="883"/>
      <c r="QKG110" s="883"/>
      <c r="QKH110" s="863"/>
      <c r="QKI110" s="863"/>
      <c r="QKJ110" s="863"/>
      <c r="QKK110" s="863"/>
      <c r="QKL110" s="863"/>
      <c r="QKM110" s="863"/>
      <c r="QKN110" s="863"/>
      <c r="QKO110" s="863"/>
      <c r="QKP110" s="863"/>
      <c r="QKQ110" s="863"/>
      <c r="QKR110" s="863"/>
      <c r="QKS110" s="863"/>
      <c r="QKT110" s="863"/>
      <c r="QKU110" s="863"/>
      <c r="QKV110" s="863"/>
      <c r="QKW110" s="863"/>
      <c r="QKX110" s="863"/>
      <c r="QKY110" s="863"/>
      <c r="QKZ110" s="863"/>
      <c r="QLA110" s="863"/>
      <c r="QLB110" s="863"/>
      <c r="QLC110" s="863"/>
      <c r="QLD110" s="863"/>
      <c r="QLE110" s="883"/>
      <c r="QLF110" s="883"/>
      <c r="QLG110" s="883"/>
      <c r="QLH110" s="883"/>
      <c r="QLI110" s="883"/>
      <c r="QLJ110" s="883"/>
      <c r="QLK110" s="883"/>
      <c r="QLL110" s="883"/>
      <c r="QLM110" s="883"/>
      <c r="QLN110" s="863"/>
      <c r="QLO110" s="863"/>
      <c r="QLP110" s="863"/>
      <c r="QLQ110" s="863"/>
      <c r="QLR110" s="863"/>
      <c r="QLS110" s="863"/>
      <c r="QLT110" s="863"/>
      <c r="QLU110" s="863"/>
      <c r="QLV110" s="863"/>
      <c r="QLW110" s="863"/>
      <c r="QLX110" s="863"/>
      <c r="QLY110" s="863"/>
      <c r="QLZ110" s="863"/>
      <c r="QMA110" s="863"/>
      <c r="QMB110" s="863"/>
      <c r="QMC110" s="863"/>
      <c r="QMD110" s="863"/>
      <c r="QME110" s="863"/>
      <c r="QMF110" s="863"/>
      <c r="QMG110" s="863"/>
      <c r="QMH110" s="863"/>
      <c r="QMI110" s="863"/>
      <c r="QMJ110" s="863"/>
      <c r="QMK110" s="883"/>
      <c r="QML110" s="883"/>
      <c r="QMM110" s="883"/>
      <c r="QMN110" s="883"/>
      <c r="QMO110" s="883"/>
      <c r="QMP110" s="883"/>
      <c r="QMQ110" s="883"/>
      <c r="QMR110" s="883"/>
      <c r="QMS110" s="883"/>
      <c r="QMT110" s="863"/>
      <c r="QMU110" s="863"/>
      <c r="QMV110" s="863"/>
      <c r="QMW110" s="863"/>
      <c r="QMX110" s="863"/>
      <c r="QMY110" s="863"/>
      <c r="QMZ110" s="863"/>
      <c r="QNA110" s="863"/>
      <c r="QNB110" s="863"/>
      <c r="QNC110" s="863"/>
      <c r="QND110" s="863"/>
      <c r="QNE110" s="863"/>
      <c r="QNF110" s="863"/>
      <c r="QNG110" s="863"/>
      <c r="QNH110" s="863"/>
      <c r="QNI110" s="863"/>
      <c r="QNJ110" s="863"/>
      <c r="QNK110" s="863"/>
      <c r="QNL110" s="863"/>
      <c r="QNM110" s="863"/>
      <c r="QNN110" s="863"/>
      <c r="QNO110" s="863"/>
      <c r="QNP110" s="863"/>
      <c r="QNQ110" s="883"/>
      <c r="QNR110" s="883"/>
      <c r="QNS110" s="883"/>
      <c r="QNT110" s="883"/>
      <c r="QNU110" s="883"/>
      <c r="QNV110" s="883"/>
      <c r="QNW110" s="883"/>
      <c r="QNX110" s="883"/>
      <c r="QNY110" s="883"/>
      <c r="QNZ110" s="863"/>
      <c r="QOA110" s="863"/>
      <c r="QOB110" s="863"/>
      <c r="QOC110" s="863"/>
      <c r="QOD110" s="863"/>
      <c r="QOE110" s="863"/>
      <c r="QOF110" s="863"/>
      <c r="QOG110" s="863"/>
      <c r="QOH110" s="863"/>
      <c r="QOI110" s="863"/>
      <c r="QOJ110" s="863"/>
      <c r="QOK110" s="863"/>
      <c r="QOL110" s="863"/>
      <c r="QOM110" s="863"/>
      <c r="QON110" s="863"/>
      <c r="QOO110" s="863"/>
      <c r="QOP110" s="863"/>
      <c r="QOQ110" s="863"/>
      <c r="QOR110" s="863"/>
      <c r="QOS110" s="863"/>
      <c r="QOT110" s="863"/>
      <c r="QOU110" s="863"/>
      <c r="QOV110" s="863"/>
      <c r="QOW110" s="883"/>
      <c r="QOX110" s="883"/>
      <c r="QOY110" s="883"/>
      <c r="QOZ110" s="883"/>
      <c r="QPA110" s="883"/>
      <c r="QPB110" s="883"/>
      <c r="QPC110" s="883"/>
      <c r="QPD110" s="883"/>
      <c r="QPE110" s="883"/>
      <c r="QPF110" s="863"/>
      <c r="QPG110" s="863"/>
      <c r="QPH110" s="863"/>
      <c r="QPI110" s="863"/>
      <c r="QPJ110" s="863"/>
      <c r="QPK110" s="863"/>
      <c r="QPL110" s="863"/>
      <c r="QPM110" s="863"/>
      <c r="QPN110" s="863"/>
      <c r="QPO110" s="863"/>
      <c r="QPP110" s="863"/>
      <c r="QPQ110" s="863"/>
      <c r="QPR110" s="863"/>
      <c r="QPS110" s="863"/>
      <c r="QPT110" s="863"/>
      <c r="QPU110" s="863"/>
      <c r="QPV110" s="863"/>
      <c r="QPW110" s="863"/>
      <c r="QPX110" s="863"/>
      <c r="QPY110" s="863"/>
      <c r="QPZ110" s="863"/>
      <c r="QQA110" s="863"/>
      <c r="QQB110" s="863"/>
      <c r="QQC110" s="883"/>
      <c r="QQD110" s="883"/>
      <c r="QQE110" s="883"/>
      <c r="QQF110" s="883"/>
      <c r="QQG110" s="883"/>
      <c r="QQH110" s="883"/>
      <c r="QQI110" s="883"/>
      <c r="QQJ110" s="883"/>
      <c r="QQK110" s="883"/>
      <c r="QQL110" s="863"/>
      <c r="QQM110" s="863"/>
      <c r="QQN110" s="863"/>
      <c r="QQO110" s="863"/>
      <c r="QQP110" s="863"/>
      <c r="QQQ110" s="863"/>
      <c r="QQR110" s="863"/>
      <c r="QQS110" s="863"/>
      <c r="QQT110" s="863"/>
      <c r="QQU110" s="863"/>
      <c r="QQV110" s="863"/>
      <c r="QQW110" s="863"/>
      <c r="QQX110" s="863"/>
      <c r="QQY110" s="863"/>
      <c r="QQZ110" s="863"/>
      <c r="QRA110" s="863"/>
      <c r="QRB110" s="863"/>
      <c r="QRC110" s="863"/>
      <c r="QRD110" s="863"/>
      <c r="QRE110" s="863"/>
      <c r="QRF110" s="863"/>
      <c r="QRG110" s="863"/>
      <c r="QRH110" s="863"/>
      <c r="QRI110" s="883"/>
      <c r="QRJ110" s="883"/>
      <c r="QRK110" s="883"/>
      <c r="QRL110" s="883"/>
      <c r="QRM110" s="883"/>
      <c r="QRN110" s="883"/>
      <c r="QRO110" s="883"/>
      <c r="QRP110" s="883"/>
      <c r="QRQ110" s="883"/>
      <c r="QRR110" s="863"/>
      <c r="QRS110" s="863"/>
      <c r="QRT110" s="863"/>
      <c r="QRU110" s="863"/>
      <c r="QRV110" s="863"/>
      <c r="QRW110" s="863"/>
      <c r="QRX110" s="863"/>
      <c r="QRY110" s="863"/>
      <c r="QRZ110" s="863"/>
      <c r="QSA110" s="863"/>
      <c r="QSB110" s="863"/>
      <c r="QSC110" s="863"/>
      <c r="QSD110" s="863"/>
      <c r="QSE110" s="863"/>
      <c r="QSF110" s="863"/>
      <c r="QSG110" s="863"/>
      <c r="QSH110" s="863"/>
      <c r="QSI110" s="863"/>
      <c r="QSJ110" s="863"/>
      <c r="QSK110" s="863"/>
      <c r="QSL110" s="863"/>
      <c r="QSM110" s="863"/>
      <c r="QSN110" s="863"/>
      <c r="QSO110" s="883"/>
      <c r="QSP110" s="883"/>
      <c r="QSQ110" s="883"/>
      <c r="QSR110" s="883"/>
      <c r="QSS110" s="883"/>
      <c r="QST110" s="883"/>
      <c r="QSU110" s="883"/>
      <c r="QSV110" s="883"/>
      <c r="QSW110" s="883"/>
      <c r="QSX110" s="863"/>
      <c r="QSY110" s="863"/>
      <c r="QSZ110" s="863"/>
      <c r="QTA110" s="863"/>
      <c r="QTB110" s="863"/>
      <c r="QTC110" s="863"/>
      <c r="QTD110" s="863"/>
      <c r="QTE110" s="863"/>
      <c r="QTF110" s="863"/>
      <c r="QTG110" s="863"/>
      <c r="QTH110" s="863"/>
      <c r="QTI110" s="863"/>
      <c r="QTJ110" s="863"/>
      <c r="QTK110" s="863"/>
      <c r="QTL110" s="863"/>
      <c r="QTM110" s="863"/>
      <c r="QTN110" s="863"/>
      <c r="QTO110" s="863"/>
      <c r="QTP110" s="863"/>
      <c r="QTQ110" s="863"/>
      <c r="QTR110" s="863"/>
      <c r="QTS110" s="863"/>
      <c r="QTT110" s="863"/>
      <c r="QTU110" s="883"/>
      <c r="QTV110" s="883"/>
      <c r="QTW110" s="883"/>
      <c r="QTX110" s="883"/>
      <c r="QTY110" s="883"/>
      <c r="QTZ110" s="883"/>
      <c r="QUA110" s="883"/>
      <c r="QUB110" s="883"/>
      <c r="QUC110" s="883"/>
      <c r="QUD110" s="863"/>
      <c r="QUE110" s="863"/>
      <c r="QUF110" s="863"/>
      <c r="QUG110" s="863"/>
      <c r="QUH110" s="863"/>
      <c r="QUI110" s="863"/>
      <c r="QUJ110" s="863"/>
      <c r="QUK110" s="863"/>
      <c r="QUL110" s="863"/>
      <c r="QUM110" s="863"/>
      <c r="QUN110" s="863"/>
      <c r="QUO110" s="863"/>
      <c r="QUP110" s="863"/>
      <c r="QUQ110" s="863"/>
      <c r="QUR110" s="863"/>
      <c r="QUS110" s="863"/>
      <c r="QUT110" s="863"/>
      <c r="QUU110" s="863"/>
      <c r="QUV110" s="863"/>
      <c r="QUW110" s="863"/>
      <c r="QUX110" s="863"/>
      <c r="QUY110" s="863"/>
      <c r="QUZ110" s="863"/>
      <c r="QVA110" s="883"/>
      <c r="QVB110" s="883"/>
      <c r="QVC110" s="883"/>
      <c r="QVD110" s="883"/>
      <c r="QVE110" s="883"/>
      <c r="QVF110" s="883"/>
      <c r="QVG110" s="883"/>
      <c r="QVH110" s="883"/>
      <c r="QVI110" s="883"/>
      <c r="QVJ110" s="863"/>
      <c r="QVK110" s="863"/>
      <c r="QVL110" s="863"/>
      <c r="QVM110" s="863"/>
      <c r="QVN110" s="863"/>
      <c r="QVO110" s="863"/>
      <c r="QVP110" s="863"/>
      <c r="QVQ110" s="863"/>
      <c r="QVR110" s="863"/>
      <c r="QVS110" s="863"/>
      <c r="QVT110" s="863"/>
      <c r="QVU110" s="863"/>
      <c r="QVV110" s="863"/>
      <c r="QVW110" s="863"/>
      <c r="QVX110" s="863"/>
      <c r="QVY110" s="863"/>
      <c r="QVZ110" s="863"/>
      <c r="QWA110" s="863"/>
      <c r="QWB110" s="863"/>
      <c r="QWC110" s="863"/>
      <c r="QWD110" s="863"/>
      <c r="QWE110" s="863"/>
      <c r="QWF110" s="863"/>
      <c r="QWG110" s="883"/>
      <c r="QWH110" s="883"/>
      <c r="QWI110" s="883"/>
      <c r="QWJ110" s="883"/>
      <c r="QWK110" s="883"/>
      <c r="QWL110" s="883"/>
      <c r="QWM110" s="883"/>
      <c r="QWN110" s="883"/>
      <c r="QWO110" s="883"/>
      <c r="QWP110" s="863"/>
      <c r="QWQ110" s="863"/>
      <c r="QWR110" s="863"/>
      <c r="QWS110" s="863"/>
      <c r="QWT110" s="863"/>
      <c r="QWU110" s="863"/>
      <c r="QWV110" s="863"/>
      <c r="QWW110" s="863"/>
      <c r="QWX110" s="863"/>
      <c r="QWY110" s="863"/>
      <c r="QWZ110" s="863"/>
      <c r="QXA110" s="863"/>
      <c r="QXB110" s="863"/>
      <c r="QXC110" s="863"/>
      <c r="QXD110" s="863"/>
      <c r="QXE110" s="863"/>
      <c r="QXF110" s="863"/>
      <c r="QXG110" s="863"/>
      <c r="QXH110" s="863"/>
      <c r="QXI110" s="863"/>
      <c r="QXJ110" s="863"/>
      <c r="QXK110" s="863"/>
      <c r="QXL110" s="863"/>
      <c r="QXM110" s="883"/>
      <c r="QXN110" s="883"/>
      <c r="QXO110" s="883"/>
      <c r="QXP110" s="883"/>
      <c r="QXQ110" s="883"/>
      <c r="QXR110" s="883"/>
      <c r="QXS110" s="883"/>
      <c r="QXT110" s="883"/>
      <c r="QXU110" s="883"/>
      <c r="QXV110" s="863"/>
      <c r="QXW110" s="863"/>
      <c r="QXX110" s="863"/>
      <c r="QXY110" s="863"/>
      <c r="QXZ110" s="863"/>
      <c r="QYA110" s="863"/>
      <c r="QYB110" s="863"/>
      <c r="QYC110" s="863"/>
      <c r="QYD110" s="863"/>
      <c r="QYE110" s="863"/>
      <c r="QYF110" s="863"/>
      <c r="QYG110" s="863"/>
      <c r="QYH110" s="863"/>
      <c r="QYI110" s="863"/>
      <c r="QYJ110" s="863"/>
      <c r="QYK110" s="863"/>
      <c r="QYL110" s="863"/>
      <c r="QYM110" s="863"/>
      <c r="QYN110" s="863"/>
      <c r="QYO110" s="863"/>
      <c r="QYP110" s="863"/>
      <c r="QYQ110" s="863"/>
      <c r="QYR110" s="863"/>
      <c r="QYS110" s="883"/>
      <c r="QYT110" s="883"/>
      <c r="QYU110" s="883"/>
      <c r="QYV110" s="883"/>
      <c r="QYW110" s="883"/>
      <c r="QYX110" s="883"/>
      <c r="QYY110" s="883"/>
      <c r="QYZ110" s="883"/>
      <c r="QZA110" s="883"/>
      <c r="QZB110" s="863"/>
      <c r="QZC110" s="863"/>
      <c r="QZD110" s="863"/>
      <c r="QZE110" s="863"/>
      <c r="QZF110" s="863"/>
      <c r="QZG110" s="863"/>
      <c r="QZH110" s="863"/>
      <c r="QZI110" s="863"/>
      <c r="QZJ110" s="863"/>
      <c r="QZK110" s="863"/>
      <c r="QZL110" s="863"/>
      <c r="QZM110" s="863"/>
      <c r="QZN110" s="863"/>
      <c r="QZO110" s="863"/>
      <c r="QZP110" s="863"/>
      <c r="QZQ110" s="863"/>
      <c r="QZR110" s="863"/>
      <c r="QZS110" s="863"/>
      <c r="QZT110" s="863"/>
      <c r="QZU110" s="863"/>
      <c r="QZV110" s="863"/>
      <c r="QZW110" s="863"/>
      <c r="QZX110" s="863"/>
      <c r="QZY110" s="883"/>
      <c r="QZZ110" s="883"/>
      <c r="RAA110" s="883"/>
      <c r="RAB110" s="883"/>
      <c r="RAC110" s="883"/>
      <c r="RAD110" s="883"/>
      <c r="RAE110" s="883"/>
      <c r="RAF110" s="883"/>
      <c r="RAG110" s="883"/>
      <c r="RAH110" s="863"/>
      <c r="RAI110" s="863"/>
      <c r="RAJ110" s="863"/>
      <c r="RAK110" s="863"/>
      <c r="RAL110" s="863"/>
      <c r="RAM110" s="863"/>
      <c r="RAN110" s="863"/>
      <c r="RAO110" s="863"/>
      <c r="RAP110" s="863"/>
      <c r="RAQ110" s="863"/>
      <c r="RAR110" s="863"/>
      <c r="RAS110" s="863"/>
      <c r="RAT110" s="863"/>
      <c r="RAU110" s="863"/>
      <c r="RAV110" s="863"/>
      <c r="RAW110" s="863"/>
      <c r="RAX110" s="863"/>
      <c r="RAY110" s="863"/>
      <c r="RAZ110" s="863"/>
      <c r="RBA110" s="863"/>
      <c r="RBB110" s="863"/>
      <c r="RBC110" s="863"/>
      <c r="RBD110" s="863"/>
      <c r="RBE110" s="883"/>
      <c r="RBF110" s="883"/>
      <c r="RBG110" s="883"/>
      <c r="RBH110" s="883"/>
      <c r="RBI110" s="883"/>
      <c r="RBJ110" s="883"/>
      <c r="RBK110" s="883"/>
      <c r="RBL110" s="883"/>
      <c r="RBM110" s="883"/>
      <c r="RBN110" s="863"/>
      <c r="RBO110" s="863"/>
      <c r="RBP110" s="863"/>
      <c r="RBQ110" s="863"/>
      <c r="RBR110" s="863"/>
      <c r="RBS110" s="863"/>
      <c r="RBT110" s="863"/>
      <c r="RBU110" s="863"/>
      <c r="RBV110" s="863"/>
      <c r="RBW110" s="863"/>
      <c r="RBX110" s="863"/>
      <c r="RBY110" s="863"/>
      <c r="RBZ110" s="863"/>
      <c r="RCA110" s="863"/>
      <c r="RCB110" s="863"/>
      <c r="RCC110" s="863"/>
      <c r="RCD110" s="863"/>
      <c r="RCE110" s="863"/>
      <c r="RCF110" s="863"/>
      <c r="RCG110" s="863"/>
      <c r="RCH110" s="863"/>
      <c r="RCI110" s="863"/>
      <c r="RCJ110" s="863"/>
      <c r="RCK110" s="883"/>
      <c r="RCL110" s="883"/>
      <c r="RCM110" s="883"/>
      <c r="RCN110" s="883"/>
      <c r="RCO110" s="883"/>
      <c r="RCP110" s="883"/>
      <c r="RCQ110" s="883"/>
      <c r="RCR110" s="883"/>
      <c r="RCS110" s="883"/>
      <c r="RCT110" s="863"/>
      <c r="RCU110" s="863"/>
      <c r="RCV110" s="863"/>
      <c r="RCW110" s="863"/>
      <c r="RCX110" s="863"/>
      <c r="RCY110" s="863"/>
      <c r="RCZ110" s="863"/>
      <c r="RDA110" s="863"/>
      <c r="RDB110" s="863"/>
      <c r="RDC110" s="863"/>
      <c r="RDD110" s="863"/>
      <c r="RDE110" s="863"/>
      <c r="RDF110" s="863"/>
      <c r="RDG110" s="863"/>
      <c r="RDH110" s="863"/>
      <c r="RDI110" s="863"/>
      <c r="RDJ110" s="863"/>
      <c r="RDK110" s="863"/>
      <c r="RDL110" s="863"/>
      <c r="RDM110" s="863"/>
      <c r="RDN110" s="863"/>
      <c r="RDO110" s="863"/>
      <c r="RDP110" s="863"/>
      <c r="RDQ110" s="883"/>
      <c r="RDR110" s="883"/>
      <c r="RDS110" s="883"/>
      <c r="RDT110" s="883"/>
      <c r="RDU110" s="883"/>
      <c r="RDV110" s="883"/>
      <c r="RDW110" s="883"/>
      <c r="RDX110" s="883"/>
      <c r="RDY110" s="883"/>
      <c r="RDZ110" s="863"/>
      <c r="REA110" s="863"/>
      <c r="REB110" s="863"/>
      <c r="REC110" s="863"/>
      <c r="RED110" s="863"/>
      <c r="REE110" s="863"/>
      <c r="REF110" s="863"/>
      <c r="REG110" s="863"/>
      <c r="REH110" s="863"/>
      <c r="REI110" s="863"/>
      <c r="REJ110" s="863"/>
      <c r="REK110" s="863"/>
      <c r="REL110" s="863"/>
      <c r="REM110" s="863"/>
      <c r="REN110" s="863"/>
      <c r="REO110" s="863"/>
      <c r="REP110" s="863"/>
      <c r="REQ110" s="863"/>
      <c r="RER110" s="863"/>
      <c r="RES110" s="863"/>
      <c r="RET110" s="863"/>
      <c r="REU110" s="863"/>
      <c r="REV110" s="863"/>
      <c r="REW110" s="883"/>
      <c r="REX110" s="883"/>
      <c r="REY110" s="883"/>
      <c r="REZ110" s="883"/>
      <c r="RFA110" s="883"/>
      <c r="RFB110" s="883"/>
      <c r="RFC110" s="883"/>
      <c r="RFD110" s="883"/>
      <c r="RFE110" s="883"/>
      <c r="RFF110" s="863"/>
      <c r="RFG110" s="863"/>
      <c r="RFH110" s="863"/>
      <c r="RFI110" s="863"/>
      <c r="RFJ110" s="863"/>
      <c r="RFK110" s="863"/>
      <c r="RFL110" s="863"/>
      <c r="RFM110" s="863"/>
      <c r="RFN110" s="863"/>
      <c r="RFO110" s="863"/>
      <c r="RFP110" s="863"/>
      <c r="RFQ110" s="863"/>
      <c r="RFR110" s="863"/>
      <c r="RFS110" s="863"/>
      <c r="RFT110" s="863"/>
      <c r="RFU110" s="863"/>
      <c r="RFV110" s="863"/>
      <c r="RFW110" s="863"/>
      <c r="RFX110" s="863"/>
      <c r="RFY110" s="863"/>
      <c r="RFZ110" s="863"/>
      <c r="RGA110" s="863"/>
      <c r="RGB110" s="863"/>
      <c r="RGC110" s="883"/>
      <c r="RGD110" s="883"/>
      <c r="RGE110" s="883"/>
      <c r="RGF110" s="883"/>
      <c r="RGG110" s="883"/>
      <c r="RGH110" s="883"/>
      <c r="RGI110" s="883"/>
      <c r="RGJ110" s="883"/>
      <c r="RGK110" s="883"/>
      <c r="RGL110" s="863"/>
      <c r="RGM110" s="863"/>
      <c r="RGN110" s="863"/>
      <c r="RGO110" s="863"/>
      <c r="RGP110" s="863"/>
      <c r="RGQ110" s="863"/>
      <c r="RGR110" s="863"/>
      <c r="RGS110" s="863"/>
      <c r="RGT110" s="863"/>
      <c r="RGU110" s="863"/>
      <c r="RGV110" s="863"/>
      <c r="RGW110" s="863"/>
      <c r="RGX110" s="863"/>
      <c r="RGY110" s="863"/>
      <c r="RGZ110" s="863"/>
      <c r="RHA110" s="863"/>
      <c r="RHB110" s="863"/>
      <c r="RHC110" s="863"/>
      <c r="RHD110" s="863"/>
      <c r="RHE110" s="863"/>
      <c r="RHF110" s="863"/>
      <c r="RHG110" s="863"/>
      <c r="RHH110" s="863"/>
      <c r="RHI110" s="883"/>
      <c r="RHJ110" s="883"/>
      <c r="RHK110" s="883"/>
      <c r="RHL110" s="883"/>
      <c r="RHM110" s="883"/>
      <c r="RHN110" s="883"/>
      <c r="RHO110" s="883"/>
      <c r="RHP110" s="883"/>
      <c r="RHQ110" s="883"/>
      <c r="RHR110" s="863"/>
      <c r="RHS110" s="863"/>
      <c r="RHT110" s="863"/>
      <c r="RHU110" s="863"/>
      <c r="RHV110" s="863"/>
      <c r="RHW110" s="863"/>
      <c r="RHX110" s="863"/>
      <c r="RHY110" s="863"/>
      <c r="RHZ110" s="863"/>
      <c r="RIA110" s="863"/>
      <c r="RIB110" s="863"/>
      <c r="RIC110" s="863"/>
      <c r="RID110" s="863"/>
      <c r="RIE110" s="863"/>
      <c r="RIF110" s="863"/>
      <c r="RIG110" s="863"/>
      <c r="RIH110" s="863"/>
      <c r="RII110" s="863"/>
      <c r="RIJ110" s="863"/>
      <c r="RIK110" s="863"/>
      <c r="RIL110" s="863"/>
      <c r="RIM110" s="863"/>
      <c r="RIN110" s="863"/>
      <c r="RIO110" s="883"/>
      <c r="RIP110" s="883"/>
      <c r="RIQ110" s="883"/>
      <c r="RIR110" s="883"/>
      <c r="RIS110" s="883"/>
      <c r="RIT110" s="883"/>
      <c r="RIU110" s="883"/>
      <c r="RIV110" s="883"/>
      <c r="RIW110" s="883"/>
      <c r="RIX110" s="863"/>
      <c r="RIY110" s="863"/>
      <c r="RIZ110" s="863"/>
      <c r="RJA110" s="863"/>
      <c r="RJB110" s="863"/>
      <c r="RJC110" s="863"/>
      <c r="RJD110" s="863"/>
      <c r="RJE110" s="863"/>
      <c r="RJF110" s="863"/>
      <c r="RJG110" s="863"/>
      <c r="RJH110" s="863"/>
      <c r="RJI110" s="863"/>
      <c r="RJJ110" s="863"/>
      <c r="RJK110" s="863"/>
      <c r="RJL110" s="863"/>
      <c r="RJM110" s="863"/>
      <c r="RJN110" s="863"/>
      <c r="RJO110" s="863"/>
      <c r="RJP110" s="863"/>
      <c r="RJQ110" s="863"/>
      <c r="RJR110" s="863"/>
      <c r="RJS110" s="863"/>
      <c r="RJT110" s="863"/>
      <c r="RJU110" s="883"/>
      <c r="RJV110" s="883"/>
      <c r="RJW110" s="883"/>
      <c r="RJX110" s="883"/>
      <c r="RJY110" s="883"/>
      <c r="RJZ110" s="883"/>
      <c r="RKA110" s="883"/>
      <c r="RKB110" s="883"/>
      <c r="RKC110" s="883"/>
      <c r="RKD110" s="863"/>
      <c r="RKE110" s="863"/>
      <c r="RKF110" s="863"/>
      <c r="RKG110" s="863"/>
      <c r="RKH110" s="863"/>
      <c r="RKI110" s="863"/>
      <c r="RKJ110" s="863"/>
      <c r="RKK110" s="863"/>
      <c r="RKL110" s="863"/>
      <c r="RKM110" s="863"/>
      <c r="RKN110" s="863"/>
      <c r="RKO110" s="863"/>
      <c r="RKP110" s="863"/>
      <c r="RKQ110" s="863"/>
      <c r="RKR110" s="863"/>
      <c r="RKS110" s="863"/>
      <c r="RKT110" s="863"/>
      <c r="RKU110" s="863"/>
      <c r="RKV110" s="863"/>
      <c r="RKW110" s="863"/>
      <c r="RKX110" s="863"/>
      <c r="RKY110" s="863"/>
      <c r="RKZ110" s="863"/>
      <c r="RLA110" s="883"/>
      <c r="RLB110" s="883"/>
      <c r="RLC110" s="883"/>
      <c r="RLD110" s="883"/>
      <c r="RLE110" s="883"/>
      <c r="RLF110" s="883"/>
      <c r="RLG110" s="883"/>
      <c r="RLH110" s="883"/>
      <c r="RLI110" s="883"/>
      <c r="RLJ110" s="863"/>
      <c r="RLK110" s="863"/>
      <c r="RLL110" s="863"/>
      <c r="RLM110" s="863"/>
      <c r="RLN110" s="863"/>
      <c r="RLO110" s="863"/>
      <c r="RLP110" s="863"/>
      <c r="RLQ110" s="863"/>
      <c r="RLR110" s="863"/>
      <c r="RLS110" s="863"/>
      <c r="RLT110" s="863"/>
      <c r="RLU110" s="863"/>
      <c r="RLV110" s="863"/>
      <c r="RLW110" s="863"/>
      <c r="RLX110" s="863"/>
      <c r="RLY110" s="863"/>
      <c r="RLZ110" s="863"/>
      <c r="RMA110" s="863"/>
      <c r="RMB110" s="863"/>
      <c r="RMC110" s="863"/>
      <c r="RMD110" s="863"/>
      <c r="RME110" s="863"/>
      <c r="RMF110" s="863"/>
      <c r="RMG110" s="883"/>
      <c r="RMH110" s="883"/>
      <c r="RMI110" s="883"/>
      <c r="RMJ110" s="883"/>
      <c r="RMK110" s="883"/>
      <c r="RML110" s="883"/>
      <c r="RMM110" s="883"/>
      <c r="RMN110" s="883"/>
      <c r="RMO110" s="883"/>
      <c r="RMP110" s="863"/>
      <c r="RMQ110" s="863"/>
      <c r="RMR110" s="863"/>
      <c r="RMS110" s="863"/>
      <c r="RMT110" s="863"/>
      <c r="RMU110" s="863"/>
      <c r="RMV110" s="863"/>
      <c r="RMW110" s="863"/>
      <c r="RMX110" s="863"/>
      <c r="RMY110" s="863"/>
      <c r="RMZ110" s="863"/>
      <c r="RNA110" s="863"/>
      <c r="RNB110" s="863"/>
      <c r="RNC110" s="863"/>
      <c r="RND110" s="863"/>
      <c r="RNE110" s="863"/>
      <c r="RNF110" s="863"/>
      <c r="RNG110" s="863"/>
      <c r="RNH110" s="863"/>
      <c r="RNI110" s="863"/>
      <c r="RNJ110" s="863"/>
      <c r="RNK110" s="863"/>
      <c r="RNL110" s="863"/>
      <c r="RNM110" s="883"/>
      <c r="RNN110" s="883"/>
      <c r="RNO110" s="883"/>
      <c r="RNP110" s="883"/>
      <c r="RNQ110" s="883"/>
      <c r="RNR110" s="883"/>
      <c r="RNS110" s="883"/>
      <c r="RNT110" s="883"/>
      <c r="RNU110" s="883"/>
      <c r="RNV110" s="863"/>
      <c r="RNW110" s="863"/>
      <c r="RNX110" s="863"/>
      <c r="RNY110" s="863"/>
      <c r="RNZ110" s="863"/>
      <c r="ROA110" s="863"/>
      <c r="ROB110" s="863"/>
      <c r="ROC110" s="863"/>
      <c r="ROD110" s="863"/>
      <c r="ROE110" s="863"/>
      <c r="ROF110" s="863"/>
      <c r="ROG110" s="863"/>
      <c r="ROH110" s="863"/>
      <c r="ROI110" s="863"/>
      <c r="ROJ110" s="863"/>
      <c r="ROK110" s="863"/>
      <c r="ROL110" s="863"/>
      <c r="ROM110" s="863"/>
      <c r="RON110" s="863"/>
      <c r="ROO110" s="863"/>
      <c r="ROP110" s="863"/>
      <c r="ROQ110" s="863"/>
      <c r="ROR110" s="863"/>
      <c r="ROS110" s="883"/>
      <c r="ROT110" s="883"/>
      <c r="ROU110" s="883"/>
      <c r="ROV110" s="883"/>
      <c r="ROW110" s="883"/>
      <c r="ROX110" s="883"/>
      <c r="ROY110" s="883"/>
      <c r="ROZ110" s="883"/>
      <c r="RPA110" s="883"/>
      <c r="RPB110" s="863"/>
      <c r="RPC110" s="863"/>
      <c r="RPD110" s="863"/>
      <c r="RPE110" s="863"/>
      <c r="RPF110" s="863"/>
      <c r="RPG110" s="863"/>
      <c r="RPH110" s="863"/>
      <c r="RPI110" s="863"/>
      <c r="RPJ110" s="863"/>
      <c r="RPK110" s="863"/>
      <c r="RPL110" s="863"/>
      <c r="RPM110" s="863"/>
      <c r="RPN110" s="863"/>
      <c r="RPO110" s="863"/>
      <c r="RPP110" s="863"/>
      <c r="RPQ110" s="863"/>
      <c r="RPR110" s="863"/>
      <c r="RPS110" s="863"/>
      <c r="RPT110" s="863"/>
      <c r="RPU110" s="863"/>
      <c r="RPV110" s="863"/>
      <c r="RPW110" s="863"/>
      <c r="RPX110" s="863"/>
      <c r="RPY110" s="883"/>
      <c r="RPZ110" s="883"/>
      <c r="RQA110" s="883"/>
      <c r="RQB110" s="883"/>
      <c r="RQC110" s="883"/>
      <c r="RQD110" s="883"/>
      <c r="RQE110" s="883"/>
      <c r="RQF110" s="883"/>
      <c r="RQG110" s="883"/>
      <c r="RQH110" s="863"/>
      <c r="RQI110" s="863"/>
      <c r="RQJ110" s="863"/>
      <c r="RQK110" s="863"/>
      <c r="RQL110" s="863"/>
      <c r="RQM110" s="863"/>
      <c r="RQN110" s="863"/>
      <c r="RQO110" s="863"/>
      <c r="RQP110" s="863"/>
      <c r="RQQ110" s="863"/>
      <c r="RQR110" s="863"/>
      <c r="RQS110" s="863"/>
      <c r="RQT110" s="863"/>
      <c r="RQU110" s="863"/>
      <c r="RQV110" s="863"/>
      <c r="RQW110" s="863"/>
      <c r="RQX110" s="863"/>
      <c r="RQY110" s="863"/>
      <c r="RQZ110" s="863"/>
      <c r="RRA110" s="863"/>
      <c r="RRB110" s="863"/>
      <c r="RRC110" s="863"/>
      <c r="RRD110" s="863"/>
      <c r="RRE110" s="883"/>
      <c r="RRF110" s="883"/>
      <c r="RRG110" s="883"/>
      <c r="RRH110" s="883"/>
      <c r="RRI110" s="883"/>
      <c r="RRJ110" s="883"/>
      <c r="RRK110" s="883"/>
      <c r="RRL110" s="883"/>
      <c r="RRM110" s="883"/>
      <c r="RRN110" s="863"/>
      <c r="RRO110" s="863"/>
      <c r="RRP110" s="863"/>
      <c r="RRQ110" s="863"/>
      <c r="RRR110" s="863"/>
      <c r="RRS110" s="863"/>
      <c r="RRT110" s="863"/>
      <c r="RRU110" s="863"/>
      <c r="RRV110" s="863"/>
      <c r="RRW110" s="863"/>
      <c r="RRX110" s="863"/>
      <c r="RRY110" s="863"/>
      <c r="RRZ110" s="863"/>
      <c r="RSA110" s="863"/>
      <c r="RSB110" s="863"/>
      <c r="RSC110" s="863"/>
      <c r="RSD110" s="863"/>
      <c r="RSE110" s="863"/>
      <c r="RSF110" s="863"/>
      <c r="RSG110" s="863"/>
      <c r="RSH110" s="863"/>
      <c r="RSI110" s="863"/>
      <c r="RSJ110" s="863"/>
      <c r="RSK110" s="883"/>
      <c r="RSL110" s="883"/>
      <c r="RSM110" s="883"/>
      <c r="RSN110" s="883"/>
      <c r="RSO110" s="883"/>
      <c r="RSP110" s="883"/>
      <c r="RSQ110" s="883"/>
      <c r="RSR110" s="883"/>
      <c r="RSS110" s="883"/>
      <c r="RST110" s="863"/>
      <c r="RSU110" s="863"/>
      <c r="RSV110" s="863"/>
      <c r="RSW110" s="863"/>
      <c r="RSX110" s="863"/>
      <c r="RSY110" s="863"/>
      <c r="RSZ110" s="863"/>
      <c r="RTA110" s="863"/>
      <c r="RTB110" s="863"/>
      <c r="RTC110" s="863"/>
      <c r="RTD110" s="863"/>
      <c r="RTE110" s="863"/>
      <c r="RTF110" s="863"/>
      <c r="RTG110" s="863"/>
      <c r="RTH110" s="863"/>
      <c r="RTI110" s="863"/>
      <c r="RTJ110" s="863"/>
      <c r="RTK110" s="863"/>
      <c r="RTL110" s="863"/>
      <c r="RTM110" s="863"/>
      <c r="RTN110" s="863"/>
      <c r="RTO110" s="863"/>
      <c r="RTP110" s="863"/>
      <c r="RTQ110" s="883"/>
      <c r="RTR110" s="883"/>
      <c r="RTS110" s="883"/>
      <c r="RTT110" s="883"/>
      <c r="RTU110" s="883"/>
      <c r="RTV110" s="883"/>
      <c r="RTW110" s="883"/>
      <c r="RTX110" s="883"/>
      <c r="RTY110" s="883"/>
      <c r="RTZ110" s="863"/>
      <c r="RUA110" s="863"/>
      <c r="RUB110" s="863"/>
      <c r="RUC110" s="863"/>
      <c r="RUD110" s="863"/>
      <c r="RUE110" s="863"/>
      <c r="RUF110" s="863"/>
      <c r="RUG110" s="863"/>
      <c r="RUH110" s="863"/>
      <c r="RUI110" s="863"/>
      <c r="RUJ110" s="863"/>
      <c r="RUK110" s="863"/>
      <c r="RUL110" s="863"/>
      <c r="RUM110" s="863"/>
      <c r="RUN110" s="863"/>
      <c r="RUO110" s="863"/>
      <c r="RUP110" s="863"/>
      <c r="RUQ110" s="863"/>
      <c r="RUR110" s="863"/>
      <c r="RUS110" s="863"/>
      <c r="RUT110" s="863"/>
      <c r="RUU110" s="863"/>
      <c r="RUV110" s="863"/>
      <c r="RUW110" s="883"/>
      <c r="RUX110" s="883"/>
      <c r="RUY110" s="883"/>
      <c r="RUZ110" s="883"/>
      <c r="RVA110" s="883"/>
      <c r="RVB110" s="883"/>
      <c r="RVC110" s="883"/>
      <c r="RVD110" s="883"/>
      <c r="RVE110" s="883"/>
      <c r="RVF110" s="863"/>
      <c r="RVG110" s="863"/>
      <c r="RVH110" s="863"/>
      <c r="RVI110" s="863"/>
      <c r="RVJ110" s="863"/>
      <c r="RVK110" s="863"/>
      <c r="RVL110" s="863"/>
      <c r="RVM110" s="863"/>
      <c r="RVN110" s="863"/>
      <c r="RVO110" s="863"/>
      <c r="RVP110" s="863"/>
      <c r="RVQ110" s="863"/>
      <c r="RVR110" s="863"/>
      <c r="RVS110" s="863"/>
      <c r="RVT110" s="863"/>
      <c r="RVU110" s="863"/>
      <c r="RVV110" s="863"/>
      <c r="RVW110" s="863"/>
      <c r="RVX110" s="863"/>
      <c r="RVY110" s="863"/>
      <c r="RVZ110" s="863"/>
      <c r="RWA110" s="863"/>
      <c r="RWB110" s="863"/>
      <c r="RWC110" s="883"/>
      <c r="RWD110" s="883"/>
      <c r="RWE110" s="883"/>
      <c r="RWF110" s="883"/>
      <c r="RWG110" s="883"/>
      <c r="RWH110" s="883"/>
      <c r="RWI110" s="883"/>
      <c r="RWJ110" s="883"/>
      <c r="RWK110" s="883"/>
      <c r="RWL110" s="863"/>
      <c r="RWM110" s="863"/>
      <c r="RWN110" s="863"/>
      <c r="RWO110" s="863"/>
      <c r="RWP110" s="863"/>
      <c r="RWQ110" s="863"/>
      <c r="RWR110" s="863"/>
      <c r="RWS110" s="863"/>
      <c r="RWT110" s="863"/>
      <c r="RWU110" s="863"/>
      <c r="RWV110" s="863"/>
      <c r="RWW110" s="863"/>
      <c r="RWX110" s="863"/>
      <c r="RWY110" s="863"/>
      <c r="RWZ110" s="863"/>
      <c r="RXA110" s="863"/>
      <c r="RXB110" s="863"/>
      <c r="RXC110" s="863"/>
      <c r="RXD110" s="863"/>
      <c r="RXE110" s="863"/>
      <c r="RXF110" s="863"/>
      <c r="RXG110" s="863"/>
      <c r="RXH110" s="863"/>
      <c r="RXI110" s="883"/>
      <c r="RXJ110" s="883"/>
      <c r="RXK110" s="883"/>
      <c r="RXL110" s="883"/>
      <c r="RXM110" s="883"/>
      <c r="RXN110" s="883"/>
      <c r="RXO110" s="883"/>
      <c r="RXP110" s="883"/>
      <c r="RXQ110" s="883"/>
      <c r="RXR110" s="863"/>
      <c r="RXS110" s="863"/>
      <c r="RXT110" s="863"/>
      <c r="RXU110" s="863"/>
      <c r="RXV110" s="863"/>
      <c r="RXW110" s="863"/>
      <c r="RXX110" s="863"/>
      <c r="RXY110" s="863"/>
      <c r="RXZ110" s="863"/>
      <c r="RYA110" s="863"/>
      <c r="RYB110" s="863"/>
      <c r="RYC110" s="863"/>
      <c r="RYD110" s="863"/>
      <c r="RYE110" s="863"/>
      <c r="RYF110" s="863"/>
      <c r="RYG110" s="863"/>
      <c r="RYH110" s="863"/>
      <c r="RYI110" s="863"/>
      <c r="RYJ110" s="863"/>
      <c r="RYK110" s="863"/>
      <c r="RYL110" s="863"/>
      <c r="RYM110" s="863"/>
      <c r="RYN110" s="863"/>
      <c r="RYO110" s="883"/>
      <c r="RYP110" s="883"/>
      <c r="RYQ110" s="883"/>
      <c r="RYR110" s="883"/>
      <c r="RYS110" s="883"/>
      <c r="RYT110" s="883"/>
      <c r="RYU110" s="883"/>
      <c r="RYV110" s="883"/>
      <c r="RYW110" s="883"/>
      <c r="RYX110" s="863"/>
      <c r="RYY110" s="863"/>
      <c r="RYZ110" s="863"/>
      <c r="RZA110" s="863"/>
      <c r="RZB110" s="863"/>
      <c r="RZC110" s="863"/>
      <c r="RZD110" s="863"/>
      <c r="RZE110" s="863"/>
      <c r="RZF110" s="863"/>
      <c r="RZG110" s="863"/>
      <c r="RZH110" s="863"/>
      <c r="RZI110" s="863"/>
      <c r="RZJ110" s="863"/>
      <c r="RZK110" s="863"/>
      <c r="RZL110" s="863"/>
      <c r="RZM110" s="863"/>
      <c r="RZN110" s="863"/>
      <c r="RZO110" s="863"/>
      <c r="RZP110" s="863"/>
      <c r="RZQ110" s="863"/>
      <c r="RZR110" s="863"/>
      <c r="RZS110" s="863"/>
      <c r="RZT110" s="863"/>
      <c r="RZU110" s="883"/>
      <c r="RZV110" s="883"/>
      <c r="RZW110" s="883"/>
      <c r="RZX110" s="883"/>
      <c r="RZY110" s="883"/>
      <c r="RZZ110" s="883"/>
      <c r="SAA110" s="883"/>
      <c r="SAB110" s="883"/>
      <c r="SAC110" s="883"/>
      <c r="SAD110" s="863"/>
      <c r="SAE110" s="863"/>
      <c r="SAF110" s="863"/>
      <c r="SAG110" s="863"/>
      <c r="SAH110" s="863"/>
      <c r="SAI110" s="863"/>
      <c r="SAJ110" s="863"/>
      <c r="SAK110" s="863"/>
      <c r="SAL110" s="863"/>
      <c r="SAM110" s="863"/>
      <c r="SAN110" s="863"/>
      <c r="SAO110" s="863"/>
      <c r="SAP110" s="863"/>
      <c r="SAQ110" s="863"/>
      <c r="SAR110" s="863"/>
      <c r="SAS110" s="863"/>
      <c r="SAT110" s="863"/>
      <c r="SAU110" s="863"/>
      <c r="SAV110" s="863"/>
      <c r="SAW110" s="863"/>
      <c r="SAX110" s="863"/>
      <c r="SAY110" s="863"/>
      <c r="SAZ110" s="863"/>
      <c r="SBA110" s="883"/>
      <c r="SBB110" s="883"/>
      <c r="SBC110" s="883"/>
      <c r="SBD110" s="883"/>
      <c r="SBE110" s="883"/>
      <c r="SBF110" s="883"/>
      <c r="SBG110" s="883"/>
      <c r="SBH110" s="883"/>
      <c r="SBI110" s="883"/>
      <c r="SBJ110" s="863"/>
      <c r="SBK110" s="863"/>
      <c r="SBL110" s="863"/>
      <c r="SBM110" s="863"/>
      <c r="SBN110" s="863"/>
      <c r="SBO110" s="863"/>
      <c r="SBP110" s="863"/>
      <c r="SBQ110" s="863"/>
      <c r="SBR110" s="863"/>
      <c r="SBS110" s="863"/>
      <c r="SBT110" s="863"/>
      <c r="SBU110" s="863"/>
      <c r="SBV110" s="863"/>
      <c r="SBW110" s="863"/>
      <c r="SBX110" s="863"/>
      <c r="SBY110" s="863"/>
      <c r="SBZ110" s="863"/>
      <c r="SCA110" s="863"/>
      <c r="SCB110" s="863"/>
      <c r="SCC110" s="863"/>
      <c r="SCD110" s="863"/>
      <c r="SCE110" s="863"/>
      <c r="SCF110" s="863"/>
      <c r="SCG110" s="883"/>
      <c r="SCH110" s="883"/>
      <c r="SCI110" s="883"/>
      <c r="SCJ110" s="883"/>
      <c r="SCK110" s="883"/>
      <c r="SCL110" s="883"/>
      <c r="SCM110" s="883"/>
      <c r="SCN110" s="883"/>
      <c r="SCO110" s="883"/>
      <c r="SCP110" s="863"/>
      <c r="SCQ110" s="863"/>
      <c r="SCR110" s="863"/>
      <c r="SCS110" s="863"/>
      <c r="SCT110" s="863"/>
      <c r="SCU110" s="863"/>
      <c r="SCV110" s="863"/>
      <c r="SCW110" s="863"/>
      <c r="SCX110" s="863"/>
      <c r="SCY110" s="863"/>
      <c r="SCZ110" s="863"/>
      <c r="SDA110" s="863"/>
      <c r="SDB110" s="863"/>
      <c r="SDC110" s="863"/>
      <c r="SDD110" s="863"/>
      <c r="SDE110" s="863"/>
      <c r="SDF110" s="863"/>
      <c r="SDG110" s="863"/>
      <c r="SDH110" s="863"/>
      <c r="SDI110" s="863"/>
      <c r="SDJ110" s="863"/>
      <c r="SDK110" s="863"/>
      <c r="SDL110" s="863"/>
      <c r="SDM110" s="883"/>
      <c r="SDN110" s="883"/>
      <c r="SDO110" s="883"/>
      <c r="SDP110" s="883"/>
      <c r="SDQ110" s="883"/>
      <c r="SDR110" s="883"/>
      <c r="SDS110" s="883"/>
      <c r="SDT110" s="883"/>
      <c r="SDU110" s="883"/>
      <c r="SDV110" s="863"/>
      <c r="SDW110" s="863"/>
      <c r="SDX110" s="863"/>
      <c r="SDY110" s="863"/>
      <c r="SDZ110" s="863"/>
      <c r="SEA110" s="863"/>
      <c r="SEB110" s="863"/>
      <c r="SEC110" s="863"/>
      <c r="SED110" s="863"/>
      <c r="SEE110" s="863"/>
      <c r="SEF110" s="863"/>
      <c r="SEG110" s="863"/>
      <c r="SEH110" s="863"/>
      <c r="SEI110" s="863"/>
      <c r="SEJ110" s="863"/>
      <c r="SEK110" s="863"/>
      <c r="SEL110" s="863"/>
      <c r="SEM110" s="863"/>
      <c r="SEN110" s="863"/>
      <c r="SEO110" s="863"/>
      <c r="SEP110" s="863"/>
      <c r="SEQ110" s="863"/>
      <c r="SER110" s="863"/>
      <c r="SES110" s="883"/>
      <c r="SET110" s="883"/>
      <c r="SEU110" s="883"/>
      <c r="SEV110" s="883"/>
      <c r="SEW110" s="883"/>
      <c r="SEX110" s="883"/>
      <c r="SEY110" s="883"/>
      <c r="SEZ110" s="883"/>
      <c r="SFA110" s="883"/>
      <c r="SFB110" s="863"/>
      <c r="SFC110" s="863"/>
      <c r="SFD110" s="863"/>
      <c r="SFE110" s="863"/>
      <c r="SFF110" s="863"/>
      <c r="SFG110" s="863"/>
      <c r="SFH110" s="863"/>
      <c r="SFI110" s="863"/>
      <c r="SFJ110" s="863"/>
      <c r="SFK110" s="863"/>
      <c r="SFL110" s="863"/>
      <c r="SFM110" s="863"/>
      <c r="SFN110" s="863"/>
      <c r="SFO110" s="863"/>
      <c r="SFP110" s="863"/>
      <c r="SFQ110" s="863"/>
      <c r="SFR110" s="863"/>
      <c r="SFS110" s="863"/>
      <c r="SFT110" s="863"/>
      <c r="SFU110" s="863"/>
      <c r="SFV110" s="863"/>
      <c r="SFW110" s="863"/>
      <c r="SFX110" s="863"/>
      <c r="SFY110" s="883"/>
      <c r="SFZ110" s="883"/>
      <c r="SGA110" s="883"/>
      <c r="SGB110" s="883"/>
      <c r="SGC110" s="883"/>
      <c r="SGD110" s="883"/>
      <c r="SGE110" s="883"/>
      <c r="SGF110" s="883"/>
      <c r="SGG110" s="883"/>
      <c r="SGH110" s="863"/>
      <c r="SGI110" s="863"/>
      <c r="SGJ110" s="863"/>
      <c r="SGK110" s="863"/>
      <c r="SGL110" s="863"/>
      <c r="SGM110" s="863"/>
      <c r="SGN110" s="863"/>
      <c r="SGO110" s="863"/>
      <c r="SGP110" s="863"/>
      <c r="SGQ110" s="863"/>
      <c r="SGR110" s="863"/>
      <c r="SGS110" s="863"/>
      <c r="SGT110" s="863"/>
      <c r="SGU110" s="863"/>
      <c r="SGV110" s="863"/>
      <c r="SGW110" s="863"/>
      <c r="SGX110" s="863"/>
      <c r="SGY110" s="863"/>
      <c r="SGZ110" s="863"/>
      <c r="SHA110" s="863"/>
      <c r="SHB110" s="863"/>
      <c r="SHC110" s="863"/>
      <c r="SHD110" s="863"/>
      <c r="SHE110" s="883"/>
      <c r="SHF110" s="883"/>
      <c r="SHG110" s="883"/>
      <c r="SHH110" s="883"/>
      <c r="SHI110" s="883"/>
      <c r="SHJ110" s="883"/>
      <c r="SHK110" s="883"/>
      <c r="SHL110" s="883"/>
      <c r="SHM110" s="883"/>
      <c r="SHN110" s="863"/>
      <c r="SHO110" s="863"/>
      <c r="SHP110" s="863"/>
      <c r="SHQ110" s="863"/>
      <c r="SHR110" s="863"/>
      <c r="SHS110" s="863"/>
      <c r="SHT110" s="863"/>
      <c r="SHU110" s="863"/>
      <c r="SHV110" s="863"/>
      <c r="SHW110" s="863"/>
      <c r="SHX110" s="863"/>
      <c r="SHY110" s="863"/>
      <c r="SHZ110" s="863"/>
      <c r="SIA110" s="863"/>
      <c r="SIB110" s="863"/>
      <c r="SIC110" s="863"/>
      <c r="SID110" s="863"/>
      <c r="SIE110" s="863"/>
      <c r="SIF110" s="863"/>
      <c r="SIG110" s="863"/>
      <c r="SIH110" s="863"/>
      <c r="SII110" s="863"/>
      <c r="SIJ110" s="863"/>
      <c r="SIK110" s="883"/>
      <c r="SIL110" s="883"/>
      <c r="SIM110" s="883"/>
      <c r="SIN110" s="883"/>
      <c r="SIO110" s="883"/>
      <c r="SIP110" s="883"/>
      <c r="SIQ110" s="883"/>
      <c r="SIR110" s="883"/>
      <c r="SIS110" s="883"/>
      <c r="SIT110" s="863"/>
      <c r="SIU110" s="863"/>
      <c r="SIV110" s="863"/>
      <c r="SIW110" s="863"/>
      <c r="SIX110" s="863"/>
      <c r="SIY110" s="863"/>
      <c r="SIZ110" s="863"/>
      <c r="SJA110" s="863"/>
      <c r="SJB110" s="863"/>
      <c r="SJC110" s="863"/>
      <c r="SJD110" s="863"/>
      <c r="SJE110" s="863"/>
      <c r="SJF110" s="863"/>
      <c r="SJG110" s="863"/>
      <c r="SJH110" s="863"/>
      <c r="SJI110" s="863"/>
      <c r="SJJ110" s="863"/>
      <c r="SJK110" s="863"/>
      <c r="SJL110" s="863"/>
      <c r="SJM110" s="863"/>
      <c r="SJN110" s="863"/>
      <c r="SJO110" s="863"/>
      <c r="SJP110" s="863"/>
      <c r="SJQ110" s="883"/>
      <c r="SJR110" s="883"/>
      <c r="SJS110" s="883"/>
      <c r="SJT110" s="883"/>
      <c r="SJU110" s="883"/>
      <c r="SJV110" s="883"/>
      <c r="SJW110" s="883"/>
      <c r="SJX110" s="883"/>
      <c r="SJY110" s="883"/>
      <c r="SJZ110" s="863"/>
      <c r="SKA110" s="863"/>
      <c r="SKB110" s="863"/>
      <c r="SKC110" s="863"/>
      <c r="SKD110" s="863"/>
      <c r="SKE110" s="863"/>
      <c r="SKF110" s="863"/>
      <c r="SKG110" s="863"/>
      <c r="SKH110" s="863"/>
      <c r="SKI110" s="863"/>
      <c r="SKJ110" s="863"/>
      <c r="SKK110" s="863"/>
      <c r="SKL110" s="863"/>
      <c r="SKM110" s="863"/>
      <c r="SKN110" s="863"/>
      <c r="SKO110" s="863"/>
      <c r="SKP110" s="863"/>
      <c r="SKQ110" s="863"/>
      <c r="SKR110" s="863"/>
      <c r="SKS110" s="863"/>
      <c r="SKT110" s="863"/>
      <c r="SKU110" s="863"/>
      <c r="SKV110" s="863"/>
      <c r="SKW110" s="883"/>
      <c r="SKX110" s="883"/>
      <c r="SKY110" s="883"/>
      <c r="SKZ110" s="883"/>
      <c r="SLA110" s="883"/>
      <c r="SLB110" s="883"/>
      <c r="SLC110" s="883"/>
      <c r="SLD110" s="883"/>
      <c r="SLE110" s="883"/>
      <c r="SLF110" s="863"/>
      <c r="SLG110" s="863"/>
      <c r="SLH110" s="863"/>
      <c r="SLI110" s="863"/>
      <c r="SLJ110" s="863"/>
      <c r="SLK110" s="863"/>
      <c r="SLL110" s="863"/>
      <c r="SLM110" s="863"/>
      <c r="SLN110" s="863"/>
      <c r="SLO110" s="863"/>
      <c r="SLP110" s="863"/>
      <c r="SLQ110" s="863"/>
      <c r="SLR110" s="863"/>
      <c r="SLS110" s="863"/>
      <c r="SLT110" s="863"/>
      <c r="SLU110" s="863"/>
      <c r="SLV110" s="863"/>
      <c r="SLW110" s="863"/>
      <c r="SLX110" s="863"/>
      <c r="SLY110" s="863"/>
      <c r="SLZ110" s="863"/>
      <c r="SMA110" s="863"/>
      <c r="SMB110" s="863"/>
      <c r="SMC110" s="883"/>
      <c r="SMD110" s="883"/>
      <c r="SME110" s="883"/>
      <c r="SMF110" s="883"/>
      <c r="SMG110" s="883"/>
      <c r="SMH110" s="883"/>
      <c r="SMI110" s="883"/>
      <c r="SMJ110" s="883"/>
      <c r="SMK110" s="883"/>
      <c r="SML110" s="863"/>
      <c r="SMM110" s="863"/>
      <c r="SMN110" s="863"/>
      <c r="SMO110" s="863"/>
      <c r="SMP110" s="863"/>
      <c r="SMQ110" s="863"/>
      <c r="SMR110" s="863"/>
      <c r="SMS110" s="863"/>
      <c r="SMT110" s="863"/>
      <c r="SMU110" s="863"/>
      <c r="SMV110" s="863"/>
      <c r="SMW110" s="863"/>
      <c r="SMX110" s="863"/>
      <c r="SMY110" s="863"/>
      <c r="SMZ110" s="863"/>
      <c r="SNA110" s="863"/>
      <c r="SNB110" s="863"/>
      <c r="SNC110" s="863"/>
      <c r="SND110" s="863"/>
      <c r="SNE110" s="863"/>
      <c r="SNF110" s="863"/>
      <c r="SNG110" s="863"/>
      <c r="SNH110" s="863"/>
      <c r="SNI110" s="883"/>
      <c r="SNJ110" s="883"/>
      <c r="SNK110" s="883"/>
      <c r="SNL110" s="883"/>
      <c r="SNM110" s="883"/>
      <c r="SNN110" s="883"/>
      <c r="SNO110" s="883"/>
      <c r="SNP110" s="883"/>
      <c r="SNQ110" s="883"/>
      <c r="SNR110" s="863"/>
      <c r="SNS110" s="863"/>
      <c r="SNT110" s="863"/>
      <c r="SNU110" s="863"/>
      <c r="SNV110" s="863"/>
      <c r="SNW110" s="863"/>
      <c r="SNX110" s="863"/>
      <c r="SNY110" s="863"/>
      <c r="SNZ110" s="863"/>
      <c r="SOA110" s="863"/>
      <c r="SOB110" s="863"/>
      <c r="SOC110" s="863"/>
      <c r="SOD110" s="863"/>
      <c r="SOE110" s="863"/>
      <c r="SOF110" s="863"/>
      <c r="SOG110" s="863"/>
      <c r="SOH110" s="863"/>
      <c r="SOI110" s="863"/>
      <c r="SOJ110" s="863"/>
      <c r="SOK110" s="863"/>
      <c r="SOL110" s="863"/>
      <c r="SOM110" s="863"/>
      <c r="SON110" s="863"/>
      <c r="SOO110" s="883"/>
      <c r="SOP110" s="883"/>
      <c r="SOQ110" s="883"/>
      <c r="SOR110" s="883"/>
      <c r="SOS110" s="883"/>
      <c r="SOT110" s="883"/>
      <c r="SOU110" s="883"/>
      <c r="SOV110" s="883"/>
      <c r="SOW110" s="883"/>
      <c r="SOX110" s="863"/>
      <c r="SOY110" s="863"/>
      <c r="SOZ110" s="863"/>
      <c r="SPA110" s="863"/>
      <c r="SPB110" s="863"/>
      <c r="SPC110" s="863"/>
      <c r="SPD110" s="863"/>
      <c r="SPE110" s="863"/>
      <c r="SPF110" s="863"/>
      <c r="SPG110" s="863"/>
      <c r="SPH110" s="863"/>
      <c r="SPI110" s="863"/>
      <c r="SPJ110" s="863"/>
      <c r="SPK110" s="863"/>
      <c r="SPL110" s="863"/>
      <c r="SPM110" s="863"/>
      <c r="SPN110" s="863"/>
      <c r="SPO110" s="863"/>
      <c r="SPP110" s="863"/>
      <c r="SPQ110" s="863"/>
      <c r="SPR110" s="863"/>
      <c r="SPS110" s="863"/>
      <c r="SPT110" s="863"/>
      <c r="SPU110" s="883"/>
      <c r="SPV110" s="883"/>
      <c r="SPW110" s="883"/>
      <c r="SPX110" s="883"/>
      <c r="SPY110" s="883"/>
      <c r="SPZ110" s="883"/>
      <c r="SQA110" s="883"/>
      <c r="SQB110" s="883"/>
      <c r="SQC110" s="883"/>
      <c r="SQD110" s="863"/>
      <c r="SQE110" s="863"/>
      <c r="SQF110" s="863"/>
      <c r="SQG110" s="863"/>
      <c r="SQH110" s="863"/>
      <c r="SQI110" s="863"/>
      <c r="SQJ110" s="863"/>
      <c r="SQK110" s="863"/>
      <c r="SQL110" s="863"/>
      <c r="SQM110" s="863"/>
      <c r="SQN110" s="863"/>
      <c r="SQO110" s="863"/>
      <c r="SQP110" s="863"/>
      <c r="SQQ110" s="863"/>
      <c r="SQR110" s="863"/>
      <c r="SQS110" s="863"/>
      <c r="SQT110" s="863"/>
      <c r="SQU110" s="863"/>
      <c r="SQV110" s="863"/>
      <c r="SQW110" s="863"/>
      <c r="SQX110" s="863"/>
      <c r="SQY110" s="863"/>
      <c r="SQZ110" s="863"/>
      <c r="SRA110" s="883"/>
      <c r="SRB110" s="883"/>
      <c r="SRC110" s="883"/>
      <c r="SRD110" s="883"/>
      <c r="SRE110" s="883"/>
      <c r="SRF110" s="883"/>
      <c r="SRG110" s="883"/>
      <c r="SRH110" s="883"/>
      <c r="SRI110" s="883"/>
      <c r="SRJ110" s="863"/>
      <c r="SRK110" s="863"/>
      <c r="SRL110" s="863"/>
      <c r="SRM110" s="863"/>
      <c r="SRN110" s="863"/>
      <c r="SRO110" s="863"/>
      <c r="SRP110" s="863"/>
      <c r="SRQ110" s="863"/>
      <c r="SRR110" s="863"/>
      <c r="SRS110" s="863"/>
      <c r="SRT110" s="863"/>
      <c r="SRU110" s="863"/>
      <c r="SRV110" s="863"/>
      <c r="SRW110" s="863"/>
      <c r="SRX110" s="863"/>
      <c r="SRY110" s="863"/>
      <c r="SRZ110" s="863"/>
      <c r="SSA110" s="863"/>
      <c r="SSB110" s="863"/>
      <c r="SSC110" s="863"/>
      <c r="SSD110" s="863"/>
      <c r="SSE110" s="863"/>
      <c r="SSF110" s="863"/>
      <c r="SSG110" s="883"/>
      <c r="SSH110" s="883"/>
      <c r="SSI110" s="883"/>
      <c r="SSJ110" s="883"/>
      <c r="SSK110" s="883"/>
      <c r="SSL110" s="883"/>
      <c r="SSM110" s="883"/>
      <c r="SSN110" s="883"/>
      <c r="SSO110" s="883"/>
      <c r="SSP110" s="863"/>
      <c r="SSQ110" s="863"/>
      <c r="SSR110" s="863"/>
      <c r="SSS110" s="863"/>
      <c r="SST110" s="863"/>
      <c r="SSU110" s="863"/>
      <c r="SSV110" s="863"/>
      <c r="SSW110" s="863"/>
      <c r="SSX110" s="863"/>
      <c r="SSY110" s="863"/>
      <c r="SSZ110" s="863"/>
      <c r="STA110" s="863"/>
      <c r="STB110" s="863"/>
      <c r="STC110" s="863"/>
      <c r="STD110" s="863"/>
      <c r="STE110" s="863"/>
      <c r="STF110" s="863"/>
      <c r="STG110" s="863"/>
      <c r="STH110" s="863"/>
      <c r="STI110" s="863"/>
      <c r="STJ110" s="863"/>
      <c r="STK110" s="863"/>
      <c r="STL110" s="863"/>
      <c r="STM110" s="883"/>
      <c r="STN110" s="883"/>
      <c r="STO110" s="883"/>
      <c r="STP110" s="883"/>
      <c r="STQ110" s="883"/>
      <c r="STR110" s="883"/>
      <c r="STS110" s="883"/>
      <c r="STT110" s="883"/>
      <c r="STU110" s="883"/>
      <c r="STV110" s="863"/>
      <c r="STW110" s="863"/>
      <c r="STX110" s="863"/>
      <c r="STY110" s="863"/>
      <c r="STZ110" s="863"/>
      <c r="SUA110" s="863"/>
      <c r="SUB110" s="863"/>
      <c r="SUC110" s="863"/>
      <c r="SUD110" s="863"/>
      <c r="SUE110" s="863"/>
      <c r="SUF110" s="863"/>
      <c r="SUG110" s="863"/>
      <c r="SUH110" s="863"/>
      <c r="SUI110" s="863"/>
      <c r="SUJ110" s="863"/>
      <c r="SUK110" s="863"/>
      <c r="SUL110" s="863"/>
      <c r="SUM110" s="863"/>
      <c r="SUN110" s="863"/>
      <c r="SUO110" s="863"/>
      <c r="SUP110" s="863"/>
      <c r="SUQ110" s="863"/>
      <c r="SUR110" s="863"/>
      <c r="SUS110" s="883"/>
      <c r="SUT110" s="883"/>
      <c r="SUU110" s="883"/>
      <c r="SUV110" s="883"/>
      <c r="SUW110" s="883"/>
      <c r="SUX110" s="883"/>
      <c r="SUY110" s="883"/>
      <c r="SUZ110" s="883"/>
      <c r="SVA110" s="883"/>
      <c r="SVB110" s="863"/>
      <c r="SVC110" s="863"/>
      <c r="SVD110" s="863"/>
      <c r="SVE110" s="863"/>
      <c r="SVF110" s="863"/>
      <c r="SVG110" s="863"/>
      <c r="SVH110" s="863"/>
      <c r="SVI110" s="863"/>
      <c r="SVJ110" s="863"/>
      <c r="SVK110" s="863"/>
      <c r="SVL110" s="863"/>
      <c r="SVM110" s="863"/>
      <c r="SVN110" s="863"/>
      <c r="SVO110" s="863"/>
      <c r="SVP110" s="863"/>
      <c r="SVQ110" s="863"/>
      <c r="SVR110" s="863"/>
      <c r="SVS110" s="863"/>
      <c r="SVT110" s="863"/>
      <c r="SVU110" s="863"/>
      <c r="SVV110" s="863"/>
      <c r="SVW110" s="863"/>
      <c r="SVX110" s="863"/>
      <c r="SVY110" s="883"/>
      <c r="SVZ110" s="883"/>
      <c r="SWA110" s="883"/>
      <c r="SWB110" s="883"/>
      <c r="SWC110" s="883"/>
      <c r="SWD110" s="883"/>
      <c r="SWE110" s="883"/>
      <c r="SWF110" s="883"/>
      <c r="SWG110" s="883"/>
      <c r="SWH110" s="863"/>
      <c r="SWI110" s="863"/>
      <c r="SWJ110" s="863"/>
      <c r="SWK110" s="863"/>
      <c r="SWL110" s="863"/>
      <c r="SWM110" s="863"/>
      <c r="SWN110" s="863"/>
      <c r="SWO110" s="863"/>
      <c r="SWP110" s="863"/>
      <c r="SWQ110" s="863"/>
      <c r="SWR110" s="863"/>
      <c r="SWS110" s="863"/>
      <c r="SWT110" s="863"/>
      <c r="SWU110" s="863"/>
      <c r="SWV110" s="863"/>
      <c r="SWW110" s="863"/>
      <c r="SWX110" s="863"/>
      <c r="SWY110" s="863"/>
      <c r="SWZ110" s="863"/>
      <c r="SXA110" s="863"/>
      <c r="SXB110" s="863"/>
      <c r="SXC110" s="863"/>
      <c r="SXD110" s="863"/>
      <c r="SXE110" s="883"/>
      <c r="SXF110" s="883"/>
      <c r="SXG110" s="883"/>
      <c r="SXH110" s="883"/>
      <c r="SXI110" s="883"/>
      <c r="SXJ110" s="883"/>
      <c r="SXK110" s="883"/>
      <c r="SXL110" s="883"/>
      <c r="SXM110" s="883"/>
      <c r="SXN110" s="863"/>
      <c r="SXO110" s="863"/>
      <c r="SXP110" s="863"/>
      <c r="SXQ110" s="863"/>
      <c r="SXR110" s="863"/>
      <c r="SXS110" s="863"/>
      <c r="SXT110" s="863"/>
      <c r="SXU110" s="863"/>
      <c r="SXV110" s="863"/>
      <c r="SXW110" s="863"/>
      <c r="SXX110" s="863"/>
      <c r="SXY110" s="863"/>
      <c r="SXZ110" s="863"/>
      <c r="SYA110" s="863"/>
      <c r="SYB110" s="863"/>
      <c r="SYC110" s="863"/>
      <c r="SYD110" s="863"/>
      <c r="SYE110" s="863"/>
      <c r="SYF110" s="863"/>
      <c r="SYG110" s="863"/>
      <c r="SYH110" s="863"/>
      <c r="SYI110" s="863"/>
      <c r="SYJ110" s="863"/>
      <c r="SYK110" s="883"/>
      <c r="SYL110" s="883"/>
      <c r="SYM110" s="883"/>
      <c r="SYN110" s="883"/>
      <c r="SYO110" s="883"/>
      <c r="SYP110" s="883"/>
      <c r="SYQ110" s="883"/>
      <c r="SYR110" s="883"/>
      <c r="SYS110" s="883"/>
      <c r="SYT110" s="863"/>
      <c r="SYU110" s="863"/>
      <c r="SYV110" s="863"/>
      <c r="SYW110" s="863"/>
      <c r="SYX110" s="863"/>
      <c r="SYY110" s="863"/>
      <c r="SYZ110" s="863"/>
      <c r="SZA110" s="863"/>
      <c r="SZB110" s="863"/>
      <c r="SZC110" s="863"/>
      <c r="SZD110" s="863"/>
      <c r="SZE110" s="863"/>
      <c r="SZF110" s="863"/>
      <c r="SZG110" s="863"/>
      <c r="SZH110" s="863"/>
      <c r="SZI110" s="863"/>
      <c r="SZJ110" s="863"/>
      <c r="SZK110" s="863"/>
      <c r="SZL110" s="863"/>
      <c r="SZM110" s="863"/>
      <c r="SZN110" s="863"/>
      <c r="SZO110" s="863"/>
      <c r="SZP110" s="863"/>
      <c r="SZQ110" s="883"/>
      <c r="SZR110" s="883"/>
      <c r="SZS110" s="883"/>
      <c r="SZT110" s="883"/>
      <c r="SZU110" s="883"/>
      <c r="SZV110" s="883"/>
      <c r="SZW110" s="883"/>
      <c r="SZX110" s="883"/>
      <c r="SZY110" s="883"/>
      <c r="SZZ110" s="863"/>
      <c r="TAA110" s="863"/>
      <c r="TAB110" s="863"/>
      <c r="TAC110" s="863"/>
      <c r="TAD110" s="863"/>
      <c r="TAE110" s="863"/>
      <c r="TAF110" s="863"/>
      <c r="TAG110" s="863"/>
      <c r="TAH110" s="863"/>
      <c r="TAI110" s="863"/>
      <c r="TAJ110" s="863"/>
      <c r="TAK110" s="863"/>
      <c r="TAL110" s="863"/>
      <c r="TAM110" s="863"/>
      <c r="TAN110" s="863"/>
      <c r="TAO110" s="863"/>
      <c r="TAP110" s="863"/>
      <c r="TAQ110" s="863"/>
      <c r="TAR110" s="863"/>
      <c r="TAS110" s="863"/>
      <c r="TAT110" s="863"/>
      <c r="TAU110" s="863"/>
      <c r="TAV110" s="863"/>
      <c r="TAW110" s="883"/>
      <c r="TAX110" s="883"/>
      <c r="TAY110" s="883"/>
      <c r="TAZ110" s="883"/>
      <c r="TBA110" s="883"/>
      <c r="TBB110" s="883"/>
      <c r="TBC110" s="883"/>
      <c r="TBD110" s="883"/>
      <c r="TBE110" s="883"/>
      <c r="TBF110" s="863"/>
      <c r="TBG110" s="863"/>
      <c r="TBH110" s="863"/>
      <c r="TBI110" s="863"/>
      <c r="TBJ110" s="863"/>
      <c r="TBK110" s="863"/>
      <c r="TBL110" s="863"/>
      <c r="TBM110" s="863"/>
      <c r="TBN110" s="863"/>
      <c r="TBO110" s="863"/>
      <c r="TBP110" s="863"/>
      <c r="TBQ110" s="863"/>
      <c r="TBR110" s="863"/>
      <c r="TBS110" s="863"/>
      <c r="TBT110" s="863"/>
      <c r="TBU110" s="863"/>
      <c r="TBV110" s="863"/>
      <c r="TBW110" s="863"/>
      <c r="TBX110" s="863"/>
      <c r="TBY110" s="863"/>
      <c r="TBZ110" s="863"/>
      <c r="TCA110" s="863"/>
      <c r="TCB110" s="863"/>
      <c r="TCC110" s="883"/>
      <c r="TCD110" s="883"/>
      <c r="TCE110" s="883"/>
      <c r="TCF110" s="883"/>
      <c r="TCG110" s="883"/>
      <c r="TCH110" s="883"/>
      <c r="TCI110" s="883"/>
      <c r="TCJ110" s="883"/>
      <c r="TCK110" s="883"/>
      <c r="TCL110" s="863"/>
      <c r="TCM110" s="863"/>
      <c r="TCN110" s="863"/>
      <c r="TCO110" s="863"/>
      <c r="TCP110" s="863"/>
      <c r="TCQ110" s="863"/>
      <c r="TCR110" s="863"/>
      <c r="TCS110" s="863"/>
      <c r="TCT110" s="863"/>
      <c r="TCU110" s="863"/>
      <c r="TCV110" s="863"/>
      <c r="TCW110" s="863"/>
      <c r="TCX110" s="863"/>
      <c r="TCY110" s="863"/>
      <c r="TCZ110" s="863"/>
      <c r="TDA110" s="863"/>
      <c r="TDB110" s="863"/>
      <c r="TDC110" s="863"/>
      <c r="TDD110" s="863"/>
      <c r="TDE110" s="863"/>
      <c r="TDF110" s="863"/>
      <c r="TDG110" s="863"/>
      <c r="TDH110" s="863"/>
      <c r="TDI110" s="883"/>
      <c r="TDJ110" s="883"/>
      <c r="TDK110" s="883"/>
      <c r="TDL110" s="883"/>
      <c r="TDM110" s="883"/>
      <c r="TDN110" s="883"/>
      <c r="TDO110" s="883"/>
      <c r="TDP110" s="883"/>
      <c r="TDQ110" s="883"/>
      <c r="TDR110" s="863"/>
      <c r="TDS110" s="863"/>
      <c r="TDT110" s="863"/>
      <c r="TDU110" s="863"/>
      <c r="TDV110" s="863"/>
      <c r="TDW110" s="863"/>
      <c r="TDX110" s="863"/>
      <c r="TDY110" s="863"/>
      <c r="TDZ110" s="863"/>
      <c r="TEA110" s="863"/>
      <c r="TEB110" s="863"/>
      <c r="TEC110" s="863"/>
      <c r="TED110" s="863"/>
      <c r="TEE110" s="863"/>
      <c r="TEF110" s="863"/>
      <c r="TEG110" s="863"/>
      <c r="TEH110" s="863"/>
      <c r="TEI110" s="863"/>
      <c r="TEJ110" s="863"/>
      <c r="TEK110" s="863"/>
      <c r="TEL110" s="863"/>
      <c r="TEM110" s="863"/>
      <c r="TEN110" s="863"/>
      <c r="TEO110" s="883"/>
      <c r="TEP110" s="883"/>
      <c r="TEQ110" s="883"/>
      <c r="TER110" s="883"/>
      <c r="TES110" s="883"/>
      <c r="TET110" s="883"/>
      <c r="TEU110" s="883"/>
      <c r="TEV110" s="883"/>
      <c r="TEW110" s="883"/>
      <c r="TEX110" s="863"/>
      <c r="TEY110" s="863"/>
      <c r="TEZ110" s="863"/>
      <c r="TFA110" s="863"/>
      <c r="TFB110" s="863"/>
      <c r="TFC110" s="863"/>
      <c r="TFD110" s="863"/>
      <c r="TFE110" s="863"/>
      <c r="TFF110" s="863"/>
      <c r="TFG110" s="863"/>
      <c r="TFH110" s="863"/>
      <c r="TFI110" s="863"/>
      <c r="TFJ110" s="863"/>
      <c r="TFK110" s="863"/>
      <c r="TFL110" s="863"/>
      <c r="TFM110" s="863"/>
      <c r="TFN110" s="863"/>
      <c r="TFO110" s="863"/>
      <c r="TFP110" s="863"/>
      <c r="TFQ110" s="863"/>
      <c r="TFR110" s="863"/>
      <c r="TFS110" s="863"/>
      <c r="TFT110" s="863"/>
      <c r="TFU110" s="883"/>
      <c r="TFV110" s="883"/>
      <c r="TFW110" s="883"/>
      <c r="TFX110" s="883"/>
      <c r="TFY110" s="883"/>
      <c r="TFZ110" s="883"/>
      <c r="TGA110" s="883"/>
      <c r="TGB110" s="883"/>
      <c r="TGC110" s="883"/>
      <c r="TGD110" s="863"/>
      <c r="TGE110" s="863"/>
      <c r="TGF110" s="863"/>
      <c r="TGG110" s="863"/>
      <c r="TGH110" s="863"/>
      <c r="TGI110" s="863"/>
      <c r="TGJ110" s="863"/>
      <c r="TGK110" s="863"/>
      <c r="TGL110" s="863"/>
      <c r="TGM110" s="863"/>
      <c r="TGN110" s="863"/>
      <c r="TGO110" s="863"/>
      <c r="TGP110" s="863"/>
      <c r="TGQ110" s="863"/>
      <c r="TGR110" s="863"/>
      <c r="TGS110" s="863"/>
      <c r="TGT110" s="863"/>
      <c r="TGU110" s="863"/>
      <c r="TGV110" s="863"/>
      <c r="TGW110" s="863"/>
      <c r="TGX110" s="863"/>
      <c r="TGY110" s="863"/>
      <c r="TGZ110" s="863"/>
      <c r="THA110" s="883"/>
      <c r="THB110" s="883"/>
      <c r="THC110" s="883"/>
      <c r="THD110" s="883"/>
      <c r="THE110" s="883"/>
      <c r="THF110" s="883"/>
      <c r="THG110" s="883"/>
      <c r="THH110" s="883"/>
      <c r="THI110" s="883"/>
      <c r="THJ110" s="863"/>
      <c r="THK110" s="863"/>
      <c r="THL110" s="863"/>
      <c r="THM110" s="863"/>
      <c r="THN110" s="863"/>
      <c r="THO110" s="863"/>
      <c r="THP110" s="863"/>
      <c r="THQ110" s="863"/>
      <c r="THR110" s="863"/>
      <c r="THS110" s="863"/>
      <c r="THT110" s="863"/>
      <c r="THU110" s="863"/>
      <c r="THV110" s="863"/>
      <c r="THW110" s="863"/>
      <c r="THX110" s="863"/>
      <c r="THY110" s="863"/>
      <c r="THZ110" s="863"/>
      <c r="TIA110" s="863"/>
      <c r="TIB110" s="863"/>
      <c r="TIC110" s="863"/>
      <c r="TID110" s="863"/>
      <c r="TIE110" s="863"/>
      <c r="TIF110" s="863"/>
      <c r="TIG110" s="883"/>
      <c r="TIH110" s="883"/>
      <c r="TII110" s="883"/>
      <c r="TIJ110" s="883"/>
      <c r="TIK110" s="883"/>
      <c r="TIL110" s="883"/>
      <c r="TIM110" s="883"/>
      <c r="TIN110" s="883"/>
      <c r="TIO110" s="883"/>
      <c r="TIP110" s="863"/>
      <c r="TIQ110" s="863"/>
      <c r="TIR110" s="863"/>
      <c r="TIS110" s="863"/>
      <c r="TIT110" s="863"/>
      <c r="TIU110" s="863"/>
      <c r="TIV110" s="863"/>
      <c r="TIW110" s="863"/>
      <c r="TIX110" s="863"/>
      <c r="TIY110" s="863"/>
      <c r="TIZ110" s="863"/>
      <c r="TJA110" s="863"/>
      <c r="TJB110" s="863"/>
      <c r="TJC110" s="863"/>
      <c r="TJD110" s="863"/>
      <c r="TJE110" s="863"/>
      <c r="TJF110" s="863"/>
      <c r="TJG110" s="863"/>
      <c r="TJH110" s="863"/>
      <c r="TJI110" s="863"/>
      <c r="TJJ110" s="863"/>
      <c r="TJK110" s="863"/>
      <c r="TJL110" s="863"/>
      <c r="TJM110" s="883"/>
      <c r="TJN110" s="883"/>
      <c r="TJO110" s="883"/>
      <c r="TJP110" s="883"/>
      <c r="TJQ110" s="883"/>
      <c r="TJR110" s="883"/>
      <c r="TJS110" s="883"/>
      <c r="TJT110" s="883"/>
      <c r="TJU110" s="883"/>
      <c r="TJV110" s="863"/>
      <c r="TJW110" s="863"/>
      <c r="TJX110" s="863"/>
      <c r="TJY110" s="863"/>
      <c r="TJZ110" s="863"/>
      <c r="TKA110" s="863"/>
      <c r="TKB110" s="863"/>
      <c r="TKC110" s="863"/>
      <c r="TKD110" s="863"/>
      <c r="TKE110" s="863"/>
      <c r="TKF110" s="863"/>
      <c r="TKG110" s="863"/>
      <c r="TKH110" s="863"/>
      <c r="TKI110" s="863"/>
      <c r="TKJ110" s="863"/>
      <c r="TKK110" s="863"/>
      <c r="TKL110" s="863"/>
      <c r="TKM110" s="863"/>
      <c r="TKN110" s="863"/>
      <c r="TKO110" s="863"/>
      <c r="TKP110" s="863"/>
      <c r="TKQ110" s="863"/>
      <c r="TKR110" s="863"/>
      <c r="TKS110" s="883"/>
      <c r="TKT110" s="883"/>
      <c r="TKU110" s="883"/>
      <c r="TKV110" s="883"/>
      <c r="TKW110" s="883"/>
      <c r="TKX110" s="883"/>
      <c r="TKY110" s="883"/>
      <c r="TKZ110" s="883"/>
      <c r="TLA110" s="883"/>
      <c r="TLB110" s="863"/>
      <c r="TLC110" s="863"/>
      <c r="TLD110" s="863"/>
      <c r="TLE110" s="863"/>
      <c r="TLF110" s="863"/>
      <c r="TLG110" s="863"/>
      <c r="TLH110" s="863"/>
      <c r="TLI110" s="863"/>
      <c r="TLJ110" s="863"/>
      <c r="TLK110" s="863"/>
      <c r="TLL110" s="863"/>
      <c r="TLM110" s="863"/>
      <c r="TLN110" s="863"/>
      <c r="TLO110" s="863"/>
      <c r="TLP110" s="863"/>
      <c r="TLQ110" s="863"/>
      <c r="TLR110" s="863"/>
      <c r="TLS110" s="863"/>
      <c r="TLT110" s="863"/>
      <c r="TLU110" s="863"/>
      <c r="TLV110" s="863"/>
      <c r="TLW110" s="863"/>
      <c r="TLX110" s="863"/>
      <c r="TLY110" s="883"/>
      <c r="TLZ110" s="883"/>
      <c r="TMA110" s="883"/>
      <c r="TMB110" s="883"/>
      <c r="TMC110" s="883"/>
      <c r="TMD110" s="883"/>
      <c r="TME110" s="883"/>
      <c r="TMF110" s="883"/>
      <c r="TMG110" s="883"/>
      <c r="TMH110" s="863"/>
      <c r="TMI110" s="863"/>
      <c r="TMJ110" s="863"/>
      <c r="TMK110" s="863"/>
      <c r="TML110" s="863"/>
      <c r="TMM110" s="863"/>
      <c r="TMN110" s="863"/>
      <c r="TMO110" s="863"/>
      <c r="TMP110" s="863"/>
      <c r="TMQ110" s="863"/>
      <c r="TMR110" s="863"/>
      <c r="TMS110" s="863"/>
      <c r="TMT110" s="863"/>
      <c r="TMU110" s="863"/>
      <c r="TMV110" s="863"/>
      <c r="TMW110" s="863"/>
      <c r="TMX110" s="863"/>
      <c r="TMY110" s="863"/>
      <c r="TMZ110" s="863"/>
      <c r="TNA110" s="863"/>
      <c r="TNB110" s="863"/>
      <c r="TNC110" s="863"/>
      <c r="TND110" s="863"/>
      <c r="TNE110" s="883"/>
      <c r="TNF110" s="883"/>
      <c r="TNG110" s="883"/>
      <c r="TNH110" s="883"/>
      <c r="TNI110" s="883"/>
      <c r="TNJ110" s="883"/>
      <c r="TNK110" s="883"/>
      <c r="TNL110" s="883"/>
      <c r="TNM110" s="883"/>
      <c r="TNN110" s="863"/>
      <c r="TNO110" s="863"/>
      <c r="TNP110" s="863"/>
      <c r="TNQ110" s="863"/>
      <c r="TNR110" s="863"/>
      <c r="TNS110" s="863"/>
      <c r="TNT110" s="863"/>
      <c r="TNU110" s="863"/>
      <c r="TNV110" s="863"/>
      <c r="TNW110" s="863"/>
      <c r="TNX110" s="863"/>
      <c r="TNY110" s="863"/>
      <c r="TNZ110" s="863"/>
      <c r="TOA110" s="863"/>
      <c r="TOB110" s="863"/>
      <c r="TOC110" s="863"/>
      <c r="TOD110" s="863"/>
      <c r="TOE110" s="863"/>
      <c r="TOF110" s="863"/>
      <c r="TOG110" s="863"/>
      <c r="TOH110" s="863"/>
      <c r="TOI110" s="863"/>
      <c r="TOJ110" s="863"/>
      <c r="TOK110" s="883"/>
      <c r="TOL110" s="883"/>
      <c r="TOM110" s="883"/>
      <c r="TON110" s="883"/>
      <c r="TOO110" s="883"/>
      <c r="TOP110" s="883"/>
      <c r="TOQ110" s="883"/>
      <c r="TOR110" s="883"/>
      <c r="TOS110" s="883"/>
      <c r="TOT110" s="863"/>
      <c r="TOU110" s="863"/>
      <c r="TOV110" s="863"/>
      <c r="TOW110" s="863"/>
      <c r="TOX110" s="863"/>
      <c r="TOY110" s="863"/>
      <c r="TOZ110" s="863"/>
      <c r="TPA110" s="863"/>
      <c r="TPB110" s="863"/>
      <c r="TPC110" s="863"/>
      <c r="TPD110" s="863"/>
      <c r="TPE110" s="863"/>
      <c r="TPF110" s="863"/>
      <c r="TPG110" s="863"/>
      <c r="TPH110" s="863"/>
      <c r="TPI110" s="863"/>
      <c r="TPJ110" s="863"/>
      <c r="TPK110" s="863"/>
      <c r="TPL110" s="863"/>
      <c r="TPM110" s="863"/>
      <c r="TPN110" s="863"/>
      <c r="TPO110" s="863"/>
      <c r="TPP110" s="863"/>
      <c r="TPQ110" s="883"/>
      <c r="TPR110" s="883"/>
      <c r="TPS110" s="883"/>
      <c r="TPT110" s="883"/>
      <c r="TPU110" s="883"/>
      <c r="TPV110" s="883"/>
      <c r="TPW110" s="883"/>
      <c r="TPX110" s="883"/>
      <c r="TPY110" s="883"/>
      <c r="TPZ110" s="863"/>
      <c r="TQA110" s="863"/>
      <c r="TQB110" s="863"/>
      <c r="TQC110" s="863"/>
      <c r="TQD110" s="863"/>
      <c r="TQE110" s="863"/>
      <c r="TQF110" s="863"/>
      <c r="TQG110" s="863"/>
      <c r="TQH110" s="863"/>
      <c r="TQI110" s="863"/>
      <c r="TQJ110" s="863"/>
      <c r="TQK110" s="863"/>
      <c r="TQL110" s="863"/>
      <c r="TQM110" s="863"/>
      <c r="TQN110" s="863"/>
      <c r="TQO110" s="863"/>
      <c r="TQP110" s="863"/>
      <c r="TQQ110" s="863"/>
      <c r="TQR110" s="863"/>
      <c r="TQS110" s="863"/>
      <c r="TQT110" s="863"/>
      <c r="TQU110" s="863"/>
      <c r="TQV110" s="863"/>
      <c r="TQW110" s="883"/>
      <c r="TQX110" s="883"/>
      <c r="TQY110" s="883"/>
      <c r="TQZ110" s="883"/>
      <c r="TRA110" s="883"/>
      <c r="TRB110" s="883"/>
      <c r="TRC110" s="883"/>
      <c r="TRD110" s="883"/>
      <c r="TRE110" s="883"/>
      <c r="TRF110" s="863"/>
      <c r="TRG110" s="863"/>
      <c r="TRH110" s="863"/>
      <c r="TRI110" s="863"/>
      <c r="TRJ110" s="863"/>
      <c r="TRK110" s="863"/>
      <c r="TRL110" s="863"/>
      <c r="TRM110" s="863"/>
      <c r="TRN110" s="863"/>
      <c r="TRO110" s="863"/>
      <c r="TRP110" s="863"/>
      <c r="TRQ110" s="863"/>
      <c r="TRR110" s="863"/>
      <c r="TRS110" s="863"/>
      <c r="TRT110" s="863"/>
      <c r="TRU110" s="863"/>
      <c r="TRV110" s="863"/>
      <c r="TRW110" s="863"/>
      <c r="TRX110" s="863"/>
      <c r="TRY110" s="863"/>
      <c r="TRZ110" s="863"/>
      <c r="TSA110" s="863"/>
      <c r="TSB110" s="863"/>
      <c r="TSC110" s="883"/>
      <c r="TSD110" s="883"/>
      <c r="TSE110" s="883"/>
      <c r="TSF110" s="883"/>
      <c r="TSG110" s="883"/>
      <c r="TSH110" s="883"/>
      <c r="TSI110" s="883"/>
      <c r="TSJ110" s="883"/>
      <c r="TSK110" s="883"/>
      <c r="TSL110" s="863"/>
      <c r="TSM110" s="863"/>
      <c r="TSN110" s="863"/>
      <c r="TSO110" s="863"/>
      <c r="TSP110" s="863"/>
      <c r="TSQ110" s="863"/>
      <c r="TSR110" s="863"/>
      <c r="TSS110" s="863"/>
      <c r="TST110" s="863"/>
      <c r="TSU110" s="863"/>
      <c r="TSV110" s="863"/>
      <c r="TSW110" s="863"/>
      <c r="TSX110" s="863"/>
      <c r="TSY110" s="863"/>
      <c r="TSZ110" s="863"/>
      <c r="TTA110" s="863"/>
      <c r="TTB110" s="863"/>
      <c r="TTC110" s="863"/>
      <c r="TTD110" s="863"/>
      <c r="TTE110" s="863"/>
      <c r="TTF110" s="863"/>
      <c r="TTG110" s="863"/>
      <c r="TTH110" s="863"/>
      <c r="TTI110" s="883"/>
      <c r="TTJ110" s="883"/>
      <c r="TTK110" s="883"/>
      <c r="TTL110" s="883"/>
      <c r="TTM110" s="883"/>
      <c r="TTN110" s="883"/>
      <c r="TTO110" s="883"/>
      <c r="TTP110" s="883"/>
      <c r="TTQ110" s="883"/>
      <c r="TTR110" s="863"/>
      <c r="TTS110" s="863"/>
      <c r="TTT110" s="863"/>
      <c r="TTU110" s="863"/>
      <c r="TTV110" s="863"/>
      <c r="TTW110" s="863"/>
      <c r="TTX110" s="863"/>
      <c r="TTY110" s="863"/>
      <c r="TTZ110" s="863"/>
      <c r="TUA110" s="863"/>
      <c r="TUB110" s="863"/>
      <c r="TUC110" s="863"/>
      <c r="TUD110" s="863"/>
      <c r="TUE110" s="863"/>
      <c r="TUF110" s="863"/>
      <c r="TUG110" s="863"/>
      <c r="TUH110" s="863"/>
      <c r="TUI110" s="863"/>
      <c r="TUJ110" s="863"/>
      <c r="TUK110" s="863"/>
      <c r="TUL110" s="863"/>
      <c r="TUM110" s="863"/>
      <c r="TUN110" s="863"/>
      <c r="TUO110" s="883"/>
      <c r="TUP110" s="883"/>
      <c r="TUQ110" s="883"/>
      <c r="TUR110" s="883"/>
      <c r="TUS110" s="883"/>
      <c r="TUT110" s="883"/>
      <c r="TUU110" s="883"/>
      <c r="TUV110" s="883"/>
      <c r="TUW110" s="883"/>
      <c r="TUX110" s="863"/>
      <c r="TUY110" s="863"/>
      <c r="TUZ110" s="863"/>
      <c r="TVA110" s="863"/>
      <c r="TVB110" s="863"/>
      <c r="TVC110" s="863"/>
      <c r="TVD110" s="863"/>
      <c r="TVE110" s="863"/>
      <c r="TVF110" s="863"/>
      <c r="TVG110" s="863"/>
      <c r="TVH110" s="863"/>
      <c r="TVI110" s="863"/>
      <c r="TVJ110" s="863"/>
      <c r="TVK110" s="863"/>
      <c r="TVL110" s="863"/>
      <c r="TVM110" s="863"/>
      <c r="TVN110" s="863"/>
      <c r="TVO110" s="863"/>
      <c r="TVP110" s="863"/>
      <c r="TVQ110" s="863"/>
      <c r="TVR110" s="863"/>
      <c r="TVS110" s="863"/>
      <c r="TVT110" s="863"/>
      <c r="TVU110" s="883"/>
      <c r="TVV110" s="883"/>
      <c r="TVW110" s="883"/>
      <c r="TVX110" s="883"/>
      <c r="TVY110" s="883"/>
      <c r="TVZ110" s="883"/>
      <c r="TWA110" s="883"/>
      <c r="TWB110" s="883"/>
      <c r="TWC110" s="883"/>
      <c r="TWD110" s="863"/>
      <c r="TWE110" s="863"/>
      <c r="TWF110" s="863"/>
      <c r="TWG110" s="863"/>
      <c r="TWH110" s="863"/>
      <c r="TWI110" s="863"/>
      <c r="TWJ110" s="863"/>
      <c r="TWK110" s="863"/>
      <c r="TWL110" s="863"/>
      <c r="TWM110" s="863"/>
      <c r="TWN110" s="863"/>
      <c r="TWO110" s="863"/>
      <c r="TWP110" s="863"/>
      <c r="TWQ110" s="863"/>
      <c r="TWR110" s="863"/>
      <c r="TWS110" s="863"/>
      <c r="TWT110" s="863"/>
      <c r="TWU110" s="863"/>
      <c r="TWV110" s="863"/>
      <c r="TWW110" s="863"/>
      <c r="TWX110" s="863"/>
      <c r="TWY110" s="863"/>
      <c r="TWZ110" s="863"/>
      <c r="TXA110" s="883"/>
      <c r="TXB110" s="883"/>
      <c r="TXC110" s="883"/>
      <c r="TXD110" s="883"/>
      <c r="TXE110" s="883"/>
      <c r="TXF110" s="883"/>
      <c r="TXG110" s="883"/>
      <c r="TXH110" s="883"/>
      <c r="TXI110" s="883"/>
      <c r="TXJ110" s="863"/>
      <c r="TXK110" s="863"/>
      <c r="TXL110" s="863"/>
      <c r="TXM110" s="863"/>
      <c r="TXN110" s="863"/>
      <c r="TXO110" s="863"/>
      <c r="TXP110" s="863"/>
      <c r="TXQ110" s="863"/>
      <c r="TXR110" s="863"/>
      <c r="TXS110" s="863"/>
      <c r="TXT110" s="863"/>
      <c r="TXU110" s="863"/>
      <c r="TXV110" s="863"/>
      <c r="TXW110" s="863"/>
      <c r="TXX110" s="863"/>
      <c r="TXY110" s="863"/>
      <c r="TXZ110" s="863"/>
      <c r="TYA110" s="863"/>
      <c r="TYB110" s="863"/>
      <c r="TYC110" s="863"/>
      <c r="TYD110" s="863"/>
      <c r="TYE110" s="863"/>
      <c r="TYF110" s="863"/>
      <c r="TYG110" s="883"/>
      <c r="TYH110" s="883"/>
      <c r="TYI110" s="883"/>
      <c r="TYJ110" s="883"/>
      <c r="TYK110" s="883"/>
      <c r="TYL110" s="883"/>
      <c r="TYM110" s="883"/>
      <c r="TYN110" s="883"/>
      <c r="TYO110" s="883"/>
      <c r="TYP110" s="863"/>
      <c r="TYQ110" s="863"/>
      <c r="TYR110" s="863"/>
      <c r="TYS110" s="863"/>
      <c r="TYT110" s="863"/>
      <c r="TYU110" s="863"/>
      <c r="TYV110" s="863"/>
      <c r="TYW110" s="863"/>
      <c r="TYX110" s="863"/>
      <c r="TYY110" s="863"/>
      <c r="TYZ110" s="863"/>
      <c r="TZA110" s="863"/>
      <c r="TZB110" s="863"/>
      <c r="TZC110" s="863"/>
      <c r="TZD110" s="863"/>
      <c r="TZE110" s="863"/>
      <c r="TZF110" s="863"/>
      <c r="TZG110" s="863"/>
      <c r="TZH110" s="863"/>
      <c r="TZI110" s="863"/>
      <c r="TZJ110" s="863"/>
      <c r="TZK110" s="863"/>
      <c r="TZL110" s="863"/>
      <c r="TZM110" s="883"/>
      <c r="TZN110" s="883"/>
      <c r="TZO110" s="883"/>
      <c r="TZP110" s="883"/>
      <c r="TZQ110" s="883"/>
      <c r="TZR110" s="883"/>
      <c r="TZS110" s="883"/>
      <c r="TZT110" s="883"/>
      <c r="TZU110" s="883"/>
      <c r="TZV110" s="863"/>
      <c r="TZW110" s="863"/>
      <c r="TZX110" s="863"/>
      <c r="TZY110" s="863"/>
      <c r="TZZ110" s="863"/>
      <c r="UAA110" s="863"/>
      <c r="UAB110" s="863"/>
      <c r="UAC110" s="863"/>
      <c r="UAD110" s="863"/>
      <c r="UAE110" s="863"/>
      <c r="UAF110" s="863"/>
      <c r="UAG110" s="863"/>
      <c r="UAH110" s="863"/>
      <c r="UAI110" s="863"/>
      <c r="UAJ110" s="863"/>
      <c r="UAK110" s="863"/>
      <c r="UAL110" s="863"/>
      <c r="UAM110" s="863"/>
      <c r="UAN110" s="863"/>
      <c r="UAO110" s="863"/>
      <c r="UAP110" s="863"/>
      <c r="UAQ110" s="863"/>
      <c r="UAR110" s="863"/>
      <c r="UAS110" s="883"/>
      <c r="UAT110" s="883"/>
      <c r="UAU110" s="883"/>
      <c r="UAV110" s="883"/>
      <c r="UAW110" s="883"/>
      <c r="UAX110" s="883"/>
      <c r="UAY110" s="883"/>
      <c r="UAZ110" s="883"/>
      <c r="UBA110" s="883"/>
      <c r="UBB110" s="863"/>
      <c r="UBC110" s="863"/>
      <c r="UBD110" s="863"/>
      <c r="UBE110" s="863"/>
      <c r="UBF110" s="863"/>
      <c r="UBG110" s="863"/>
      <c r="UBH110" s="863"/>
      <c r="UBI110" s="863"/>
      <c r="UBJ110" s="863"/>
      <c r="UBK110" s="863"/>
      <c r="UBL110" s="863"/>
      <c r="UBM110" s="863"/>
      <c r="UBN110" s="863"/>
      <c r="UBO110" s="863"/>
      <c r="UBP110" s="863"/>
      <c r="UBQ110" s="863"/>
      <c r="UBR110" s="863"/>
      <c r="UBS110" s="863"/>
      <c r="UBT110" s="863"/>
      <c r="UBU110" s="863"/>
      <c r="UBV110" s="863"/>
      <c r="UBW110" s="863"/>
      <c r="UBX110" s="863"/>
      <c r="UBY110" s="883"/>
      <c r="UBZ110" s="883"/>
      <c r="UCA110" s="883"/>
      <c r="UCB110" s="883"/>
      <c r="UCC110" s="883"/>
      <c r="UCD110" s="883"/>
      <c r="UCE110" s="883"/>
      <c r="UCF110" s="883"/>
      <c r="UCG110" s="883"/>
      <c r="UCH110" s="863"/>
      <c r="UCI110" s="863"/>
      <c r="UCJ110" s="863"/>
      <c r="UCK110" s="863"/>
      <c r="UCL110" s="863"/>
      <c r="UCM110" s="863"/>
      <c r="UCN110" s="863"/>
      <c r="UCO110" s="863"/>
      <c r="UCP110" s="863"/>
      <c r="UCQ110" s="863"/>
      <c r="UCR110" s="863"/>
      <c r="UCS110" s="863"/>
      <c r="UCT110" s="863"/>
      <c r="UCU110" s="863"/>
      <c r="UCV110" s="863"/>
      <c r="UCW110" s="863"/>
      <c r="UCX110" s="863"/>
      <c r="UCY110" s="863"/>
      <c r="UCZ110" s="863"/>
      <c r="UDA110" s="863"/>
      <c r="UDB110" s="863"/>
      <c r="UDC110" s="863"/>
      <c r="UDD110" s="863"/>
      <c r="UDE110" s="883"/>
      <c r="UDF110" s="883"/>
      <c r="UDG110" s="883"/>
      <c r="UDH110" s="883"/>
      <c r="UDI110" s="883"/>
      <c r="UDJ110" s="883"/>
      <c r="UDK110" s="883"/>
      <c r="UDL110" s="883"/>
      <c r="UDM110" s="883"/>
      <c r="UDN110" s="863"/>
      <c r="UDO110" s="863"/>
      <c r="UDP110" s="863"/>
      <c r="UDQ110" s="863"/>
      <c r="UDR110" s="863"/>
      <c r="UDS110" s="863"/>
      <c r="UDT110" s="863"/>
      <c r="UDU110" s="863"/>
      <c r="UDV110" s="863"/>
      <c r="UDW110" s="863"/>
      <c r="UDX110" s="863"/>
      <c r="UDY110" s="863"/>
      <c r="UDZ110" s="863"/>
      <c r="UEA110" s="863"/>
      <c r="UEB110" s="863"/>
      <c r="UEC110" s="863"/>
      <c r="UED110" s="863"/>
      <c r="UEE110" s="863"/>
      <c r="UEF110" s="863"/>
      <c r="UEG110" s="863"/>
      <c r="UEH110" s="863"/>
      <c r="UEI110" s="863"/>
      <c r="UEJ110" s="863"/>
      <c r="UEK110" s="883"/>
      <c r="UEL110" s="883"/>
      <c r="UEM110" s="883"/>
      <c r="UEN110" s="883"/>
      <c r="UEO110" s="883"/>
      <c r="UEP110" s="883"/>
      <c r="UEQ110" s="883"/>
      <c r="UER110" s="883"/>
      <c r="UES110" s="883"/>
      <c r="UET110" s="863"/>
      <c r="UEU110" s="863"/>
      <c r="UEV110" s="863"/>
      <c r="UEW110" s="863"/>
      <c r="UEX110" s="863"/>
      <c r="UEY110" s="863"/>
      <c r="UEZ110" s="863"/>
      <c r="UFA110" s="863"/>
      <c r="UFB110" s="863"/>
      <c r="UFC110" s="863"/>
      <c r="UFD110" s="863"/>
      <c r="UFE110" s="863"/>
      <c r="UFF110" s="863"/>
      <c r="UFG110" s="863"/>
      <c r="UFH110" s="863"/>
      <c r="UFI110" s="863"/>
      <c r="UFJ110" s="863"/>
      <c r="UFK110" s="863"/>
      <c r="UFL110" s="863"/>
      <c r="UFM110" s="863"/>
      <c r="UFN110" s="863"/>
      <c r="UFO110" s="863"/>
      <c r="UFP110" s="863"/>
      <c r="UFQ110" s="883"/>
      <c r="UFR110" s="883"/>
      <c r="UFS110" s="883"/>
      <c r="UFT110" s="883"/>
      <c r="UFU110" s="883"/>
      <c r="UFV110" s="883"/>
      <c r="UFW110" s="883"/>
      <c r="UFX110" s="883"/>
      <c r="UFY110" s="883"/>
      <c r="UFZ110" s="863"/>
      <c r="UGA110" s="863"/>
      <c r="UGB110" s="863"/>
      <c r="UGC110" s="863"/>
      <c r="UGD110" s="863"/>
      <c r="UGE110" s="863"/>
      <c r="UGF110" s="863"/>
      <c r="UGG110" s="863"/>
      <c r="UGH110" s="863"/>
      <c r="UGI110" s="863"/>
      <c r="UGJ110" s="863"/>
      <c r="UGK110" s="863"/>
      <c r="UGL110" s="863"/>
      <c r="UGM110" s="863"/>
      <c r="UGN110" s="863"/>
      <c r="UGO110" s="863"/>
      <c r="UGP110" s="863"/>
      <c r="UGQ110" s="863"/>
      <c r="UGR110" s="863"/>
      <c r="UGS110" s="863"/>
      <c r="UGT110" s="863"/>
      <c r="UGU110" s="863"/>
      <c r="UGV110" s="863"/>
      <c r="UGW110" s="883"/>
      <c r="UGX110" s="883"/>
      <c r="UGY110" s="883"/>
      <c r="UGZ110" s="883"/>
      <c r="UHA110" s="883"/>
      <c r="UHB110" s="883"/>
      <c r="UHC110" s="883"/>
      <c r="UHD110" s="883"/>
      <c r="UHE110" s="883"/>
      <c r="UHF110" s="863"/>
      <c r="UHG110" s="863"/>
      <c r="UHH110" s="863"/>
      <c r="UHI110" s="863"/>
      <c r="UHJ110" s="863"/>
      <c r="UHK110" s="863"/>
      <c r="UHL110" s="863"/>
      <c r="UHM110" s="863"/>
      <c r="UHN110" s="863"/>
      <c r="UHO110" s="863"/>
      <c r="UHP110" s="863"/>
      <c r="UHQ110" s="863"/>
      <c r="UHR110" s="863"/>
      <c r="UHS110" s="863"/>
      <c r="UHT110" s="863"/>
      <c r="UHU110" s="863"/>
      <c r="UHV110" s="863"/>
      <c r="UHW110" s="863"/>
      <c r="UHX110" s="863"/>
      <c r="UHY110" s="863"/>
      <c r="UHZ110" s="863"/>
      <c r="UIA110" s="863"/>
      <c r="UIB110" s="863"/>
      <c r="UIC110" s="883"/>
      <c r="UID110" s="883"/>
      <c r="UIE110" s="883"/>
      <c r="UIF110" s="883"/>
      <c r="UIG110" s="883"/>
      <c r="UIH110" s="883"/>
      <c r="UII110" s="883"/>
      <c r="UIJ110" s="883"/>
      <c r="UIK110" s="883"/>
      <c r="UIL110" s="863"/>
      <c r="UIM110" s="863"/>
      <c r="UIN110" s="863"/>
      <c r="UIO110" s="863"/>
      <c r="UIP110" s="863"/>
      <c r="UIQ110" s="863"/>
      <c r="UIR110" s="863"/>
      <c r="UIS110" s="863"/>
      <c r="UIT110" s="863"/>
      <c r="UIU110" s="863"/>
      <c r="UIV110" s="863"/>
      <c r="UIW110" s="863"/>
      <c r="UIX110" s="863"/>
      <c r="UIY110" s="863"/>
      <c r="UIZ110" s="863"/>
      <c r="UJA110" s="863"/>
      <c r="UJB110" s="863"/>
      <c r="UJC110" s="863"/>
      <c r="UJD110" s="863"/>
      <c r="UJE110" s="863"/>
      <c r="UJF110" s="863"/>
      <c r="UJG110" s="863"/>
      <c r="UJH110" s="863"/>
      <c r="UJI110" s="883"/>
      <c r="UJJ110" s="883"/>
      <c r="UJK110" s="883"/>
      <c r="UJL110" s="883"/>
      <c r="UJM110" s="883"/>
      <c r="UJN110" s="883"/>
      <c r="UJO110" s="883"/>
      <c r="UJP110" s="883"/>
      <c r="UJQ110" s="883"/>
      <c r="UJR110" s="863"/>
      <c r="UJS110" s="863"/>
      <c r="UJT110" s="863"/>
      <c r="UJU110" s="863"/>
      <c r="UJV110" s="863"/>
      <c r="UJW110" s="863"/>
      <c r="UJX110" s="863"/>
      <c r="UJY110" s="863"/>
      <c r="UJZ110" s="863"/>
      <c r="UKA110" s="863"/>
      <c r="UKB110" s="863"/>
      <c r="UKC110" s="863"/>
      <c r="UKD110" s="863"/>
      <c r="UKE110" s="863"/>
      <c r="UKF110" s="863"/>
      <c r="UKG110" s="863"/>
      <c r="UKH110" s="863"/>
      <c r="UKI110" s="863"/>
      <c r="UKJ110" s="863"/>
      <c r="UKK110" s="863"/>
      <c r="UKL110" s="863"/>
      <c r="UKM110" s="863"/>
      <c r="UKN110" s="863"/>
      <c r="UKO110" s="883"/>
      <c r="UKP110" s="883"/>
      <c r="UKQ110" s="883"/>
      <c r="UKR110" s="883"/>
      <c r="UKS110" s="883"/>
      <c r="UKT110" s="883"/>
      <c r="UKU110" s="883"/>
      <c r="UKV110" s="883"/>
      <c r="UKW110" s="883"/>
      <c r="UKX110" s="863"/>
      <c r="UKY110" s="863"/>
      <c r="UKZ110" s="863"/>
      <c r="ULA110" s="863"/>
      <c r="ULB110" s="863"/>
      <c r="ULC110" s="863"/>
      <c r="ULD110" s="863"/>
      <c r="ULE110" s="863"/>
      <c r="ULF110" s="863"/>
      <c r="ULG110" s="863"/>
      <c r="ULH110" s="863"/>
      <c r="ULI110" s="863"/>
      <c r="ULJ110" s="863"/>
      <c r="ULK110" s="863"/>
      <c r="ULL110" s="863"/>
      <c r="ULM110" s="863"/>
      <c r="ULN110" s="863"/>
      <c r="ULO110" s="863"/>
      <c r="ULP110" s="863"/>
      <c r="ULQ110" s="863"/>
      <c r="ULR110" s="863"/>
      <c r="ULS110" s="863"/>
      <c r="ULT110" s="863"/>
      <c r="ULU110" s="883"/>
      <c r="ULV110" s="883"/>
      <c r="ULW110" s="883"/>
      <c r="ULX110" s="883"/>
      <c r="ULY110" s="883"/>
      <c r="ULZ110" s="883"/>
      <c r="UMA110" s="883"/>
      <c r="UMB110" s="883"/>
      <c r="UMC110" s="883"/>
      <c r="UMD110" s="863"/>
      <c r="UME110" s="863"/>
      <c r="UMF110" s="863"/>
      <c r="UMG110" s="863"/>
      <c r="UMH110" s="863"/>
      <c r="UMI110" s="863"/>
      <c r="UMJ110" s="863"/>
      <c r="UMK110" s="863"/>
      <c r="UML110" s="863"/>
      <c r="UMM110" s="863"/>
      <c r="UMN110" s="863"/>
      <c r="UMO110" s="863"/>
      <c r="UMP110" s="863"/>
      <c r="UMQ110" s="863"/>
      <c r="UMR110" s="863"/>
      <c r="UMS110" s="863"/>
      <c r="UMT110" s="863"/>
      <c r="UMU110" s="863"/>
      <c r="UMV110" s="863"/>
      <c r="UMW110" s="863"/>
      <c r="UMX110" s="863"/>
      <c r="UMY110" s="863"/>
      <c r="UMZ110" s="863"/>
      <c r="UNA110" s="883"/>
      <c r="UNB110" s="883"/>
      <c r="UNC110" s="883"/>
      <c r="UND110" s="883"/>
      <c r="UNE110" s="883"/>
      <c r="UNF110" s="883"/>
      <c r="UNG110" s="883"/>
      <c r="UNH110" s="883"/>
      <c r="UNI110" s="883"/>
      <c r="UNJ110" s="863"/>
      <c r="UNK110" s="863"/>
      <c r="UNL110" s="863"/>
      <c r="UNM110" s="863"/>
      <c r="UNN110" s="863"/>
      <c r="UNO110" s="863"/>
      <c r="UNP110" s="863"/>
      <c r="UNQ110" s="863"/>
      <c r="UNR110" s="863"/>
      <c r="UNS110" s="863"/>
      <c r="UNT110" s="863"/>
      <c r="UNU110" s="863"/>
      <c r="UNV110" s="863"/>
      <c r="UNW110" s="863"/>
      <c r="UNX110" s="863"/>
      <c r="UNY110" s="863"/>
      <c r="UNZ110" s="863"/>
      <c r="UOA110" s="863"/>
      <c r="UOB110" s="863"/>
      <c r="UOC110" s="863"/>
      <c r="UOD110" s="863"/>
      <c r="UOE110" s="863"/>
      <c r="UOF110" s="863"/>
      <c r="UOG110" s="883"/>
      <c r="UOH110" s="883"/>
      <c r="UOI110" s="883"/>
      <c r="UOJ110" s="883"/>
      <c r="UOK110" s="883"/>
      <c r="UOL110" s="883"/>
      <c r="UOM110" s="883"/>
      <c r="UON110" s="883"/>
      <c r="UOO110" s="883"/>
      <c r="UOP110" s="863"/>
      <c r="UOQ110" s="863"/>
      <c r="UOR110" s="863"/>
      <c r="UOS110" s="863"/>
      <c r="UOT110" s="863"/>
      <c r="UOU110" s="863"/>
      <c r="UOV110" s="863"/>
      <c r="UOW110" s="863"/>
      <c r="UOX110" s="863"/>
      <c r="UOY110" s="863"/>
      <c r="UOZ110" s="863"/>
      <c r="UPA110" s="863"/>
      <c r="UPB110" s="863"/>
      <c r="UPC110" s="863"/>
      <c r="UPD110" s="863"/>
      <c r="UPE110" s="863"/>
      <c r="UPF110" s="863"/>
      <c r="UPG110" s="863"/>
      <c r="UPH110" s="863"/>
      <c r="UPI110" s="863"/>
      <c r="UPJ110" s="863"/>
      <c r="UPK110" s="863"/>
      <c r="UPL110" s="863"/>
      <c r="UPM110" s="883"/>
      <c r="UPN110" s="883"/>
      <c r="UPO110" s="883"/>
      <c r="UPP110" s="883"/>
      <c r="UPQ110" s="883"/>
      <c r="UPR110" s="883"/>
      <c r="UPS110" s="883"/>
      <c r="UPT110" s="883"/>
      <c r="UPU110" s="883"/>
      <c r="UPV110" s="863"/>
      <c r="UPW110" s="863"/>
      <c r="UPX110" s="863"/>
      <c r="UPY110" s="863"/>
      <c r="UPZ110" s="863"/>
      <c r="UQA110" s="863"/>
      <c r="UQB110" s="863"/>
      <c r="UQC110" s="863"/>
      <c r="UQD110" s="863"/>
      <c r="UQE110" s="863"/>
      <c r="UQF110" s="863"/>
      <c r="UQG110" s="863"/>
      <c r="UQH110" s="863"/>
      <c r="UQI110" s="863"/>
      <c r="UQJ110" s="863"/>
      <c r="UQK110" s="863"/>
      <c r="UQL110" s="863"/>
      <c r="UQM110" s="863"/>
      <c r="UQN110" s="863"/>
      <c r="UQO110" s="863"/>
      <c r="UQP110" s="863"/>
      <c r="UQQ110" s="863"/>
      <c r="UQR110" s="863"/>
      <c r="UQS110" s="883"/>
      <c r="UQT110" s="883"/>
      <c r="UQU110" s="883"/>
      <c r="UQV110" s="883"/>
      <c r="UQW110" s="883"/>
      <c r="UQX110" s="883"/>
      <c r="UQY110" s="883"/>
      <c r="UQZ110" s="883"/>
      <c r="URA110" s="883"/>
      <c r="URB110" s="863"/>
      <c r="URC110" s="863"/>
      <c r="URD110" s="863"/>
      <c r="URE110" s="863"/>
      <c r="URF110" s="863"/>
      <c r="URG110" s="863"/>
      <c r="URH110" s="863"/>
      <c r="URI110" s="863"/>
      <c r="URJ110" s="863"/>
      <c r="URK110" s="863"/>
      <c r="URL110" s="863"/>
      <c r="URM110" s="863"/>
      <c r="URN110" s="863"/>
      <c r="URO110" s="863"/>
      <c r="URP110" s="863"/>
      <c r="URQ110" s="863"/>
      <c r="URR110" s="863"/>
      <c r="URS110" s="863"/>
      <c r="URT110" s="863"/>
      <c r="URU110" s="863"/>
      <c r="URV110" s="863"/>
      <c r="URW110" s="863"/>
      <c r="URX110" s="863"/>
      <c r="URY110" s="883"/>
      <c r="URZ110" s="883"/>
      <c r="USA110" s="883"/>
      <c r="USB110" s="883"/>
      <c r="USC110" s="883"/>
      <c r="USD110" s="883"/>
      <c r="USE110" s="883"/>
      <c r="USF110" s="883"/>
      <c r="USG110" s="883"/>
      <c r="USH110" s="863"/>
      <c r="USI110" s="863"/>
      <c r="USJ110" s="863"/>
      <c r="USK110" s="863"/>
      <c r="USL110" s="863"/>
      <c r="USM110" s="863"/>
      <c r="USN110" s="863"/>
      <c r="USO110" s="863"/>
      <c r="USP110" s="863"/>
      <c r="USQ110" s="863"/>
      <c r="USR110" s="863"/>
      <c r="USS110" s="863"/>
      <c r="UST110" s="863"/>
      <c r="USU110" s="863"/>
      <c r="USV110" s="863"/>
      <c r="USW110" s="863"/>
      <c r="USX110" s="863"/>
      <c r="USY110" s="863"/>
      <c r="USZ110" s="863"/>
      <c r="UTA110" s="863"/>
      <c r="UTB110" s="863"/>
      <c r="UTC110" s="863"/>
      <c r="UTD110" s="863"/>
      <c r="UTE110" s="883"/>
      <c r="UTF110" s="883"/>
      <c r="UTG110" s="883"/>
      <c r="UTH110" s="883"/>
      <c r="UTI110" s="883"/>
      <c r="UTJ110" s="883"/>
      <c r="UTK110" s="883"/>
      <c r="UTL110" s="883"/>
      <c r="UTM110" s="883"/>
      <c r="UTN110" s="863"/>
      <c r="UTO110" s="863"/>
      <c r="UTP110" s="863"/>
      <c r="UTQ110" s="863"/>
      <c r="UTR110" s="863"/>
      <c r="UTS110" s="863"/>
      <c r="UTT110" s="863"/>
      <c r="UTU110" s="863"/>
      <c r="UTV110" s="863"/>
      <c r="UTW110" s="863"/>
      <c r="UTX110" s="863"/>
      <c r="UTY110" s="863"/>
      <c r="UTZ110" s="863"/>
      <c r="UUA110" s="863"/>
      <c r="UUB110" s="863"/>
      <c r="UUC110" s="863"/>
      <c r="UUD110" s="863"/>
      <c r="UUE110" s="863"/>
      <c r="UUF110" s="863"/>
      <c r="UUG110" s="863"/>
      <c r="UUH110" s="863"/>
      <c r="UUI110" s="863"/>
      <c r="UUJ110" s="863"/>
      <c r="UUK110" s="883"/>
      <c r="UUL110" s="883"/>
      <c r="UUM110" s="883"/>
      <c r="UUN110" s="883"/>
      <c r="UUO110" s="883"/>
      <c r="UUP110" s="883"/>
      <c r="UUQ110" s="883"/>
      <c r="UUR110" s="883"/>
      <c r="UUS110" s="883"/>
      <c r="UUT110" s="863"/>
      <c r="UUU110" s="863"/>
      <c r="UUV110" s="863"/>
      <c r="UUW110" s="863"/>
      <c r="UUX110" s="863"/>
      <c r="UUY110" s="863"/>
      <c r="UUZ110" s="863"/>
      <c r="UVA110" s="863"/>
      <c r="UVB110" s="863"/>
      <c r="UVC110" s="863"/>
      <c r="UVD110" s="863"/>
      <c r="UVE110" s="863"/>
      <c r="UVF110" s="863"/>
      <c r="UVG110" s="863"/>
      <c r="UVH110" s="863"/>
      <c r="UVI110" s="863"/>
      <c r="UVJ110" s="863"/>
      <c r="UVK110" s="863"/>
      <c r="UVL110" s="863"/>
      <c r="UVM110" s="863"/>
      <c r="UVN110" s="863"/>
      <c r="UVO110" s="863"/>
      <c r="UVP110" s="863"/>
      <c r="UVQ110" s="883"/>
      <c r="UVR110" s="883"/>
      <c r="UVS110" s="883"/>
      <c r="UVT110" s="883"/>
      <c r="UVU110" s="883"/>
      <c r="UVV110" s="883"/>
      <c r="UVW110" s="883"/>
      <c r="UVX110" s="883"/>
      <c r="UVY110" s="883"/>
      <c r="UVZ110" s="863"/>
      <c r="UWA110" s="863"/>
      <c r="UWB110" s="863"/>
      <c r="UWC110" s="863"/>
      <c r="UWD110" s="863"/>
      <c r="UWE110" s="863"/>
      <c r="UWF110" s="863"/>
      <c r="UWG110" s="863"/>
      <c r="UWH110" s="863"/>
      <c r="UWI110" s="863"/>
      <c r="UWJ110" s="863"/>
      <c r="UWK110" s="863"/>
      <c r="UWL110" s="863"/>
      <c r="UWM110" s="863"/>
      <c r="UWN110" s="863"/>
      <c r="UWO110" s="863"/>
      <c r="UWP110" s="863"/>
      <c r="UWQ110" s="863"/>
      <c r="UWR110" s="863"/>
      <c r="UWS110" s="863"/>
      <c r="UWT110" s="863"/>
      <c r="UWU110" s="863"/>
      <c r="UWV110" s="863"/>
      <c r="UWW110" s="883"/>
      <c r="UWX110" s="883"/>
      <c r="UWY110" s="883"/>
      <c r="UWZ110" s="883"/>
      <c r="UXA110" s="883"/>
      <c r="UXB110" s="883"/>
      <c r="UXC110" s="883"/>
      <c r="UXD110" s="883"/>
      <c r="UXE110" s="883"/>
      <c r="UXF110" s="863"/>
      <c r="UXG110" s="863"/>
      <c r="UXH110" s="863"/>
      <c r="UXI110" s="863"/>
      <c r="UXJ110" s="863"/>
      <c r="UXK110" s="863"/>
      <c r="UXL110" s="863"/>
      <c r="UXM110" s="863"/>
      <c r="UXN110" s="863"/>
      <c r="UXO110" s="863"/>
      <c r="UXP110" s="863"/>
      <c r="UXQ110" s="863"/>
      <c r="UXR110" s="863"/>
      <c r="UXS110" s="863"/>
      <c r="UXT110" s="863"/>
      <c r="UXU110" s="863"/>
      <c r="UXV110" s="863"/>
      <c r="UXW110" s="863"/>
      <c r="UXX110" s="863"/>
      <c r="UXY110" s="863"/>
      <c r="UXZ110" s="863"/>
      <c r="UYA110" s="863"/>
      <c r="UYB110" s="863"/>
      <c r="UYC110" s="883"/>
      <c r="UYD110" s="883"/>
      <c r="UYE110" s="883"/>
      <c r="UYF110" s="883"/>
      <c r="UYG110" s="883"/>
      <c r="UYH110" s="883"/>
      <c r="UYI110" s="883"/>
      <c r="UYJ110" s="883"/>
      <c r="UYK110" s="883"/>
      <c r="UYL110" s="863"/>
      <c r="UYM110" s="863"/>
      <c r="UYN110" s="863"/>
      <c r="UYO110" s="863"/>
      <c r="UYP110" s="863"/>
      <c r="UYQ110" s="863"/>
      <c r="UYR110" s="863"/>
      <c r="UYS110" s="863"/>
      <c r="UYT110" s="863"/>
      <c r="UYU110" s="863"/>
      <c r="UYV110" s="863"/>
      <c r="UYW110" s="863"/>
      <c r="UYX110" s="863"/>
      <c r="UYY110" s="863"/>
      <c r="UYZ110" s="863"/>
      <c r="UZA110" s="863"/>
      <c r="UZB110" s="863"/>
      <c r="UZC110" s="863"/>
      <c r="UZD110" s="863"/>
      <c r="UZE110" s="863"/>
      <c r="UZF110" s="863"/>
      <c r="UZG110" s="863"/>
      <c r="UZH110" s="863"/>
      <c r="UZI110" s="883"/>
      <c r="UZJ110" s="883"/>
      <c r="UZK110" s="883"/>
      <c r="UZL110" s="883"/>
      <c r="UZM110" s="883"/>
      <c r="UZN110" s="883"/>
      <c r="UZO110" s="883"/>
      <c r="UZP110" s="883"/>
      <c r="UZQ110" s="883"/>
      <c r="UZR110" s="863"/>
      <c r="UZS110" s="863"/>
      <c r="UZT110" s="863"/>
      <c r="UZU110" s="863"/>
      <c r="UZV110" s="863"/>
      <c r="UZW110" s="863"/>
      <c r="UZX110" s="863"/>
      <c r="UZY110" s="863"/>
      <c r="UZZ110" s="863"/>
      <c r="VAA110" s="863"/>
      <c r="VAB110" s="863"/>
      <c r="VAC110" s="863"/>
      <c r="VAD110" s="863"/>
      <c r="VAE110" s="863"/>
      <c r="VAF110" s="863"/>
      <c r="VAG110" s="863"/>
      <c r="VAH110" s="863"/>
      <c r="VAI110" s="863"/>
      <c r="VAJ110" s="863"/>
      <c r="VAK110" s="863"/>
      <c r="VAL110" s="863"/>
      <c r="VAM110" s="863"/>
      <c r="VAN110" s="863"/>
      <c r="VAO110" s="883"/>
      <c r="VAP110" s="883"/>
      <c r="VAQ110" s="883"/>
      <c r="VAR110" s="883"/>
      <c r="VAS110" s="883"/>
      <c r="VAT110" s="883"/>
      <c r="VAU110" s="883"/>
      <c r="VAV110" s="883"/>
      <c r="VAW110" s="883"/>
      <c r="VAX110" s="863"/>
      <c r="VAY110" s="863"/>
      <c r="VAZ110" s="863"/>
      <c r="VBA110" s="863"/>
      <c r="VBB110" s="863"/>
      <c r="VBC110" s="863"/>
      <c r="VBD110" s="863"/>
      <c r="VBE110" s="863"/>
      <c r="VBF110" s="863"/>
      <c r="VBG110" s="863"/>
      <c r="VBH110" s="863"/>
      <c r="VBI110" s="863"/>
      <c r="VBJ110" s="863"/>
      <c r="VBK110" s="863"/>
      <c r="VBL110" s="863"/>
      <c r="VBM110" s="863"/>
      <c r="VBN110" s="863"/>
      <c r="VBO110" s="863"/>
      <c r="VBP110" s="863"/>
      <c r="VBQ110" s="863"/>
      <c r="VBR110" s="863"/>
      <c r="VBS110" s="863"/>
      <c r="VBT110" s="863"/>
      <c r="VBU110" s="883"/>
      <c r="VBV110" s="883"/>
      <c r="VBW110" s="883"/>
      <c r="VBX110" s="883"/>
      <c r="VBY110" s="883"/>
      <c r="VBZ110" s="883"/>
      <c r="VCA110" s="883"/>
      <c r="VCB110" s="883"/>
      <c r="VCC110" s="883"/>
      <c r="VCD110" s="863"/>
      <c r="VCE110" s="863"/>
      <c r="VCF110" s="863"/>
      <c r="VCG110" s="863"/>
      <c r="VCH110" s="863"/>
      <c r="VCI110" s="863"/>
      <c r="VCJ110" s="863"/>
      <c r="VCK110" s="863"/>
      <c r="VCL110" s="863"/>
      <c r="VCM110" s="863"/>
      <c r="VCN110" s="863"/>
      <c r="VCO110" s="863"/>
      <c r="VCP110" s="863"/>
      <c r="VCQ110" s="863"/>
      <c r="VCR110" s="863"/>
      <c r="VCS110" s="863"/>
      <c r="VCT110" s="863"/>
      <c r="VCU110" s="863"/>
      <c r="VCV110" s="863"/>
      <c r="VCW110" s="863"/>
      <c r="VCX110" s="863"/>
      <c r="VCY110" s="863"/>
      <c r="VCZ110" s="863"/>
      <c r="VDA110" s="883"/>
      <c r="VDB110" s="883"/>
      <c r="VDC110" s="883"/>
      <c r="VDD110" s="883"/>
      <c r="VDE110" s="883"/>
      <c r="VDF110" s="883"/>
      <c r="VDG110" s="883"/>
      <c r="VDH110" s="883"/>
      <c r="VDI110" s="883"/>
      <c r="VDJ110" s="863"/>
      <c r="VDK110" s="863"/>
      <c r="VDL110" s="863"/>
      <c r="VDM110" s="863"/>
      <c r="VDN110" s="863"/>
      <c r="VDO110" s="863"/>
      <c r="VDP110" s="863"/>
      <c r="VDQ110" s="863"/>
      <c r="VDR110" s="863"/>
      <c r="VDS110" s="863"/>
      <c r="VDT110" s="863"/>
      <c r="VDU110" s="863"/>
      <c r="VDV110" s="863"/>
      <c r="VDW110" s="863"/>
      <c r="VDX110" s="863"/>
      <c r="VDY110" s="863"/>
      <c r="VDZ110" s="863"/>
      <c r="VEA110" s="863"/>
      <c r="VEB110" s="863"/>
      <c r="VEC110" s="863"/>
      <c r="VED110" s="863"/>
      <c r="VEE110" s="863"/>
      <c r="VEF110" s="863"/>
      <c r="VEG110" s="883"/>
      <c r="VEH110" s="883"/>
      <c r="VEI110" s="883"/>
      <c r="VEJ110" s="883"/>
      <c r="VEK110" s="883"/>
      <c r="VEL110" s="883"/>
      <c r="VEM110" s="883"/>
      <c r="VEN110" s="883"/>
      <c r="VEO110" s="883"/>
      <c r="VEP110" s="863"/>
      <c r="VEQ110" s="863"/>
      <c r="VER110" s="863"/>
      <c r="VES110" s="863"/>
      <c r="VET110" s="863"/>
      <c r="VEU110" s="863"/>
      <c r="VEV110" s="863"/>
      <c r="VEW110" s="863"/>
      <c r="VEX110" s="863"/>
      <c r="VEY110" s="863"/>
      <c r="VEZ110" s="863"/>
      <c r="VFA110" s="863"/>
      <c r="VFB110" s="863"/>
      <c r="VFC110" s="863"/>
      <c r="VFD110" s="863"/>
      <c r="VFE110" s="863"/>
      <c r="VFF110" s="863"/>
      <c r="VFG110" s="863"/>
      <c r="VFH110" s="863"/>
      <c r="VFI110" s="863"/>
      <c r="VFJ110" s="863"/>
      <c r="VFK110" s="863"/>
      <c r="VFL110" s="863"/>
      <c r="VFM110" s="883"/>
      <c r="VFN110" s="883"/>
      <c r="VFO110" s="883"/>
      <c r="VFP110" s="883"/>
      <c r="VFQ110" s="883"/>
      <c r="VFR110" s="883"/>
      <c r="VFS110" s="883"/>
      <c r="VFT110" s="883"/>
      <c r="VFU110" s="883"/>
      <c r="VFV110" s="863"/>
      <c r="VFW110" s="863"/>
      <c r="VFX110" s="863"/>
      <c r="VFY110" s="863"/>
      <c r="VFZ110" s="863"/>
      <c r="VGA110" s="863"/>
      <c r="VGB110" s="863"/>
      <c r="VGC110" s="863"/>
      <c r="VGD110" s="863"/>
      <c r="VGE110" s="863"/>
      <c r="VGF110" s="863"/>
      <c r="VGG110" s="863"/>
      <c r="VGH110" s="863"/>
      <c r="VGI110" s="863"/>
      <c r="VGJ110" s="863"/>
      <c r="VGK110" s="863"/>
      <c r="VGL110" s="863"/>
      <c r="VGM110" s="863"/>
      <c r="VGN110" s="863"/>
      <c r="VGO110" s="863"/>
      <c r="VGP110" s="863"/>
      <c r="VGQ110" s="863"/>
      <c r="VGR110" s="863"/>
      <c r="VGS110" s="883"/>
      <c r="VGT110" s="883"/>
      <c r="VGU110" s="883"/>
      <c r="VGV110" s="883"/>
      <c r="VGW110" s="883"/>
      <c r="VGX110" s="883"/>
      <c r="VGY110" s="883"/>
      <c r="VGZ110" s="883"/>
      <c r="VHA110" s="883"/>
      <c r="VHB110" s="863"/>
      <c r="VHC110" s="863"/>
      <c r="VHD110" s="863"/>
      <c r="VHE110" s="863"/>
      <c r="VHF110" s="863"/>
      <c r="VHG110" s="863"/>
      <c r="VHH110" s="863"/>
      <c r="VHI110" s="863"/>
      <c r="VHJ110" s="863"/>
      <c r="VHK110" s="863"/>
      <c r="VHL110" s="863"/>
      <c r="VHM110" s="863"/>
      <c r="VHN110" s="863"/>
      <c r="VHO110" s="863"/>
      <c r="VHP110" s="863"/>
      <c r="VHQ110" s="863"/>
      <c r="VHR110" s="863"/>
      <c r="VHS110" s="863"/>
      <c r="VHT110" s="863"/>
      <c r="VHU110" s="863"/>
      <c r="VHV110" s="863"/>
      <c r="VHW110" s="863"/>
      <c r="VHX110" s="863"/>
      <c r="VHY110" s="883"/>
      <c r="VHZ110" s="883"/>
      <c r="VIA110" s="883"/>
      <c r="VIB110" s="883"/>
      <c r="VIC110" s="883"/>
      <c r="VID110" s="883"/>
      <c r="VIE110" s="883"/>
      <c r="VIF110" s="883"/>
      <c r="VIG110" s="883"/>
      <c r="VIH110" s="863"/>
      <c r="VII110" s="863"/>
      <c r="VIJ110" s="863"/>
      <c r="VIK110" s="863"/>
      <c r="VIL110" s="863"/>
      <c r="VIM110" s="863"/>
      <c r="VIN110" s="863"/>
      <c r="VIO110" s="863"/>
      <c r="VIP110" s="863"/>
      <c r="VIQ110" s="863"/>
      <c r="VIR110" s="863"/>
      <c r="VIS110" s="863"/>
      <c r="VIT110" s="863"/>
      <c r="VIU110" s="863"/>
      <c r="VIV110" s="863"/>
      <c r="VIW110" s="863"/>
      <c r="VIX110" s="863"/>
      <c r="VIY110" s="863"/>
      <c r="VIZ110" s="863"/>
      <c r="VJA110" s="863"/>
      <c r="VJB110" s="863"/>
      <c r="VJC110" s="863"/>
      <c r="VJD110" s="863"/>
      <c r="VJE110" s="883"/>
      <c r="VJF110" s="883"/>
      <c r="VJG110" s="883"/>
      <c r="VJH110" s="883"/>
      <c r="VJI110" s="883"/>
      <c r="VJJ110" s="883"/>
      <c r="VJK110" s="883"/>
      <c r="VJL110" s="883"/>
      <c r="VJM110" s="883"/>
      <c r="VJN110" s="863"/>
      <c r="VJO110" s="863"/>
      <c r="VJP110" s="863"/>
      <c r="VJQ110" s="863"/>
      <c r="VJR110" s="863"/>
      <c r="VJS110" s="863"/>
      <c r="VJT110" s="863"/>
      <c r="VJU110" s="863"/>
      <c r="VJV110" s="863"/>
      <c r="VJW110" s="863"/>
      <c r="VJX110" s="863"/>
      <c r="VJY110" s="863"/>
      <c r="VJZ110" s="863"/>
      <c r="VKA110" s="863"/>
      <c r="VKB110" s="863"/>
      <c r="VKC110" s="863"/>
      <c r="VKD110" s="863"/>
      <c r="VKE110" s="863"/>
      <c r="VKF110" s="863"/>
      <c r="VKG110" s="863"/>
      <c r="VKH110" s="863"/>
      <c r="VKI110" s="863"/>
      <c r="VKJ110" s="863"/>
      <c r="VKK110" s="883"/>
      <c r="VKL110" s="883"/>
      <c r="VKM110" s="883"/>
      <c r="VKN110" s="883"/>
      <c r="VKO110" s="883"/>
      <c r="VKP110" s="883"/>
      <c r="VKQ110" s="883"/>
      <c r="VKR110" s="883"/>
      <c r="VKS110" s="883"/>
      <c r="VKT110" s="863"/>
      <c r="VKU110" s="863"/>
      <c r="VKV110" s="863"/>
      <c r="VKW110" s="863"/>
      <c r="VKX110" s="863"/>
      <c r="VKY110" s="863"/>
      <c r="VKZ110" s="863"/>
      <c r="VLA110" s="863"/>
      <c r="VLB110" s="863"/>
      <c r="VLC110" s="863"/>
      <c r="VLD110" s="863"/>
      <c r="VLE110" s="863"/>
      <c r="VLF110" s="863"/>
      <c r="VLG110" s="863"/>
      <c r="VLH110" s="863"/>
      <c r="VLI110" s="863"/>
      <c r="VLJ110" s="863"/>
      <c r="VLK110" s="863"/>
      <c r="VLL110" s="863"/>
      <c r="VLM110" s="863"/>
      <c r="VLN110" s="863"/>
      <c r="VLO110" s="863"/>
      <c r="VLP110" s="863"/>
      <c r="VLQ110" s="883"/>
      <c r="VLR110" s="883"/>
      <c r="VLS110" s="883"/>
      <c r="VLT110" s="883"/>
      <c r="VLU110" s="883"/>
      <c r="VLV110" s="883"/>
      <c r="VLW110" s="883"/>
      <c r="VLX110" s="883"/>
      <c r="VLY110" s="883"/>
      <c r="VLZ110" s="863"/>
      <c r="VMA110" s="863"/>
      <c r="VMB110" s="863"/>
      <c r="VMC110" s="863"/>
      <c r="VMD110" s="863"/>
      <c r="VME110" s="863"/>
      <c r="VMF110" s="863"/>
      <c r="VMG110" s="863"/>
      <c r="VMH110" s="863"/>
      <c r="VMI110" s="863"/>
      <c r="VMJ110" s="863"/>
      <c r="VMK110" s="863"/>
      <c r="VML110" s="863"/>
      <c r="VMM110" s="863"/>
      <c r="VMN110" s="863"/>
      <c r="VMO110" s="863"/>
      <c r="VMP110" s="863"/>
      <c r="VMQ110" s="863"/>
      <c r="VMR110" s="863"/>
      <c r="VMS110" s="863"/>
      <c r="VMT110" s="863"/>
      <c r="VMU110" s="863"/>
      <c r="VMV110" s="863"/>
      <c r="VMW110" s="883"/>
      <c r="VMX110" s="883"/>
      <c r="VMY110" s="883"/>
      <c r="VMZ110" s="883"/>
      <c r="VNA110" s="883"/>
      <c r="VNB110" s="883"/>
      <c r="VNC110" s="883"/>
      <c r="VND110" s="883"/>
      <c r="VNE110" s="883"/>
      <c r="VNF110" s="863"/>
      <c r="VNG110" s="863"/>
      <c r="VNH110" s="863"/>
      <c r="VNI110" s="863"/>
      <c r="VNJ110" s="863"/>
      <c r="VNK110" s="863"/>
      <c r="VNL110" s="863"/>
      <c r="VNM110" s="863"/>
      <c r="VNN110" s="863"/>
      <c r="VNO110" s="863"/>
      <c r="VNP110" s="863"/>
      <c r="VNQ110" s="863"/>
      <c r="VNR110" s="863"/>
      <c r="VNS110" s="863"/>
      <c r="VNT110" s="863"/>
      <c r="VNU110" s="863"/>
      <c r="VNV110" s="863"/>
      <c r="VNW110" s="863"/>
      <c r="VNX110" s="863"/>
      <c r="VNY110" s="863"/>
      <c r="VNZ110" s="863"/>
      <c r="VOA110" s="863"/>
      <c r="VOB110" s="863"/>
      <c r="VOC110" s="883"/>
      <c r="VOD110" s="883"/>
      <c r="VOE110" s="883"/>
      <c r="VOF110" s="883"/>
      <c r="VOG110" s="883"/>
      <c r="VOH110" s="883"/>
      <c r="VOI110" s="883"/>
      <c r="VOJ110" s="883"/>
      <c r="VOK110" s="883"/>
      <c r="VOL110" s="863"/>
      <c r="VOM110" s="863"/>
      <c r="VON110" s="863"/>
      <c r="VOO110" s="863"/>
      <c r="VOP110" s="863"/>
      <c r="VOQ110" s="863"/>
      <c r="VOR110" s="863"/>
      <c r="VOS110" s="863"/>
      <c r="VOT110" s="863"/>
      <c r="VOU110" s="863"/>
      <c r="VOV110" s="863"/>
      <c r="VOW110" s="863"/>
      <c r="VOX110" s="863"/>
      <c r="VOY110" s="863"/>
      <c r="VOZ110" s="863"/>
      <c r="VPA110" s="863"/>
      <c r="VPB110" s="863"/>
      <c r="VPC110" s="863"/>
      <c r="VPD110" s="863"/>
      <c r="VPE110" s="863"/>
      <c r="VPF110" s="863"/>
      <c r="VPG110" s="863"/>
      <c r="VPH110" s="863"/>
      <c r="VPI110" s="883"/>
      <c r="VPJ110" s="883"/>
      <c r="VPK110" s="883"/>
      <c r="VPL110" s="883"/>
      <c r="VPM110" s="883"/>
      <c r="VPN110" s="883"/>
      <c r="VPO110" s="883"/>
      <c r="VPP110" s="883"/>
      <c r="VPQ110" s="883"/>
      <c r="VPR110" s="863"/>
      <c r="VPS110" s="863"/>
      <c r="VPT110" s="863"/>
      <c r="VPU110" s="863"/>
      <c r="VPV110" s="863"/>
      <c r="VPW110" s="863"/>
      <c r="VPX110" s="863"/>
      <c r="VPY110" s="863"/>
      <c r="VPZ110" s="863"/>
      <c r="VQA110" s="863"/>
      <c r="VQB110" s="863"/>
      <c r="VQC110" s="863"/>
      <c r="VQD110" s="863"/>
      <c r="VQE110" s="863"/>
      <c r="VQF110" s="863"/>
      <c r="VQG110" s="863"/>
      <c r="VQH110" s="863"/>
      <c r="VQI110" s="863"/>
      <c r="VQJ110" s="863"/>
      <c r="VQK110" s="863"/>
      <c r="VQL110" s="863"/>
      <c r="VQM110" s="863"/>
      <c r="VQN110" s="863"/>
      <c r="VQO110" s="883"/>
      <c r="VQP110" s="883"/>
      <c r="VQQ110" s="883"/>
      <c r="VQR110" s="883"/>
      <c r="VQS110" s="883"/>
      <c r="VQT110" s="883"/>
      <c r="VQU110" s="883"/>
      <c r="VQV110" s="883"/>
      <c r="VQW110" s="883"/>
      <c r="VQX110" s="863"/>
      <c r="VQY110" s="863"/>
      <c r="VQZ110" s="863"/>
      <c r="VRA110" s="863"/>
      <c r="VRB110" s="863"/>
      <c r="VRC110" s="863"/>
      <c r="VRD110" s="863"/>
      <c r="VRE110" s="863"/>
      <c r="VRF110" s="863"/>
      <c r="VRG110" s="863"/>
      <c r="VRH110" s="863"/>
      <c r="VRI110" s="863"/>
      <c r="VRJ110" s="863"/>
      <c r="VRK110" s="863"/>
      <c r="VRL110" s="863"/>
      <c r="VRM110" s="863"/>
      <c r="VRN110" s="863"/>
      <c r="VRO110" s="863"/>
      <c r="VRP110" s="863"/>
      <c r="VRQ110" s="863"/>
      <c r="VRR110" s="863"/>
      <c r="VRS110" s="863"/>
      <c r="VRT110" s="863"/>
      <c r="VRU110" s="883"/>
      <c r="VRV110" s="883"/>
      <c r="VRW110" s="883"/>
      <c r="VRX110" s="883"/>
      <c r="VRY110" s="883"/>
      <c r="VRZ110" s="883"/>
      <c r="VSA110" s="883"/>
      <c r="VSB110" s="883"/>
      <c r="VSC110" s="883"/>
      <c r="VSD110" s="863"/>
      <c r="VSE110" s="863"/>
      <c r="VSF110" s="863"/>
      <c r="VSG110" s="863"/>
      <c r="VSH110" s="863"/>
      <c r="VSI110" s="863"/>
      <c r="VSJ110" s="863"/>
      <c r="VSK110" s="863"/>
      <c r="VSL110" s="863"/>
      <c r="VSM110" s="863"/>
      <c r="VSN110" s="863"/>
      <c r="VSO110" s="863"/>
      <c r="VSP110" s="863"/>
      <c r="VSQ110" s="863"/>
      <c r="VSR110" s="863"/>
      <c r="VSS110" s="863"/>
      <c r="VST110" s="863"/>
      <c r="VSU110" s="863"/>
      <c r="VSV110" s="863"/>
      <c r="VSW110" s="863"/>
      <c r="VSX110" s="863"/>
      <c r="VSY110" s="863"/>
      <c r="VSZ110" s="863"/>
      <c r="VTA110" s="883"/>
      <c r="VTB110" s="883"/>
      <c r="VTC110" s="883"/>
      <c r="VTD110" s="883"/>
      <c r="VTE110" s="883"/>
      <c r="VTF110" s="883"/>
      <c r="VTG110" s="883"/>
      <c r="VTH110" s="883"/>
      <c r="VTI110" s="883"/>
      <c r="VTJ110" s="863"/>
      <c r="VTK110" s="863"/>
      <c r="VTL110" s="863"/>
      <c r="VTM110" s="863"/>
      <c r="VTN110" s="863"/>
      <c r="VTO110" s="863"/>
      <c r="VTP110" s="863"/>
      <c r="VTQ110" s="863"/>
      <c r="VTR110" s="863"/>
      <c r="VTS110" s="863"/>
      <c r="VTT110" s="863"/>
      <c r="VTU110" s="863"/>
      <c r="VTV110" s="863"/>
      <c r="VTW110" s="863"/>
      <c r="VTX110" s="863"/>
      <c r="VTY110" s="863"/>
      <c r="VTZ110" s="863"/>
      <c r="VUA110" s="863"/>
      <c r="VUB110" s="863"/>
      <c r="VUC110" s="863"/>
      <c r="VUD110" s="863"/>
      <c r="VUE110" s="863"/>
      <c r="VUF110" s="863"/>
      <c r="VUG110" s="883"/>
      <c r="VUH110" s="883"/>
      <c r="VUI110" s="883"/>
      <c r="VUJ110" s="883"/>
      <c r="VUK110" s="883"/>
      <c r="VUL110" s="883"/>
      <c r="VUM110" s="883"/>
      <c r="VUN110" s="883"/>
      <c r="VUO110" s="883"/>
      <c r="VUP110" s="863"/>
      <c r="VUQ110" s="863"/>
      <c r="VUR110" s="863"/>
      <c r="VUS110" s="863"/>
      <c r="VUT110" s="863"/>
      <c r="VUU110" s="863"/>
      <c r="VUV110" s="863"/>
      <c r="VUW110" s="863"/>
      <c r="VUX110" s="863"/>
      <c r="VUY110" s="863"/>
      <c r="VUZ110" s="863"/>
      <c r="VVA110" s="863"/>
      <c r="VVB110" s="863"/>
      <c r="VVC110" s="863"/>
      <c r="VVD110" s="863"/>
      <c r="VVE110" s="863"/>
      <c r="VVF110" s="863"/>
      <c r="VVG110" s="863"/>
      <c r="VVH110" s="863"/>
      <c r="VVI110" s="863"/>
      <c r="VVJ110" s="863"/>
      <c r="VVK110" s="863"/>
      <c r="VVL110" s="863"/>
      <c r="VVM110" s="883"/>
      <c r="VVN110" s="883"/>
      <c r="VVO110" s="883"/>
      <c r="VVP110" s="883"/>
      <c r="VVQ110" s="883"/>
      <c r="VVR110" s="883"/>
      <c r="VVS110" s="883"/>
      <c r="VVT110" s="883"/>
      <c r="VVU110" s="883"/>
      <c r="VVV110" s="863"/>
      <c r="VVW110" s="863"/>
      <c r="VVX110" s="863"/>
      <c r="VVY110" s="863"/>
      <c r="VVZ110" s="863"/>
      <c r="VWA110" s="863"/>
      <c r="VWB110" s="863"/>
      <c r="VWC110" s="863"/>
      <c r="VWD110" s="863"/>
      <c r="VWE110" s="863"/>
      <c r="VWF110" s="863"/>
      <c r="VWG110" s="863"/>
      <c r="VWH110" s="863"/>
      <c r="VWI110" s="863"/>
      <c r="VWJ110" s="863"/>
      <c r="VWK110" s="863"/>
      <c r="VWL110" s="863"/>
      <c r="VWM110" s="863"/>
      <c r="VWN110" s="863"/>
      <c r="VWO110" s="863"/>
      <c r="VWP110" s="863"/>
      <c r="VWQ110" s="863"/>
      <c r="VWR110" s="863"/>
      <c r="VWS110" s="883"/>
      <c r="VWT110" s="883"/>
      <c r="VWU110" s="883"/>
      <c r="VWV110" s="883"/>
      <c r="VWW110" s="883"/>
      <c r="VWX110" s="883"/>
      <c r="VWY110" s="883"/>
      <c r="VWZ110" s="883"/>
      <c r="VXA110" s="883"/>
      <c r="VXB110" s="863"/>
      <c r="VXC110" s="863"/>
      <c r="VXD110" s="863"/>
      <c r="VXE110" s="863"/>
      <c r="VXF110" s="863"/>
      <c r="VXG110" s="863"/>
      <c r="VXH110" s="863"/>
      <c r="VXI110" s="863"/>
      <c r="VXJ110" s="863"/>
      <c r="VXK110" s="863"/>
      <c r="VXL110" s="863"/>
      <c r="VXM110" s="863"/>
      <c r="VXN110" s="863"/>
      <c r="VXO110" s="863"/>
      <c r="VXP110" s="863"/>
      <c r="VXQ110" s="863"/>
      <c r="VXR110" s="863"/>
      <c r="VXS110" s="863"/>
      <c r="VXT110" s="863"/>
      <c r="VXU110" s="863"/>
      <c r="VXV110" s="863"/>
      <c r="VXW110" s="863"/>
      <c r="VXX110" s="863"/>
      <c r="VXY110" s="883"/>
      <c r="VXZ110" s="883"/>
      <c r="VYA110" s="883"/>
      <c r="VYB110" s="883"/>
      <c r="VYC110" s="883"/>
      <c r="VYD110" s="883"/>
      <c r="VYE110" s="883"/>
      <c r="VYF110" s="883"/>
      <c r="VYG110" s="883"/>
      <c r="VYH110" s="863"/>
      <c r="VYI110" s="863"/>
      <c r="VYJ110" s="863"/>
      <c r="VYK110" s="863"/>
      <c r="VYL110" s="863"/>
      <c r="VYM110" s="863"/>
      <c r="VYN110" s="863"/>
      <c r="VYO110" s="863"/>
      <c r="VYP110" s="863"/>
      <c r="VYQ110" s="863"/>
      <c r="VYR110" s="863"/>
      <c r="VYS110" s="863"/>
      <c r="VYT110" s="863"/>
      <c r="VYU110" s="863"/>
      <c r="VYV110" s="863"/>
      <c r="VYW110" s="863"/>
      <c r="VYX110" s="863"/>
      <c r="VYY110" s="863"/>
      <c r="VYZ110" s="863"/>
      <c r="VZA110" s="863"/>
      <c r="VZB110" s="863"/>
      <c r="VZC110" s="863"/>
      <c r="VZD110" s="863"/>
      <c r="VZE110" s="883"/>
      <c r="VZF110" s="883"/>
      <c r="VZG110" s="883"/>
      <c r="VZH110" s="883"/>
      <c r="VZI110" s="883"/>
      <c r="VZJ110" s="883"/>
      <c r="VZK110" s="883"/>
      <c r="VZL110" s="883"/>
      <c r="VZM110" s="883"/>
      <c r="VZN110" s="863"/>
      <c r="VZO110" s="863"/>
      <c r="VZP110" s="863"/>
      <c r="VZQ110" s="863"/>
      <c r="VZR110" s="863"/>
      <c r="VZS110" s="863"/>
      <c r="VZT110" s="863"/>
      <c r="VZU110" s="863"/>
      <c r="VZV110" s="863"/>
      <c r="VZW110" s="863"/>
      <c r="VZX110" s="863"/>
      <c r="VZY110" s="863"/>
      <c r="VZZ110" s="863"/>
      <c r="WAA110" s="863"/>
      <c r="WAB110" s="863"/>
      <c r="WAC110" s="863"/>
      <c r="WAD110" s="863"/>
      <c r="WAE110" s="863"/>
      <c r="WAF110" s="863"/>
      <c r="WAG110" s="863"/>
      <c r="WAH110" s="863"/>
      <c r="WAI110" s="863"/>
      <c r="WAJ110" s="863"/>
      <c r="WAK110" s="883"/>
      <c r="WAL110" s="883"/>
      <c r="WAM110" s="883"/>
      <c r="WAN110" s="883"/>
      <c r="WAO110" s="883"/>
      <c r="WAP110" s="883"/>
      <c r="WAQ110" s="883"/>
      <c r="WAR110" s="883"/>
      <c r="WAS110" s="883"/>
      <c r="WAT110" s="863"/>
      <c r="WAU110" s="863"/>
      <c r="WAV110" s="863"/>
      <c r="WAW110" s="863"/>
      <c r="WAX110" s="863"/>
      <c r="WAY110" s="863"/>
      <c r="WAZ110" s="863"/>
      <c r="WBA110" s="863"/>
      <c r="WBB110" s="863"/>
      <c r="WBC110" s="863"/>
      <c r="WBD110" s="863"/>
      <c r="WBE110" s="863"/>
      <c r="WBF110" s="863"/>
      <c r="WBG110" s="863"/>
      <c r="WBH110" s="863"/>
      <c r="WBI110" s="863"/>
      <c r="WBJ110" s="863"/>
      <c r="WBK110" s="863"/>
      <c r="WBL110" s="863"/>
      <c r="WBM110" s="863"/>
      <c r="WBN110" s="863"/>
      <c r="WBO110" s="863"/>
      <c r="WBP110" s="863"/>
      <c r="WBQ110" s="883"/>
      <c r="WBR110" s="883"/>
      <c r="WBS110" s="883"/>
      <c r="WBT110" s="883"/>
      <c r="WBU110" s="883"/>
      <c r="WBV110" s="883"/>
      <c r="WBW110" s="883"/>
      <c r="WBX110" s="883"/>
      <c r="WBY110" s="883"/>
      <c r="WBZ110" s="863"/>
      <c r="WCA110" s="863"/>
      <c r="WCB110" s="863"/>
      <c r="WCC110" s="863"/>
      <c r="WCD110" s="863"/>
      <c r="WCE110" s="863"/>
      <c r="WCF110" s="863"/>
      <c r="WCG110" s="863"/>
      <c r="WCH110" s="863"/>
      <c r="WCI110" s="863"/>
      <c r="WCJ110" s="863"/>
      <c r="WCK110" s="863"/>
      <c r="WCL110" s="863"/>
      <c r="WCM110" s="863"/>
      <c r="WCN110" s="863"/>
      <c r="WCO110" s="863"/>
      <c r="WCP110" s="863"/>
      <c r="WCQ110" s="863"/>
      <c r="WCR110" s="863"/>
      <c r="WCS110" s="863"/>
      <c r="WCT110" s="863"/>
      <c r="WCU110" s="863"/>
      <c r="WCV110" s="863"/>
      <c r="WCW110" s="883"/>
      <c r="WCX110" s="883"/>
      <c r="WCY110" s="883"/>
      <c r="WCZ110" s="883"/>
      <c r="WDA110" s="883"/>
      <c r="WDB110" s="883"/>
      <c r="WDC110" s="883"/>
      <c r="WDD110" s="883"/>
      <c r="WDE110" s="883"/>
      <c r="WDF110" s="863"/>
      <c r="WDG110" s="863"/>
      <c r="WDH110" s="863"/>
      <c r="WDI110" s="863"/>
      <c r="WDJ110" s="863"/>
      <c r="WDK110" s="863"/>
      <c r="WDL110" s="863"/>
      <c r="WDM110" s="863"/>
      <c r="WDN110" s="863"/>
      <c r="WDO110" s="863"/>
      <c r="WDP110" s="863"/>
      <c r="WDQ110" s="863"/>
      <c r="WDR110" s="863"/>
      <c r="WDS110" s="863"/>
      <c r="WDT110" s="863"/>
      <c r="WDU110" s="863"/>
      <c r="WDV110" s="863"/>
      <c r="WDW110" s="863"/>
      <c r="WDX110" s="863"/>
      <c r="WDY110" s="863"/>
      <c r="WDZ110" s="863"/>
      <c r="WEA110" s="863"/>
      <c r="WEB110" s="863"/>
      <c r="WEC110" s="883"/>
      <c r="WED110" s="883"/>
      <c r="WEE110" s="883"/>
      <c r="WEF110" s="883"/>
      <c r="WEG110" s="883"/>
      <c r="WEH110" s="883"/>
      <c r="WEI110" s="883"/>
      <c r="WEJ110" s="883"/>
      <c r="WEK110" s="883"/>
      <c r="WEL110" s="863"/>
      <c r="WEM110" s="863"/>
      <c r="WEN110" s="863"/>
      <c r="WEO110" s="863"/>
      <c r="WEP110" s="863"/>
      <c r="WEQ110" s="863"/>
      <c r="WER110" s="863"/>
      <c r="WES110" s="863"/>
      <c r="WET110" s="863"/>
      <c r="WEU110" s="863"/>
      <c r="WEV110" s="863"/>
      <c r="WEW110" s="863"/>
      <c r="WEX110" s="863"/>
      <c r="WEY110" s="863"/>
      <c r="WEZ110" s="863"/>
      <c r="WFA110" s="863"/>
      <c r="WFB110" s="863"/>
      <c r="WFC110" s="863"/>
      <c r="WFD110" s="863"/>
      <c r="WFE110" s="863"/>
      <c r="WFF110" s="863"/>
      <c r="WFG110" s="863"/>
      <c r="WFH110" s="863"/>
      <c r="WFI110" s="883"/>
      <c r="WFJ110" s="883"/>
      <c r="WFK110" s="883"/>
      <c r="WFL110" s="883"/>
      <c r="WFM110" s="883"/>
      <c r="WFN110" s="883"/>
      <c r="WFO110" s="883"/>
      <c r="WFP110" s="883"/>
      <c r="WFQ110" s="883"/>
      <c r="WFR110" s="863"/>
      <c r="WFS110" s="863"/>
      <c r="WFT110" s="863"/>
      <c r="WFU110" s="863"/>
      <c r="WFV110" s="863"/>
      <c r="WFW110" s="863"/>
      <c r="WFX110" s="863"/>
      <c r="WFY110" s="863"/>
      <c r="WFZ110" s="863"/>
      <c r="WGA110" s="863"/>
      <c r="WGB110" s="863"/>
      <c r="WGC110" s="863"/>
      <c r="WGD110" s="863"/>
      <c r="WGE110" s="863"/>
      <c r="WGF110" s="863"/>
      <c r="WGG110" s="863"/>
      <c r="WGH110" s="863"/>
      <c r="WGI110" s="863"/>
      <c r="WGJ110" s="863"/>
      <c r="WGK110" s="863"/>
      <c r="WGL110" s="863"/>
      <c r="WGM110" s="863"/>
      <c r="WGN110" s="863"/>
      <c r="WGO110" s="883"/>
      <c r="WGP110" s="883"/>
      <c r="WGQ110" s="883"/>
      <c r="WGR110" s="883"/>
      <c r="WGS110" s="883"/>
      <c r="WGT110" s="883"/>
      <c r="WGU110" s="883"/>
      <c r="WGV110" s="883"/>
      <c r="WGW110" s="883"/>
      <c r="WGX110" s="863"/>
      <c r="WGY110" s="863"/>
      <c r="WGZ110" s="863"/>
      <c r="WHA110" s="863"/>
      <c r="WHB110" s="863"/>
      <c r="WHC110" s="863"/>
      <c r="WHD110" s="863"/>
      <c r="WHE110" s="863"/>
      <c r="WHF110" s="863"/>
      <c r="WHG110" s="863"/>
      <c r="WHH110" s="863"/>
      <c r="WHI110" s="863"/>
      <c r="WHJ110" s="863"/>
      <c r="WHK110" s="863"/>
      <c r="WHL110" s="863"/>
      <c r="WHM110" s="863"/>
      <c r="WHN110" s="863"/>
      <c r="WHO110" s="863"/>
      <c r="WHP110" s="863"/>
      <c r="WHQ110" s="863"/>
      <c r="WHR110" s="863"/>
      <c r="WHS110" s="863"/>
      <c r="WHT110" s="863"/>
      <c r="WHU110" s="883"/>
      <c r="WHV110" s="883"/>
      <c r="WHW110" s="883"/>
      <c r="WHX110" s="883"/>
      <c r="WHY110" s="883"/>
      <c r="WHZ110" s="883"/>
      <c r="WIA110" s="883"/>
      <c r="WIB110" s="883"/>
      <c r="WIC110" s="883"/>
      <c r="WID110" s="863"/>
      <c r="WIE110" s="863"/>
      <c r="WIF110" s="863"/>
      <c r="WIG110" s="863"/>
      <c r="WIH110" s="863"/>
      <c r="WII110" s="863"/>
      <c r="WIJ110" s="863"/>
      <c r="WIK110" s="863"/>
      <c r="WIL110" s="863"/>
      <c r="WIM110" s="863"/>
      <c r="WIN110" s="863"/>
      <c r="WIO110" s="863"/>
      <c r="WIP110" s="863"/>
      <c r="WIQ110" s="863"/>
      <c r="WIR110" s="863"/>
      <c r="WIS110" s="863"/>
      <c r="WIT110" s="863"/>
      <c r="WIU110" s="863"/>
      <c r="WIV110" s="863"/>
      <c r="WIW110" s="863"/>
      <c r="WIX110" s="863"/>
      <c r="WIY110" s="863"/>
      <c r="WIZ110" s="863"/>
      <c r="WJA110" s="883"/>
      <c r="WJB110" s="883"/>
      <c r="WJC110" s="883"/>
      <c r="WJD110" s="883"/>
      <c r="WJE110" s="883"/>
      <c r="WJF110" s="883"/>
      <c r="WJG110" s="883"/>
      <c r="WJH110" s="883"/>
      <c r="WJI110" s="883"/>
      <c r="WJJ110" s="863"/>
      <c r="WJK110" s="863"/>
      <c r="WJL110" s="863"/>
      <c r="WJM110" s="863"/>
      <c r="WJN110" s="863"/>
      <c r="WJO110" s="863"/>
      <c r="WJP110" s="863"/>
      <c r="WJQ110" s="863"/>
      <c r="WJR110" s="863"/>
      <c r="WJS110" s="863"/>
      <c r="WJT110" s="863"/>
      <c r="WJU110" s="863"/>
      <c r="WJV110" s="863"/>
      <c r="WJW110" s="863"/>
      <c r="WJX110" s="863"/>
      <c r="WJY110" s="863"/>
      <c r="WJZ110" s="863"/>
      <c r="WKA110" s="863"/>
      <c r="WKB110" s="863"/>
      <c r="WKC110" s="863"/>
      <c r="WKD110" s="863"/>
      <c r="WKE110" s="863"/>
      <c r="WKF110" s="863"/>
      <c r="WKG110" s="883"/>
      <c r="WKH110" s="883"/>
      <c r="WKI110" s="883"/>
      <c r="WKJ110" s="883"/>
      <c r="WKK110" s="883"/>
      <c r="WKL110" s="883"/>
      <c r="WKM110" s="883"/>
      <c r="WKN110" s="883"/>
      <c r="WKO110" s="883"/>
      <c r="WKP110" s="863"/>
      <c r="WKQ110" s="863"/>
      <c r="WKR110" s="863"/>
      <c r="WKS110" s="863"/>
      <c r="WKT110" s="863"/>
      <c r="WKU110" s="863"/>
      <c r="WKV110" s="863"/>
      <c r="WKW110" s="863"/>
      <c r="WKX110" s="863"/>
      <c r="WKY110" s="863"/>
      <c r="WKZ110" s="863"/>
      <c r="WLA110" s="863"/>
      <c r="WLB110" s="863"/>
      <c r="WLC110" s="863"/>
      <c r="WLD110" s="863"/>
      <c r="WLE110" s="863"/>
      <c r="WLF110" s="863"/>
      <c r="WLG110" s="863"/>
      <c r="WLH110" s="863"/>
      <c r="WLI110" s="863"/>
      <c r="WLJ110" s="863"/>
      <c r="WLK110" s="863"/>
      <c r="WLL110" s="863"/>
      <c r="WLM110" s="883"/>
      <c r="WLN110" s="883"/>
      <c r="WLO110" s="883"/>
      <c r="WLP110" s="883"/>
      <c r="WLQ110" s="883"/>
      <c r="WLR110" s="883"/>
      <c r="WLS110" s="883"/>
      <c r="WLT110" s="883"/>
      <c r="WLU110" s="883"/>
      <c r="WLV110" s="863"/>
      <c r="WLW110" s="863"/>
      <c r="WLX110" s="863"/>
      <c r="WLY110" s="863"/>
      <c r="WLZ110" s="863"/>
      <c r="WMA110" s="863"/>
      <c r="WMB110" s="863"/>
      <c r="WMC110" s="863"/>
      <c r="WMD110" s="863"/>
      <c r="WME110" s="863"/>
      <c r="WMF110" s="863"/>
      <c r="WMG110" s="863"/>
      <c r="WMH110" s="863"/>
      <c r="WMI110" s="863"/>
      <c r="WMJ110" s="863"/>
      <c r="WMK110" s="863"/>
      <c r="WML110" s="863"/>
      <c r="WMM110" s="863"/>
      <c r="WMN110" s="863"/>
      <c r="WMO110" s="863"/>
      <c r="WMP110" s="863"/>
      <c r="WMQ110" s="863"/>
      <c r="WMR110" s="863"/>
      <c r="WMS110" s="883"/>
      <c r="WMT110" s="883"/>
      <c r="WMU110" s="883"/>
      <c r="WMV110" s="883"/>
      <c r="WMW110" s="883"/>
      <c r="WMX110" s="883"/>
      <c r="WMY110" s="883"/>
      <c r="WMZ110" s="883"/>
      <c r="WNA110" s="883"/>
      <c r="WNB110" s="863"/>
      <c r="WNC110" s="863"/>
      <c r="WND110" s="863"/>
      <c r="WNE110" s="863"/>
      <c r="WNF110" s="863"/>
      <c r="WNG110" s="863"/>
      <c r="WNH110" s="863"/>
      <c r="WNI110" s="863"/>
      <c r="WNJ110" s="863"/>
      <c r="WNK110" s="863"/>
      <c r="WNL110" s="863"/>
      <c r="WNM110" s="863"/>
      <c r="WNN110" s="863"/>
      <c r="WNO110" s="863"/>
      <c r="WNP110" s="863"/>
      <c r="WNQ110" s="863"/>
      <c r="WNR110" s="863"/>
      <c r="WNS110" s="863"/>
      <c r="WNT110" s="863"/>
      <c r="WNU110" s="863"/>
      <c r="WNV110" s="863"/>
      <c r="WNW110" s="863"/>
      <c r="WNX110" s="863"/>
      <c r="WNY110" s="883"/>
      <c r="WNZ110" s="883"/>
      <c r="WOA110" s="883"/>
      <c r="WOB110" s="883"/>
      <c r="WOC110" s="883"/>
      <c r="WOD110" s="883"/>
      <c r="WOE110" s="883"/>
      <c r="WOF110" s="883"/>
      <c r="WOG110" s="883"/>
      <c r="WOH110" s="863"/>
      <c r="WOI110" s="863"/>
      <c r="WOJ110" s="863"/>
      <c r="WOK110" s="863"/>
      <c r="WOL110" s="863"/>
      <c r="WOM110" s="863"/>
      <c r="WON110" s="863"/>
      <c r="WOO110" s="863"/>
      <c r="WOP110" s="863"/>
      <c r="WOQ110" s="863"/>
      <c r="WOR110" s="863"/>
      <c r="WOS110" s="863"/>
      <c r="WOT110" s="863"/>
      <c r="WOU110" s="863"/>
      <c r="WOV110" s="863"/>
      <c r="WOW110" s="863"/>
      <c r="WOX110" s="863"/>
      <c r="WOY110" s="863"/>
      <c r="WOZ110" s="863"/>
      <c r="WPA110" s="863"/>
      <c r="WPB110" s="863"/>
      <c r="WPC110" s="863"/>
      <c r="WPD110" s="863"/>
      <c r="WPE110" s="883"/>
      <c r="WPF110" s="883"/>
      <c r="WPG110" s="883"/>
      <c r="WPH110" s="883"/>
      <c r="WPI110" s="883"/>
      <c r="WPJ110" s="883"/>
      <c r="WPK110" s="883"/>
      <c r="WPL110" s="883"/>
      <c r="WPM110" s="883"/>
      <c r="WPN110" s="863"/>
      <c r="WPO110" s="863"/>
      <c r="WPP110" s="863"/>
      <c r="WPQ110" s="863"/>
      <c r="WPR110" s="863"/>
      <c r="WPS110" s="863"/>
      <c r="WPT110" s="863"/>
      <c r="WPU110" s="863"/>
      <c r="WPV110" s="863"/>
      <c r="WPW110" s="863"/>
      <c r="WPX110" s="863"/>
      <c r="WPY110" s="863"/>
      <c r="WPZ110" s="863"/>
      <c r="WQA110" s="863"/>
      <c r="WQB110" s="863"/>
      <c r="WQC110" s="863"/>
      <c r="WQD110" s="863"/>
      <c r="WQE110" s="863"/>
      <c r="WQF110" s="863"/>
      <c r="WQG110" s="863"/>
      <c r="WQH110" s="863"/>
      <c r="WQI110" s="863"/>
      <c r="WQJ110" s="863"/>
      <c r="WQK110" s="883"/>
      <c r="WQL110" s="883"/>
      <c r="WQM110" s="883"/>
      <c r="WQN110" s="883"/>
      <c r="WQO110" s="883"/>
      <c r="WQP110" s="883"/>
      <c r="WQQ110" s="883"/>
      <c r="WQR110" s="883"/>
      <c r="WQS110" s="883"/>
      <c r="WQT110" s="863"/>
      <c r="WQU110" s="863"/>
      <c r="WQV110" s="863"/>
      <c r="WQW110" s="863"/>
      <c r="WQX110" s="863"/>
      <c r="WQY110" s="863"/>
      <c r="WQZ110" s="863"/>
      <c r="WRA110" s="863"/>
      <c r="WRB110" s="863"/>
      <c r="WRC110" s="863"/>
      <c r="WRD110" s="863"/>
      <c r="WRE110" s="863"/>
      <c r="WRF110" s="863"/>
      <c r="WRG110" s="863"/>
      <c r="WRH110" s="863"/>
      <c r="WRI110" s="863"/>
      <c r="WRJ110" s="863"/>
      <c r="WRK110" s="863"/>
      <c r="WRL110" s="863"/>
      <c r="WRM110" s="863"/>
      <c r="WRN110" s="863"/>
      <c r="WRO110" s="863"/>
      <c r="WRP110" s="863"/>
      <c r="WRQ110" s="883"/>
      <c r="WRR110" s="883"/>
      <c r="WRS110" s="883"/>
      <c r="WRT110" s="883"/>
      <c r="WRU110" s="883"/>
      <c r="WRV110" s="883"/>
      <c r="WRW110" s="883"/>
      <c r="WRX110" s="883"/>
      <c r="WRY110" s="883"/>
      <c r="WRZ110" s="863"/>
      <c r="WSA110" s="863"/>
      <c r="WSB110" s="863"/>
      <c r="WSC110" s="863"/>
      <c r="WSD110" s="863"/>
      <c r="WSE110" s="863"/>
      <c r="WSF110" s="863"/>
      <c r="WSG110" s="863"/>
      <c r="WSH110" s="863"/>
      <c r="WSI110" s="863"/>
      <c r="WSJ110" s="863"/>
      <c r="WSK110" s="863"/>
      <c r="WSL110" s="863"/>
      <c r="WSM110" s="863"/>
      <c r="WSN110" s="863"/>
      <c r="WSO110" s="863"/>
      <c r="WSP110" s="863"/>
      <c r="WSQ110" s="863"/>
      <c r="WSR110" s="863"/>
      <c r="WSS110" s="863"/>
      <c r="WST110" s="863"/>
      <c r="WSU110" s="863"/>
      <c r="WSV110" s="863"/>
      <c r="WSW110" s="883"/>
      <c r="WSX110" s="883"/>
      <c r="WSY110" s="883"/>
      <c r="WSZ110" s="883"/>
      <c r="WTA110" s="883"/>
      <c r="WTB110" s="883"/>
      <c r="WTC110" s="883"/>
      <c r="WTD110" s="883"/>
      <c r="WTE110" s="883"/>
      <c r="WTF110" s="863"/>
      <c r="WTG110" s="863"/>
      <c r="WTH110" s="863"/>
      <c r="WTI110" s="863"/>
      <c r="WTJ110" s="863"/>
      <c r="WTK110" s="863"/>
      <c r="WTL110" s="863"/>
      <c r="WTM110" s="863"/>
      <c r="WTN110" s="863"/>
      <c r="WTO110" s="863"/>
      <c r="WTP110" s="863"/>
      <c r="WTQ110" s="863"/>
      <c r="WTR110" s="863"/>
      <c r="WTS110" s="863"/>
      <c r="WTT110" s="863"/>
      <c r="WTU110" s="863"/>
      <c r="WTV110" s="863"/>
      <c r="WTW110" s="863"/>
      <c r="WTX110" s="863"/>
      <c r="WTY110" s="863"/>
      <c r="WTZ110" s="863"/>
      <c r="WUA110" s="863"/>
      <c r="WUB110" s="863"/>
      <c r="WUC110" s="883"/>
      <c r="WUD110" s="883"/>
      <c r="WUE110" s="883"/>
      <c r="WUF110" s="883"/>
      <c r="WUG110" s="883"/>
      <c r="WUH110" s="883"/>
      <c r="WUI110" s="883"/>
      <c r="WUJ110" s="883"/>
      <c r="WUK110" s="883"/>
      <c r="WUL110" s="863"/>
      <c r="WUM110" s="863"/>
      <c r="WUN110" s="863"/>
      <c r="WUO110" s="863"/>
      <c r="WUP110" s="863"/>
      <c r="WUQ110" s="863"/>
      <c r="WUR110" s="863"/>
      <c r="WUS110" s="863"/>
      <c r="WUT110" s="863"/>
      <c r="WUU110" s="863"/>
      <c r="WUV110" s="863"/>
      <c r="WUW110" s="863"/>
      <c r="WUX110" s="863"/>
      <c r="WUY110" s="863"/>
      <c r="WUZ110" s="863"/>
      <c r="WVA110" s="863"/>
      <c r="WVB110" s="863"/>
      <c r="WVC110" s="863"/>
      <c r="WVD110" s="863"/>
      <c r="WVE110" s="863"/>
      <c r="WVF110" s="863"/>
      <c r="WVG110" s="863"/>
      <c r="WVH110" s="863"/>
      <c r="WVI110" s="883"/>
      <c r="WVJ110" s="883"/>
      <c r="WVK110" s="883"/>
      <c r="WVL110" s="883"/>
      <c r="WVM110" s="883"/>
      <c r="WVN110" s="883"/>
      <c r="WVO110" s="883"/>
      <c r="WVP110" s="883"/>
      <c r="WVQ110" s="883"/>
      <c r="WVR110" s="863"/>
      <c r="WVS110" s="863"/>
      <c r="WVT110" s="863"/>
      <c r="WVU110" s="863"/>
      <c r="WVV110" s="863"/>
      <c r="WVW110" s="863"/>
      <c r="WVX110" s="863"/>
      <c r="WVY110" s="863"/>
      <c r="WVZ110" s="863"/>
      <c r="WWA110" s="863"/>
      <c r="WWB110" s="863"/>
      <c r="WWC110" s="863"/>
      <c r="WWD110" s="863"/>
      <c r="WWE110" s="863"/>
      <c r="WWF110" s="863"/>
      <c r="WWG110" s="863"/>
      <c r="WWH110" s="863"/>
      <c r="WWI110" s="863"/>
      <c r="WWJ110" s="863"/>
      <c r="WWK110" s="863"/>
      <c r="WWL110" s="863"/>
      <c r="WWM110" s="863"/>
      <c r="WWN110" s="863"/>
      <c r="WWO110" s="883"/>
      <c r="WWP110" s="883"/>
      <c r="WWQ110" s="883"/>
      <c r="WWR110" s="883"/>
      <c r="WWS110" s="883"/>
      <c r="WWT110" s="883"/>
      <c r="WWU110" s="883"/>
      <c r="WWV110" s="883"/>
      <c r="WWW110" s="883"/>
      <c r="WWX110" s="863"/>
      <c r="WWY110" s="863"/>
      <c r="WWZ110" s="863"/>
      <c r="WXA110" s="863"/>
      <c r="WXB110" s="863"/>
      <c r="WXC110" s="863"/>
      <c r="WXD110" s="863"/>
      <c r="WXE110" s="863"/>
      <c r="WXF110" s="863"/>
      <c r="WXG110" s="863"/>
      <c r="WXH110" s="863"/>
      <c r="WXI110" s="863"/>
      <c r="WXJ110" s="863"/>
      <c r="WXK110" s="863"/>
      <c r="WXL110" s="863"/>
      <c r="WXM110" s="863"/>
      <c r="WXN110" s="863"/>
      <c r="WXO110" s="863"/>
      <c r="WXP110" s="863"/>
      <c r="WXQ110" s="863"/>
      <c r="WXR110" s="863"/>
      <c r="WXS110" s="863"/>
      <c r="WXT110" s="863"/>
      <c r="WXU110" s="883"/>
      <c r="WXV110" s="883"/>
      <c r="WXW110" s="883"/>
      <c r="WXX110" s="883"/>
      <c r="WXY110" s="883"/>
      <c r="WXZ110" s="883"/>
      <c r="WYA110" s="883"/>
      <c r="WYB110" s="883"/>
      <c r="WYC110" s="883"/>
      <c r="WYD110" s="863"/>
      <c r="WYE110" s="863"/>
      <c r="WYF110" s="863"/>
      <c r="WYG110" s="863"/>
      <c r="WYH110" s="863"/>
      <c r="WYI110" s="863"/>
      <c r="WYJ110" s="863"/>
      <c r="WYK110" s="863"/>
      <c r="WYL110" s="863"/>
      <c r="WYM110" s="863"/>
      <c r="WYN110" s="863"/>
      <c r="WYO110" s="863"/>
      <c r="WYP110" s="863"/>
      <c r="WYQ110" s="863"/>
      <c r="WYR110" s="863"/>
      <c r="WYS110" s="863"/>
      <c r="WYT110" s="863"/>
      <c r="WYU110" s="863"/>
      <c r="WYV110" s="863"/>
      <c r="WYW110" s="863"/>
      <c r="WYX110" s="863"/>
      <c r="WYY110" s="863"/>
      <c r="WYZ110" s="863"/>
      <c r="WZA110" s="883"/>
      <c r="WZB110" s="883"/>
      <c r="WZC110" s="883"/>
      <c r="WZD110" s="883"/>
      <c r="WZE110" s="883"/>
      <c r="WZF110" s="883"/>
      <c r="WZG110" s="883"/>
      <c r="WZH110" s="883"/>
      <c r="WZI110" s="883"/>
      <c r="WZJ110" s="863"/>
      <c r="WZK110" s="863"/>
      <c r="WZL110" s="863"/>
      <c r="WZM110" s="863"/>
      <c r="WZN110" s="863"/>
      <c r="WZO110" s="863"/>
      <c r="WZP110" s="863"/>
      <c r="WZQ110" s="863"/>
      <c r="WZR110" s="863"/>
      <c r="WZS110" s="863"/>
      <c r="WZT110" s="863"/>
      <c r="WZU110" s="863"/>
      <c r="WZV110" s="863"/>
      <c r="WZW110" s="863"/>
      <c r="WZX110" s="863"/>
      <c r="WZY110" s="863"/>
      <c r="WZZ110" s="863"/>
      <c r="XAA110" s="863"/>
      <c r="XAB110" s="863"/>
      <c r="XAC110" s="863"/>
      <c r="XAD110" s="863"/>
      <c r="XAE110" s="863"/>
      <c r="XAF110" s="863"/>
      <c r="XAG110" s="883"/>
      <c r="XAH110" s="883"/>
      <c r="XAI110" s="883"/>
      <c r="XAJ110" s="883"/>
      <c r="XAK110" s="883"/>
      <c r="XAL110" s="883"/>
      <c r="XAM110" s="883"/>
      <c r="XAN110" s="883"/>
      <c r="XAO110" s="883"/>
      <c r="XAP110" s="863"/>
      <c r="XAQ110" s="863"/>
      <c r="XAR110" s="863"/>
      <c r="XAS110" s="863"/>
      <c r="XAT110" s="863"/>
      <c r="XAU110" s="863"/>
      <c r="XAV110" s="863"/>
      <c r="XAW110" s="863"/>
      <c r="XAX110" s="863"/>
      <c r="XAY110" s="863"/>
      <c r="XAZ110" s="863"/>
      <c r="XBA110" s="863"/>
      <c r="XBB110" s="863"/>
      <c r="XBC110" s="863"/>
      <c r="XBD110" s="863"/>
      <c r="XBE110" s="863"/>
      <c r="XBF110" s="863"/>
      <c r="XBG110" s="863"/>
      <c r="XBH110" s="863"/>
      <c r="XBI110" s="863"/>
      <c r="XBJ110" s="863"/>
      <c r="XBK110" s="863"/>
      <c r="XBL110" s="863"/>
      <c r="XBM110" s="883"/>
      <c r="XBN110" s="883"/>
      <c r="XBO110" s="883"/>
      <c r="XBP110" s="883"/>
      <c r="XBQ110" s="883"/>
      <c r="XBR110" s="883"/>
      <c r="XBS110" s="883"/>
      <c r="XBT110" s="883"/>
      <c r="XBU110" s="883"/>
      <c r="XBV110" s="863"/>
      <c r="XBW110" s="863"/>
      <c r="XBX110" s="863"/>
      <c r="XBY110" s="863"/>
      <c r="XBZ110" s="863"/>
      <c r="XCA110" s="863"/>
      <c r="XCB110" s="863"/>
      <c r="XCC110" s="863"/>
      <c r="XCD110" s="863"/>
      <c r="XCE110" s="863"/>
      <c r="XCF110" s="863"/>
      <c r="XCG110" s="863"/>
      <c r="XCH110" s="863"/>
      <c r="XCI110" s="863"/>
      <c r="XCJ110" s="863"/>
      <c r="XCK110" s="863"/>
      <c r="XCL110" s="863"/>
      <c r="XCM110" s="863"/>
      <c r="XCN110" s="863"/>
      <c r="XCO110" s="863"/>
      <c r="XCP110" s="863"/>
      <c r="XCQ110" s="863"/>
      <c r="XCR110" s="863"/>
      <c r="XCS110" s="883"/>
      <c r="XCT110" s="883"/>
      <c r="XCU110" s="883"/>
      <c r="XCV110" s="883"/>
      <c r="XCW110" s="883"/>
      <c r="XCX110" s="883"/>
      <c r="XCY110" s="883"/>
      <c r="XCZ110" s="883"/>
      <c r="XDA110" s="883"/>
      <c r="XDB110" s="863"/>
      <c r="XDC110" s="863"/>
      <c r="XDD110" s="863"/>
      <c r="XDE110" s="863"/>
      <c r="XDF110" s="863"/>
      <c r="XDG110" s="863"/>
      <c r="XDH110" s="863"/>
      <c r="XDI110" s="863"/>
      <c r="XDJ110" s="863"/>
      <c r="XDK110" s="863"/>
      <c r="XDL110" s="863"/>
      <c r="XDM110" s="863"/>
      <c r="XDN110" s="863"/>
      <c r="XDO110" s="863"/>
      <c r="XDP110" s="863"/>
      <c r="XDQ110" s="863"/>
      <c r="XDR110" s="863"/>
      <c r="XDS110" s="863"/>
      <c r="XDT110" s="863"/>
      <c r="XDU110" s="863"/>
      <c r="XDV110" s="863"/>
      <c r="XDW110" s="863"/>
      <c r="XDX110" s="863"/>
      <c r="XDY110" s="883"/>
      <c r="XDZ110" s="883"/>
      <c r="XEA110" s="883"/>
      <c r="XEB110" s="883"/>
      <c r="XEC110" s="883"/>
      <c r="XED110" s="883"/>
      <c r="XEE110" s="883"/>
      <c r="XEF110" s="883"/>
      <c r="XEG110" s="883"/>
      <c r="XEH110" s="863"/>
      <c r="XEI110" s="863"/>
      <c r="XEJ110" s="863"/>
      <c r="XEK110" s="863"/>
      <c r="XEL110" s="863"/>
      <c r="XEM110" s="863"/>
      <c r="XEN110" s="863"/>
      <c r="XEO110" s="863"/>
      <c r="XEP110" s="863"/>
      <c r="XEQ110" s="863"/>
      <c r="XER110" s="863"/>
      <c r="XES110" s="863"/>
      <c r="XET110" s="863"/>
      <c r="XEU110" s="863"/>
      <c r="XEV110" s="863"/>
      <c r="XEW110" s="863"/>
      <c r="XEX110" s="863"/>
      <c r="XEY110" s="863"/>
      <c r="XEZ110" s="863"/>
      <c r="XFA110" s="863"/>
      <c r="XFB110" s="863"/>
      <c r="XFC110" s="863"/>
      <c r="XFD110" s="863"/>
    </row>
    <row r="112" spans="1:16384" ht="69" customHeight="1" x14ac:dyDescent="0.3">
      <c r="A112" s="883" t="s">
        <v>2439</v>
      </c>
      <c r="B112" s="883"/>
      <c r="C112" s="883"/>
      <c r="D112" s="883"/>
      <c r="E112" s="883"/>
      <c r="F112" s="883"/>
      <c r="G112" s="883"/>
      <c r="H112" s="883"/>
      <c r="I112" s="883"/>
      <c r="J112" s="863" t="s">
        <v>2440</v>
      </c>
      <c r="K112" s="863"/>
      <c r="L112" s="863"/>
      <c r="M112" s="863"/>
      <c r="N112" s="863"/>
      <c r="O112" s="863"/>
      <c r="P112" s="863"/>
      <c r="Q112" s="863"/>
      <c r="R112" s="863"/>
      <c r="S112" s="863"/>
      <c r="T112" s="863"/>
      <c r="U112" s="863"/>
      <c r="V112" s="863"/>
      <c r="W112" s="863"/>
      <c r="X112" s="863"/>
      <c r="Y112" s="863"/>
      <c r="Z112" s="863"/>
      <c r="AA112" s="863"/>
      <c r="AB112" s="863"/>
      <c r="AC112" s="863"/>
      <c r="AD112" s="863"/>
      <c r="AE112" s="863"/>
      <c r="AF112" s="863"/>
    </row>
    <row r="113" spans="1:32" x14ac:dyDescent="0.3">
      <c r="A113" s="133"/>
      <c r="B113" s="133"/>
      <c r="C113" s="133"/>
      <c r="D113" s="133"/>
      <c r="E113" s="133"/>
      <c r="F113" s="133"/>
      <c r="G113" s="133"/>
      <c r="H113" s="133"/>
      <c r="I113" s="133"/>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row>
    <row r="114" spans="1:32" ht="81.75" customHeight="1" x14ac:dyDescent="0.3">
      <c r="A114" s="883" t="s">
        <v>2486</v>
      </c>
      <c r="B114" s="883"/>
      <c r="C114" s="883"/>
      <c r="D114" s="883"/>
      <c r="E114" s="883"/>
      <c r="F114" s="883"/>
      <c r="G114" s="883"/>
      <c r="H114" s="883"/>
      <c r="I114" s="883"/>
      <c r="J114" s="884" t="s">
        <v>2489</v>
      </c>
      <c r="K114" s="884"/>
      <c r="L114" s="884"/>
      <c r="M114" s="884"/>
      <c r="N114" s="884"/>
      <c r="O114" s="884"/>
      <c r="P114" s="884"/>
      <c r="Q114" s="884"/>
      <c r="R114" s="884"/>
      <c r="S114" s="884"/>
      <c r="T114" s="884"/>
      <c r="U114" s="884"/>
      <c r="V114" s="884"/>
      <c r="W114" s="884"/>
      <c r="X114" s="884"/>
      <c r="Y114" s="884"/>
      <c r="Z114" s="884"/>
      <c r="AA114" s="884"/>
      <c r="AB114" s="884"/>
      <c r="AC114" s="884"/>
      <c r="AD114" s="884"/>
      <c r="AE114" s="884"/>
      <c r="AF114" s="884"/>
    </row>
    <row r="116" spans="1:32" ht="37.5" customHeight="1" x14ac:dyDescent="0.3">
      <c r="A116" s="883" t="s">
        <v>2510</v>
      </c>
      <c r="B116" s="883"/>
      <c r="C116" s="883"/>
      <c r="D116" s="883"/>
      <c r="E116" s="883"/>
      <c r="F116" s="883"/>
      <c r="G116" s="883"/>
      <c r="H116" s="883"/>
      <c r="I116" s="883"/>
      <c r="J116" s="884" t="s">
        <v>2485</v>
      </c>
      <c r="K116" s="884"/>
      <c r="L116" s="884"/>
      <c r="M116" s="884"/>
      <c r="N116" s="884"/>
      <c r="O116" s="884"/>
      <c r="P116" s="884"/>
      <c r="Q116" s="884"/>
      <c r="R116" s="884"/>
      <c r="S116" s="884"/>
      <c r="T116" s="884"/>
      <c r="U116" s="884"/>
      <c r="V116" s="884"/>
      <c r="W116" s="884"/>
      <c r="X116" s="884"/>
      <c r="Y116" s="884"/>
      <c r="Z116" s="884"/>
      <c r="AA116" s="884"/>
      <c r="AB116" s="884"/>
      <c r="AC116" s="884"/>
      <c r="AD116" s="884"/>
      <c r="AE116" s="884"/>
      <c r="AF116" s="884"/>
    </row>
    <row r="118" spans="1:32" ht="36" customHeight="1" x14ac:dyDescent="0.3">
      <c r="A118" s="883" t="s">
        <v>2442</v>
      </c>
      <c r="B118" s="883"/>
      <c r="C118" s="883"/>
      <c r="D118" s="883"/>
      <c r="E118" s="883"/>
      <c r="F118" s="883"/>
      <c r="G118" s="883"/>
      <c r="H118" s="883"/>
      <c r="I118" s="883"/>
      <c r="J118" s="863" t="s">
        <v>2441</v>
      </c>
      <c r="K118" s="863"/>
      <c r="L118" s="863"/>
      <c r="M118" s="863"/>
      <c r="N118" s="863"/>
      <c r="O118" s="863"/>
      <c r="P118" s="863"/>
      <c r="Q118" s="863"/>
      <c r="R118" s="863"/>
      <c r="S118" s="863"/>
      <c r="T118" s="863"/>
      <c r="U118" s="863"/>
      <c r="V118" s="863"/>
      <c r="W118" s="863"/>
      <c r="X118" s="863"/>
      <c r="Y118" s="863"/>
      <c r="Z118" s="863"/>
      <c r="AA118" s="863"/>
      <c r="AB118" s="863"/>
      <c r="AC118" s="863"/>
      <c r="AD118" s="863"/>
      <c r="AE118" s="863"/>
      <c r="AF118" s="863"/>
    </row>
    <row r="120" spans="1:32" ht="81" customHeight="1" x14ac:dyDescent="0.3">
      <c r="A120" s="883" t="s">
        <v>2443</v>
      </c>
      <c r="B120" s="883"/>
      <c r="C120" s="883"/>
      <c r="D120" s="883"/>
      <c r="E120" s="883"/>
      <c r="F120" s="883"/>
      <c r="G120" s="883"/>
      <c r="H120" s="883"/>
      <c r="I120" s="883"/>
      <c r="J120" s="863" t="s">
        <v>2444</v>
      </c>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row>
    <row r="122" spans="1:32" ht="34.5" customHeight="1" x14ac:dyDescent="0.3">
      <c r="A122" s="883" t="s">
        <v>2445</v>
      </c>
      <c r="B122" s="883"/>
      <c r="C122" s="883"/>
      <c r="D122" s="883"/>
      <c r="E122" s="883"/>
      <c r="F122" s="883"/>
      <c r="G122" s="883"/>
      <c r="H122" s="883"/>
      <c r="I122" s="883"/>
      <c r="J122" s="863" t="s">
        <v>2446</v>
      </c>
      <c r="K122" s="863"/>
      <c r="L122" s="863"/>
      <c r="M122" s="863"/>
      <c r="N122" s="863"/>
      <c r="O122" s="863"/>
      <c r="P122" s="863"/>
      <c r="Q122" s="863"/>
      <c r="R122" s="863"/>
      <c r="S122" s="863"/>
      <c r="T122" s="863"/>
      <c r="U122" s="863"/>
      <c r="V122" s="863"/>
      <c r="W122" s="863"/>
      <c r="X122" s="863"/>
      <c r="Y122" s="863"/>
      <c r="Z122" s="863"/>
      <c r="AA122" s="863"/>
      <c r="AB122" s="863"/>
      <c r="AC122" s="863"/>
      <c r="AD122" s="863"/>
      <c r="AE122" s="863"/>
      <c r="AF122" s="863"/>
    </row>
    <row r="124" spans="1:32" ht="31.5" customHeight="1" x14ac:dyDescent="0.3">
      <c r="A124" s="883" t="s">
        <v>2447</v>
      </c>
      <c r="B124" s="883"/>
      <c r="C124" s="883"/>
      <c r="D124" s="883"/>
      <c r="E124" s="883"/>
      <c r="F124" s="883"/>
      <c r="G124" s="883"/>
      <c r="H124" s="883"/>
      <c r="I124" s="883"/>
      <c r="J124" s="863" t="s">
        <v>2448</v>
      </c>
      <c r="K124" s="863"/>
      <c r="L124" s="863"/>
      <c r="M124" s="863"/>
      <c r="N124" s="863"/>
      <c r="O124" s="863"/>
      <c r="P124" s="863"/>
      <c r="Q124" s="863"/>
      <c r="R124" s="863"/>
      <c r="S124" s="863"/>
      <c r="T124" s="863"/>
      <c r="U124" s="863"/>
      <c r="V124" s="863"/>
      <c r="W124" s="863"/>
      <c r="X124" s="863"/>
      <c r="Y124" s="863"/>
      <c r="Z124" s="863"/>
      <c r="AA124" s="863"/>
      <c r="AB124" s="863"/>
      <c r="AC124" s="863"/>
      <c r="AD124" s="863"/>
      <c r="AE124" s="863"/>
      <c r="AF124" s="863"/>
    </row>
    <row r="126" spans="1:32" ht="93.75" customHeight="1" x14ac:dyDescent="0.3">
      <c r="A126" s="883" t="s">
        <v>2449</v>
      </c>
      <c r="B126" s="883"/>
      <c r="C126" s="883"/>
      <c r="D126" s="883"/>
      <c r="E126" s="883"/>
      <c r="F126" s="883"/>
      <c r="G126" s="883"/>
      <c r="H126" s="883"/>
      <c r="I126" s="883"/>
      <c r="J126" s="863" t="s">
        <v>2450</v>
      </c>
      <c r="K126" s="863"/>
      <c r="L126" s="863"/>
      <c r="M126" s="863"/>
      <c r="N126" s="863"/>
      <c r="O126" s="863"/>
      <c r="P126" s="863"/>
      <c r="Q126" s="863"/>
      <c r="R126" s="863"/>
      <c r="S126" s="863"/>
      <c r="T126" s="863"/>
      <c r="U126" s="863"/>
      <c r="V126" s="863"/>
      <c r="W126" s="863"/>
      <c r="X126" s="863"/>
      <c r="Y126" s="863"/>
      <c r="Z126" s="863"/>
      <c r="AA126" s="863"/>
      <c r="AB126" s="863"/>
      <c r="AC126" s="863"/>
      <c r="AD126" s="863"/>
      <c r="AE126" s="863"/>
      <c r="AF126" s="863"/>
    </row>
    <row r="128" spans="1:32" ht="63" customHeight="1" x14ac:dyDescent="0.3">
      <c r="A128" s="883" t="s">
        <v>2451</v>
      </c>
      <c r="B128" s="883"/>
      <c r="C128" s="883"/>
      <c r="D128" s="883"/>
      <c r="E128" s="883"/>
      <c r="F128" s="883"/>
      <c r="G128" s="883"/>
      <c r="H128" s="883"/>
      <c r="I128" s="883"/>
      <c r="J128" s="863" t="s">
        <v>2452</v>
      </c>
      <c r="K128" s="863"/>
      <c r="L128" s="863"/>
      <c r="M128" s="863"/>
      <c r="N128" s="863"/>
      <c r="O128" s="863"/>
      <c r="P128" s="863"/>
      <c r="Q128" s="863"/>
      <c r="R128" s="863"/>
      <c r="S128" s="863"/>
      <c r="T128" s="863"/>
      <c r="U128" s="863"/>
      <c r="V128" s="863"/>
      <c r="W128" s="863"/>
      <c r="X128" s="863"/>
      <c r="Y128" s="863"/>
      <c r="Z128" s="863"/>
      <c r="AA128" s="863"/>
      <c r="AB128" s="863"/>
      <c r="AC128" s="863"/>
      <c r="AD128" s="863"/>
      <c r="AE128" s="863"/>
      <c r="AF128" s="863"/>
    </row>
    <row r="130" spans="1:32" x14ac:dyDescent="0.3">
      <c r="A130" s="883" t="s">
        <v>2453</v>
      </c>
      <c r="B130" s="883"/>
      <c r="C130" s="883"/>
      <c r="D130" s="883"/>
      <c r="E130" s="883"/>
      <c r="F130" s="883"/>
      <c r="G130" s="883"/>
      <c r="H130" s="883"/>
      <c r="I130" s="883"/>
      <c r="J130" s="863" t="s">
        <v>2454</v>
      </c>
      <c r="K130" s="863"/>
      <c r="L130" s="863"/>
      <c r="M130" s="863"/>
      <c r="N130" s="863"/>
      <c r="O130" s="863"/>
      <c r="P130" s="863"/>
      <c r="Q130" s="863"/>
      <c r="R130" s="863"/>
      <c r="S130" s="863"/>
      <c r="T130" s="863"/>
      <c r="U130" s="863"/>
      <c r="V130" s="863"/>
      <c r="W130" s="863"/>
      <c r="X130" s="863"/>
      <c r="Y130" s="863"/>
      <c r="Z130" s="863"/>
      <c r="AA130" s="863"/>
      <c r="AB130" s="863"/>
      <c r="AC130" s="863"/>
      <c r="AD130" s="863"/>
      <c r="AE130" s="863"/>
      <c r="AF130" s="863"/>
    </row>
    <row r="132" spans="1:32" ht="82.5" customHeight="1" x14ac:dyDescent="0.3">
      <c r="A132" s="883" t="s">
        <v>659</v>
      </c>
      <c r="B132" s="883"/>
      <c r="C132" s="883"/>
      <c r="D132" s="883"/>
      <c r="E132" s="883"/>
      <c r="F132" s="883"/>
      <c r="G132" s="883"/>
      <c r="H132" s="883"/>
      <c r="I132" s="883"/>
      <c r="J132" s="863" t="s">
        <v>2455</v>
      </c>
      <c r="K132" s="863"/>
      <c r="L132" s="863"/>
      <c r="M132" s="863"/>
      <c r="N132" s="863"/>
      <c r="O132" s="863"/>
      <c r="P132" s="863"/>
      <c r="Q132" s="863"/>
      <c r="R132" s="863"/>
      <c r="S132" s="863"/>
      <c r="T132" s="863"/>
      <c r="U132" s="863"/>
      <c r="V132" s="863"/>
      <c r="W132" s="863"/>
      <c r="X132" s="863"/>
      <c r="Y132" s="863"/>
      <c r="Z132" s="863"/>
      <c r="AA132" s="863"/>
      <c r="AB132" s="863"/>
      <c r="AC132" s="863"/>
      <c r="AD132" s="863"/>
      <c r="AE132" s="863"/>
      <c r="AF132" s="863"/>
    </row>
    <row r="134" spans="1:32" ht="39.75" customHeight="1" x14ac:dyDescent="0.3">
      <c r="A134" s="883" t="s">
        <v>2456</v>
      </c>
      <c r="B134" s="883"/>
      <c r="C134" s="883"/>
      <c r="D134" s="883"/>
      <c r="E134" s="883"/>
      <c r="F134" s="883"/>
      <c r="G134" s="883"/>
      <c r="H134" s="883"/>
      <c r="I134" s="883"/>
      <c r="J134" s="863" t="s">
        <v>2457</v>
      </c>
      <c r="K134" s="863"/>
      <c r="L134" s="863"/>
      <c r="M134" s="863"/>
      <c r="N134" s="863"/>
      <c r="O134" s="863"/>
      <c r="P134" s="863"/>
      <c r="Q134" s="863"/>
      <c r="R134" s="863"/>
      <c r="S134" s="863"/>
      <c r="T134" s="863"/>
      <c r="U134" s="863"/>
      <c r="V134" s="863"/>
      <c r="W134" s="863"/>
      <c r="X134" s="863"/>
      <c r="Y134" s="863"/>
      <c r="Z134" s="863"/>
      <c r="AA134" s="863"/>
      <c r="AB134" s="863"/>
      <c r="AC134" s="863"/>
      <c r="AD134" s="863"/>
      <c r="AE134" s="863"/>
      <c r="AF134" s="863"/>
    </row>
    <row r="136" spans="1:32" ht="68.25" customHeight="1" x14ac:dyDescent="0.3">
      <c r="A136" s="883" t="s">
        <v>2458</v>
      </c>
      <c r="B136" s="883"/>
      <c r="C136" s="883"/>
      <c r="D136" s="883"/>
      <c r="E136" s="883"/>
      <c r="F136" s="883"/>
      <c r="G136" s="883"/>
      <c r="H136" s="883"/>
      <c r="I136" s="883"/>
      <c r="J136" s="863" t="s">
        <v>2459</v>
      </c>
      <c r="K136" s="863"/>
      <c r="L136" s="863"/>
      <c r="M136" s="863"/>
      <c r="N136" s="863"/>
      <c r="O136" s="863"/>
      <c r="P136" s="863"/>
      <c r="Q136" s="863"/>
      <c r="R136" s="863"/>
      <c r="S136" s="863"/>
      <c r="T136" s="863"/>
      <c r="U136" s="863"/>
      <c r="V136" s="863"/>
      <c r="W136" s="863"/>
      <c r="X136" s="863"/>
      <c r="Y136" s="863"/>
      <c r="Z136" s="863"/>
      <c r="AA136" s="863"/>
      <c r="AB136" s="863"/>
      <c r="AC136" s="863"/>
      <c r="AD136" s="863"/>
      <c r="AE136" s="863"/>
      <c r="AF136" s="863"/>
    </row>
    <row r="138" spans="1:32" ht="83.25" customHeight="1" x14ac:dyDescent="0.3">
      <c r="A138" s="883" t="s">
        <v>2460</v>
      </c>
      <c r="B138" s="883"/>
      <c r="C138" s="883"/>
      <c r="D138" s="883"/>
      <c r="E138" s="883"/>
      <c r="F138" s="883"/>
      <c r="G138" s="883"/>
      <c r="H138" s="883"/>
      <c r="I138" s="883"/>
      <c r="J138" s="863" t="s">
        <v>2461</v>
      </c>
      <c r="K138" s="863"/>
      <c r="L138" s="863"/>
      <c r="M138" s="863"/>
      <c r="N138" s="863"/>
      <c r="O138" s="863"/>
      <c r="P138" s="863"/>
      <c r="Q138" s="863"/>
      <c r="R138" s="863"/>
      <c r="S138" s="863"/>
      <c r="T138" s="863"/>
      <c r="U138" s="863"/>
      <c r="V138" s="863"/>
      <c r="W138" s="863"/>
      <c r="X138" s="863"/>
      <c r="Y138" s="863"/>
      <c r="Z138" s="863"/>
      <c r="AA138" s="863"/>
      <c r="AB138" s="863"/>
      <c r="AC138" s="863"/>
      <c r="AD138" s="863"/>
      <c r="AE138" s="863"/>
      <c r="AF138" s="863"/>
    </row>
    <row r="140" spans="1:32" ht="79.5" customHeight="1" x14ac:dyDescent="0.3">
      <c r="A140" s="883" t="s">
        <v>2462</v>
      </c>
      <c r="B140" s="883"/>
      <c r="C140" s="883"/>
      <c r="D140" s="883"/>
      <c r="E140" s="883"/>
      <c r="F140" s="883"/>
      <c r="G140" s="883"/>
      <c r="H140" s="883"/>
      <c r="I140" s="883"/>
      <c r="J140" s="863" t="s">
        <v>2463</v>
      </c>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row>
    <row r="142" spans="1:32" ht="100.5" customHeight="1" x14ac:dyDescent="0.3">
      <c r="A142" s="883" t="s">
        <v>2464</v>
      </c>
      <c r="B142" s="883"/>
      <c r="C142" s="883"/>
      <c r="D142" s="883"/>
      <c r="E142" s="883"/>
      <c r="F142" s="883"/>
      <c r="G142" s="883"/>
      <c r="H142" s="883"/>
      <c r="I142" s="883"/>
      <c r="J142" s="863" t="s">
        <v>2465</v>
      </c>
      <c r="K142" s="863"/>
      <c r="L142" s="863"/>
      <c r="M142" s="863"/>
      <c r="N142" s="863"/>
      <c r="O142" s="863"/>
      <c r="P142" s="863"/>
      <c r="Q142" s="863"/>
      <c r="R142" s="863"/>
      <c r="S142" s="863"/>
      <c r="T142" s="863"/>
      <c r="U142" s="863"/>
      <c r="V142" s="863"/>
      <c r="W142" s="863"/>
      <c r="X142" s="863"/>
      <c r="Y142" s="863"/>
      <c r="Z142" s="863"/>
      <c r="AA142" s="863"/>
      <c r="AB142" s="863"/>
      <c r="AC142" s="863"/>
      <c r="AD142" s="863"/>
      <c r="AE142" s="863"/>
      <c r="AF142" s="863"/>
    </row>
    <row r="144" spans="1:32" ht="201.75" customHeight="1" x14ac:dyDescent="0.3">
      <c r="A144" s="883" t="s">
        <v>2466</v>
      </c>
      <c r="B144" s="883"/>
      <c r="C144" s="883"/>
      <c r="D144" s="883"/>
      <c r="E144" s="883"/>
      <c r="F144" s="883"/>
      <c r="G144" s="883"/>
      <c r="H144" s="883"/>
      <c r="I144" s="883"/>
      <c r="J144" s="863" t="s">
        <v>2467</v>
      </c>
      <c r="K144" s="863"/>
      <c r="L144" s="863"/>
      <c r="M144" s="863"/>
      <c r="N144" s="863"/>
      <c r="O144" s="863"/>
      <c r="P144" s="863"/>
      <c r="Q144" s="863"/>
      <c r="R144" s="863"/>
      <c r="S144" s="863"/>
      <c r="T144" s="863"/>
      <c r="U144" s="863"/>
      <c r="V144" s="863"/>
      <c r="W144" s="863"/>
      <c r="X144" s="863"/>
      <c r="Y144" s="863"/>
      <c r="Z144" s="863"/>
      <c r="AA144" s="863"/>
      <c r="AB144" s="863"/>
      <c r="AC144" s="863"/>
      <c r="AD144" s="863"/>
      <c r="AE144" s="863"/>
      <c r="AF144" s="863"/>
    </row>
    <row r="146" spans="1:16384" ht="69" customHeight="1" x14ac:dyDescent="0.3">
      <c r="A146" s="883" t="s">
        <v>2468</v>
      </c>
      <c r="B146" s="883"/>
      <c r="C146" s="883"/>
      <c r="D146" s="883"/>
      <c r="E146" s="883"/>
      <c r="F146" s="883"/>
      <c r="G146" s="883"/>
      <c r="H146" s="883"/>
      <c r="I146" s="883"/>
      <c r="J146" s="863" t="s">
        <v>2469</v>
      </c>
      <c r="K146" s="863"/>
      <c r="L146" s="863"/>
      <c r="M146" s="863"/>
      <c r="N146" s="863"/>
      <c r="O146" s="863"/>
      <c r="P146" s="863"/>
      <c r="Q146" s="863"/>
      <c r="R146" s="863"/>
      <c r="S146" s="863"/>
      <c r="T146" s="863"/>
      <c r="U146" s="863"/>
      <c r="V146" s="863"/>
      <c r="W146" s="863"/>
      <c r="X146" s="863"/>
      <c r="Y146" s="863"/>
      <c r="Z146" s="863"/>
      <c r="AA146" s="863"/>
      <c r="AB146" s="863"/>
      <c r="AC146" s="863"/>
      <c r="AD146" s="863"/>
      <c r="AE146" s="863"/>
      <c r="AF146" s="863"/>
    </row>
    <row r="148" spans="1:16384" ht="159.75" customHeight="1" x14ac:dyDescent="0.3">
      <c r="A148" s="883" t="s">
        <v>2470</v>
      </c>
      <c r="B148" s="883"/>
      <c r="C148" s="883"/>
      <c r="D148" s="883"/>
      <c r="E148" s="883"/>
      <c r="F148" s="883"/>
      <c r="G148" s="883"/>
      <c r="H148" s="883"/>
      <c r="I148" s="883"/>
      <c r="J148" s="863" t="s">
        <v>2876</v>
      </c>
      <c r="K148" s="863"/>
      <c r="L148" s="863"/>
      <c r="M148" s="863"/>
      <c r="N148" s="863"/>
      <c r="O148" s="863"/>
      <c r="P148" s="863"/>
      <c r="Q148" s="863"/>
      <c r="R148" s="863"/>
      <c r="S148" s="863"/>
      <c r="T148" s="863"/>
      <c r="U148" s="863"/>
      <c r="V148" s="863"/>
      <c r="W148" s="863"/>
      <c r="X148" s="863"/>
      <c r="Y148" s="863"/>
      <c r="Z148" s="863"/>
      <c r="AA148" s="863"/>
      <c r="AB148" s="863"/>
      <c r="AC148" s="863"/>
      <c r="AD148" s="863"/>
      <c r="AE148" s="863"/>
      <c r="AF148" s="863"/>
    </row>
    <row r="150" spans="1:16384" ht="53.25" customHeight="1" x14ac:dyDescent="0.3">
      <c r="A150" s="883" t="s">
        <v>2471</v>
      </c>
      <c r="B150" s="883"/>
      <c r="C150" s="883"/>
      <c r="D150" s="883"/>
      <c r="E150" s="883"/>
      <c r="F150" s="883"/>
      <c r="G150" s="883"/>
      <c r="H150" s="883"/>
      <c r="I150" s="883"/>
      <c r="J150" s="863" t="s">
        <v>2472</v>
      </c>
      <c r="K150" s="863"/>
      <c r="L150" s="863"/>
      <c r="M150" s="863"/>
      <c r="N150" s="863"/>
      <c r="O150" s="863"/>
      <c r="P150" s="863"/>
      <c r="Q150" s="863"/>
      <c r="R150" s="863"/>
      <c r="S150" s="863"/>
      <c r="T150" s="863"/>
      <c r="U150" s="863"/>
      <c r="V150" s="863"/>
      <c r="W150" s="863"/>
      <c r="X150" s="863"/>
      <c r="Y150" s="863"/>
      <c r="Z150" s="863"/>
      <c r="AA150" s="863"/>
      <c r="AB150" s="863"/>
      <c r="AC150" s="863"/>
      <c r="AD150" s="863"/>
      <c r="AE150" s="863"/>
      <c r="AF150" s="863"/>
    </row>
    <row r="152" spans="1:16384" ht="85.5" customHeight="1" x14ac:dyDescent="0.3">
      <c r="A152" s="883" t="s">
        <v>2473</v>
      </c>
      <c r="B152" s="883"/>
      <c r="C152" s="883"/>
      <c r="D152" s="883"/>
      <c r="E152" s="883"/>
      <c r="F152" s="883"/>
      <c r="G152" s="883"/>
      <c r="H152" s="883"/>
      <c r="I152" s="883"/>
      <c r="J152" s="863" t="s">
        <v>2474</v>
      </c>
      <c r="K152" s="863"/>
      <c r="L152" s="863"/>
      <c r="M152" s="863"/>
      <c r="N152" s="863"/>
      <c r="O152" s="863"/>
      <c r="P152" s="863"/>
      <c r="Q152" s="863"/>
      <c r="R152" s="863"/>
      <c r="S152" s="863"/>
      <c r="T152" s="863"/>
      <c r="U152" s="863"/>
      <c r="V152" s="863"/>
      <c r="W152" s="863"/>
      <c r="X152" s="863"/>
      <c r="Y152" s="863"/>
      <c r="Z152" s="863"/>
      <c r="AA152" s="863"/>
      <c r="AB152" s="863"/>
      <c r="AC152" s="863"/>
      <c r="AD152" s="863"/>
      <c r="AE152" s="863"/>
      <c r="AF152" s="863"/>
      <c r="AG152" s="883"/>
      <c r="AH152" s="883"/>
      <c r="AI152" s="883"/>
      <c r="AJ152" s="883"/>
      <c r="AK152" s="883"/>
      <c r="AL152" s="883"/>
      <c r="AM152" s="883"/>
      <c r="AN152" s="883"/>
      <c r="AO152" s="883"/>
      <c r="AP152" s="863"/>
      <c r="AQ152" s="863"/>
      <c r="AR152" s="863"/>
      <c r="AS152" s="863"/>
      <c r="AT152" s="863"/>
      <c r="AU152" s="863"/>
      <c r="AV152" s="863"/>
      <c r="AW152" s="863"/>
      <c r="AX152" s="863"/>
      <c r="AY152" s="863"/>
      <c r="AZ152" s="863"/>
      <c r="BA152" s="863"/>
      <c r="BB152" s="863"/>
      <c r="BC152" s="863"/>
      <c r="BD152" s="863"/>
      <c r="BE152" s="863"/>
      <c r="BF152" s="863"/>
      <c r="BG152" s="863"/>
      <c r="BH152" s="863"/>
      <c r="BI152" s="863"/>
      <c r="BJ152" s="863"/>
      <c r="BK152" s="863"/>
      <c r="BL152" s="863"/>
      <c r="BM152" s="883"/>
      <c r="BN152" s="883"/>
      <c r="BO152" s="883"/>
      <c r="BP152" s="883"/>
      <c r="BQ152" s="883"/>
      <c r="BR152" s="883"/>
      <c r="BS152" s="883"/>
      <c r="BT152" s="883"/>
      <c r="BU152" s="883"/>
      <c r="BV152" s="863"/>
      <c r="BW152" s="863"/>
      <c r="BX152" s="863"/>
      <c r="BY152" s="863"/>
      <c r="BZ152" s="863"/>
      <c r="CA152" s="863"/>
      <c r="CB152" s="863"/>
      <c r="CC152" s="863"/>
      <c r="CD152" s="863"/>
      <c r="CE152" s="863"/>
      <c r="CF152" s="863"/>
      <c r="CG152" s="863"/>
      <c r="CH152" s="863"/>
      <c r="CI152" s="863"/>
      <c r="CJ152" s="863"/>
      <c r="CK152" s="863"/>
      <c r="CL152" s="863"/>
      <c r="CM152" s="863"/>
      <c r="CN152" s="863"/>
      <c r="CO152" s="863"/>
      <c r="CP152" s="863"/>
      <c r="CQ152" s="863"/>
      <c r="CR152" s="863"/>
      <c r="CS152" s="883"/>
      <c r="CT152" s="883"/>
      <c r="CU152" s="883"/>
      <c r="CV152" s="883"/>
      <c r="CW152" s="883"/>
      <c r="CX152" s="883"/>
      <c r="CY152" s="883"/>
      <c r="CZ152" s="883"/>
      <c r="DA152" s="883"/>
      <c r="DB152" s="863"/>
      <c r="DC152" s="863"/>
      <c r="DD152" s="863"/>
      <c r="DE152" s="863"/>
      <c r="DF152" s="863"/>
      <c r="DG152" s="863"/>
      <c r="DH152" s="863"/>
      <c r="DI152" s="863"/>
      <c r="DJ152" s="863"/>
      <c r="DK152" s="863"/>
      <c r="DL152" s="863"/>
      <c r="DM152" s="863"/>
      <c r="DN152" s="863"/>
      <c r="DO152" s="863"/>
      <c r="DP152" s="863"/>
      <c r="DQ152" s="863"/>
      <c r="DR152" s="863"/>
      <c r="DS152" s="863"/>
      <c r="DT152" s="863"/>
      <c r="DU152" s="863"/>
      <c r="DV152" s="863"/>
      <c r="DW152" s="863"/>
      <c r="DX152" s="863"/>
      <c r="DY152" s="883"/>
      <c r="DZ152" s="883"/>
      <c r="EA152" s="883"/>
      <c r="EB152" s="883"/>
      <c r="EC152" s="883"/>
      <c r="ED152" s="883"/>
      <c r="EE152" s="883"/>
      <c r="EF152" s="883"/>
      <c r="EG152" s="883"/>
      <c r="EH152" s="863"/>
      <c r="EI152" s="863"/>
      <c r="EJ152" s="863"/>
      <c r="EK152" s="863"/>
      <c r="EL152" s="863"/>
      <c r="EM152" s="863"/>
      <c r="EN152" s="863"/>
      <c r="EO152" s="863"/>
      <c r="EP152" s="863"/>
      <c r="EQ152" s="863"/>
      <c r="ER152" s="863"/>
      <c r="ES152" s="863"/>
      <c r="ET152" s="863"/>
      <c r="EU152" s="863"/>
      <c r="EV152" s="863"/>
      <c r="EW152" s="863"/>
      <c r="EX152" s="863"/>
      <c r="EY152" s="863"/>
      <c r="EZ152" s="863"/>
      <c r="FA152" s="863"/>
      <c r="FB152" s="863"/>
      <c r="FC152" s="863"/>
      <c r="FD152" s="863"/>
      <c r="FE152" s="883"/>
      <c r="FF152" s="883"/>
      <c r="FG152" s="883"/>
      <c r="FH152" s="883"/>
      <c r="FI152" s="883"/>
      <c r="FJ152" s="883"/>
      <c r="FK152" s="883"/>
      <c r="FL152" s="883"/>
      <c r="FM152" s="883"/>
      <c r="FN152" s="863"/>
      <c r="FO152" s="863"/>
      <c r="FP152" s="863"/>
      <c r="FQ152" s="863"/>
      <c r="FR152" s="863"/>
      <c r="FS152" s="863"/>
      <c r="FT152" s="863"/>
      <c r="FU152" s="863"/>
      <c r="FV152" s="863"/>
      <c r="FW152" s="863"/>
      <c r="FX152" s="863"/>
      <c r="FY152" s="863"/>
      <c r="FZ152" s="863"/>
      <c r="GA152" s="863"/>
      <c r="GB152" s="863"/>
      <c r="GC152" s="863"/>
      <c r="GD152" s="863"/>
      <c r="GE152" s="863"/>
      <c r="GF152" s="863"/>
      <c r="GG152" s="863"/>
      <c r="GH152" s="863"/>
      <c r="GI152" s="863"/>
      <c r="GJ152" s="863"/>
      <c r="GK152" s="883"/>
      <c r="GL152" s="883"/>
      <c r="GM152" s="883"/>
      <c r="GN152" s="883"/>
      <c r="GO152" s="883"/>
      <c r="GP152" s="883"/>
      <c r="GQ152" s="883"/>
      <c r="GR152" s="883"/>
      <c r="GS152" s="883"/>
      <c r="GT152" s="863"/>
      <c r="GU152" s="863"/>
      <c r="GV152" s="863"/>
      <c r="GW152" s="863"/>
      <c r="GX152" s="863"/>
      <c r="GY152" s="863"/>
      <c r="GZ152" s="863"/>
      <c r="HA152" s="863"/>
      <c r="HB152" s="863"/>
      <c r="HC152" s="863"/>
      <c r="HD152" s="863"/>
      <c r="HE152" s="863"/>
      <c r="HF152" s="863"/>
      <c r="HG152" s="863"/>
      <c r="HH152" s="863"/>
      <c r="HI152" s="863"/>
      <c r="HJ152" s="863"/>
      <c r="HK152" s="863"/>
      <c r="HL152" s="863"/>
      <c r="HM152" s="863"/>
      <c r="HN152" s="863"/>
      <c r="HO152" s="863"/>
      <c r="HP152" s="863"/>
      <c r="HQ152" s="883"/>
      <c r="HR152" s="883"/>
      <c r="HS152" s="883"/>
      <c r="HT152" s="883"/>
      <c r="HU152" s="883"/>
      <c r="HV152" s="883"/>
      <c r="HW152" s="883"/>
      <c r="HX152" s="883"/>
      <c r="HY152" s="883"/>
      <c r="HZ152" s="863"/>
      <c r="IA152" s="863"/>
      <c r="IB152" s="863"/>
      <c r="IC152" s="863"/>
      <c r="ID152" s="863"/>
      <c r="IE152" s="863"/>
      <c r="IF152" s="863"/>
      <c r="IG152" s="863"/>
      <c r="IH152" s="863"/>
      <c r="II152" s="863"/>
      <c r="IJ152" s="863"/>
      <c r="IK152" s="863"/>
      <c r="IL152" s="863"/>
      <c r="IM152" s="863"/>
      <c r="IN152" s="863"/>
      <c r="IO152" s="863"/>
      <c r="IP152" s="863"/>
      <c r="IQ152" s="863"/>
      <c r="IR152" s="863"/>
      <c r="IS152" s="863"/>
      <c r="IT152" s="863"/>
      <c r="IU152" s="863"/>
      <c r="IV152" s="863"/>
      <c r="IW152" s="883"/>
      <c r="IX152" s="883"/>
      <c r="IY152" s="883"/>
      <c r="IZ152" s="883"/>
      <c r="JA152" s="883"/>
      <c r="JB152" s="883"/>
      <c r="JC152" s="883"/>
      <c r="JD152" s="883"/>
      <c r="JE152" s="883"/>
      <c r="JF152" s="863"/>
      <c r="JG152" s="863"/>
      <c r="JH152" s="863"/>
      <c r="JI152" s="863"/>
      <c r="JJ152" s="863"/>
      <c r="JK152" s="863"/>
      <c r="JL152" s="863"/>
      <c r="JM152" s="863"/>
      <c r="JN152" s="863"/>
      <c r="JO152" s="863"/>
      <c r="JP152" s="863"/>
      <c r="JQ152" s="863"/>
      <c r="JR152" s="863"/>
      <c r="JS152" s="863"/>
      <c r="JT152" s="863"/>
      <c r="JU152" s="863"/>
      <c r="JV152" s="863"/>
      <c r="JW152" s="863"/>
      <c r="JX152" s="863"/>
      <c r="JY152" s="863"/>
      <c r="JZ152" s="863"/>
      <c r="KA152" s="863"/>
      <c r="KB152" s="863"/>
      <c r="KC152" s="883"/>
      <c r="KD152" s="883"/>
      <c r="KE152" s="883"/>
      <c r="KF152" s="883"/>
      <c r="KG152" s="883"/>
      <c r="KH152" s="883"/>
      <c r="KI152" s="883"/>
      <c r="KJ152" s="883"/>
      <c r="KK152" s="883"/>
      <c r="KL152" s="863"/>
      <c r="KM152" s="863"/>
      <c r="KN152" s="863"/>
      <c r="KO152" s="863"/>
      <c r="KP152" s="863"/>
      <c r="KQ152" s="863"/>
      <c r="KR152" s="863"/>
      <c r="KS152" s="863"/>
      <c r="KT152" s="863"/>
      <c r="KU152" s="863"/>
      <c r="KV152" s="863"/>
      <c r="KW152" s="863"/>
      <c r="KX152" s="863"/>
      <c r="KY152" s="863"/>
      <c r="KZ152" s="863"/>
      <c r="LA152" s="863"/>
      <c r="LB152" s="863"/>
      <c r="LC152" s="863"/>
      <c r="LD152" s="863"/>
      <c r="LE152" s="863"/>
      <c r="LF152" s="863"/>
      <c r="LG152" s="863"/>
      <c r="LH152" s="863"/>
      <c r="LI152" s="883"/>
      <c r="LJ152" s="883"/>
      <c r="LK152" s="883"/>
      <c r="LL152" s="883"/>
      <c r="LM152" s="883"/>
      <c r="LN152" s="883"/>
      <c r="LO152" s="883"/>
      <c r="LP152" s="883"/>
      <c r="LQ152" s="883"/>
      <c r="LR152" s="863"/>
      <c r="LS152" s="863"/>
      <c r="LT152" s="863"/>
      <c r="LU152" s="863"/>
      <c r="LV152" s="863"/>
      <c r="LW152" s="863"/>
      <c r="LX152" s="863"/>
      <c r="LY152" s="863"/>
      <c r="LZ152" s="863"/>
      <c r="MA152" s="863"/>
      <c r="MB152" s="863"/>
      <c r="MC152" s="863"/>
      <c r="MD152" s="863"/>
      <c r="ME152" s="863"/>
      <c r="MF152" s="863"/>
      <c r="MG152" s="863"/>
      <c r="MH152" s="863"/>
      <c r="MI152" s="863"/>
      <c r="MJ152" s="863"/>
      <c r="MK152" s="863"/>
      <c r="ML152" s="863"/>
      <c r="MM152" s="863"/>
      <c r="MN152" s="863"/>
      <c r="MO152" s="883"/>
      <c r="MP152" s="883"/>
      <c r="MQ152" s="883"/>
      <c r="MR152" s="883"/>
      <c r="MS152" s="883"/>
      <c r="MT152" s="883"/>
      <c r="MU152" s="883"/>
      <c r="MV152" s="883"/>
      <c r="MW152" s="883"/>
      <c r="MX152" s="863"/>
      <c r="MY152" s="863"/>
      <c r="MZ152" s="863"/>
      <c r="NA152" s="863"/>
      <c r="NB152" s="863"/>
      <c r="NC152" s="863"/>
      <c r="ND152" s="863"/>
      <c r="NE152" s="863"/>
      <c r="NF152" s="863"/>
      <c r="NG152" s="863"/>
      <c r="NH152" s="863"/>
      <c r="NI152" s="863"/>
      <c r="NJ152" s="863"/>
      <c r="NK152" s="863"/>
      <c r="NL152" s="863"/>
      <c r="NM152" s="863"/>
      <c r="NN152" s="863"/>
      <c r="NO152" s="863"/>
      <c r="NP152" s="863"/>
      <c r="NQ152" s="863"/>
      <c r="NR152" s="863"/>
      <c r="NS152" s="863"/>
      <c r="NT152" s="863"/>
      <c r="NU152" s="883"/>
      <c r="NV152" s="883"/>
      <c r="NW152" s="883"/>
      <c r="NX152" s="883"/>
      <c r="NY152" s="883"/>
      <c r="NZ152" s="883"/>
      <c r="OA152" s="883"/>
      <c r="OB152" s="883"/>
      <c r="OC152" s="883"/>
      <c r="OD152" s="863"/>
      <c r="OE152" s="863"/>
      <c r="OF152" s="863"/>
      <c r="OG152" s="863"/>
      <c r="OH152" s="863"/>
      <c r="OI152" s="863"/>
      <c r="OJ152" s="863"/>
      <c r="OK152" s="863"/>
      <c r="OL152" s="863"/>
      <c r="OM152" s="863"/>
      <c r="ON152" s="863"/>
      <c r="OO152" s="863"/>
      <c r="OP152" s="863"/>
      <c r="OQ152" s="863"/>
      <c r="OR152" s="863"/>
      <c r="OS152" s="863"/>
      <c r="OT152" s="863"/>
      <c r="OU152" s="863"/>
      <c r="OV152" s="863"/>
      <c r="OW152" s="863"/>
      <c r="OX152" s="863"/>
      <c r="OY152" s="863"/>
      <c r="OZ152" s="863"/>
      <c r="PA152" s="883"/>
      <c r="PB152" s="883"/>
      <c r="PC152" s="883"/>
      <c r="PD152" s="883"/>
      <c r="PE152" s="883"/>
      <c r="PF152" s="883"/>
      <c r="PG152" s="883"/>
      <c r="PH152" s="883"/>
      <c r="PI152" s="883"/>
      <c r="PJ152" s="863"/>
      <c r="PK152" s="863"/>
      <c r="PL152" s="863"/>
      <c r="PM152" s="863"/>
      <c r="PN152" s="863"/>
      <c r="PO152" s="863"/>
      <c r="PP152" s="863"/>
      <c r="PQ152" s="863"/>
      <c r="PR152" s="863"/>
      <c r="PS152" s="863"/>
      <c r="PT152" s="863"/>
      <c r="PU152" s="863"/>
      <c r="PV152" s="863"/>
      <c r="PW152" s="863"/>
      <c r="PX152" s="863"/>
      <c r="PY152" s="863"/>
      <c r="PZ152" s="863"/>
      <c r="QA152" s="863"/>
      <c r="QB152" s="863"/>
      <c r="QC152" s="863"/>
      <c r="QD152" s="863"/>
      <c r="QE152" s="863"/>
      <c r="QF152" s="863"/>
      <c r="QG152" s="883"/>
      <c r="QH152" s="883"/>
      <c r="QI152" s="883"/>
      <c r="QJ152" s="883"/>
      <c r="QK152" s="883"/>
      <c r="QL152" s="883"/>
      <c r="QM152" s="883"/>
      <c r="QN152" s="883"/>
      <c r="QO152" s="883"/>
      <c r="QP152" s="863"/>
      <c r="QQ152" s="863"/>
      <c r="QR152" s="863"/>
      <c r="QS152" s="863"/>
      <c r="QT152" s="863"/>
      <c r="QU152" s="863"/>
      <c r="QV152" s="863"/>
      <c r="QW152" s="863"/>
      <c r="QX152" s="863"/>
      <c r="QY152" s="863"/>
      <c r="QZ152" s="863"/>
      <c r="RA152" s="863"/>
      <c r="RB152" s="863"/>
      <c r="RC152" s="863"/>
      <c r="RD152" s="863"/>
      <c r="RE152" s="863"/>
      <c r="RF152" s="863"/>
      <c r="RG152" s="863"/>
      <c r="RH152" s="863"/>
      <c r="RI152" s="863"/>
      <c r="RJ152" s="863"/>
      <c r="RK152" s="863"/>
      <c r="RL152" s="863"/>
      <c r="RM152" s="883"/>
      <c r="RN152" s="883"/>
      <c r="RO152" s="883"/>
      <c r="RP152" s="883"/>
      <c r="RQ152" s="883"/>
      <c r="RR152" s="883"/>
      <c r="RS152" s="883"/>
      <c r="RT152" s="883"/>
      <c r="RU152" s="883"/>
      <c r="RV152" s="863"/>
      <c r="RW152" s="863"/>
      <c r="RX152" s="863"/>
      <c r="RY152" s="863"/>
      <c r="RZ152" s="863"/>
      <c r="SA152" s="863"/>
      <c r="SB152" s="863"/>
      <c r="SC152" s="863"/>
      <c r="SD152" s="863"/>
      <c r="SE152" s="863"/>
      <c r="SF152" s="863"/>
      <c r="SG152" s="863"/>
      <c r="SH152" s="863"/>
      <c r="SI152" s="863"/>
      <c r="SJ152" s="863"/>
      <c r="SK152" s="863"/>
      <c r="SL152" s="863"/>
      <c r="SM152" s="863"/>
      <c r="SN152" s="863"/>
      <c r="SO152" s="863"/>
      <c r="SP152" s="863"/>
      <c r="SQ152" s="863"/>
      <c r="SR152" s="863"/>
      <c r="SS152" s="883"/>
      <c r="ST152" s="883"/>
      <c r="SU152" s="883"/>
      <c r="SV152" s="883"/>
      <c r="SW152" s="883"/>
      <c r="SX152" s="883"/>
      <c r="SY152" s="883"/>
      <c r="SZ152" s="883"/>
      <c r="TA152" s="883"/>
      <c r="TB152" s="863"/>
      <c r="TC152" s="863"/>
      <c r="TD152" s="863"/>
      <c r="TE152" s="863"/>
      <c r="TF152" s="863"/>
      <c r="TG152" s="863"/>
      <c r="TH152" s="863"/>
      <c r="TI152" s="863"/>
      <c r="TJ152" s="863"/>
      <c r="TK152" s="863"/>
      <c r="TL152" s="863"/>
      <c r="TM152" s="863"/>
      <c r="TN152" s="863"/>
      <c r="TO152" s="863"/>
      <c r="TP152" s="863"/>
      <c r="TQ152" s="863"/>
      <c r="TR152" s="863"/>
      <c r="TS152" s="863"/>
      <c r="TT152" s="863"/>
      <c r="TU152" s="863"/>
      <c r="TV152" s="863"/>
      <c r="TW152" s="863"/>
      <c r="TX152" s="863"/>
      <c r="TY152" s="883"/>
      <c r="TZ152" s="883"/>
      <c r="UA152" s="883"/>
      <c r="UB152" s="883"/>
      <c r="UC152" s="883"/>
      <c r="UD152" s="883"/>
      <c r="UE152" s="883"/>
      <c r="UF152" s="883"/>
      <c r="UG152" s="883"/>
      <c r="UH152" s="863"/>
      <c r="UI152" s="863"/>
      <c r="UJ152" s="863"/>
      <c r="UK152" s="863"/>
      <c r="UL152" s="863"/>
      <c r="UM152" s="863"/>
      <c r="UN152" s="863"/>
      <c r="UO152" s="863"/>
      <c r="UP152" s="863"/>
      <c r="UQ152" s="863"/>
      <c r="UR152" s="863"/>
      <c r="US152" s="863"/>
      <c r="UT152" s="863"/>
      <c r="UU152" s="863"/>
      <c r="UV152" s="863"/>
      <c r="UW152" s="863"/>
      <c r="UX152" s="863"/>
      <c r="UY152" s="863"/>
      <c r="UZ152" s="863"/>
      <c r="VA152" s="863"/>
      <c r="VB152" s="863"/>
      <c r="VC152" s="863"/>
      <c r="VD152" s="863"/>
      <c r="VE152" s="883"/>
      <c r="VF152" s="883"/>
      <c r="VG152" s="883"/>
      <c r="VH152" s="883"/>
      <c r="VI152" s="883"/>
      <c r="VJ152" s="883"/>
      <c r="VK152" s="883"/>
      <c r="VL152" s="883"/>
      <c r="VM152" s="883"/>
      <c r="VN152" s="863"/>
      <c r="VO152" s="863"/>
      <c r="VP152" s="863"/>
      <c r="VQ152" s="863"/>
      <c r="VR152" s="863"/>
      <c r="VS152" s="863"/>
      <c r="VT152" s="863"/>
      <c r="VU152" s="863"/>
      <c r="VV152" s="863"/>
      <c r="VW152" s="863"/>
      <c r="VX152" s="863"/>
      <c r="VY152" s="863"/>
      <c r="VZ152" s="863"/>
      <c r="WA152" s="863"/>
      <c r="WB152" s="863"/>
      <c r="WC152" s="863"/>
      <c r="WD152" s="863"/>
      <c r="WE152" s="863"/>
      <c r="WF152" s="863"/>
      <c r="WG152" s="863"/>
      <c r="WH152" s="863"/>
      <c r="WI152" s="863"/>
      <c r="WJ152" s="863"/>
      <c r="WK152" s="883"/>
      <c r="WL152" s="883"/>
      <c r="WM152" s="883"/>
      <c r="WN152" s="883"/>
      <c r="WO152" s="883"/>
      <c r="WP152" s="883"/>
      <c r="WQ152" s="883"/>
      <c r="WR152" s="883"/>
      <c r="WS152" s="883"/>
      <c r="WT152" s="863"/>
      <c r="WU152" s="863"/>
      <c r="WV152" s="863"/>
      <c r="WW152" s="863"/>
      <c r="WX152" s="863"/>
      <c r="WY152" s="863"/>
      <c r="WZ152" s="863"/>
      <c r="XA152" s="863"/>
      <c r="XB152" s="863"/>
      <c r="XC152" s="863"/>
      <c r="XD152" s="863"/>
      <c r="XE152" s="863"/>
      <c r="XF152" s="863"/>
      <c r="XG152" s="863"/>
      <c r="XH152" s="863"/>
      <c r="XI152" s="863"/>
      <c r="XJ152" s="863"/>
      <c r="XK152" s="863"/>
      <c r="XL152" s="863"/>
      <c r="XM152" s="863"/>
      <c r="XN152" s="863"/>
      <c r="XO152" s="863"/>
      <c r="XP152" s="863"/>
      <c r="XQ152" s="883"/>
      <c r="XR152" s="883"/>
      <c r="XS152" s="883"/>
      <c r="XT152" s="883"/>
      <c r="XU152" s="883"/>
      <c r="XV152" s="883"/>
      <c r="XW152" s="883"/>
      <c r="XX152" s="883"/>
      <c r="XY152" s="883"/>
      <c r="XZ152" s="863"/>
      <c r="YA152" s="863"/>
      <c r="YB152" s="863"/>
      <c r="YC152" s="863"/>
      <c r="YD152" s="863"/>
      <c r="YE152" s="863"/>
      <c r="YF152" s="863"/>
      <c r="YG152" s="863"/>
      <c r="YH152" s="863"/>
      <c r="YI152" s="863"/>
      <c r="YJ152" s="863"/>
      <c r="YK152" s="863"/>
      <c r="YL152" s="863"/>
      <c r="YM152" s="863"/>
      <c r="YN152" s="863"/>
      <c r="YO152" s="863"/>
      <c r="YP152" s="863"/>
      <c r="YQ152" s="863"/>
      <c r="YR152" s="863"/>
      <c r="YS152" s="863"/>
      <c r="YT152" s="863"/>
      <c r="YU152" s="863"/>
      <c r="YV152" s="863"/>
      <c r="YW152" s="883"/>
      <c r="YX152" s="883"/>
      <c r="YY152" s="883"/>
      <c r="YZ152" s="883"/>
      <c r="ZA152" s="883"/>
      <c r="ZB152" s="883"/>
      <c r="ZC152" s="883"/>
      <c r="ZD152" s="883"/>
      <c r="ZE152" s="883"/>
      <c r="ZF152" s="863"/>
      <c r="ZG152" s="863"/>
      <c r="ZH152" s="863"/>
      <c r="ZI152" s="863"/>
      <c r="ZJ152" s="863"/>
      <c r="ZK152" s="863"/>
      <c r="ZL152" s="863"/>
      <c r="ZM152" s="863"/>
      <c r="ZN152" s="863"/>
      <c r="ZO152" s="863"/>
      <c r="ZP152" s="863"/>
      <c r="ZQ152" s="863"/>
      <c r="ZR152" s="863"/>
      <c r="ZS152" s="863"/>
      <c r="ZT152" s="863"/>
      <c r="ZU152" s="863"/>
      <c r="ZV152" s="863"/>
      <c r="ZW152" s="863"/>
      <c r="ZX152" s="863"/>
      <c r="ZY152" s="863"/>
      <c r="ZZ152" s="863"/>
      <c r="AAA152" s="863"/>
      <c r="AAB152" s="863"/>
      <c r="AAC152" s="883"/>
      <c r="AAD152" s="883"/>
      <c r="AAE152" s="883"/>
      <c r="AAF152" s="883"/>
      <c r="AAG152" s="883"/>
      <c r="AAH152" s="883"/>
      <c r="AAI152" s="883"/>
      <c r="AAJ152" s="883"/>
      <c r="AAK152" s="883"/>
      <c r="AAL152" s="863"/>
      <c r="AAM152" s="863"/>
      <c r="AAN152" s="863"/>
      <c r="AAO152" s="863"/>
      <c r="AAP152" s="863"/>
      <c r="AAQ152" s="863"/>
      <c r="AAR152" s="863"/>
      <c r="AAS152" s="863"/>
      <c r="AAT152" s="863"/>
      <c r="AAU152" s="863"/>
      <c r="AAV152" s="863"/>
      <c r="AAW152" s="863"/>
      <c r="AAX152" s="863"/>
      <c r="AAY152" s="863"/>
      <c r="AAZ152" s="863"/>
      <c r="ABA152" s="863"/>
      <c r="ABB152" s="863"/>
      <c r="ABC152" s="863"/>
      <c r="ABD152" s="863"/>
      <c r="ABE152" s="863"/>
      <c r="ABF152" s="863"/>
      <c r="ABG152" s="863"/>
      <c r="ABH152" s="863"/>
      <c r="ABI152" s="883"/>
      <c r="ABJ152" s="883"/>
      <c r="ABK152" s="883"/>
      <c r="ABL152" s="883"/>
      <c r="ABM152" s="883"/>
      <c r="ABN152" s="883"/>
      <c r="ABO152" s="883"/>
      <c r="ABP152" s="883"/>
      <c r="ABQ152" s="883"/>
      <c r="ABR152" s="863"/>
      <c r="ABS152" s="863"/>
      <c r="ABT152" s="863"/>
      <c r="ABU152" s="863"/>
      <c r="ABV152" s="863"/>
      <c r="ABW152" s="863"/>
      <c r="ABX152" s="863"/>
      <c r="ABY152" s="863"/>
      <c r="ABZ152" s="863"/>
      <c r="ACA152" s="863"/>
      <c r="ACB152" s="863"/>
      <c r="ACC152" s="863"/>
      <c r="ACD152" s="863"/>
      <c r="ACE152" s="863"/>
      <c r="ACF152" s="863"/>
      <c r="ACG152" s="863"/>
      <c r="ACH152" s="863"/>
      <c r="ACI152" s="863"/>
      <c r="ACJ152" s="863"/>
      <c r="ACK152" s="863"/>
      <c r="ACL152" s="863"/>
      <c r="ACM152" s="863"/>
      <c r="ACN152" s="863"/>
      <c r="ACO152" s="883"/>
      <c r="ACP152" s="883"/>
      <c r="ACQ152" s="883"/>
      <c r="ACR152" s="883"/>
      <c r="ACS152" s="883"/>
      <c r="ACT152" s="883"/>
      <c r="ACU152" s="883"/>
      <c r="ACV152" s="883"/>
      <c r="ACW152" s="883"/>
      <c r="ACX152" s="863"/>
      <c r="ACY152" s="863"/>
      <c r="ACZ152" s="863"/>
      <c r="ADA152" s="863"/>
      <c r="ADB152" s="863"/>
      <c r="ADC152" s="863"/>
      <c r="ADD152" s="863"/>
      <c r="ADE152" s="863"/>
      <c r="ADF152" s="863"/>
      <c r="ADG152" s="863"/>
      <c r="ADH152" s="863"/>
      <c r="ADI152" s="863"/>
      <c r="ADJ152" s="863"/>
      <c r="ADK152" s="863"/>
      <c r="ADL152" s="863"/>
      <c r="ADM152" s="863"/>
      <c r="ADN152" s="863"/>
      <c r="ADO152" s="863"/>
      <c r="ADP152" s="863"/>
      <c r="ADQ152" s="863"/>
      <c r="ADR152" s="863"/>
      <c r="ADS152" s="863"/>
      <c r="ADT152" s="863"/>
      <c r="ADU152" s="883"/>
      <c r="ADV152" s="883"/>
      <c r="ADW152" s="883"/>
      <c r="ADX152" s="883"/>
      <c r="ADY152" s="883"/>
      <c r="ADZ152" s="883"/>
      <c r="AEA152" s="883"/>
      <c r="AEB152" s="883"/>
      <c r="AEC152" s="883"/>
      <c r="AED152" s="863"/>
      <c r="AEE152" s="863"/>
      <c r="AEF152" s="863"/>
      <c r="AEG152" s="863"/>
      <c r="AEH152" s="863"/>
      <c r="AEI152" s="863"/>
      <c r="AEJ152" s="863"/>
      <c r="AEK152" s="863"/>
      <c r="AEL152" s="863"/>
      <c r="AEM152" s="863"/>
      <c r="AEN152" s="863"/>
      <c r="AEO152" s="863"/>
      <c r="AEP152" s="863"/>
      <c r="AEQ152" s="863"/>
      <c r="AER152" s="863"/>
      <c r="AES152" s="863"/>
      <c r="AET152" s="863"/>
      <c r="AEU152" s="863"/>
      <c r="AEV152" s="863"/>
      <c r="AEW152" s="863"/>
      <c r="AEX152" s="863"/>
      <c r="AEY152" s="863"/>
      <c r="AEZ152" s="863"/>
      <c r="AFA152" s="883"/>
      <c r="AFB152" s="883"/>
      <c r="AFC152" s="883"/>
      <c r="AFD152" s="883"/>
      <c r="AFE152" s="883"/>
      <c r="AFF152" s="883"/>
      <c r="AFG152" s="883"/>
      <c r="AFH152" s="883"/>
      <c r="AFI152" s="883"/>
      <c r="AFJ152" s="863"/>
      <c r="AFK152" s="863"/>
      <c r="AFL152" s="863"/>
      <c r="AFM152" s="863"/>
      <c r="AFN152" s="863"/>
      <c r="AFO152" s="863"/>
      <c r="AFP152" s="863"/>
      <c r="AFQ152" s="863"/>
      <c r="AFR152" s="863"/>
      <c r="AFS152" s="863"/>
      <c r="AFT152" s="863"/>
      <c r="AFU152" s="863"/>
      <c r="AFV152" s="863"/>
      <c r="AFW152" s="863"/>
      <c r="AFX152" s="863"/>
      <c r="AFY152" s="863"/>
      <c r="AFZ152" s="863"/>
      <c r="AGA152" s="863"/>
      <c r="AGB152" s="863"/>
      <c r="AGC152" s="863"/>
      <c r="AGD152" s="863"/>
      <c r="AGE152" s="863"/>
      <c r="AGF152" s="863"/>
      <c r="AGG152" s="883"/>
      <c r="AGH152" s="883"/>
      <c r="AGI152" s="883"/>
      <c r="AGJ152" s="883"/>
      <c r="AGK152" s="883"/>
      <c r="AGL152" s="883"/>
      <c r="AGM152" s="883"/>
      <c r="AGN152" s="883"/>
      <c r="AGO152" s="883"/>
      <c r="AGP152" s="863"/>
      <c r="AGQ152" s="863"/>
      <c r="AGR152" s="863"/>
      <c r="AGS152" s="863"/>
      <c r="AGT152" s="863"/>
      <c r="AGU152" s="863"/>
      <c r="AGV152" s="863"/>
      <c r="AGW152" s="863"/>
      <c r="AGX152" s="863"/>
      <c r="AGY152" s="863"/>
      <c r="AGZ152" s="863"/>
      <c r="AHA152" s="863"/>
      <c r="AHB152" s="863"/>
      <c r="AHC152" s="863"/>
      <c r="AHD152" s="863"/>
      <c r="AHE152" s="863"/>
      <c r="AHF152" s="863"/>
      <c r="AHG152" s="863"/>
      <c r="AHH152" s="863"/>
      <c r="AHI152" s="863"/>
      <c r="AHJ152" s="863"/>
      <c r="AHK152" s="863"/>
      <c r="AHL152" s="863"/>
      <c r="AHM152" s="883"/>
      <c r="AHN152" s="883"/>
      <c r="AHO152" s="883"/>
      <c r="AHP152" s="883"/>
      <c r="AHQ152" s="883"/>
      <c r="AHR152" s="883"/>
      <c r="AHS152" s="883"/>
      <c r="AHT152" s="883"/>
      <c r="AHU152" s="883"/>
      <c r="AHV152" s="863"/>
      <c r="AHW152" s="863"/>
      <c r="AHX152" s="863"/>
      <c r="AHY152" s="863"/>
      <c r="AHZ152" s="863"/>
      <c r="AIA152" s="863"/>
      <c r="AIB152" s="863"/>
      <c r="AIC152" s="863"/>
      <c r="AID152" s="863"/>
      <c r="AIE152" s="863"/>
      <c r="AIF152" s="863"/>
      <c r="AIG152" s="863"/>
      <c r="AIH152" s="863"/>
      <c r="AII152" s="863"/>
      <c r="AIJ152" s="863"/>
      <c r="AIK152" s="863"/>
      <c r="AIL152" s="863"/>
      <c r="AIM152" s="863"/>
      <c r="AIN152" s="863"/>
      <c r="AIO152" s="863"/>
      <c r="AIP152" s="863"/>
      <c r="AIQ152" s="863"/>
      <c r="AIR152" s="863"/>
      <c r="AIS152" s="883"/>
      <c r="AIT152" s="883"/>
      <c r="AIU152" s="883"/>
      <c r="AIV152" s="883"/>
      <c r="AIW152" s="883"/>
      <c r="AIX152" s="883"/>
      <c r="AIY152" s="883"/>
      <c r="AIZ152" s="883"/>
      <c r="AJA152" s="883"/>
      <c r="AJB152" s="863"/>
      <c r="AJC152" s="863"/>
      <c r="AJD152" s="863"/>
      <c r="AJE152" s="863"/>
      <c r="AJF152" s="863"/>
      <c r="AJG152" s="863"/>
      <c r="AJH152" s="863"/>
      <c r="AJI152" s="863"/>
      <c r="AJJ152" s="863"/>
      <c r="AJK152" s="863"/>
      <c r="AJL152" s="863"/>
      <c r="AJM152" s="863"/>
      <c r="AJN152" s="863"/>
      <c r="AJO152" s="863"/>
      <c r="AJP152" s="863"/>
      <c r="AJQ152" s="863"/>
      <c r="AJR152" s="863"/>
      <c r="AJS152" s="863"/>
      <c r="AJT152" s="863"/>
      <c r="AJU152" s="863"/>
      <c r="AJV152" s="863"/>
      <c r="AJW152" s="863"/>
      <c r="AJX152" s="863"/>
      <c r="AJY152" s="883"/>
      <c r="AJZ152" s="883"/>
      <c r="AKA152" s="883"/>
      <c r="AKB152" s="883"/>
      <c r="AKC152" s="883"/>
      <c r="AKD152" s="883"/>
      <c r="AKE152" s="883"/>
      <c r="AKF152" s="883"/>
      <c r="AKG152" s="883"/>
      <c r="AKH152" s="863"/>
      <c r="AKI152" s="863"/>
      <c r="AKJ152" s="863"/>
      <c r="AKK152" s="863"/>
      <c r="AKL152" s="863"/>
      <c r="AKM152" s="863"/>
      <c r="AKN152" s="863"/>
      <c r="AKO152" s="863"/>
      <c r="AKP152" s="863"/>
      <c r="AKQ152" s="863"/>
      <c r="AKR152" s="863"/>
      <c r="AKS152" s="863"/>
      <c r="AKT152" s="863"/>
      <c r="AKU152" s="863"/>
      <c r="AKV152" s="863"/>
      <c r="AKW152" s="863"/>
      <c r="AKX152" s="863"/>
      <c r="AKY152" s="863"/>
      <c r="AKZ152" s="863"/>
      <c r="ALA152" s="863"/>
      <c r="ALB152" s="863"/>
      <c r="ALC152" s="863"/>
      <c r="ALD152" s="863"/>
      <c r="ALE152" s="883"/>
      <c r="ALF152" s="883"/>
      <c r="ALG152" s="883"/>
      <c r="ALH152" s="883"/>
      <c r="ALI152" s="883"/>
      <c r="ALJ152" s="883"/>
      <c r="ALK152" s="883"/>
      <c r="ALL152" s="883"/>
      <c r="ALM152" s="883"/>
      <c r="ALN152" s="863"/>
      <c r="ALO152" s="863"/>
      <c r="ALP152" s="863"/>
      <c r="ALQ152" s="863"/>
      <c r="ALR152" s="863"/>
      <c r="ALS152" s="863"/>
      <c r="ALT152" s="863"/>
      <c r="ALU152" s="863"/>
      <c r="ALV152" s="863"/>
      <c r="ALW152" s="863"/>
      <c r="ALX152" s="863"/>
      <c r="ALY152" s="863"/>
      <c r="ALZ152" s="863"/>
      <c r="AMA152" s="863"/>
      <c r="AMB152" s="863"/>
      <c r="AMC152" s="863"/>
      <c r="AMD152" s="863"/>
      <c r="AME152" s="863"/>
      <c r="AMF152" s="863"/>
      <c r="AMG152" s="863"/>
      <c r="AMH152" s="863"/>
      <c r="AMI152" s="863"/>
      <c r="AMJ152" s="863"/>
      <c r="AMK152" s="883"/>
      <c r="AML152" s="883"/>
      <c r="AMM152" s="883"/>
      <c r="AMN152" s="883"/>
      <c r="AMO152" s="883"/>
      <c r="AMP152" s="883"/>
      <c r="AMQ152" s="883"/>
      <c r="AMR152" s="883"/>
      <c r="AMS152" s="883"/>
      <c r="AMT152" s="863"/>
      <c r="AMU152" s="863"/>
      <c r="AMV152" s="863"/>
      <c r="AMW152" s="863"/>
      <c r="AMX152" s="863"/>
      <c r="AMY152" s="863"/>
      <c r="AMZ152" s="863"/>
      <c r="ANA152" s="863"/>
      <c r="ANB152" s="863"/>
      <c r="ANC152" s="863"/>
      <c r="AND152" s="863"/>
      <c r="ANE152" s="863"/>
      <c r="ANF152" s="863"/>
      <c r="ANG152" s="863"/>
      <c r="ANH152" s="863"/>
      <c r="ANI152" s="863"/>
      <c r="ANJ152" s="863"/>
      <c r="ANK152" s="863"/>
      <c r="ANL152" s="863"/>
      <c r="ANM152" s="863"/>
      <c r="ANN152" s="863"/>
      <c r="ANO152" s="863"/>
      <c r="ANP152" s="863"/>
      <c r="ANQ152" s="883"/>
      <c r="ANR152" s="883"/>
      <c r="ANS152" s="883"/>
      <c r="ANT152" s="883"/>
      <c r="ANU152" s="883"/>
      <c r="ANV152" s="883"/>
      <c r="ANW152" s="883"/>
      <c r="ANX152" s="883"/>
      <c r="ANY152" s="883"/>
      <c r="ANZ152" s="863"/>
      <c r="AOA152" s="863"/>
      <c r="AOB152" s="863"/>
      <c r="AOC152" s="863"/>
      <c r="AOD152" s="863"/>
      <c r="AOE152" s="863"/>
      <c r="AOF152" s="863"/>
      <c r="AOG152" s="863"/>
      <c r="AOH152" s="863"/>
      <c r="AOI152" s="863"/>
      <c r="AOJ152" s="863"/>
      <c r="AOK152" s="863"/>
      <c r="AOL152" s="863"/>
      <c r="AOM152" s="863"/>
      <c r="AON152" s="863"/>
      <c r="AOO152" s="863"/>
      <c r="AOP152" s="863"/>
      <c r="AOQ152" s="863"/>
      <c r="AOR152" s="863"/>
      <c r="AOS152" s="863"/>
      <c r="AOT152" s="863"/>
      <c r="AOU152" s="863"/>
      <c r="AOV152" s="863"/>
      <c r="AOW152" s="883"/>
      <c r="AOX152" s="883"/>
      <c r="AOY152" s="883"/>
      <c r="AOZ152" s="883"/>
      <c r="APA152" s="883"/>
      <c r="APB152" s="883"/>
      <c r="APC152" s="883"/>
      <c r="APD152" s="883"/>
      <c r="APE152" s="883"/>
      <c r="APF152" s="863"/>
      <c r="APG152" s="863"/>
      <c r="APH152" s="863"/>
      <c r="API152" s="863"/>
      <c r="APJ152" s="863"/>
      <c r="APK152" s="863"/>
      <c r="APL152" s="863"/>
      <c r="APM152" s="863"/>
      <c r="APN152" s="863"/>
      <c r="APO152" s="863"/>
      <c r="APP152" s="863"/>
      <c r="APQ152" s="863"/>
      <c r="APR152" s="863"/>
      <c r="APS152" s="863"/>
      <c r="APT152" s="863"/>
      <c r="APU152" s="863"/>
      <c r="APV152" s="863"/>
      <c r="APW152" s="863"/>
      <c r="APX152" s="863"/>
      <c r="APY152" s="863"/>
      <c r="APZ152" s="863"/>
      <c r="AQA152" s="863"/>
      <c r="AQB152" s="863"/>
      <c r="AQC152" s="883"/>
      <c r="AQD152" s="883"/>
      <c r="AQE152" s="883"/>
      <c r="AQF152" s="883"/>
      <c r="AQG152" s="883"/>
      <c r="AQH152" s="883"/>
      <c r="AQI152" s="883"/>
      <c r="AQJ152" s="883"/>
      <c r="AQK152" s="883"/>
      <c r="AQL152" s="863"/>
      <c r="AQM152" s="863"/>
      <c r="AQN152" s="863"/>
      <c r="AQO152" s="863"/>
      <c r="AQP152" s="863"/>
      <c r="AQQ152" s="863"/>
      <c r="AQR152" s="863"/>
      <c r="AQS152" s="863"/>
      <c r="AQT152" s="863"/>
      <c r="AQU152" s="863"/>
      <c r="AQV152" s="863"/>
      <c r="AQW152" s="863"/>
      <c r="AQX152" s="863"/>
      <c r="AQY152" s="863"/>
      <c r="AQZ152" s="863"/>
      <c r="ARA152" s="863"/>
      <c r="ARB152" s="863"/>
      <c r="ARC152" s="863"/>
      <c r="ARD152" s="863"/>
      <c r="ARE152" s="863"/>
      <c r="ARF152" s="863"/>
      <c r="ARG152" s="863"/>
      <c r="ARH152" s="863"/>
      <c r="ARI152" s="883"/>
      <c r="ARJ152" s="883"/>
      <c r="ARK152" s="883"/>
      <c r="ARL152" s="883"/>
      <c r="ARM152" s="883"/>
      <c r="ARN152" s="883"/>
      <c r="ARO152" s="883"/>
      <c r="ARP152" s="883"/>
      <c r="ARQ152" s="883"/>
      <c r="ARR152" s="863"/>
      <c r="ARS152" s="863"/>
      <c r="ART152" s="863"/>
      <c r="ARU152" s="863"/>
      <c r="ARV152" s="863"/>
      <c r="ARW152" s="863"/>
      <c r="ARX152" s="863"/>
      <c r="ARY152" s="863"/>
      <c r="ARZ152" s="863"/>
      <c r="ASA152" s="863"/>
      <c r="ASB152" s="863"/>
      <c r="ASC152" s="863"/>
      <c r="ASD152" s="863"/>
      <c r="ASE152" s="863"/>
      <c r="ASF152" s="863"/>
      <c r="ASG152" s="863"/>
      <c r="ASH152" s="863"/>
      <c r="ASI152" s="863"/>
      <c r="ASJ152" s="863"/>
      <c r="ASK152" s="863"/>
      <c r="ASL152" s="863"/>
      <c r="ASM152" s="863"/>
      <c r="ASN152" s="863"/>
      <c r="ASO152" s="883"/>
      <c r="ASP152" s="883"/>
      <c r="ASQ152" s="883"/>
      <c r="ASR152" s="883"/>
      <c r="ASS152" s="883"/>
      <c r="AST152" s="883"/>
      <c r="ASU152" s="883"/>
      <c r="ASV152" s="883"/>
      <c r="ASW152" s="883"/>
      <c r="ASX152" s="863"/>
      <c r="ASY152" s="863"/>
      <c r="ASZ152" s="863"/>
      <c r="ATA152" s="863"/>
      <c r="ATB152" s="863"/>
      <c r="ATC152" s="863"/>
      <c r="ATD152" s="863"/>
      <c r="ATE152" s="863"/>
      <c r="ATF152" s="863"/>
      <c r="ATG152" s="863"/>
      <c r="ATH152" s="863"/>
      <c r="ATI152" s="863"/>
      <c r="ATJ152" s="863"/>
      <c r="ATK152" s="863"/>
      <c r="ATL152" s="863"/>
      <c r="ATM152" s="863"/>
      <c r="ATN152" s="863"/>
      <c r="ATO152" s="863"/>
      <c r="ATP152" s="863"/>
      <c r="ATQ152" s="863"/>
      <c r="ATR152" s="863"/>
      <c r="ATS152" s="863"/>
      <c r="ATT152" s="863"/>
      <c r="ATU152" s="883"/>
      <c r="ATV152" s="883"/>
      <c r="ATW152" s="883"/>
      <c r="ATX152" s="883"/>
      <c r="ATY152" s="883"/>
      <c r="ATZ152" s="883"/>
      <c r="AUA152" s="883"/>
      <c r="AUB152" s="883"/>
      <c r="AUC152" s="883"/>
      <c r="AUD152" s="863"/>
      <c r="AUE152" s="863"/>
      <c r="AUF152" s="863"/>
      <c r="AUG152" s="863"/>
      <c r="AUH152" s="863"/>
      <c r="AUI152" s="863"/>
      <c r="AUJ152" s="863"/>
      <c r="AUK152" s="863"/>
      <c r="AUL152" s="863"/>
      <c r="AUM152" s="863"/>
      <c r="AUN152" s="863"/>
      <c r="AUO152" s="863"/>
      <c r="AUP152" s="863"/>
      <c r="AUQ152" s="863"/>
      <c r="AUR152" s="863"/>
      <c r="AUS152" s="863"/>
      <c r="AUT152" s="863"/>
      <c r="AUU152" s="863"/>
      <c r="AUV152" s="863"/>
      <c r="AUW152" s="863"/>
      <c r="AUX152" s="863"/>
      <c r="AUY152" s="863"/>
      <c r="AUZ152" s="863"/>
      <c r="AVA152" s="883"/>
      <c r="AVB152" s="883"/>
      <c r="AVC152" s="883"/>
      <c r="AVD152" s="883"/>
      <c r="AVE152" s="883"/>
      <c r="AVF152" s="883"/>
      <c r="AVG152" s="883"/>
      <c r="AVH152" s="883"/>
      <c r="AVI152" s="883"/>
      <c r="AVJ152" s="863"/>
      <c r="AVK152" s="863"/>
      <c r="AVL152" s="863"/>
      <c r="AVM152" s="863"/>
      <c r="AVN152" s="863"/>
      <c r="AVO152" s="863"/>
      <c r="AVP152" s="863"/>
      <c r="AVQ152" s="863"/>
      <c r="AVR152" s="863"/>
      <c r="AVS152" s="863"/>
      <c r="AVT152" s="863"/>
      <c r="AVU152" s="863"/>
      <c r="AVV152" s="863"/>
      <c r="AVW152" s="863"/>
      <c r="AVX152" s="863"/>
      <c r="AVY152" s="863"/>
      <c r="AVZ152" s="863"/>
      <c r="AWA152" s="863"/>
      <c r="AWB152" s="863"/>
      <c r="AWC152" s="863"/>
      <c r="AWD152" s="863"/>
      <c r="AWE152" s="863"/>
      <c r="AWF152" s="863"/>
      <c r="AWG152" s="883"/>
      <c r="AWH152" s="883"/>
      <c r="AWI152" s="883"/>
      <c r="AWJ152" s="883"/>
      <c r="AWK152" s="883"/>
      <c r="AWL152" s="883"/>
      <c r="AWM152" s="883"/>
      <c r="AWN152" s="883"/>
      <c r="AWO152" s="883"/>
      <c r="AWP152" s="863"/>
      <c r="AWQ152" s="863"/>
      <c r="AWR152" s="863"/>
      <c r="AWS152" s="863"/>
      <c r="AWT152" s="863"/>
      <c r="AWU152" s="863"/>
      <c r="AWV152" s="863"/>
      <c r="AWW152" s="863"/>
      <c r="AWX152" s="863"/>
      <c r="AWY152" s="863"/>
      <c r="AWZ152" s="863"/>
      <c r="AXA152" s="863"/>
      <c r="AXB152" s="863"/>
      <c r="AXC152" s="863"/>
      <c r="AXD152" s="863"/>
      <c r="AXE152" s="863"/>
      <c r="AXF152" s="863"/>
      <c r="AXG152" s="863"/>
      <c r="AXH152" s="863"/>
      <c r="AXI152" s="863"/>
      <c r="AXJ152" s="863"/>
      <c r="AXK152" s="863"/>
      <c r="AXL152" s="863"/>
      <c r="AXM152" s="883"/>
      <c r="AXN152" s="883"/>
      <c r="AXO152" s="883"/>
      <c r="AXP152" s="883"/>
      <c r="AXQ152" s="883"/>
      <c r="AXR152" s="883"/>
      <c r="AXS152" s="883"/>
      <c r="AXT152" s="883"/>
      <c r="AXU152" s="883"/>
      <c r="AXV152" s="863"/>
      <c r="AXW152" s="863"/>
      <c r="AXX152" s="863"/>
      <c r="AXY152" s="863"/>
      <c r="AXZ152" s="863"/>
      <c r="AYA152" s="863"/>
      <c r="AYB152" s="863"/>
      <c r="AYC152" s="863"/>
      <c r="AYD152" s="863"/>
      <c r="AYE152" s="863"/>
      <c r="AYF152" s="863"/>
      <c r="AYG152" s="863"/>
      <c r="AYH152" s="863"/>
      <c r="AYI152" s="863"/>
      <c r="AYJ152" s="863"/>
      <c r="AYK152" s="863"/>
      <c r="AYL152" s="863"/>
      <c r="AYM152" s="863"/>
      <c r="AYN152" s="863"/>
      <c r="AYO152" s="863"/>
      <c r="AYP152" s="863"/>
      <c r="AYQ152" s="863"/>
      <c r="AYR152" s="863"/>
      <c r="AYS152" s="883"/>
      <c r="AYT152" s="883"/>
      <c r="AYU152" s="883"/>
      <c r="AYV152" s="883"/>
      <c r="AYW152" s="883"/>
      <c r="AYX152" s="883"/>
      <c r="AYY152" s="883"/>
      <c r="AYZ152" s="883"/>
      <c r="AZA152" s="883"/>
      <c r="AZB152" s="863"/>
      <c r="AZC152" s="863"/>
      <c r="AZD152" s="863"/>
      <c r="AZE152" s="863"/>
      <c r="AZF152" s="863"/>
      <c r="AZG152" s="863"/>
      <c r="AZH152" s="863"/>
      <c r="AZI152" s="863"/>
      <c r="AZJ152" s="863"/>
      <c r="AZK152" s="863"/>
      <c r="AZL152" s="863"/>
      <c r="AZM152" s="863"/>
      <c r="AZN152" s="863"/>
      <c r="AZO152" s="863"/>
      <c r="AZP152" s="863"/>
      <c r="AZQ152" s="863"/>
      <c r="AZR152" s="863"/>
      <c r="AZS152" s="863"/>
      <c r="AZT152" s="863"/>
      <c r="AZU152" s="863"/>
      <c r="AZV152" s="863"/>
      <c r="AZW152" s="863"/>
      <c r="AZX152" s="863"/>
      <c r="AZY152" s="883"/>
      <c r="AZZ152" s="883"/>
      <c r="BAA152" s="883"/>
      <c r="BAB152" s="883"/>
      <c r="BAC152" s="883"/>
      <c r="BAD152" s="883"/>
      <c r="BAE152" s="883"/>
      <c r="BAF152" s="883"/>
      <c r="BAG152" s="883"/>
      <c r="BAH152" s="863"/>
      <c r="BAI152" s="863"/>
      <c r="BAJ152" s="863"/>
      <c r="BAK152" s="863"/>
      <c r="BAL152" s="863"/>
      <c r="BAM152" s="863"/>
      <c r="BAN152" s="863"/>
      <c r="BAO152" s="863"/>
      <c r="BAP152" s="863"/>
      <c r="BAQ152" s="863"/>
      <c r="BAR152" s="863"/>
      <c r="BAS152" s="863"/>
      <c r="BAT152" s="863"/>
      <c r="BAU152" s="863"/>
      <c r="BAV152" s="863"/>
      <c r="BAW152" s="863"/>
      <c r="BAX152" s="863"/>
      <c r="BAY152" s="863"/>
      <c r="BAZ152" s="863"/>
      <c r="BBA152" s="863"/>
      <c r="BBB152" s="863"/>
      <c r="BBC152" s="863"/>
      <c r="BBD152" s="863"/>
      <c r="BBE152" s="883"/>
      <c r="BBF152" s="883"/>
      <c r="BBG152" s="883"/>
      <c r="BBH152" s="883"/>
      <c r="BBI152" s="883"/>
      <c r="BBJ152" s="883"/>
      <c r="BBK152" s="883"/>
      <c r="BBL152" s="883"/>
      <c r="BBM152" s="883"/>
      <c r="BBN152" s="863"/>
      <c r="BBO152" s="863"/>
      <c r="BBP152" s="863"/>
      <c r="BBQ152" s="863"/>
      <c r="BBR152" s="863"/>
      <c r="BBS152" s="863"/>
      <c r="BBT152" s="863"/>
      <c r="BBU152" s="863"/>
      <c r="BBV152" s="863"/>
      <c r="BBW152" s="863"/>
      <c r="BBX152" s="863"/>
      <c r="BBY152" s="863"/>
      <c r="BBZ152" s="863"/>
      <c r="BCA152" s="863"/>
      <c r="BCB152" s="863"/>
      <c r="BCC152" s="863"/>
      <c r="BCD152" s="863"/>
      <c r="BCE152" s="863"/>
      <c r="BCF152" s="863"/>
      <c r="BCG152" s="863"/>
      <c r="BCH152" s="863"/>
      <c r="BCI152" s="863"/>
      <c r="BCJ152" s="863"/>
      <c r="BCK152" s="883"/>
      <c r="BCL152" s="883"/>
      <c r="BCM152" s="883"/>
      <c r="BCN152" s="883"/>
      <c r="BCO152" s="883"/>
      <c r="BCP152" s="883"/>
      <c r="BCQ152" s="883"/>
      <c r="BCR152" s="883"/>
      <c r="BCS152" s="883"/>
      <c r="BCT152" s="863"/>
      <c r="BCU152" s="863"/>
      <c r="BCV152" s="863"/>
      <c r="BCW152" s="863"/>
      <c r="BCX152" s="863"/>
      <c r="BCY152" s="863"/>
      <c r="BCZ152" s="863"/>
      <c r="BDA152" s="863"/>
      <c r="BDB152" s="863"/>
      <c r="BDC152" s="863"/>
      <c r="BDD152" s="863"/>
      <c r="BDE152" s="863"/>
      <c r="BDF152" s="863"/>
      <c r="BDG152" s="863"/>
      <c r="BDH152" s="863"/>
      <c r="BDI152" s="863"/>
      <c r="BDJ152" s="863"/>
      <c r="BDK152" s="863"/>
      <c r="BDL152" s="863"/>
      <c r="BDM152" s="863"/>
      <c r="BDN152" s="863"/>
      <c r="BDO152" s="863"/>
      <c r="BDP152" s="863"/>
      <c r="BDQ152" s="883"/>
      <c r="BDR152" s="883"/>
      <c r="BDS152" s="883"/>
      <c r="BDT152" s="883"/>
      <c r="BDU152" s="883"/>
      <c r="BDV152" s="883"/>
      <c r="BDW152" s="883"/>
      <c r="BDX152" s="883"/>
      <c r="BDY152" s="883"/>
      <c r="BDZ152" s="863"/>
      <c r="BEA152" s="863"/>
      <c r="BEB152" s="863"/>
      <c r="BEC152" s="863"/>
      <c r="BED152" s="863"/>
      <c r="BEE152" s="863"/>
      <c r="BEF152" s="863"/>
      <c r="BEG152" s="863"/>
      <c r="BEH152" s="863"/>
      <c r="BEI152" s="863"/>
      <c r="BEJ152" s="863"/>
      <c r="BEK152" s="863"/>
      <c r="BEL152" s="863"/>
      <c r="BEM152" s="863"/>
      <c r="BEN152" s="863"/>
      <c r="BEO152" s="863"/>
      <c r="BEP152" s="863"/>
      <c r="BEQ152" s="863"/>
      <c r="BER152" s="863"/>
      <c r="BES152" s="863"/>
      <c r="BET152" s="863"/>
      <c r="BEU152" s="863"/>
      <c r="BEV152" s="863"/>
      <c r="BEW152" s="883"/>
      <c r="BEX152" s="883"/>
      <c r="BEY152" s="883"/>
      <c r="BEZ152" s="883"/>
      <c r="BFA152" s="883"/>
      <c r="BFB152" s="883"/>
      <c r="BFC152" s="883"/>
      <c r="BFD152" s="883"/>
      <c r="BFE152" s="883"/>
      <c r="BFF152" s="863"/>
      <c r="BFG152" s="863"/>
      <c r="BFH152" s="863"/>
      <c r="BFI152" s="863"/>
      <c r="BFJ152" s="863"/>
      <c r="BFK152" s="863"/>
      <c r="BFL152" s="863"/>
      <c r="BFM152" s="863"/>
      <c r="BFN152" s="863"/>
      <c r="BFO152" s="863"/>
      <c r="BFP152" s="863"/>
      <c r="BFQ152" s="863"/>
      <c r="BFR152" s="863"/>
      <c r="BFS152" s="863"/>
      <c r="BFT152" s="863"/>
      <c r="BFU152" s="863"/>
      <c r="BFV152" s="863"/>
      <c r="BFW152" s="863"/>
      <c r="BFX152" s="863"/>
      <c r="BFY152" s="863"/>
      <c r="BFZ152" s="863"/>
      <c r="BGA152" s="863"/>
      <c r="BGB152" s="863"/>
      <c r="BGC152" s="883"/>
      <c r="BGD152" s="883"/>
      <c r="BGE152" s="883"/>
      <c r="BGF152" s="883"/>
      <c r="BGG152" s="883"/>
      <c r="BGH152" s="883"/>
      <c r="BGI152" s="883"/>
      <c r="BGJ152" s="883"/>
      <c r="BGK152" s="883"/>
      <c r="BGL152" s="863"/>
      <c r="BGM152" s="863"/>
      <c r="BGN152" s="863"/>
      <c r="BGO152" s="863"/>
      <c r="BGP152" s="863"/>
      <c r="BGQ152" s="863"/>
      <c r="BGR152" s="863"/>
      <c r="BGS152" s="863"/>
      <c r="BGT152" s="863"/>
      <c r="BGU152" s="863"/>
      <c r="BGV152" s="863"/>
      <c r="BGW152" s="863"/>
      <c r="BGX152" s="863"/>
      <c r="BGY152" s="863"/>
      <c r="BGZ152" s="863"/>
      <c r="BHA152" s="863"/>
      <c r="BHB152" s="863"/>
      <c r="BHC152" s="863"/>
      <c r="BHD152" s="863"/>
      <c r="BHE152" s="863"/>
      <c r="BHF152" s="863"/>
      <c r="BHG152" s="863"/>
      <c r="BHH152" s="863"/>
      <c r="BHI152" s="883"/>
      <c r="BHJ152" s="883"/>
      <c r="BHK152" s="883"/>
      <c r="BHL152" s="883"/>
      <c r="BHM152" s="883"/>
      <c r="BHN152" s="883"/>
      <c r="BHO152" s="883"/>
      <c r="BHP152" s="883"/>
      <c r="BHQ152" s="883"/>
      <c r="BHR152" s="863"/>
      <c r="BHS152" s="863"/>
      <c r="BHT152" s="863"/>
      <c r="BHU152" s="863"/>
      <c r="BHV152" s="863"/>
      <c r="BHW152" s="863"/>
      <c r="BHX152" s="863"/>
      <c r="BHY152" s="863"/>
      <c r="BHZ152" s="863"/>
      <c r="BIA152" s="863"/>
      <c r="BIB152" s="863"/>
      <c r="BIC152" s="863"/>
      <c r="BID152" s="863"/>
      <c r="BIE152" s="863"/>
      <c r="BIF152" s="863"/>
      <c r="BIG152" s="863"/>
      <c r="BIH152" s="863"/>
      <c r="BII152" s="863"/>
      <c r="BIJ152" s="863"/>
      <c r="BIK152" s="863"/>
      <c r="BIL152" s="863"/>
      <c r="BIM152" s="863"/>
      <c r="BIN152" s="863"/>
      <c r="BIO152" s="883"/>
      <c r="BIP152" s="883"/>
      <c r="BIQ152" s="883"/>
      <c r="BIR152" s="883"/>
      <c r="BIS152" s="883"/>
      <c r="BIT152" s="883"/>
      <c r="BIU152" s="883"/>
      <c r="BIV152" s="883"/>
      <c r="BIW152" s="883"/>
      <c r="BIX152" s="863"/>
      <c r="BIY152" s="863"/>
      <c r="BIZ152" s="863"/>
      <c r="BJA152" s="863"/>
      <c r="BJB152" s="863"/>
      <c r="BJC152" s="863"/>
      <c r="BJD152" s="863"/>
      <c r="BJE152" s="863"/>
      <c r="BJF152" s="863"/>
      <c r="BJG152" s="863"/>
      <c r="BJH152" s="863"/>
      <c r="BJI152" s="863"/>
      <c r="BJJ152" s="863"/>
      <c r="BJK152" s="863"/>
      <c r="BJL152" s="863"/>
      <c r="BJM152" s="863"/>
      <c r="BJN152" s="863"/>
      <c r="BJO152" s="863"/>
      <c r="BJP152" s="863"/>
      <c r="BJQ152" s="863"/>
      <c r="BJR152" s="863"/>
      <c r="BJS152" s="863"/>
      <c r="BJT152" s="863"/>
      <c r="BJU152" s="883"/>
      <c r="BJV152" s="883"/>
      <c r="BJW152" s="883"/>
      <c r="BJX152" s="883"/>
      <c r="BJY152" s="883"/>
      <c r="BJZ152" s="883"/>
      <c r="BKA152" s="883"/>
      <c r="BKB152" s="883"/>
      <c r="BKC152" s="883"/>
      <c r="BKD152" s="863"/>
      <c r="BKE152" s="863"/>
      <c r="BKF152" s="863"/>
      <c r="BKG152" s="863"/>
      <c r="BKH152" s="863"/>
      <c r="BKI152" s="863"/>
      <c r="BKJ152" s="863"/>
      <c r="BKK152" s="863"/>
      <c r="BKL152" s="863"/>
      <c r="BKM152" s="863"/>
      <c r="BKN152" s="863"/>
      <c r="BKO152" s="863"/>
      <c r="BKP152" s="863"/>
      <c r="BKQ152" s="863"/>
      <c r="BKR152" s="863"/>
      <c r="BKS152" s="863"/>
      <c r="BKT152" s="863"/>
      <c r="BKU152" s="863"/>
      <c r="BKV152" s="863"/>
      <c r="BKW152" s="863"/>
      <c r="BKX152" s="863"/>
      <c r="BKY152" s="863"/>
      <c r="BKZ152" s="863"/>
      <c r="BLA152" s="883"/>
      <c r="BLB152" s="883"/>
      <c r="BLC152" s="883"/>
      <c r="BLD152" s="883"/>
      <c r="BLE152" s="883"/>
      <c r="BLF152" s="883"/>
      <c r="BLG152" s="883"/>
      <c r="BLH152" s="883"/>
      <c r="BLI152" s="883"/>
      <c r="BLJ152" s="863"/>
      <c r="BLK152" s="863"/>
      <c r="BLL152" s="863"/>
      <c r="BLM152" s="863"/>
      <c r="BLN152" s="863"/>
      <c r="BLO152" s="863"/>
      <c r="BLP152" s="863"/>
      <c r="BLQ152" s="863"/>
      <c r="BLR152" s="863"/>
      <c r="BLS152" s="863"/>
      <c r="BLT152" s="863"/>
      <c r="BLU152" s="863"/>
      <c r="BLV152" s="863"/>
      <c r="BLW152" s="863"/>
      <c r="BLX152" s="863"/>
      <c r="BLY152" s="863"/>
      <c r="BLZ152" s="863"/>
      <c r="BMA152" s="863"/>
      <c r="BMB152" s="863"/>
      <c r="BMC152" s="863"/>
      <c r="BMD152" s="863"/>
      <c r="BME152" s="863"/>
      <c r="BMF152" s="863"/>
      <c r="BMG152" s="883"/>
      <c r="BMH152" s="883"/>
      <c r="BMI152" s="883"/>
      <c r="BMJ152" s="883"/>
      <c r="BMK152" s="883"/>
      <c r="BML152" s="883"/>
      <c r="BMM152" s="883"/>
      <c r="BMN152" s="883"/>
      <c r="BMO152" s="883"/>
      <c r="BMP152" s="863"/>
      <c r="BMQ152" s="863"/>
      <c r="BMR152" s="863"/>
      <c r="BMS152" s="863"/>
      <c r="BMT152" s="863"/>
      <c r="BMU152" s="863"/>
      <c r="BMV152" s="863"/>
      <c r="BMW152" s="863"/>
      <c r="BMX152" s="863"/>
      <c r="BMY152" s="863"/>
      <c r="BMZ152" s="863"/>
      <c r="BNA152" s="863"/>
      <c r="BNB152" s="863"/>
      <c r="BNC152" s="863"/>
      <c r="BND152" s="863"/>
      <c r="BNE152" s="863"/>
      <c r="BNF152" s="863"/>
      <c r="BNG152" s="863"/>
      <c r="BNH152" s="863"/>
      <c r="BNI152" s="863"/>
      <c r="BNJ152" s="863"/>
      <c r="BNK152" s="863"/>
      <c r="BNL152" s="863"/>
      <c r="BNM152" s="883"/>
      <c r="BNN152" s="883"/>
      <c r="BNO152" s="883"/>
      <c r="BNP152" s="883"/>
      <c r="BNQ152" s="883"/>
      <c r="BNR152" s="883"/>
      <c r="BNS152" s="883"/>
      <c r="BNT152" s="883"/>
      <c r="BNU152" s="883"/>
      <c r="BNV152" s="863"/>
      <c r="BNW152" s="863"/>
      <c r="BNX152" s="863"/>
      <c r="BNY152" s="863"/>
      <c r="BNZ152" s="863"/>
      <c r="BOA152" s="863"/>
      <c r="BOB152" s="863"/>
      <c r="BOC152" s="863"/>
      <c r="BOD152" s="863"/>
      <c r="BOE152" s="863"/>
      <c r="BOF152" s="863"/>
      <c r="BOG152" s="863"/>
      <c r="BOH152" s="863"/>
      <c r="BOI152" s="863"/>
      <c r="BOJ152" s="863"/>
      <c r="BOK152" s="863"/>
      <c r="BOL152" s="863"/>
      <c r="BOM152" s="863"/>
      <c r="BON152" s="863"/>
      <c r="BOO152" s="863"/>
      <c r="BOP152" s="863"/>
      <c r="BOQ152" s="863"/>
      <c r="BOR152" s="863"/>
      <c r="BOS152" s="883"/>
      <c r="BOT152" s="883"/>
      <c r="BOU152" s="883"/>
      <c r="BOV152" s="883"/>
      <c r="BOW152" s="883"/>
      <c r="BOX152" s="883"/>
      <c r="BOY152" s="883"/>
      <c r="BOZ152" s="883"/>
      <c r="BPA152" s="883"/>
      <c r="BPB152" s="863"/>
      <c r="BPC152" s="863"/>
      <c r="BPD152" s="863"/>
      <c r="BPE152" s="863"/>
      <c r="BPF152" s="863"/>
      <c r="BPG152" s="863"/>
      <c r="BPH152" s="863"/>
      <c r="BPI152" s="863"/>
      <c r="BPJ152" s="863"/>
      <c r="BPK152" s="863"/>
      <c r="BPL152" s="863"/>
      <c r="BPM152" s="863"/>
      <c r="BPN152" s="863"/>
      <c r="BPO152" s="863"/>
      <c r="BPP152" s="863"/>
      <c r="BPQ152" s="863"/>
      <c r="BPR152" s="863"/>
      <c r="BPS152" s="863"/>
      <c r="BPT152" s="863"/>
      <c r="BPU152" s="863"/>
      <c r="BPV152" s="863"/>
      <c r="BPW152" s="863"/>
      <c r="BPX152" s="863"/>
      <c r="BPY152" s="883"/>
      <c r="BPZ152" s="883"/>
      <c r="BQA152" s="883"/>
      <c r="BQB152" s="883"/>
      <c r="BQC152" s="883"/>
      <c r="BQD152" s="883"/>
      <c r="BQE152" s="883"/>
      <c r="BQF152" s="883"/>
      <c r="BQG152" s="883"/>
      <c r="BQH152" s="863"/>
      <c r="BQI152" s="863"/>
      <c r="BQJ152" s="863"/>
      <c r="BQK152" s="863"/>
      <c r="BQL152" s="863"/>
      <c r="BQM152" s="863"/>
      <c r="BQN152" s="863"/>
      <c r="BQO152" s="863"/>
      <c r="BQP152" s="863"/>
      <c r="BQQ152" s="863"/>
      <c r="BQR152" s="863"/>
      <c r="BQS152" s="863"/>
      <c r="BQT152" s="863"/>
      <c r="BQU152" s="863"/>
      <c r="BQV152" s="863"/>
      <c r="BQW152" s="863"/>
      <c r="BQX152" s="863"/>
      <c r="BQY152" s="863"/>
      <c r="BQZ152" s="863"/>
      <c r="BRA152" s="863"/>
      <c r="BRB152" s="863"/>
      <c r="BRC152" s="863"/>
      <c r="BRD152" s="863"/>
      <c r="BRE152" s="883"/>
      <c r="BRF152" s="883"/>
      <c r="BRG152" s="883"/>
      <c r="BRH152" s="883"/>
      <c r="BRI152" s="883"/>
      <c r="BRJ152" s="883"/>
      <c r="BRK152" s="883"/>
      <c r="BRL152" s="883"/>
      <c r="BRM152" s="883"/>
      <c r="BRN152" s="863"/>
      <c r="BRO152" s="863"/>
      <c r="BRP152" s="863"/>
      <c r="BRQ152" s="863"/>
      <c r="BRR152" s="863"/>
      <c r="BRS152" s="863"/>
      <c r="BRT152" s="863"/>
      <c r="BRU152" s="863"/>
      <c r="BRV152" s="863"/>
      <c r="BRW152" s="863"/>
      <c r="BRX152" s="863"/>
      <c r="BRY152" s="863"/>
      <c r="BRZ152" s="863"/>
      <c r="BSA152" s="863"/>
      <c r="BSB152" s="863"/>
      <c r="BSC152" s="863"/>
      <c r="BSD152" s="863"/>
      <c r="BSE152" s="863"/>
      <c r="BSF152" s="863"/>
      <c r="BSG152" s="863"/>
      <c r="BSH152" s="863"/>
      <c r="BSI152" s="863"/>
      <c r="BSJ152" s="863"/>
      <c r="BSK152" s="883"/>
      <c r="BSL152" s="883"/>
      <c r="BSM152" s="883"/>
      <c r="BSN152" s="883"/>
      <c r="BSO152" s="883"/>
      <c r="BSP152" s="883"/>
      <c r="BSQ152" s="883"/>
      <c r="BSR152" s="883"/>
      <c r="BSS152" s="883"/>
      <c r="BST152" s="863"/>
      <c r="BSU152" s="863"/>
      <c r="BSV152" s="863"/>
      <c r="BSW152" s="863"/>
      <c r="BSX152" s="863"/>
      <c r="BSY152" s="863"/>
      <c r="BSZ152" s="863"/>
      <c r="BTA152" s="863"/>
      <c r="BTB152" s="863"/>
      <c r="BTC152" s="863"/>
      <c r="BTD152" s="863"/>
      <c r="BTE152" s="863"/>
      <c r="BTF152" s="863"/>
      <c r="BTG152" s="863"/>
      <c r="BTH152" s="863"/>
      <c r="BTI152" s="863"/>
      <c r="BTJ152" s="863"/>
      <c r="BTK152" s="863"/>
      <c r="BTL152" s="863"/>
      <c r="BTM152" s="863"/>
      <c r="BTN152" s="863"/>
      <c r="BTO152" s="863"/>
      <c r="BTP152" s="863"/>
      <c r="BTQ152" s="883"/>
      <c r="BTR152" s="883"/>
      <c r="BTS152" s="883"/>
      <c r="BTT152" s="883"/>
      <c r="BTU152" s="883"/>
      <c r="BTV152" s="883"/>
      <c r="BTW152" s="883"/>
      <c r="BTX152" s="883"/>
      <c r="BTY152" s="883"/>
      <c r="BTZ152" s="863"/>
      <c r="BUA152" s="863"/>
      <c r="BUB152" s="863"/>
      <c r="BUC152" s="863"/>
      <c r="BUD152" s="863"/>
      <c r="BUE152" s="863"/>
      <c r="BUF152" s="863"/>
      <c r="BUG152" s="863"/>
      <c r="BUH152" s="863"/>
      <c r="BUI152" s="863"/>
      <c r="BUJ152" s="863"/>
      <c r="BUK152" s="863"/>
      <c r="BUL152" s="863"/>
      <c r="BUM152" s="863"/>
      <c r="BUN152" s="863"/>
      <c r="BUO152" s="863"/>
      <c r="BUP152" s="863"/>
      <c r="BUQ152" s="863"/>
      <c r="BUR152" s="863"/>
      <c r="BUS152" s="863"/>
      <c r="BUT152" s="863"/>
      <c r="BUU152" s="863"/>
      <c r="BUV152" s="863"/>
      <c r="BUW152" s="883"/>
      <c r="BUX152" s="883"/>
      <c r="BUY152" s="883"/>
      <c r="BUZ152" s="883"/>
      <c r="BVA152" s="883"/>
      <c r="BVB152" s="883"/>
      <c r="BVC152" s="883"/>
      <c r="BVD152" s="883"/>
      <c r="BVE152" s="883"/>
      <c r="BVF152" s="863"/>
      <c r="BVG152" s="863"/>
      <c r="BVH152" s="863"/>
      <c r="BVI152" s="863"/>
      <c r="BVJ152" s="863"/>
      <c r="BVK152" s="863"/>
      <c r="BVL152" s="863"/>
      <c r="BVM152" s="863"/>
      <c r="BVN152" s="863"/>
      <c r="BVO152" s="863"/>
      <c r="BVP152" s="863"/>
      <c r="BVQ152" s="863"/>
      <c r="BVR152" s="863"/>
      <c r="BVS152" s="863"/>
      <c r="BVT152" s="863"/>
      <c r="BVU152" s="863"/>
      <c r="BVV152" s="863"/>
      <c r="BVW152" s="863"/>
      <c r="BVX152" s="863"/>
      <c r="BVY152" s="863"/>
      <c r="BVZ152" s="863"/>
      <c r="BWA152" s="863"/>
      <c r="BWB152" s="863"/>
      <c r="BWC152" s="883"/>
      <c r="BWD152" s="883"/>
      <c r="BWE152" s="883"/>
      <c r="BWF152" s="883"/>
      <c r="BWG152" s="883"/>
      <c r="BWH152" s="883"/>
      <c r="BWI152" s="883"/>
      <c r="BWJ152" s="883"/>
      <c r="BWK152" s="883"/>
      <c r="BWL152" s="863"/>
      <c r="BWM152" s="863"/>
      <c r="BWN152" s="863"/>
      <c r="BWO152" s="863"/>
      <c r="BWP152" s="863"/>
      <c r="BWQ152" s="863"/>
      <c r="BWR152" s="863"/>
      <c r="BWS152" s="863"/>
      <c r="BWT152" s="863"/>
      <c r="BWU152" s="863"/>
      <c r="BWV152" s="863"/>
      <c r="BWW152" s="863"/>
      <c r="BWX152" s="863"/>
      <c r="BWY152" s="863"/>
      <c r="BWZ152" s="863"/>
      <c r="BXA152" s="863"/>
      <c r="BXB152" s="863"/>
      <c r="BXC152" s="863"/>
      <c r="BXD152" s="863"/>
      <c r="BXE152" s="863"/>
      <c r="BXF152" s="863"/>
      <c r="BXG152" s="863"/>
      <c r="BXH152" s="863"/>
      <c r="BXI152" s="883"/>
      <c r="BXJ152" s="883"/>
      <c r="BXK152" s="883"/>
      <c r="BXL152" s="883"/>
      <c r="BXM152" s="883"/>
      <c r="BXN152" s="883"/>
      <c r="BXO152" s="883"/>
      <c r="BXP152" s="883"/>
      <c r="BXQ152" s="883"/>
      <c r="BXR152" s="863"/>
      <c r="BXS152" s="863"/>
      <c r="BXT152" s="863"/>
      <c r="BXU152" s="863"/>
      <c r="BXV152" s="863"/>
      <c r="BXW152" s="863"/>
      <c r="BXX152" s="863"/>
      <c r="BXY152" s="863"/>
      <c r="BXZ152" s="863"/>
      <c r="BYA152" s="863"/>
      <c r="BYB152" s="863"/>
      <c r="BYC152" s="863"/>
      <c r="BYD152" s="863"/>
      <c r="BYE152" s="863"/>
      <c r="BYF152" s="863"/>
      <c r="BYG152" s="863"/>
      <c r="BYH152" s="863"/>
      <c r="BYI152" s="863"/>
      <c r="BYJ152" s="863"/>
      <c r="BYK152" s="863"/>
      <c r="BYL152" s="863"/>
      <c r="BYM152" s="863"/>
      <c r="BYN152" s="863"/>
      <c r="BYO152" s="883"/>
      <c r="BYP152" s="883"/>
      <c r="BYQ152" s="883"/>
      <c r="BYR152" s="883"/>
      <c r="BYS152" s="883"/>
      <c r="BYT152" s="883"/>
      <c r="BYU152" s="883"/>
      <c r="BYV152" s="883"/>
      <c r="BYW152" s="883"/>
      <c r="BYX152" s="863"/>
      <c r="BYY152" s="863"/>
      <c r="BYZ152" s="863"/>
      <c r="BZA152" s="863"/>
      <c r="BZB152" s="863"/>
      <c r="BZC152" s="863"/>
      <c r="BZD152" s="863"/>
      <c r="BZE152" s="863"/>
      <c r="BZF152" s="863"/>
      <c r="BZG152" s="863"/>
      <c r="BZH152" s="863"/>
      <c r="BZI152" s="863"/>
      <c r="BZJ152" s="863"/>
      <c r="BZK152" s="863"/>
      <c r="BZL152" s="863"/>
      <c r="BZM152" s="863"/>
      <c r="BZN152" s="863"/>
      <c r="BZO152" s="863"/>
      <c r="BZP152" s="863"/>
      <c r="BZQ152" s="863"/>
      <c r="BZR152" s="863"/>
      <c r="BZS152" s="863"/>
      <c r="BZT152" s="863"/>
      <c r="BZU152" s="883"/>
      <c r="BZV152" s="883"/>
      <c r="BZW152" s="883"/>
      <c r="BZX152" s="883"/>
      <c r="BZY152" s="883"/>
      <c r="BZZ152" s="883"/>
      <c r="CAA152" s="883"/>
      <c r="CAB152" s="883"/>
      <c r="CAC152" s="883"/>
      <c r="CAD152" s="863"/>
      <c r="CAE152" s="863"/>
      <c r="CAF152" s="863"/>
      <c r="CAG152" s="863"/>
      <c r="CAH152" s="863"/>
      <c r="CAI152" s="863"/>
      <c r="CAJ152" s="863"/>
      <c r="CAK152" s="863"/>
      <c r="CAL152" s="863"/>
      <c r="CAM152" s="863"/>
      <c r="CAN152" s="863"/>
      <c r="CAO152" s="863"/>
      <c r="CAP152" s="863"/>
      <c r="CAQ152" s="863"/>
      <c r="CAR152" s="863"/>
      <c r="CAS152" s="863"/>
      <c r="CAT152" s="863"/>
      <c r="CAU152" s="863"/>
      <c r="CAV152" s="863"/>
      <c r="CAW152" s="863"/>
      <c r="CAX152" s="863"/>
      <c r="CAY152" s="863"/>
      <c r="CAZ152" s="863"/>
      <c r="CBA152" s="883"/>
      <c r="CBB152" s="883"/>
      <c r="CBC152" s="883"/>
      <c r="CBD152" s="883"/>
      <c r="CBE152" s="883"/>
      <c r="CBF152" s="883"/>
      <c r="CBG152" s="883"/>
      <c r="CBH152" s="883"/>
      <c r="CBI152" s="883"/>
      <c r="CBJ152" s="863"/>
      <c r="CBK152" s="863"/>
      <c r="CBL152" s="863"/>
      <c r="CBM152" s="863"/>
      <c r="CBN152" s="863"/>
      <c r="CBO152" s="863"/>
      <c r="CBP152" s="863"/>
      <c r="CBQ152" s="863"/>
      <c r="CBR152" s="863"/>
      <c r="CBS152" s="863"/>
      <c r="CBT152" s="863"/>
      <c r="CBU152" s="863"/>
      <c r="CBV152" s="863"/>
      <c r="CBW152" s="863"/>
      <c r="CBX152" s="863"/>
      <c r="CBY152" s="863"/>
      <c r="CBZ152" s="863"/>
      <c r="CCA152" s="863"/>
      <c r="CCB152" s="863"/>
      <c r="CCC152" s="863"/>
      <c r="CCD152" s="863"/>
      <c r="CCE152" s="863"/>
      <c r="CCF152" s="863"/>
      <c r="CCG152" s="883"/>
      <c r="CCH152" s="883"/>
      <c r="CCI152" s="883"/>
      <c r="CCJ152" s="883"/>
      <c r="CCK152" s="883"/>
      <c r="CCL152" s="883"/>
      <c r="CCM152" s="883"/>
      <c r="CCN152" s="883"/>
      <c r="CCO152" s="883"/>
      <c r="CCP152" s="863"/>
      <c r="CCQ152" s="863"/>
      <c r="CCR152" s="863"/>
      <c r="CCS152" s="863"/>
      <c r="CCT152" s="863"/>
      <c r="CCU152" s="863"/>
      <c r="CCV152" s="863"/>
      <c r="CCW152" s="863"/>
      <c r="CCX152" s="863"/>
      <c r="CCY152" s="863"/>
      <c r="CCZ152" s="863"/>
      <c r="CDA152" s="863"/>
      <c r="CDB152" s="863"/>
      <c r="CDC152" s="863"/>
      <c r="CDD152" s="863"/>
      <c r="CDE152" s="863"/>
      <c r="CDF152" s="863"/>
      <c r="CDG152" s="863"/>
      <c r="CDH152" s="863"/>
      <c r="CDI152" s="863"/>
      <c r="CDJ152" s="863"/>
      <c r="CDK152" s="863"/>
      <c r="CDL152" s="863"/>
      <c r="CDM152" s="883"/>
      <c r="CDN152" s="883"/>
      <c r="CDO152" s="883"/>
      <c r="CDP152" s="883"/>
      <c r="CDQ152" s="883"/>
      <c r="CDR152" s="883"/>
      <c r="CDS152" s="883"/>
      <c r="CDT152" s="883"/>
      <c r="CDU152" s="883"/>
      <c r="CDV152" s="863"/>
      <c r="CDW152" s="863"/>
      <c r="CDX152" s="863"/>
      <c r="CDY152" s="863"/>
      <c r="CDZ152" s="863"/>
      <c r="CEA152" s="863"/>
      <c r="CEB152" s="863"/>
      <c r="CEC152" s="863"/>
      <c r="CED152" s="863"/>
      <c r="CEE152" s="863"/>
      <c r="CEF152" s="863"/>
      <c r="CEG152" s="863"/>
      <c r="CEH152" s="863"/>
      <c r="CEI152" s="863"/>
      <c r="CEJ152" s="863"/>
      <c r="CEK152" s="863"/>
      <c r="CEL152" s="863"/>
      <c r="CEM152" s="863"/>
      <c r="CEN152" s="863"/>
      <c r="CEO152" s="863"/>
      <c r="CEP152" s="863"/>
      <c r="CEQ152" s="863"/>
      <c r="CER152" s="863"/>
      <c r="CES152" s="883"/>
      <c r="CET152" s="883"/>
      <c r="CEU152" s="883"/>
      <c r="CEV152" s="883"/>
      <c r="CEW152" s="883"/>
      <c r="CEX152" s="883"/>
      <c r="CEY152" s="883"/>
      <c r="CEZ152" s="883"/>
      <c r="CFA152" s="883"/>
      <c r="CFB152" s="863"/>
      <c r="CFC152" s="863"/>
      <c r="CFD152" s="863"/>
      <c r="CFE152" s="863"/>
      <c r="CFF152" s="863"/>
      <c r="CFG152" s="863"/>
      <c r="CFH152" s="863"/>
      <c r="CFI152" s="863"/>
      <c r="CFJ152" s="863"/>
      <c r="CFK152" s="863"/>
      <c r="CFL152" s="863"/>
      <c r="CFM152" s="863"/>
      <c r="CFN152" s="863"/>
      <c r="CFO152" s="863"/>
      <c r="CFP152" s="863"/>
      <c r="CFQ152" s="863"/>
      <c r="CFR152" s="863"/>
      <c r="CFS152" s="863"/>
      <c r="CFT152" s="863"/>
      <c r="CFU152" s="863"/>
      <c r="CFV152" s="863"/>
      <c r="CFW152" s="863"/>
      <c r="CFX152" s="863"/>
      <c r="CFY152" s="883"/>
      <c r="CFZ152" s="883"/>
      <c r="CGA152" s="883"/>
      <c r="CGB152" s="883"/>
      <c r="CGC152" s="883"/>
      <c r="CGD152" s="883"/>
      <c r="CGE152" s="883"/>
      <c r="CGF152" s="883"/>
      <c r="CGG152" s="883"/>
      <c r="CGH152" s="863"/>
      <c r="CGI152" s="863"/>
      <c r="CGJ152" s="863"/>
      <c r="CGK152" s="863"/>
      <c r="CGL152" s="863"/>
      <c r="CGM152" s="863"/>
      <c r="CGN152" s="863"/>
      <c r="CGO152" s="863"/>
      <c r="CGP152" s="863"/>
      <c r="CGQ152" s="863"/>
      <c r="CGR152" s="863"/>
      <c r="CGS152" s="863"/>
      <c r="CGT152" s="863"/>
      <c r="CGU152" s="863"/>
      <c r="CGV152" s="863"/>
      <c r="CGW152" s="863"/>
      <c r="CGX152" s="863"/>
      <c r="CGY152" s="863"/>
      <c r="CGZ152" s="863"/>
      <c r="CHA152" s="863"/>
      <c r="CHB152" s="863"/>
      <c r="CHC152" s="863"/>
      <c r="CHD152" s="863"/>
      <c r="CHE152" s="883"/>
      <c r="CHF152" s="883"/>
      <c r="CHG152" s="883"/>
      <c r="CHH152" s="883"/>
      <c r="CHI152" s="883"/>
      <c r="CHJ152" s="883"/>
      <c r="CHK152" s="883"/>
      <c r="CHL152" s="883"/>
      <c r="CHM152" s="883"/>
      <c r="CHN152" s="863"/>
      <c r="CHO152" s="863"/>
      <c r="CHP152" s="863"/>
      <c r="CHQ152" s="863"/>
      <c r="CHR152" s="863"/>
      <c r="CHS152" s="863"/>
      <c r="CHT152" s="863"/>
      <c r="CHU152" s="863"/>
      <c r="CHV152" s="863"/>
      <c r="CHW152" s="863"/>
      <c r="CHX152" s="863"/>
      <c r="CHY152" s="863"/>
      <c r="CHZ152" s="863"/>
      <c r="CIA152" s="863"/>
      <c r="CIB152" s="863"/>
      <c r="CIC152" s="863"/>
      <c r="CID152" s="863"/>
      <c r="CIE152" s="863"/>
      <c r="CIF152" s="863"/>
      <c r="CIG152" s="863"/>
      <c r="CIH152" s="863"/>
      <c r="CII152" s="863"/>
      <c r="CIJ152" s="863"/>
      <c r="CIK152" s="883"/>
      <c r="CIL152" s="883"/>
      <c r="CIM152" s="883"/>
      <c r="CIN152" s="883"/>
      <c r="CIO152" s="883"/>
      <c r="CIP152" s="883"/>
      <c r="CIQ152" s="883"/>
      <c r="CIR152" s="883"/>
      <c r="CIS152" s="883"/>
      <c r="CIT152" s="863"/>
      <c r="CIU152" s="863"/>
      <c r="CIV152" s="863"/>
      <c r="CIW152" s="863"/>
      <c r="CIX152" s="863"/>
      <c r="CIY152" s="863"/>
      <c r="CIZ152" s="863"/>
      <c r="CJA152" s="863"/>
      <c r="CJB152" s="863"/>
      <c r="CJC152" s="863"/>
      <c r="CJD152" s="863"/>
      <c r="CJE152" s="863"/>
      <c r="CJF152" s="863"/>
      <c r="CJG152" s="863"/>
      <c r="CJH152" s="863"/>
      <c r="CJI152" s="863"/>
      <c r="CJJ152" s="863"/>
      <c r="CJK152" s="863"/>
      <c r="CJL152" s="863"/>
      <c r="CJM152" s="863"/>
      <c r="CJN152" s="863"/>
      <c r="CJO152" s="863"/>
      <c r="CJP152" s="863"/>
      <c r="CJQ152" s="883"/>
      <c r="CJR152" s="883"/>
      <c r="CJS152" s="883"/>
      <c r="CJT152" s="883"/>
      <c r="CJU152" s="883"/>
      <c r="CJV152" s="883"/>
      <c r="CJW152" s="883"/>
      <c r="CJX152" s="883"/>
      <c r="CJY152" s="883"/>
      <c r="CJZ152" s="863"/>
      <c r="CKA152" s="863"/>
      <c r="CKB152" s="863"/>
      <c r="CKC152" s="863"/>
      <c r="CKD152" s="863"/>
      <c r="CKE152" s="863"/>
      <c r="CKF152" s="863"/>
      <c r="CKG152" s="863"/>
      <c r="CKH152" s="863"/>
      <c r="CKI152" s="863"/>
      <c r="CKJ152" s="863"/>
      <c r="CKK152" s="863"/>
      <c r="CKL152" s="863"/>
      <c r="CKM152" s="863"/>
      <c r="CKN152" s="863"/>
      <c r="CKO152" s="863"/>
      <c r="CKP152" s="863"/>
      <c r="CKQ152" s="863"/>
      <c r="CKR152" s="863"/>
      <c r="CKS152" s="863"/>
      <c r="CKT152" s="863"/>
      <c r="CKU152" s="863"/>
      <c r="CKV152" s="863"/>
      <c r="CKW152" s="883"/>
      <c r="CKX152" s="883"/>
      <c r="CKY152" s="883"/>
      <c r="CKZ152" s="883"/>
      <c r="CLA152" s="883"/>
      <c r="CLB152" s="883"/>
      <c r="CLC152" s="883"/>
      <c r="CLD152" s="883"/>
      <c r="CLE152" s="883"/>
      <c r="CLF152" s="863"/>
      <c r="CLG152" s="863"/>
      <c r="CLH152" s="863"/>
      <c r="CLI152" s="863"/>
      <c r="CLJ152" s="863"/>
      <c r="CLK152" s="863"/>
      <c r="CLL152" s="863"/>
      <c r="CLM152" s="863"/>
      <c r="CLN152" s="863"/>
      <c r="CLO152" s="863"/>
      <c r="CLP152" s="863"/>
      <c r="CLQ152" s="863"/>
      <c r="CLR152" s="863"/>
      <c r="CLS152" s="863"/>
      <c r="CLT152" s="863"/>
      <c r="CLU152" s="863"/>
      <c r="CLV152" s="863"/>
      <c r="CLW152" s="863"/>
      <c r="CLX152" s="863"/>
      <c r="CLY152" s="863"/>
      <c r="CLZ152" s="863"/>
      <c r="CMA152" s="863"/>
      <c r="CMB152" s="863"/>
      <c r="CMC152" s="883"/>
      <c r="CMD152" s="883"/>
      <c r="CME152" s="883"/>
      <c r="CMF152" s="883"/>
      <c r="CMG152" s="883"/>
      <c r="CMH152" s="883"/>
      <c r="CMI152" s="883"/>
      <c r="CMJ152" s="883"/>
      <c r="CMK152" s="883"/>
      <c r="CML152" s="863"/>
      <c r="CMM152" s="863"/>
      <c r="CMN152" s="863"/>
      <c r="CMO152" s="863"/>
      <c r="CMP152" s="863"/>
      <c r="CMQ152" s="863"/>
      <c r="CMR152" s="863"/>
      <c r="CMS152" s="863"/>
      <c r="CMT152" s="863"/>
      <c r="CMU152" s="863"/>
      <c r="CMV152" s="863"/>
      <c r="CMW152" s="863"/>
      <c r="CMX152" s="863"/>
      <c r="CMY152" s="863"/>
      <c r="CMZ152" s="863"/>
      <c r="CNA152" s="863"/>
      <c r="CNB152" s="863"/>
      <c r="CNC152" s="863"/>
      <c r="CND152" s="863"/>
      <c r="CNE152" s="863"/>
      <c r="CNF152" s="863"/>
      <c r="CNG152" s="863"/>
      <c r="CNH152" s="863"/>
      <c r="CNI152" s="883"/>
      <c r="CNJ152" s="883"/>
      <c r="CNK152" s="883"/>
      <c r="CNL152" s="883"/>
      <c r="CNM152" s="883"/>
      <c r="CNN152" s="883"/>
      <c r="CNO152" s="883"/>
      <c r="CNP152" s="883"/>
      <c r="CNQ152" s="883"/>
      <c r="CNR152" s="863"/>
      <c r="CNS152" s="863"/>
      <c r="CNT152" s="863"/>
      <c r="CNU152" s="863"/>
      <c r="CNV152" s="863"/>
      <c r="CNW152" s="863"/>
      <c r="CNX152" s="863"/>
      <c r="CNY152" s="863"/>
      <c r="CNZ152" s="863"/>
      <c r="COA152" s="863"/>
      <c r="COB152" s="863"/>
      <c r="COC152" s="863"/>
      <c r="COD152" s="863"/>
      <c r="COE152" s="863"/>
      <c r="COF152" s="863"/>
      <c r="COG152" s="863"/>
      <c r="COH152" s="863"/>
      <c r="COI152" s="863"/>
      <c r="COJ152" s="863"/>
      <c r="COK152" s="863"/>
      <c r="COL152" s="863"/>
      <c r="COM152" s="863"/>
      <c r="CON152" s="863"/>
      <c r="COO152" s="883"/>
      <c r="COP152" s="883"/>
      <c r="COQ152" s="883"/>
      <c r="COR152" s="883"/>
      <c r="COS152" s="883"/>
      <c r="COT152" s="883"/>
      <c r="COU152" s="883"/>
      <c r="COV152" s="883"/>
      <c r="COW152" s="883"/>
      <c r="COX152" s="863"/>
      <c r="COY152" s="863"/>
      <c r="COZ152" s="863"/>
      <c r="CPA152" s="863"/>
      <c r="CPB152" s="863"/>
      <c r="CPC152" s="863"/>
      <c r="CPD152" s="863"/>
      <c r="CPE152" s="863"/>
      <c r="CPF152" s="863"/>
      <c r="CPG152" s="863"/>
      <c r="CPH152" s="863"/>
      <c r="CPI152" s="863"/>
      <c r="CPJ152" s="863"/>
      <c r="CPK152" s="863"/>
      <c r="CPL152" s="863"/>
      <c r="CPM152" s="863"/>
      <c r="CPN152" s="863"/>
      <c r="CPO152" s="863"/>
      <c r="CPP152" s="863"/>
      <c r="CPQ152" s="863"/>
      <c r="CPR152" s="863"/>
      <c r="CPS152" s="863"/>
      <c r="CPT152" s="863"/>
      <c r="CPU152" s="883"/>
      <c r="CPV152" s="883"/>
      <c r="CPW152" s="883"/>
      <c r="CPX152" s="883"/>
      <c r="CPY152" s="883"/>
      <c r="CPZ152" s="883"/>
      <c r="CQA152" s="883"/>
      <c r="CQB152" s="883"/>
      <c r="CQC152" s="883"/>
      <c r="CQD152" s="863"/>
      <c r="CQE152" s="863"/>
      <c r="CQF152" s="863"/>
      <c r="CQG152" s="863"/>
      <c r="CQH152" s="863"/>
      <c r="CQI152" s="863"/>
      <c r="CQJ152" s="863"/>
      <c r="CQK152" s="863"/>
      <c r="CQL152" s="863"/>
      <c r="CQM152" s="863"/>
      <c r="CQN152" s="863"/>
      <c r="CQO152" s="863"/>
      <c r="CQP152" s="863"/>
      <c r="CQQ152" s="863"/>
      <c r="CQR152" s="863"/>
      <c r="CQS152" s="863"/>
      <c r="CQT152" s="863"/>
      <c r="CQU152" s="863"/>
      <c r="CQV152" s="863"/>
      <c r="CQW152" s="863"/>
      <c r="CQX152" s="863"/>
      <c r="CQY152" s="863"/>
      <c r="CQZ152" s="863"/>
      <c r="CRA152" s="883"/>
      <c r="CRB152" s="883"/>
      <c r="CRC152" s="883"/>
      <c r="CRD152" s="883"/>
      <c r="CRE152" s="883"/>
      <c r="CRF152" s="883"/>
      <c r="CRG152" s="883"/>
      <c r="CRH152" s="883"/>
      <c r="CRI152" s="883"/>
      <c r="CRJ152" s="863"/>
      <c r="CRK152" s="863"/>
      <c r="CRL152" s="863"/>
      <c r="CRM152" s="863"/>
      <c r="CRN152" s="863"/>
      <c r="CRO152" s="863"/>
      <c r="CRP152" s="863"/>
      <c r="CRQ152" s="863"/>
      <c r="CRR152" s="863"/>
      <c r="CRS152" s="863"/>
      <c r="CRT152" s="863"/>
      <c r="CRU152" s="863"/>
      <c r="CRV152" s="863"/>
      <c r="CRW152" s="863"/>
      <c r="CRX152" s="863"/>
      <c r="CRY152" s="863"/>
      <c r="CRZ152" s="863"/>
      <c r="CSA152" s="863"/>
      <c r="CSB152" s="863"/>
      <c r="CSC152" s="863"/>
      <c r="CSD152" s="863"/>
      <c r="CSE152" s="863"/>
      <c r="CSF152" s="863"/>
      <c r="CSG152" s="883"/>
      <c r="CSH152" s="883"/>
      <c r="CSI152" s="883"/>
      <c r="CSJ152" s="883"/>
      <c r="CSK152" s="883"/>
      <c r="CSL152" s="883"/>
      <c r="CSM152" s="883"/>
      <c r="CSN152" s="883"/>
      <c r="CSO152" s="883"/>
      <c r="CSP152" s="863"/>
      <c r="CSQ152" s="863"/>
      <c r="CSR152" s="863"/>
      <c r="CSS152" s="863"/>
      <c r="CST152" s="863"/>
      <c r="CSU152" s="863"/>
      <c r="CSV152" s="863"/>
      <c r="CSW152" s="863"/>
      <c r="CSX152" s="863"/>
      <c r="CSY152" s="863"/>
      <c r="CSZ152" s="863"/>
      <c r="CTA152" s="863"/>
      <c r="CTB152" s="863"/>
      <c r="CTC152" s="863"/>
      <c r="CTD152" s="863"/>
      <c r="CTE152" s="863"/>
      <c r="CTF152" s="863"/>
      <c r="CTG152" s="863"/>
      <c r="CTH152" s="863"/>
      <c r="CTI152" s="863"/>
      <c r="CTJ152" s="863"/>
      <c r="CTK152" s="863"/>
      <c r="CTL152" s="863"/>
      <c r="CTM152" s="883"/>
      <c r="CTN152" s="883"/>
      <c r="CTO152" s="883"/>
      <c r="CTP152" s="883"/>
      <c r="CTQ152" s="883"/>
      <c r="CTR152" s="883"/>
      <c r="CTS152" s="883"/>
      <c r="CTT152" s="883"/>
      <c r="CTU152" s="883"/>
      <c r="CTV152" s="863"/>
      <c r="CTW152" s="863"/>
      <c r="CTX152" s="863"/>
      <c r="CTY152" s="863"/>
      <c r="CTZ152" s="863"/>
      <c r="CUA152" s="863"/>
      <c r="CUB152" s="863"/>
      <c r="CUC152" s="863"/>
      <c r="CUD152" s="863"/>
      <c r="CUE152" s="863"/>
      <c r="CUF152" s="863"/>
      <c r="CUG152" s="863"/>
      <c r="CUH152" s="863"/>
      <c r="CUI152" s="863"/>
      <c r="CUJ152" s="863"/>
      <c r="CUK152" s="863"/>
      <c r="CUL152" s="863"/>
      <c r="CUM152" s="863"/>
      <c r="CUN152" s="863"/>
      <c r="CUO152" s="863"/>
      <c r="CUP152" s="863"/>
      <c r="CUQ152" s="863"/>
      <c r="CUR152" s="863"/>
      <c r="CUS152" s="883"/>
      <c r="CUT152" s="883"/>
      <c r="CUU152" s="883"/>
      <c r="CUV152" s="883"/>
      <c r="CUW152" s="883"/>
      <c r="CUX152" s="883"/>
      <c r="CUY152" s="883"/>
      <c r="CUZ152" s="883"/>
      <c r="CVA152" s="883"/>
      <c r="CVB152" s="863"/>
      <c r="CVC152" s="863"/>
      <c r="CVD152" s="863"/>
      <c r="CVE152" s="863"/>
      <c r="CVF152" s="863"/>
      <c r="CVG152" s="863"/>
      <c r="CVH152" s="863"/>
      <c r="CVI152" s="863"/>
      <c r="CVJ152" s="863"/>
      <c r="CVK152" s="863"/>
      <c r="CVL152" s="863"/>
      <c r="CVM152" s="863"/>
      <c r="CVN152" s="863"/>
      <c r="CVO152" s="863"/>
      <c r="CVP152" s="863"/>
      <c r="CVQ152" s="863"/>
      <c r="CVR152" s="863"/>
      <c r="CVS152" s="863"/>
      <c r="CVT152" s="863"/>
      <c r="CVU152" s="863"/>
      <c r="CVV152" s="863"/>
      <c r="CVW152" s="863"/>
      <c r="CVX152" s="863"/>
      <c r="CVY152" s="883"/>
      <c r="CVZ152" s="883"/>
      <c r="CWA152" s="883"/>
      <c r="CWB152" s="883"/>
      <c r="CWC152" s="883"/>
      <c r="CWD152" s="883"/>
      <c r="CWE152" s="883"/>
      <c r="CWF152" s="883"/>
      <c r="CWG152" s="883"/>
      <c r="CWH152" s="863"/>
      <c r="CWI152" s="863"/>
      <c r="CWJ152" s="863"/>
      <c r="CWK152" s="863"/>
      <c r="CWL152" s="863"/>
      <c r="CWM152" s="863"/>
      <c r="CWN152" s="863"/>
      <c r="CWO152" s="863"/>
      <c r="CWP152" s="863"/>
      <c r="CWQ152" s="863"/>
      <c r="CWR152" s="863"/>
      <c r="CWS152" s="863"/>
      <c r="CWT152" s="863"/>
      <c r="CWU152" s="863"/>
      <c r="CWV152" s="863"/>
      <c r="CWW152" s="863"/>
      <c r="CWX152" s="863"/>
      <c r="CWY152" s="863"/>
      <c r="CWZ152" s="863"/>
      <c r="CXA152" s="863"/>
      <c r="CXB152" s="863"/>
      <c r="CXC152" s="863"/>
      <c r="CXD152" s="863"/>
      <c r="CXE152" s="883"/>
      <c r="CXF152" s="883"/>
      <c r="CXG152" s="883"/>
      <c r="CXH152" s="883"/>
      <c r="CXI152" s="883"/>
      <c r="CXJ152" s="883"/>
      <c r="CXK152" s="883"/>
      <c r="CXL152" s="883"/>
      <c r="CXM152" s="883"/>
      <c r="CXN152" s="863"/>
      <c r="CXO152" s="863"/>
      <c r="CXP152" s="863"/>
      <c r="CXQ152" s="863"/>
      <c r="CXR152" s="863"/>
      <c r="CXS152" s="863"/>
      <c r="CXT152" s="863"/>
      <c r="CXU152" s="863"/>
      <c r="CXV152" s="863"/>
      <c r="CXW152" s="863"/>
      <c r="CXX152" s="863"/>
      <c r="CXY152" s="863"/>
      <c r="CXZ152" s="863"/>
      <c r="CYA152" s="863"/>
      <c r="CYB152" s="863"/>
      <c r="CYC152" s="863"/>
      <c r="CYD152" s="863"/>
      <c r="CYE152" s="863"/>
      <c r="CYF152" s="863"/>
      <c r="CYG152" s="863"/>
      <c r="CYH152" s="863"/>
      <c r="CYI152" s="863"/>
      <c r="CYJ152" s="863"/>
      <c r="CYK152" s="883"/>
      <c r="CYL152" s="883"/>
      <c r="CYM152" s="883"/>
      <c r="CYN152" s="883"/>
      <c r="CYO152" s="883"/>
      <c r="CYP152" s="883"/>
      <c r="CYQ152" s="883"/>
      <c r="CYR152" s="883"/>
      <c r="CYS152" s="883"/>
      <c r="CYT152" s="863"/>
      <c r="CYU152" s="863"/>
      <c r="CYV152" s="863"/>
      <c r="CYW152" s="863"/>
      <c r="CYX152" s="863"/>
      <c r="CYY152" s="863"/>
      <c r="CYZ152" s="863"/>
      <c r="CZA152" s="863"/>
      <c r="CZB152" s="863"/>
      <c r="CZC152" s="863"/>
      <c r="CZD152" s="863"/>
      <c r="CZE152" s="863"/>
      <c r="CZF152" s="863"/>
      <c r="CZG152" s="863"/>
      <c r="CZH152" s="863"/>
      <c r="CZI152" s="863"/>
      <c r="CZJ152" s="863"/>
      <c r="CZK152" s="863"/>
      <c r="CZL152" s="863"/>
      <c r="CZM152" s="863"/>
      <c r="CZN152" s="863"/>
      <c r="CZO152" s="863"/>
      <c r="CZP152" s="863"/>
      <c r="CZQ152" s="883"/>
      <c r="CZR152" s="883"/>
      <c r="CZS152" s="883"/>
      <c r="CZT152" s="883"/>
      <c r="CZU152" s="883"/>
      <c r="CZV152" s="883"/>
      <c r="CZW152" s="883"/>
      <c r="CZX152" s="883"/>
      <c r="CZY152" s="883"/>
      <c r="CZZ152" s="863"/>
      <c r="DAA152" s="863"/>
      <c r="DAB152" s="863"/>
      <c r="DAC152" s="863"/>
      <c r="DAD152" s="863"/>
      <c r="DAE152" s="863"/>
      <c r="DAF152" s="863"/>
      <c r="DAG152" s="863"/>
      <c r="DAH152" s="863"/>
      <c r="DAI152" s="863"/>
      <c r="DAJ152" s="863"/>
      <c r="DAK152" s="863"/>
      <c r="DAL152" s="863"/>
      <c r="DAM152" s="863"/>
      <c r="DAN152" s="863"/>
      <c r="DAO152" s="863"/>
      <c r="DAP152" s="863"/>
      <c r="DAQ152" s="863"/>
      <c r="DAR152" s="863"/>
      <c r="DAS152" s="863"/>
      <c r="DAT152" s="863"/>
      <c r="DAU152" s="863"/>
      <c r="DAV152" s="863"/>
      <c r="DAW152" s="883"/>
      <c r="DAX152" s="883"/>
      <c r="DAY152" s="883"/>
      <c r="DAZ152" s="883"/>
      <c r="DBA152" s="883"/>
      <c r="DBB152" s="883"/>
      <c r="DBC152" s="883"/>
      <c r="DBD152" s="883"/>
      <c r="DBE152" s="883"/>
      <c r="DBF152" s="863"/>
      <c r="DBG152" s="863"/>
      <c r="DBH152" s="863"/>
      <c r="DBI152" s="863"/>
      <c r="DBJ152" s="863"/>
      <c r="DBK152" s="863"/>
      <c r="DBL152" s="863"/>
      <c r="DBM152" s="863"/>
      <c r="DBN152" s="863"/>
      <c r="DBO152" s="863"/>
      <c r="DBP152" s="863"/>
      <c r="DBQ152" s="863"/>
      <c r="DBR152" s="863"/>
      <c r="DBS152" s="863"/>
      <c r="DBT152" s="863"/>
      <c r="DBU152" s="863"/>
      <c r="DBV152" s="863"/>
      <c r="DBW152" s="863"/>
      <c r="DBX152" s="863"/>
      <c r="DBY152" s="863"/>
      <c r="DBZ152" s="863"/>
      <c r="DCA152" s="863"/>
      <c r="DCB152" s="863"/>
      <c r="DCC152" s="883"/>
      <c r="DCD152" s="883"/>
      <c r="DCE152" s="883"/>
      <c r="DCF152" s="883"/>
      <c r="DCG152" s="883"/>
      <c r="DCH152" s="883"/>
      <c r="DCI152" s="883"/>
      <c r="DCJ152" s="883"/>
      <c r="DCK152" s="883"/>
      <c r="DCL152" s="863"/>
      <c r="DCM152" s="863"/>
      <c r="DCN152" s="863"/>
      <c r="DCO152" s="863"/>
      <c r="DCP152" s="863"/>
      <c r="DCQ152" s="863"/>
      <c r="DCR152" s="863"/>
      <c r="DCS152" s="863"/>
      <c r="DCT152" s="863"/>
      <c r="DCU152" s="863"/>
      <c r="DCV152" s="863"/>
      <c r="DCW152" s="863"/>
      <c r="DCX152" s="863"/>
      <c r="DCY152" s="863"/>
      <c r="DCZ152" s="863"/>
      <c r="DDA152" s="863"/>
      <c r="DDB152" s="863"/>
      <c r="DDC152" s="863"/>
      <c r="DDD152" s="863"/>
      <c r="DDE152" s="863"/>
      <c r="DDF152" s="863"/>
      <c r="DDG152" s="863"/>
      <c r="DDH152" s="863"/>
      <c r="DDI152" s="883"/>
      <c r="DDJ152" s="883"/>
      <c r="DDK152" s="883"/>
      <c r="DDL152" s="883"/>
      <c r="DDM152" s="883"/>
      <c r="DDN152" s="883"/>
      <c r="DDO152" s="883"/>
      <c r="DDP152" s="883"/>
      <c r="DDQ152" s="883"/>
      <c r="DDR152" s="863"/>
      <c r="DDS152" s="863"/>
      <c r="DDT152" s="863"/>
      <c r="DDU152" s="863"/>
      <c r="DDV152" s="863"/>
      <c r="DDW152" s="863"/>
      <c r="DDX152" s="863"/>
      <c r="DDY152" s="863"/>
      <c r="DDZ152" s="863"/>
      <c r="DEA152" s="863"/>
      <c r="DEB152" s="863"/>
      <c r="DEC152" s="863"/>
      <c r="DED152" s="863"/>
      <c r="DEE152" s="863"/>
      <c r="DEF152" s="863"/>
      <c r="DEG152" s="863"/>
      <c r="DEH152" s="863"/>
      <c r="DEI152" s="863"/>
      <c r="DEJ152" s="863"/>
      <c r="DEK152" s="863"/>
      <c r="DEL152" s="863"/>
      <c r="DEM152" s="863"/>
      <c r="DEN152" s="863"/>
      <c r="DEO152" s="883"/>
      <c r="DEP152" s="883"/>
      <c r="DEQ152" s="883"/>
      <c r="DER152" s="883"/>
      <c r="DES152" s="883"/>
      <c r="DET152" s="883"/>
      <c r="DEU152" s="883"/>
      <c r="DEV152" s="883"/>
      <c r="DEW152" s="883"/>
      <c r="DEX152" s="863"/>
      <c r="DEY152" s="863"/>
      <c r="DEZ152" s="863"/>
      <c r="DFA152" s="863"/>
      <c r="DFB152" s="863"/>
      <c r="DFC152" s="863"/>
      <c r="DFD152" s="863"/>
      <c r="DFE152" s="863"/>
      <c r="DFF152" s="863"/>
      <c r="DFG152" s="863"/>
      <c r="DFH152" s="863"/>
      <c r="DFI152" s="863"/>
      <c r="DFJ152" s="863"/>
      <c r="DFK152" s="863"/>
      <c r="DFL152" s="863"/>
      <c r="DFM152" s="863"/>
      <c r="DFN152" s="863"/>
      <c r="DFO152" s="863"/>
      <c r="DFP152" s="863"/>
      <c r="DFQ152" s="863"/>
      <c r="DFR152" s="863"/>
      <c r="DFS152" s="863"/>
      <c r="DFT152" s="863"/>
      <c r="DFU152" s="883"/>
      <c r="DFV152" s="883"/>
      <c r="DFW152" s="883"/>
      <c r="DFX152" s="883"/>
      <c r="DFY152" s="883"/>
      <c r="DFZ152" s="883"/>
      <c r="DGA152" s="883"/>
      <c r="DGB152" s="883"/>
      <c r="DGC152" s="883"/>
      <c r="DGD152" s="863"/>
      <c r="DGE152" s="863"/>
      <c r="DGF152" s="863"/>
      <c r="DGG152" s="863"/>
      <c r="DGH152" s="863"/>
      <c r="DGI152" s="863"/>
      <c r="DGJ152" s="863"/>
      <c r="DGK152" s="863"/>
      <c r="DGL152" s="863"/>
      <c r="DGM152" s="863"/>
      <c r="DGN152" s="863"/>
      <c r="DGO152" s="863"/>
      <c r="DGP152" s="863"/>
      <c r="DGQ152" s="863"/>
      <c r="DGR152" s="863"/>
      <c r="DGS152" s="863"/>
      <c r="DGT152" s="863"/>
      <c r="DGU152" s="863"/>
      <c r="DGV152" s="863"/>
      <c r="DGW152" s="863"/>
      <c r="DGX152" s="863"/>
      <c r="DGY152" s="863"/>
      <c r="DGZ152" s="863"/>
      <c r="DHA152" s="883"/>
      <c r="DHB152" s="883"/>
      <c r="DHC152" s="883"/>
      <c r="DHD152" s="883"/>
      <c r="DHE152" s="883"/>
      <c r="DHF152" s="883"/>
      <c r="DHG152" s="883"/>
      <c r="DHH152" s="883"/>
      <c r="DHI152" s="883"/>
      <c r="DHJ152" s="863"/>
      <c r="DHK152" s="863"/>
      <c r="DHL152" s="863"/>
      <c r="DHM152" s="863"/>
      <c r="DHN152" s="863"/>
      <c r="DHO152" s="863"/>
      <c r="DHP152" s="863"/>
      <c r="DHQ152" s="863"/>
      <c r="DHR152" s="863"/>
      <c r="DHS152" s="863"/>
      <c r="DHT152" s="863"/>
      <c r="DHU152" s="863"/>
      <c r="DHV152" s="863"/>
      <c r="DHW152" s="863"/>
      <c r="DHX152" s="863"/>
      <c r="DHY152" s="863"/>
      <c r="DHZ152" s="863"/>
      <c r="DIA152" s="863"/>
      <c r="DIB152" s="863"/>
      <c r="DIC152" s="863"/>
      <c r="DID152" s="863"/>
      <c r="DIE152" s="863"/>
      <c r="DIF152" s="863"/>
      <c r="DIG152" s="883"/>
      <c r="DIH152" s="883"/>
      <c r="DII152" s="883"/>
      <c r="DIJ152" s="883"/>
      <c r="DIK152" s="883"/>
      <c r="DIL152" s="883"/>
      <c r="DIM152" s="883"/>
      <c r="DIN152" s="883"/>
      <c r="DIO152" s="883"/>
      <c r="DIP152" s="863"/>
      <c r="DIQ152" s="863"/>
      <c r="DIR152" s="863"/>
      <c r="DIS152" s="863"/>
      <c r="DIT152" s="863"/>
      <c r="DIU152" s="863"/>
      <c r="DIV152" s="863"/>
      <c r="DIW152" s="863"/>
      <c r="DIX152" s="863"/>
      <c r="DIY152" s="863"/>
      <c r="DIZ152" s="863"/>
      <c r="DJA152" s="863"/>
      <c r="DJB152" s="863"/>
      <c r="DJC152" s="863"/>
      <c r="DJD152" s="863"/>
      <c r="DJE152" s="863"/>
      <c r="DJF152" s="863"/>
      <c r="DJG152" s="863"/>
      <c r="DJH152" s="863"/>
      <c r="DJI152" s="863"/>
      <c r="DJJ152" s="863"/>
      <c r="DJK152" s="863"/>
      <c r="DJL152" s="863"/>
      <c r="DJM152" s="883"/>
      <c r="DJN152" s="883"/>
      <c r="DJO152" s="883"/>
      <c r="DJP152" s="883"/>
      <c r="DJQ152" s="883"/>
      <c r="DJR152" s="883"/>
      <c r="DJS152" s="883"/>
      <c r="DJT152" s="883"/>
      <c r="DJU152" s="883"/>
      <c r="DJV152" s="863"/>
      <c r="DJW152" s="863"/>
      <c r="DJX152" s="863"/>
      <c r="DJY152" s="863"/>
      <c r="DJZ152" s="863"/>
      <c r="DKA152" s="863"/>
      <c r="DKB152" s="863"/>
      <c r="DKC152" s="863"/>
      <c r="DKD152" s="863"/>
      <c r="DKE152" s="863"/>
      <c r="DKF152" s="863"/>
      <c r="DKG152" s="863"/>
      <c r="DKH152" s="863"/>
      <c r="DKI152" s="863"/>
      <c r="DKJ152" s="863"/>
      <c r="DKK152" s="863"/>
      <c r="DKL152" s="863"/>
      <c r="DKM152" s="863"/>
      <c r="DKN152" s="863"/>
      <c r="DKO152" s="863"/>
      <c r="DKP152" s="863"/>
      <c r="DKQ152" s="863"/>
      <c r="DKR152" s="863"/>
      <c r="DKS152" s="883"/>
      <c r="DKT152" s="883"/>
      <c r="DKU152" s="883"/>
      <c r="DKV152" s="883"/>
      <c r="DKW152" s="883"/>
      <c r="DKX152" s="883"/>
      <c r="DKY152" s="883"/>
      <c r="DKZ152" s="883"/>
      <c r="DLA152" s="883"/>
      <c r="DLB152" s="863"/>
      <c r="DLC152" s="863"/>
      <c r="DLD152" s="863"/>
      <c r="DLE152" s="863"/>
      <c r="DLF152" s="863"/>
      <c r="DLG152" s="863"/>
      <c r="DLH152" s="863"/>
      <c r="DLI152" s="863"/>
      <c r="DLJ152" s="863"/>
      <c r="DLK152" s="863"/>
      <c r="DLL152" s="863"/>
      <c r="DLM152" s="863"/>
      <c r="DLN152" s="863"/>
      <c r="DLO152" s="863"/>
      <c r="DLP152" s="863"/>
      <c r="DLQ152" s="863"/>
      <c r="DLR152" s="863"/>
      <c r="DLS152" s="863"/>
      <c r="DLT152" s="863"/>
      <c r="DLU152" s="863"/>
      <c r="DLV152" s="863"/>
      <c r="DLW152" s="863"/>
      <c r="DLX152" s="863"/>
      <c r="DLY152" s="883"/>
      <c r="DLZ152" s="883"/>
      <c r="DMA152" s="883"/>
      <c r="DMB152" s="883"/>
      <c r="DMC152" s="883"/>
      <c r="DMD152" s="883"/>
      <c r="DME152" s="883"/>
      <c r="DMF152" s="883"/>
      <c r="DMG152" s="883"/>
      <c r="DMH152" s="863"/>
      <c r="DMI152" s="863"/>
      <c r="DMJ152" s="863"/>
      <c r="DMK152" s="863"/>
      <c r="DML152" s="863"/>
      <c r="DMM152" s="863"/>
      <c r="DMN152" s="863"/>
      <c r="DMO152" s="863"/>
      <c r="DMP152" s="863"/>
      <c r="DMQ152" s="863"/>
      <c r="DMR152" s="863"/>
      <c r="DMS152" s="863"/>
      <c r="DMT152" s="863"/>
      <c r="DMU152" s="863"/>
      <c r="DMV152" s="863"/>
      <c r="DMW152" s="863"/>
      <c r="DMX152" s="863"/>
      <c r="DMY152" s="863"/>
      <c r="DMZ152" s="863"/>
      <c r="DNA152" s="863"/>
      <c r="DNB152" s="863"/>
      <c r="DNC152" s="863"/>
      <c r="DND152" s="863"/>
      <c r="DNE152" s="883"/>
      <c r="DNF152" s="883"/>
      <c r="DNG152" s="883"/>
      <c r="DNH152" s="883"/>
      <c r="DNI152" s="883"/>
      <c r="DNJ152" s="883"/>
      <c r="DNK152" s="883"/>
      <c r="DNL152" s="883"/>
      <c r="DNM152" s="883"/>
      <c r="DNN152" s="863"/>
      <c r="DNO152" s="863"/>
      <c r="DNP152" s="863"/>
      <c r="DNQ152" s="863"/>
      <c r="DNR152" s="863"/>
      <c r="DNS152" s="863"/>
      <c r="DNT152" s="863"/>
      <c r="DNU152" s="863"/>
      <c r="DNV152" s="863"/>
      <c r="DNW152" s="863"/>
      <c r="DNX152" s="863"/>
      <c r="DNY152" s="863"/>
      <c r="DNZ152" s="863"/>
      <c r="DOA152" s="863"/>
      <c r="DOB152" s="863"/>
      <c r="DOC152" s="863"/>
      <c r="DOD152" s="863"/>
      <c r="DOE152" s="863"/>
      <c r="DOF152" s="863"/>
      <c r="DOG152" s="863"/>
      <c r="DOH152" s="863"/>
      <c r="DOI152" s="863"/>
      <c r="DOJ152" s="863"/>
      <c r="DOK152" s="883"/>
      <c r="DOL152" s="883"/>
      <c r="DOM152" s="883"/>
      <c r="DON152" s="883"/>
      <c r="DOO152" s="883"/>
      <c r="DOP152" s="883"/>
      <c r="DOQ152" s="883"/>
      <c r="DOR152" s="883"/>
      <c r="DOS152" s="883"/>
      <c r="DOT152" s="863"/>
      <c r="DOU152" s="863"/>
      <c r="DOV152" s="863"/>
      <c r="DOW152" s="863"/>
      <c r="DOX152" s="863"/>
      <c r="DOY152" s="863"/>
      <c r="DOZ152" s="863"/>
      <c r="DPA152" s="863"/>
      <c r="DPB152" s="863"/>
      <c r="DPC152" s="863"/>
      <c r="DPD152" s="863"/>
      <c r="DPE152" s="863"/>
      <c r="DPF152" s="863"/>
      <c r="DPG152" s="863"/>
      <c r="DPH152" s="863"/>
      <c r="DPI152" s="863"/>
      <c r="DPJ152" s="863"/>
      <c r="DPK152" s="863"/>
      <c r="DPL152" s="863"/>
      <c r="DPM152" s="863"/>
      <c r="DPN152" s="863"/>
      <c r="DPO152" s="863"/>
      <c r="DPP152" s="863"/>
      <c r="DPQ152" s="883"/>
      <c r="DPR152" s="883"/>
      <c r="DPS152" s="883"/>
      <c r="DPT152" s="883"/>
      <c r="DPU152" s="883"/>
      <c r="DPV152" s="883"/>
      <c r="DPW152" s="883"/>
      <c r="DPX152" s="883"/>
      <c r="DPY152" s="883"/>
      <c r="DPZ152" s="863"/>
      <c r="DQA152" s="863"/>
      <c r="DQB152" s="863"/>
      <c r="DQC152" s="863"/>
      <c r="DQD152" s="863"/>
      <c r="DQE152" s="863"/>
      <c r="DQF152" s="863"/>
      <c r="DQG152" s="863"/>
      <c r="DQH152" s="863"/>
      <c r="DQI152" s="863"/>
      <c r="DQJ152" s="863"/>
      <c r="DQK152" s="863"/>
      <c r="DQL152" s="863"/>
      <c r="DQM152" s="863"/>
      <c r="DQN152" s="863"/>
      <c r="DQO152" s="863"/>
      <c r="DQP152" s="863"/>
      <c r="DQQ152" s="863"/>
      <c r="DQR152" s="863"/>
      <c r="DQS152" s="863"/>
      <c r="DQT152" s="863"/>
      <c r="DQU152" s="863"/>
      <c r="DQV152" s="863"/>
      <c r="DQW152" s="883"/>
      <c r="DQX152" s="883"/>
      <c r="DQY152" s="883"/>
      <c r="DQZ152" s="883"/>
      <c r="DRA152" s="883"/>
      <c r="DRB152" s="883"/>
      <c r="DRC152" s="883"/>
      <c r="DRD152" s="883"/>
      <c r="DRE152" s="883"/>
      <c r="DRF152" s="863"/>
      <c r="DRG152" s="863"/>
      <c r="DRH152" s="863"/>
      <c r="DRI152" s="863"/>
      <c r="DRJ152" s="863"/>
      <c r="DRK152" s="863"/>
      <c r="DRL152" s="863"/>
      <c r="DRM152" s="863"/>
      <c r="DRN152" s="863"/>
      <c r="DRO152" s="863"/>
      <c r="DRP152" s="863"/>
      <c r="DRQ152" s="863"/>
      <c r="DRR152" s="863"/>
      <c r="DRS152" s="863"/>
      <c r="DRT152" s="863"/>
      <c r="DRU152" s="863"/>
      <c r="DRV152" s="863"/>
      <c r="DRW152" s="863"/>
      <c r="DRX152" s="863"/>
      <c r="DRY152" s="863"/>
      <c r="DRZ152" s="863"/>
      <c r="DSA152" s="863"/>
      <c r="DSB152" s="863"/>
      <c r="DSC152" s="883"/>
      <c r="DSD152" s="883"/>
      <c r="DSE152" s="883"/>
      <c r="DSF152" s="883"/>
      <c r="DSG152" s="883"/>
      <c r="DSH152" s="883"/>
      <c r="DSI152" s="883"/>
      <c r="DSJ152" s="883"/>
      <c r="DSK152" s="883"/>
      <c r="DSL152" s="863"/>
      <c r="DSM152" s="863"/>
      <c r="DSN152" s="863"/>
      <c r="DSO152" s="863"/>
      <c r="DSP152" s="863"/>
      <c r="DSQ152" s="863"/>
      <c r="DSR152" s="863"/>
      <c r="DSS152" s="863"/>
      <c r="DST152" s="863"/>
      <c r="DSU152" s="863"/>
      <c r="DSV152" s="863"/>
      <c r="DSW152" s="863"/>
      <c r="DSX152" s="863"/>
      <c r="DSY152" s="863"/>
      <c r="DSZ152" s="863"/>
      <c r="DTA152" s="863"/>
      <c r="DTB152" s="863"/>
      <c r="DTC152" s="863"/>
      <c r="DTD152" s="863"/>
      <c r="DTE152" s="863"/>
      <c r="DTF152" s="863"/>
      <c r="DTG152" s="863"/>
      <c r="DTH152" s="863"/>
      <c r="DTI152" s="883"/>
      <c r="DTJ152" s="883"/>
      <c r="DTK152" s="883"/>
      <c r="DTL152" s="883"/>
      <c r="DTM152" s="883"/>
      <c r="DTN152" s="883"/>
      <c r="DTO152" s="883"/>
      <c r="DTP152" s="883"/>
      <c r="DTQ152" s="883"/>
      <c r="DTR152" s="863"/>
      <c r="DTS152" s="863"/>
      <c r="DTT152" s="863"/>
      <c r="DTU152" s="863"/>
      <c r="DTV152" s="863"/>
      <c r="DTW152" s="863"/>
      <c r="DTX152" s="863"/>
      <c r="DTY152" s="863"/>
      <c r="DTZ152" s="863"/>
      <c r="DUA152" s="863"/>
      <c r="DUB152" s="863"/>
      <c r="DUC152" s="863"/>
      <c r="DUD152" s="863"/>
      <c r="DUE152" s="863"/>
      <c r="DUF152" s="863"/>
      <c r="DUG152" s="863"/>
      <c r="DUH152" s="863"/>
      <c r="DUI152" s="863"/>
      <c r="DUJ152" s="863"/>
      <c r="DUK152" s="863"/>
      <c r="DUL152" s="863"/>
      <c r="DUM152" s="863"/>
      <c r="DUN152" s="863"/>
      <c r="DUO152" s="883"/>
      <c r="DUP152" s="883"/>
      <c r="DUQ152" s="883"/>
      <c r="DUR152" s="883"/>
      <c r="DUS152" s="883"/>
      <c r="DUT152" s="883"/>
      <c r="DUU152" s="883"/>
      <c r="DUV152" s="883"/>
      <c r="DUW152" s="883"/>
      <c r="DUX152" s="863"/>
      <c r="DUY152" s="863"/>
      <c r="DUZ152" s="863"/>
      <c r="DVA152" s="863"/>
      <c r="DVB152" s="863"/>
      <c r="DVC152" s="863"/>
      <c r="DVD152" s="863"/>
      <c r="DVE152" s="863"/>
      <c r="DVF152" s="863"/>
      <c r="DVG152" s="863"/>
      <c r="DVH152" s="863"/>
      <c r="DVI152" s="863"/>
      <c r="DVJ152" s="863"/>
      <c r="DVK152" s="863"/>
      <c r="DVL152" s="863"/>
      <c r="DVM152" s="863"/>
      <c r="DVN152" s="863"/>
      <c r="DVO152" s="863"/>
      <c r="DVP152" s="863"/>
      <c r="DVQ152" s="863"/>
      <c r="DVR152" s="863"/>
      <c r="DVS152" s="863"/>
      <c r="DVT152" s="863"/>
      <c r="DVU152" s="883"/>
      <c r="DVV152" s="883"/>
      <c r="DVW152" s="883"/>
      <c r="DVX152" s="883"/>
      <c r="DVY152" s="883"/>
      <c r="DVZ152" s="883"/>
      <c r="DWA152" s="883"/>
      <c r="DWB152" s="883"/>
      <c r="DWC152" s="883"/>
      <c r="DWD152" s="863"/>
      <c r="DWE152" s="863"/>
      <c r="DWF152" s="863"/>
      <c r="DWG152" s="863"/>
      <c r="DWH152" s="863"/>
      <c r="DWI152" s="863"/>
      <c r="DWJ152" s="863"/>
      <c r="DWK152" s="863"/>
      <c r="DWL152" s="863"/>
      <c r="DWM152" s="863"/>
      <c r="DWN152" s="863"/>
      <c r="DWO152" s="863"/>
      <c r="DWP152" s="863"/>
      <c r="DWQ152" s="863"/>
      <c r="DWR152" s="863"/>
      <c r="DWS152" s="863"/>
      <c r="DWT152" s="863"/>
      <c r="DWU152" s="863"/>
      <c r="DWV152" s="863"/>
      <c r="DWW152" s="863"/>
      <c r="DWX152" s="863"/>
      <c r="DWY152" s="863"/>
      <c r="DWZ152" s="863"/>
      <c r="DXA152" s="883"/>
      <c r="DXB152" s="883"/>
      <c r="DXC152" s="883"/>
      <c r="DXD152" s="883"/>
      <c r="DXE152" s="883"/>
      <c r="DXF152" s="883"/>
      <c r="DXG152" s="883"/>
      <c r="DXH152" s="883"/>
      <c r="DXI152" s="883"/>
      <c r="DXJ152" s="863"/>
      <c r="DXK152" s="863"/>
      <c r="DXL152" s="863"/>
      <c r="DXM152" s="863"/>
      <c r="DXN152" s="863"/>
      <c r="DXO152" s="863"/>
      <c r="DXP152" s="863"/>
      <c r="DXQ152" s="863"/>
      <c r="DXR152" s="863"/>
      <c r="DXS152" s="863"/>
      <c r="DXT152" s="863"/>
      <c r="DXU152" s="863"/>
      <c r="DXV152" s="863"/>
      <c r="DXW152" s="863"/>
      <c r="DXX152" s="863"/>
      <c r="DXY152" s="863"/>
      <c r="DXZ152" s="863"/>
      <c r="DYA152" s="863"/>
      <c r="DYB152" s="863"/>
      <c r="DYC152" s="863"/>
      <c r="DYD152" s="863"/>
      <c r="DYE152" s="863"/>
      <c r="DYF152" s="863"/>
      <c r="DYG152" s="883"/>
      <c r="DYH152" s="883"/>
      <c r="DYI152" s="883"/>
      <c r="DYJ152" s="883"/>
      <c r="DYK152" s="883"/>
      <c r="DYL152" s="883"/>
      <c r="DYM152" s="883"/>
      <c r="DYN152" s="883"/>
      <c r="DYO152" s="883"/>
      <c r="DYP152" s="863"/>
      <c r="DYQ152" s="863"/>
      <c r="DYR152" s="863"/>
      <c r="DYS152" s="863"/>
      <c r="DYT152" s="863"/>
      <c r="DYU152" s="863"/>
      <c r="DYV152" s="863"/>
      <c r="DYW152" s="863"/>
      <c r="DYX152" s="863"/>
      <c r="DYY152" s="863"/>
      <c r="DYZ152" s="863"/>
      <c r="DZA152" s="863"/>
      <c r="DZB152" s="863"/>
      <c r="DZC152" s="863"/>
      <c r="DZD152" s="863"/>
      <c r="DZE152" s="863"/>
      <c r="DZF152" s="863"/>
      <c r="DZG152" s="863"/>
      <c r="DZH152" s="863"/>
      <c r="DZI152" s="863"/>
      <c r="DZJ152" s="863"/>
      <c r="DZK152" s="863"/>
      <c r="DZL152" s="863"/>
      <c r="DZM152" s="883"/>
      <c r="DZN152" s="883"/>
      <c r="DZO152" s="883"/>
      <c r="DZP152" s="883"/>
      <c r="DZQ152" s="883"/>
      <c r="DZR152" s="883"/>
      <c r="DZS152" s="883"/>
      <c r="DZT152" s="883"/>
      <c r="DZU152" s="883"/>
      <c r="DZV152" s="863"/>
      <c r="DZW152" s="863"/>
      <c r="DZX152" s="863"/>
      <c r="DZY152" s="863"/>
      <c r="DZZ152" s="863"/>
      <c r="EAA152" s="863"/>
      <c r="EAB152" s="863"/>
      <c r="EAC152" s="863"/>
      <c r="EAD152" s="863"/>
      <c r="EAE152" s="863"/>
      <c r="EAF152" s="863"/>
      <c r="EAG152" s="863"/>
      <c r="EAH152" s="863"/>
      <c r="EAI152" s="863"/>
      <c r="EAJ152" s="863"/>
      <c r="EAK152" s="863"/>
      <c r="EAL152" s="863"/>
      <c r="EAM152" s="863"/>
      <c r="EAN152" s="863"/>
      <c r="EAO152" s="863"/>
      <c r="EAP152" s="863"/>
      <c r="EAQ152" s="863"/>
      <c r="EAR152" s="863"/>
      <c r="EAS152" s="883"/>
      <c r="EAT152" s="883"/>
      <c r="EAU152" s="883"/>
      <c r="EAV152" s="883"/>
      <c r="EAW152" s="883"/>
      <c r="EAX152" s="883"/>
      <c r="EAY152" s="883"/>
      <c r="EAZ152" s="883"/>
      <c r="EBA152" s="883"/>
      <c r="EBB152" s="863"/>
      <c r="EBC152" s="863"/>
      <c r="EBD152" s="863"/>
      <c r="EBE152" s="863"/>
      <c r="EBF152" s="863"/>
      <c r="EBG152" s="863"/>
      <c r="EBH152" s="863"/>
      <c r="EBI152" s="863"/>
      <c r="EBJ152" s="863"/>
      <c r="EBK152" s="863"/>
      <c r="EBL152" s="863"/>
      <c r="EBM152" s="863"/>
      <c r="EBN152" s="863"/>
      <c r="EBO152" s="863"/>
      <c r="EBP152" s="863"/>
      <c r="EBQ152" s="863"/>
      <c r="EBR152" s="863"/>
      <c r="EBS152" s="863"/>
      <c r="EBT152" s="863"/>
      <c r="EBU152" s="863"/>
      <c r="EBV152" s="863"/>
      <c r="EBW152" s="863"/>
      <c r="EBX152" s="863"/>
      <c r="EBY152" s="883"/>
      <c r="EBZ152" s="883"/>
      <c r="ECA152" s="883"/>
      <c r="ECB152" s="883"/>
      <c r="ECC152" s="883"/>
      <c r="ECD152" s="883"/>
      <c r="ECE152" s="883"/>
      <c r="ECF152" s="883"/>
      <c r="ECG152" s="883"/>
      <c r="ECH152" s="863"/>
      <c r="ECI152" s="863"/>
      <c r="ECJ152" s="863"/>
      <c r="ECK152" s="863"/>
      <c r="ECL152" s="863"/>
      <c r="ECM152" s="863"/>
      <c r="ECN152" s="863"/>
      <c r="ECO152" s="863"/>
      <c r="ECP152" s="863"/>
      <c r="ECQ152" s="863"/>
      <c r="ECR152" s="863"/>
      <c r="ECS152" s="863"/>
      <c r="ECT152" s="863"/>
      <c r="ECU152" s="863"/>
      <c r="ECV152" s="863"/>
      <c r="ECW152" s="863"/>
      <c r="ECX152" s="863"/>
      <c r="ECY152" s="863"/>
      <c r="ECZ152" s="863"/>
      <c r="EDA152" s="863"/>
      <c r="EDB152" s="863"/>
      <c r="EDC152" s="863"/>
      <c r="EDD152" s="863"/>
      <c r="EDE152" s="883"/>
      <c r="EDF152" s="883"/>
      <c r="EDG152" s="883"/>
      <c r="EDH152" s="883"/>
      <c r="EDI152" s="883"/>
      <c r="EDJ152" s="883"/>
      <c r="EDK152" s="883"/>
      <c r="EDL152" s="883"/>
      <c r="EDM152" s="883"/>
      <c r="EDN152" s="863"/>
      <c r="EDO152" s="863"/>
      <c r="EDP152" s="863"/>
      <c r="EDQ152" s="863"/>
      <c r="EDR152" s="863"/>
      <c r="EDS152" s="863"/>
      <c r="EDT152" s="863"/>
      <c r="EDU152" s="863"/>
      <c r="EDV152" s="863"/>
      <c r="EDW152" s="863"/>
      <c r="EDX152" s="863"/>
      <c r="EDY152" s="863"/>
      <c r="EDZ152" s="863"/>
      <c r="EEA152" s="863"/>
      <c r="EEB152" s="863"/>
      <c r="EEC152" s="863"/>
      <c r="EED152" s="863"/>
      <c r="EEE152" s="863"/>
      <c r="EEF152" s="863"/>
      <c r="EEG152" s="863"/>
      <c r="EEH152" s="863"/>
      <c r="EEI152" s="863"/>
      <c r="EEJ152" s="863"/>
      <c r="EEK152" s="883"/>
      <c r="EEL152" s="883"/>
      <c r="EEM152" s="883"/>
      <c r="EEN152" s="883"/>
      <c r="EEO152" s="883"/>
      <c r="EEP152" s="883"/>
      <c r="EEQ152" s="883"/>
      <c r="EER152" s="883"/>
      <c r="EES152" s="883"/>
      <c r="EET152" s="863"/>
      <c r="EEU152" s="863"/>
      <c r="EEV152" s="863"/>
      <c r="EEW152" s="863"/>
      <c r="EEX152" s="863"/>
      <c r="EEY152" s="863"/>
      <c r="EEZ152" s="863"/>
      <c r="EFA152" s="863"/>
      <c r="EFB152" s="863"/>
      <c r="EFC152" s="863"/>
      <c r="EFD152" s="863"/>
      <c r="EFE152" s="863"/>
      <c r="EFF152" s="863"/>
      <c r="EFG152" s="863"/>
      <c r="EFH152" s="863"/>
      <c r="EFI152" s="863"/>
      <c r="EFJ152" s="863"/>
      <c r="EFK152" s="863"/>
      <c r="EFL152" s="863"/>
      <c r="EFM152" s="863"/>
      <c r="EFN152" s="863"/>
      <c r="EFO152" s="863"/>
      <c r="EFP152" s="863"/>
      <c r="EFQ152" s="883"/>
      <c r="EFR152" s="883"/>
      <c r="EFS152" s="883"/>
      <c r="EFT152" s="883"/>
      <c r="EFU152" s="883"/>
      <c r="EFV152" s="883"/>
      <c r="EFW152" s="883"/>
      <c r="EFX152" s="883"/>
      <c r="EFY152" s="883"/>
      <c r="EFZ152" s="863"/>
      <c r="EGA152" s="863"/>
      <c r="EGB152" s="863"/>
      <c r="EGC152" s="863"/>
      <c r="EGD152" s="863"/>
      <c r="EGE152" s="863"/>
      <c r="EGF152" s="863"/>
      <c r="EGG152" s="863"/>
      <c r="EGH152" s="863"/>
      <c r="EGI152" s="863"/>
      <c r="EGJ152" s="863"/>
      <c r="EGK152" s="863"/>
      <c r="EGL152" s="863"/>
      <c r="EGM152" s="863"/>
      <c r="EGN152" s="863"/>
      <c r="EGO152" s="863"/>
      <c r="EGP152" s="863"/>
      <c r="EGQ152" s="863"/>
      <c r="EGR152" s="863"/>
      <c r="EGS152" s="863"/>
      <c r="EGT152" s="863"/>
      <c r="EGU152" s="863"/>
      <c r="EGV152" s="863"/>
      <c r="EGW152" s="883"/>
      <c r="EGX152" s="883"/>
      <c r="EGY152" s="883"/>
      <c r="EGZ152" s="883"/>
      <c r="EHA152" s="883"/>
      <c r="EHB152" s="883"/>
      <c r="EHC152" s="883"/>
      <c r="EHD152" s="883"/>
      <c r="EHE152" s="883"/>
      <c r="EHF152" s="863"/>
      <c r="EHG152" s="863"/>
      <c r="EHH152" s="863"/>
      <c r="EHI152" s="863"/>
      <c r="EHJ152" s="863"/>
      <c r="EHK152" s="863"/>
      <c r="EHL152" s="863"/>
      <c r="EHM152" s="863"/>
      <c r="EHN152" s="863"/>
      <c r="EHO152" s="863"/>
      <c r="EHP152" s="863"/>
      <c r="EHQ152" s="863"/>
      <c r="EHR152" s="863"/>
      <c r="EHS152" s="863"/>
      <c r="EHT152" s="863"/>
      <c r="EHU152" s="863"/>
      <c r="EHV152" s="863"/>
      <c r="EHW152" s="863"/>
      <c r="EHX152" s="863"/>
      <c r="EHY152" s="863"/>
      <c r="EHZ152" s="863"/>
      <c r="EIA152" s="863"/>
      <c r="EIB152" s="863"/>
      <c r="EIC152" s="883"/>
      <c r="EID152" s="883"/>
      <c r="EIE152" s="883"/>
      <c r="EIF152" s="883"/>
      <c r="EIG152" s="883"/>
      <c r="EIH152" s="883"/>
      <c r="EII152" s="883"/>
      <c r="EIJ152" s="883"/>
      <c r="EIK152" s="883"/>
      <c r="EIL152" s="863"/>
      <c r="EIM152" s="863"/>
      <c r="EIN152" s="863"/>
      <c r="EIO152" s="863"/>
      <c r="EIP152" s="863"/>
      <c r="EIQ152" s="863"/>
      <c r="EIR152" s="863"/>
      <c r="EIS152" s="863"/>
      <c r="EIT152" s="863"/>
      <c r="EIU152" s="863"/>
      <c r="EIV152" s="863"/>
      <c r="EIW152" s="863"/>
      <c r="EIX152" s="863"/>
      <c r="EIY152" s="863"/>
      <c r="EIZ152" s="863"/>
      <c r="EJA152" s="863"/>
      <c r="EJB152" s="863"/>
      <c r="EJC152" s="863"/>
      <c r="EJD152" s="863"/>
      <c r="EJE152" s="863"/>
      <c r="EJF152" s="863"/>
      <c r="EJG152" s="863"/>
      <c r="EJH152" s="863"/>
      <c r="EJI152" s="883"/>
      <c r="EJJ152" s="883"/>
      <c r="EJK152" s="883"/>
      <c r="EJL152" s="883"/>
      <c r="EJM152" s="883"/>
      <c r="EJN152" s="883"/>
      <c r="EJO152" s="883"/>
      <c r="EJP152" s="883"/>
      <c r="EJQ152" s="883"/>
      <c r="EJR152" s="863"/>
      <c r="EJS152" s="863"/>
      <c r="EJT152" s="863"/>
      <c r="EJU152" s="863"/>
      <c r="EJV152" s="863"/>
      <c r="EJW152" s="863"/>
      <c r="EJX152" s="863"/>
      <c r="EJY152" s="863"/>
      <c r="EJZ152" s="863"/>
      <c r="EKA152" s="863"/>
      <c r="EKB152" s="863"/>
      <c r="EKC152" s="863"/>
      <c r="EKD152" s="863"/>
      <c r="EKE152" s="863"/>
      <c r="EKF152" s="863"/>
      <c r="EKG152" s="863"/>
      <c r="EKH152" s="863"/>
      <c r="EKI152" s="863"/>
      <c r="EKJ152" s="863"/>
      <c r="EKK152" s="863"/>
      <c r="EKL152" s="863"/>
      <c r="EKM152" s="863"/>
      <c r="EKN152" s="863"/>
      <c r="EKO152" s="883"/>
      <c r="EKP152" s="883"/>
      <c r="EKQ152" s="883"/>
      <c r="EKR152" s="883"/>
      <c r="EKS152" s="883"/>
      <c r="EKT152" s="883"/>
      <c r="EKU152" s="883"/>
      <c r="EKV152" s="883"/>
      <c r="EKW152" s="883"/>
      <c r="EKX152" s="863"/>
      <c r="EKY152" s="863"/>
      <c r="EKZ152" s="863"/>
      <c r="ELA152" s="863"/>
      <c r="ELB152" s="863"/>
      <c r="ELC152" s="863"/>
      <c r="ELD152" s="863"/>
      <c r="ELE152" s="863"/>
      <c r="ELF152" s="863"/>
      <c r="ELG152" s="863"/>
      <c r="ELH152" s="863"/>
      <c r="ELI152" s="863"/>
      <c r="ELJ152" s="863"/>
      <c r="ELK152" s="863"/>
      <c r="ELL152" s="863"/>
      <c r="ELM152" s="863"/>
      <c r="ELN152" s="863"/>
      <c r="ELO152" s="863"/>
      <c r="ELP152" s="863"/>
      <c r="ELQ152" s="863"/>
      <c r="ELR152" s="863"/>
      <c r="ELS152" s="863"/>
      <c r="ELT152" s="863"/>
      <c r="ELU152" s="883"/>
      <c r="ELV152" s="883"/>
      <c r="ELW152" s="883"/>
      <c r="ELX152" s="883"/>
      <c r="ELY152" s="883"/>
      <c r="ELZ152" s="883"/>
      <c r="EMA152" s="883"/>
      <c r="EMB152" s="883"/>
      <c r="EMC152" s="883"/>
      <c r="EMD152" s="863"/>
      <c r="EME152" s="863"/>
      <c r="EMF152" s="863"/>
      <c r="EMG152" s="863"/>
      <c r="EMH152" s="863"/>
      <c r="EMI152" s="863"/>
      <c r="EMJ152" s="863"/>
      <c r="EMK152" s="863"/>
      <c r="EML152" s="863"/>
      <c r="EMM152" s="863"/>
      <c r="EMN152" s="863"/>
      <c r="EMO152" s="863"/>
      <c r="EMP152" s="863"/>
      <c r="EMQ152" s="863"/>
      <c r="EMR152" s="863"/>
      <c r="EMS152" s="863"/>
      <c r="EMT152" s="863"/>
      <c r="EMU152" s="863"/>
      <c r="EMV152" s="863"/>
      <c r="EMW152" s="863"/>
      <c r="EMX152" s="863"/>
      <c r="EMY152" s="863"/>
      <c r="EMZ152" s="863"/>
      <c r="ENA152" s="883"/>
      <c r="ENB152" s="883"/>
      <c r="ENC152" s="883"/>
      <c r="END152" s="883"/>
      <c r="ENE152" s="883"/>
      <c r="ENF152" s="883"/>
      <c r="ENG152" s="883"/>
      <c r="ENH152" s="883"/>
      <c r="ENI152" s="883"/>
      <c r="ENJ152" s="863"/>
      <c r="ENK152" s="863"/>
      <c r="ENL152" s="863"/>
      <c r="ENM152" s="863"/>
      <c r="ENN152" s="863"/>
      <c r="ENO152" s="863"/>
      <c r="ENP152" s="863"/>
      <c r="ENQ152" s="863"/>
      <c r="ENR152" s="863"/>
      <c r="ENS152" s="863"/>
      <c r="ENT152" s="863"/>
      <c r="ENU152" s="863"/>
      <c r="ENV152" s="863"/>
      <c r="ENW152" s="863"/>
      <c r="ENX152" s="863"/>
      <c r="ENY152" s="863"/>
      <c r="ENZ152" s="863"/>
      <c r="EOA152" s="863"/>
      <c r="EOB152" s="863"/>
      <c r="EOC152" s="863"/>
      <c r="EOD152" s="863"/>
      <c r="EOE152" s="863"/>
      <c r="EOF152" s="863"/>
      <c r="EOG152" s="883"/>
      <c r="EOH152" s="883"/>
      <c r="EOI152" s="883"/>
      <c r="EOJ152" s="883"/>
      <c r="EOK152" s="883"/>
      <c r="EOL152" s="883"/>
      <c r="EOM152" s="883"/>
      <c r="EON152" s="883"/>
      <c r="EOO152" s="883"/>
      <c r="EOP152" s="863"/>
      <c r="EOQ152" s="863"/>
      <c r="EOR152" s="863"/>
      <c r="EOS152" s="863"/>
      <c r="EOT152" s="863"/>
      <c r="EOU152" s="863"/>
      <c r="EOV152" s="863"/>
      <c r="EOW152" s="863"/>
      <c r="EOX152" s="863"/>
      <c r="EOY152" s="863"/>
      <c r="EOZ152" s="863"/>
      <c r="EPA152" s="863"/>
      <c r="EPB152" s="863"/>
      <c r="EPC152" s="863"/>
      <c r="EPD152" s="863"/>
      <c r="EPE152" s="863"/>
      <c r="EPF152" s="863"/>
      <c r="EPG152" s="863"/>
      <c r="EPH152" s="863"/>
      <c r="EPI152" s="863"/>
      <c r="EPJ152" s="863"/>
      <c r="EPK152" s="863"/>
      <c r="EPL152" s="863"/>
      <c r="EPM152" s="883"/>
      <c r="EPN152" s="883"/>
      <c r="EPO152" s="883"/>
      <c r="EPP152" s="883"/>
      <c r="EPQ152" s="883"/>
      <c r="EPR152" s="883"/>
      <c r="EPS152" s="883"/>
      <c r="EPT152" s="883"/>
      <c r="EPU152" s="883"/>
      <c r="EPV152" s="863"/>
      <c r="EPW152" s="863"/>
      <c r="EPX152" s="863"/>
      <c r="EPY152" s="863"/>
      <c r="EPZ152" s="863"/>
      <c r="EQA152" s="863"/>
      <c r="EQB152" s="863"/>
      <c r="EQC152" s="863"/>
      <c r="EQD152" s="863"/>
      <c r="EQE152" s="863"/>
      <c r="EQF152" s="863"/>
      <c r="EQG152" s="863"/>
      <c r="EQH152" s="863"/>
      <c r="EQI152" s="863"/>
      <c r="EQJ152" s="863"/>
      <c r="EQK152" s="863"/>
      <c r="EQL152" s="863"/>
      <c r="EQM152" s="863"/>
      <c r="EQN152" s="863"/>
      <c r="EQO152" s="863"/>
      <c r="EQP152" s="863"/>
      <c r="EQQ152" s="863"/>
      <c r="EQR152" s="863"/>
      <c r="EQS152" s="883"/>
      <c r="EQT152" s="883"/>
      <c r="EQU152" s="883"/>
      <c r="EQV152" s="883"/>
      <c r="EQW152" s="883"/>
      <c r="EQX152" s="883"/>
      <c r="EQY152" s="883"/>
      <c r="EQZ152" s="883"/>
      <c r="ERA152" s="883"/>
      <c r="ERB152" s="863"/>
      <c r="ERC152" s="863"/>
      <c r="ERD152" s="863"/>
      <c r="ERE152" s="863"/>
      <c r="ERF152" s="863"/>
      <c r="ERG152" s="863"/>
      <c r="ERH152" s="863"/>
      <c r="ERI152" s="863"/>
      <c r="ERJ152" s="863"/>
      <c r="ERK152" s="863"/>
      <c r="ERL152" s="863"/>
      <c r="ERM152" s="863"/>
      <c r="ERN152" s="863"/>
      <c r="ERO152" s="863"/>
      <c r="ERP152" s="863"/>
      <c r="ERQ152" s="863"/>
      <c r="ERR152" s="863"/>
      <c r="ERS152" s="863"/>
      <c r="ERT152" s="863"/>
      <c r="ERU152" s="863"/>
      <c r="ERV152" s="863"/>
      <c r="ERW152" s="863"/>
      <c r="ERX152" s="863"/>
      <c r="ERY152" s="883"/>
      <c r="ERZ152" s="883"/>
      <c r="ESA152" s="883"/>
      <c r="ESB152" s="883"/>
      <c r="ESC152" s="883"/>
      <c r="ESD152" s="883"/>
      <c r="ESE152" s="883"/>
      <c r="ESF152" s="883"/>
      <c r="ESG152" s="883"/>
      <c r="ESH152" s="863"/>
      <c r="ESI152" s="863"/>
      <c r="ESJ152" s="863"/>
      <c r="ESK152" s="863"/>
      <c r="ESL152" s="863"/>
      <c r="ESM152" s="863"/>
      <c r="ESN152" s="863"/>
      <c r="ESO152" s="863"/>
      <c r="ESP152" s="863"/>
      <c r="ESQ152" s="863"/>
      <c r="ESR152" s="863"/>
      <c r="ESS152" s="863"/>
      <c r="EST152" s="863"/>
      <c r="ESU152" s="863"/>
      <c r="ESV152" s="863"/>
      <c r="ESW152" s="863"/>
      <c r="ESX152" s="863"/>
      <c r="ESY152" s="863"/>
      <c r="ESZ152" s="863"/>
      <c r="ETA152" s="863"/>
      <c r="ETB152" s="863"/>
      <c r="ETC152" s="863"/>
      <c r="ETD152" s="863"/>
      <c r="ETE152" s="883"/>
      <c r="ETF152" s="883"/>
      <c r="ETG152" s="883"/>
      <c r="ETH152" s="883"/>
      <c r="ETI152" s="883"/>
      <c r="ETJ152" s="883"/>
      <c r="ETK152" s="883"/>
      <c r="ETL152" s="883"/>
      <c r="ETM152" s="883"/>
      <c r="ETN152" s="863"/>
      <c r="ETO152" s="863"/>
      <c r="ETP152" s="863"/>
      <c r="ETQ152" s="863"/>
      <c r="ETR152" s="863"/>
      <c r="ETS152" s="863"/>
      <c r="ETT152" s="863"/>
      <c r="ETU152" s="863"/>
      <c r="ETV152" s="863"/>
      <c r="ETW152" s="863"/>
      <c r="ETX152" s="863"/>
      <c r="ETY152" s="863"/>
      <c r="ETZ152" s="863"/>
      <c r="EUA152" s="863"/>
      <c r="EUB152" s="863"/>
      <c r="EUC152" s="863"/>
      <c r="EUD152" s="863"/>
      <c r="EUE152" s="863"/>
      <c r="EUF152" s="863"/>
      <c r="EUG152" s="863"/>
      <c r="EUH152" s="863"/>
      <c r="EUI152" s="863"/>
      <c r="EUJ152" s="863"/>
      <c r="EUK152" s="883"/>
      <c r="EUL152" s="883"/>
      <c r="EUM152" s="883"/>
      <c r="EUN152" s="883"/>
      <c r="EUO152" s="883"/>
      <c r="EUP152" s="883"/>
      <c r="EUQ152" s="883"/>
      <c r="EUR152" s="883"/>
      <c r="EUS152" s="883"/>
      <c r="EUT152" s="863"/>
      <c r="EUU152" s="863"/>
      <c r="EUV152" s="863"/>
      <c r="EUW152" s="863"/>
      <c r="EUX152" s="863"/>
      <c r="EUY152" s="863"/>
      <c r="EUZ152" s="863"/>
      <c r="EVA152" s="863"/>
      <c r="EVB152" s="863"/>
      <c r="EVC152" s="863"/>
      <c r="EVD152" s="863"/>
      <c r="EVE152" s="863"/>
      <c r="EVF152" s="863"/>
      <c r="EVG152" s="863"/>
      <c r="EVH152" s="863"/>
      <c r="EVI152" s="863"/>
      <c r="EVJ152" s="863"/>
      <c r="EVK152" s="863"/>
      <c r="EVL152" s="863"/>
      <c r="EVM152" s="863"/>
      <c r="EVN152" s="863"/>
      <c r="EVO152" s="863"/>
      <c r="EVP152" s="863"/>
      <c r="EVQ152" s="883"/>
      <c r="EVR152" s="883"/>
      <c r="EVS152" s="883"/>
      <c r="EVT152" s="883"/>
      <c r="EVU152" s="883"/>
      <c r="EVV152" s="883"/>
      <c r="EVW152" s="883"/>
      <c r="EVX152" s="883"/>
      <c r="EVY152" s="883"/>
      <c r="EVZ152" s="863"/>
      <c r="EWA152" s="863"/>
      <c r="EWB152" s="863"/>
      <c r="EWC152" s="863"/>
      <c r="EWD152" s="863"/>
      <c r="EWE152" s="863"/>
      <c r="EWF152" s="863"/>
      <c r="EWG152" s="863"/>
      <c r="EWH152" s="863"/>
      <c r="EWI152" s="863"/>
      <c r="EWJ152" s="863"/>
      <c r="EWK152" s="863"/>
      <c r="EWL152" s="863"/>
      <c r="EWM152" s="863"/>
      <c r="EWN152" s="863"/>
      <c r="EWO152" s="863"/>
      <c r="EWP152" s="863"/>
      <c r="EWQ152" s="863"/>
      <c r="EWR152" s="863"/>
      <c r="EWS152" s="863"/>
      <c r="EWT152" s="863"/>
      <c r="EWU152" s="863"/>
      <c r="EWV152" s="863"/>
      <c r="EWW152" s="883"/>
      <c r="EWX152" s="883"/>
      <c r="EWY152" s="883"/>
      <c r="EWZ152" s="883"/>
      <c r="EXA152" s="883"/>
      <c r="EXB152" s="883"/>
      <c r="EXC152" s="883"/>
      <c r="EXD152" s="883"/>
      <c r="EXE152" s="883"/>
      <c r="EXF152" s="863"/>
      <c r="EXG152" s="863"/>
      <c r="EXH152" s="863"/>
      <c r="EXI152" s="863"/>
      <c r="EXJ152" s="863"/>
      <c r="EXK152" s="863"/>
      <c r="EXL152" s="863"/>
      <c r="EXM152" s="863"/>
      <c r="EXN152" s="863"/>
      <c r="EXO152" s="863"/>
      <c r="EXP152" s="863"/>
      <c r="EXQ152" s="863"/>
      <c r="EXR152" s="863"/>
      <c r="EXS152" s="863"/>
      <c r="EXT152" s="863"/>
      <c r="EXU152" s="863"/>
      <c r="EXV152" s="863"/>
      <c r="EXW152" s="863"/>
      <c r="EXX152" s="863"/>
      <c r="EXY152" s="863"/>
      <c r="EXZ152" s="863"/>
      <c r="EYA152" s="863"/>
      <c r="EYB152" s="863"/>
      <c r="EYC152" s="883"/>
      <c r="EYD152" s="883"/>
      <c r="EYE152" s="883"/>
      <c r="EYF152" s="883"/>
      <c r="EYG152" s="883"/>
      <c r="EYH152" s="883"/>
      <c r="EYI152" s="883"/>
      <c r="EYJ152" s="883"/>
      <c r="EYK152" s="883"/>
      <c r="EYL152" s="863"/>
      <c r="EYM152" s="863"/>
      <c r="EYN152" s="863"/>
      <c r="EYO152" s="863"/>
      <c r="EYP152" s="863"/>
      <c r="EYQ152" s="863"/>
      <c r="EYR152" s="863"/>
      <c r="EYS152" s="863"/>
      <c r="EYT152" s="863"/>
      <c r="EYU152" s="863"/>
      <c r="EYV152" s="863"/>
      <c r="EYW152" s="863"/>
      <c r="EYX152" s="863"/>
      <c r="EYY152" s="863"/>
      <c r="EYZ152" s="863"/>
      <c r="EZA152" s="863"/>
      <c r="EZB152" s="863"/>
      <c r="EZC152" s="863"/>
      <c r="EZD152" s="863"/>
      <c r="EZE152" s="863"/>
      <c r="EZF152" s="863"/>
      <c r="EZG152" s="863"/>
      <c r="EZH152" s="863"/>
      <c r="EZI152" s="883"/>
      <c r="EZJ152" s="883"/>
      <c r="EZK152" s="883"/>
      <c r="EZL152" s="883"/>
      <c r="EZM152" s="883"/>
      <c r="EZN152" s="883"/>
      <c r="EZO152" s="883"/>
      <c r="EZP152" s="883"/>
      <c r="EZQ152" s="883"/>
      <c r="EZR152" s="863"/>
      <c r="EZS152" s="863"/>
      <c r="EZT152" s="863"/>
      <c r="EZU152" s="863"/>
      <c r="EZV152" s="863"/>
      <c r="EZW152" s="863"/>
      <c r="EZX152" s="863"/>
      <c r="EZY152" s="863"/>
      <c r="EZZ152" s="863"/>
      <c r="FAA152" s="863"/>
      <c r="FAB152" s="863"/>
      <c r="FAC152" s="863"/>
      <c r="FAD152" s="863"/>
      <c r="FAE152" s="863"/>
      <c r="FAF152" s="863"/>
      <c r="FAG152" s="863"/>
      <c r="FAH152" s="863"/>
      <c r="FAI152" s="863"/>
      <c r="FAJ152" s="863"/>
      <c r="FAK152" s="863"/>
      <c r="FAL152" s="863"/>
      <c r="FAM152" s="863"/>
      <c r="FAN152" s="863"/>
      <c r="FAO152" s="883"/>
      <c r="FAP152" s="883"/>
      <c r="FAQ152" s="883"/>
      <c r="FAR152" s="883"/>
      <c r="FAS152" s="883"/>
      <c r="FAT152" s="883"/>
      <c r="FAU152" s="883"/>
      <c r="FAV152" s="883"/>
      <c r="FAW152" s="883"/>
      <c r="FAX152" s="863"/>
      <c r="FAY152" s="863"/>
      <c r="FAZ152" s="863"/>
      <c r="FBA152" s="863"/>
      <c r="FBB152" s="863"/>
      <c r="FBC152" s="863"/>
      <c r="FBD152" s="863"/>
      <c r="FBE152" s="863"/>
      <c r="FBF152" s="863"/>
      <c r="FBG152" s="863"/>
      <c r="FBH152" s="863"/>
      <c r="FBI152" s="863"/>
      <c r="FBJ152" s="863"/>
      <c r="FBK152" s="863"/>
      <c r="FBL152" s="863"/>
      <c r="FBM152" s="863"/>
      <c r="FBN152" s="863"/>
      <c r="FBO152" s="863"/>
      <c r="FBP152" s="863"/>
      <c r="FBQ152" s="863"/>
      <c r="FBR152" s="863"/>
      <c r="FBS152" s="863"/>
      <c r="FBT152" s="863"/>
      <c r="FBU152" s="883"/>
      <c r="FBV152" s="883"/>
      <c r="FBW152" s="883"/>
      <c r="FBX152" s="883"/>
      <c r="FBY152" s="883"/>
      <c r="FBZ152" s="883"/>
      <c r="FCA152" s="883"/>
      <c r="FCB152" s="883"/>
      <c r="FCC152" s="883"/>
      <c r="FCD152" s="863"/>
      <c r="FCE152" s="863"/>
      <c r="FCF152" s="863"/>
      <c r="FCG152" s="863"/>
      <c r="FCH152" s="863"/>
      <c r="FCI152" s="863"/>
      <c r="FCJ152" s="863"/>
      <c r="FCK152" s="863"/>
      <c r="FCL152" s="863"/>
      <c r="FCM152" s="863"/>
      <c r="FCN152" s="863"/>
      <c r="FCO152" s="863"/>
      <c r="FCP152" s="863"/>
      <c r="FCQ152" s="863"/>
      <c r="FCR152" s="863"/>
      <c r="FCS152" s="863"/>
      <c r="FCT152" s="863"/>
      <c r="FCU152" s="863"/>
      <c r="FCV152" s="863"/>
      <c r="FCW152" s="863"/>
      <c r="FCX152" s="863"/>
      <c r="FCY152" s="863"/>
      <c r="FCZ152" s="863"/>
      <c r="FDA152" s="883"/>
      <c r="FDB152" s="883"/>
      <c r="FDC152" s="883"/>
      <c r="FDD152" s="883"/>
      <c r="FDE152" s="883"/>
      <c r="FDF152" s="883"/>
      <c r="FDG152" s="883"/>
      <c r="FDH152" s="883"/>
      <c r="FDI152" s="883"/>
      <c r="FDJ152" s="863"/>
      <c r="FDK152" s="863"/>
      <c r="FDL152" s="863"/>
      <c r="FDM152" s="863"/>
      <c r="FDN152" s="863"/>
      <c r="FDO152" s="863"/>
      <c r="FDP152" s="863"/>
      <c r="FDQ152" s="863"/>
      <c r="FDR152" s="863"/>
      <c r="FDS152" s="863"/>
      <c r="FDT152" s="863"/>
      <c r="FDU152" s="863"/>
      <c r="FDV152" s="863"/>
      <c r="FDW152" s="863"/>
      <c r="FDX152" s="863"/>
      <c r="FDY152" s="863"/>
      <c r="FDZ152" s="863"/>
      <c r="FEA152" s="863"/>
      <c r="FEB152" s="863"/>
      <c r="FEC152" s="863"/>
      <c r="FED152" s="863"/>
      <c r="FEE152" s="863"/>
      <c r="FEF152" s="863"/>
      <c r="FEG152" s="883"/>
      <c r="FEH152" s="883"/>
      <c r="FEI152" s="883"/>
      <c r="FEJ152" s="883"/>
      <c r="FEK152" s="883"/>
      <c r="FEL152" s="883"/>
      <c r="FEM152" s="883"/>
      <c r="FEN152" s="883"/>
      <c r="FEO152" s="883"/>
      <c r="FEP152" s="863"/>
      <c r="FEQ152" s="863"/>
      <c r="FER152" s="863"/>
      <c r="FES152" s="863"/>
      <c r="FET152" s="863"/>
      <c r="FEU152" s="863"/>
      <c r="FEV152" s="863"/>
      <c r="FEW152" s="863"/>
      <c r="FEX152" s="863"/>
      <c r="FEY152" s="863"/>
      <c r="FEZ152" s="863"/>
      <c r="FFA152" s="863"/>
      <c r="FFB152" s="863"/>
      <c r="FFC152" s="863"/>
      <c r="FFD152" s="863"/>
      <c r="FFE152" s="863"/>
      <c r="FFF152" s="863"/>
      <c r="FFG152" s="863"/>
      <c r="FFH152" s="863"/>
      <c r="FFI152" s="863"/>
      <c r="FFJ152" s="863"/>
      <c r="FFK152" s="863"/>
      <c r="FFL152" s="863"/>
      <c r="FFM152" s="883"/>
      <c r="FFN152" s="883"/>
      <c r="FFO152" s="883"/>
      <c r="FFP152" s="883"/>
      <c r="FFQ152" s="883"/>
      <c r="FFR152" s="883"/>
      <c r="FFS152" s="883"/>
      <c r="FFT152" s="883"/>
      <c r="FFU152" s="883"/>
      <c r="FFV152" s="863"/>
      <c r="FFW152" s="863"/>
      <c r="FFX152" s="863"/>
      <c r="FFY152" s="863"/>
      <c r="FFZ152" s="863"/>
      <c r="FGA152" s="863"/>
      <c r="FGB152" s="863"/>
      <c r="FGC152" s="863"/>
      <c r="FGD152" s="863"/>
      <c r="FGE152" s="863"/>
      <c r="FGF152" s="863"/>
      <c r="FGG152" s="863"/>
      <c r="FGH152" s="863"/>
      <c r="FGI152" s="863"/>
      <c r="FGJ152" s="863"/>
      <c r="FGK152" s="863"/>
      <c r="FGL152" s="863"/>
      <c r="FGM152" s="863"/>
      <c r="FGN152" s="863"/>
      <c r="FGO152" s="863"/>
      <c r="FGP152" s="863"/>
      <c r="FGQ152" s="863"/>
      <c r="FGR152" s="863"/>
      <c r="FGS152" s="883"/>
      <c r="FGT152" s="883"/>
      <c r="FGU152" s="883"/>
      <c r="FGV152" s="883"/>
      <c r="FGW152" s="883"/>
      <c r="FGX152" s="883"/>
      <c r="FGY152" s="883"/>
      <c r="FGZ152" s="883"/>
      <c r="FHA152" s="883"/>
      <c r="FHB152" s="863"/>
      <c r="FHC152" s="863"/>
      <c r="FHD152" s="863"/>
      <c r="FHE152" s="863"/>
      <c r="FHF152" s="863"/>
      <c r="FHG152" s="863"/>
      <c r="FHH152" s="863"/>
      <c r="FHI152" s="863"/>
      <c r="FHJ152" s="863"/>
      <c r="FHK152" s="863"/>
      <c r="FHL152" s="863"/>
      <c r="FHM152" s="863"/>
      <c r="FHN152" s="863"/>
      <c r="FHO152" s="863"/>
      <c r="FHP152" s="863"/>
      <c r="FHQ152" s="863"/>
      <c r="FHR152" s="863"/>
      <c r="FHS152" s="863"/>
      <c r="FHT152" s="863"/>
      <c r="FHU152" s="863"/>
      <c r="FHV152" s="863"/>
      <c r="FHW152" s="863"/>
      <c r="FHX152" s="863"/>
      <c r="FHY152" s="883"/>
      <c r="FHZ152" s="883"/>
      <c r="FIA152" s="883"/>
      <c r="FIB152" s="883"/>
      <c r="FIC152" s="883"/>
      <c r="FID152" s="883"/>
      <c r="FIE152" s="883"/>
      <c r="FIF152" s="883"/>
      <c r="FIG152" s="883"/>
      <c r="FIH152" s="863"/>
      <c r="FII152" s="863"/>
      <c r="FIJ152" s="863"/>
      <c r="FIK152" s="863"/>
      <c r="FIL152" s="863"/>
      <c r="FIM152" s="863"/>
      <c r="FIN152" s="863"/>
      <c r="FIO152" s="863"/>
      <c r="FIP152" s="863"/>
      <c r="FIQ152" s="863"/>
      <c r="FIR152" s="863"/>
      <c r="FIS152" s="863"/>
      <c r="FIT152" s="863"/>
      <c r="FIU152" s="863"/>
      <c r="FIV152" s="863"/>
      <c r="FIW152" s="863"/>
      <c r="FIX152" s="863"/>
      <c r="FIY152" s="863"/>
      <c r="FIZ152" s="863"/>
      <c r="FJA152" s="863"/>
      <c r="FJB152" s="863"/>
      <c r="FJC152" s="863"/>
      <c r="FJD152" s="863"/>
      <c r="FJE152" s="883"/>
      <c r="FJF152" s="883"/>
      <c r="FJG152" s="883"/>
      <c r="FJH152" s="883"/>
      <c r="FJI152" s="883"/>
      <c r="FJJ152" s="883"/>
      <c r="FJK152" s="883"/>
      <c r="FJL152" s="883"/>
      <c r="FJM152" s="883"/>
      <c r="FJN152" s="863"/>
      <c r="FJO152" s="863"/>
      <c r="FJP152" s="863"/>
      <c r="FJQ152" s="863"/>
      <c r="FJR152" s="863"/>
      <c r="FJS152" s="863"/>
      <c r="FJT152" s="863"/>
      <c r="FJU152" s="863"/>
      <c r="FJV152" s="863"/>
      <c r="FJW152" s="863"/>
      <c r="FJX152" s="863"/>
      <c r="FJY152" s="863"/>
      <c r="FJZ152" s="863"/>
      <c r="FKA152" s="863"/>
      <c r="FKB152" s="863"/>
      <c r="FKC152" s="863"/>
      <c r="FKD152" s="863"/>
      <c r="FKE152" s="863"/>
      <c r="FKF152" s="863"/>
      <c r="FKG152" s="863"/>
      <c r="FKH152" s="863"/>
      <c r="FKI152" s="863"/>
      <c r="FKJ152" s="863"/>
      <c r="FKK152" s="883"/>
      <c r="FKL152" s="883"/>
      <c r="FKM152" s="883"/>
      <c r="FKN152" s="883"/>
      <c r="FKO152" s="883"/>
      <c r="FKP152" s="883"/>
      <c r="FKQ152" s="883"/>
      <c r="FKR152" s="883"/>
      <c r="FKS152" s="883"/>
      <c r="FKT152" s="863"/>
      <c r="FKU152" s="863"/>
      <c r="FKV152" s="863"/>
      <c r="FKW152" s="863"/>
      <c r="FKX152" s="863"/>
      <c r="FKY152" s="863"/>
      <c r="FKZ152" s="863"/>
      <c r="FLA152" s="863"/>
      <c r="FLB152" s="863"/>
      <c r="FLC152" s="863"/>
      <c r="FLD152" s="863"/>
      <c r="FLE152" s="863"/>
      <c r="FLF152" s="863"/>
      <c r="FLG152" s="863"/>
      <c r="FLH152" s="863"/>
      <c r="FLI152" s="863"/>
      <c r="FLJ152" s="863"/>
      <c r="FLK152" s="863"/>
      <c r="FLL152" s="863"/>
      <c r="FLM152" s="863"/>
      <c r="FLN152" s="863"/>
      <c r="FLO152" s="863"/>
      <c r="FLP152" s="863"/>
      <c r="FLQ152" s="883"/>
      <c r="FLR152" s="883"/>
      <c r="FLS152" s="883"/>
      <c r="FLT152" s="883"/>
      <c r="FLU152" s="883"/>
      <c r="FLV152" s="883"/>
      <c r="FLW152" s="883"/>
      <c r="FLX152" s="883"/>
      <c r="FLY152" s="883"/>
      <c r="FLZ152" s="863"/>
      <c r="FMA152" s="863"/>
      <c r="FMB152" s="863"/>
      <c r="FMC152" s="863"/>
      <c r="FMD152" s="863"/>
      <c r="FME152" s="863"/>
      <c r="FMF152" s="863"/>
      <c r="FMG152" s="863"/>
      <c r="FMH152" s="863"/>
      <c r="FMI152" s="863"/>
      <c r="FMJ152" s="863"/>
      <c r="FMK152" s="863"/>
      <c r="FML152" s="863"/>
      <c r="FMM152" s="863"/>
      <c r="FMN152" s="863"/>
      <c r="FMO152" s="863"/>
      <c r="FMP152" s="863"/>
      <c r="FMQ152" s="863"/>
      <c r="FMR152" s="863"/>
      <c r="FMS152" s="863"/>
      <c r="FMT152" s="863"/>
      <c r="FMU152" s="863"/>
      <c r="FMV152" s="863"/>
      <c r="FMW152" s="883"/>
      <c r="FMX152" s="883"/>
      <c r="FMY152" s="883"/>
      <c r="FMZ152" s="883"/>
      <c r="FNA152" s="883"/>
      <c r="FNB152" s="883"/>
      <c r="FNC152" s="883"/>
      <c r="FND152" s="883"/>
      <c r="FNE152" s="883"/>
      <c r="FNF152" s="863"/>
      <c r="FNG152" s="863"/>
      <c r="FNH152" s="863"/>
      <c r="FNI152" s="863"/>
      <c r="FNJ152" s="863"/>
      <c r="FNK152" s="863"/>
      <c r="FNL152" s="863"/>
      <c r="FNM152" s="863"/>
      <c r="FNN152" s="863"/>
      <c r="FNO152" s="863"/>
      <c r="FNP152" s="863"/>
      <c r="FNQ152" s="863"/>
      <c r="FNR152" s="863"/>
      <c r="FNS152" s="863"/>
      <c r="FNT152" s="863"/>
      <c r="FNU152" s="863"/>
      <c r="FNV152" s="863"/>
      <c r="FNW152" s="863"/>
      <c r="FNX152" s="863"/>
      <c r="FNY152" s="863"/>
      <c r="FNZ152" s="863"/>
      <c r="FOA152" s="863"/>
      <c r="FOB152" s="863"/>
      <c r="FOC152" s="883"/>
      <c r="FOD152" s="883"/>
      <c r="FOE152" s="883"/>
      <c r="FOF152" s="883"/>
      <c r="FOG152" s="883"/>
      <c r="FOH152" s="883"/>
      <c r="FOI152" s="883"/>
      <c r="FOJ152" s="883"/>
      <c r="FOK152" s="883"/>
      <c r="FOL152" s="863"/>
      <c r="FOM152" s="863"/>
      <c r="FON152" s="863"/>
      <c r="FOO152" s="863"/>
      <c r="FOP152" s="863"/>
      <c r="FOQ152" s="863"/>
      <c r="FOR152" s="863"/>
      <c r="FOS152" s="863"/>
      <c r="FOT152" s="863"/>
      <c r="FOU152" s="863"/>
      <c r="FOV152" s="863"/>
      <c r="FOW152" s="863"/>
      <c r="FOX152" s="863"/>
      <c r="FOY152" s="863"/>
      <c r="FOZ152" s="863"/>
      <c r="FPA152" s="863"/>
      <c r="FPB152" s="863"/>
      <c r="FPC152" s="863"/>
      <c r="FPD152" s="863"/>
      <c r="FPE152" s="863"/>
      <c r="FPF152" s="863"/>
      <c r="FPG152" s="863"/>
      <c r="FPH152" s="863"/>
      <c r="FPI152" s="883"/>
      <c r="FPJ152" s="883"/>
      <c r="FPK152" s="883"/>
      <c r="FPL152" s="883"/>
      <c r="FPM152" s="883"/>
      <c r="FPN152" s="883"/>
      <c r="FPO152" s="883"/>
      <c r="FPP152" s="883"/>
      <c r="FPQ152" s="883"/>
      <c r="FPR152" s="863"/>
      <c r="FPS152" s="863"/>
      <c r="FPT152" s="863"/>
      <c r="FPU152" s="863"/>
      <c r="FPV152" s="863"/>
      <c r="FPW152" s="863"/>
      <c r="FPX152" s="863"/>
      <c r="FPY152" s="863"/>
      <c r="FPZ152" s="863"/>
      <c r="FQA152" s="863"/>
      <c r="FQB152" s="863"/>
      <c r="FQC152" s="863"/>
      <c r="FQD152" s="863"/>
      <c r="FQE152" s="863"/>
      <c r="FQF152" s="863"/>
      <c r="FQG152" s="863"/>
      <c r="FQH152" s="863"/>
      <c r="FQI152" s="863"/>
      <c r="FQJ152" s="863"/>
      <c r="FQK152" s="863"/>
      <c r="FQL152" s="863"/>
      <c r="FQM152" s="863"/>
      <c r="FQN152" s="863"/>
      <c r="FQO152" s="883"/>
      <c r="FQP152" s="883"/>
      <c r="FQQ152" s="883"/>
      <c r="FQR152" s="883"/>
      <c r="FQS152" s="883"/>
      <c r="FQT152" s="883"/>
      <c r="FQU152" s="883"/>
      <c r="FQV152" s="883"/>
      <c r="FQW152" s="883"/>
      <c r="FQX152" s="863"/>
      <c r="FQY152" s="863"/>
      <c r="FQZ152" s="863"/>
      <c r="FRA152" s="863"/>
      <c r="FRB152" s="863"/>
      <c r="FRC152" s="863"/>
      <c r="FRD152" s="863"/>
      <c r="FRE152" s="863"/>
      <c r="FRF152" s="863"/>
      <c r="FRG152" s="863"/>
      <c r="FRH152" s="863"/>
      <c r="FRI152" s="863"/>
      <c r="FRJ152" s="863"/>
      <c r="FRK152" s="863"/>
      <c r="FRL152" s="863"/>
      <c r="FRM152" s="863"/>
      <c r="FRN152" s="863"/>
      <c r="FRO152" s="863"/>
      <c r="FRP152" s="863"/>
      <c r="FRQ152" s="863"/>
      <c r="FRR152" s="863"/>
      <c r="FRS152" s="863"/>
      <c r="FRT152" s="863"/>
      <c r="FRU152" s="883"/>
      <c r="FRV152" s="883"/>
      <c r="FRW152" s="883"/>
      <c r="FRX152" s="883"/>
      <c r="FRY152" s="883"/>
      <c r="FRZ152" s="883"/>
      <c r="FSA152" s="883"/>
      <c r="FSB152" s="883"/>
      <c r="FSC152" s="883"/>
      <c r="FSD152" s="863"/>
      <c r="FSE152" s="863"/>
      <c r="FSF152" s="863"/>
      <c r="FSG152" s="863"/>
      <c r="FSH152" s="863"/>
      <c r="FSI152" s="863"/>
      <c r="FSJ152" s="863"/>
      <c r="FSK152" s="863"/>
      <c r="FSL152" s="863"/>
      <c r="FSM152" s="863"/>
      <c r="FSN152" s="863"/>
      <c r="FSO152" s="863"/>
      <c r="FSP152" s="863"/>
      <c r="FSQ152" s="863"/>
      <c r="FSR152" s="863"/>
      <c r="FSS152" s="863"/>
      <c r="FST152" s="863"/>
      <c r="FSU152" s="863"/>
      <c r="FSV152" s="863"/>
      <c r="FSW152" s="863"/>
      <c r="FSX152" s="863"/>
      <c r="FSY152" s="863"/>
      <c r="FSZ152" s="863"/>
      <c r="FTA152" s="883"/>
      <c r="FTB152" s="883"/>
      <c r="FTC152" s="883"/>
      <c r="FTD152" s="883"/>
      <c r="FTE152" s="883"/>
      <c r="FTF152" s="883"/>
      <c r="FTG152" s="883"/>
      <c r="FTH152" s="883"/>
      <c r="FTI152" s="883"/>
      <c r="FTJ152" s="863"/>
      <c r="FTK152" s="863"/>
      <c r="FTL152" s="863"/>
      <c r="FTM152" s="863"/>
      <c r="FTN152" s="863"/>
      <c r="FTO152" s="863"/>
      <c r="FTP152" s="863"/>
      <c r="FTQ152" s="863"/>
      <c r="FTR152" s="863"/>
      <c r="FTS152" s="863"/>
      <c r="FTT152" s="863"/>
      <c r="FTU152" s="863"/>
      <c r="FTV152" s="863"/>
      <c r="FTW152" s="863"/>
      <c r="FTX152" s="863"/>
      <c r="FTY152" s="863"/>
      <c r="FTZ152" s="863"/>
      <c r="FUA152" s="863"/>
      <c r="FUB152" s="863"/>
      <c r="FUC152" s="863"/>
      <c r="FUD152" s="863"/>
      <c r="FUE152" s="863"/>
      <c r="FUF152" s="863"/>
      <c r="FUG152" s="883"/>
      <c r="FUH152" s="883"/>
      <c r="FUI152" s="883"/>
      <c r="FUJ152" s="883"/>
      <c r="FUK152" s="883"/>
      <c r="FUL152" s="883"/>
      <c r="FUM152" s="883"/>
      <c r="FUN152" s="883"/>
      <c r="FUO152" s="883"/>
      <c r="FUP152" s="863"/>
      <c r="FUQ152" s="863"/>
      <c r="FUR152" s="863"/>
      <c r="FUS152" s="863"/>
      <c r="FUT152" s="863"/>
      <c r="FUU152" s="863"/>
      <c r="FUV152" s="863"/>
      <c r="FUW152" s="863"/>
      <c r="FUX152" s="863"/>
      <c r="FUY152" s="863"/>
      <c r="FUZ152" s="863"/>
      <c r="FVA152" s="863"/>
      <c r="FVB152" s="863"/>
      <c r="FVC152" s="863"/>
      <c r="FVD152" s="863"/>
      <c r="FVE152" s="863"/>
      <c r="FVF152" s="863"/>
      <c r="FVG152" s="863"/>
      <c r="FVH152" s="863"/>
      <c r="FVI152" s="863"/>
      <c r="FVJ152" s="863"/>
      <c r="FVK152" s="863"/>
      <c r="FVL152" s="863"/>
      <c r="FVM152" s="883"/>
      <c r="FVN152" s="883"/>
      <c r="FVO152" s="883"/>
      <c r="FVP152" s="883"/>
      <c r="FVQ152" s="883"/>
      <c r="FVR152" s="883"/>
      <c r="FVS152" s="883"/>
      <c r="FVT152" s="883"/>
      <c r="FVU152" s="883"/>
      <c r="FVV152" s="863"/>
      <c r="FVW152" s="863"/>
      <c r="FVX152" s="863"/>
      <c r="FVY152" s="863"/>
      <c r="FVZ152" s="863"/>
      <c r="FWA152" s="863"/>
      <c r="FWB152" s="863"/>
      <c r="FWC152" s="863"/>
      <c r="FWD152" s="863"/>
      <c r="FWE152" s="863"/>
      <c r="FWF152" s="863"/>
      <c r="FWG152" s="863"/>
      <c r="FWH152" s="863"/>
      <c r="FWI152" s="863"/>
      <c r="FWJ152" s="863"/>
      <c r="FWK152" s="863"/>
      <c r="FWL152" s="863"/>
      <c r="FWM152" s="863"/>
      <c r="FWN152" s="863"/>
      <c r="FWO152" s="863"/>
      <c r="FWP152" s="863"/>
      <c r="FWQ152" s="863"/>
      <c r="FWR152" s="863"/>
      <c r="FWS152" s="883"/>
      <c r="FWT152" s="883"/>
      <c r="FWU152" s="883"/>
      <c r="FWV152" s="883"/>
      <c r="FWW152" s="883"/>
      <c r="FWX152" s="883"/>
      <c r="FWY152" s="883"/>
      <c r="FWZ152" s="883"/>
      <c r="FXA152" s="883"/>
      <c r="FXB152" s="863"/>
      <c r="FXC152" s="863"/>
      <c r="FXD152" s="863"/>
      <c r="FXE152" s="863"/>
      <c r="FXF152" s="863"/>
      <c r="FXG152" s="863"/>
      <c r="FXH152" s="863"/>
      <c r="FXI152" s="863"/>
      <c r="FXJ152" s="863"/>
      <c r="FXK152" s="863"/>
      <c r="FXL152" s="863"/>
      <c r="FXM152" s="863"/>
      <c r="FXN152" s="863"/>
      <c r="FXO152" s="863"/>
      <c r="FXP152" s="863"/>
      <c r="FXQ152" s="863"/>
      <c r="FXR152" s="863"/>
      <c r="FXS152" s="863"/>
      <c r="FXT152" s="863"/>
      <c r="FXU152" s="863"/>
      <c r="FXV152" s="863"/>
      <c r="FXW152" s="863"/>
      <c r="FXX152" s="863"/>
      <c r="FXY152" s="883"/>
      <c r="FXZ152" s="883"/>
      <c r="FYA152" s="883"/>
      <c r="FYB152" s="883"/>
      <c r="FYC152" s="883"/>
      <c r="FYD152" s="883"/>
      <c r="FYE152" s="883"/>
      <c r="FYF152" s="883"/>
      <c r="FYG152" s="883"/>
      <c r="FYH152" s="863"/>
      <c r="FYI152" s="863"/>
      <c r="FYJ152" s="863"/>
      <c r="FYK152" s="863"/>
      <c r="FYL152" s="863"/>
      <c r="FYM152" s="863"/>
      <c r="FYN152" s="863"/>
      <c r="FYO152" s="863"/>
      <c r="FYP152" s="863"/>
      <c r="FYQ152" s="863"/>
      <c r="FYR152" s="863"/>
      <c r="FYS152" s="863"/>
      <c r="FYT152" s="863"/>
      <c r="FYU152" s="863"/>
      <c r="FYV152" s="863"/>
      <c r="FYW152" s="863"/>
      <c r="FYX152" s="863"/>
      <c r="FYY152" s="863"/>
      <c r="FYZ152" s="863"/>
      <c r="FZA152" s="863"/>
      <c r="FZB152" s="863"/>
      <c r="FZC152" s="863"/>
      <c r="FZD152" s="863"/>
      <c r="FZE152" s="883"/>
      <c r="FZF152" s="883"/>
      <c r="FZG152" s="883"/>
      <c r="FZH152" s="883"/>
      <c r="FZI152" s="883"/>
      <c r="FZJ152" s="883"/>
      <c r="FZK152" s="883"/>
      <c r="FZL152" s="883"/>
      <c r="FZM152" s="883"/>
      <c r="FZN152" s="863"/>
      <c r="FZO152" s="863"/>
      <c r="FZP152" s="863"/>
      <c r="FZQ152" s="863"/>
      <c r="FZR152" s="863"/>
      <c r="FZS152" s="863"/>
      <c r="FZT152" s="863"/>
      <c r="FZU152" s="863"/>
      <c r="FZV152" s="863"/>
      <c r="FZW152" s="863"/>
      <c r="FZX152" s="863"/>
      <c r="FZY152" s="863"/>
      <c r="FZZ152" s="863"/>
      <c r="GAA152" s="863"/>
      <c r="GAB152" s="863"/>
      <c r="GAC152" s="863"/>
      <c r="GAD152" s="863"/>
      <c r="GAE152" s="863"/>
      <c r="GAF152" s="863"/>
      <c r="GAG152" s="863"/>
      <c r="GAH152" s="863"/>
      <c r="GAI152" s="863"/>
      <c r="GAJ152" s="863"/>
      <c r="GAK152" s="883"/>
      <c r="GAL152" s="883"/>
      <c r="GAM152" s="883"/>
      <c r="GAN152" s="883"/>
      <c r="GAO152" s="883"/>
      <c r="GAP152" s="883"/>
      <c r="GAQ152" s="883"/>
      <c r="GAR152" s="883"/>
      <c r="GAS152" s="883"/>
      <c r="GAT152" s="863"/>
      <c r="GAU152" s="863"/>
      <c r="GAV152" s="863"/>
      <c r="GAW152" s="863"/>
      <c r="GAX152" s="863"/>
      <c r="GAY152" s="863"/>
      <c r="GAZ152" s="863"/>
      <c r="GBA152" s="863"/>
      <c r="GBB152" s="863"/>
      <c r="GBC152" s="863"/>
      <c r="GBD152" s="863"/>
      <c r="GBE152" s="863"/>
      <c r="GBF152" s="863"/>
      <c r="GBG152" s="863"/>
      <c r="GBH152" s="863"/>
      <c r="GBI152" s="863"/>
      <c r="GBJ152" s="863"/>
      <c r="GBK152" s="863"/>
      <c r="GBL152" s="863"/>
      <c r="GBM152" s="863"/>
      <c r="GBN152" s="863"/>
      <c r="GBO152" s="863"/>
      <c r="GBP152" s="863"/>
      <c r="GBQ152" s="883"/>
      <c r="GBR152" s="883"/>
      <c r="GBS152" s="883"/>
      <c r="GBT152" s="883"/>
      <c r="GBU152" s="883"/>
      <c r="GBV152" s="883"/>
      <c r="GBW152" s="883"/>
      <c r="GBX152" s="883"/>
      <c r="GBY152" s="883"/>
      <c r="GBZ152" s="863"/>
      <c r="GCA152" s="863"/>
      <c r="GCB152" s="863"/>
      <c r="GCC152" s="863"/>
      <c r="GCD152" s="863"/>
      <c r="GCE152" s="863"/>
      <c r="GCF152" s="863"/>
      <c r="GCG152" s="863"/>
      <c r="GCH152" s="863"/>
      <c r="GCI152" s="863"/>
      <c r="GCJ152" s="863"/>
      <c r="GCK152" s="863"/>
      <c r="GCL152" s="863"/>
      <c r="GCM152" s="863"/>
      <c r="GCN152" s="863"/>
      <c r="GCO152" s="863"/>
      <c r="GCP152" s="863"/>
      <c r="GCQ152" s="863"/>
      <c r="GCR152" s="863"/>
      <c r="GCS152" s="863"/>
      <c r="GCT152" s="863"/>
      <c r="GCU152" s="863"/>
      <c r="GCV152" s="863"/>
      <c r="GCW152" s="883"/>
      <c r="GCX152" s="883"/>
      <c r="GCY152" s="883"/>
      <c r="GCZ152" s="883"/>
      <c r="GDA152" s="883"/>
      <c r="GDB152" s="883"/>
      <c r="GDC152" s="883"/>
      <c r="GDD152" s="883"/>
      <c r="GDE152" s="883"/>
      <c r="GDF152" s="863"/>
      <c r="GDG152" s="863"/>
      <c r="GDH152" s="863"/>
      <c r="GDI152" s="863"/>
      <c r="GDJ152" s="863"/>
      <c r="GDK152" s="863"/>
      <c r="GDL152" s="863"/>
      <c r="GDM152" s="863"/>
      <c r="GDN152" s="863"/>
      <c r="GDO152" s="863"/>
      <c r="GDP152" s="863"/>
      <c r="GDQ152" s="863"/>
      <c r="GDR152" s="863"/>
      <c r="GDS152" s="863"/>
      <c r="GDT152" s="863"/>
      <c r="GDU152" s="863"/>
      <c r="GDV152" s="863"/>
      <c r="GDW152" s="863"/>
      <c r="GDX152" s="863"/>
      <c r="GDY152" s="863"/>
      <c r="GDZ152" s="863"/>
      <c r="GEA152" s="863"/>
      <c r="GEB152" s="863"/>
      <c r="GEC152" s="883"/>
      <c r="GED152" s="883"/>
      <c r="GEE152" s="883"/>
      <c r="GEF152" s="883"/>
      <c r="GEG152" s="883"/>
      <c r="GEH152" s="883"/>
      <c r="GEI152" s="883"/>
      <c r="GEJ152" s="883"/>
      <c r="GEK152" s="883"/>
      <c r="GEL152" s="863"/>
      <c r="GEM152" s="863"/>
      <c r="GEN152" s="863"/>
      <c r="GEO152" s="863"/>
      <c r="GEP152" s="863"/>
      <c r="GEQ152" s="863"/>
      <c r="GER152" s="863"/>
      <c r="GES152" s="863"/>
      <c r="GET152" s="863"/>
      <c r="GEU152" s="863"/>
      <c r="GEV152" s="863"/>
      <c r="GEW152" s="863"/>
      <c r="GEX152" s="863"/>
      <c r="GEY152" s="863"/>
      <c r="GEZ152" s="863"/>
      <c r="GFA152" s="863"/>
      <c r="GFB152" s="863"/>
      <c r="GFC152" s="863"/>
      <c r="GFD152" s="863"/>
      <c r="GFE152" s="863"/>
      <c r="GFF152" s="863"/>
      <c r="GFG152" s="863"/>
      <c r="GFH152" s="863"/>
      <c r="GFI152" s="883"/>
      <c r="GFJ152" s="883"/>
      <c r="GFK152" s="883"/>
      <c r="GFL152" s="883"/>
      <c r="GFM152" s="883"/>
      <c r="GFN152" s="883"/>
      <c r="GFO152" s="883"/>
      <c r="GFP152" s="883"/>
      <c r="GFQ152" s="883"/>
      <c r="GFR152" s="863"/>
      <c r="GFS152" s="863"/>
      <c r="GFT152" s="863"/>
      <c r="GFU152" s="863"/>
      <c r="GFV152" s="863"/>
      <c r="GFW152" s="863"/>
      <c r="GFX152" s="863"/>
      <c r="GFY152" s="863"/>
      <c r="GFZ152" s="863"/>
      <c r="GGA152" s="863"/>
      <c r="GGB152" s="863"/>
      <c r="GGC152" s="863"/>
      <c r="GGD152" s="863"/>
      <c r="GGE152" s="863"/>
      <c r="GGF152" s="863"/>
      <c r="GGG152" s="863"/>
      <c r="GGH152" s="863"/>
      <c r="GGI152" s="863"/>
      <c r="GGJ152" s="863"/>
      <c r="GGK152" s="863"/>
      <c r="GGL152" s="863"/>
      <c r="GGM152" s="863"/>
      <c r="GGN152" s="863"/>
      <c r="GGO152" s="883"/>
      <c r="GGP152" s="883"/>
      <c r="GGQ152" s="883"/>
      <c r="GGR152" s="883"/>
      <c r="GGS152" s="883"/>
      <c r="GGT152" s="883"/>
      <c r="GGU152" s="883"/>
      <c r="GGV152" s="883"/>
      <c r="GGW152" s="883"/>
      <c r="GGX152" s="863"/>
      <c r="GGY152" s="863"/>
      <c r="GGZ152" s="863"/>
      <c r="GHA152" s="863"/>
      <c r="GHB152" s="863"/>
      <c r="GHC152" s="863"/>
      <c r="GHD152" s="863"/>
      <c r="GHE152" s="863"/>
      <c r="GHF152" s="863"/>
      <c r="GHG152" s="863"/>
      <c r="GHH152" s="863"/>
      <c r="GHI152" s="863"/>
      <c r="GHJ152" s="863"/>
      <c r="GHK152" s="863"/>
      <c r="GHL152" s="863"/>
      <c r="GHM152" s="863"/>
      <c r="GHN152" s="863"/>
      <c r="GHO152" s="863"/>
      <c r="GHP152" s="863"/>
      <c r="GHQ152" s="863"/>
      <c r="GHR152" s="863"/>
      <c r="GHS152" s="863"/>
      <c r="GHT152" s="863"/>
      <c r="GHU152" s="883"/>
      <c r="GHV152" s="883"/>
      <c r="GHW152" s="883"/>
      <c r="GHX152" s="883"/>
      <c r="GHY152" s="883"/>
      <c r="GHZ152" s="883"/>
      <c r="GIA152" s="883"/>
      <c r="GIB152" s="883"/>
      <c r="GIC152" s="883"/>
      <c r="GID152" s="863"/>
      <c r="GIE152" s="863"/>
      <c r="GIF152" s="863"/>
      <c r="GIG152" s="863"/>
      <c r="GIH152" s="863"/>
      <c r="GII152" s="863"/>
      <c r="GIJ152" s="863"/>
      <c r="GIK152" s="863"/>
      <c r="GIL152" s="863"/>
      <c r="GIM152" s="863"/>
      <c r="GIN152" s="863"/>
      <c r="GIO152" s="863"/>
      <c r="GIP152" s="863"/>
      <c r="GIQ152" s="863"/>
      <c r="GIR152" s="863"/>
      <c r="GIS152" s="863"/>
      <c r="GIT152" s="863"/>
      <c r="GIU152" s="863"/>
      <c r="GIV152" s="863"/>
      <c r="GIW152" s="863"/>
      <c r="GIX152" s="863"/>
      <c r="GIY152" s="863"/>
      <c r="GIZ152" s="863"/>
      <c r="GJA152" s="883"/>
      <c r="GJB152" s="883"/>
      <c r="GJC152" s="883"/>
      <c r="GJD152" s="883"/>
      <c r="GJE152" s="883"/>
      <c r="GJF152" s="883"/>
      <c r="GJG152" s="883"/>
      <c r="GJH152" s="883"/>
      <c r="GJI152" s="883"/>
      <c r="GJJ152" s="863"/>
      <c r="GJK152" s="863"/>
      <c r="GJL152" s="863"/>
      <c r="GJM152" s="863"/>
      <c r="GJN152" s="863"/>
      <c r="GJO152" s="863"/>
      <c r="GJP152" s="863"/>
      <c r="GJQ152" s="863"/>
      <c r="GJR152" s="863"/>
      <c r="GJS152" s="863"/>
      <c r="GJT152" s="863"/>
      <c r="GJU152" s="863"/>
      <c r="GJV152" s="863"/>
      <c r="GJW152" s="863"/>
      <c r="GJX152" s="863"/>
      <c r="GJY152" s="863"/>
      <c r="GJZ152" s="863"/>
      <c r="GKA152" s="863"/>
      <c r="GKB152" s="863"/>
      <c r="GKC152" s="863"/>
      <c r="GKD152" s="863"/>
      <c r="GKE152" s="863"/>
      <c r="GKF152" s="863"/>
      <c r="GKG152" s="883"/>
      <c r="GKH152" s="883"/>
      <c r="GKI152" s="883"/>
      <c r="GKJ152" s="883"/>
      <c r="GKK152" s="883"/>
      <c r="GKL152" s="883"/>
      <c r="GKM152" s="883"/>
      <c r="GKN152" s="883"/>
      <c r="GKO152" s="883"/>
      <c r="GKP152" s="863"/>
      <c r="GKQ152" s="863"/>
      <c r="GKR152" s="863"/>
      <c r="GKS152" s="863"/>
      <c r="GKT152" s="863"/>
      <c r="GKU152" s="863"/>
      <c r="GKV152" s="863"/>
      <c r="GKW152" s="863"/>
      <c r="GKX152" s="863"/>
      <c r="GKY152" s="863"/>
      <c r="GKZ152" s="863"/>
      <c r="GLA152" s="863"/>
      <c r="GLB152" s="863"/>
      <c r="GLC152" s="863"/>
      <c r="GLD152" s="863"/>
      <c r="GLE152" s="863"/>
      <c r="GLF152" s="863"/>
      <c r="GLG152" s="863"/>
      <c r="GLH152" s="863"/>
      <c r="GLI152" s="863"/>
      <c r="GLJ152" s="863"/>
      <c r="GLK152" s="863"/>
      <c r="GLL152" s="863"/>
      <c r="GLM152" s="883"/>
      <c r="GLN152" s="883"/>
      <c r="GLO152" s="883"/>
      <c r="GLP152" s="883"/>
      <c r="GLQ152" s="883"/>
      <c r="GLR152" s="883"/>
      <c r="GLS152" s="883"/>
      <c r="GLT152" s="883"/>
      <c r="GLU152" s="883"/>
      <c r="GLV152" s="863"/>
      <c r="GLW152" s="863"/>
      <c r="GLX152" s="863"/>
      <c r="GLY152" s="863"/>
      <c r="GLZ152" s="863"/>
      <c r="GMA152" s="863"/>
      <c r="GMB152" s="863"/>
      <c r="GMC152" s="863"/>
      <c r="GMD152" s="863"/>
      <c r="GME152" s="863"/>
      <c r="GMF152" s="863"/>
      <c r="GMG152" s="863"/>
      <c r="GMH152" s="863"/>
      <c r="GMI152" s="863"/>
      <c r="GMJ152" s="863"/>
      <c r="GMK152" s="863"/>
      <c r="GML152" s="863"/>
      <c r="GMM152" s="863"/>
      <c r="GMN152" s="863"/>
      <c r="GMO152" s="863"/>
      <c r="GMP152" s="863"/>
      <c r="GMQ152" s="863"/>
      <c r="GMR152" s="863"/>
      <c r="GMS152" s="883"/>
      <c r="GMT152" s="883"/>
      <c r="GMU152" s="883"/>
      <c r="GMV152" s="883"/>
      <c r="GMW152" s="883"/>
      <c r="GMX152" s="883"/>
      <c r="GMY152" s="883"/>
      <c r="GMZ152" s="883"/>
      <c r="GNA152" s="883"/>
      <c r="GNB152" s="863"/>
      <c r="GNC152" s="863"/>
      <c r="GND152" s="863"/>
      <c r="GNE152" s="863"/>
      <c r="GNF152" s="863"/>
      <c r="GNG152" s="863"/>
      <c r="GNH152" s="863"/>
      <c r="GNI152" s="863"/>
      <c r="GNJ152" s="863"/>
      <c r="GNK152" s="863"/>
      <c r="GNL152" s="863"/>
      <c r="GNM152" s="863"/>
      <c r="GNN152" s="863"/>
      <c r="GNO152" s="863"/>
      <c r="GNP152" s="863"/>
      <c r="GNQ152" s="863"/>
      <c r="GNR152" s="863"/>
      <c r="GNS152" s="863"/>
      <c r="GNT152" s="863"/>
      <c r="GNU152" s="863"/>
      <c r="GNV152" s="863"/>
      <c r="GNW152" s="863"/>
      <c r="GNX152" s="863"/>
      <c r="GNY152" s="883"/>
      <c r="GNZ152" s="883"/>
      <c r="GOA152" s="883"/>
      <c r="GOB152" s="883"/>
      <c r="GOC152" s="883"/>
      <c r="GOD152" s="883"/>
      <c r="GOE152" s="883"/>
      <c r="GOF152" s="883"/>
      <c r="GOG152" s="883"/>
      <c r="GOH152" s="863"/>
      <c r="GOI152" s="863"/>
      <c r="GOJ152" s="863"/>
      <c r="GOK152" s="863"/>
      <c r="GOL152" s="863"/>
      <c r="GOM152" s="863"/>
      <c r="GON152" s="863"/>
      <c r="GOO152" s="863"/>
      <c r="GOP152" s="863"/>
      <c r="GOQ152" s="863"/>
      <c r="GOR152" s="863"/>
      <c r="GOS152" s="863"/>
      <c r="GOT152" s="863"/>
      <c r="GOU152" s="863"/>
      <c r="GOV152" s="863"/>
      <c r="GOW152" s="863"/>
      <c r="GOX152" s="863"/>
      <c r="GOY152" s="863"/>
      <c r="GOZ152" s="863"/>
      <c r="GPA152" s="863"/>
      <c r="GPB152" s="863"/>
      <c r="GPC152" s="863"/>
      <c r="GPD152" s="863"/>
      <c r="GPE152" s="883"/>
      <c r="GPF152" s="883"/>
      <c r="GPG152" s="883"/>
      <c r="GPH152" s="883"/>
      <c r="GPI152" s="883"/>
      <c r="GPJ152" s="883"/>
      <c r="GPK152" s="883"/>
      <c r="GPL152" s="883"/>
      <c r="GPM152" s="883"/>
      <c r="GPN152" s="863"/>
      <c r="GPO152" s="863"/>
      <c r="GPP152" s="863"/>
      <c r="GPQ152" s="863"/>
      <c r="GPR152" s="863"/>
      <c r="GPS152" s="863"/>
      <c r="GPT152" s="863"/>
      <c r="GPU152" s="863"/>
      <c r="GPV152" s="863"/>
      <c r="GPW152" s="863"/>
      <c r="GPX152" s="863"/>
      <c r="GPY152" s="863"/>
      <c r="GPZ152" s="863"/>
      <c r="GQA152" s="863"/>
      <c r="GQB152" s="863"/>
      <c r="GQC152" s="863"/>
      <c r="GQD152" s="863"/>
      <c r="GQE152" s="863"/>
      <c r="GQF152" s="863"/>
      <c r="GQG152" s="863"/>
      <c r="GQH152" s="863"/>
      <c r="GQI152" s="863"/>
      <c r="GQJ152" s="863"/>
      <c r="GQK152" s="883"/>
      <c r="GQL152" s="883"/>
      <c r="GQM152" s="883"/>
      <c r="GQN152" s="883"/>
      <c r="GQO152" s="883"/>
      <c r="GQP152" s="883"/>
      <c r="GQQ152" s="883"/>
      <c r="GQR152" s="883"/>
      <c r="GQS152" s="883"/>
      <c r="GQT152" s="863"/>
      <c r="GQU152" s="863"/>
      <c r="GQV152" s="863"/>
      <c r="GQW152" s="863"/>
      <c r="GQX152" s="863"/>
      <c r="GQY152" s="863"/>
      <c r="GQZ152" s="863"/>
      <c r="GRA152" s="863"/>
      <c r="GRB152" s="863"/>
      <c r="GRC152" s="863"/>
      <c r="GRD152" s="863"/>
      <c r="GRE152" s="863"/>
      <c r="GRF152" s="863"/>
      <c r="GRG152" s="863"/>
      <c r="GRH152" s="863"/>
      <c r="GRI152" s="863"/>
      <c r="GRJ152" s="863"/>
      <c r="GRK152" s="863"/>
      <c r="GRL152" s="863"/>
      <c r="GRM152" s="863"/>
      <c r="GRN152" s="863"/>
      <c r="GRO152" s="863"/>
      <c r="GRP152" s="863"/>
      <c r="GRQ152" s="883"/>
      <c r="GRR152" s="883"/>
      <c r="GRS152" s="883"/>
      <c r="GRT152" s="883"/>
      <c r="GRU152" s="883"/>
      <c r="GRV152" s="883"/>
      <c r="GRW152" s="883"/>
      <c r="GRX152" s="883"/>
      <c r="GRY152" s="883"/>
      <c r="GRZ152" s="863"/>
      <c r="GSA152" s="863"/>
      <c r="GSB152" s="863"/>
      <c r="GSC152" s="863"/>
      <c r="GSD152" s="863"/>
      <c r="GSE152" s="863"/>
      <c r="GSF152" s="863"/>
      <c r="GSG152" s="863"/>
      <c r="GSH152" s="863"/>
      <c r="GSI152" s="863"/>
      <c r="GSJ152" s="863"/>
      <c r="GSK152" s="863"/>
      <c r="GSL152" s="863"/>
      <c r="GSM152" s="863"/>
      <c r="GSN152" s="863"/>
      <c r="GSO152" s="863"/>
      <c r="GSP152" s="863"/>
      <c r="GSQ152" s="863"/>
      <c r="GSR152" s="863"/>
      <c r="GSS152" s="863"/>
      <c r="GST152" s="863"/>
      <c r="GSU152" s="863"/>
      <c r="GSV152" s="863"/>
      <c r="GSW152" s="883"/>
      <c r="GSX152" s="883"/>
      <c r="GSY152" s="883"/>
      <c r="GSZ152" s="883"/>
      <c r="GTA152" s="883"/>
      <c r="GTB152" s="883"/>
      <c r="GTC152" s="883"/>
      <c r="GTD152" s="883"/>
      <c r="GTE152" s="883"/>
      <c r="GTF152" s="863"/>
      <c r="GTG152" s="863"/>
      <c r="GTH152" s="863"/>
      <c r="GTI152" s="863"/>
      <c r="GTJ152" s="863"/>
      <c r="GTK152" s="863"/>
      <c r="GTL152" s="863"/>
      <c r="GTM152" s="863"/>
      <c r="GTN152" s="863"/>
      <c r="GTO152" s="863"/>
      <c r="GTP152" s="863"/>
      <c r="GTQ152" s="863"/>
      <c r="GTR152" s="863"/>
      <c r="GTS152" s="863"/>
      <c r="GTT152" s="863"/>
      <c r="GTU152" s="863"/>
      <c r="GTV152" s="863"/>
      <c r="GTW152" s="863"/>
      <c r="GTX152" s="863"/>
      <c r="GTY152" s="863"/>
      <c r="GTZ152" s="863"/>
      <c r="GUA152" s="863"/>
      <c r="GUB152" s="863"/>
      <c r="GUC152" s="883"/>
      <c r="GUD152" s="883"/>
      <c r="GUE152" s="883"/>
      <c r="GUF152" s="883"/>
      <c r="GUG152" s="883"/>
      <c r="GUH152" s="883"/>
      <c r="GUI152" s="883"/>
      <c r="GUJ152" s="883"/>
      <c r="GUK152" s="883"/>
      <c r="GUL152" s="863"/>
      <c r="GUM152" s="863"/>
      <c r="GUN152" s="863"/>
      <c r="GUO152" s="863"/>
      <c r="GUP152" s="863"/>
      <c r="GUQ152" s="863"/>
      <c r="GUR152" s="863"/>
      <c r="GUS152" s="863"/>
      <c r="GUT152" s="863"/>
      <c r="GUU152" s="863"/>
      <c r="GUV152" s="863"/>
      <c r="GUW152" s="863"/>
      <c r="GUX152" s="863"/>
      <c r="GUY152" s="863"/>
      <c r="GUZ152" s="863"/>
      <c r="GVA152" s="863"/>
      <c r="GVB152" s="863"/>
      <c r="GVC152" s="863"/>
      <c r="GVD152" s="863"/>
      <c r="GVE152" s="863"/>
      <c r="GVF152" s="863"/>
      <c r="GVG152" s="863"/>
      <c r="GVH152" s="863"/>
      <c r="GVI152" s="883"/>
      <c r="GVJ152" s="883"/>
      <c r="GVK152" s="883"/>
      <c r="GVL152" s="883"/>
      <c r="GVM152" s="883"/>
      <c r="GVN152" s="883"/>
      <c r="GVO152" s="883"/>
      <c r="GVP152" s="883"/>
      <c r="GVQ152" s="883"/>
      <c r="GVR152" s="863"/>
      <c r="GVS152" s="863"/>
      <c r="GVT152" s="863"/>
      <c r="GVU152" s="863"/>
      <c r="GVV152" s="863"/>
      <c r="GVW152" s="863"/>
      <c r="GVX152" s="863"/>
      <c r="GVY152" s="863"/>
      <c r="GVZ152" s="863"/>
      <c r="GWA152" s="863"/>
      <c r="GWB152" s="863"/>
      <c r="GWC152" s="863"/>
      <c r="GWD152" s="863"/>
      <c r="GWE152" s="863"/>
      <c r="GWF152" s="863"/>
      <c r="GWG152" s="863"/>
      <c r="GWH152" s="863"/>
      <c r="GWI152" s="863"/>
      <c r="GWJ152" s="863"/>
      <c r="GWK152" s="863"/>
      <c r="GWL152" s="863"/>
      <c r="GWM152" s="863"/>
      <c r="GWN152" s="863"/>
      <c r="GWO152" s="883"/>
      <c r="GWP152" s="883"/>
      <c r="GWQ152" s="883"/>
      <c r="GWR152" s="883"/>
      <c r="GWS152" s="883"/>
      <c r="GWT152" s="883"/>
      <c r="GWU152" s="883"/>
      <c r="GWV152" s="883"/>
      <c r="GWW152" s="883"/>
      <c r="GWX152" s="863"/>
      <c r="GWY152" s="863"/>
      <c r="GWZ152" s="863"/>
      <c r="GXA152" s="863"/>
      <c r="GXB152" s="863"/>
      <c r="GXC152" s="863"/>
      <c r="GXD152" s="863"/>
      <c r="GXE152" s="863"/>
      <c r="GXF152" s="863"/>
      <c r="GXG152" s="863"/>
      <c r="GXH152" s="863"/>
      <c r="GXI152" s="863"/>
      <c r="GXJ152" s="863"/>
      <c r="GXK152" s="863"/>
      <c r="GXL152" s="863"/>
      <c r="GXM152" s="863"/>
      <c r="GXN152" s="863"/>
      <c r="GXO152" s="863"/>
      <c r="GXP152" s="863"/>
      <c r="GXQ152" s="863"/>
      <c r="GXR152" s="863"/>
      <c r="GXS152" s="863"/>
      <c r="GXT152" s="863"/>
      <c r="GXU152" s="883"/>
      <c r="GXV152" s="883"/>
      <c r="GXW152" s="883"/>
      <c r="GXX152" s="883"/>
      <c r="GXY152" s="883"/>
      <c r="GXZ152" s="883"/>
      <c r="GYA152" s="883"/>
      <c r="GYB152" s="883"/>
      <c r="GYC152" s="883"/>
      <c r="GYD152" s="863"/>
      <c r="GYE152" s="863"/>
      <c r="GYF152" s="863"/>
      <c r="GYG152" s="863"/>
      <c r="GYH152" s="863"/>
      <c r="GYI152" s="863"/>
      <c r="GYJ152" s="863"/>
      <c r="GYK152" s="863"/>
      <c r="GYL152" s="863"/>
      <c r="GYM152" s="863"/>
      <c r="GYN152" s="863"/>
      <c r="GYO152" s="863"/>
      <c r="GYP152" s="863"/>
      <c r="GYQ152" s="863"/>
      <c r="GYR152" s="863"/>
      <c r="GYS152" s="863"/>
      <c r="GYT152" s="863"/>
      <c r="GYU152" s="863"/>
      <c r="GYV152" s="863"/>
      <c r="GYW152" s="863"/>
      <c r="GYX152" s="863"/>
      <c r="GYY152" s="863"/>
      <c r="GYZ152" s="863"/>
      <c r="GZA152" s="883"/>
      <c r="GZB152" s="883"/>
      <c r="GZC152" s="883"/>
      <c r="GZD152" s="883"/>
      <c r="GZE152" s="883"/>
      <c r="GZF152" s="883"/>
      <c r="GZG152" s="883"/>
      <c r="GZH152" s="883"/>
      <c r="GZI152" s="883"/>
      <c r="GZJ152" s="863"/>
      <c r="GZK152" s="863"/>
      <c r="GZL152" s="863"/>
      <c r="GZM152" s="863"/>
      <c r="GZN152" s="863"/>
      <c r="GZO152" s="863"/>
      <c r="GZP152" s="863"/>
      <c r="GZQ152" s="863"/>
      <c r="GZR152" s="863"/>
      <c r="GZS152" s="863"/>
      <c r="GZT152" s="863"/>
      <c r="GZU152" s="863"/>
      <c r="GZV152" s="863"/>
      <c r="GZW152" s="863"/>
      <c r="GZX152" s="863"/>
      <c r="GZY152" s="863"/>
      <c r="GZZ152" s="863"/>
      <c r="HAA152" s="863"/>
      <c r="HAB152" s="863"/>
      <c r="HAC152" s="863"/>
      <c r="HAD152" s="863"/>
      <c r="HAE152" s="863"/>
      <c r="HAF152" s="863"/>
      <c r="HAG152" s="883"/>
      <c r="HAH152" s="883"/>
      <c r="HAI152" s="883"/>
      <c r="HAJ152" s="883"/>
      <c r="HAK152" s="883"/>
      <c r="HAL152" s="883"/>
      <c r="HAM152" s="883"/>
      <c r="HAN152" s="883"/>
      <c r="HAO152" s="883"/>
      <c r="HAP152" s="863"/>
      <c r="HAQ152" s="863"/>
      <c r="HAR152" s="863"/>
      <c r="HAS152" s="863"/>
      <c r="HAT152" s="863"/>
      <c r="HAU152" s="863"/>
      <c r="HAV152" s="863"/>
      <c r="HAW152" s="863"/>
      <c r="HAX152" s="863"/>
      <c r="HAY152" s="863"/>
      <c r="HAZ152" s="863"/>
      <c r="HBA152" s="863"/>
      <c r="HBB152" s="863"/>
      <c r="HBC152" s="863"/>
      <c r="HBD152" s="863"/>
      <c r="HBE152" s="863"/>
      <c r="HBF152" s="863"/>
      <c r="HBG152" s="863"/>
      <c r="HBH152" s="863"/>
      <c r="HBI152" s="863"/>
      <c r="HBJ152" s="863"/>
      <c r="HBK152" s="863"/>
      <c r="HBL152" s="863"/>
      <c r="HBM152" s="883"/>
      <c r="HBN152" s="883"/>
      <c r="HBO152" s="883"/>
      <c r="HBP152" s="883"/>
      <c r="HBQ152" s="883"/>
      <c r="HBR152" s="883"/>
      <c r="HBS152" s="883"/>
      <c r="HBT152" s="883"/>
      <c r="HBU152" s="883"/>
      <c r="HBV152" s="863"/>
      <c r="HBW152" s="863"/>
      <c r="HBX152" s="863"/>
      <c r="HBY152" s="863"/>
      <c r="HBZ152" s="863"/>
      <c r="HCA152" s="863"/>
      <c r="HCB152" s="863"/>
      <c r="HCC152" s="863"/>
      <c r="HCD152" s="863"/>
      <c r="HCE152" s="863"/>
      <c r="HCF152" s="863"/>
      <c r="HCG152" s="863"/>
      <c r="HCH152" s="863"/>
      <c r="HCI152" s="863"/>
      <c r="HCJ152" s="863"/>
      <c r="HCK152" s="863"/>
      <c r="HCL152" s="863"/>
      <c r="HCM152" s="863"/>
      <c r="HCN152" s="863"/>
      <c r="HCO152" s="863"/>
      <c r="HCP152" s="863"/>
      <c r="HCQ152" s="863"/>
      <c r="HCR152" s="863"/>
      <c r="HCS152" s="883"/>
      <c r="HCT152" s="883"/>
      <c r="HCU152" s="883"/>
      <c r="HCV152" s="883"/>
      <c r="HCW152" s="883"/>
      <c r="HCX152" s="883"/>
      <c r="HCY152" s="883"/>
      <c r="HCZ152" s="883"/>
      <c r="HDA152" s="883"/>
      <c r="HDB152" s="863"/>
      <c r="HDC152" s="863"/>
      <c r="HDD152" s="863"/>
      <c r="HDE152" s="863"/>
      <c r="HDF152" s="863"/>
      <c r="HDG152" s="863"/>
      <c r="HDH152" s="863"/>
      <c r="HDI152" s="863"/>
      <c r="HDJ152" s="863"/>
      <c r="HDK152" s="863"/>
      <c r="HDL152" s="863"/>
      <c r="HDM152" s="863"/>
      <c r="HDN152" s="863"/>
      <c r="HDO152" s="863"/>
      <c r="HDP152" s="863"/>
      <c r="HDQ152" s="863"/>
      <c r="HDR152" s="863"/>
      <c r="HDS152" s="863"/>
      <c r="HDT152" s="863"/>
      <c r="HDU152" s="863"/>
      <c r="HDV152" s="863"/>
      <c r="HDW152" s="863"/>
      <c r="HDX152" s="863"/>
      <c r="HDY152" s="883"/>
      <c r="HDZ152" s="883"/>
      <c r="HEA152" s="883"/>
      <c r="HEB152" s="883"/>
      <c r="HEC152" s="883"/>
      <c r="HED152" s="883"/>
      <c r="HEE152" s="883"/>
      <c r="HEF152" s="883"/>
      <c r="HEG152" s="883"/>
      <c r="HEH152" s="863"/>
      <c r="HEI152" s="863"/>
      <c r="HEJ152" s="863"/>
      <c r="HEK152" s="863"/>
      <c r="HEL152" s="863"/>
      <c r="HEM152" s="863"/>
      <c r="HEN152" s="863"/>
      <c r="HEO152" s="863"/>
      <c r="HEP152" s="863"/>
      <c r="HEQ152" s="863"/>
      <c r="HER152" s="863"/>
      <c r="HES152" s="863"/>
      <c r="HET152" s="863"/>
      <c r="HEU152" s="863"/>
      <c r="HEV152" s="863"/>
      <c r="HEW152" s="863"/>
      <c r="HEX152" s="863"/>
      <c r="HEY152" s="863"/>
      <c r="HEZ152" s="863"/>
      <c r="HFA152" s="863"/>
      <c r="HFB152" s="863"/>
      <c r="HFC152" s="863"/>
      <c r="HFD152" s="863"/>
      <c r="HFE152" s="883"/>
      <c r="HFF152" s="883"/>
      <c r="HFG152" s="883"/>
      <c r="HFH152" s="883"/>
      <c r="HFI152" s="883"/>
      <c r="HFJ152" s="883"/>
      <c r="HFK152" s="883"/>
      <c r="HFL152" s="883"/>
      <c r="HFM152" s="883"/>
      <c r="HFN152" s="863"/>
      <c r="HFO152" s="863"/>
      <c r="HFP152" s="863"/>
      <c r="HFQ152" s="863"/>
      <c r="HFR152" s="863"/>
      <c r="HFS152" s="863"/>
      <c r="HFT152" s="863"/>
      <c r="HFU152" s="863"/>
      <c r="HFV152" s="863"/>
      <c r="HFW152" s="863"/>
      <c r="HFX152" s="863"/>
      <c r="HFY152" s="863"/>
      <c r="HFZ152" s="863"/>
      <c r="HGA152" s="863"/>
      <c r="HGB152" s="863"/>
      <c r="HGC152" s="863"/>
      <c r="HGD152" s="863"/>
      <c r="HGE152" s="863"/>
      <c r="HGF152" s="863"/>
      <c r="HGG152" s="863"/>
      <c r="HGH152" s="863"/>
      <c r="HGI152" s="863"/>
      <c r="HGJ152" s="863"/>
      <c r="HGK152" s="883"/>
      <c r="HGL152" s="883"/>
      <c r="HGM152" s="883"/>
      <c r="HGN152" s="883"/>
      <c r="HGO152" s="883"/>
      <c r="HGP152" s="883"/>
      <c r="HGQ152" s="883"/>
      <c r="HGR152" s="883"/>
      <c r="HGS152" s="883"/>
      <c r="HGT152" s="863"/>
      <c r="HGU152" s="863"/>
      <c r="HGV152" s="863"/>
      <c r="HGW152" s="863"/>
      <c r="HGX152" s="863"/>
      <c r="HGY152" s="863"/>
      <c r="HGZ152" s="863"/>
      <c r="HHA152" s="863"/>
      <c r="HHB152" s="863"/>
      <c r="HHC152" s="863"/>
      <c r="HHD152" s="863"/>
      <c r="HHE152" s="863"/>
      <c r="HHF152" s="863"/>
      <c r="HHG152" s="863"/>
      <c r="HHH152" s="863"/>
      <c r="HHI152" s="863"/>
      <c r="HHJ152" s="863"/>
      <c r="HHK152" s="863"/>
      <c r="HHL152" s="863"/>
      <c r="HHM152" s="863"/>
      <c r="HHN152" s="863"/>
      <c r="HHO152" s="863"/>
      <c r="HHP152" s="863"/>
      <c r="HHQ152" s="883"/>
      <c r="HHR152" s="883"/>
      <c r="HHS152" s="883"/>
      <c r="HHT152" s="883"/>
      <c r="HHU152" s="883"/>
      <c r="HHV152" s="883"/>
      <c r="HHW152" s="883"/>
      <c r="HHX152" s="883"/>
      <c r="HHY152" s="883"/>
      <c r="HHZ152" s="863"/>
      <c r="HIA152" s="863"/>
      <c r="HIB152" s="863"/>
      <c r="HIC152" s="863"/>
      <c r="HID152" s="863"/>
      <c r="HIE152" s="863"/>
      <c r="HIF152" s="863"/>
      <c r="HIG152" s="863"/>
      <c r="HIH152" s="863"/>
      <c r="HII152" s="863"/>
      <c r="HIJ152" s="863"/>
      <c r="HIK152" s="863"/>
      <c r="HIL152" s="863"/>
      <c r="HIM152" s="863"/>
      <c r="HIN152" s="863"/>
      <c r="HIO152" s="863"/>
      <c r="HIP152" s="863"/>
      <c r="HIQ152" s="863"/>
      <c r="HIR152" s="863"/>
      <c r="HIS152" s="863"/>
      <c r="HIT152" s="863"/>
      <c r="HIU152" s="863"/>
      <c r="HIV152" s="863"/>
      <c r="HIW152" s="883"/>
      <c r="HIX152" s="883"/>
      <c r="HIY152" s="883"/>
      <c r="HIZ152" s="883"/>
      <c r="HJA152" s="883"/>
      <c r="HJB152" s="883"/>
      <c r="HJC152" s="883"/>
      <c r="HJD152" s="883"/>
      <c r="HJE152" s="883"/>
      <c r="HJF152" s="863"/>
      <c r="HJG152" s="863"/>
      <c r="HJH152" s="863"/>
      <c r="HJI152" s="863"/>
      <c r="HJJ152" s="863"/>
      <c r="HJK152" s="863"/>
      <c r="HJL152" s="863"/>
      <c r="HJM152" s="863"/>
      <c r="HJN152" s="863"/>
      <c r="HJO152" s="863"/>
      <c r="HJP152" s="863"/>
      <c r="HJQ152" s="863"/>
      <c r="HJR152" s="863"/>
      <c r="HJS152" s="863"/>
      <c r="HJT152" s="863"/>
      <c r="HJU152" s="863"/>
      <c r="HJV152" s="863"/>
      <c r="HJW152" s="863"/>
      <c r="HJX152" s="863"/>
      <c r="HJY152" s="863"/>
      <c r="HJZ152" s="863"/>
      <c r="HKA152" s="863"/>
      <c r="HKB152" s="863"/>
      <c r="HKC152" s="883"/>
      <c r="HKD152" s="883"/>
      <c r="HKE152" s="883"/>
      <c r="HKF152" s="883"/>
      <c r="HKG152" s="883"/>
      <c r="HKH152" s="883"/>
      <c r="HKI152" s="883"/>
      <c r="HKJ152" s="883"/>
      <c r="HKK152" s="883"/>
      <c r="HKL152" s="863"/>
      <c r="HKM152" s="863"/>
      <c r="HKN152" s="863"/>
      <c r="HKO152" s="863"/>
      <c r="HKP152" s="863"/>
      <c r="HKQ152" s="863"/>
      <c r="HKR152" s="863"/>
      <c r="HKS152" s="863"/>
      <c r="HKT152" s="863"/>
      <c r="HKU152" s="863"/>
      <c r="HKV152" s="863"/>
      <c r="HKW152" s="863"/>
      <c r="HKX152" s="863"/>
      <c r="HKY152" s="863"/>
      <c r="HKZ152" s="863"/>
      <c r="HLA152" s="863"/>
      <c r="HLB152" s="863"/>
      <c r="HLC152" s="863"/>
      <c r="HLD152" s="863"/>
      <c r="HLE152" s="863"/>
      <c r="HLF152" s="863"/>
      <c r="HLG152" s="863"/>
      <c r="HLH152" s="863"/>
      <c r="HLI152" s="883"/>
      <c r="HLJ152" s="883"/>
      <c r="HLK152" s="883"/>
      <c r="HLL152" s="883"/>
      <c r="HLM152" s="883"/>
      <c r="HLN152" s="883"/>
      <c r="HLO152" s="883"/>
      <c r="HLP152" s="883"/>
      <c r="HLQ152" s="883"/>
      <c r="HLR152" s="863"/>
      <c r="HLS152" s="863"/>
      <c r="HLT152" s="863"/>
      <c r="HLU152" s="863"/>
      <c r="HLV152" s="863"/>
      <c r="HLW152" s="863"/>
      <c r="HLX152" s="863"/>
      <c r="HLY152" s="863"/>
      <c r="HLZ152" s="863"/>
      <c r="HMA152" s="863"/>
      <c r="HMB152" s="863"/>
      <c r="HMC152" s="863"/>
      <c r="HMD152" s="863"/>
      <c r="HME152" s="863"/>
      <c r="HMF152" s="863"/>
      <c r="HMG152" s="863"/>
      <c r="HMH152" s="863"/>
      <c r="HMI152" s="863"/>
      <c r="HMJ152" s="863"/>
      <c r="HMK152" s="863"/>
      <c r="HML152" s="863"/>
      <c r="HMM152" s="863"/>
      <c r="HMN152" s="863"/>
      <c r="HMO152" s="883"/>
      <c r="HMP152" s="883"/>
      <c r="HMQ152" s="883"/>
      <c r="HMR152" s="883"/>
      <c r="HMS152" s="883"/>
      <c r="HMT152" s="883"/>
      <c r="HMU152" s="883"/>
      <c r="HMV152" s="883"/>
      <c r="HMW152" s="883"/>
      <c r="HMX152" s="863"/>
      <c r="HMY152" s="863"/>
      <c r="HMZ152" s="863"/>
      <c r="HNA152" s="863"/>
      <c r="HNB152" s="863"/>
      <c r="HNC152" s="863"/>
      <c r="HND152" s="863"/>
      <c r="HNE152" s="863"/>
      <c r="HNF152" s="863"/>
      <c r="HNG152" s="863"/>
      <c r="HNH152" s="863"/>
      <c r="HNI152" s="863"/>
      <c r="HNJ152" s="863"/>
      <c r="HNK152" s="863"/>
      <c r="HNL152" s="863"/>
      <c r="HNM152" s="863"/>
      <c r="HNN152" s="863"/>
      <c r="HNO152" s="863"/>
      <c r="HNP152" s="863"/>
      <c r="HNQ152" s="863"/>
      <c r="HNR152" s="863"/>
      <c r="HNS152" s="863"/>
      <c r="HNT152" s="863"/>
      <c r="HNU152" s="883"/>
      <c r="HNV152" s="883"/>
      <c r="HNW152" s="883"/>
      <c r="HNX152" s="883"/>
      <c r="HNY152" s="883"/>
      <c r="HNZ152" s="883"/>
      <c r="HOA152" s="883"/>
      <c r="HOB152" s="883"/>
      <c r="HOC152" s="883"/>
      <c r="HOD152" s="863"/>
      <c r="HOE152" s="863"/>
      <c r="HOF152" s="863"/>
      <c r="HOG152" s="863"/>
      <c r="HOH152" s="863"/>
      <c r="HOI152" s="863"/>
      <c r="HOJ152" s="863"/>
      <c r="HOK152" s="863"/>
      <c r="HOL152" s="863"/>
      <c r="HOM152" s="863"/>
      <c r="HON152" s="863"/>
      <c r="HOO152" s="863"/>
      <c r="HOP152" s="863"/>
      <c r="HOQ152" s="863"/>
      <c r="HOR152" s="863"/>
      <c r="HOS152" s="863"/>
      <c r="HOT152" s="863"/>
      <c r="HOU152" s="863"/>
      <c r="HOV152" s="863"/>
      <c r="HOW152" s="863"/>
      <c r="HOX152" s="863"/>
      <c r="HOY152" s="863"/>
      <c r="HOZ152" s="863"/>
      <c r="HPA152" s="883"/>
      <c r="HPB152" s="883"/>
      <c r="HPC152" s="883"/>
      <c r="HPD152" s="883"/>
      <c r="HPE152" s="883"/>
      <c r="HPF152" s="883"/>
      <c r="HPG152" s="883"/>
      <c r="HPH152" s="883"/>
      <c r="HPI152" s="883"/>
      <c r="HPJ152" s="863"/>
      <c r="HPK152" s="863"/>
      <c r="HPL152" s="863"/>
      <c r="HPM152" s="863"/>
      <c r="HPN152" s="863"/>
      <c r="HPO152" s="863"/>
      <c r="HPP152" s="863"/>
      <c r="HPQ152" s="863"/>
      <c r="HPR152" s="863"/>
      <c r="HPS152" s="863"/>
      <c r="HPT152" s="863"/>
      <c r="HPU152" s="863"/>
      <c r="HPV152" s="863"/>
      <c r="HPW152" s="863"/>
      <c r="HPX152" s="863"/>
      <c r="HPY152" s="863"/>
      <c r="HPZ152" s="863"/>
      <c r="HQA152" s="863"/>
      <c r="HQB152" s="863"/>
      <c r="HQC152" s="863"/>
      <c r="HQD152" s="863"/>
      <c r="HQE152" s="863"/>
      <c r="HQF152" s="863"/>
      <c r="HQG152" s="883"/>
      <c r="HQH152" s="883"/>
      <c r="HQI152" s="883"/>
      <c r="HQJ152" s="883"/>
      <c r="HQK152" s="883"/>
      <c r="HQL152" s="883"/>
      <c r="HQM152" s="883"/>
      <c r="HQN152" s="883"/>
      <c r="HQO152" s="883"/>
      <c r="HQP152" s="863"/>
      <c r="HQQ152" s="863"/>
      <c r="HQR152" s="863"/>
      <c r="HQS152" s="863"/>
      <c r="HQT152" s="863"/>
      <c r="HQU152" s="863"/>
      <c r="HQV152" s="863"/>
      <c r="HQW152" s="863"/>
      <c r="HQX152" s="863"/>
      <c r="HQY152" s="863"/>
      <c r="HQZ152" s="863"/>
      <c r="HRA152" s="863"/>
      <c r="HRB152" s="863"/>
      <c r="HRC152" s="863"/>
      <c r="HRD152" s="863"/>
      <c r="HRE152" s="863"/>
      <c r="HRF152" s="863"/>
      <c r="HRG152" s="863"/>
      <c r="HRH152" s="863"/>
      <c r="HRI152" s="863"/>
      <c r="HRJ152" s="863"/>
      <c r="HRK152" s="863"/>
      <c r="HRL152" s="863"/>
      <c r="HRM152" s="883"/>
      <c r="HRN152" s="883"/>
      <c r="HRO152" s="883"/>
      <c r="HRP152" s="883"/>
      <c r="HRQ152" s="883"/>
      <c r="HRR152" s="883"/>
      <c r="HRS152" s="883"/>
      <c r="HRT152" s="883"/>
      <c r="HRU152" s="883"/>
      <c r="HRV152" s="863"/>
      <c r="HRW152" s="863"/>
      <c r="HRX152" s="863"/>
      <c r="HRY152" s="863"/>
      <c r="HRZ152" s="863"/>
      <c r="HSA152" s="863"/>
      <c r="HSB152" s="863"/>
      <c r="HSC152" s="863"/>
      <c r="HSD152" s="863"/>
      <c r="HSE152" s="863"/>
      <c r="HSF152" s="863"/>
      <c r="HSG152" s="863"/>
      <c r="HSH152" s="863"/>
      <c r="HSI152" s="863"/>
      <c r="HSJ152" s="863"/>
      <c r="HSK152" s="863"/>
      <c r="HSL152" s="863"/>
      <c r="HSM152" s="863"/>
      <c r="HSN152" s="863"/>
      <c r="HSO152" s="863"/>
      <c r="HSP152" s="863"/>
      <c r="HSQ152" s="863"/>
      <c r="HSR152" s="863"/>
      <c r="HSS152" s="883"/>
      <c r="HST152" s="883"/>
      <c r="HSU152" s="883"/>
      <c r="HSV152" s="883"/>
      <c r="HSW152" s="883"/>
      <c r="HSX152" s="883"/>
      <c r="HSY152" s="883"/>
      <c r="HSZ152" s="883"/>
      <c r="HTA152" s="883"/>
      <c r="HTB152" s="863"/>
      <c r="HTC152" s="863"/>
      <c r="HTD152" s="863"/>
      <c r="HTE152" s="863"/>
      <c r="HTF152" s="863"/>
      <c r="HTG152" s="863"/>
      <c r="HTH152" s="863"/>
      <c r="HTI152" s="863"/>
      <c r="HTJ152" s="863"/>
      <c r="HTK152" s="863"/>
      <c r="HTL152" s="863"/>
      <c r="HTM152" s="863"/>
      <c r="HTN152" s="863"/>
      <c r="HTO152" s="863"/>
      <c r="HTP152" s="863"/>
      <c r="HTQ152" s="863"/>
      <c r="HTR152" s="863"/>
      <c r="HTS152" s="863"/>
      <c r="HTT152" s="863"/>
      <c r="HTU152" s="863"/>
      <c r="HTV152" s="863"/>
      <c r="HTW152" s="863"/>
      <c r="HTX152" s="863"/>
      <c r="HTY152" s="883"/>
      <c r="HTZ152" s="883"/>
      <c r="HUA152" s="883"/>
      <c r="HUB152" s="883"/>
      <c r="HUC152" s="883"/>
      <c r="HUD152" s="883"/>
      <c r="HUE152" s="883"/>
      <c r="HUF152" s="883"/>
      <c r="HUG152" s="883"/>
      <c r="HUH152" s="863"/>
      <c r="HUI152" s="863"/>
      <c r="HUJ152" s="863"/>
      <c r="HUK152" s="863"/>
      <c r="HUL152" s="863"/>
      <c r="HUM152" s="863"/>
      <c r="HUN152" s="863"/>
      <c r="HUO152" s="863"/>
      <c r="HUP152" s="863"/>
      <c r="HUQ152" s="863"/>
      <c r="HUR152" s="863"/>
      <c r="HUS152" s="863"/>
      <c r="HUT152" s="863"/>
      <c r="HUU152" s="863"/>
      <c r="HUV152" s="863"/>
      <c r="HUW152" s="863"/>
      <c r="HUX152" s="863"/>
      <c r="HUY152" s="863"/>
      <c r="HUZ152" s="863"/>
      <c r="HVA152" s="863"/>
      <c r="HVB152" s="863"/>
      <c r="HVC152" s="863"/>
      <c r="HVD152" s="863"/>
      <c r="HVE152" s="883"/>
      <c r="HVF152" s="883"/>
      <c r="HVG152" s="883"/>
      <c r="HVH152" s="883"/>
      <c r="HVI152" s="883"/>
      <c r="HVJ152" s="883"/>
      <c r="HVK152" s="883"/>
      <c r="HVL152" s="883"/>
      <c r="HVM152" s="883"/>
      <c r="HVN152" s="863"/>
      <c r="HVO152" s="863"/>
      <c r="HVP152" s="863"/>
      <c r="HVQ152" s="863"/>
      <c r="HVR152" s="863"/>
      <c r="HVS152" s="863"/>
      <c r="HVT152" s="863"/>
      <c r="HVU152" s="863"/>
      <c r="HVV152" s="863"/>
      <c r="HVW152" s="863"/>
      <c r="HVX152" s="863"/>
      <c r="HVY152" s="863"/>
      <c r="HVZ152" s="863"/>
      <c r="HWA152" s="863"/>
      <c r="HWB152" s="863"/>
      <c r="HWC152" s="863"/>
      <c r="HWD152" s="863"/>
      <c r="HWE152" s="863"/>
      <c r="HWF152" s="863"/>
      <c r="HWG152" s="863"/>
      <c r="HWH152" s="863"/>
      <c r="HWI152" s="863"/>
      <c r="HWJ152" s="863"/>
      <c r="HWK152" s="883"/>
      <c r="HWL152" s="883"/>
      <c r="HWM152" s="883"/>
      <c r="HWN152" s="883"/>
      <c r="HWO152" s="883"/>
      <c r="HWP152" s="883"/>
      <c r="HWQ152" s="883"/>
      <c r="HWR152" s="883"/>
      <c r="HWS152" s="883"/>
      <c r="HWT152" s="863"/>
      <c r="HWU152" s="863"/>
      <c r="HWV152" s="863"/>
      <c r="HWW152" s="863"/>
      <c r="HWX152" s="863"/>
      <c r="HWY152" s="863"/>
      <c r="HWZ152" s="863"/>
      <c r="HXA152" s="863"/>
      <c r="HXB152" s="863"/>
      <c r="HXC152" s="863"/>
      <c r="HXD152" s="863"/>
      <c r="HXE152" s="863"/>
      <c r="HXF152" s="863"/>
      <c r="HXG152" s="863"/>
      <c r="HXH152" s="863"/>
      <c r="HXI152" s="863"/>
      <c r="HXJ152" s="863"/>
      <c r="HXK152" s="863"/>
      <c r="HXL152" s="863"/>
      <c r="HXM152" s="863"/>
      <c r="HXN152" s="863"/>
      <c r="HXO152" s="863"/>
      <c r="HXP152" s="863"/>
      <c r="HXQ152" s="883"/>
      <c r="HXR152" s="883"/>
      <c r="HXS152" s="883"/>
      <c r="HXT152" s="883"/>
      <c r="HXU152" s="883"/>
      <c r="HXV152" s="883"/>
      <c r="HXW152" s="883"/>
      <c r="HXX152" s="883"/>
      <c r="HXY152" s="883"/>
      <c r="HXZ152" s="863"/>
      <c r="HYA152" s="863"/>
      <c r="HYB152" s="863"/>
      <c r="HYC152" s="863"/>
      <c r="HYD152" s="863"/>
      <c r="HYE152" s="863"/>
      <c r="HYF152" s="863"/>
      <c r="HYG152" s="863"/>
      <c r="HYH152" s="863"/>
      <c r="HYI152" s="863"/>
      <c r="HYJ152" s="863"/>
      <c r="HYK152" s="863"/>
      <c r="HYL152" s="863"/>
      <c r="HYM152" s="863"/>
      <c r="HYN152" s="863"/>
      <c r="HYO152" s="863"/>
      <c r="HYP152" s="863"/>
      <c r="HYQ152" s="863"/>
      <c r="HYR152" s="863"/>
      <c r="HYS152" s="863"/>
      <c r="HYT152" s="863"/>
      <c r="HYU152" s="863"/>
      <c r="HYV152" s="863"/>
      <c r="HYW152" s="883"/>
      <c r="HYX152" s="883"/>
      <c r="HYY152" s="883"/>
      <c r="HYZ152" s="883"/>
      <c r="HZA152" s="883"/>
      <c r="HZB152" s="883"/>
      <c r="HZC152" s="883"/>
      <c r="HZD152" s="883"/>
      <c r="HZE152" s="883"/>
      <c r="HZF152" s="863"/>
      <c r="HZG152" s="863"/>
      <c r="HZH152" s="863"/>
      <c r="HZI152" s="863"/>
      <c r="HZJ152" s="863"/>
      <c r="HZK152" s="863"/>
      <c r="HZL152" s="863"/>
      <c r="HZM152" s="863"/>
      <c r="HZN152" s="863"/>
      <c r="HZO152" s="863"/>
      <c r="HZP152" s="863"/>
      <c r="HZQ152" s="863"/>
      <c r="HZR152" s="863"/>
      <c r="HZS152" s="863"/>
      <c r="HZT152" s="863"/>
      <c r="HZU152" s="863"/>
      <c r="HZV152" s="863"/>
      <c r="HZW152" s="863"/>
      <c r="HZX152" s="863"/>
      <c r="HZY152" s="863"/>
      <c r="HZZ152" s="863"/>
      <c r="IAA152" s="863"/>
      <c r="IAB152" s="863"/>
      <c r="IAC152" s="883"/>
      <c r="IAD152" s="883"/>
      <c r="IAE152" s="883"/>
      <c r="IAF152" s="883"/>
      <c r="IAG152" s="883"/>
      <c r="IAH152" s="883"/>
      <c r="IAI152" s="883"/>
      <c r="IAJ152" s="883"/>
      <c r="IAK152" s="883"/>
      <c r="IAL152" s="863"/>
      <c r="IAM152" s="863"/>
      <c r="IAN152" s="863"/>
      <c r="IAO152" s="863"/>
      <c r="IAP152" s="863"/>
      <c r="IAQ152" s="863"/>
      <c r="IAR152" s="863"/>
      <c r="IAS152" s="863"/>
      <c r="IAT152" s="863"/>
      <c r="IAU152" s="863"/>
      <c r="IAV152" s="863"/>
      <c r="IAW152" s="863"/>
      <c r="IAX152" s="863"/>
      <c r="IAY152" s="863"/>
      <c r="IAZ152" s="863"/>
      <c r="IBA152" s="863"/>
      <c r="IBB152" s="863"/>
      <c r="IBC152" s="863"/>
      <c r="IBD152" s="863"/>
      <c r="IBE152" s="863"/>
      <c r="IBF152" s="863"/>
      <c r="IBG152" s="863"/>
      <c r="IBH152" s="863"/>
      <c r="IBI152" s="883"/>
      <c r="IBJ152" s="883"/>
      <c r="IBK152" s="883"/>
      <c r="IBL152" s="883"/>
      <c r="IBM152" s="883"/>
      <c r="IBN152" s="883"/>
      <c r="IBO152" s="883"/>
      <c r="IBP152" s="883"/>
      <c r="IBQ152" s="883"/>
      <c r="IBR152" s="863"/>
      <c r="IBS152" s="863"/>
      <c r="IBT152" s="863"/>
      <c r="IBU152" s="863"/>
      <c r="IBV152" s="863"/>
      <c r="IBW152" s="863"/>
      <c r="IBX152" s="863"/>
      <c r="IBY152" s="863"/>
      <c r="IBZ152" s="863"/>
      <c r="ICA152" s="863"/>
      <c r="ICB152" s="863"/>
      <c r="ICC152" s="863"/>
      <c r="ICD152" s="863"/>
      <c r="ICE152" s="863"/>
      <c r="ICF152" s="863"/>
      <c r="ICG152" s="863"/>
      <c r="ICH152" s="863"/>
      <c r="ICI152" s="863"/>
      <c r="ICJ152" s="863"/>
      <c r="ICK152" s="863"/>
      <c r="ICL152" s="863"/>
      <c r="ICM152" s="863"/>
      <c r="ICN152" s="863"/>
      <c r="ICO152" s="883"/>
      <c r="ICP152" s="883"/>
      <c r="ICQ152" s="883"/>
      <c r="ICR152" s="883"/>
      <c r="ICS152" s="883"/>
      <c r="ICT152" s="883"/>
      <c r="ICU152" s="883"/>
      <c r="ICV152" s="883"/>
      <c r="ICW152" s="883"/>
      <c r="ICX152" s="863"/>
      <c r="ICY152" s="863"/>
      <c r="ICZ152" s="863"/>
      <c r="IDA152" s="863"/>
      <c r="IDB152" s="863"/>
      <c r="IDC152" s="863"/>
      <c r="IDD152" s="863"/>
      <c r="IDE152" s="863"/>
      <c r="IDF152" s="863"/>
      <c r="IDG152" s="863"/>
      <c r="IDH152" s="863"/>
      <c r="IDI152" s="863"/>
      <c r="IDJ152" s="863"/>
      <c r="IDK152" s="863"/>
      <c r="IDL152" s="863"/>
      <c r="IDM152" s="863"/>
      <c r="IDN152" s="863"/>
      <c r="IDO152" s="863"/>
      <c r="IDP152" s="863"/>
      <c r="IDQ152" s="863"/>
      <c r="IDR152" s="863"/>
      <c r="IDS152" s="863"/>
      <c r="IDT152" s="863"/>
      <c r="IDU152" s="883"/>
      <c r="IDV152" s="883"/>
      <c r="IDW152" s="883"/>
      <c r="IDX152" s="883"/>
      <c r="IDY152" s="883"/>
      <c r="IDZ152" s="883"/>
      <c r="IEA152" s="883"/>
      <c r="IEB152" s="883"/>
      <c r="IEC152" s="883"/>
      <c r="IED152" s="863"/>
      <c r="IEE152" s="863"/>
      <c r="IEF152" s="863"/>
      <c r="IEG152" s="863"/>
      <c r="IEH152" s="863"/>
      <c r="IEI152" s="863"/>
      <c r="IEJ152" s="863"/>
      <c r="IEK152" s="863"/>
      <c r="IEL152" s="863"/>
      <c r="IEM152" s="863"/>
      <c r="IEN152" s="863"/>
      <c r="IEO152" s="863"/>
      <c r="IEP152" s="863"/>
      <c r="IEQ152" s="863"/>
      <c r="IER152" s="863"/>
      <c r="IES152" s="863"/>
      <c r="IET152" s="863"/>
      <c r="IEU152" s="863"/>
      <c r="IEV152" s="863"/>
      <c r="IEW152" s="863"/>
      <c r="IEX152" s="863"/>
      <c r="IEY152" s="863"/>
      <c r="IEZ152" s="863"/>
      <c r="IFA152" s="883"/>
      <c r="IFB152" s="883"/>
      <c r="IFC152" s="883"/>
      <c r="IFD152" s="883"/>
      <c r="IFE152" s="883"/>
      <c r="IFF152" s="883"/>
      <c r="IFG152" s="883"/>
      <c r="IFH152" s="883"/>
      <c r="IFI152" s="883"/>
      <c r="IFJ152" s="863"/>
      <c r="IFK152" s="863"/>
      <c r="IFL152" s="863"/>
      <c r="IFM152" s="863"/>
      <c r="IFN152" s="863"/>
      <c r="IFO152" s="863"/>
      <c r="IFP152" s="863"/>
      <c r="IFQ152" s="863"/>
      <c r="IFR152" s="863"/>
      <c r="IFS152" s="863"/>
      <c r="IFT152" s="863"/>
      <c r="IFU152" s="863"/>
      <c r="IFV152" s="863"/>
      <c r="IFW152" s="863"/>
      <c r="IFX152" s="863"/>
      <c r="IFY152" s="863"/>
      <c r="IFZ152" s="863"/>
      <c r="IGA152" s="863"/>
      <c r="IGB152" s="863"/>
      <c r="IGC152" s="863"/>
      <c r="IGD152" s="863"/>
      <c r="IGE152" s="863"/>
      <c r="IGF152" s="863"/>
      <c r="IGG152" s="883"/>
      <c r="IGH152" s="883"/>
      <c r="IGI152" s="883"/>
      <c r="IGJ152" s="883"/>
      <c r="IGK152" s="883"/>
      <c r="IGL152" s="883"/>
      <c r="IGM152" s="883"/>
      <c r="IGN152" s="883"/>
      <c r="IGO152" s="883"/>
      <c r="IGP152" s="863"/>
      <c r="IGQ152" s="863"/>
      <c r="IGR152" s="863"/>
      <c r="IGS152" s="863"/>
      <c r="IGT152" s="863"/>
      <c r="IGU152" s="863"/>
      <c r="IGV152" s="863"/>
      <c r="IGW152" s="863"/>
      <c r="IGX152" s="863"/>
      <c r="IGY152" s="863"/>
      <c r="IGZ152" s="863"/>
      <c r="IHA152" s="863"/>
      <c r="IHB152" s="863"/>
      <c r="IHC152" s="863"/>
      <c r="IHD152" s="863"/>
      <c r="IHE152" s="863"/>
      <c r="IHF152" s="863"/>
      <c r="IHG152" s="863"/>
      <c r="IHH152" s="863"/>
      <c r="IHI152" s="863"/>
      <c r="IHJ152" s="863"/>
      <c r="IHK152" s="863"/>
      <c r="IHL152" s="863"/>
      <c r="IHM152" s="883"/>
      <c r="IHN152" s="883"/>
      <c r="IHO152" s="883"/>
      <c r="IHP152" s="883"/>
      <c r="IHQ152" s="883"/>
      <c r="IHR152" s="883"/>
      <c r="IHS152" s="883"/>
      <c r="IHT152" s="883"/>
      <c r="IHU152" s="883"/>
      <c r="IHV152" s="863"/>
      <c r="IHW152" s="863"/>
      <c r="IHX152" s="863"/>
      <c r="IHY152" s="863"/>
      <c r="IHZ152" s="863"/>
      <c r="IIA152" s="863"/>
      <c r="IIB152" s="863"/>
      <c r="IIC152" s="863"/>
      <c r="IID152" s="863"/>
      <c r="IIE152" s="863"/>
      <c r="IIF152" s="863"/>
      <c r="IIG152" s="863"/>
      <c r="IIH152" s="863"/>
      <c r="III152" s="863"/>
      <c r="IIJ152" s="863"/>
      <c r="IIK152" s="863"/>
      <c r="IIL152" s="863"/>
      <c r="IIM152" s="863"/>
      <c r="IIN152" s="863"/>
      <c r="IIO152" s="863"/>
      <c r="IIP152" s="863"/>
      <c r="IIQ152" s="863"/>
      <c r="IIR152" s="863"/>
      <c r="IIS152" s="883"/>
      <c r="IIT152" s="883"/>
      <c r="IIU152" s="883"/>
      <c r="IIV152" s="883"/>
      <c r="IIW152" s="883"/>
      <c r="IIX152" s="883"/>
      <c r="IIY152" s="883"/>
      <c r="IIZ152" s="883"/>
      <c r="IJA152" s="883"/>
      <c r="IJB152" s="863"/>
      <c r="IJC152" s="863"/>
      <c r="IJD152" s="863"/>
      <c r="IJE152" s="863"/>
      <c r="IJF152" s="863"/>
      <c r="IJG152" s="863"/>
      <c r="IJH152" s="863"/>
      <c r="IJI152" s="863"/>
      <c r="IJJ152" s="863"/>
      <c r="IJK152" s="863"/>
      <c r="IJL152" s="863"/>
      <c r="IJM152" s="863"/>
      <c r="IJN152" s="863"/>
      <c r="IJO152" s="863"/>
      <c r="IJP152" s="863"/>
      <c r="IJQ152" s="863"/>
      <c r="IJR152" s="863"/>
      <c r="IJS152" s="863"/>
      <c r="IJT152" s="863"/>
      <c r="IJU152" s="863"/>
      <c r="IJV152" s="863"/>
      <c r="IJW152" s="863"/>
      <c r="IJX152" s="863"/>
      <c r="IJY152" s="883"/>
      <c r="IJZ152" s="883"/>
      <c r="IKA152" s="883"/>
      <c r="IKB152" s="883"/>
      <c r="IKC152" s="883"/>
      <c r="IKD152" s="883"/>
      <c r="IKE152" s="883"/>
      <c r="IKF152" s="883"/>
      <c r="IKG152" s="883"/>
      <c r="IKH152" s="863"/>
      <c r="IKI152" s="863"/>
      <c r="IKJ152" s="863"/>
      <c r="IKK152" s="863"/>
      <c r="IKL152" s="863"/>
      <c r="IKM152" s="863"/>
      <c r="IKN152" s="863"/>
      <c r="IKO152" s="863"/>
      <c r="IKP152" s="863"/>
      <c r="IKQ152" s="863"/>
      <c r="IKR152" s="863"/>
      <c r="IKS152" s="863"/>
      <c r="IKT152" s="863"/>
      <c r="IKU152" s="863"/>
      <c r="IKV152" s="863"/>
      <c r="IKW152" s="863"/>
      <c r="IKX152" s="863"/>
      <c r="IKY152" s="863"/>
      <c r="IKZ152" s="863"/>
      <c r="ILA152" s="863"/>
      <c r="ILB152" s="863"/>
      <c r="ILC152" s="863"/>
      <c r="ILD152" s="863"/>
      <c r="ILE152" s="883"/>
      <c r="ILF152" s="883"/>
      <c r="ILG152" s="883"/>
      <c r="ILH152" s="883"/>
      <c r="ILI152" s="883"/>
      <c r="ILJ152" s="883"/>
      <c r="ILK152" s="883"/>
      <c r="ILL152" s="883"/>
      <c r="ILM152" s="883"/>
      <c r="ILN152" s="863"/>
      <c r="ILO152" s="863"/>
      <c r="ILP152" s="863"/>
      <c r="ILQ152" s="863"/>
      <c r="ILR152" s="863"/>
      <c r="ILS152" s="863"/>
      <c r="ILT152" s="863"/>
      <c r="ILU152" s="863"/>
      <c r="ILV152" s="863"/>
      <c r="ILW152" s="863"/>
      <c r="ILX152" s="863"/>
      <c r="ILY152" s="863"/>
      <c r="ILZ152" s="863"/>
      <c r="IMA152" s="863"/>
      <c r="IMB152" s="863"/>
      <c r="IMC152" s="863"/>
      <c r="IMD152" s="863"/>
      <c r="IME152" s="863"/>
      <c r="IMF152" s="863"/>
      <c r="IMG152" s="863"/>
      <c r="IMH152" s="863"/>
      <c r="IMI152" s="863"/>
      <c r="IMJ152" s="863"/>
      <c r="IMK152" s="883"/>
      <c r="IML152" s="883"/>
      <c r="IMM152" s="883"/>
      <c r="IMN152" s="883"/>
      <c r="IMO152" s="883"/>
      <c r="IMP152" s="883"/>
      <c r="IMQ152" s="883"/>
      <c r="IMR152" s="883"/>
      <c r="IMS152" s="883"/>
      <c r="IMT152" s="863"/>
      <c r="IMU152" s="863"/>
      <c r="IMV152" s="863"/>
      <c r="IMW152" s="863"/>
      <c r="IMX152" s="863"/>
      <c r="IMY152" s="863"/>
      <c r="IMZ152" s="863"/>
      <c r="INA152" s="863"/>
      <c r="INB152" s="863"/>
      <c r="INC152" s="863"/>
      <c r="IND152" s="863"/>
      <c r="INE152" s="863"/>
      <c r="INF152" s="863"/>
      <c r="ING152" s="863"/>
      <c r="INH152" s="863"/>
      <c r="INI152" s="863"/>
      <c r="INJ152" s="863"/>
      <c r="INK152" s="863"/>
      <c r="INL152" s="863"/>
      <c r="INM152" s="863"/>
      <c r="INN152" s="863"/>
      <c r="INO152" s="863"/>
      <c r="INP152" s="863"/>
      <c r="INQ152" s="883"/>
      <c r="INR152" s="883"/>
      <c r="INS152" s="883"/>
      <c r="INT152" s="883"/>
      <c r="INU152" s="883"/>
      <c r="INV152" s="883"/>
      <c r="INW152" s="883"/>
      <c r="INX152" s="883"/>
      <c r="INY152" s="883"/>
      <c r="INZ152" s="863"/>
      <c r="IOA152" s="863"/>
      <c r="IOB152" s="863"/>
      <c r="IOC152" s="863"/>
      <c r="IOD152" s="863"/>
      <c r="IOE152" s="863"/>
      <c r="IOF152" s="863"/>
      <c r="IOG152" s="863"/>
      <c r="IOH152" s="863"/>
      <c r="IOI152" s="863"/>
      <c r="IOJ152" s="863"/>
      <c r="IOK152" s="863"/>
      <c r="IOL152" s="863"/>
      <c r="IOM152" s="863"/>
      <c r="ION152" s="863"/>
      <c r="IOO152" s="863"/>
      <c r="IOP152" s="863"/>
      <c r="IOQ152" s="863"/>
      <c r="IOR152" s="863"/>
      <c r="IOS152" s="863"/>
      <c r="IOT152" s="863"/>
      <c r="IOU152" s="863"/>
      <c r="IOV152" s="863"/>
      <c r="IOW152" s="883"/>
      <c r="IOX152" s="883"/>
      <c r="IOY152" s="883"/>
      <c r="IOZ152" s="883"/>
      <c r="IPA152" s="883"/>
      <c r="IPB152" s="883"/>
      <c r="IPC152" s="883"/>
      <c r="IPD152" s="883"/>
      <c r="IPE152" s="883"/>
      <c r="IPF152" s="863"/>
      <c r="IPG152" s="863"/>
      <c r="IPH152" s="863"/>
      <c r="IPI152" s="863"/>
      <c r="IPJ152" s="863"/>
      <c r="IPK152" s="863"/>
      <c r="IPL152" s="863"/>
      <c r="IPM152" s="863"/>
      <c r="IPN152" s="863"/>
      <c r="IPO152" s="863"/>
      <c r="IPP152" s="863"/>
      <c r="IPQ152" s="863"/>
      <c r="IPR152" s="863"/>
      <c r="IPS152" s="863"/>
      <c r="IPT152" s="863"/>
      <c r="IPU152" s="863"/>
      <c r="IPV152" s="863"/>
      <c r="IPW152" s="863"/>
      <c r="IPX152" s="863"/>
      <c r="IPY152" s="863"/>
      <c r="IPZ152" s="863"/>
      <c r="IQA152" s="863"/>
      <c r="IQB152" s="863"/>
      <c r="IQC152" s="883"/>
      <c r="IQD152" s="883"/>
      <c r="IQE152" s="883"/>
      <c r="IQF152" s="883"/>
      <c r="IQG152" s="883"/>
      <c r="IQH152" s="883"/>
      <c r="IQI152" s="883"/>
      <c r="IQJ152" s="883"/>
      <c r="IQK152" s="883"/>
      <c r="IQL152" s="863"/>
      <c r="IQM152" s="863"/>
      <c r="IQN152" s="863"/>
      <c r="IQO152" s="863"/>
      <c r="IQP152" s="863"/>
      <c r="IQQ152" s="863"/>
      <c r="IQR152" s="863"/>
      <c r="IQS152" s="863"/>
      <c r="IQT152" s="863"/>
      <c r="IQU152" s="863"/>
      <c r="IQV152" s="863"/>
      <c r="IQW152" s="863"/>
      <c r="IQX152" s="863"/>
      <c r="IQY152" s="863"/>
      <c r="IQZ152" s="863"/>
      <c r="IRA152" s="863"/>
      <c r="IRB152" s="863"/>
      <c r="IRC152" s="863"/>
      <c r="IRD152" s="863"/>
      <c r="IRE152" s="863"/>
      <c r="IRF152" s="863"/>
      <c r="IRG152" s="863"/>
      <c r="IRH152" s="863"/>
      <c r="IRI152" s="883"/>
      <c r="IRJ152" s="883"/>
      <c r="IRK152" s="883"/>
      <c r="IRL152" s="883"/>
      <c r="IRM152" s="883"/>
      <c r="IRN152" s="883"/>
      <c r="IRO152" s="883"/>
      <c r="IRP152" s="883"/>
      <c r="IRQ152" s="883"/>
      <c r="IRR152" s="863"/>
      <c r="IRS152" s="863"/>
      <c r="IRT152" s="863"/>
      <c r="IRU152" s="863"/>
      <c r="IRV152" s="863"/>
      <c r="IRW152" s="863"/>
      <c r="IRX152" s="863"/>
      <c r="IRY152" s="863"/>
      <c r="IRZ152" s="863"/>
      <c r="ISA152" s="863"/>
      <c r="ISB152" s="863"/>
      <c r="ISC152" s="863"/>
      <c r="ISD152" s="863"/>
      <c r="ISE152" s="863"/>
      <c r="ISF152" s="863"/>
      <c r="ISG152" s="863"/>
      <c r="ISH152" s="863"/>
      <c r="ISI152" s="863"/>
      <c r="ISJ152" s="863"/>
      <c r="ISK152" s="863"/>
      <c r="ISL152" s="863"/>
      <c r="ISM152" s="863"/>
      <c r="ISN152" s="863"/>
      <c r="ISO152" s="883"/>
      <c r="ISP152" s="883"/>
      <c r="ISQ152" s="883"/>
      <c r="ISR152" s="883"/>
      <c r="ISS152" s="883"/>
      <c r="IST152" s="883"/>
      <c r="ISU152" s="883"/>
      <c r="ISV152" s="883"/>
      <c r="ISW152" s="883"/>
      <c r="ISX152" s="863"/>
      <c r="ISY152" s="863"/>
      <c r="ISZ152" s="863"/>
      <c r="ITA152" s="863"/>
      <c r="ITB152" s="863"/>
      <c r="ITC152" s="863"/>
      <c r="ITD152" s="863"/>
      <c r="ITE152" s="863"/>
      <c r="ITF152" s="863"/>
      <c r="ITG152" s="863"/>
      <c r="ITH152" s="863"/>
      <c r="ITI152" s="863"/>
      <c r="ITJ152" s="863"/>
      <c r="ITK152" s="863"/>
      <c r="ITL152" s="863"/>
      <c r="ITM152" s="863"/>
      <c r="ITN152" s="863"/>
      <c r="ITO152" s="863"/>
      <c r="ITP152" s="863"/>
      <c r="ITQ152" s="863"/>
      <c r="ITR152" s="863"/>
      <c r="ITS152" s="863"/>
      <c r="ITT152" s="863"/>
      <c r="ITU152" s="883"/>
      <c r="ITV152" s="883"/>
      <c r="ITW152" s="883"/>
      <c r="ITX152" s="883"/>
      <c r="ITY152" s="883"/>
      <c r="ITZ152" s="883"/>
      <c r="IUA152" s="883"/>
      <c r="IUB152" s="883"/>
      <c r="IUC152" s="883"/>
      <c r="IUD152" s="863"/>
      <c r="IUE152" s="863"/>
      <c r="IUF152" s="863"/>
      <c r="IUG152" s="863"/>
      <c r="IUH152" s="863"/>
      <c r="IUI152" s="863"/>
      <c r="IUJ152" s="863"/>
      <c r="IUK152" s="863"/>
      <c r="IUL152" s="863"/>
      <c r="IUM152" s="863"/>
      <c r="IUN152" s="863"/>
      <c r="IUO152" s="863"/>
      <c r="IUP152" s="863"/>
      <c r="IUQ152" s="863"/>
      <c r="IUR152" s="863"/>
      <c r="IUS152" s="863"/>
      <c r="IUT152" s="863"/>
      <c r="IUU152" s="863"/>
      <c r="IUV152" s="863"/>
      <c r="IUW152" s="863"/>
      <c r="IUX152" s="863"/>
      <c r="IUY152" s="863"/>
      <c r="IUZ152" s="863"/>
      <c r="IVA152" s="883"/>
      <c r="IVB152" s="883"/>
      <c r="IVC152" s="883"/>
      <c r="IVD152" s="883"/>
      <c r="IVE152" s="883"/>
      <c r="IVF152" s="883"/>
      <c r="IVG152" s="883"/>
      <c r="IVH152" s="883"/>
      <c r="IVI152" s="883"/>
      <c r="IVJ152" s="863"/>
      <c r="IVK152" s="863"/>
      <c r="IVL152" s="863"/>
      <c r="IVM152" s="863"/>
      <c r="IVN152" s="863"/>
      <c r="IVO152" s="863"/>
      <c r="IVP152" s="863"/>
      <c r="IVQ152" s="863"/>
      <c r="IVR152" s="863"/>
      <c r="IVS152" s="863"/>
      <c r="IVT152" s="863"/>
      <c r="IVU152" s="863"/>
      <c r="IVV152" s="863"/>
      <c r="IVW152" s="863"/>
      <c r="IVX152" s="863"/>
      <c r="IVY152" s="863"/>
      <c r="IVZ152" s="863"/>
      <c r="IWA152" s="863"/>
      <c r="IWB152" s="863"/>
      <c r="IWC152" s="863"/>
      <c r="IWD152" s="863"/>
      <c r="IWE152" s="863"/>
      <c r="IWF152" s="863"/>
      <c r="IWG152" s="883"/>
      <c r="IWH152" s="883"/>
      <c r="IWI152" s="883"/>
      <c r="IWJ152" s="883"/>
      <c r="IWK152" s="883"/>
      <c r="IWL152" s="883"/>
      <c r="IWM152" s="883"/>
      <c r="IWN152" s="883"/>
      <c r="IWO152" s="883"/>
      <c r="IWP152" s="863"/>
      <c r="IWQ152" s="863"/>
      <c r="IWR152" s="863"/>
      <c r="IWS152" s="863"/>
      <c r="IWT152" s="863"/>
      <c r="IWU152" s="863"/>
      <c r="IWV152" s="863"/>
      <c r="IWW152" s="863"/>
      <c r="IWX152" s="863"/>
      <c r="IWY152" s="863"/>
      <c r="IWZ152" s="863"/>
      <c r="IXA152" s="863"/>
      <c r="IXB152" s="863"/>
      <c r="IXC152" s="863"/>
      <c r="IXD152" s="863"/>
      <c r="IXE152" s="863"/>
      <c r="IXF152" s="863"/>
      <c r="IXG152" s="863"/>
      <c r="IXH152" s="863"/>
      <c r="IXI152" s="863"/>
      <c r="IXJ152" s="863"/>
      <c r="IXK152" s="863"/>
      <c r="IXL152" s="863"/>
      <c r="IXM152" s="883"/>
      <c r="IXN152" s="883"/>
      <c r="IXO152" s="883"/>
      <c r="IXP152" s="883"/>
      <c r="IXQ152" s="883"/>
      <c r="IXR152" s="883"/>
      <c r="IXS152" s="883"/>
      <c r="IXT152" s="883"/>
      <c r="IXU152" s="883"/>
      <c r="IXV152" s="863"/>
      <c r="IXW152" s="863"/>
      <c r="IXX152" s="863"/>
      <c r="IXY152" s="863"/>
      <c r="IXZ152" s="863"/>
      <c r="IYA152" s="863"/>
      <c r="IYB152" s="863"/>
      <c r="IYC152" s="863"/>
      <c r="IYD152" s="863"/>
      <c r="IYE152" s="863"/>
      <c r="IYF152" s="863"/>
      <c r="IYG152" s="863"/>
      <c r="IYH152" s="863"/>
      <c r="IYI152" s="863"/>
      <c r="IYJ152" s="863"/>
      <c r="IYK152" s="863"/>
      <c r="IYL152" s="863"/>
      <c r="IYM152" s="863"/>
      <c r="IYN152" s="863"/>
      <c r="IYO152" s="863"/>
      <c r="IYP152" s="863"/>
      <c r="IYQ152" s="863"/>
      <c r="IYR152" s="863"/>
      <c r="IYS152" s="883"/>
      <c r="IYT152" s="883"/>
      <c r="IYU152" s="883"/>
      <c r="IYV152" s="883"/>
      <c r="IYW152" s="883"/>
      <c r="IYX152" s="883"/>
      <c r="IYY152" s="883"/>
      <c r="IYZ152" s="883"/>
      <c r="IZA152" s="883"/>
      <c r="IZB152" s="863"/>
      <c r="IZC152" s="863"/>
      <c r="IZD152" s="863"/>
      <c r="IZE152" s="863"/>
      <c r="IZF152" s="863"/>
      <c r="IZG152" s="863"/>
      <c r="IZH152" s="863"/>
      <c r="IZI152" s="863"/>
      <c r="IZJ152" s="863"/>
      <c r="IZK152" s="863"/>
      <c r="IZL152" s="863"/>
      <c r="IZM152" s="863"/>
      <c r="IZN152" s="863"/>
      <c r="IZO152" s="863"/>
      <c r="IZP152" s="863"/>
      <c r="IZQ152" s="863"/>
      <c r="IZR152" s="863"/>
      <c r="IZS152" s="863"/>
      <c r="IZT152" s="863"/>
      <c r="IZU152" s="863"/>
      <c r="IZV152" s="863"/>
      <c r="IZW152" s="863"/>
      <c r="IZX152" s="863"/>
      <c r="IZY152" s="883"/>
      <c r="IZZ152" s="883"/>
      <c r="JAA152" s="883"/>
      <c r="JAB152" s="883"/>
      <c r="JAC152" s="883"/>
      <c r="JAD152" s="883"/>
      <c r="JAE152" s="883"/>
      <c r="JAF152" s="883"/>
      <c r="JAG152" s="883"/>
      <c r="JAH152" s="863"/>
      <c r="JAI152" s="863"/>
      <c r="JAJ152" s="863"/>
      <c r="JAK152" s="863"/>
      <c r="JAL152" s="863"/>
      <c r="JAM152" s="863"/>
      <c r="JAN152" s="863"/>
      <c r="JAO152" s="863"/>
      <c r="JAP152" s="863"/>
      <c r="JAQ152" s="863"/>
      <c r="JAR152" s="863"/>
      <c r="JAS152" s="863"/>
      <c r="JAT152" s="863"/>
      <c r="JAU152" s="863"/>
      <c r="JAV152" s="863"/>
      <c r="JAW152" s="863"/>
      <c r="JAX152" s="863"/>
      <c r="JAY152" s="863"/>
      <c r="JAZ152" s="863"/>
      <c r="JBA152" s="863"/>
      <c r="JBB152" s="863"/>
      <c r="JBC152" s="863"/>
      <c r="JBD152" s="863"/>
      <c r="JBE152" s="883"/>
      <c r="JBF152" s="883"/>
      <c r="JBG152" s="883"/>
      <c r="JBH152" s="883"/>
      <c r="JBI152" s="883"/>
      <c r="JBJ152" s="883"/>
      <c r="JBK152" s="883"/>
      <c r="JBL152" s="883"/>
      <c r="JBM152" s="883"/>
      <c r="JBN152" s="863"/>
      <c r="JBO152" s="863"/>
      <c r="JBP152" s="863"/>
      <c r="JBQ152" s="863"/>
      <c r="JBR152" s="863"/>
      <c r="JBS152" s="863"/>
      <c r="JBT152" s="863"/>
      <c r="JBU152" s="863"/>
      <c r="JBV152" s="863"/>
      <c r="JBW152" s="863"/>
      <c r="JBX152" s="863"/>
      <c r="JBY152" s="863"/>
      <c r="JBZ152" s="863"/>
      <c r="JCA152" s="863"/>
      <c r="JCB152" s="863"/>
      <c r="JCC152" s="863"/>
      <c r="JCD152" s="863"/>
      <c r="JCE152" s="863"/>
      <c r="JCF152" s="863"/>
      <c r="JCG152" s="863"/>
      <c r="JCH152" s="863"/>
      <c r="JCI152" s="863"/>
      <c r="JCJ152" s="863"/>
      <c r="JCK152" s="883"/>
      <c r="JCL152" s="883"/>
      <c r="JCM152" s="883"/>
      <c r="JCN152" s="883"/>
      <c r="JCO152" s="883"/>
      <c r="JCP152" s="883"/>
      <c r="JCQ152" s="883"/>
      <c r="JCR152" s="883"/>
      <c r="JCS152" s="883"/>
      <c r="JCT152" s="863"/>
      <c r="JCU152" s="863"/>
      <c r="JCV152" s="863"/>
      <c r="JCW152" s="863"/>
      <c r="JCX152" s="863"/>
      <c r="JCY152" s="863"/>
      <c r="JCZ152" s="863"/>
      <c r="JDA152" s="863"/>
      <c r="JDB152" s="863"/>
      <c r="JDC152" s="863"/>
      <c r="JDD152" s="863"/>
      <c r="JDE152" s="863"/>
      <c r="JDF152" s="863"/>
      <c r="JDG152" s="863"/>
      <c r="JDH152" s="863"/>
      <c r="JDI152" s="863"/>
      <c r="JDJ152" s="863"/>
      <c r="JDK152" s="863"/>
      <c r="JDL152" s="863"/>
      <c r="JDM152" s="863"/>
      <c r="JDN152" s="863"/>
      <c r="JDO152" s="863"/>
      <c r="JDP152" s="863"/>
      <c r="JDQ152" s="883"/>
      <c r="JDR152" s="883"/>
      <c r="JDS152" s="883"/>
      <c r="JDT152" s="883"/>
      <c r="JDU152" s="883"/>
      <c r="JDV152" s="883"/>
      <c r="JDW152" s="883"/>
      <c r="JDX152" s="883"/>
      <c r="JDY152" s="883"/>
      <c r="JDZ152" s="863"/>
      <c r="JEA152" s="863"/>
      <c r="JEB152" s="863"/>
      <c r="JEC152" s="863"/>
      <c r="JED152" s="863"/>
      <c r="JEE152" s="863"/>
      <c r="JEF152" s="863"/>
      <c r="JEG152" s="863"/>
      <c r="JEH152" s="863"/>
      <c r="JEI152" s="863"/>
      <c r="JEJ152" s="863"/>
      <c r="JEK152" s="863"/>
      <c r="JEL152" s="863"/>
      <c r="JEM152" s="863"/>
      <c r="JEN152" s="863"/>
      <c r="JEO152" s="863"/>
      <c r="JEP152" s="863"/>
      <c r="JEQ152" s="863"/>
      <c r="JER152" s="863"/>
      <c r="JES152" s="863"/>
      <c r="JET152" s="863"/>
      <c r="JEU152" s="863"/>
      <c r="JEV152" s="863"/>
      <c r="JEW152" s="883"/>
      <c r="JEX152" s="883"/>
      <c r="JEY152" s="883"/>
      <c r="JEZ152" s="883"/>
      <c r="JFA152" s="883"/>
      <c r="JFB152" s="883"/>
      <c r="JFC152" s="883"/>
      <c r="JFD152" s="883"/>
      <c r="JFE152" s="883"/>
      <c r="JFF152" s="863"/>
      <c r="JFG152" s="863"/>
      <c r="JFH152" s="863"/>
      <c r="JFI152" s="863"/>
      <c r="JFJ152" s="863"/>
      <c r="JFK152" s="863"/>
      <c r="JFL152" s="863"/>
      <c r="JFM152" s="863"/>
      <c r="JFN152" s="863"/>
      <c r="JFO152" s="863"/>
      <c r="JFP152" s="863"/>
      <c r="JFQ152" s="863"/>
      <c r="JFR152" s="863"/>
      <c r="JFS152" s="863"/>
      <c r="JFT152" s="863"/>
      <c r="JFU152" s="863"/>
      <c r="JFV152" s="863"/>
      <c r="JFW152" s="863"/>
      <c r="JFX152" s="863"/>
      <c r="JFY152" s="863"/>
      <c r="JFZ152" s="863"/>
      <c r="JGA152" s="863"/>
      <c r="JGB152" s="863"/>
      <c r="JGC152" s="883"/>
      <c r="JGD152" s="883"/>
      <c r="JGE152" s="883"/>
      <c r="JGF152" s="883"/>
      <c r="JGG152" s="883"/>
      <c r="JGH152" s="883"/>
      <c r="JGI152" s="883"/>
      <c r="JGJ152" s="883"/>
      <c r="JGK152" s="883"/>
      <c r="JGL152" s="863"/>
      <c r="JGM152" s="863"/>
      <c r="JGN152" s="863"/>
      <c r="JGO152" s="863"/>
      <c r="JGP152" s="863"/>
      <c r="JGQ152" s="863"/>
      <c r="JGR152" s="863"/>
      <c r="JGS152" s="863"/>
      <c r="JGT152" s="863"/>
      <c r="JGU152" s="863"/>
      <c r="JGV152" s="863"/>
      <c r="JGW152" s="863"/>
      <c r="JGX152" s="863"/>
      <c r="JGY152" s="863"/>
      <c r="JGZ152" s="863"/>
      <c r="JHA152" s="863"/>
      <c r="JHB152" s="863"/>
      <c r="JHC152" s="863"/>
      <c r="JHD152" s="863"/>
      <c r="JHE152" s="863"/>
      <c r="JHF152" s="863"/>
      <c r="JHG152" s="863"/>
      <c r="JHH152" s="863"/>
      <c r="JHI152" s="883"/>
      <c r="JHJ152" s="883"/>
      <c r="JHK152" s="883"/>
      <c r="JHL152" s="883"/>
      <c r="JHM152" s="883"/>
      <c r="JHN152" s="883"/>
      <c r="JHO152" s="883"/>
      <c r="JHP152" s="883"/>
      <c r="JHQ152" s="883"/>
      <c r="JHR152" s="863"/>
      <c r="JHS152" s="863"/>
      <c r="JHT152" s="863"/>
      <c r="JHU152" s="863"/>
      <c r="JHV152" s="863"/>
      <c r="JHW152" s="863"/>
      <c r="JHX152" s="863"/>
      <c r="JHY152" s="863"/>
      <c r="JHZ152" s="863"/>
      <c r="JIA152" s="863"/>
      <c r="JIB152" s="863"/>
      <c r="JIC152" s="863"/>
      <c r="JID152" s="863"/>
      <c r="JIE152" s="863"/>
      <c r="JIF152" s="863"/>
      <c r="JIG152" s="863"/>
      <c r="JIH152" s="863"/>
      <c r="JII152" s="863"/>
      <c r="JIJ152" s="863"/>
      <c r="JIK152" s="863"/>
      <c r="JIL152" s="863"/>
      <c r="JIM152" s="863"/>
      <c r="JIN152" s="863"/>
      <c r="JIO152" s="883"/>
      <c r="JIP152" s="883"/>
      <c r="JIQ152" s="883"/>
      <c r="JIR152" s="883"/>
      <c r="JIS152" s="883"/>
      <c r="JIT152" s="883"/>
      <c r="JIU152" s="883"/>
      <c r="JIV152" s="883"/>
      <c r="JIW152" s="883"/>
      <c r="JIX152" s="863"/>
      <c r="JIY152" s="863"/>
      <c r="JIZ152" s="863"/>
      <c r="JJA152" s="863"/>
      <c r="JJB152" s="863"/>
      <c r="JJC152" s="863"/>
      <c r="JJD152" s="863"/>
      <c r="JJE152" s="863"/>
      <c r="JJF152" s="863"/>
      <c r="JJG152" s="863"/>
      <c r="JJH152" s="863"/>
      <c r="JJI152" s="863"/>
      <c r="JJJ152" s="863"/>
      <c r="JJK152" s="863"/>
      <c r="JJL152" s="863"/>
      <c r="JJM152" s="863"/>
      <c r="JJN152" s="863"/>
      <c r="JJO152" s="863"/>
      <c r="JJP152" s="863"/>
      <c r="JJQ152" s="863"/>
      <c r="JJR152" s="863"/>
      <c r="JJS152" s="863"/>
      <c r="JJT152" s="863"/>
      <c r="JJU152" s="883"/>
      <c r="JJV152" s="883"/>
      <c r="JJW152" s="883"/>
      <c r="JJX152" s="883"/>
      <c r="JJY152" s="883"/>
      <c r="JJZ152" s="883"/>
      <c r="JKA152" s="883"/>
      <c r="JKB152" s="883"/>
      <c r="JKC152" s="883"/>
      <c r="JKD152" s="863"/>
      <c r="JKE152" s="863"/>
      <c r="JKF152" s="863"/>
      <c r="JKG152" s="863"/>
      <c r="JKH152" s="863"/>
      <c r="JKI152" s="863"/>
      <c r="JKJ152" s="863"/>
      <c r="JKK152" s="863"/>
      <c r="JKL152" s="863"/>
      <c r="JKM152" s="863"/>
      <c r="JKN152" s="863"/>
      <c r="JKO152" s="863"/>
      <c r="JKP152" s="863"/>
      <c r="JKQ152" s="863"/>
      <c r="JKR152" s="863"/>
      <c r="JKS152" s="863"/>
      <c r="JKT152" s="863"/>
      <c r="JKU152" s="863"/>
      <c r="JKV152" s="863"/>
      <c r="JKW152" s="863"/>
      <c r="JKX152" s="863"/>
      <c r="JKY152" s="863"/>
      <c r="JKZ152" s="863"/>
      <c r="JLA152" s="883"/>
      <c r="JLB152" s="883"/>
      <c r="JLC152" s="883"/>
      <c r="JLD152" s="883"/>
      <c r="JLE152" s="883"/>
      <c r="JLF152" s="883"/>
      <c r="JLG152" s="883"/>
      <c r="JLH152" s="883"/>
      <c r="JLI152" s="883"/>
      <c r="JLJ152" s="863"/>
      <c r="JLK152" s="863"/>
      <c r="JLL152" s="863"/>
      <c r="JLM152" s="863"/>
      <c r="JLN152" s="863"/>
      <c r="JLO152" s="863"/>
      <c r="JLP152" s="863"/>
      <c r="JLQ152" s="863"/>
      <c r="JLR152" s="863"/>
      <c r="JLS152" s="863"/>
      <c r="JLT152" s="863"/>
      <c r="JLU152" s="863"/>
      <c r="JLV152" s="863"/>
      <c r="JLW152" s="863"/>
      <c r="JLX152" s="863"/>
      <c r="JLY152" s="863"/>
      <c r="JLZ152" s="863"/>
      <c r="JMA152" s="863"/>
      <c r="JMB152" s="863"/>
      <c r="JMC152" s="863"/>
      <c r="JMD152" s="863"/>
      <c r="JME152" s="863"/>
      <c r="JMF152" s="863"/>
      <c r="JMG152" s="883"/>
      <c r="JMH152" s="883"/>
      <c r="JMI152" s="883"/>
      <c r="JMJ152" s="883"/>
      <c r="JMK152" s="883"/>
      <c r="JML152" s="883"/>
      <c r="JMM152" s="883"/>
      <c r="JMN152" s="883"/>
      <c r="JMO152" s="883"/>
      <c r="JMP152" s="863"/>
      <c r="JMQ152" s="863"/>
      <c r="JMR152" s="863"/>
      <c r="JMS152" s="863"/>
      <c r="JMT152" s="863"/>
      <c r="JMU152" s="863"/>
      <c r="JMV152" s="863"/>
      <c r="JMW152" s="863"/>
      <c r="JMX152" s="863"/>
      <c r="JMY152" s="863"/>
      <c r="JMZ152" s="863"/>
      <c r="JNA152" s="863"/>
      <c r="JNB152" s="863"/>
      <c r="JNC152" s="863"/>
      <c r="JND152" s="863"/>
      <c r="JNE152" s="863"/>
      <c r="JNF152" s="863"/>
      <c r="JNG152" s="863"/>
      <c r="JNH152" s="863"/>
      <c r="JNI152" s="863"/>
      <c r="JNJ152" s="863"/>
      <c r="JNK152" s="863"/>
      <c r="JNL152" s="863"/>
      <c r="JNM152" s="883"/>
      <c r="JNN152" s="883"/>
      <c r="JNO152" s="883"/>
      <c r="JNP152" s="883"/>
      <c r="JNQ152" s="883"/>
      <c r="JNR152" s="883"/>
      <c r="JNS152" s="883"/>
      <c r="JNT152" s="883"/>
      <c r="JNU152" s="883"/>
      <c r="JNV152" s="863"/>
      <c r="JNW152" s="863"/>
      <c r="JNX152" s="863"/>
      <c r="JNY152" s="863"/>
      <c r="JNZ152" s="863"/>
      <c r="JOA152" s="863"/>
      <c r="JOB152" s="863"/>
      <c r="JOC152" s="863"/>
      <c r="JOD152" s="863"/>
      <c r="JOE152" s="863"/>
      <c r="JOF152" s="863"/>
      <c r="JOG152" s="863"/>
      <c r="JOH152" s="863"/>
      <c r="JOI152" s="863"/>
      <c r="JOJ152" s="863"/>
      <c r="JOK152" s="863"/>
      <c r="JOL152" s="863"/>
      <c r="JOM152" s="863"/>
      <c r="JON152" s="863"/>
      <c r="JOO152" s="863"/>
      <c r="JOP152" s="863"/>
      <c r="JOQ152" s="863"/>
      <c r="JOR152" s="863"/>
      <c r="JOS152" s="883"/>
      <c r="JOT152" s="883"/>
      <c r="JOU152" s="883"/>
      <c r="JOV152" s="883"/>
      <c r="JOW152" s="883"/>
      <c r="JOX152" s="883"/>
      <c r="JOY152" s="883"/>
      <c r="JOZ152" s="883"/>
      <c r="JPA152" s="883"/>
      <c r="JPB152" s="863"/>
      <c r="JPC152" s="863"/>
      <c r="JPD152" s="863"/>
      <c r="JPE152" s="863"/>
      <c r="JPF152" s="863"/>
      <c r="JPG152" s="863"/>
      <c r="JPH152" s="863"/>
      <c r="JPI152" s="863"/>
      <c r="JPJ152" s="863"/>
      <c r="JPK152" s="863"/>
      <c r="JPL152" s="863"/>
      <c r="JPM152" s="863"/>
      <c r="JPN152" s="863"/>
      <c r="JPO152" s="863"/>
      <c r="JPP152" s="863"/>
      <c r="JPQ152" s="863"/>
      <c r="JPR152" s="863"/>
      <c r="JPS152" s="863"/>
      <c r="JPT152" s="863"/>
      <c r="JPU152" s="863"/>
      <c r="JPV152" s="863"/>
      <c r="JPW152" s="863"/>
      <c r="JPX152" s="863"/>
      <c r="JPY152" s="883"/>
      <c r="JPZ152" s="883"/>
      <c r="JQA152" s="883"/>
      <c r="JQB152" s="883"/>
      <c r="JQC152" s="883"/>
      <c r="JQD152" s="883"/>
      <c r="JQE152" s="883"/>
      <c r="JQF152" s="883"/>
      <c r="JQG152" s="883"/>
      <c r="JQH152" s="863"/>
      <c r="JQI152" s="863"/>
      <c r="JQJ152" s="863"/>
      <c r="JQK152" s="863"/>
      <c r="JQL152" s="863"/>
      <c r="JQM152" s="863"/>
      <c r="JQN152" s="863"/>
      <c r="JQO152" s="863"/>
      <c r="JQP152" s="863"/>
      <c r="JQQ152" s="863"/>
      <c r="JQR152" s="863"/>
      <c r="JQS152" s="863"/>
      <c r="JQT152" s="863"/>
      <c r="JQU152" s="863"/>
      <c r="JQV152" s="863"/>
      <c r="JQW152" s="863"/>
      <c r="JQX152" s="863"/>
      <c r="JQY152" s="863"/>
      <c r="JQZ152" s="863"/>
      <c r="JRA152" s="863"/>
      <c r="JRB152" s="863"/>
      <c r="JRC152" s="863"/>
      <c r="JRD152" s="863"/>
      <c r="JRE152" s="883"/>
      <c r="JRF152" s="883"/>
      <c r="JRG152" s="883"/>
      <c r="JRH152" s="883"/>
      <c r="JRI152" s="883"/>
      <c r="JRJ152" s="883"/>
      <c r="JRK152" s="883"/>
      <c r="JRL152" s="883"/>
      <c r="JRM152" s="883"/>
      <c r="JRN152" s="863"/>
      <c r="JRO152" s="863"/>
      <c r="JRP152" s="863"/>
      <c r="JRQ152" s="863"/>
      <c r="JRR152" s="863"/>
      <c r="JRS152" s="863"/>
      <c r="JRT152" s="863"/>
      <c r="JRU152" s="863"/>
      <c r="JRV152" s="863"/>
      <c r="JRW152" s="863"/>
      <c r="JRX152" s="863"/>
      <c r="JRY152" s="863"/>
      <c r="JRZ152" s="863"/>
      <c r="JSA152" s="863"/>
      <c r="JSB152" s="863"/>
      <c r="JSC152" s="863"/>
      <c r="JSD152" s="863"/>
      <c r="JSE152" s="863"/>
      <c r="JSF152" s="863"/>
      <c r="JSG152" s="863"/>
      <c r="JSH152" s="863"/>
      <c r="JSI152" s="863"/>
      <c r="JSJ152" s="863"/>
      <c r="JSK152" s="883"/>
      <c r="JSL152" s="883"/>
      <c r="JSM152" s="883"/>
      <c r="JSN152" s="883"/>
      <c r="JSO152" s="883"/>
      <c r="JSP152" s="883"/>
      <c r="JSQ152" s="883"/>
      <c r="JSR152" s="883"/>
      <c r="JSS152" s="883"/>
      <c r="JST152" s="863"/>
      <c r="JSU152" s="863"/>
      <c r="JSV152" s="863"/>
      <c r="JSW152" s="863"/>
      <c r="JSX152" s="863"/>
      <c r="JSY152" s="863"/>
      <c r="JSZ152" s="863"/>
      <c r="JTA152" s="863"/>
      <c r="JTB152" s="863"/>
      <c r="JTC152" s="863"/>
      <c r="JTD152" s="863"/>
      <c r="JTE152" s="863"/>
      <c r="JTF152" s="863"/>
      <c r="JTG152" s="863"/>
      <c r="JTH152" s="863"/>
      <c r="JTI152" s="863"/>
      <c r="JTJ152" s="863"/>
      <c r="JTK152" s="863"/>
      <c r="JTL152" s="863"/>
      <c r="JTM152" s="863"/>
      <c r="JTN152" s="863"/>
      <c r="JTO152" s="863"/>
      <c r="JTP152" s="863"/>
      <c r="JTQ152" s="883"/>
      <c r="JTR152" s="883"/>
      <c r="JTS152" s="883"/>
      <c r="JTT152" s="883"/>
      <c r="JTU152" s="883"/>
      <c r="JTV152" s="883"/>
      <c r="JTW152" s="883"/>
      <c r="JTX152" s="883"/>
      <c r="JTY152" s="883"/>
      <c r="JTZ152" s="863"/>
      <c r="JUA152" s="863"/>
      <c r="JUB152" s="863"/>
      <c r="JUC152" s="863"/>
      <c r="JUD152" s="863"/>
      <c r="JUE152" s="863"/>
      <c r="JUF152" s="863"/>
      <c r="JUG152" s="863"/>
      <c r="JUH152" s="863"/>
      <c r="JUI152" s="863"/>
      <c r="JUJ152" s="863"/>
      <c r="JUK152" s="863"/>
      <c r="JUL152" s="863"/>
      <c r="JUM152" s="863"/>
      <c r="JUN152" s="863"/>
      <c r="JUO152" s="863"/>
      <c r="JUP152" s="863"/>
      <c r="JUQ152" s="863"/>
      <c r="JUR152" s="863"/>
      <c r="JUS152" s="863"/>
      <c r="JUT152" s="863"/>
      <c r="JUU152" s="863"/>
      <c r="JUV152" s="863"/>
      <c r="JUW152" s="883"/>
      <c r="JUX152" s="883"/>
      <c r="JUY152" s="883"/>
      <c r="JUZ152" s="883"/>
      <c r="JVA152" s="883"/>
      <c r="JVB152" s="883"/>
      <c r="JVC152" s="883"/>
      <c r="JVD152" s="883"/>
      <c r="JVE152" s="883"/>
      <c r="JVF152" s="863"/>
      <c r="JVG152" s="863"/>
      <c r="JVH152" s="863"/>
      <c r="JVI152" s="863"/>
      <c r="JVJ152" s="863"/>
      <c r="JVK152" s="863"/>
      <c r="JVL152" s="863"/>
      <c r="JVM152" s="863"/>
      <c r="JVN152" s="863"/>
      <c r="JVO152" s="863"/>
      <c r="JVP152" s="863"/>
      <c r="JVQ152" s="863"/>
      <c r="JVR152" s="863"/>
      <c r="JVS152" s="863"/>
      <c r="JVT152" s="863"/>
      <c r="JVU152" s="863"/>
      <c r="JVV152" s="863"/>
      <c r="JVW152" s="863"/>
      <c r="JVX152" s="863"/>
      <c r="JVY152" s="863"/>
      <c r="JVZ152" s="863"/>
      <c r="JWA152" s="863"/>
      <c r="JWB152" s="863"/>
      <c r="JWC152" s="883"/>
      <c r="JWD152" s="883"/>
      <c r="JWE152" s="883"/>
      <c r="JWF152" s="883"/>
      <c r="JWG152" s="883"/>
      <c r="JWH152" s="883"/>
      <c r="JWI152" s="883"/>
      <c r="JWJ152" s="883"/>
      <c r="JWK152" s="883"/>
      <c r="JWL152" s="863"/>
      <c r="JWM152" s="863"/>
      <c r="JWN152" s="863"/>
      <c r="JWO152" s="863"/>
      <c r="JWP152" s="863"/>
      <c r="JWQ152" s="863"/>
      <c r="JWR152" s="863"/>
      <c r="JWS152" s="863"/>
      <c r="JWT152" s="863"/>
      <c r="JWU152" s="863"/>
      <c r="JWV152" s="863"/>
      <c r="JWW152" s="863"/>
      <c r="JWX152" s="863"/>
      <c r="JWY152" s="863"/>
      <c r="JWZ152" s="863"/>
      <c r="JXA152" s="863"/>
      <c r="JXB152" s="863"/>
      <c r="JXC152" s="863"/>
      <c r="JXD152" s="863"/>
      <c r="JXE152" s="863"/>
      <c r="JXF152" s="863"/>
      <c r="JXG152" s="863"/>
      <c r="JXH152" s="863"/>
      <c r="JXI152" s="883"/>
      <c r="JXJ152" s="883"/>
      <c r="JXK152" s="883"/>
      <c r="JXL152" s="883"/>
      <c r="JXM152" s="883"/>
      <c r="JXN152" s="883"/>
      <c r="JXO152" s="883"/>
      <c r="JXP152" s="883"/>
      <c r="JXQ152" s="883"/>
      <c r="JXR152" s="863"/>
      <c r="JXS152" s="863"/>
      <c r="JXT152" s="863"/>
      <c r="JXU152" s="863"/>
      <c r="JXV152" s="863"/>
      <c r="JXW152" s="863"/>
      <c r="JXX152" s="863"/>
      <c r="JXY152" s="863"/>
      <c r="JXZ152" s="863"/>
      <c r="JYA152" s="863"/>
      <c r="JYB152" s="863"/>
      <c r="JYC152" s="863"/>
      <c r="JYD152" s="863"/>
      <c r="JYE152" s="863"/>
      <c r="JYF152" s="863"/>
      <c r="JYG152" s="863"/>
      <c r="JYH152" s="863"/>
      <c r="JYI152" s="863"/>
      <c r="JYJ152" s="863"/>
      <c r="JYK152" s="863"/>
      <c r="JYL152" s="863"/>
      <c r="JYM152" s="863"/>
      <c r="JYN152" s="863"/>
      <c r="JYO152" s="883"/>
      <c r="JYP152" s="883"/>
      <c r="JYQ152" s="883"/>
      <c r="JYR152" s="883"/>
      <c r="JYS152" s="883"/>
      <c r="JYT152" s="883"/>
      <c r="JYU152" s="883"/>
      <c r="JYV152" s="883"/>
      <c r="JYW152" s="883"/>
      <c r="JYX152" s="863"/>
      <c r="JYY152" s="863"/>
      <c r="JYZ152" s="863"/>
      <c r="JZA152" s="863"/>
      <c r="JZB152" s="863"/>
      <c r="JZC152" s="863"/>
      <c r="JZD152" s="863"/>
      <c r="JZE152" s="863"/>
      <c r="JZF152" s="863"/>
      <c r="JZG152" s="863"/>
      <c r="JZH152" s="863"/>
      <c r="JZI152" s="863"/>
      <c r="JZJ152" s="863"/>
      <c r="JZK152" s="863"/>
      <c r="JZL152" s="863"/>
      <c r="JZM152" s="863"/>
      <c r="JZN152" s="863"/>
      <c r="JZO152" s="863"/>
      <c r="JZP152" s="863"/>
      <c r="JZQ152" s="863"/>
      <c r="JZR152" s="863"/>
      <c r="JZS152" s="863"/>
      <c r="JZT152" s="863"/>
      <c r="JZU152" s="883"/>
      <c r="JZV152" s="883"/>
      <c r="JZW152" s="883"/>
      <c r="JZX152" s="883"/>
      <c r="JZY152" s="883"/>
      <c r="JZZ152" s="883"/>
      <c r="KAA152" s="883"/>
      <c r="KAB152" s="883"/>
      <c r="KAC152" s="883"/>
      <c r="KAD152" s="863"/>
      <c r="KAE152" s="863"/>
      <c r="KAF152" s="863"/>
      <c r="KAG152" s="863"/>
      <c r="KAH152" s="863"/>
      <c r="KAI152" s="863"/>
      <c r="KAJ152" s="863"/>
      <c r="KAK152" s="863"/>
      <c r="KAL152" s="863"/>
      <c r="KAM152" s="863"/>
      <c r="KAN152" s="863"/>
      <c r="KAO152" s="863"/>
      <c r="KAP152" s="863"/>
      <c r="KAQ152" s="863"/>
      <c r="KAR152" s="863"/>
      <c r="KAS152" s="863"/>
      <c r="KAT152" s="863"/>
      <c r="KAU152" s="863"/>
      <c r="KAV152" s="863"/>
      <c r="KAW152" s="863"/>
      <c r="KAX152" s="863"/>
      <c r="KAY152" s="863"/>
      <c r="KAZ152" s="863"/>
      <c r="KBA152" s="883"/>
      <c r="KBB152" s="883"/>
      <c r="KBC152" s="883"/>
      <c r="KBD152" s="883"/>
      <c r="KBE152" s="883"/>
      <c r="KBF152" s="883"/>
      <c r="KBG152" s="883"/>
      <c r="KBH152" s="883"/>
      <c r="KBI152" s="883"/>
      <c r="KBJ152" s="863"/>
      <c r="KBK152" s="863"/>
      <c r="KBL152" s="863"/>
      <c r="KBM152" s="863"/>
      <c r="KBN152" s="863"/>
      <c r="KBO152" s="863"/>
      <c r="KBP152" s="863"/>
      <c r="KBQ152" s="863"/>
      <c r="KBR152" s="863"/>
      <c r="KBS152" s="863"/>
      <c r="KBT152" s="863"/>
      <c r="KBU152" s="863"/>
      <c r="KBV152" s="863"/>
      <c r="KBW152" s="863"/>
      <c r="KBX152" s="863"/>
      <c r="KBY152" s="863"/>
      <c r="KBZ152" s="863"/>
      <c r="KCA152" s="863"/>
      <c r="KCB152" s="863"/>
      <c r="KCC152" s="863"/>
      <c r="KCD152" s="863"/>
      <c r="KCE152" s="863"/>
      <c r="KCF152" s="863"/>
      <c r="KCG152" s="883"/>
      <c r="KCH152" s="883"/>
      <c r="KCI152" s="883"/>
      <c r="KCJ152" s="883"/>
      <c r="KCK152" s="883"/>
      <c r="KCL152" s="883"/>
      <c r="KCM152" s="883"/>
      <c r="KCN152" s="883"/>
      <c r="KCO152" s="883"/>
      <c r="KCP152" s="863"/>
      <c r="KCQ152" s="863"/>
      <c r="KCR152" s="863"/>
      <c r="KCS152" s="863"/>
      <c r="KCT152" s="863"/>
      <c r="KCU152" s="863"/>
      <c r="KCV152" s="863"/>
      <c r="KCW152" s="863"/>
      <c r="KCX152" s="863"/>
      <c r="KCY152" s="863"/>
      <c r="KCZ152" s="863"/>
      <c r="KDA152" s="863"/>
      <c r="KDB152" s="863"/>
      <c r="KDC152" s="863"/>
      <c r="KDD152" s="863"/>
      <c r="KDE152" s="863"/>
      <c r="KDF152" s="863"/>
      <c r="KDG152" s="863"/>
      <c r="KDH152" s="863"/>
      <c r="KDI152" s="863"/>
      <c r="KDJ152" s="863"/>
      <c r="KDK152" s="863"/>
      <c r="KDL152" s="863"/>
      <c r="KDM152" s="883"/>
      <c r="KDN152" s="883"/>
      <c r="KDO152" s="883"/>
      <c r="KDP152" s="883"/>
      <c r="KDQ152" s="883"/>
      <c r="KDR152" s="883"/>
      <c r="KDS152" s="883"/>
      <c r="KDT152" s="883"/>
      <c r="KDU152" s="883"/>
      <c r="KDV152" s="863"/>
      <c r="KDW152" s="863"/>
      <c r="KDX152" s="863"/>
      <c r="KDY152" s="863"/>
      <c r="KDZ152" s="863"/>
      <c r="KEA152" s="863"/>
      <c r="KEB152" s="863"/>
      <c r="KEC152" s="863"/>
      <c r="KED152" s="863"/>
      <c r="KEE152" s="863"/>
      <c r="KEF152" s="863"/>
      <c r="KEG152" s="863"/>
      <c r="KEH152" s="863"/>
      <c r="KEI152" s="863"/>
      <c r="KEJ152" s="863"/>
      <c r="KEK152" s="863"/>
      <c r="KEL152" s="863"/>
      <c r="KEM152" s="863"/>
      <c r="KEN152" s="863"/>
      <c r="KEO152" s="863"/>
      <c r="KEP152" s="863"/>
      <c r="KEQ152" s="863"/>
      <c r="KER152" s="863"/>
      <c r="KES152" s="883"/>
      <c r="KET152" s="883"/>
      <c r="KEU152" s="883"/>
      <c r="KEV152" s="883"/>
      <c r="KEW152" s="883"/>
      <c r="KEX152" s="883"/>
      <c r="KEY152" s="883"/>
      <c r="KEZ152" s="883"/>
      <c r="KFA152" s="883"/>
      <c r="KFB152" s="863"/>
      <c r="KFC152" s="863"/>
      <c r="KFD152" s="863"/>
      <c r="KFE152" s="863"/>
      <c r="KFF152" s="863"/>
      <c r="KFG152" s="863"/>
      <c r="KFH152" s="863"/>
      <c r="KFI152" s="863"/>
      <c r="KFJ152" s="863"/>
      <c r="KFK152" s="863"/>
      <c r="KFL152" s="863"/>
      <c r="KFM152" s="863"/>
      <c r="KFN152" s="863"/>
      <c r="KFO152" s="863"/>
      <c r="KFP152" s="863"/>
      <c r="KFQ152" s="863"/>
      <c r="KFR152" s="863"/>
      <c r="KFS152" s="863"/>
      <c r="KFT152" s="863"/>
      <c r="KFU152" s="863"/>
      <c r="KFV152" s="863"/>
      <c r="KFW152" s="863"/>
      <c r="KFX152" s="863"/>
      <c r="KFY152" s="883"/>
      <c r="KFZ152" s="883"/>
      <c r="KGA152" s="883"/>
      <c r="KGB152" s="883"/>
      <c r="KGC152" s="883"/>
      <c r="KGD152" s="883"/>
      <c r="KGE152" s="883"/>
      <c r="KGF152" s="883"/>
      <c r="KGG152" s="883"/>
      <c r="KGH152" s="863"/>
      <c r="KGI152" s="863"/>
      <c r="KGJ152" s="863"/>
      <c r="KGK152" s="863"/>
      <c r="KGL152" s="863"/>
      <c r="KGM152" s="863"/>
      <c r="KGN152" s="863"/>
      <c r="KGO152" s="863"/>
      <c r="KGP152" s="863"/>
      <c r="KGQ152" s="863"/>
      <c r="KGR152" s="863"/>
      <c r="KGS152" s="863"/>
      <c r="KGT152" s="863"/>
      <c r="KGU152" s="863"/>
      <c r="KGV152" s="863"/>
      <c r="KGW152" s="863"/>
      <c r="KGX152" s="863"/>
      <c r="KGY152" s="863"/>
      <c r="KGZ152" s="863"/>
      <c r="KHA152" s="863"/>
      <c r="KHB152" s="863"/>
      <c r="KHC152" s="863"/>
      <c r="KHD152" s="863"/>
      <c r="KHE152" s="883"/>
      <c r="KHF152" s="883"/>
      <c r="KHG152" s="883"/>
      <c r="KHH152" s="883"/>
      <c r="KHI152" s="883"/>
      <c r="KHJ152" s="883"/>
      <c r="KHK152" s="883"/>
      <c r="KHL152" s="883"/>
      <c r="KHM152" s="883"/>
      <c r="KHN152" s="863"/>
      <c r="KHO152" s="863"/>
      <c r="KHP152" s="863"/>
      <c r="KHQ152" s="863"/>
      <c r="KHR152" s="863"/>
      <c r="KHS152" s="863"/>
      <c r="KHT152" s="863"/>
      <c r="KHU152" s="863"/>
      <c r="KHV152" s="863"/>
      <c r="KHW152" s="863"/>
      <c r="KHX152" s="863"/>
      <c r="KHY152" s="863"/>
      <c r="KHZ152" s="863"/>
      <c r="KIA152" s="863"/>
      <c r="KIB152" s="863"/>
      <c r="KIC152" s="863"/>
      <c r="KID152" s="863"/>
      <c r="KIE152" s="863"/>
      <c r="KIF152" s="863"/>
      <c r="KIG152" s="863"/>
      <c r="KIH152" s="863"/>
      <c r="KII152" s="863"/>
      <c r="KIJ152" s="863"/>
      <c r="KIK152" s="883"/>
      <c r="KIL152" s="883"/>
      <c r="KIM152" s="883"/>
      <c r="KIN152" s="883"/>
      <c r="KIO152" s="883"/>
      <c r="KIP152" s="883"/>
      <c r="KIQ152" s="883"/>
      <c r="KIR152" s="883"/>
      <c r="KIS152" s="883"/>
      <c r="KIT152" s="863"/>
      <c r="KIU152" s="863"/>
      <c r="KIV152" s="863"/>
      <c r="KIW152" s="863"/>
      <c r="KIX152" s="863"/>
      <c r="KIY152" s="863"/>
      <c r="KIZ152" s="863"/>
      <c r="KJA152" s="863"/>
      <c r="KJB152" s="863"/>
      <c r="KJC152" s="863"/>
      <c r="KJD152" s="863"/>
      <c r="KJE152" s="863"/>
      <c r="KJF152" s="863"/>
      <c r="KJG152" s="863"/>
      <c r="KJH152" s="863"/>
      <c r="KJI152" s="863"/>
      <c r="KJJ152" s="863"/>
      <c r="KJK152" s="863"/>
      <c r="KJL152" s="863"/>
      <c r="KJM152" s="863"/>
      <c r="KJN152" s="863"/>
      <c r="KJO152" s="863"/>
      <c r="KJP152" s="863"/>
      <c r="KJQ152" s="883"/>
      <c r="KJR152" s="883"/>
      <c r="KJS152" s="883"/>
      <c r="KJT152" s="883"/>
      <c r="KJU152" s="883"/>
      <c r="KJV152" s="883"/>
      <c r="KJW152" s="883"/>
      <c r="KJX152" s="883"/>
      <c r="KJY152" s="883"/>
      <c r="KJZ152" s="863"/>
      <c r="KKA152" s="863"/>
      <c r="KKB152" s="863"/>
      <c r="KKC152" s="863"/>
      <c r="KKD152" s="863"/>
      <c r="KKE152" s="863"/>
      <c r="KKF152" s="863"/>
      <c r="KKG152" s="863"/>
      <c r="KKH152" s="863"/>
      <c r="KKI152" s="863"/>
      <c r="KKJ152" s="863"/>
      <c r="KKK152" s="863"/>
      <c r="KKL152" s="863"/>
      <c r="KKM152" s="863"/>
      <c r="KKN152" s="863"/>
      <c r="KKO152" s="863"/>
      <c r="KKP152" s="863"/>
      <c r="KKQ152" s="863"/>
      <c r="KKR152" s="863"/>
      <c r="KKS152" s="863"/>
      <c r="KKT152" s="863"/>
      <c r="KKU152" s="863"/>
      <c r="KKV152" s="863"/>
      <c r="KKW152" s="883"/>
      <c r="KKX152" s="883"/>
      <c r="KKY152" s="883"/>
      <c r="KKZ152" s="883"/>
      <c r="KLA152" s="883"/>
      <c r="KLB152" s="883"/>
      <c r="KLC152" s="883"/>
      <c r="KLD152" s="883"/>
      <c r="KLE152" s="883"/>
      <c r="KLF152" s="863"/>
      <c r="KLG152" s="863"/>
      <c r="KLH152" s="863"/>
      <c r="KLI152" s="863"/>
      <c r="KLJ152" s="863"/>
      <c r="KLK152" s="863"/>
      <c r="KLL152" s="863"/>
      <c r="KLM152" s="863"/>
      <c r="KLN152" s="863"/>
      <c r="KLO152" s="863"/>
      <c r="KLP152" s="863"/>
      <c r="KLQ152" s="863"/>
      <c r="KLR152" s="863"/>
      <c r="KLS152" s="863"/>
      <c r="KLT152" s="863"/>
      <c r="KLU152" s="863"/>
      <c r="KLV152" s="863"/>
      <c r="KLW152" s="863"/>
      <c r="KLX152" s="863"/>
      <c r="KLY152" s="863"/>
      <c r="KLZ152" s="863"/>
      <c r="KMA152" s="863"/>
      <c r="KMB152" s="863"/>
      <c r="KMC152" s="883"/>
      <c r="KMD152" s="883"/>
      <c r="KME152" s="883"/>
      <c r="KMF152" s="883"/>
      <c r="KMG152" s="883"/>
      <c r="KMH152" s="883"/>
      <c r="KMI152" s="883"/>
      <c r="KMJ152" s="883"/>
      <c r="KMK152" s="883"/>
      <c r="KML152" s="863"/>
      <c r="KMM152" s="863"/>
      <c r="KMN152" s="863"/>
      <c r="KMO152" s="863"/>
      <c r="KMP152" s="863"/>
      <c r="KMQ152" s="863"/>
      <c r="KMR152" s="863"/>
      <c r="KMS152" s="863"/>
      <c r="KMT152" s="863"/>
      <c r="KMU152" s="863"/>
      <c r="KMV152" s="863"/>
      <c r="KMW152" s="863"/>
      <c r="KMX152" s="863"/>
      <c r="KMY152" s="863"/>
      <c r="KMZ152" s="863"/>
      <c r="KNA152" s="863"/>
      <c r="KNB152" s="863"/>
      <c r="KNC152" s="863"/>
      <c r="KND152" s="863"/>
      <c r="KNE152" s="863"/>
      <c r="KNF152" s="863"/>
      <c r="KNG152" s="863"/>
      <c r="KNH152" s="863"/>
      <c r="KNI152" s="883"/>
      <c r="KNJ152" s="883"/>
      <c r="KNK152" s="883"/>
      <c r="KNL152" s="883"/>
      <c r="KNM152" s="883"/>
      <c r="KNN152" s="883"/>
      <c r="KNO152" s="883"/>
      <c r="KNP152" s="883"/>
      <c r="KNQ152" s="883"/>
      <c r="KNR152" s="863"/>
      <c r="KNS152" s="863"/>
      <c r="KNT152" s="863"/>
      <c r="KNU152" s="863"/>
      <c r="KNV152" s="863"/>
      <c r="KNW152" s="863"/>
      <c r="KNX152" s="863"/>
      <c r="KNY152" s="863"/>
      <c r="KNZ152" s="863"/>
      <c r="KOA152" s="863"/>
      <c r="KOB152" s="863"/>
      <c r="KOC152" s="863"/>
      <c r="KOD152" s="863"/>
      <c r="KOE152" s="863"/>
      <c r="KOF152" s="863"/>
      <c r="KOG152" s="863"/>
      <c r="KOH152" s="863"/>
      <c r="KOI152" s="863"/>
      <c r="KOJ152" s="863"/>
      <c r="KOK152" s="863"/>
      <c r="KOL152" s="863"/>
      <c r="KOM152" s="863"/>
      <c r="KON152" s="863"/>
      <c r="KOO152" s="883"/>
      <c r="KOP152" s="883"/>
      <c r="KOQ152" s="883"/>
      <c r="KOR152" s="883"/>
      <c r="KOS152" s="883"/>
      <c r="KOT152" s="883"/>
      <c r="KOU152" s="883"/>
      <c r="KOV152" s="883"/>
      <c r="KOW152" s="883"/>
      <c r="KOX152" s="863"/>
      <c r="KOY152" s="863"/>
      <c r="KOZ152" s="863"/>
      <c r="KPA152" s="863"/>
      <c r="KPB152" s="863"/>
      <c r="KPC152" s="863"/>
      <c r="KPD152" s="863"/>
      <c r="KPE152" s="863"/>
      <c r="KPF152" s="863"/>
      <c r="KPG152" s="863"/>
      <c r="KPH152" s="863"/>
      <c r="KPI152" s="863"/>
      <c r="KPJ152" s="863"/>
      <c r="KPK152" s="863"/>
      <c r="KPL152" s="863"/>
      <c r="KPM152" s="863"/>
      <c r="KPN152" s="863"/>
      <c r="KPO152" s="863"/>
      <c r="KPP152" s="863"/>
      <c r="KPQ152" s="863"/>
      <c r="KPR152" s="863"/>
      <c r="KPS152" s="863"/>
      <c r="KPT152" s="863"/>
      <c r="KPU152" s="883"/>
      <c r="KPV152" s="883"/>
      <c r="KPW152" s="883"/>
      <c r="KPX152" s="883"/>
      <c r="KPY152" s="883"/>
      <c r="KPZ152" s="883"/>
      <c r="KQA152" s="883"/>
      <c r="KQB152" s="883"/>
      <c r="KQC152" s="883"/>
      <c r="KQD152" s="863"/>
      <c r="KQE152" s="863"/>
      <c r="KQF152" s="863"/>
      <c r="KQG152" s="863"/>
      <c r="KQH152" s="863"/>
      <c r="KQI152" s="863"/>
      <c r="KQJ152" s="863"/>
      <c r="KQK152" s="863"/>
      <c r="KQL152" s="863"/>
      <c r="KQM152" s="863"/>
      <c r="KQN152" s="863"/>
      <c r="KQO152" s="863"/>
      <c r="KQP152" s="863"/>
      <c r="KQQ152" s="863"/>
      <c r="KQR152" s="863"/>
      <c r="KQS152" s="863"/>
      <c r="KQT152" s="863"/>
      <c r="KQU152" s="863"/>
      <c r="KQV152" s="863"/>
      <c r="KQW152" s="863"/>
      <c r="KQX152" s="863"/>
      <c r="KQY152" s="863"/>
      <c r="KQZ152" s="863"/>
      <c r="KRA152" s="883"/>
      <c r="KRB152" s="883"/>
      <c r="KRC152" s="883"/>
      <c r="KRD152" s="883"/>
      <c r="KRE152" s="883"/>
      <c r="KRF152" s="883"/>
      <c r="KRG152" s="883"/>
      <c r="KRH152" s="883"/>
      <c r="KRI152" s="883"/>
      <c r="KRJ152" s="863"/>
      <c r="KRK152" s="863"/>
      <c r="KRL152" s="863"/>
      <c r="KRM152" s="863"/>
      <c r="KRN152" s="863"/>
      <c r="KRO152" s="863"/>
      <c r="KRP152" s="863"/>
      <c r="KRQ152" s="863"/>
      <c r="KRR152" s="863"/>
      <c r="KRS152" s="863"/>
      <c r="KRT152" s="863"/>
      <c r="KRU152" s="863"/>
      <c r="KRV152" s="863"/>
      <c r="KRW152" s="863"/>
      <c r="KRX152" s="863"/>
      <c r="KRY152" s="863"/>
      <c r="KRZ152" s="863"/>
      <c r="KSA152" s="863"/>
      <c r="KSB152" s="863"/>
      <c r="KSC152" s="863"/>
      <c r="KSD152" s="863"/>
      <c r="KSE152" s="863"/>
      <c r="KSF152" s="863"/>
      <c r="KSG152" s="883"/>
      <c r="KSH152" s="883"/>
      <c r="KSI152" s="883"/>
      <c r="KSJ152" s="883"/>
      <c r="KSK152" s="883"/>
      <c r="KSL152" s="883"/>
      <c r="KSM152" s="883"/>
      <c r="KSN152" s="883"/>
      <c r="KSO152" s="883"/>
      <c r="KSP152" s="863"/>
      <c r="KSQ152" s="863"/>
      <c r="KSR152" s="863"/>
      <c r="KSS152" s="863"/>
      <c r="KST152" s="863"/>
      <c r="KSU152" s="863"/>
      <c r="KSV152" s="863"/>
      <c r="KSW152" s="863"/>
      <c r="KSX152" s="863"/>
      <c r="KSY152" s="863"/>
      <c r="KSZ152" s="863"/>
      <c r="KTA152" s="863"/>
      <c r="KTB152" s="863"/>
      <c r="KTC152" s="863"/>
      <c r="KTD152" s="863"/>
      <c r="KTE152" s="863"/>
      <c r="KTF152" s="863"/>
      <c r="KTG152" s="863"/>
      <c r="KTH152" s="863"/>
      <c r="KTI152" s="863"/>
      <c r="KTJ152" s="863"/>
      <c r="KTK152" s="863"/>
      <c r="KTL152" s="863"/>
      <c r="KTM152" s="883"/>
      <c r="KTN152" s="883"/>
      <c r="KTO152" s="883"/>
      <c r="KTP152" s="883"/>
      <c r="KTQ152" s="883"/>
      <c r="KTR152" s="883"/>
      <c r="KTS152" s="883"/>
      <c r="KTT152" s="883"/>
      <c r="KTU152" s="883"/>
      <c r="KTV152" s="863"/>
      <c r="KTW152" s="863"/>
      <c r="KTX152" s="863"/>
      <c r="KTY152" s="863"/>
      <c r="KTZ152" s="863"/>
      <c r="KUA152" s="863"/>
      <c r="KUB152" s="863"/>
      <c r="KUC152" s="863"/>
      <c r="KUD152" s="863"/>
      <c r="KUE152" s="863"/>
      <c r="KUF152" s="863"/>
      <c r="KUG152" s="863"/>
      <c r="KUH152" s="863"/>
      <c r="KUI152" s="863"/>
      <c r="KUJ152" s="863"/>
      <c r="KUK152" s="863"/>
      <c r="KUL152" s="863"/>
      <c r="KUM152" s="863"/>
      <c r="KUN152" s="863"/>
      <c r="KUO152" s="863"/>
      <c r="KUP152" s="863"/>
      <c r="KUQ152" s="863"/>
      <c r="KUR152" s="863"/>
      <c r="KUS152" s="883"/>
      <c r="KUT152" s="883"/>
      <c r="KUU152" s="883"/>
      <c r="KUV152" s="883"/>
      <c r="KUW152" s="883"/>
      <c r="KUX152" s="883"/>
      <c r="KUY152" s="883"/>
      <c r="KUZ152" s="883"/>
      <c r="KVA152" s="883"/>
      <c r="KVB152" s="863"/>
      <c r="KVC152" s="863"/>
      <c r="KVD152" s="863"/>
      <c r="KVE152" s="863"/>
      <c r="KVF152" s="863"/>
      <c r="KVG152" s="863"/>
      <c r="KVH152" s="863"/>
      <c r="KVI152" s="863"/>
      <c r="KVJ152" s="863"/>
      <c r="KVK152" s="863"/>
      <c r="KVL152" s="863"/>
      <c r="KVM152" s="863"/>
      <c r="KVN152" s="863"/>
      <c r="KVO152" s="863"/>
      <c r="KVP152" s="863"/>
      <c r="KVQ152" s="863"/>
      <c r="KVR152" s="863"/>
      <c r="KVS152" s="863"/>
      <c r="KVT152" s="863"/>
      <c r="KVU152" s="863"/>
      <c r="KVV152" s="863"/>
      <c r="KVW152" s="863"/>
      <c r="KVX152" s="863"/>
      <c r="KVY152" s="883"/>
      <c r="KVZ152" s="883"/>
      <c r="KWA152" s="883"/>
      <c r="KWB152" s="883"/>
      <c r="KWC152" s="883"/>
      <c r="KWD152" s="883"/>
      <c r="KWE152" s="883"/>
      <c r="KWF152" s="883"/>
      <c r="KWG152" s="883"/>
      <c r="KWH152" s="863"/>
      <c r="KWI152" s="863"/>
      <c r="KWJ152" s="863"/>
      <c r="KWK152" s="863"/>
      <c r="KWL152" s="863"/>
      <c r="KWM152" s="863"/>
      <c r="KWN152" s="863"/>
      <c r="KWO152" s="863"/>
      <c r="KWP152" s="863"/>
      <c r="KWQ152" s="863"/>
      <c r="KWR152" s="863"/>
      <c r="KWS152" s="863"/>
      <c r="KWT152" s="863"/>
      <c r="KWU152" s="863"/>
      <c r="KWV152" s="863"/>
      <c r="KWW152" s="863"/>
      <c r="KWX152" s="863"/>
      <c r="KWY152" s="863"/>
      <c r="KWZ152" s="863"/>
      <c r="KXA152" s="863"/>
      <c r="KXB152" s="863"/>
      <c r="KXC152" s="863"/>
      <c r="KXD152" s="863"/>
      <c r="KXE152" s="883"/>
      <c r="KXF152" s="883"/>
      <c r="KXG152" s="883"/>
      <c r="KXH152" s="883"/>
      <c r="KXI152" s="883"/>
      <c r="KXJ152" s="883"/>
      <c r="KXK152" s="883"/>
      <c r="KXL152" s="883"/>
      <c r="KXM152" s="883"/>
      <c r="KXN152" s="863"/>
      <c r="KXO152" s="863"/>
      <c r="KXP152" s="863"/>
      <c r="KXQ152" s="863"/>
      <c r="KXR152" s="863"/>
      <c r="KXS152" s="863"/>
      <c r="KXT152" s="863"/>
      <c r="KXU152" s="863"/>
      <c r="KXV152" s="863"/>
      <c r="KXW152" s="863"/>
      <c r="KXX152" s="863"/>
      <c r="KXY152" s="863"/>
      <c r="KXZ152" s="863"/>
      <c r="KYA152" s="863"/>
      <c r="KYB152" s="863"/>
      <c r="KYC152" s="863"/>
      <c r="KYD152" s="863"/>
      <c r="KYE152" s="863"/>
      <c r="KYF152" s="863"/>
      <c r="KYG152" s="863"/>
      <c r="KYH152" s="863"/>
      <c r="KYI152" s="863"/>
      <c r="KYJ152" s="863"/>
      <c r="KYK152" s="883"/>
      <c r="KYL152" s="883"/>
      <c r="KYM152" s="883"/>
      <c r="KYN152" s="883"/>
      <c r="KYO152" s="883"/>
      <c r="KYP152" s="883"/>
      <c r="KYQ152" s="883"/>
      <c r="KYR152" s="883"/>
      <c r="KYS152" s="883"/>
      <c r="KYT152" s="863"/>
      <c r="KYU152" s="863"/>
      <c r="KYV152" s="863"/>
      <c r="KYW152" s="863"/>
      <c r="KYX152" s="863"/>
      <c r="KYY152" s="863"/>
      <c r="KYZ152" s="863"/>
      <c r="KZA152" s="863"/>
      <c r="KZB152" s="863"/>
      <c r="KZC152" s="863"/>
      <c r="KZD152" s="863"/>
      <c r="KZE152" s="863"/>
      <c r="KZF152" s="863"/>
      <c r="KZG152" s="863"/>
      <c r="KZH152" s="863"/>
      <c r="KZI152" s="863"/>
      <c r="KZJ152" s="863"/>
      <c r="KZK152" s="863"/>
      <c r="KZL152" s="863"/>
      <c r="KZM152" s="863"/>
      <c r="KZN152" s="863"/>
      <c r="KZO152" s="863"/>
      <c r="KZP152" s="863"/>
      <c r="KZQ152" s="883"/>
      <c r="KZR152" s="883"/>
      <c r="KZS152" s="883"/>
      <c r="KZT152" s="883"/>
      <c r="KZU152" s="883"/>
      <c r="KZV152" s="883"/>
      <c r="KZW152" s="883"/>
      <c r="KZX152" s="883"/>
      <c r="KZY152" s="883"/>
      <c r="KZZ152" s="863"/>
      <c r="LAA152" s="863"/>
      <c r="LAB152" s="863"/>
      <c r="LAC152" s="863"/>
      <c r="LAD152" s="863"/>
      <c r="LAE152" s="863"/>
      <c r="LAF152" s="863"/>
      <c r="LAG152" s="863"/>
      <c r="LAH152" s="863"/>
      <c r="LAI152" s="863"/>
      <c r="LAJ152" s="863"/>
      <c r="LAK152" s="863"/>
      <c r="LAL152" s="863"/>
      <c r="LAM152" s="863"/>
      <c r="LAN152" s="863"/>
      <c r="LAO152" s="863"/>
      <c r="LAP152" s="863"/>
      <c r="LAQ152" s="863"/>
      <c r="LAR152" s="863"/>
      <c r="LAS152" s="863"/>
      <c r="LAT152" s="863"/>
      <c r="LAU152" s="863"/>
      <c r="LAV152" s="863"/>
      <c r="LAW152" s="883"/>
      <c r="LAX152" s="883"/>
      <c r="LAY152" s="883"/>
      <c r="LAZ152" s="883"/>
      <c r="LBA152" s="883"/>
      <c r="LBB152" s="883"/>
      <c r="LBC152" s="883"/>
      <c r="LBD152" s="883"/>
      <c r="LBE152" s="883"/>
      <c r="LBF152" s="863"/>
      <c r="LBG152" s="863"/>
      <c r="LBH152" s="863"/>
      <c r="LBI152" s="863"/>
      <c r="LBJ152" s="863"/>
      <c r="LBK152" s="863"/>
      <c r="LBL152" s="863"/>
      <c r="LBM152" s="863"/>
      <c r="LBN152" s="863"/>
      <c r="LBO152" s="863"/>
      <c r="LBP152" s="863"/>
      <c r="LBQ152" s="863"/>
      <c r="LBR152" s="863"/>
      <c r="LBS152" s="863"/>
      <c r="LBT152" s="863"/>
      <c r="LBU152" s="863"/>
      <c r="LBV152" s="863"/>
      <c r="LBW152" s="863"/>
      <c r="LBX152" s="863"/>
      <c r="LBY152" s="863"/>
      <c r="LBZ152" s="863"/>
      <c r="LCA152" s="863"/>
      <c r="LCB152" s="863"/>
      <c r="LCC152" s="883"/>
      <c r="LCD152" s="883"/>
      <c r="LCE152" s="883"/>
      <c r="LCF152" s="883"/>
      <c r="LCG152" s="883"/>
      <c r="LCH152" s="883"/>
      <c r="LCI152" s="883"/>
      <c r="LCJ152" s="883"/>
      <c r="LCK152" s="883"/>
      <c r="LCL152" s="863"/>
      <c r="LCM152" s="863"/>
      <c r="LCN152" s="863"/>
      <c r="LCO152" s="863"/>
      <c r="LCP152" s="863"/>
      <c r="LCQ152" s="863"/>
      <c r="LCR152" s="863"/>
      <c r="LCS152" s="863"/>
      <c r="LCT152" s="863"/>
      <c r="LCU152" s="863"/>
      <c r="LCV152" s="863"/>
      <c r="LCW152" s="863"/>
      <c r="LCX152" s="863"/>
      <c r="LCY152" s="863"/>
      <c r="LCZ152" s="863"/>
      <c r="LDA152" s="863"/>
      <c r="LDB152" s="863"/>
      <c r="LDC152" s="863"/>
      <c r="LDD152" s="863"/>
      <c r="LDE152" s="863"/>
      <c r="LDF152" s="863"/>
      <c r="LDG152" s="863"/>
      <c r="LDH152" s="863"/>
      <c r="LDI152" s="883"/>
      <c r="LDJ152" s="883"/>
      <c r="LDK152" s="883"/>
      <c r="LDL152" s="883"/>
      <c r="LDM152" s="883"/>
      <c r="LDN152" s="883"/>
      <c r="LDO152" s="883"/>
      <c r="LDP152" s="883"/>
      <c r="LDQ152" s="883"/>
      <c r="LDR152" s="863"/>
      <c r="LDS152" s="863"/>
      <c r="LDT152" s="863"/>
      <c r="LDU152" s="863"/>
      <c r="LDV152" s="863"/>
      <c r="LDW152" s="863"/>
      <c r="LDX152" s="863"/>
      <c r="LDY152" s="863"/>
      <c r="LDZ152" s="863"/>
      <c r="LEA152" s="863"/>
      <c r="LEB152" s="863"/>
      <c r="LEC152" s="863"/>
      <c r="LED152" s="863"/>
      <c r="LEE152" s="863"/>
      <c r="LEF152" s="863"/>
      <c r="LEG152" s="863"/>
      <c r="LEH152" s="863"/>
      <c r="LEI152" s="863"/>
      <c r="LEJ152" s="863"/>
      <c r="LEK152" s="863"/>
      <c r="LEL152" s="863"/>
      <c r="LEM152" s="863"/>
      <c r="LEN152" s="863"/>
      <c r="LEO152" s="883"/>
      <c r="LEP152" s="883"/>
      <c r="LEQ152" s="883"/>
      <c r="LER152" s="883"/>
      <c r="LES152" s="883"/>
      <c r="LET152" s="883"/>
      <c r="LEU152" s="883"/>
      <c r="LEV152" s="883"/>
      <c r="LEW152" s="883"/>
      <c r="LEX152" s="863"/>
      <c r="LEY152" s="863"/>
      <c r="LEZ152" s="863"/>
      <c r="LFA152" s="863"/>
      <c r="LFB152" s="863"/>
      <c r="LFC152" s="863"/>
      <c r="LFD152" s="863"/>
      <c r="LFE152" s="863"/>
      <c r="LFF152" s="863"/>
      <c r="LFG152" s="863"/>
      <c r="LFH152" s="863"/>
      <c r="LFI152" s="863"/>
      <c r="LFJ152" s="863"/>
      <c r="LFK152" s="863"/>
      <c r="LFL152" s="863"/>
      <c r="LFM152" s="863"/>
      <c r="LFN152" s="863"/>
      <c r="LFO152" s="863"/>
      <c r="LFP152" s="863"/>
      <c r="LFQ152" s="863"/>
      <c r="LFR152" s="863"/>
      <c r="LFS152" s="863"/>
      <c r="LFT152" s="863"/>
      <c r="LFU152" s="883"/>
      <c r="LFV152" s="883"/>
      <c r="LFW152" s="883"/>
      <c r="LFX152" s="883"/>
      <c r="LFY152" s="883"/>
      <c r="LFZ152" s="883"/>
      <c r="LGA152" s="883"/>
      <c r="LGB152" s="883"/>
      <c r="LGC152" s="883"/>
      <c r="LGD152" s="863"/>
      <c r="LGE152" s="863"/>
      <c r="LGF152" s="863"/>
      <c r="LGG152" s="863"/>
      <c r="LGH152" s="863"/>
      <c r="LGI152" s="863"/>
      <c r="LGJ152" s="863"/>
      <c r="LGK152" s="863"/>
      <c r="LGL152" s="863"/>
      <c r="LGM152" s="863"/>
      <c r="LGN152" s="863"/>
      <c r="LGO152" s="863"/>
      <c r="LGP152" s="863"/>
      <c r="LGQ152" s="863"/>
      <c r="LGR152" s="863"/>
      <c r="LGS152" s="863"/>
      <c r="LGT152" s="863"/>
      <c r="LGU152" s="863"/>
      <c r="LGV152" s="863"/>
      <c r="LGW152" s="863"/>
      <c r="LGX152" s="863"/>
      <c r="LGY152" s="863"/>
      <c r="LGZ152" s="863"/>
      <c r="LHA152" s="883"/>
      <c r="LHB152" s="883"/>
      <c r="LHC152" s="883"/>
      <c r="LHD152" s="883"/>
      <c r="LHE152" s="883"/>
      <c r="LHF152" s="883"/>
      <c r="LHG152" s="883"/>
      <c r="LHH152" s="883"/>
      <c r="LHI152" s="883"/>
      <c r="LHJ152" s="863"/>
      <c r="LHK152" s="863"/>
      <c r="LHL152" s="863"/>
      <c r="LHM152" s="863"/>
      <c r="LHN152" s="863"/>
      <c r="LHO152" s="863"/>
      <c r="LHP152" s="863"/>
      <c r="LHQ152" s="863"/>
      <c r="LHR152" s="863"/>
      <c r="LHS152" s="863"/>
      <c r="LHT152" s="863"/>
      <c r="LHU152" s="863"/>
      <c r="LHV152" s="863"/>
      <c r="LHW152" s="863"/>
      <c r="LHX152" s="863"/>
      <c r="LHY152" s="863"/>
      <c r="LHZ152" s="863"/>
      <c r="LIA152" s="863"/>
      <c r="LIB152" s="863"/>
      <c r="LIC152" s="863"/>
      <c r="LID152" s="863"/>
      <c r="LIE152" s="863"/>
      <c r="LIF152" s="863"/>
      <c r="LIG152" s="883"/>
      <c r="LIH152" s="883"/>
      <c r="LII152" s="883"/>
      <c r="LIJ152" s="883"/>
      <c r="LIK152" s="883"/>
      <c r="LIL152" s="883"/>
      <c r="LIM152" s="883"/>
      <c r="LIN152" s="883"/>
      <c r="LIO152" s="883"/>
      <c r="LIP152" s="863"/>
      <c r="LIQ152" s="863"/>
      <c r="LIR152" s="863"/>
      <c r="LIS152" s="863"/>
      <c r="LIT152" s="863"/>
      <c r="LIU152" s="863"/>
      <c r="LIV152" s="863"/>
      <c r="LIW152" s="863"/>
      <c r="LIX152" s="863"/>
      <c r="LIY152" s="863"/>
      <c r="LIZ152" s="863"/>
      <c r="LJA152" s="863"/>
      <c r="LJB152" s="863"/>
      <c r="LJC152" s="863"/>
      <c r="LJD152" s="863"/>
      <c r="LJE152" s="863"/>
      <c r="LJF152" s="863"/>
      <c r="LJG152" s="863"/>
      <c r="LJH152" s="863"/>
      <c r="LJI152" s="863"/>
      <c r="LJJ152" s="863"/>
      <c r="LJK152" s="863"/>
      <c r="LJL152" s="863"/>
      <c r="LJM152" s="883"/>
      <c r="LJN152" s="883"/>
      <c r="LJO152" s="883"/>
      <c r="LJP152" s="883"/>
      <c r="LJQ152" s="883"/>
      <c r="LJR152" s="883"/>
      <c r="LJS152" s="883"/>
      <c r="LJT152" s="883"/>
      <c r="LJU152" s="883"/>
      <c r="LJV152" s="863"/>
      <c r="LJW152" s="863"/>
      <c r="LJX152" s="863"/>
      <c r="LJY152" s="863"/>
      <c r="LJZ152" s="863"/>
      <c r="LKA152" s="863"/>
      <c r="LKB152" s="863"/>
      <c r="LKC152" s="863"/>
      <c r="LKD152" s="863"/>
      <c r="LKE152" s="863"/>
      <c r="LKF152" s="863"/>
      <c r="LKG152" s="863"/>
      <c r="LKH152" s="863"/>
      <c r="LKI152" s="863"/>
      <c r="LKJ152" s="863"/>
      <c r="LKK152" s="863"/>
      <c r="LKL152" s="863"/>
      <c r="LKM152" s="863"/>
      <c r="LKN152" s="863"/>
      <c r="LKO152" s="863"/>
      <c r="LKP152" s="863"/>
      <c r="LKQ152" s="863"/>
      <c r="LKR152" s="863"/>
      <c r="LKS152" s="883"/>
      <c r="LKT152" s="883"/>
      <c r="LKU152" s="883"/>
      <c r="LKV152" s="883"/>
      <c r="LKW152" s="883"/>
      <c r="LKX152" s="883"/>
      <c r="LKY152" s="883"/>
      <c r="LKZ152" s="883"/>
      <c r="LLA152" s="883"/>
      <c r="LLB152" s="863"/>
      <c r="LLC152" s="863"/>
      <c r="LLD152" s="863"/>
      <c r="LLE152" s="863"/>
      <c r="LLF152" s="863"/>
      <c r="LLG152" s="863"/>
      <c r="LLH152" s="863"/>
      <c r="LLI152" s="863"/>
      <c r="LLJ152" s="863"/>
      <c r="LLK152" s="863"/>
      <c r="LLL152" s="863"/>
      <c r="LLM152" s="863"/>
      <c r="LLN152" s="863"/>
      <c r="LLO152" s="863"/>
      <c r="LLP152" s="863"/>
      <c r="LLQ152" s="863"/>
      <c r="LLR152" s="863"/>
      <c r="LLS152" s="863"/>
      <c r="LLT152" s="863"/>
      <c r="LLU152" s="863"/>
      <c r="LLV152" s="863"/>
      <c r="LLW152" s="863"/>
      <c r="LLX152" s="863"/>
      <c r="LLY152" s="883"/>
      <c r="LLZ152" s="883"/>
      <c r="LMA152" s="883"/>
      <c r="LMB152" s="883"/>
      <c r="LMC152" s="883"/>
      <c r="LMD152" s="883"/>
      <c r="LME152" s="883"/>
      <c r="LMF152" s="883"/>
      <c r="LMG152" s="883"/>
      <c r="LMH152" s="863"/>
      <c r="LMI152" s="863"/>
      <c r="LMJ152" s="863"/>
      <c r="LMK152" s="863"/>
      <c r="LML152" s="863"/>
      <c r="LMM152" s="863"/>
      <c r="LMN152" s="863"/>
      <c r="LMO152" s="863"/>
      <c r="LMP152" s="863"/>
      <c r="LMQ152" s="863"/>
      <c r="LMR152" s="863"/>
      <c r="LMS152" s="863"/>
      <c r="LMT152" s="863"/>
      <c r="LMU152" s="863"/>
      <c r="LMV152" s="863"/>
      <c r="LMW152" s="863"/>
      <c r="LMX152" s="863"/>
      <c r="LMY152" s="863"/>
      <c r="LMZ152" s="863"/>
      <c r="LNA152" s="863"/>
      <c r="LNB152" s="863"/>
      <c r="LNC152" s="863"/>
      <c r="LND152" s="863"/>
      <c r="LNE152" s="883"/>
      <c r="LNF152" s="883"/>
      <c r="LNG152" s="883"/>
      <c r="LNH152" s="883"/>
      <c r="LNI152" s="883"/>
      <c r="LNJ152" s="883"/>
      <c r="LNK152" s="883"/>
      <c r="LNL152" s="883"/>
      <c r="LNM152" s="883"/>
      <c r="LNN152" s="863"/>
      <c r="LNO152" s="863"/>
      <c r="LNP152" s="863"/>
      <c r="LNQ152" s="863"/>
      <c r="LNR152" s="863"/>
      <c r="LNS152" s="863"/>
      <c r="LNT152" s="863"/>
      <c r="LNU152" s="863"/>
      <c r="LNV152" s="863"/>
      <c r="LNW152" s="863"/>
      <c r="LNX152" s="863"/>
      <c r="LNY152" s="863"/>
      <c r="LNZ152" s="863"/>
      <c r="LOA152" s="863"/>
      <c r="LOB152" s="863"/>
      <c r="LOC152" s="863"/>
      <c r="LOD152" s="863"/>
      <c r="LOE152" s="863"/>
      <c r="LOF152" s="863"/>
      <c r="LOG152" s="863"/>
      <c r="LOH152" s="863"/>
      <c r="LOI152" s="863"/>
      <c r="LOJ152" s="863"/>
      <c r="LOK152" s="883"/>
      <c r="LOL152" s="883"/>
      <c r="LOM152" s="883"/>
      <c r="LON152" s="883"/>
      <c r="LOO152" s="883"/>
      <c r="LOP152" s="883"/>
      <c r="LOQ152" s="883"/>
      <c r="LOR152" s="883"/>
      <c r="LOS152" s="883"/>
      <c r="LOT152" s="863"/>
      <c r="LOU152" s="863"/>
      <c r="LOV152" s="863"/>
      <c r="LOW152" s="863"/>
      <c r="LOX152" s="863"/>
      <c r="LOY152" s="863"/>
      <c r="LOZ152" s="863"/>
      <c r="LPA152" s="863"/>
      <c r="LPB152" s="863"/>
      <c r="LPC152" s="863"/>
      <c r="LPD152" s="863"/>
      <c r="LPE152" s="863"/>
      <c r="LPF152" s="863"/>
      <c r="LPG152" s="863"/>
      <c r="LPH152" s="863"/>
      <c r="LPI152" s="863"/>
      <c r="LPJ152" s="863"/>
      <c r="LPK152" s="863"/>
      <c r="LPL152" s="863"/>
      <c r="LPM152" s="863"/>
      <c r="LPN152" s="863"/>
      <c r="LPO152" s="863"/>
      <c r="LPP152" s="863"/>
      <c r="LPQ152" s="883"/>
      <c r="LPR152" s="883"/>
      <c r="LPS152" s="883"/>
      <c r="LPT152" s="883"/>
      <c r="LPU152" s="883"/>
      <c r="LPV152" s="883"/>
      <c r="LPW152" s="883"/>
      <c r="LPX152" s="883"/>
      <c r="LPY152" s="883"/>
      <c r="LPZ152" s="863"/>
      <c r="LQA152" s="863"/>
      <c r="LQB152" s="863"/>
      <c r="LQC152" s="863"/>
      <c r="LQD152" s="863"/>
      <c r="LQE152" s="863"/>
      <c r="LQF152" s="863"/>
      <c r="LQG152" s="863"/>
      <c r="LQH152" s="863"/>
      <c r="LQI152" s="863"/>
      <c r="LQJ152" s="863"/>
      <c r="LQK152" s="863"/>
      <c r="LQL152" s="863"/>
      <c r="LQM152" s="863"/>
      <c r="LQN152" s="863"/>
      <c r="LQO152" s="863"/>
      <c r="LQP152" s="863"/>
      <c r="LQQ152" s="863"/>
      <c r="LQR152" s="863"/>
      <c r="LQS152" s="863"/>
      <c r="LQT152" s="863"/>
      <c r="LQU152" s="863"/>
      <c r="LQV152" s="863"/>
      <c r="LQW152" s="883"/>
      <c r="LQX152" s="883"/>
      <c r="LQY152" s="883"/>
      <c r="LQZ152" s="883"/>
      <c r="LRA152" s="883"/>
      <c r="LRB152" s="883"/>
      <c r="LRC152" s="883"/>
      <c r="LRD152" s="883"/>
      <c r="LRE152" s="883"/>
      <c r="LRF152" s="863"/>
      <c r="LRG152" s="863"/>
      <c r="LRH152" s="863"/>
      <c r="LRI152" s="863"/>
      <c r="LRJ152" s="863"/>
      <c r="LRK152" s="863"/>
      <c r="LRL152" s="863"/>
      <c r="LRM152" s="863"/>
      <c r="LRN152" s="863"/>
      <c r="LRO152" s="863"/>
      <c r="LRP152" s="863"/>
      <c r="LRQ152" s="863"/>
      <c r="LRR152" s="863"/>
      <c r="LRS152" s="863"/>
      <c r="LRT152" s="863"/>
      <c r="LRU152" s="863"/>
      <c r="LRV152" s="863"/>
      <c r="LRW152" s="863"/>
      <c r="LRX152" s="863"/>
      <c r="LRY152" s="863"/>
      <c r="LRZ152" s="863"/>
      <c r="LSA152" s="863"/>
      <c r="LSB152" s="863"/>
      <c r="LSC152" s="883"/>
      <c r="LSD152" s="883"/>
      <c r="LSE152" s="883"/>
      <c r="LSF152" s="883"/>
      <c r="LSG152" s="883"/>
      <c r="LSH152" s="883"/>
      <c r="LSI152" s="883"/>
      <c r="LSJ152" s="883"/>
      <c r="LSK152" s="883"/>
      <c r="LSL152" s="863"/>
      <c r="LSM152" s="863"/>
      <c r="LSN152" s="863"/>
      <c r="LSO152" s="863"/>
      <c r="LSP152" s="863"/>
      <c r="LSQ152" s="863"/>
      <c r="LSR152" s="863"/>
      <c r="LSS152" s="863"/>
      <c r="LST152" s="863"/>
      <c r="LSU152" s="863"/>
      <c r="LSV152" s="863"/>
      <c r="LSW152" s="863"/>
      <c r="LSX152" s="863"/>
      <c r="LSY152" s="863"/>
      <c r="LSZ152" s="863"/>
      <c r="LTA152" s="863"/>
      <c r="LTB152" s="863"/>
      <c r="LTC152" s="863"/>
      <c r="LTD152" s="863"/>
      <c r="LTE152" s="863"/>
      <c r="LTF152" s="863"/>
      <c r="LTG152" s="863"/>
      <c r="LTH152" s="863"/>
      <c r="LTI152" s="883"/>
      <c r="LTJ152" s="883"/>
      <c r="LTK152" s="883"/>
      <c r="LTL152" s="883"/>
      <c r="LTM152" s="883"/>
      <c r="LTN152" s="883"/>
      <c r="LTO152" s="883"/>
      <c r="LTP152" s="883"/>
      <c r="LTQ152" s="883"/>
      <c r="LTR152" s="863"/>
      <c r="LTS152" s="863"/>
      <c r="LTT152" s="863"/>
      <c r="LTU152" s="863"/>
      <c r="LTV152" s="863"/>
      <c r="LTW152" s="863"/>
      <c r="LTX152" s="863"/>
      <c r="LTY152" s="863"/>
      <c r="LTZ152" s="863"/>
      <c r="LUA152" s="863"/>
      <c r="LUB152" s="863"/>
      <c r="LUC152" s="863"/>
      <c r="LUD152" s="863"/>
      <c r="LUE152" s="863"/>
      <c r="LUF152" s="863"/>
      <c r="LUG152" s="863"/>
      <c r="LUH152" s="863"/>
      <c r="LUI152" s="863"/>
      <c r="LUJ152" s="863"/>
      <c r="LUK152" s="863"/>
      <c r="LUL152" s="863"/>
      <c r="LUM152" s="863"/>
      <c r="LUN152" s="863"/>
      <c r="LUO152" s="883"/>
      <c r="LUP152" s="883"/>
      <c r="LUQ152" s="883"/>
      <c r="LUR152" s="883"/>
      <c r="LUS152" s="883"/>
      <c r="LUT152" s="883"/>
      <c r="LUU152" s="883"/>
      <c r="LUV152" s="883"/>
      <c r="LUW152" s="883"/>
      <c r="LUX152" s="863"/>
      <c r="LUY152" s="863"/>
      <c r="LUZ152" s="863"/>
      <c r="LVA152" s="863"/>
      <c r="LVB152" s="863"/>
      <c r="LVC152" s="863"/>
      <c r="LVD152" s="863"/>
      <c r="LVE152" s="863"/>
      <c r="LVF152" s="863"/>
      <c r="LVG152" s="863"/>
      <c r="LVH152" s="863"/>
      <c r="LVI152" s="863"/>
      <c r="LVJ152" s="863"/>
      <c r="LVK152" s="863"/>
      <c r="LVL152" s="863"/>
      <c r="LVM152" s="863"/>
      <c r="LVN152" s="863"/>
      <c r="LVO152" s="863"/>
      <c r="LVP152" s="863"/>
      <c r="LVQ152" s="863"/>
      <c r="LVR152" s="863"/>
      <c r="LVS152" s="863"/>
      <c r="LVT152" s="863"/>
      <c r="LVU152" s="883"/>
      <c r="LVV152" s="883"/>
      <c r="LVW152" s="883"/>
      <c r="LVX152" s="883"/>
      <c r="LVY152" s="883"/>
      <c r="LVZ152" s="883"/>
      <c r="LWA152" s="883"/>
      <c r="LWB152" s="883"/>
      <c r="LWC152" s="883"/>
      <c r="LWD152" s="863"/>
      <c r="LWE152" s="863"/>
      <c r="LWF152" s="863"/>
      <c r="LWG152" s="863"/>
      <c r="LWH152" s="863"/>
      <c r="LWI152" s="863"/>
      <c r="LWJ152" s="863"/>
      <c r="LWK152" s="863"/>
      <c r="LWL152" s="863"/>
      <c r="LWM152" s="863"/>
      <c r="LWN152" s="863"/>
      <c r="LWO152" s="863"/>
      <c r="LWP152" s="863"/>
      <c r="LWQ152" s="863"/>
      <c r="LWR152" s="863"/>
      <c r="LWS152" s="863"/>
      <c r="LWT152" s="863"/>
      <c r="LWU152" s="863"/>
      <c r="LWV152" s="863"/>
      <c r="LWW152" s="863"/>
      <c r="LWX152" s="863"/>
      <c r="LWY152" s="863"/>
      <c r="LWZ152" s="863"/>
      <c r="LXA152" s="883"/>
      <c r="LXB152" s="883"/>
      <c r="LXC152" s="883"/>
      <c r="LXD152" s="883"/>
      <c r="LXE152" s="883"/>
      <c r="LXF152" s="883"/>
      <c r="LXG152" s="883"/>
      <c r="LXH152" s="883"/>
      <c r="LXI152" s="883"/>
      <c r="LXJ152" s="863"/>
      <c r="LXK152" s="863"/>
      <c r="LXL152" s="863"/>
      <c r="LXM152" s="863"/>
      <c r="LXN152" s="863"/>
      <c r="LXO152" s="863"/>
      <c r="LXP152" s="863"/>
      <c r="LXQ152" s="863"/>
      <c r="LXR152" s="863"/>
      <c r="LXS152" s="863"/>
      <c r="LXT152" s="863"/>
      <c r="LXU152" s="863"/>
      <c r="LXV152" s="863"/>
      <c r="LXW152" s="863"/>
      <c r="LXX152" s="863"/>
      <c r="LXY152" s="863"/>
      <c r="LXZ152" s="863"/>
      <c r="LYA152" s="863"/>
      <c r="LYB152" s="863"/>
      <c r="LYC152" s="863"/>
      <c r="LYD152" s="863"/>
      <c r="LYE152" s="863"/>
      <c r="LYF152" s="863"/>
      <c r="LYG152" s="883"/>
      <c r="LYH152" s="883"/>
      <c r="LYI152" s="883"/>
      <c r="LYJ152" s="883"/>
      <c r="LYK152" s="883"/>
      <c r="LYL152" s="883"/>
      <c r="LYM152" s="883"/>
      <c r="LYN152" s="883"/>
      <c r="LYO152" s="883"/>
      <c r="LYP152" s="863"/>
      <c r="LYQ152" s="863"/>
      <c r="LYR152" s="863"/>
      <c r="LYS152" s="863"/>
      <c r="LYT152" s="863"/>
      <c r="LYU152" s="863"/>
      <c r="LYV152" s="863"/>
      <c r="LYW152" s="863"/>
      <c r="LYX152" s="863"/>
      <c r="LYY152" s="863"/>
      <c r="LYZ152" s="863"/>
      <c r="LZA152" s="863"/>
      <c r="LZB152" s="863"/>
      <c r="LZC152" s="863"/>
      <c r="LZD152" s="863"/>
      <c r="LZE152" s="863"/>
      <c r="LZF152" s="863"/>
      <c r="LZG152" s="863"/>
      <c r="LZH152" s="863"/>
      <c r="LZI152" s="863"/>
      <c r="LZJ152" s="863"/>
      <c r="LZK152" s="863"/>
      <c r="LZL152" s="863"/>
      <c r="LZM152" s="883"/>
      <c r="LZN152" s="883"/>
      <c r="LZO152" s="883"/>
      <c r="LZP152" s="883"/>
      <c r="LZQ152" s="883"/>
      <c r="LZR152" s="883"/>
      <c r="LZS152" s="883"/>
      <c r="LZT152" s="883"/>
      <c r="LZU152" s="883"/>
      <c r="LZV152" s="863"/>
      <c r="LZW152" s="863"/>
      <c r="LZX152" s="863"/>
      <c r="LZY152" s="863"/>
      <c r="LZZ152" s="863"/>
      <c r="MAA152" s="863"/>
      <c r="MAB152" s="863"/>
      <c r="MAC152" s="863"/>
      <c r="MAD152" s="863"/>
      <c r="MAE152" s="863"/>
      <c r="MAF152" s="863"/>
      <c r="MAG152" s="863"/>
      <c r="MAH152" s="863"/>
      <c r="MAI152" s="863"/>
      <c r="MAJ152" s="863"/>
      <c r="MAK152" s="863"/>
      <c r="MAL152" s="863"/>
      <c r="MAM152" s="863"/>
      <c r="MAN152" s="863"/>
      <c r="MAO152" s="863"/>
      <c r="MAP152" s="863"/>
      <c r="MAQ152" s="863"/>
      <c r="MAR152" s="863"/>
      <c r="MAS152" s="883"/>
      <c r="MAT152" s="883"/>
      <c r="MAU152" s="883"/>
      <c r="MAV152" s="883"/>
      <c r="MAW152" s="883"/>
      <c r="MAX152" s="883"/>
      <c r="MAY152" s="883"/>
      <c r="MAZ152" s="883"/>
      <c r="MBA152" s="883"/>
      <c r="MBB152" s="863"/>
      <c r="MBC152" s="863"/>
      <c r="MBD152" s="863"/>
      <c r="MBE152" s="863"/>
      <c r="MBF152" s="863"/>
      <c r="MBG152" s="863"/>
      <c r="MBH152" s="863"/>
      <c r="MBI152" s="863"/>
      <c r="MBJ152" s="863"/>
      <c r="MBK152" s="863"/>
      <c r="MBL152" s="863"/>
      <c r="MBM152" s="863"/>
      <c r="MBN152" s="863"/>
      <c r="MBO152" s="863"/>
      <c r="MBP152" s="863"/>
      <c r="MBQ152" s="863"/>
      <c r="MBR152" s="863"/>
      <c r="MBS152" s="863"/>
      <c r="MBT152" s="863"/>
      <c r="MBU152" s="863"/>
      <c r="MBV152" s="863"/>
      <c r="MBW152" s="863"/>
      <c r="MBX152" s="863"/>
      <c r="MBY152" s="883"/>
      <c r="MBZ152" s="883"/>
      <c r="MCA152" s="883"/>
      <c r="MCB152" s="883"/>
      <c r="MCC152" s="883"/>
      <c r="MCD152" s="883"/>
      <c r="MCE152" s="883"/>
      <c r="MCF152" s="883"/>
      <c r="MCG152" s="883"/>
      <c r="MCH152" s="863"/>
      <c r="MCI152" s="863"/>
      <c r="MCJ152" s="863"/>
      <c r="MCK152" s="863"/>
      <c r="MCL152" s="863"/>
      <c r="MCM152" s="863"/>
      <c r="MCN152" s="863"/>
      <c r="MCO152" s="863"/>
      <c r="MCP152" s="863"/>
      <c r="MCQ152" s="863"/>
      <c r="MCR152" s="863"/>
      <c r="MCS152" s="863"/>
      <c r="MCT152" s="863"/>
      <c r="MCU152" s="863"/>
      <c r="MCV152" s="863"/>
      <c r="MCW152" s="863"/>
      <c r="MCX152" s="863"/>
      <c r="MCY152" s="863"/>
      <c r="MCZ152" s="863"/>
      <c r="MDA152" s="863"/>
      <c r="MDB152" s="863"/>
      <c r="MDC152" s="863"/>
      <c r="MDD152" s="863"/>
      <c r="MDE152" s="883"/>
      <c r="MDF152" s="883"/>
      <c r="MDG152" s="883"/>
      <c r="MDH152" s="883"/>
      <c r="MDI152" s="883"/>
      <c r="MDJ152" s="883"/>
      <c r="MDK152" s="883"/>
      <c r="MDL152" s="883"/>
      <c r="MDM152" s="883"/>
      <c r="MDN152" s="863"/>
      <c r="MDO152" s="863"/>
      <c r="MDP152" s="863"/>
      <c r="MDQ152" s="863"/>
      <c r="MDR152" s="863"/>
      <c r="MDS152" s="863"/>
      <c r="MDT152" s="863"/>
      <c r="MDU152" s="863"/>
      <c r="MDV152" s="863"/>
      <c r="MDW152" s="863"/>
      <c r="MDX152" s="863"/>
      <c r="MDY152" s="863"/>
      <c r="MDZ152" s="863"/>
      <c r="MEA152" s="863"/>
      <c r="MEB152" s="863"/>
      <c r="MEC152" s="863"/>
      <c r="MED152" s="863"/>
      <c r="MEE152" s="863"/>
      <c r="MEF152" s="863"/>
      <c r="MEG152" s="863"/>
      <c r="MEH152" s="863"/>
      <c r="MEI152" s="863"/>
      <c r="MEJ152" s="863"/>
      <c r="MEK152" s="883"/>
      <c r="MEL152" s="883"/>
      <c r="MEM152" s="883"/>
      <c r="MEN152" s="883"/>
      <c r="MEO152" s="883"/>
      <c r="MEP152" s="883"/>
      <c r="MEQ152" s="883"/>
      <c r="MER152" s="883"/>
      <c r="MES152" s="883"/>
      <c r="MET152" s="863"/>
      <c r="MEU152" s="863"/>
      <c r="MEV152" s="863"/>
      <c r="MEW152" s="863"/>
      <c r="MEX152" s="863"/>
      <c r="MEY152" s="863"/>
      <c r="MEZ152" s="863"/>
      <c r="MFA152" s="863"/>
      <c r="MFB152" s="863"/>
      <c r="MFC152" s="863"/>
      <c r="MFD152" s="863"/>
      <c r="MFE152" s="863"/>
      <c r="MFF152" s="863"/>
      <c r="MFG152" s="863"/>
      <c r="MFH152" s="863"/>
      <c r="MFI152" s="863"/>
      <c r="MFJ152" s="863"/>
      <c r="MFK152" s="863"/>
      <c r="MFL152" s="863"/>
      <c r="MFM152" s="863"/>
      <c r="MFN152" s="863"/>
      <c r="MFO152" s="863"/>
      <c r="MFP152" s="863"/>
      <c r="MFQ152" s="883"/>
      <c r="MFR152" s="883"/>
      <c r="MFS152" s="883"/>
      <c r="MFT152" s="883"/>
      <c r="MFU152" s="883"/>
      <c r="MFV152" s="883"/>
      <c r="MFW152" s="883"/>
      <c r="MFX152" s="883"/>
      <c r="MFY152" s="883"/>
      <c r="MFZ152" s="863"/>
      <c r="MGA152" s="863"/>
      <c r="MGB152" s="863"/>
      <c r="MGC152" s="863"/>
      <c r="MGD152" s="863"/>
      <c r="MGE152" s="863"/>
      <c r="MGF152" s="863"/>
      <c r="MGG152" s="863"/>
      <c r="MGH152" s="863"/>
      <c r="MGI152" s="863"/>
      <c r="MGJ152" s="863"/>
      <c r="MGK152" s="863"/>
      <c r="MGL152" s="863"/>
      <c r="MGM152" s="863"/>
      <c r="MGN152" s="863"/>
      <c r="MGO152" s="863"/>
      <c r="MGP152" s="863"/>
      <c r="MGQ152" s="863"/>
      <c r="MGR152" s="863"/>
      <c r="MGS152" s="863"/>
      <c r="MGT152" s="863"/>
      <c r="MGU152" s="863"/>
      <c r="MGV152" s="863"/>
      <c r="MGW152" s="883"/>
      <c r="MGX152" s="883"/>
      <c r="MGY152" s="883"/>
      <c r="MGZ152" s="883"/>
      <c r="MHA152" s="883"/>
      <c r="MHB152" s="883"/>
      <c r="MHC152" s="883"/>
      <c r="MHD152" s="883"/>
      <c r="MHE152" s="883"/>
      <c r="MHF152" s="863"/>
      <c r="MHG152" s="863"/>
      <c r="MHH152" s="863"/>
      <c r="MHI152" s="863"/>
      <c r="MHJ152" s="863"/>
      <c r="MHK152" s="863"/>
      <c r="MHL152" s="863"/>
      <c r="MHM152" s="863"/>
      <c r="MHN152" s="863"/>
      <c r="MHO152" s="863"/>
      <c r="MHP152" s="863"/>
      <c r="MHQ152" s="863"/>
      <c r="MHR152" s="863"/>
      <c r="MHS152" s="863"/>
      <c r="MHT152" s="863"/>
      <c r="MHU152" s="863"/>
      <c r="MHV152" s="863"/>
      <c r="MHW152" s="863"/>
      <c r="MHX152" s="863"/>
      <c r="MHY152" s="863"/>
      <c r="MHZ152" s="863"/>
      <c r="MIA152" s="863"/>
      <c r="MIB152" s="863"/>
      <c r="MIC152" s="883"/>
      <c r="MID152" s="883"/>
      <c r="MIE152" s="883"/>
      <c r="MIF152" s="883"/>
      <c r="MIG152" s="883"/>
      <c r="MIH152" s="883"/>
      <c r="MII152" s="883"/>
      <c r="MIJ152" s="883"/>
      <c r="MIK152" s="883"/>
      <c r="MIL152" s="863"/>
      <c r="MIM152" s="863"/>
      <c r="MIN152" s="863"/>
      <c r="MIO152" s="863"/>
      <c r="MIP152" s="863"/>
      <c r="MIQ152" s="863"/>
      <c r="MIR152" s="863"/>
      <c r="MIS152" s="863"/>
      <c r="MIT152" s="863"/>
      <c r="MIU152" s="863"/>
      <c r="MIV152" s="863"/>
      <c r="MIW152" s="863"/>
      <c r="MIX152" s="863"/>
      <c r="MIY152" s="863"/>
      <c r="MIZ152" s="863"/>
      <c r="MJA152" s="863"/>
      <c r="MJB152" s="863"/>
      <c r="MJC152" s="863"/>
      <c r="MJD152" s="863"/>
      <c r="MJE152" s="863"/>
      <c r="MJF152" s="863"/>
      <c r="MJG152" s="863"/>
      <c r="MJH152" s="863"/>
      <c r="MJI152" s="883"/>
      <c r="MJJ152" s="883"/>
      <c r="MJK152" s="883"/>
      <c r="MJL152" s="883"/>
      <c r="MJM152" s="883"/>
      <c r="MJN152" s="883"/>
      <c r="MJO152" s="883"/>
      <c r="MJP152" s="883"/>
      <c r="MJQ152" s="883"/>
      <c r="MJR152" s="863"/>
      <c r="MJS152" s="863"/>
      <c r="MJT152" s="863"/>
      <c r="MJU152" s="863"/>
      <c r="MJV152" s="863"/>
      <c r="MJW152" s="863"/>
      <c r="MJX152" s="863"/>
      <c r="MJY152" s="863"/>
      <c r="MJZ152" s="863"/>
      <c r="MKA152" s="863"/>
      <c r="MKB152" s="863"/>
      <c r="MKC152" s="863"/>
      <c r="MKD152" s="863"/>
      <c r="MKE152" s="863"/>
      <c r="MKF152" s="863"/>
      <c r="MKG152" s="863"/>
      <c r="MKH152" s="863"/>
      <c r="MKI152" s="863"/>
      <c r="MKJ152" s="863"/>
      <c r="MKK152" s="863"/>
      <c r="MKL152" s="863"/>
      <c r="MKM152" s="863"/>
      <c r="MKN152" s="863"/>
      <c r="MKO152" s="883"/>
      <c r="MKP152" s="883"/>
      <c r="MKQ152" s="883"/>
      <c r="MKR152" s="883"/>
      <c r="MKS152" s="883"/>
      <c r="MKT152" s="883"/>
      <c r="MKU152" s="883"/>
      <c r="MKV152" s="883"/>
      <c r="MKW152" s="883"/>
      <c r="MKX152" s="863"/>
      <c r="MKY152" s="863"/>
      <c r="MKZ152" s="863"/>
      <c r="MLA152" s="863"/>
      <c r="MLB152" s="863"/>
      <c r="MLC152" s="863"/>
      <c r="MLD152" s="863"/>
      <c r="MLE152" s="863"/>
      <c r="MLF152" s="863"/>
      <c r="MLG152" s="863"/>
      <c r="MLH152" s="863"/>
      <c r="MLI152" s="863"/>
      <c r="MLJ152" s="863"/>
      <c r="MLK152" s="863"/>
      <c r="MLL152" s="863"/>
      <c r="MLM152" s="863"/>
      <c r="MLN152" s="863"/>
      <c r="MLO152" s="863"/>
      <c r="MLP152" s="863"/>
      <c r="MLQ152" s="863"/>
      <c r="MLR152" s="863"/>
      <c r="MLS152" s="863"/>
      <c r="MLT152" s="863"/>
      <c r="MLU152" s="883"/>
      <c r="MLV152" s="883"/>
      <c r="MLW152" s="883"/>
      <c r="MLX152" s="883"/>
      <c r="MLY152" s="883"/>
      <c r="MLZ152" s="883"/>
      <c r="MMA152" s="883"/>
      <c r="MMB152" s="883"/>
      <c r="MMC152" s="883"/>
      <c r="MMD152" s="863"/>
      <c r="MME152" s="863"/>
      <c r="MMF152" s="863"/>
      <c r="MMG152" s="863"/>
      <c r="MMH152" s="863"/>
      <c r="MMI152" s="863"/>
      <c r="MMJ152" s="863"/>
      <c r="MMK152" s="863"/>
      <c r="MML152" s="863"/>
      <c r="MMM152" s="863"/>
      <c r="MMN152" s="863"/>
      <c r="MMO152" s="863"/>
      <c r="MMP152" s="863"/>
      <c r="MMQ152" s="863"/>
      <c r="MMR152" s="863"/>
      <c r="MMS152" s="863"/>
      <c r="MMT152" s="863"/>
      <c r="MMU152" s="863"/>
      <c r="MMV152" s="863"/>
      <c r="MMW152" s="863"/>
      <c r="MMX152" s="863"/>
      <c r="MMY152" s="863"/>
      <c r="MMZ152" s="863"/>
      <c r="MNA152" s="883"/>
      <c r="MNB152" s="883"/>
      <c r="MNC152" s="883"/>
      <c r="MND152" s="883"/>
      <c r="MNE152" s="883"/>
      <c r="MNF152" s="883"/>
      <c r="MNG152" s="883"/>
      <c r="MNH152" s="883"/>
      <c r="MNI152" s="883"/>
      <c r="MNJ152" s="863"/>
      <c r="MNK152" s="863"/>
      <c r="MNL152" s="863"/>
      <c r="MNM152" s="863"/>
      <c r="MNN152" s="863"/>
      <c r="MNO152" s="863"/>
      <c r="MNP152" s="863"/>
      <c r="MNQ152" s="863"/>
      <c r="MNR152" s="863"/>
      <c r="MNS152" s="863"/>
      <c r="MNT152" s="863"/>
      <c r="MNU152" s="863"/>
      <c r="MNV152" s="863"/>
      <c r="MNW152" s="863"/>
      <c r="MNX152" s="863"/>
      <c r="MNY152" s="863"/>
      <c r="MNZ152" s="863"/>
      <c r="MOA152" s="863"/>
      <c r="MOB152" s="863"/>
      <c r="MOC152" s="863"/>
      <c r="MOD152" s="863"/>
      <c r="MOE152" s="863"/>
      <c r="MOF152" s="863"/>
      <c r="MOG152" s="883"/>
      <c r="MOH152" s="883"/>
      <c r="MOI152" s="883"/>
      <c r="MOJ152" s="883"/>
      <c r="MOK152" s="883"/>
      <c r="MOL152" s="883"/>
      <c r="MOM152" s="883"/>
      <c r="MON152" s="883"/>
      <c r="MOO152" s="883"/>
      <c r="MOP152" s="863"/>
      <c r="MOQ152" s="863"/>
      <c r="MOR152" s="863"/>
      <c r="MOS152" s="863"/>
      <c r="MOT152" s="863"/>
      <c r="MOU152" s="863"/>
      <c r="MOV152" s="863"/>
      <c r="MOW152" s="863"/>
      <c r="MOX152" s="863"/>
      <c r="MOY152" s="863"/>
      <c r="MOZ152" s="863"/>
      <c r="MPA152" s="863"/>
      <c r="MPB152" s="863"/>
      <c r="MPC152" s="863"/>
      <c r="MPD152" s="863"/>
      <c r="MPE152" s="863"/>
      <c r="MPF152" s="863"/>
      <c r="MPG152" s="863"/>
      <c r="MPH152" s="863"/>
      <c r="MPI152" s="863"/>
      <c r="MPJ152" s="863"/>
      <c r="MPK152" s="863"/>
      <c r="MPL152" s="863"/>
      <c r="MPM152" s="883"/>
      <c r="MPN152" s="883"/>
      <c r="MPO152" s="883"/>
      <c r="MPP152" s="883"/>
      <c r="MPQ152" s="883"/>
      <c r="MPR152" s="883"/>
      <c r="MPS152" s="883"/>
      <c r="MPT152" s="883"/>
      <c r="MPU152" s="883"/>
      <c r="MPV152" s="863"/>
      <c r="MPW152" s="863"/>
      <c r="MPX152" s="863"/>
      <c r="MPY152" s="863"/>
      <c r="MPZ152" s="863"/>
      <c r="MQA152" s="863"/>
      <c r="MQB152" s="863"/>
      <c r="MQC152" s="863"/>
      <c r="MQD152" s="863"/>
      <c r="MQE152" s="863"/>
      <c r="MQF152" s="863"/>
      <c r="MQG152" s="863"/>
      <c r="MQH152" s="863"/>
      <c r="MQI152" s="863"/>
      <c r="MQJ152" s="863"/>
      <c r="MQK152" s="863"/>
      <c r="MQL152" s="863"/>
      <c r="MQM152" s="863"/>
      <c r="MQN152" s="863"/>
      <c r="MQO152" s="863"/>
      <c r="MQP152" s="863"/>
      <c r="MQQ152" s="863"/>
      <c r="MQR152" s="863"/>
      <c r="MQS152" s="883"/>
      <c r="MQT152" s="883"/>
      <c r="MQU152" s="883"/>
      <c r="MQV152" s="883"/>
      <c r="MQW152" s="883"/>
      <c r="MQX152" s="883"/>
      <c r="MQY152" s="883"/>
      <c r="MQZ152" s="883"/>
      <c r="MRA152" s="883"/>
      <c r="MRB152" s="863"/>
      <c r="MRC152" s="863"/>
      <c r="MRD152" s="863"/>
      <c r="MRE152" s="863"/>
      <c r="MRF152" s="863"/>
      <c r="MRG152" s="863"/>
      <c r="MRH152" s="863"/>
      <c r="MRI152" s="863"/>
      <c r="MRJ152" s="863"/>
      <c r="MRK152" s="863"/>
      <c r="MRL152" s="863"/>
      <c r="MRM152" s="863"/>
      <c r="MRN152" s="863"/>
      <c r="MRO152" s="863"/>
      <c r="MRP152" s="863"/>
      <c r="MRQ152" s="863"/>
      <c r="MRR152" s="863"/>
      <c r="MRS152" s="863"/>
      <c r="MRT152" s="863"/>
      <c r="MRU152" s="863"/>
      <c r="MRV152" s="863"/>
      <c r="MRW152" s="863"/>
      <c r="MRX152" s="863"/>
      <c r="MRY152" s="883"/>
      <c r="MRZ152" s="883"/>
      <c r="MSA152" s="883"/>
      <c r="MSB152" s="883"/>
      <c r="MSC152" s="883"/>
      <c r="MSD152" s="883"/>
      <c r="MSE152" s="883"/>
      <c r="MSF152" s="883"/>
      <c r="MSG152" s="883"/>
      <c r="MSH152" s="863"/>
      <c r="MSI152" s="863"/>
      <c r="MSJ152" s="863"/>
      <c r="MSK152" s="863"/>
      <c r="MSL152" s="863"/>
      <c r="MSM152" s="863"/>
      <c r="MSN152" s="863"/>
      <c r="MSO152" s="863"/>
      <c r="MSP152" s="863"/>
      <c r="MSQ152" s="863"/>
      <c r="MSR152" s="863"/>
      <c r="MSS152" s="863"/>
      <c r="MST152" s="863"/>
      <c r="MSU152" s="863"/>
      <c r="MSV152" s="863"/>
      <c r="MSW152" s="863"/>
      <c r="MSX152" s="863"/>
      <c r="MSY152" s="863"/>
      <c r="MSZ152" s="863"/>
      <c r="MTA152" s="863"/>
      <c r="MTB152" s="863"/>
      <c r="MTC152" s="863"/>
      <c r="MTD152" s="863"/>
      <c r="MTE152" s="883"/>
      <c r="MTF152" s="883"/>
      <c r="MTG152" s="883"/>
      <c r="MTH152" s="883"/>
      <c r="MTI152" s="883"/>
      <c r="MTJ152" s="883"/>
      <c r="MTK152" s="883"/>
      <c r="MTL152" s="883"/>
      <c r="MTM152" s="883"/>
      <c r="MTN152" s="863"/>
      <c r="MTO152" s="863"/>
      <c r="MTP152" s="863"/>
      <c r="MTQ152" s="863"/>
      <c r="MTR152" s="863"/>
      <c r="MTS152" s="863"/>
      <c r="MTT152" s="863"/>
      <c r="MTU152" s="863"/>
      <c r="MTV152" s="863"/>
      <c r="MTW152" s="863"/>
      <c r="MTX152" s="863"/>
      <c r="MTY152" s="863"/>
      <c r="MTZ152" s="863"/>
      <c r="MUA152" s="863"/>
      <c r="MUB152" s="863"/>
      <c r="MUC152" s="863"/>
      <c r="MUD152" s="863"/>
      <c r="MUE152" s="863"/>
      <c r="MUF152" s="863"/>
      <c r="MUG152" s="863"/>
      <c r="MUH152" s="863"/>
      <c r="MUI152" s="863"/>
      <c r="MUJ152" s="863"/>
      <c r="MUK152" s="883"/>
      <c r="MUL152" s="883"/>
      <c r="MUM152" s="883"/>
      <c r="MUN152" s="883"/>
      <c r="MUO152" s="883"/>
      <c r="MUP152" s="883"/>
      <c r="MUQ152" s="883"/>
      <c r="MUR152" s="883"/>
      <c r="MUS152" s="883"/>
      <c r="MUT152" s="863"/>
      <c r="MUU152" s="863"/>
      <c r="MUV152" s="863"/>
      <c r="MUW152" s="863"/>
      <c r="MUX152" s="863"/>
      <c r="MUY152" s="863"/>
      <c r="MUZ152" s="863"/>
      <c r="MVA152" s="863"/>
      <c r="MVB152" s="863"/>
      <c r="MVC152" s="863"/>
      <c r="MVD152" s="863"/>
      <c r="MVE152" s="863"/>
      <c r="MVF152" s="863"/>
      <c r="MVG152" s="863"/>
      <c r="MVH152" s="863"/>
      <c r="MVI152" s="863"/>
      <c r="MVJ152" s="863"/>
      <c r="MVK152" s="863"/>
      <c r="MVL152" s="863"/>
      <c r="MVM152" s="863"/>
      <c r="MVN152" s="863"/>
      <c r="MVO152" s="863"/>
      <c r="MVP152" s="863"/>
      <c r="MVQ152" s="883"/>
      <c r="MVR152" s="883"/>
      <c r="MVS152" s="883"/>
      <c r="MVT152" s="883"/>
      <c r="MVU152" s="883"/>
      <c r="MVV152" s="883"/>
      <c r="MVW152" s="883"/>
      <c r="MVX152" s="883"/>
      <c r="MVY152" s="883"/>
      <c r="MVZ152" s="863"/>
      <c r="MWA152" s="863"/>
      <c r="MWB152" s="863"/>
      <c r="MWC152" s="863"/>
      <c r="MWD152" s="863"/>
      <c r="MWE152" s="863"/>
      <c r="MWF152" s="863"/>
      <c r="MWG152" s="863"/>
      <c r="MWH152" s="863"/>
      <c r="MWI152" s="863"/>
      <c r="MWJ152" s="863"/>
      <c r="MWK152" s="863"/>
      <c r="MWL152" s="863"/>
      <c r="MWM152" s="863"/>
      <c r="MWN152" s="863"/>
      <c r="MWO152" s="863"/>
      <c r="MWP152" s="863"/>
      <c r="MWQ152" s="863"/>
      <c r="MWR152" s="863"/>
      <c r="MWS152" s="863"/>
      <c r="MWT152" s="863"/>
      <c r="MWU152" s="863"/>
      <c r="MWV152" s="863"/>
      <c r="MWW152" s="883"/>
      <c r="MWX152" s="883"/>
      <c r="MWY152" s="883"/>
      <c r="MWZ152" s="883"/>
      <c r="MXA152" s="883"/>
      <c r="MXB152" s="883"/>
      <c r="MXC152" s="883"/>
      <c r="MXD152" s="883"/>
      <c r="MXE152" s="883"/>
      <c r="MXF152" s="863"/>
      <c r="MXG152" s="863"/>
      <c r="MXH152" s="863"/>
      <c r="MXI152" s="863"/>
      <c r="MXJ152" s="863"/>
      <c r="MXK152" s="863"/>
      <c r="MXL152" s="863"/>
      <c r="MXM152" s="863"/>
      <c r="MXN152" s="863"/>
      <c r="MXO152" s="863"/>
      <c r="MXP152" s="863"/>
      <c r="MXQ152" s="863"/>
      <c r="MXR152" s="863"/>
      <c r="MXS152" s="863"/>
      <c r="MXT152" s="863"/>
      <c r="MXU152" s="863"/>
      <c r="MXV152" s="863"/>
      <c r="MXW152" s="863"/>
      <c r="MXX152" s="863"/>
      <c r="MXY152" s="863"/>
      <c r="MXZ152" s="863"/>
      <c r="MYA152" s="863"/>
      <c r="MYB152" s="863"/>
      <c r="MYC152" s="883"/>
      <c r="MYD152" s="883"/>
      <c r="MYE152" s="883"/>
      <c r="MYF152" s="883"/>
      <c r="MYG152" s="883"/>
      <c r="MYH152" s="883"/>
      <c r="MYI152" s="883"/>
      <c r="MYJ152" s="883"/>
      <c r="MYK152" s="883"/>
      <c r="MYL152" s="863"/>
      <c r="MYM152" s="863"/>
      <c r="MYN152" s="863"/>
      <c r="MYO152" s="863"/>
      <c r="MYP152" s="863"/>
      <c r="MYQ152" s="863"/>
      <c r="MYR152" s="863"/>
      <c r="MYS152" s="863"/>
      <c r="MYT152" s="863"/>
      <c r="MYU152" s="863"/>
      <c r="MYV152" s="863"/>
      <c r="MYW152" s="863"/>
      <c r="MYX152" s="863"/>
      <c r="MYY152" s="863"/>
      <c r="MYZ152" s="863"/>
      <c r="MZA152" s="863"/>
      <c r="MZB152" s="863"/>
      <c r="MZC152" s="863"/>
      <c r="MZD152" s="863"/>
      <c r="MZE152" s="863"/>
      <c r="MZF152" s="863"/>
      <c r="MZG152" s="863"/>
      <c r="MZH152" s="863"/>
      <c r="MZI152" s="883"/>
      <c r="MZJ152" s="883"/>
      <c r="MZK152" s="883"/>
      <c r="MZL152" s="883"/>
      <c r="MZM152" s="883"/>
      <c r="MZN152" s="883"/>
      <c r="MZO152" s="883"/>
      <c r="MZP152" s="883"/>
      <c r="MZQ152" s="883"/>
      <c r="MZR152" s="863"/>
      <c r="MZS152" s="863"/>
      <c r="MZT152" s="863"/>
      <c r="MZU152" s="863"/>
      <c r="MZV152" s="863"/>
      <c r="MZW152" s="863"/>
      <c r="MZX152" s="863"/>
      <c r="MZY152" s="863"/>
      <c r="MZZ152" s="863"/>
      <c r="NAA152" s="863"/>
      <c r="NAB152" s="863"/>
      <c r="NAC152" s="863"/>
      <c r="NAD152" s="863"/>
      <c r="NAE152" s="863"/>
      <c r="NAF152" s="863"/>
      <c r="NAG152" s="863"/>
      <c r="NAH152" s="863"/>
      <c r="NAI152" s="863"/>
      <c r="NAJ152" s="863"/>
      <c r="NAK152" s="863"/>
      <c r="NAL152" s="863"/>
      <c r="NAM152" s="863"/>
      <c r="NAN152" s="863"/>
      <c r="NAO152" s="883"/>
      <c r="NAP152" s="883"/>
      <c r="NAQ152" s="883"/>
      <c r="NAR152" s="883"/>
      <c r="NAS152" s="883"/>
      <c r="NAT152" s="883"/>
      <c r="NAU152" s="883"/>
      <c r="NAV152" s="883"/>
      <c r="NAW152" s="883"/>
      <c r="NAX152" s="863"/>
      <c r="NAY152" s="863"/>
      <c r="NAZ152" s="863"/>
      <c r="NBA152" s="863"/>
      <c r="NBB152" s="863"/>
      <c r="NBC152" s="863"/>
      <c r="NBD152" s="863"/>
      <c r="NBE152" s="863"/>
      <c r="NBF152" s="863"/>
      <c r="NBG152" s="863"/>
      <c r="NBH152" s="863"/>
      <c r="NBI152" s="863"/>
      <c r="NBJ152" s="863"/>
      <c r="NBK152" s="863"/>
      <c r="NBL152" s="863"/>
      <c r="NBM152" s="863"/>
      <c r="NBN152" s="863"/>
      <c r="NBO152" s="863"/>
      <c r="NBP152" s="863"/>
      <c r="NBQ152" s="863"/>
      <c r="NBR152" s="863"/>
      <c r="NBS152" s="863"/>
      <c r="NBT152" s="863"/>
      <c r="NBU152" s="883"/>
      <c r="NBV152" s="883"/>
      <c r="NBW152" s="883"/>
      <c r="NBX152" s="883"/>
      <c r="NBY152" s="883"/>
      <c r="NBZ152" s="883"/>
      <c r="NCA152" s="883"/>
      <c r="NCB152" s="883"/>
      <c r="NCC152" s="883"/>
      <c r="NCD152" s="863"/>
      <c r="NCE152" s="863"/>
      <c r="NCF152" s="863"/>
      <c r="NCG152" s="863"/>
      <c r="NCH152" s="863"/>
      <c r="NCI152" s="863"/>
      <c r="NCJ152" s="863"/>
      <c r="NCK152" s="863"/>
      <c r="NCL152" s="863"/>
      <c r="NCM152" s="863"/>
      <c r="NCN152" s="863"/>
      <c r="NCO152" s="863"/>
      <c r="NCP152" s="863"/>
      <c r="NCQ152" s="863"/>
      <c r="NCR152" s="863"/>
      <c r="NCS152" s="863"/>
      <c r="NCT152" s="863"/>
      <c r="NCU152" s="863"/>
      <c r="NCV152" s="863"/>
      <c r="NCW152" s="863"/>
      <c r="NCX152" s="863"/>
      <c r="NCY152" s="863"/>
      <c r="NCZ152" s="863"/>
      <c r="NDA152" s="883"/>
      <c r="NDB152" s="883"/>
      <c r="NDC152" s="883"/>
      <c r="NDD152" s="883"/>
      <c r="NDE152" s="883"/>
      <c r="NDF152" s="883"/>
      <c r="NDG152" s="883"/>
      <c r="NDH152" s="883"/>
      <c r="NDI152" s="883"/>
      <c r="NDJ152" s="863"/>
      <c r="NDK152" s="863"/>
      <c r="NDL152" s="863"/>
      <c r="NDM152" s="863"/>
      <c r="NDN152" s="863"/>
      <c r="NDO152" s="863"/>
      <c r="NDP152" s="863"/>
      <c r="NDQ152" s="863"/>
      <c r="NDR152" s="863"/>
      <c r="NDS152" s="863"/>
      <c r="NDT152" s="863"/>
      <c r="NDU152" s="863"/>
      <c r="NDV152" s="863"/>
      <c r="NDW152" s="863"/>
      <c r="NDX152" s="863"/>
      <c r="NDY152" s="863"/>
      <c r="NDZ152" s="863"/>
      <c r="NEA152" s="863"/>
      <c r="NEB152" s="863"/>
      <c r="NEC152" s="863"/>
      <c r="NED152" s="863"/>
      <c r="NEE152" s="863"/>
      <c r="NEF152" s="863"/>
      <c r="NEG152" s="883"/>
      <c r="NEH152" s="883"/>
      <c r="NEI152" s="883"/>
      <c r="NEJ152" s="883"/>
      <c r="NEK152" s="883"/>
      <c r="NEL152" s="883"/>
      <c r="NEM152" s="883"/>
      <c r="NEN152" s="883"/>
      <c r="NEO152" s="883"/>
      <c r="NEP152" s="863"/>
      <c r="NEQ152" s="863"/>
      <c r="NER152" s="863"/>
      <c r="NES152" s="863"/>
      <c r="NET152" s="863"/>
      <c r="NEU152" s="863"/>
      <c r="NEV152" s="863"/>
      <c r="NEW152" s="863"/>
      <c r="NEX152" s="863"/>
      <c r="NEY152" s="863"/>
      <c r="NEZ152" s="863"/>
      <c r="NFA152" s="863"/>
      <c r="NFB152" s="863"/>
      <c r="NFC152" s="863"/>
      <c r="NFD152" s="863"/>
      <c r="NFE152" s="863"/>
      <c r="NFF152" s="863"/>
      <c r="NFG152" s="863"/>
      <c r="NFH152" s="863"/>
      <c r="NFI152" s="863"/>
      <c r="NFJ152" s="863"/>
      <c r="NFK152" s="863"/>
      <c r="NFL152" s="863"/>
      <c r="NFM152" s="883"/>
      <c r="NFN152" s="883"/>
      <c r="NFO152" s="883"/>
      <c r="NFP152" s="883"/>
      <c r="NFQ152" s="883"/>
      <c r="NFR152" s="883"/>
      <c r="NFS152" s="883"/>
      <c r="NFT152" s="883"/>
      <c r="NFU152" s="883"/>
      <c r="NFV152" s="863"/>
      <c r="NFW152" s="863"/>
      <c r="NFX152" s="863"/>
      <c r="NFY152" s="863"/>
      <c r="NFZ152" s="863"/>
      <c r="NGA152" s="863"/>
      <c r="NGB152" s="863"/>
      <c r="NGC152" s="863"/>
      <c r="NGD152" s="863"/>
      <c r="NGE152" s="863"/>
      <c r="NGF152" s="863"/>
      <c r="NGG152" s="863"/>
      <c r="NGH152" s="863"/>
      <c r="NGI152" s="863"/>
      <c r="NGJ152" s="863"/>
      <c r="NGK152" s="863"/>
      <c r="NGL152" s="863"/>
      <c r="NGM152" s="863"/>
      <c r="NGN152" s="863"/>
      <c r="NGO152" s="863"/>
      <c r="NGP152" s="863"/>
      <c r="NGQ152" s="863"/>
      <c r="NGR152" s="863"/>
      <c r="NGS152" s="883"/>
      <c r="NGT152" s="883"/>
      <c r="NGU152" s="883"/>
      <c r="NGV152" s="883"/>
      <c r="NGW152" s="883"/>
      <c r="NGX152" s="883"/>
      <c r="NGY152" s="883"/>
      <c r="NGZ152" s="883"/>
      <c r="NHA152" s="883"/>
      <c r="NHB152" s="863"/>
      <c r="NHC152" s="863"/>
      <c r="NHD152" s="863"/>
      <c r="NHE152" s="863"/>
      <c r="NHF152" s="863"/>
      <c r="NHG152" s="863"/>
      <c r="NHH152" s="863"/>
      <c r="NHI152" s="863"/>
      <c r="NHJ152" s="863"/>
      <c r="NHK152" s="863"/>
      <c r="NHL152" s="863"/>
      <c r="NHM152" s="863"/>
      <c r="NHN152" s="863"/>
      <c r="NHO152" s="863"/>
      <c r="NHP152" s="863"/>
      <c r="NHQ152" s="863"/>
      <c r="NHR152" s="863"/>
      <c r="NHS152" s="863"/>
      <c r="NHT152" s="863"/>
      <c r="NHU152" s="863"/>
      <c r="NHV152" s="863"/>
      <c r="NHW152" s="863"/>
      <c r="NHX152" s="863"/>
      <c r="NHY152" s="883"/>
      <c r="NHZ152" s="883"/>
      <c r="NIA152" s="883"/>
      <c r="NIB152" s="883"/>
      <c r="NIC152" s="883"/>
      <c r="NID152" s="883"/>
      <c r="NIE152" s="883"/>
      <c r="NIF152" s="883"/>
      <c r="NIG152" s="883"/>
      <c r="NIH152" s="863"/>
      <c r="NII152" s="863"/>
      <c r="NIJ152" s="863"/>
      <c r="NIK152" s="863"/>
      <c r="NIL152" s="863"/>
      <c r="NIM152" s="863"/>
      <c r="NIN152" s="863"/>
      <c r="NIO152" s="863"/>
      <c r="NIP152" s="863"/>
      <c r="NIQ152" s="863"/>
      <c r="NIR152" s="863"/>
      <c r="NIS152" s="863"/>
      <c r="NIT152" s="863"/>
      <c r="NIU152" s="863"/>
      <c r="NIV152" s="863"/>
      <c r="NIW152" s="863"/>
      <c r="NIX152" s="863"/>
      <c r="NIY152" s="863"/>
      <c r="NIZ152" s="863"/>
      <c r="NJA152" s="863"/>
      <c r="NJB152" s="863"/>
      <c r="NJC152" s="863"/>
      <c r="NJD152" s="863"/>
      <c r="NJE152" s="883"/>
      <c r="NJF152" s="883"/>
      <c r="NJG152" s="883"/>
      <c r="NJH152" s="883"/>
      <c r="NJI152" s="883"/>
      <c r="NJJ152" s="883"/>
      <c r="NJK152" s="883"/>
      <c r="NJL152" s="883"/>
      <c r="NJM152" s="883"/>
      <c r="NJN152" s="863"/>
      <c r="NJO152" s="863"/>
      <c r="NJP152" s="863"/>
      <c r="NJQ152" s="863"/>
      <c r="NJR152" s="863"/>
      <c r="NJS152" s="863"/>
      <c r="NJT152" s="863"/>
      <c r="NJU152" s="863"/>
      <c r="NJV152" s="863"/>
      <c r="NJW152" s="863"/>
      <c r="NJX152" s="863"/>
      <c r="NJY152" s="863"/>
      <c r="NJZ152" s="863"/>
      <c r="NKA152" s="863"/>
      <c r="NKB152" s="863"/>
      <c r="NKC152" s="863"/>
      <c r="NKD152" s="863"/>
      <c r="NKE152" s="863"/>
      <c r="NKF152" s="863"/>
      <c r="NKG152" s="863"/>
      <c r="NKH152" s="863"/>
      <c r="NKI152" s="863"/>
      <c r="NKJ152" s="863"/>
      <c r="NKK152" s="883"/>
      <c r="NKL152" s="883"/>
      <c r="NKM152" s="883"/>
      <c r="NKN152" s="883"/>
      <c r="NKO152" s="883"/>
      <c r="NKP152" s="883"/>
      <c r="NKQ152" s="883"/>
      <c r="NKR152" s="883"/>
      <c r="NKS152" s="883"/>
      <c r="NKT152" s="863"/>
      <c r="NKU152" s="863"/>
      <c r="NKV152" s="863"/>
      <c r="NKW152" s="863"/>
      <c r="NKX152" s="863"/>
      <c r="NKY152" s="863"/>
      <c r="NKZ152" s="863"/>
      <c r="NLA152" s="863"/>
      <c r="NLB152" s="863"/>
      <c r="NLC152" s="863"/>
      <c r="NLD152" s="863"/>
      <c r="NLE152" s="863"/>
      <c r="NLF152" s="863"/>
      <c r="NLG152" s="863"/>
      <c r="NLH152" s="863"/>
      <c r="NLI152" s="863"/>
      <c r="NLJ152" s="863"/>
      <c r="NLK152" s="863"/>
      <c r="NLL152" s="863"/>
      <c r="NLM152" s="863"/>
      <c r="NLN152" s="863"/>
      <c r="NLO152" s="863"/>
      <c r="NLP152" s="863"/>
      <c r="NLQ152" s="883"/>
      <c r="NLR152" s="883"/>
      <c r="NLS152" s="883"/>
      <c r="NLT152" s="883"/>
      <c r="NLU152" s="883"/>
      <c r="NLV152" s="883"/>
      <c r="NLW152" s="883"/>
      <c r="NLX152" s="883"/>
      <c r="NLY152" s="883"/>
      <c r="NLZ152" s="863"/>
      <c r="NMA152" s="863"/>
      <c r="NMB152" s="863"/>
      <c r="NMC152" s="863"/>
      <c r="NMD152" s="863"/>
      <c r="NME152" s="863"/>
      <c r="NMF152" s="863"/>
      <c r="NMG152" s="863"/>
      <c r="NMH152" s="863"/>
      <c r="NMI152" s="863"/>
      <c r="NMJ152" s="863"/>
      <c r="NMK152" s="863"/>
      <c r="NML152" s="863"/>
      <c r="NMM152" s="863"/>
      <c r="NMN152" s="863"/>
      <c r="NMO152" s="863"/>
      <c r="NMP152" s="863"/>
      <c r="NMQ152" s="863"/>
      <c r="NMR152" s="863"/>
      <c r="NMS152" s="863"/>
      <c r="NMT152" s="863"/>
      <c r="NMU152" s="863"/>
      <c r="NMV152" s="863"/>
      <c r="NMW152" s="883"/>
      <c r="NMX152" s="883"/>
      <c r="NMY152" s="883"/>
      <c r="NMZ152" s="883"/>
      <c r="NNA152" s="883"/>
      <c r="NNB152" s="883"/>
      <c r="NNC152" s="883"/>
      <c r="NND152" s="883"/>
      <c r="NNE152" s="883"/>
      <c r="NNF152" s="863"/>
      <c r="NNG152" s="863"/>
      <c r="NNH152" s="863"/>
      <c r="NNI152" s="863"/>
      <c r="NNJ152" s="863"/>
      <c r="NNK152" s="863"/>
      <c r="NNL152" s="863"/>
      <c r="NNM152" s="863"/>
      <c r="NNN152" s="863"/>
      <c r="NNO152" s="863"/>
      <c r="NNP152" s="863"/>
      <c r="NNQ152" s="863"/>
      <c r="NNR152" s="863"/>
      <c r="NNS152" s="863"/>
      <c r="NNT152" s="863"/>
      <c r="NNU152" s="863"/>
      <c r="NNV152" s="863"/>
      <c r="NNW152" s="863"/>
      <c r="NNX152" s="863"/>
      <c r="NNY152" s="863"/>
      <c r="NNZ152" s="863"/>
      <c r="NOA152" s="863"/>
      <c r="NOB152" s="863"/>
      <c r="NOC152" s="883"/>
      <c r="NOD152" s="883"/>
      <c r="NOE152" s="883"/>
      <c r="NOF152" s="883"/>
      <c r="NOG152" s="883"/>
      <c r="NOH152" s="883"/>
      <c r="NOI152" s="883"/>
      <c r="NOJ152" s="883"/>
      <c r="NOK152" s="883"/>
      <c r="NOL152" s="863"/>
      <c r="NOM152" s="863"/>
      <c r="NON152" s="863"/>
      <c r="NOO152" s="863"/>
      <c r="NOP152" s="863"/>
      <c r="NOQ152" s="863"/>
      <c r="NOR152" s="863"/>
      <c r="NOS152" s="863"/>
      <c r="NOT152" s="863"/>
      <c r="NOU152" s="863"/>
      <c r="NOV152" s="863"/>
      <c r="NOW152" s="863"/>
      <c r="NOX152" s="863"/>
      <c r="NOY152" s="863"/>
      <c r="NOZ152" s="863"/>
      <c r="NPA152" s="863"/>
      <c r="NPB152" s="863"/>
      <c r="NPC152" s="863"/>
      <c r="NPD152" s="863"/>
      <c r="NPE152" s="863"/>
      <c r="NPF152" s="863"/>
      <c r="NPG152" s="863"/>
      <c r="NPH152" s="863"/>
      <c r="NPI152" s="883"/>
      <c r="NPJ152" s="883"/>
      <c r="NPK152" s="883"/>
      <c r="NPL152" s="883"/>
      <c r="NPM152" s="883"/>
      <c r="NPN152" s="883"/>
      <c r="NPO152" s="883"/>
      <c r="NPP152" s="883"/>
      <c r="NPQ152" s="883"/>
      <c r="NPR152" s="863"/>
      <c r="NPS152" s="863"/>
      <c r="NPT152" s="863"/>
      <c r="NPU152" s="863"/>
      <c r="NPV152" s="863"/>
      <c r="NPW152" s="863"/>
      <c r="NPX152" s="863"/>
      <c r="NPY152" s="863"/>
      <c r="NPZ152" s="863"/>
      <c r="NQA152" s="863"/>
      <c r="NQB152" s="863"/>
      <c r="NQC152" s="863"/>
      <c r="NQD152" s="863"/>
      <c r="NQE152" s="863"/>
      <c r="NQF152" s="863"/>
      <c r="NQG152" s="863"/>
      <c r="NQH152" s="863"/>
      <c r="NQI152" s="863"/>
      <c r="NQJ152" s="863"/>
      <c r="NQK152" s="863"/>
      <c r="NQL152" s="863"/>
      <c r="NQM152" s="863"/>
      <c r="NQN152" s="863"/>
      <c r="NQO152" s="883"/>
      <c r="NQP152" s="883"/>
      <c r="NQQ152" s="883"/>
      <c r="NQR152" s="883"/>
      <c r="NQS152" s="883"/>
      <c r="NQT152" s="883"/>
      <c r="NQU152" s="883"/>
      <c r="NQV152" s="883"/>
      <c r="NQW152" s="883"/>
      <c r="NQX152" s="863"/>
      <c r="NQY152" s="863"/>
      <c r="NQZ152" s="863"/>
      <c r="NRA152" s="863"/>
      <c r="NRB152" s="863"/>
      <c r="NRC152" s="863"/>
      <c r="NRD152" s="863"/>
      <c r="NRE152" s="863"/>
      <c r="NRF152" s="863"/>
      <c r="NRG152" s="863"/>
      <c r="NRH152" s="863"/>
      <c r="NRI152" s="863"/>
      <c r="NRJ152" s="863"/>
      <c r="NRK152" s="863"/>
      <c r="NRL152" s="863"/>
      <c r="NRM152" s="863"/>
      <c r="NRN152" s="863"/>
      <c r="NRO152" s="863"/>
      <c r="NRP152" s="863"/>
      <c r="NRQ152" s="863"/>
      <c r="NRR152" s="863"/>
      <c r="NRS152" s="863"/>
      <c r="NRT152" s="863"/>
      <c r="NRU152" s="883"/>
      <c r="NRV152" s="883"/>
      <c r="NRW152" s="883"/>
      <c r="NRX152" s="883"/>
      <c r="NRY152" s="883"/>
      <c r="NRZ152" s="883"/>
      <c r="NSA152" s="883"/>
      <c r="NSB152" s="883"/>
      <c r="NSC152" s="883"/>
      <c r="NSD152" s="863"/>
      <c r="NSE152" s="863"/>
      <c r="NSF152" s="863"/>
      <c r="NSG152" s="863"/>
      <c r="NSH152" s="863"/>
      <c r="NSI152" s="863"/>
      <c r="NSJ152" s="863"/>
      <c r="NSK152" s="863"/>
      <c r="NSL152" s="863"/>
      <c r="NSM152" s="863"/>
      <c r="NSN152" s="863"/>
      <c r="NSO152" s="863"/>
      <c r="NSP152" s="863"/>
      <c r="NSQ152" s="863"/>
      <c r="NSR152" s="863"/>
      <c r="NSS152" s="863"/>
      <c r="NST152" s="863"/>
      <c r="NSU152" s="863"/>
      <c r="NSV152" s="863"/>
      <c r="NSW152" s="863"/>
      <c r="NSX152" s="863"/>
      <c r="NSY152" s="863"/>
      <c r="NSZ152" s="863"/>
      <c r="NTA152" s="883"/>
      <c r="NTB152" s="883"/>
      <c r="NTC152" s="883"/>
      <c r="NTD152" s="883"/>
      <c r="NTE152" s="883"/>
      <c r="NTF152" s="883"/>
      <c r="NTG152" s="883"/>
      <c r="NTH152" s="883"/>
      <c r="NTI152" s="883"/>
      <c r="NTJ152" s="863"/>
      <c r="NTK152" s="863"/>
      <c r="NTL152" s="863"/>
      <c r="NTM152" s="863"/>
      <c r="NTN152" s="863"/>
      <c r="NTO152" s="863"/>
      <c r="NTP152" s="863"/>
      <c r="NTQ152" s="863"/>
      <c r="NTR152" s="863"/>
      <c r="NTS152" s="863"/>
      <c r="NTT152" s="863"/>
      <c r="NTU152" s="863"/>
      <c r="NTV152" s="863"/>
      <c r="NTW152" s="863"/>
      <c r="NTX152" s="863"/>
      <c r="NTY152" s="863"/>
      <c r="NTZ152" s="863"/>
      <c r="NUA152" s="863"/>
      <c r="NUB152" s="863"/>
      <c r="NUC152" s="863"/>
      <c r="NUD152" s="863"/>
      <c r="NUE152" s="863"/>
      <c r="NUF152" s="863"/>
      <c r="NUG152" s="883"/>
      <c r="NUH152" s="883"/>
      <c r="NUI152" s="883"/>
      <c r="NUJ152" s="883"/>
      <c r="NUK152" s="883"/>
      <c r="NUL152" s="883"/>
      <c r="NUM152" s="883"/>
      <c r="NUN152" s="883"/>
      <c r="NUO152" s="883"/>
      <c r="NUP152" s="863"/>
      <c r="NUQ152" s="863"/>
      <c r="NUR152" s="863"/>
      <c r="NUS152" s="863"/>
      <c r="NUT152" s="863"/>
      <c r="NUU152" s="863"/>
      <c r="NUV152" s="863"/>
      <c r="NUW152" s="863"/>
      <c r="NUX152" s="863"/>
      <c r="NUY152" s="863"/>
      <c r="NUZ152" s="863"/>
      <c r="NVA152" s="863"/>
      <c r="NVB152" s="863"/>
      <c r="NVC152" s="863"/>
      <c r="NVD152" s="863"/>
      <c r="NVE152" s="863"/>
      <c r="NVF152" s="863"/>
      <c r="NVG152" s="863"/>
      <c r="NVH152" s="863"/>
      <c r="NVI152" s="863"/>
      <c r="NVJ152" s="863"/>
      <c r="NVK152" s="863"/>
      <c r="NVL152" s="863"/>
      <c r="NVM152" s="883"/>
      <c r="NVN152" s="883"/>
      <c r="NVO152" s="883"/>
      <c r="NVP152" s="883"/>
      <c r="NVQ152" s="883"/>
      <c r="NVR152" s="883"/>
      <c r="NVS152" s="883"/>
      <c r="NVT152" s="883"/>
      <c r="NVU152" s="883"/>
      <c r="NVV152" s="863"/>
      <c r="NVW152" s="863"/>
      <c r="NVX152" s="863"/>
      <c r="NVY152" s="863"/>
      <c r="NVZ152" s="863"/>
      <c r="NWA152" s="863"/>
      <c r="NWB152" s="863"/>
      <c r="NWC152" s="863"/>
      <c r="NWD152" s="863"/>
      <c r="NWE152" s="863"/>
      <c r="NWF152" s="863"/>
      <c r="NWG152" s="863"/>
      <c r="NWH152" s="863"/>
      <c r="NWI152" s="863"/>
      <c r="NWJ152" s="863"/>
      <c r="NWK152" s="863"/>
      <c r="NWL152" s="863"/>
      <c r="NWM152" s="863"/>
      <c r="NWN152" s="863"/>
      <c r="NWO152" s="863"/>
      <c r="NWP152" s="863"/>
      <c r="NWQ152" s="863"/>
      <c r="NWR152" s="863"/>
      <c r="NWS152" s="883"/>
      <c r="NWT152" s="883"/>
      <c r="NWU152" s="883"/>
      <c r="NWV152" s="883"/>
      <c r="NWW152" s="883"/>
      <c r="NWX152" s="883"/>
      <c r="NWY152" s="883"/>
      <c r="NWZ152" s="883"/>
      <c r="NXA152" s="883"/>
      <c r="NXB152" s="863"/>
      <c r="NXC152" s="863"/>
      <c r="NXD152" s="863"/>
      <c r="NXE152" s="863"/>
      <c r="NXF152" s="863"/>
      <c r="NXG152" s="863"/>
      <c r="NXH152" s="863"/>
      <c r="NXI152" s="863"/>
      <c r="NXJ152" s="863"/>
      <c r="NXK152" s="863"/>
      <c r="NXL152" s="863"/>
      <c r="NXM152" s="863"/>
      <c r="NXN152" s="863"/>
      <c r="NXO152" s="863"/>
      <c r="NXP152" s="863"/>
      <c r="NXQ152" s="863"/>
      <c r="NXR152" s="863"/>
      <c r="NXS152" s="863"/>
      <c r="NXT152" s="863"/>
      <c r="NXU152" s="863"/>
      <c r="NXV152" s="863"/>
      <c r="NXW152" s="863"/>
      <c r="NXX152" s="863"/>
      <c r="NXY152" s="883"/>
      <c r="NXZ152" s="883"/>
      <c r="NYA152" s="883"/>
      <c r="NYB152" s="883"/>
      <c r="NYC152" s="883"/>
      <c r="NYD152" s="883"/>
      <c r="NYE152" s="883"/>
      <c r="NYF152" s="883"/>
      <c r="NYG152" s="883"/>
      <c r="NYH152" s="863"/>
      <c r="NYI152" s="863"/>
      <c r="NYJ152" s="863"/>
      <c r="NYK152" s="863"/>
      <c r="NYL152" s="863"/>
      <c r="NYM152" s="863"/>
      <c r="NYN152" s="863"/>
      <c r="NYO152" s="863"/>
      <c r="NYP152" s="863"/>
      <c r="NYQ152" s="863"/>
      <c r="NYR152" s="863"/>
      <c r="NYS152" s="863"/>
      <c r="NYT152" s="863"/>
      <c r="NYU152" s="863"/>
      <c r="NYV152" s="863"/>
      <c r="NYW152" s="863"/>
      <c r="NYX152" s="863"/>
      <c r="NYY152" s="863"/>
      <c r="NYZ152" s="863"/>
      <c r="NZA152" s="863"/>
      <c r="NZB152" s="863"/>
      <c r="NZC152" s="863"/>
      <c r="NZD152" s="863"/>
      <c r="NZE152" s="883"/>
      <c r="NZF152" s="883"/>
      <c r="NZG152" s="883"/>
      <c r="NZH152" s="883"/>
      <c r="NZI152" s="883"/>
      <c r="NZJ152" s="883"/>
      <c r="NZK152" s="883"/>
      <c r="NZL152" s="883"/>
      <c r="NZM152" s="883"/>
      <c r="NZN152" s="863"/>
      <c r="NZO152" s="863"/>
      <c r="NZP152" s="863"/>
      <c r="NZQ152" s="863"/>
      <c r="NZR152" s="863"/>
      <c r="NZS152" s="863"/>
      <c r="NZT152" s="863"/>
      <c r="NZU152" s="863"/>
      <c r="NZV152" s="863"/>
      <c r="NZW152" s="863"/>
      <c r="NZX152" s="863"/>
      <c r="NZY152" s="863"/>
      <c r="NZZ152" s="863"/>
      <c r="OAA152" s="863"/>
      <c r="OAB152" s="863"/>
      <c r="OAC152" s="863"/>
      <c r="OAD152" s="863"/>
      <c r="OAE152" s="863"/>
      <c r="OAF152" s="863"/>
      <c r="OAG152" s="863"/>
      <c r="OAH152" s="863"/>
      <c r="OAI152" s="863"/>
      <c r="OAJ152" s="863"/>
      <c r="OAK152" s="883"/>
      <c r="OAL152" s="883"/>
      <c r="OAM152" s="883"/>
      <c r="OAN152" s="883"/>
      <c r="OAO152" s="883"/>
      <c r="OAP152" s="883"/>
      <c r="OAQ152" s="883"/>
      <c r="OAR152" s="883"/>
      <c r="OAS152" s="883"/>
      <c r="OAT152" s="863"/>
      <c r="OAU152" s="863"/>
      <c r="OAV152" s="863"/>
      <c r="OAW152" s="863"/>
      <c r="OAX152" s="863"/>
      <c r="OAY152" s="863"/>
      <c r="OAZ152" s="863"/>
      <c r="OBA152" s="863"/>
      <c r="OBB152" s="863"/>
      <c r="OBC152" s="863"/>
      <c r="OBD152" s="863"/>
      <c r="OBE152" s="863"/>
      <c r="OBF152" s="863"/>
      <c r="OBG152" s="863"/>
      <c r="OBH152" s="863"/>
      <c r="OBI152" s="863"/>
      <c r="OBJ152" s="863"/>
      <c r="OBK152" s="863"/>
      <c r="OBL152" s="863"/>
      <c r="OBM152" s="863"/>
      <c r="OBN152" s="863"/>
      <c r="OBO152" s="863"/>
      <c r="OBP152" s="863"/>
      <c r="OBQ152" s="883"/>
      <c r="OBR152" s="883"/>
      <c r="OBS152" s="883"/>
      <c r="OBT152" s="883"/>
      <c r="OBU152" s="883"/>
      <c r="OBV152" s="883"/>
      <c r="OBW152" s="883"/>
      <c r="OBX152" s="883"/>
      <c r="OBY152" s="883"/>
      <c r="OBZ152" s="863"/>
      <c r="OCA152" s="863"/>
      <c r="OCB152" s="863"/>
      <c r="OCC152" s="863"/>
      <c r="OCD152" s="863"/>
      <c r="OCE152" s="863"/>
      <c r="OCF152" s="863"/>
      <c r="OCG152" s="863"/>
      <c r="OCH152" s="863"/>
      <c r="OCI152" s="863"/>
      <c r="OCJ152" s="863"/>
      <c r="OCK152" s="863"/>
      <c r="OCL152" s="863"/>
      <c r="OCM152" s="863"/>
      <c r="OCN152" s="863"/>
      <c r="OCO152" s="863"/>
      <c r="OCP152" s="863"/>
      <c r="OCQ152" s="863"/>
      <c r="OCR152" s="863"/>
      <c r="OCS152" s="863"/>
      <c r="OCT152" s="863"/>
      <c r="OCU152" s="863"/>
      <c r="OCV152" s="863"/>
      <c r="OCW152" s="883"/>
      <c r="OCX152" s="883"/>
      <c r="OCY152" s="883"/>
      <c r="OCZ152" s="883"/>
      <c r="ODA152" s="883"/>
      <c r="ODB152" s="883"/>
      <c r="ODC152" s="883"/>
      <c r="ODD152" s="883"/>
      <c r="ODE152" s="883"/>
      <c r="ODF152" s="863"/>
      <c r="ODG152" s="863"/>
      <c r="ODH152" s="863"/>
      <c r="ODI152" s="863"/>
      <c r="ODJ152" s="863"/>
      <c r="ODK152" s="863"/>
      <c r="ODL152" s="863"/>
      <c r="ODM152" s="863"/>
      <c r="ODN152" s="863"/>
      <c r="ODO152" s="863"/>
      <c r="ODP152" s="863"/>
      <c r="ODQ152" s="863"/>
      <c r="ODR152" s="863"/>
      <c r="ODS152" s="863"/>
      <c r="ODT152" s="863"/>
      <c r="ODU152" s="863"/>
      <c r="ODV152" s="863"/>
      <c r="ODW152" s="863"/>
      <c r="ODX152" s="863"/>
      <c r="ODY152" s="863"/>
      <c r="ODZ152" s="863"/>
      <c r="OEA152" s="863"/>
      <c r="OEB152" s="863"/>
      <c r="OEC152" s="883"/>
      <c r="OED152" s="883"/>
      <c r="OEE152" s="883"/>
      <c r="OEF152" s="883"/>
      <c r="OEG152" s="883"/>
      <c r="OEH152" s="883"/>
      <c r="OEI152" s="883"/>
      <c r="OEJ152" s="883"/>
      <c r="OEK152" s="883"/>
      <c r="OEL152" s="863"/>
      <c r="OEM152" s="863"/>
      <c r="OEN152" s="863"/>
      <c r="OEO152" s="863"/>
      <c r="OEP152" s="863"/>
      <c r="OEQ152" s="863"/>
      <c r="OER152" s="863"/>
      <c r="OES152" s="863"/>
      <c r="OET152" s="863"/>
      <c r="OEU152" s="863"/>
      <c r="OEV152" s="863"/>
      <c r="OEW152" s="863"/>
      <c r="OEX152" s="863"/>
      <c r="OEY152" s="863"/>
      <c r="OEZ152" s="863"/>
      <c r="OFA152" s="863"/>
      <c r="OFB152" s="863"/>
      <c r="OFC152" s="863"/>
      <c r="OFD152" s="863"/>
      <c r="OFE152" s="863"/>
      <c r="OFF152" s="863"/>
      <c r="OFG152" s="863"/>
      <c r="OFH152" s="863"/>
      <c r="OFI152" s="883"/>
      <c r="OFJ152" s="883"/>
      <c r="OFK152" s="883"/>
      <c r="OFL152" s="883"/>
      <c r="OFM152" s="883"/>
      <c r="OFN152" s="883"/>
      <c r="OFO152" s="883"/>
      <c r="OFP152" s="883"/>
      <c r="OFQ152" s="883"/>
      <c r="OFR152" s="863"/>
      <c r="OFS152" s="863"/>
      <c r="OFT152" s="863"/>
      <c r="OFU152" s="863"/>
      <c r="OFV152" s="863"/>
      <c r="OFW152" s="863"/>
      <c r="OFX152" s="863"/>
      <c r="OFY152" s="863"/>
      <c r="OFZ152" s="863"/>
      <c r="OGA152" s="863"/>
      <c r="OGB152" s="863"/>
      <c r="OGC152" s="863"/>
      <c r="OGD152" s="863"/>
      <c r="OGE152" s="863"/>
      <c r="OGF152" s="863"/>
      <c r="OGG152" s="863"/>
      <c r="OGH152" s="863"/>
      <c r="OGI152" s="863"/>
      <c r="OGJ152" s="863"/>
      <c r="OGK152" s="863"/>
      <c r="OGL152" s="863"/>
      <c r="OGM152" s="863"/>
      <c r="OGN152" s="863"/>
      <c r="OGO152" s="883"/>
      <c r="OGP152" s="883"/>
      <c r="OGQ152" s="883"/>
      <c r="OGR152" s="883"/>
      <c r="OGS152" s="883"/>
      <c r="OGT152" s="883"/>
      <c r="OGU152" s="883"/>
      <c r="OGV152" s="883"/>
      <c r="OGW152" s="883"/>
      <c r="OGX152" s="863"/>
      <c r="OGY152" s="863"/>
      <c r="OGZ152" s="863"/>
      <c r="OHA152" s="863"/>
      <c r="OHB152" s="863"/>
      <c r="OHC152" s="863"/>
      <c r="OHD152" s="863"/>
      <c r="OHE152" s="863"/>
      <c r="OHF152" s="863"/>
      <c r="OHG152" s="863"/>
      <c r="OHH152" s="863"/>
      <c r="OHI152" s="863"/>
      <c r="OHJ152" s="863"/>
      <c r="OHK152" s="863"/>
      <c r="OHL152" s="863"/>
      <c r="OHM152" s="863"/>
      <c r="OHN152" s="863"/>
      <c r="OHO152" s="863"/>
      <c r="OHP152" s="863"/>
      <c r="OHQ152" s="863"/>
      <c r="OHR152" s="863"/>
      <c r="OHS152" s="863"/>
      <c r="OHT152" s="863"/>
      <c r="OHU152" s="883"/>
      <c r="OHV152" s="883"/>
      <c r="OHW152" s="883"/>
      <c r="OHX152" s="883"/>
      <c r="OHY152" s="883"/>
      <c r="OHZ152" s="883"/>
      <c r="OIA152" s="883"/>
      <c r="OIB152" s="883"/>
      <c r="OIC152" s="883"/>
      <c r="OID152" s="863"/>
      <c r="OIE152" s="863"/>
      <c r="OIF152" s="863"/>
      <c r="OIG152" s="863"/>
      <c r="OIH152" s="863"/>
      <c r="OII152" s="863"/>
      <c r="OIJ152" s="863"/>
      <c r="OIK152" s="863"/>
      <c r="OIL152" s="863"/>
      <c r="OIM152" s="863"/>
      <c r="OIN152" s="863"/>
      <c r="OIO152" s="863"/>
      <c r="OIP152" s="863"/>
      <c r="OIQ152" s="863"/>
      <c r="OIR152" s="863"/>
      <c r="OIS152" s="863"/>
      <c r="OIT152" s="863"/>
      <c r="OIU152" s="863"/>
      <c r="OIV152" s="863"/>
      <c r="OIW152" s="863"/>
      <c r="OIX152" s="863"/>
      <c r="OIY152" s="863"/>
      <c r="OIZ152" s="863"/>
      <c r="OJA152" s="883"/>
      <c r="OJB152" s="883"/>
      <c r="OJC152" s="883"/>
      <c r="OJD152" s="883"/>
      <c r="OJE152" s="883"/>
      <c r="OJF152" s="883"/>
      <c r="OJG152" s="883"/>
      <c r="OJH152" s="883"/>
      <c r="OJI152" s="883"/>
      <c r="OJJ152" s="863"/>
      <c r="OJK152" s="863"/>
      <c r="OJL152" s="863"/>
      <c r="OJM152" s="863"/>
      <c r="OJN152" s="863"/>
      <c r="OJO152" s="863"/>
      <c r="OJP152" s="863"/>
      <c r="OJQ152" s="863"/>
      <c r="OJR152" s="863"/>
      <c r="OJS152" s="863"/>
      <c r="OJT152" s="863"/>
      <c r="OJU152" s="863"/>
      <c r="OJV152" s="863"/>
      <c r="OJW152" s="863"/>
      <c r="OJX152" s="863"/>
      <c r="OJY152" s="863"/>
      <c r="OJZ152" s="863"/>
      <c r="OKA152" s="863"/>
      <c r="OKB152" s="863"/>
      <c r="OKC152" s="863"/>
      <c r="OKD152" s="863"/>
      <c r="OKE152" s="863"/>
      <c r="OKF152" s="863"/>
      <c r="OKG152" s="883"/>
      <c r="OKH152" s="883"/>
      <c r="OKI152" s="883"/>
      <c r="OKJ152" s="883"/>
      <c r="OKK152" s="883"/>
      <c r="OKL152" s="883"/>
      <c r="OKM152" s="883"/>
      <c r="OKN152" s="883"/>
      <c r="OKO152" s="883"/>
      <c r="OKP152" s="863"/>
      <c r="OKQ152" s="863"/>
      <c r="OKR152" s="863"/>
      <c r="OKS152" s="863"/>
      <c r="OKT152" s="863"/>
      <c r="OKU152" s="863"/>
      <c r="OKV152" s="863"/>
      <c r="OKW152" s="863"/>
      <c r="OKX152" s="863"/>
      <c r="OKY152" s="863"/>
      <c r="OKZ152" s="863"/>
      <c r="OLA152" s="863"/>
      <c r="OLB152" s="863"/>
      <c r="OLC152" s="863"/>
      <c r="OLD152" s="863"/>
      <c r="OLE152" s="863"/>
      <c r="OLF152" s="863"/>
      <c r="OLG152" s="863"/>
      <c r="OLH152" s="863"/>
      <c r="OLI152" s="863"/>
      <c r="OLJ152" s="863"/>
      <c r="OLK152" s="863"/>
      <c r="OLL152" s="863"/>
      <c r="OLM152" s="883"/>
      <c r="OLN152" s="883"/>
      <c r="OLO152" s="883"/>
      <c r="OLP152" s="883"/>
      <c r="OLQ152" s="883"/>
      <c r="OLR152" s="883"/>
      <c r="OLS152" s="883"/>
      <c r="OLT152" s="883"/>
      <c r="OLU152" s="883"/>
      <c r="OLV152" s="863"/>
      <c r="OLW152" s="863"/>
      <c r="OLX152" s="863"/>
      <c r="OLY152" s="863"/>
      <c r="OLZ152" s="863"/>
      <c r="OMA152" s="863"/>
      <c r="OMB152" s="863"/>
      <c r="OMC152" s="863"/>
      <c r="OMD152" s="863"/>
      <c r="OME152" s="863"/>
      <c r="OMF152" s="863"/>
      <c r="OMG152" s="863"/>
      <c r="OMH152" s="863"/>
      <c r="OMI152" s="863"/>
      <c r="OMJ152" s="863"/>
      <c r="OMK152" s="863"/>
      <c r="OML152" s="863"/>
      <c r="OMM152" s="863"/>
      <c r="OMN152" s="863"/>
      <c r="OMO152" s="863"/>
      <c r="OMP152" s="863"/>
      <c r="OMQ152" s="863"/>
      <c r="OMR152" s="863"/>
      <c r="OMS152" s="883"/>
      <c r="OMT152" s="883"/>
      <c r="OMU152" s="883"/>
      <c r="OMV152" s="883"/>
      <c r="OMW152" s="883"/>
      <c r="OMX152" s="883"/>
      <c r="OMY152" s="883"/>
      <c r="OMZ152" s="883"/>
      <c r="ONA152" s="883"/>
      <c r="ONB152" s="863"/>
      <c r="ONC152" s="863"/>
      <c r="OND152" s="863"/>
      <c r="ONE152" s="863"/>
      <c r="ONF152" s="863"/>
      <c r="ONG152" s="863"/>
      <c r="ONH152" s="863"/>
      <c r="ONI152" s="863"/>
      <c r="ONJ152" s="863"/>
      <c r="ONK152" s="863"/>
      <c r="ONL152" s="863"/>
      <c r="ONM152" s="863"/>
      <c r="ONN152" s="863"/>
      <c r="ONO152" s="863"/>
      <c r="ONP152" s="863"/>
      <c r="ONQ152" s="863"/>
      <c r="ONR152" s="863"/>
      <c r="ONS152" s="863"/>
      <c r="ONT152" s="863"/>
      <c r="ONU152" s="863"/>
      <c r="ONV152" s="863"/>
      <c r="ONW152" s="863"/>
      <c r="ONX152" s="863"/>
      <c r="ONY152" s="883"/>
      <c r="ONZ152" s="883"/>
      <c r="OOA152" s="883"/>
      <c r="OOB152" s="883"/>
      <c r="OOC152" s="883"/>
      <c r="OOD152" s="883"/>
      <c r="OOE152" s="883"/>
      <c r="OOF152" s="883"/>
      <c r="OOG152" s="883"/>
      <c r="OOH152" s="863"/>
      <c r="OOI152" s="863"/>
      <c r="OOJ152" s="863"/>
      <c r="OOK152" s="863"/>
      <c r="OOL152" s="863"/>
      <c r="OOM152" s="863"/>
      <c r="OON152" s="863"/>
      <c r="OOO152" s="863"/>
      <c r="OOP152" s="863"/>
      <c r="OOQ152" s="863"/>
      <c r="OOR152" s="863"/>
      <c r="OOS152" s="863"/>
      <c r="OOT152" s="863"/>
      <c r="OOU152" s="863"/>
      <c r="OOV152" s="863"/>
      <c r="OOW152" s="863"/>
      <c r="OOX152" s="863"/>
      <c r="OOY152" s="863"/>
      <c r="OOZ152" s="863"/>
      <c r="OPA152" s="863"/>
      <c r="OPB152" s="863"/>
      <c r="OPC152" s="863"/>
      <c r="OPD152" s="863"/>
      <c r="OPE152" s="883"/>
      <c r="OPF152" s="883"/>
      <c r="OPG152" s="883"/>
      <c r="OPH152" s="883"/>
      <c r="OPI152" s="883"/>
      <c r="OPJ152" s="883"/>
      <c r="OPK152" s="883"/>
      <c r="OPL152" s="883"/>
      <c r="OPM152" s="883"/>
      <c r="OPN152" s="863"/>
      <c r="OPO152" s="863"/>
      <c r="OPP152" s="863"/>
      <c r="OPQ152" s="863"/>
      <c r="OPR152" s="863"/>
      <c r="OPS152" s="863"/>
      <c r="OPT152" s="863"/>
      <c r="OPU152" s="863"/>
      <c r="OPV152" s="863"/>
      <c r="OPW152" s="863"/>
      <c r="OPX152" s="863"/>
      <c r="OPY152" s="863"/>
      <c r="OPZ152" s="863"/>
      <c r="OQA152" s="863"/>
      <c r="OQB152" s="863"/>
      <c r="OQC152" s="863"/>
      <c r="OQD152" s="863"/>
      <c r="OQE152" s="863"/>
      <c r="OQF152" s="863"/>
      <c r="OQG152" s="863"/>
      <c r="OQH152" s="863"/>
      <c r="OQI152" s="863"/>
      <c r="OQJ152" s="863"/>
      <c r="OQK152" s="883"/>
      <c r="OQL152" s="883"/>
      <c r="OQM152" s="883"/>
      <c r="OQN152" s="883"/>
      <c r="OQO152" s="883"/>
      <c r="OQP152" s="883"/>
      <c r="OQQ152" s="883"/>
      <c r="OQR152" s="883"/>
      <c r="OQS152" s="883"/>
      <c r="OQT152" s="863"/>
      <c r="OQU152" s="863"/>
      <c r="OQV152" s="863"/>
      <c r="OQW152" s="863"/>
      <c r="OQX152" s="863"/>
      <c r="OQY152" s="863"/>
      <c r="OQZ152" s="863"/>
      <c r="ORA152" s="863"/>
      <c r="ORB152" s="863"/>
      <c r="ORC152" s="863"/>
      <c r="ORD152" s="863"/>
      <c r="ORE152" s="863"/>
      <c r="ORF152" s="863"/>
      <c r="ORG152" s="863"/>
      <c r="ORH152" s="863"/>
      <c r="ORI152" s="863"/>
      <c r="ORJ152" s="863"/>
      <c r="ORK152" s="863"/>
      <c r="ORL152" s="863"/>
      <c r="ORM152" s="863"/>
      <c r="ORN152" s="863"/>
      <c r="ORO152" s="863"/>
      <c r="ORP152" s="863"/>
      <c r="ORQ152" s="883"/>
      <c r="ORR152" s="883"/>
      <c r="ORS152" s="883"/>
      <c r="ORT152" s="883"/>
      <c r="ORU152" s="883"/>
      <c r="ORV152" s="883"/>
      <c r="ORW152" s="883"/>
      <c r="ORX152" s="883"/>
      <c r="ORY152" s="883"/>
      <c r="ORZ152" s="863"/>
      <c r="OSA152" s="863"/>
      <c r="OSB152" s="863"/>
      <c r="OSC152" s="863"/>
      <c r="OSD152" s="863"/>
      <c r="OSE152" s="863"/>
      <c r="OSF152" s="863"/>
      <c r="OSG152" s="863"/>
      <c r="OSH152" s="863"/>
      <c r="OSI152" s="863"/>
      <c r="OSJ152" s="863"/>
      <c r="OSK152" s="863"/>
      <c r="OSL152" s="863"/>
      <c r="OSM152" s="863"/>
      <c r="OSN152" s="863"/>
      <c r="OSO152" s="863"/>
      <c r="OSP152" s="863"/>
      <c r="OSQ152" s="863"/>
      <c r="OSR152" s="863"/>
      <c r="OSS152" s="863"/>
      <c r="OST152" s="863"/>
      <c r="OSU152" s="863"/>
      <c r="OSV152" s="863"/>
      <c r="OSW152" s="883"/>
      <c r="OSX152" s="883"/>
      <c r="OSY152" s="883"/>
      <c r="OSZ152" s="883"/>
      <c r="OTA152" s="883"/>
      <c r="OTB152" s="883"/>
      <c r="OTC152" s="883"/>
      <c r="OTD152" s="883"/>
      <c r="OTE152" s="883"/>
      <c r="OTF152" s="863"/>
      <c r="OTG152" s="863"/>
      <c r="OTH152" s="863"/>
      <c r="OTI152" s="863"/>
      <c r="OTJ152" s="863"/>
      <c r="OTK152" s="863"/>
      <c r="OTL152" s="863"/>
      <c r="OTM152" s="863"/>
      <c r="OTN152" s="863"/>
      <c r="OTO152" s="863"/>
      <c r="OTP152" s="863"/>
      <c r="OTQ152" s="863"/>
      <c r="OTR152" s="863"/>
      <c r="OTS152" s="863"/>
      <c r="OTT152" s="863"/>
      <c r="OTU152" s="863"/>
      <c r="OTV152" s="863"/>
      <c r="OTW152" s="863"/>
      <c r="OTX152" s="863"/>
      <c r="OTY152" s="863"/>
      <c r="OTZ152" s="863"/>
      <c r="OUA152" s="863"/>
      <c r="OUB152" s="863"/>
      <c r="OUC152" s="883"/>
      <c r="OUD152" s="883"/>
      <c r="OUE152" s="883"/>
      <c r="OUF152" s="883"/>
      <c r="OUG152" s="883"/>
      <c r="OUH152" s="883"/>
      <c r="OUI152" s="883"/>
      <c r="OUJ152" s="883"/>
      <c r="OUK152" s="883"/>
      <c r="OUL152" s="863"/>
      <c r="OUM152" s="863"/>
      <c r="OUN152" s="863"/>
      <c r="OUO152" s="863"/>
      <c r="OUP152" s="863"/>
      <c r="OUQ152" s="863"/>
      <c r="OUR152" s="863"/>
      <c r="OUS152" s="863"/>
      <c r="OUT152" s="863"/>
      <c r="OUU152" s="863"/>
      <c r="OUV152" s="863"/>
      <c r="OUW152" s="863"/>
      <c r="OUX152" s="863"/>
      <c r="OUY152" s="863"/>
      <c r="OUZ152" s="863"/>
      <c r="OVA152" s="863"/>
      <c r="OVB152" s="863"/>
      <c r="OVC152" s="863"/>
      <c r="OVD152" s="863"/>
      <c r="OVE152" s="863"/>
      <c r="OVF152" s="863"/>
      <c r="OVG152" s="863"/>
      <c r="OVH152" s="863"/>
      <c r="OVI152" s="883"/>
      <c r="OVJ152" s="883"/>
      <c r="OVK152" s="883"/>
      <c r="OVL152" s="883"/>
      <c r="OVM152" s="883"/>
      <c r="OVN152" s="883"/>
      <c r="OVO152" s="883"/>
      <c r="OVP152" s="883"/>
      <c r="OVQ152" s="883"/>
      <c r="OVR152" s="863"/>
      <c r="OVS152" s="863"/>
      <c r="OVT152" s="863"/>
      <c r="OVU152" s="863"/>
      <c r="OVV152" s="863"/>
      <c r="OVW152" s="863"/>
      <c r="OVX152" s="863"/>
      <c r="OVY152" s="863"/>
      <c r="OVZ152" s="863"/>
      <c r="OWA152" s="863"/>
      <c r="OWB152" s="863"/>
      <c r="OWC152" s="863"/>
      <c r="OWD152" s="863"/>
      <c r="OWE152" s="863"/>
      <c r="OWF152" s="863"/>
      <c r="OWG152" s="863"/>
      <c r="OWH152" s="863"/>
      <c r="OWI152" s="863"/>
      <c r="OWJ152" s="863"/>
      <c r="OWK152" s="863"/>
      <c r="OWL152" s="863"/>
      <c r="OWM152" s="863"/>
      <c r="OWN152" s="863"/>
      <c r="OWO152" s="883"/>
      <c r="OWP152" s="883"/>
      <c r="OWQ152" s="883"/>
      <c r="OWR152" s="883"/>
      <c r="OWS152" s="883"/>
      <c r="OWT152" s="883"/>
      <c r="OWU152" s="883"/>
      <c r="OWV152" s="883"/>
      <c r="OWW152" s="883"/>
      <c r="OWX152" s="863"/>
      <c r="OWY152" s="863"/>
      <c r="OWZ152" s="863"/>
      <c r="OXA152" s="863"/>
      <c r="OXB152" s="863"/>
      <c r="OXC152" s="863"/>
      <c r="OXD152" s="863"/>
      <c r="OXE152" s="863"/>
      <c r="OXF152" s="863"/>
      <c r="OXG152" s="863"/>
      <c r="OXH152" s="863"/>
      <c r="OXI152" s="863"/>
      <c r="OXJ152" s="863"/>
      <c r="OXK152" s="863"/>
      <c r="OXL152" s="863"/>
      <c r="OXM152" s="863"/>
      <c r="OXN152" s="863"/>
      <c r="OXO152" s="863"/>
      <c r="OXP152" s="863"/>
      <c r="OXQ152" s="863"/>
      <c r="OXR152" s="863"/>
      <c r="OXS152" s="863"/>
      <c r="OXT152" s="863"/>
      <c r="OXU152" s="883"/>
      <c r="OXV152" s="883"/>
      <c r="OXW152" s="883"/>
      <c r="OXX152" s="883"/>
      <c r="OXY152" s="883"/>
      <c r="OXZ152" s="883"/>
      <c r="OYA152" s="883"/>
      <c r="OYB152" s="883"/>
      <c r="OYC152" s="883"/>
      <c r="OYD152" s="863"/>
      <c r="OYE152" s="863"/>
      <c r="OYF152" s="863"/>
      <c r="OYG152" s="863"/>
      <c r="OYH152" s="863"/>
      <c r="OYI152" s="863"/>
      <c r="OYJ152" s="863"/>
      <c r="OYK152" s="863"/>
      <c r="OYL152" s="863"/>
      <c r="OYM152" s="863"/>
      <c r="OYN152" s="863"/>
      <c r="OYO152" s="863"/>
      <c r="OYP152" s="863"/>
      <c r="OYQ152" s="863"/>
      <c r="OYR152" s="863"/>
      <c r="OYS152" s="863"/>
      <c r="OYT152" s="863"/>
      <c r="OYU152" s="863"/>
      <c r="OYV152" s="863"/>
      <c r="OYW152" s="863"/>
      <c r="OYX152" s="863"/>
      <c r="OYY152" s="863"/>
      <c r="OYZ152" s="863"/>
      <c r="OZA152" s="883"/>
      <c r="OZB152" s="883"/>
      <c r="OZC152" s="883"/>
      <c r="OZD152" s="883"/>
      <c r="OZE152" s="883"/>
      <c r="OZF152" s="883"/>
      <c r="OZG152" s="883"/>
      <c r="OZH152" s="883"/>
      <c r="OZI152" s="883"/>
      <c r="OZJ152" s="863"/>
      <c r="OZK152" s="863"/>
      <c r="OZL152" s="863"/>
      <c r="OZM152" s="863"/>
      <c r="OZN152" s="863"/>
      <c r="OZO152" s="863"/>
      <c r="OZP152" s="863"/>
      <c r="OZQ152" s="863"/>
      <c r="OZR152" s="863"/>
      <c r="OZS152" s="863"/>
      <c r="OZT152" s="863"/>
      <c r="OZU152" s="863"/>
      <c r="OZV152" s="863"/>
      <c r="OZW152" s="863"/>
      <c r="OZX152" s="863"/>
      <c r="OZY152" s="863"/>
      <c r="OZZ152" s="863"/>
      <c r="PAA152" s="863"/>
      <c r="PAB152" s="863"/>
      <c r="PAC152" s="863"/>
      <c r="PAD152" s="863"/>
      <c r="PAE152" s="863"/>
      <c r="PAF152" s="863"/>
      <c r="PAG152" s="883"/>
      <c r="PAH152" s="883"/>
      <c r="PAI152" s="883"/>
      <c r="PAJ152" s="883"/>
      <c r="PAK152" s="883"/>
      <c r="PAL152" s="883"/>
      <c r="PAM152" s="883"/>
      <c r="PAN152" s="883"/>
      <c r="PAO152" s="883"/>
      <c r="PAP152" s="863"/>
      <c r="PAQ152" s="863"/>
      <c r="PAR152" s="863"/>
      <c r="PAS152" s="863"/>
      <c r="PAT152" s="863"/>
      <c r="PAU152" s="863"/>
      <c r="PAV152" s="863"/>
      <c r="PAW152" s="863"/>
      <c r="PAX152" s="863"/>
      <c r="PAY152" s="863"/>
      <c r="PAZ152" s="863"/>
      <c r="PBA152" s="863"/>
      <c r="PBB152" s="863"/>
      <c r="PBC152" s="863"/>
      <c r="PBD152" s="863"/>
      <c r="PBE152" s="863"/>
      <c r="PBF152" s="863"/>
      <c r="PBG152" s="863"/>
      <c r="PBH152" s="863"/>
      <c r="PBI152" s="863"/>
      <c r="PBJ152" s="863"/>
      <c r="PBK152" s="863"/>
      <c r="PBL152" s="863"/>
      <c r="PBM152" s="883"/>
      <c r="PBN152" s="883"/>
      <c r="PBO152" s="883"/>
      <c r="PBP152" s="883"/>
      <c r="PBQ152" s="883"/>
      <c r="PBR152" s="883"/>
      <c r="PBS152" s="883"/>
      <c r="PBT152" s="883"/>
      <c r="PBU152" s="883"/>
      <c r="PBV152" s="863"/>
      <c r="PBW152" s="863"/>
      <c r="PBX152" s="863"/>
      <c r="PBY152" s="863"/>
      <c r="PBZ152" s="863"/>
      <c r="PCA152" s="863"/>
      <c r="PCB152" s="863"/>
      <c r="PCC152" s="863"/>
      <c r="PCD152" s="863"/>
      <c r="PCE152" s="863"/>
      <c r="PCF152" s="863"/>
      <c r="PCG152" s="863"/>
      <c r="PCH152" s="863"/>
      <c r="PCI152" s="863"/>
      <c r="PCJ152" s="863"/>
      <c r="PCK152" s="863"/>
      <c r="PCL152" s="863"/>
      <c r="PCM152" s="863"/>
      <c r="PCN152" s="863"/>
      <c r="PCO152" s="863"/>
      <c r="PCP152" s="863"/>
      <c r="PCQ152" s="863"/>
      <c r="PCR152" s="863"/>
      <c r="PCS152" s="883"/>
      <c r="PCT152" s="883"/>
      <c r="PCU152" s="883"/>
      <c r="PCV152" s="883"/>
      <c r="PCW152" s="883"/>
      <c r="PCX152" s="883"/>
      <c r="PCY152" s="883"/>
      <c r="PCZ152" s="883"/>
      <c r="PDA152" s="883"/>
      <c r="PDB152" s="863"/>
      <c r="PDC152" s="863"/>
      <c r="PDD152" s="863"/>
      <c r="PDE152" s="863"/>
      <c r="PDF152" s="863"/>
      <c r="PDG152" s="863"/>
      <c r="PDH152" s="863"/>
      <c r="PDI152" s="863"/>
      <c r="PDJ152" s="863"/>
      <c r="PDK152" s="863"/>
      <c r="PDL152" s="863"/>
      <c r="PDM152" s="863"/>
      <c r="PDN152" s="863"/>
      <c r="PDO152" s="863"/>
      <c r="PDP152" s="863"/>
      <c r="PDQ152" s="863"/>
      <c r="PDR152" s="863"/>
      <c r="PDS152" s="863"/>
      <c r="PDT152" s="863"/>
      <c r="PDU152" s="863"/>
      <c r="PDV152" s="863"/>
      <c r="PDW152" s="863"/>
      <c r="PDX152" s="863"/>
      <c r="PDY152" s="883"/>
      <c r="PDZ152" s="883"/>
      <c r="PEA152" s="883"/>
      <c r="PEB152" s="883"/>
      <c r="PEC152" s="883"/>
      <c r="PED152" s="883"/>
      <c r="PEE152" s="883"/>
      <c r="PEF152" s="883"/>
      <c r="PEG152" s="883"/>
      <c r="PEH152" s="863"/>
      <c r="PEI152" s="863"/>
      <c r="PEJ152" s="863"/>
      <c r="PEK152" s="863"/>
      <c r="PEL152" s="863"/>
      <c r="PEM152" s="863"/>
      <c r="PEN152" s="863"/>
      <c r="PEO152" s="863"/>
      <c r="PEP152" s="863"/>
      <c r="PEQ152" s="863"/>
      <c r="PER152" s="863"/>
      <c r="PES152" s="863"/>
      <c r="PET152" s="863"/>
      <c r="PEU152" s="863"/>
      <c r="PEV152" s="863"/>
      <c r="PEW152" s="863"/>
      <c r="PEX152" s="863"/>
      <c r="PEY152" s="863"/>
      <c r="PEZ152" s="863"/>
      <c r="PFA152" s="863"/>
      <c r="PFB152" s="863"/>
      <c r="PFC152" s="863"/>
      <c r="PFD152" s="863"/>
      <c r="PFE152" s="883"/>
      <c r="PFF152" s="883"/>
      <c r="PFG152" s="883"/>
      <c r="PFH152" s="883"/>
      <c r="PFI152" s="883"/>
      <c r="PFJ152" s="883"/>
      <c r="PFK152" s="883"/>
      <c r="PFL152" s="883"/>
      <c r="PFM152" s="883"/>
      <c r="PFN152" s="863"/>
      <c r="PFO152" s="863"/>
      <c r="PFP152" s="863"/>
      <c r="PFQ152" s="863"/>
      <c r="PFR152" s="863"/>
      <c r="PFS152" s="863"/>
      <c r="PFT152" s="863"/>
      <c r="PFU152" s="863"/>
      <c r="PFV152" s="863"/>
      <c r="PFW152" s="863"/>
      <c r="PFX152" s="863"/>
      <c r="PFY152" s="863"/>
      <c r="PFZ152" s="863"/>
      <c r="PGA152" s="863"/>
      <c r="PGB152" s="863"/>
      <c r="PGC152" s="863"/>
      <c r="PGD152" s="863"/>
      <c r="PGE152" s="863"/>
      <c r="PGF152" s="863"/>
      <c r="PGG152" s="863"/>
      <c r="PGH152" s="863"/>
      <c r="PGI152" s="863"/>
      <c r="PGJ152" s="863"/>
      <c r="PGK152" s="883"/>
      <c r="PGL152" s="883"/>
      <c r="PGM152" s="883"/>
      <c r="PGN152" s="883"/>
      <c r="PGO152" s="883"/>
      <c r="PGP152" s="883"/>
      <c r="PGQ152" s="883"/>
      <c r="PGR152" s="883"/>
      <c r="PGS152" s="883"/>
      <c r="PGT152" s="863"/>
      <c r="PGU152" s="863"/>
      <c r="PGV152" s="863"/>
      <c r="PGW152" s="863"/>
      <c r="PGX152" s="863"/>
      <c r="PGY152" s="863"/>
      <c r="PGZ152" s="863"/>
      <c r="PHA152" s="863"/>
      <c r="PHB152" s="863"/>
      <c r="PHC152" s="863"/>
      <c r="PHD152" s="863"/>
      <c r="PHE152" s="863"/>
      <c r="PHF152" s="863"/>
      <c r="PHG152" s="863"/>
      <c r="PHH152" s="863"/>
      <c r="PHI152" s="863"/>
      <c r="PHJ152" s="863"/>
      <c r="PHK152" s="863"/>
      <c r="PHL152" s="863"/>
      <c r="PHM152" s="863"/>
      <c r="PHN152" s="863"/>
      <c r="PHO152" s="863"/>
      <c r="PHP152" s="863"/>
      <c r="PHQ152" s="883"/>
      <c r="PHR152" s="883"/>
      <c r="PHS152" s="883"/>
      <c r="PHT152" s="883"/>
      <c r="PHU152" s="883"/>
      <c r="PHV152" s="883"/>
      <c r="PHW152" s="883"/>
      <c r="PHX152" s="883"/>
      <c r="PHY152" s="883"/>
      <c r="PHZ152" s="863"/>
      <c r="PIA152" s="863"/>
      <c r="PIB152" s="863"/>
      <c r="PIC152" s="863"/>
      <c r="PID152" s="863"/>
      <c r="PIE152" s="863"/>
      <c r="PIF152" s="863"/>
      <c r="PIG152" s="863"/>
      <c r="PIH152" s="863"/>
      <c r="PII152" s="863"/>
      <c r="PIJ152" s="863"/>
      <c r="PIK152" s="863"/>
      <c r="PIL152" s="863"/>
      <c r="PIM152" s="863"/>
      <c r="PIN152" s="863"/>
      <c r="PIO152" s="863"/>
      <c r="PIP152" s="863"/>
      <c r="PIQ152" s="863"/>
      <c r="PIR152" s="863"/>
      <c r="PIS152" s="863"/>
      <c r="PIT152" s="863"/>
      <c r="PIU152" s="863"/>
      <c r="PIV152" s="863"/>
      <c r="PIW152" s="883"/>
      <c r="PIX152" s="883"/>
      <c r="PIY152" s="883"/>
      <c r="PIZ152" s="883"/>
      <c r="PJA152" s="883"/>
      <c r="PJB152" s="883"/>
      <c r="PJC152" s="883"/>
      <c r="PJD152" s="883"/>
      <c r="PJE152" s="883"/>
      <c r="PJF152" s="863"/>
      <c r="PJG152" s="863"/>
      <c r="PJH152" s="863"/>
      <c r="PJI152" s="863"/>
      <c r="PJJ152" s="863"/>
      <c r="PJK152" s="863"/>
      <c r="PJL152" s="863"/>
      <c r="PJM152" s="863"/>
      <c r="PJN152" s="863"/>
      <c r="PJO152" s="863"/>
      <c r="PJP152" s="863"/>
      <c r="PJQ152" s="863"/>
      <c r="PJR152" s="863"/>
      <c r="PJS152" s="863"/>
      <c r="PJT152" s="863"/>
      <c r="PJU152" s="863"/>
      <c r="PJV152" s="863"/>
      <c r="PJW152" s="863"/>
      <c r="PJX152" s="863"/>
      <c r="PJY152" s="863"/>
      <c r="PJZ152" s="863"/>
      <c r="PKA152" s="863"/>
      <c r="PKB152" s="863"/>
      <c r="PKC152" s="883"/>
      <c r="PKD152" s="883"/>
      <c r="PKE152" s="883"/>
      <c r="PKF152" s="883"/>
      <c r="PKG152" s="883"/>
      <c r="PKH152" s="883"/>
      <c r="PKI152" s="883"/>
      <c r="PKJ152" s="883"/>
      <c r="PKK152" s="883"/>
      <c r="PKL152" s="863"/>
      <c r="PKM152" s="863"/>
      <c r="PKN152" s="863"/>
      <c r="PKO152" s="863"/>
      <c r="PKP152" s="863"/>
      <c r="PKQ152" s="863"/>
      <c r="PKR152" s="863"/>
      <c r="PKS152" s="863"/>
      <c r="PKT152" s="863"/>
      <c r="PKU152" s="863"/>
      <c r="PKV152" s="863"/>
      <c r="PKW152" s="863"/>
      <c r="PKX152" s="863"/>
      <c r="PKY152" s="863"/>
      <c r="PKZ152" s="863"/>
      <c r="PLA152" s="863"/>
      <c r="PLB152" s="863"/>
      <c r="PLC152" s="863"/>
      <c r="PLD152" s="863"/>
      <c r="PLE152" s="863"/>
      <c r="PLF152" s="863"/>
      <c r="PLG152" s="863"/>
      <c r="PLH152" s="863"/>
      <c r="PLI152" s="883"/>
      <c r="PLJ152" s="883"/>
      <c r="PLK152" s="883"/>
      <c r="PLL152" s="883"/>
      <c r="PLM152" s="883"/>
      <c r="PLN152" s="883"/>
      <c r="PLO152" s="883"/>
      <c r="PLP152" s="883"/>
      <c r="PLQ152" s="883"/>
      <c r="PLR152" s="863"/>
      <c r="PLS152" s="863"/>
      <c r="PLT152" s="863"/>
      <c r="PLU152" s="863"/>
      <c r="PLV152" s="863"/>
      <c r="PLW152" s="863"/>
      <c r="PLX152" s="863"/>
      <c r="PLY152" s="863"/>
      <c r="PLZ152" s="863"/>
      <c r="PMA152" s="863"/>
      <c r="PMB152" s="863"/>
      <c r="PMC152" s="863"/>
      <c r="PMD152" s="863"/>
      <c r="PME152" s="863"/>
      <c r="PMF152" s="863"/>
      <c r="PMG152" s="863"/>
      <c r="PMH152" s="863"/>
      <c r="PMI152" s="863"/>
      <c r="PMJ152" s="863"/>
      <c r="PMK152" s="863"/>
      <c r="PML152" s="863"/>
      <c r="PMM152" s="863"/>
      <c r="PMN152" s="863"/>
      <c r="PMO152" s="883"/>
      <c r="PMP152" s="883"/>
      <c r="PMQ152" s="883"/>
      <c r="PMR152" s="883"/>
      <c r="PMS152" s="883"/>
      <c r="PMT152" s="883"/>
      <c r="PMU152" s="883"/>
      <c r="PMV152" s="883"/>
      <c r="PMW152" s="883"/>
      <c r="PMX152" s="863"/>
      <c r="PMY152" s="863"/>
      <c r="PMZ152" s="863"/>
      <c r="PNA152" s="863"/>
      <c r="PNB152" s="863"/>
      <c r="PNC152" s="863"/>
      <c r="PND152" s="863"/>
      <c r="PNE152" s="863"/>
      <c r="PNF152" s="863"/>
      <c r="PNG152" s="863"/>
      <c r="PNH152" s="863"/>
      <c r="PNI152" s="863"/>
      <c r="PNJ152" s="863"/>
      <c r="PNK152" s="863"/>
      <c r="PNL152" s="863"/>
      <c r="PNM152" s="863"/>
      <c r="PNN152" s="863"/>
      <c r="PNO152" s="863"/>
      <c r="PNP152" s="863"/>
      <c r="PNQ152" s="863"/>
      <c r="PNR152" s="863"/>
      <c r="PNS152" s="863"/>
      <c r="PNT152" s="863"/>
      <c r="PNU152" s="883"/>
      <c r="PNV152" s="883"/>
      <c r="PNW152" s="883"/>
      <c r="PNX152" s="883"/>
      <c r="PNY152" s="883"/>
      <c r="PNZ152" s="883"/>
      <c r="POA152" s="883"/>
      <c r="POB152" s="883"/>
      <c r="POC152" s="883"/>
      <c r="POD152" s="863"/>
      <c r="POE152" s="863"/>
      <c r="POF152" s="863"/>
      <c r="POG152" s="863"/>
      <c r="POH152" s="863"/>
      <c r="POI152" s="863"/>
      <c r="POJ152" s="863"/>
      <c r="POK152" s="863"/>
      <c r="POL152" s="863"/>
      <c r="POM152" s="863"/>
      <c r="PON152" s="863"/>
      <c r="POO152" s="863"/>
      <c r="POP152" s="863"/>
      <c r="POQ152" s="863"/>
      <c r="POR152" s="863"/>
      <c r="POS152" s="863"/>
      <c r="POT152" s="863"/>
      <c r="POU152" s="863"/>
      <c r="POV152" s="863"/>
      <c r="POW152" s="863"/>
      <c r="POX152" s="863"/>
      <c r="POY152" s="863"/>
      <c r="POZ152" s="863"/>
      <c r="PPA152" s="883"/>
      <c r="PPB152" s="883"/>
      <c r="PPC152" s="883"/>
      <c r="PPD152" s="883"/>
      <c r="PPE152" s="883"/>
      <c r="PPF152" s="883"/>
      <c r="PPG152" s="883"/>
      <c r="PPH152" s="883"/>
      <c r="PPI152" s="883"/>
      <c r="PPJ152" s="863"/>
      <c r="PPK152" s="863"/>
      <c r="PPL152" s="863"/>
      <c r="PPM152" s="863"/>
      <c r="PPN152" s="863"/>
      <c r="PPO152" s="863"/>
      <c r="PPP152" s="863"/>
      <c r="PPQ152" s="863"/>
      <c r="PPR152" s="863"/>
      <c r="PPS152" s="863"/>
      <c r="PPT152" s="863"/>
      <c r="PPU152" s="863"/>
      <c r="PPV152" s="863"/>
      <c r="PPW152" s="863"/>
      <c r="PPX152" s="863"/>
      <c r="PPY152" s="863"/>
      <c r="PPZ152" s="863"/>
      <c r="PQA152" s="863"/>
      <c r="PQB152" s="863"/>
      <c r="PQC152" s="863"/>
      <c r="PQD152" s="863"/>
      <c r="PQE152" s="863"/>
      <c r="PQF152" s="863"/>
      <c r="PQG152" s="883"/>
      <c r="PQH152" s="883"/>
      <c r="PQI152" s="883"/>
      <c r="PQJ152" s="883"/>
      <c r="PQK152" s="883"/>
      <c r="PQL152" s="883"/>
      <c r="PQM152" s="883"/>
      <c r="PQN152" s="883"/>
      <c r="PQO152" s="883"/>
      <c r="PQP152" s="863"/>
      <c r="PQQ152" s="863"/>
      <c r="PQR152" s="863"/>
      <c r="PQS152" s="863"/>
      <c r="PQT152" s="863"/>
      <c r="PQU152" s="863"/>
      <c r="PQV152" s="863"/>
      <c r="PQW152" s="863"/>
      <c r="PQX152" s="863"/>
      <c r="PQY152" s="863"/>
      <c r="PQZ152" s="863"/>
      <c r="PRA152" s="863"/>
      <c r="PRB152" s="863"/>
      <c r="PRC152" s="863"/>
      <c r="PRD152" s="863"/>
      <c r="PRE152" s="863"/>
      <c r="PRF152" s="863"/>
      <c r="PRG152" s="863"/>
      <c r="PRH152" s="863"/>
      <c r="PRI152" s="863"/>
      <c r="PRJ152" s="863"/>
      <c r="PRK152" s="863"/>
      <c r="PRL152" s="863"/>
      <c r="PRM152" s="883"/>
      <c r="PRN152" s="883"/>
      <c r="PRO152" s="883"/>
      <c r="PRP152" s="883"/>
      <c r="PRQ152" s="883"/>
      <c r="PRR152" s="883"/>
      <c r="PRS152" s="883"/>
      <c r="PRT152" s="883"/>
      <c r="PRU152" s="883"/>
      <c r="PRV152" s="863"/>
      <c r="PRW152" s="863"/>
      <c r="PRX152" s="863"/>
      <c r="PRY152" s="863"/>
      <c r="PRZ152" s="863"/>
      <c r="PSA152" s="863"/>
      <c r="PSB152" s="863"/>
      <c r="PSC152" s="863"/>
      <c r="PSD152" s="863"/>
      <c r="PSE152" s="863"/>
      <c r="PSF152" s="863"/>
      <c r="PSG152" s="863"/>
      <c r="PSH152" s="863"/>
      <c r="PSI152" s="863"/>
      <c r="PSJ152" s="863"/>
      <c r="PSK152" s="863"/>
      <c r="PSL152" s="863"/>
      <c r="PSM152" s="863"/>
      <c r="PSN152" s="863"/>
      <c r="PSO152" s="863"/>
      <c r="PSP152" s="863"/>
      <c r="PSQ152" s="863"/>
      <c r="PSR152" s="863"/>
      <c r="PSS152" s="883"/>
      <c r="PST152" s="883"/>
      <c r="PSU152" s="883"/>
      <c r="PSV152" s="883"/>
      <c r="PSW152" s="883"/>
      <c r="PSX152" s="883"/>
      <c r="PSY152" s="883"/>
      <c r="PSZ152" s="883"/>
      <c r="PTA152" s="883"/>
      <c r="PTB152" s="863"/>
      <c r="PTC152" s="863"/>
      <c r="PTD152" s="863"/>
      <c r="PTE152" s="863"/>
      <c r="PTF152" s="863"/>
      <c r="PTG152" s="863"/>
      <c r="PTH152" s="863"/>
      <c r="PTI152" s="863"/>
      <c r="PTJ152" s="863"/>
      <c r="PTK152" s="863"/>
      <c r="PTL152" s="863"/>
      <c r="PTM152" s="863"/>
      <c r="PTN152" s="863"/>
      <c r="PTO152" s="863"/>
      <c r="PTP152" s="863"/>
      <c r="PTQ152" s="863"/>
      <c r="PTR152" s="863"/>
      <c r="PTS152" s="863"/>
      <c r="PTT152" s="863"/>
      <c r="PTU152" s="863"/>
      <c r="PTV152" s="863"/>
      <c r="PTW152" s="863"/>
      <c r="PTX152" s="863"/>
      <c r="PTY152" s="883"/>
      <c r="PTZ152" s="883"/>
      <c r="PUA152" s="883"/>
      <c r="PUB152" s="883"/>
      <c r="PUC152" s="883"/>
      <c r="PUD152" s="883"/>
      <c r="PUE152" s="883"/>
      <c r="PUF152" s="883"/>
      <c r="PUG152" s="883"/>
      <c r="PUH152" s="863"/>
      <c r="PUI152" s="863"/>
      <c r="PUJ152" s="863"/>
      <c r="PUK152" s="863"/>
      <c r="PUL152" s="863"/>
      <c r="PUM152" s="863"/>
      <c r="PUN152" s="863"/>
      <c r="PUO152" s="863"/>
      <c r="PUP152" s="863"/>
      <c r="PUQ152" s="863"/>
      <c r="PUR152" s="863"/>
      <c r="PUS152" s="863"/>
      <c r="PUT152" s="863"/>
      <c r="PUU152" s="863"/>
      <c r="PUV152" s="863"/>
      <c r="PUW152" s="863"/>
      <c r="PUX152" s="863"/>
      <c r="PUY152" s="863"/>
      <c r="PUZ152" s="863"/>
      <c r="PVA152" s="863"/>
      <c r="PVB152" s="863"/>
      <c r="PVC152" s="863"/>
      <c r="PVD152" s="863"/>
      <c r="PVE152" s="883"/>
      <c r="PVF152" s="883"/>
      <c r="PVG152" s="883"/>
      <c r="PVH152" s="883"/>
      <c r="PVI152" s="883"/>
      <c r="PVJ152" s="883"/>
      <c r="PVK152" s="883"/>
      <c r="PVL152" s="883"/>
      <c r="PVM152" s="883"/>
      <c r="PVN152" s="863"/>
      <c r="PVO152" s="863"/>
      <c r="PVP152" s="863"/>
      <c r="PVQ152" s="863"/>
      <c r="PVR152" s="863"/>
      <c r="PVS152" s="863"/>
      <c r="PVT152" s="863"/>
      <c r="PVU152" s="863"/>
      <c r="PVV152" s="863"/>
      <c r="PVW152" s="863"/>
      <c r="PVX152" s="863"/>
      <c r="PVY152" s="863"/>
      <c r="PVZ152" s="863"/>
      <c r="PWA152" s="863"/>
      <c r="PWB152" s="863"/>
      <c r="PWC152" s="863"/>
      <c r="PWD152" s="863"/>
      <c r="PWE152" s="863"/>
      <c r="PWF152" s="863"/>
      <c r="PWG152" s="863"/>
      <c r="PWH152" s="863"/>
      <c r="PWI152" s="863"/>
      <c r="PWJ152" s="863"/>
      <c r="PWK152" s="883"/>
      <c r="PWL152" s="883"/>
      <c r="PWM152" s="883"/>
      <c r="PWN152" s="883"/>
      <c r="PWO152" s="883"/>
      <c r="PWP152" s="883"/>
      <c r="PWQ152" s="883"/>
      <c r="PWR152" s="883"/>
      <c r="PWS152" s="883"/>
      <c r="PWT152" s="863"/>
      <c r="PWU152" s="863"/>
      <c r="PWV152" s="863"/>
      <c r="PWW152" s="863"/>
      <c r="PWX152" s="863"/>
      <c r="PWY152" s="863"/>
      <c r="PWZ152" s="863"/>
      <c r="PXA152" s="863"/>
      <c r="PXB152" s="863"/>
      <c r="PXC152" s="863"/>
      <c r="PXD152" s="863"/>
      <c r="PXE152" s="863"/>
      <c r="PXF152" s="863"/>
      <c r="PXG152" s="863"/>
      <c r="PXH152" s="863"/>
      <c r="PXI152" s="863"/>
      <c r="PXJ152" s="863"/>
      <c r="PXK152" s="863"/>
      <c r="PXL152" s="863"/>
      <c r="PXM152" s="863"/>
      <c r="PXN152" s="863"/>
      <c r="PXO152" s="863"/>
      <c r="PXP152" s="863"/>
      <c r="PXQ152" s="883"/>
      <c r="PXR152" s="883"/>
      <c r="PXS152" s="883"/>
      <c r="PXT152" s="883"/>
      <c r="PXU152" s="883"/>
      <c r="PXV152" s="883"/>
      <c r="PXW152" s="883"/>
      <c r="PXX152" s="883"/>
      <c r="PXY152" s="883"/>
      <c r="PXZ152" s="863"/>
      <c r="PYA152" s="863"/>
      <c r="PYB152" s="863"/>
      <c r="PYC152" s="863"/>
      <c r="PYD152" s="863"/>
      <c r="PYE152" s="863"/>
      <c r="PYF152" s="863"/>
      <c r="PYG152" s="863"/>
      <c r="PYH152" s="863"/>
      <c r="PYI152" s="863"/>
      <c r="PYJ152" s="863"/>
      <c r="PYK152" s="863"/>
      <c r="PYL152" s="863"/>
      <c r="PYM152" s="863"/>
      <c r="PYN152" s="863"/>
      <c r="PYO152" s="863"/>
      <c r="PYP152" s="863"/>
      <c r="PYQ152" s="863"/>
      <c r="PYR152" s="863"/>
      <c r="PYS152" s="863"/>
      <c r="PYT152" s="863"/>
      <c r="PYU152" s="863"/>
      <c r="PYV152" s="863"/>
      <c r="PYW152" s="883"/>
      <c r="PYX152" s="883"/>
      <c r="PYY152" s="883"/>
      <c r="PYZ152" s="883"/>
      <c r="PZA152" s="883"/>
      <c r="PZB152" s="883"/>
      <c r="PZC152" s="883"/>
      <c r="PZD152" s="883"/>
      <c r="PZE152" s="883"/>
      <c r="PZF152" s="863"/>
      <c r="PZG152" s="863"/>
      <c r="PZH152" s="863"/>
      <c r="PZI152" s="863"/>
      <c r="PZJ152" s="863"/>
      <c r="PZK152" s="863"/>
      <c r="PZL152" s="863"/>
      <c r="PZM152" s="863"/>
      <c r="PZN152" s="863"/>
      <c r="PZO152" s="863"/>
      <c r="PZP152" s="863"/>
      <c r="PZQ152" s="863"/>
      <c r="PZR152" s="863"/>
      <c r="PZS152" s="863"/>
      <c r="PZT152" s="863"/>
      <c r="PZU152" s="863"/>
      <c r="PZV152" s="863"/>
      <c r="PZW152" s="863"/>
      <c r="PZX152" s="863"/>
      <c r="PZY152" s="863"/>
      <c r="PZZ152" s="863"/>
      <c r="QAA152" s="863"/>
      <c r="QAB152" s="863"/>
      <c r="QAC152" s="883"/>
      <c r="QAD152" s="883"/>
      <c r="QAE152" s="883"/>
      <c r="QAF152" s="883"/>
      <c r="QAG152" s="883"/>
      <c r="QAH152" s="883"/>
      <c r="QAI152" s="883"/>
      <c r="QAJ152" s="883"/>
      <c r="QAK152" s="883"/>
      <c r="QAL152" s="863"/>
      <c r="QAM152" s="863"/>
      <c r="QAN152" s="863"/>
      <c r="QAO152" s="863"/>
      <c r="QAP152" s="863"/>
      <c r="QAQ152" s="863"/>
      <c r="QAR152" s="863"/>
      <c r="QAS152" s="863"/>
      <c r="QAT152" s="863"/>
      <c r="QAU152" s="863"/>
      <c r="QAV152" s="863"/>
      <c r="QAW152" s="863"/>
      <c r="QAX152" s="863"/>
      <c r="QAY152" s="863"/>
      <c r="QAZ152" s="863"/>
      <c r="QBA152" s="863"/>
      <c r="QBB152" s="863"/>
      <c r="QBC152" s="863"/>
      <c r="QBD152" s="863"/>
      <c r="QBE152" s="863"/>
      <c r="QBF152" s="863"/>
      <c r="QBG152" s="863"/>
      <c r="QBH152" s="863"/>
      <c r="QBI152" s="883"/>
      <c r="QBJ152" s="883"/>
      <c r="QBK152" s="883"/>
      <c r="QBL152" s="883"/>
      <c r="QBM152" s="883"/>
      <c r="QBN152" s="883"/>
      <c r="QBO152" s="883"/>
      <c r="QBP152" s="883"/>
      <c r="QBQ152" s="883"/>
      <c r="QBR152" s="863"/>
      <c r="QBS152" s="863"/>
      <c r="QBT152" s="863"/>
      <c r="QBU152" s="863"/>
      <c r="QBV152" s="863"/>
      <c r="QBW152" s="863"/>
      <c r="QBX152" s="863"/>
      <c r="QBY152" s="863"/>
      <c r="QBZ152" s="863"/>
      <c r="QCA152" s="863"/>
      <c r="QCB152" s="863"/>
      <c r="QCC152" s="863"/>
      <c r="QCD152" s="863"/>
      <c r="QCE152" s="863"/>
      <c r="QCF152" s="863"/>
      <c r="QCG152" s="863"/>
      <c r="QCH152" s="863"/>
      <c r="QCI152" s="863"/>
      <c r="QCJ152" s="863"/>
      <c r="QCK152" s="863"/>
      <c r="QCL152" s="863"/>
      <c r="QCM152" s="863"/>
      <c r="QCN152" s="863"/>
      <c r="QCO152" s="883"/>
      <c r="QCP152" s="883"/>
      <c r="QCQ152" s="883"/>
      <c r="QCR152" s="883"/>
      <c r="QCS152" s="883"/>
      <c r="QCT152" s="883"/>
      <c r="QCU152" s="883"/>
      <c r="QCV152" s="883"/>
      <c r="QCW152" s="883"/>
      <c r="QCX152" s="863"/>
      <c r="QCY152" s="863"/>
      <c r="QCZ152" s="863"/>
      <c r="QDA152" s="863"/>
      <c r="QDB152" s="863"/>
      <c r="QDC152" s="863"/>
      <c r="QDD152" s="863"/>
      <c r="QDE152" s="863"/>
      <c r="QDF152" s="863"/>
      <c r="QDG152" s="863"/>
      <c r="QDH152" s="863"/>
      <c r="QDI152" s="863"/>
      <c r="QDJ152" s="863"/>
      <c r="QDK152" s="863"/>
      <c r="QDL152" s="863"/>
      <c r="QDM152" s="863"/>
      <c r="QDN152" s="863"/>
      <c r="QDO152" s="863"/>
      <c r="QDP152" s="863"/>
      <c r="QDQ152" s="863"/>
      <c r="QDR152" s="863"/>
      <c r="QDS152" s="863"/>
      <c r="QDT152" s="863"/>
      <c r="QDU152" s="883"/>
      <c r="QDV152" s="883"/>
      <c r="QDW152" s="883"/>
      <c r="QDX152" s="883"/>
      <c r="QDY152" s="883"/>
      <c r="QDZ152" s="883"/>
      <c r="QEA152" s="883"/>
      <c r="QEB152" s="883"/>
      <c r="QEC152" s="883"/>
      <c r="QED152" s="863"/>
      <c r="QEE152" s="863"/>
      <c r="QEF152" s="863"/>
      <c r="QEG152" s="863"/>
      <c r="QEH152" s="863"/>
      <c r="QEI152" s="863"/>
      <c r="QEJ152" s="863"/>
      <c r="QEK152" s="863"/>
      <c r="QEL152" s="863"/>
      <c r="QEM152" s="863"/>
      <c r="QEN152" s="863"/>
      <c r="QEO152" s="863"/>
      <c r="QEP152" s="863"/>
      <c r="QEQ152" s="863"/>
      <c r="QER152" s="863"/>
      <c r="QES152" s="863"/>
      <c r="QET152" s="863"/>
      <c r="QEU152" s="863"/>
      <c r="QEV152" s="863"/>
      <c r="QEW152" s="863"/>
      <c r="QEX152" s="863"/>
      <c r="QEY152" s="863"/>
      <c r="QEZ152" s="863"/>
      <c r="QFA152" s="883"/>
      <c r="QFB152" s="883"/>
      <c r="QFC152" s="883"/>
      <c r="QFD152" s="883"/>
      <c r="QFE152" s="883"/>
      <c r="QFF152" s="883"/>
      <c r="QFG152" s="883"/>
      <c r="QFH152" s="883"/>
      <c r="QFI152" s="883"/>
      <c r="QFJ152" s="863"/>
      <c r="QFK152" s="863"/>
      <c r="QFL152" s="863"/>
      <c r="QFM152" s="863"/>
      <c r="QFN152" s="863"/>
      <c r="QFO152" s="863"/>
      <c r="QFP152" s="863"/>
      <c r="QFQ152" s="863"/>
      <c r="QFR152" s="863"/>
      <c r="QFS152" s="863"/>
      <c r="QFT152" s="863"/>
      <c r="QFU152" s="863"/>
      <c r="QFV152" s="863"/>
      <c r="QFW152" s="863"/>
      <c r="QFX152" s="863"/>
      <c r="QFY152" s="863"/>
      <c r="QFZ152" s="863"/>
      <c r="QGA152" s="863"/>
      <c r="QGB152" s="863"/>
      <c r="QGC152" s="863"/>
      <c r="QGD152" s="863"/>
      <c r="QGE152" s="863"/>
      <c r="QGF152" s="863"/>
      <c r="QGG152" s="883"/>
      <c r="QGH152" s="883"/>
      <c r="QGI152" s="883"/>
      <c r="QGJ152" s="883"/>
      <c r="QGK152" s="883"/>
      <c r="QGL152" s="883"/>
      <c r="QGM152" s="883"/>
      <c r="QGN152" s="883"/>
      <c r="QGO152" s="883"/>
      <c r="QGP152" s="863"/>
      <c r="QGQ152" s="863"/>
      <c r="QGR152" s="863"/>
      <c r="QGS152" s="863"/>
      <c r="QGT152" s="863"/>
      <c r="QGU152" s="863"/>
      <c r="QGV152" s="863"/>
      <c r="QGW152" s="863"/>
      <c r="QGX152" s="863"/>
      <c r="QGY152" s="863"/>
      <c r="QGZ152" s="863"/>
      <c r="QHA152" s="863"/>
      <c r="QHB152" s="863"/>
      <c r="QHC152" s="863"/>
      <c r="QHD152" s="863"/>
      <c r="QHE152" s="863"/>
      <c r="QHF152" s="863"/>
      <c r="QHG152" s="863"/>
      <c r="QHH152" s="863"/>
      <c r="QHI152" s="863"/>
      <c r="QHJ152" s="863"/>
      <c r="QHK152" s="863"/>
      <c r="QHL152" s="863"/>
      <c r="QHM152" s="883"/>
      <c r="QHN152" s="883"/>
      <c r="QHO152" s="883"/>
      <c r="QHP152" s="883"/>
      <c r="QHQ152" s="883"/>
      <c r="QHR152" s="883"/>
      <c r="QHS152" s="883"/>
      <c r="QHT152" s="883"/>
      <c r="QHU152" s="883"/>
      <c r="QHV152" s="863"/>
      <c r="QHW152" s="863"/>
      <c r="QHX152" s="863"/>
      <c r="QHY152" s="863"/>
      <c r="QHZ152" s="863"/>
      <c r="QIA152" s="863"/>
      <c r="QIB152" s="863"/>
      <c r="QIC152" s="863"/>
      <c r="QID152" s="863"/>
      <c r="QIE152" s="863"/>
      <c r="QIF152" s="863"/>
      <c r="QIG152" s="863"/>
      <c r="QIH152" s="863"/>
      <c r="QII152" s="863"/>
      <c r="QIJ152" s="863"/>
      <c r="QIK152" s="863"/>
      <c r="QIL152" s="863"/>
      <c r="QIM152" s="863"/>
      <c r="QIN152" s="863"/>
      <c r="QIO152" s="863"/>
      <c r="QIP152" s="863"/>
      <c r="QIQ152" s="863"/>
      <c r="QIR152" s="863"/>
      <c r="QIS152" s="883"/>
      <c r="QIT152" s="883"/>
      <c r="QIU152" s="883"/>
      <c r="QIV152" s="883"/>
      <c r="QIW152" s="883"/>
      <c r="QIX152" s="883"/>
      <c r="QIY152" s="883"/>
      <c r="QIZ152" s="883"/>
      <c r="QJA152" s="883"/>
      <c r="QJB152" s="863"/>
      <c r="QJC152" s="863"/>
      <c r="QJD152" s="863"/>
      <c r="QJE152" s="863"/>
      <c r="QJF152" s="863"/>
      <c r="QJG152" s="863"/>
      <c r="QJH152" s="863"/>
      <c r="QJI152" s="863"/>
      <c r="QJJ152" s="863"/>
      <c r="QJK152" s="863"/>
      <c r="QJL152" s="863"/>
      <c r="QJM152" s="863"/>
      <c r="QJN152" s="863"/>
      <c r="QJO152" s="863"/>
      <c r="QJP152" s="863"/>
      <c r="QJQ152" s="863"/>
      <c r="QJR152" s="863"/>
      <c r="QJS152" s="863"/>
      <c r="QJT152" s="863"/>
      <c r="QJU152" s="863"/>
      <c r="QJV152" s="863"/>
      <c r="QJW152" s="863"/>
      <c r="QJX152" s="863"/>
      <c r="QJY152" s="883"/>
      <c r="QJZ152" s="883"/>
      <c r="QKA152" s="883"/>
      <c r="QKB152" s="883"/>
      <c r="QKC152" s="883"/>
      <c r="QKD152" s="883"/>
      <c r="QKE152" s="883"/>
      <c r="QKF152" s="883"/>
      <c r="QKG152" s="883"/>
      <c r="QKH152" s="863"/>
      <c r="QKI152" s="863"/>
      <c r="QKJ152" s="863"/>
      <c r="QKK152" s="863"/>
      <c r="QKL152" s="863"/>
      <c r="QKM152" s="863"/>
      <c r="QKN152" s="863"/>
      <c r="QKO152" s="863"/>
      <c r="QKP152" s="863"/>
      <c r="QKQ152" s="863"/>
      <c r="QKR152" s="863"/>
      <c r="QKS152" s="863"/>
      <c r="QKT152" s="863"/>
      <c r="QKU152" s="863"/>
      <c r="QKV152" s="863"/>
      <c r="QKW152" s="863"/>
      <c r="QKX152" s="863"/>
      <c r="QKY152" s="863"/>
      <c r="QKZ152" s="863"/>
      <c r="QLA152" s="863"/>
      <c r="QLB152" s="863"/>
      <c r="QLC152" s="863"/>
      <c r="QLD152" s="863"/>
      <c r="QLE152" s="883"/>
      <c r="QLF152" s="883"/>
      <c r="QLG152" s="883"/>
      <c r="QLH152" s="883"/>
      <c r="QLI152" s="883"/>
      <c r="QLJ152" s="883"/>
      <c r="QLK152" s="883"/>
      <c r="QLL152" s="883"/>
      <c r="QLM152" s="883"/>
      <c r="QLN152" s="863"/>
      <c r="QLO152" s="863"/>
      <c r="QLP152" s="863"/>
      <c r="QLQ152" s="863"/>
      <c r="QLR152" s="863"/>
      <c r="QLS152" s="863"/>
      <c r="QLT152" s="863"/>
      <c r="QLU152" s="863"/>
      <c r="QLV152" s="863"/>
      <c r="QLW152" s="863"/>
      <c r="QLX152" s="863"/>
      <c r="QLY152" s="863"/>
      <c r="QLZ152" s="863"/>
      <c r="QMA152" s="863"/>
      <c r="QMB152" s="863"/>
      <c r="QMC152" s="863"/>
      <c r="QMD152" s="863"/>
      <c r="QME152" s="863"/>
      <c r="QMF152" s="863"/>
      <c r="QMG152" s="863"/>
      <c r="QMH152" s="863"/>
      <c r="QMI152" s="863"/>
      <c r="QMJ152" s="863"/>
      <c r="QMK152" s="883"/>
      <c r="QML152" s="883"/>
      <c r="QMM152" s="883"/>
      <c r="QMN152" s="883"/>
      <c r="QMO152" s="883"/>
      <c r="QMP152" s="883"/>
      <c r="QMQ152" s="883"/>
      <c r="QMR152" s="883"/>
      <c r="QMS152" s="883"/>
      <c r="QMT152" s="863"/>
      <c r="QMU152" s="863"/>
      <c r="QMV152" s="863"/>
      <c r="QMW152" s="863"/>
      <c r="QMX152" s="863"/>
      <c r="QMY152" s="863"/>
      <c r="QMZ152" s="863"/>
      <c r="QNA152" s="863"/>
      <c r="QNB152" s="863"/>
      <c r="QNC152" s="863"/>
      <c r="QND152" s="863"/>
      <c r="QNE152" s="863"/>
      <c r="QNF152" s="863"/>
      <c r="QNG152" s="863"/>
      <c r="QNH152" s="863"/>
      <c r="QNI152" s="863"/>
      <c r="QNJ152" s="863"/>
      <c r="QNK152" s="863"/>
      <c r="QNL152" s="863"/>
      <c r="QNM152" s="863"/>
      <c r="QNN152" s="863"/>
      <c r="QNO152" s="863"/>
      <c r="QNP152" s="863"/>
      <c r="QNQ152" s="883"/>
      <c r="QNR152" s="883"/>
      <c r="QNS152" s="883"/>
      <c r="QNT152" s="883"/>
      <c r="QNU152" s="883"/>
      <c r="QNV152" s="883"/>
      <c r="QNW152" s="883"/>
      <c r="QNX152" s="883"/>
      <c r="QNY152" s="883"/>
      <c r="QNZ152" s="863"/>
      <c r="QOA152" s="863"/>
      <c r="QOB152" s="863"/>
      <c r="QOC152" s="863"/>
      <c r="QOD152" s="863"/>
      <c r="QOE152" s="863"/>
      <c r="QOF152" s="863"/>
      <c r="QOG152" s="863"/>
      <c r="QOH152" s="863"/>
      <c r="QOI152" s="863"/>
      <c r="QOJ152" s="863"/>
      <c r="QOK152" s="863"/>
      <c r="QOL152" s="863"/>
      <c r="QOM152" s="863"/>
      <c r="QON152" s="863"/>
      <c r="QOO152" s="863"/>
      <c r="QOP152" s="863"/>
      <c r="QOQ152" s="863"/>
      <c r="QOR152" s="863"/>
      <c r="QOS152" s="863"/>
      <c r="QOT152" s="863"/>
      <c r="QOU152" s="863"/>
      <c r="QOV152" s="863"/>
      <c r="QOW152" s="883"/>
      <c r="QOX152" s="883"/>
      <c r="QOY152" s="883"/>
      <c r="QOZ152" s="883"/>
      <c r="QPA152" s="883"/>
      <c r="QPB152" s="883"/>
      <c r="QPC152" s="883"/>
      <c r="QPD152" s="883"/>
      <c r="QPE152" s="883"/>
      <c r="QPF152" s="863"/>
      <c r="QPG152" s="863"/>
      <c r="QPH152" s="863"/>
      <c r="QPI152" s="863"/>
      <c r="QPJ152" s="863"/>
      <c r="QPK152" s="863"/>
      <c r="QPL152" s="863"/>
      <c r="QPM152" s="863"/>
      <c r="QPN152" s="863"/>
      <c r="QPO152" s="863"/>
      <c r="QPP152" s="863"/>
      <c r="QPQ152" s="863"/>
      <c r="QPR152" s="863"/>
      <c r="QPS152" s="863"/>
      <c r="QPT152" s="863"/>
      <c r="QPU152" s="863"/>
      <c r="QPV152" s="863"/>
      <c r="QPW152" s="863"/>
      <c r="QPX152" s="863"/>
      <c r="QPY152" s="863"/>
      <c r="QPZ152" s="863"/>
      <c r="QQA152" s="863"/>
      <c r="QQB152" s="863"/>
      <c r="QQC152" s="883"/>
      <c r="QQD152" s="883"/>
      <c r="QQE152" s="883"/>
      <c r="QQF152" s="883"/>
      <c r="QQG152" s="883"/>
      <c r="QQH152" s="883"/>
      <c r="QQI152" s="883"/>
      <c r="QQJ152" s="883"/>
      <c r="QQK152" s="883"/>
      <c r="QQL152" s="863"/>
      <c r="QQM152" s="863"/>
      <c r="QQN152" s="863"/>
      <c r="QQO152" s="863"/>
      <c r="QQP152" s="863"/>
      <c r="QQQ152" s="863"/>
      <c r="QQR152" s="863"/>
      <c r="QQS152" s="863"/>
      <c r="QQT152" s="863"/>
      <c r="QQU152" s="863"/>
      <c r="QQV152" s="863"/>
      <c r="QQW152" s="863"/>
      <c r="QQX152" s="863"/>
      <c r="QQY152" s="863"/>
      <c r="QQZ152" s="863"/>
      <c r="QRA152" s="863"/>
      <c r="QRB152" s="863"/>
      <c r="QRC152" s="863"/>
      <c r="QRD152" s="863"/>
      <c r="QRE152" s="863"/>
      <c r="QRF152" s="863"/>
      <c r="QRG152" s="863"/>
      <c r="QRH152" s="863"/>
      <c r="QRI152" s="883"/>
      <c r="QRJ152" s="883"/>
      <c r="QRK152" s="883"/>
      <c r="QRL152" s="883"/>
      <c r="QRM152" s="883"/>
      <c r="QRN152" s="883"/>
      <c r="QRO152" s="883"/>
      <c r="QRP152" s="883"/>
      <c r="QRQ152" s="883"/>
      <c r="QRR152" s="863"/>
      <c r="QRS152" s="863"/>
      <c r="QRT152" s="863"/>
      <c r="QRU152" s="863"/>
      <c r="QRV152" s="863"/>
      <c r="QRW152" s="863"/>
      <c r="QRX152" s="863"/>
      <c r="QRY152" s="863"/>
      <c r="QRZ152" s="863"/>
      <c r="QSA152" s="863"/>
      <c r="QSB152" s="863"/>
      <c r="QSC152" s="863"/>
      <c r="QSD152" s="863"/>
      <c r="QSE152" s="863"/>
      <c r="QSF152" s="863"/>
      <c r="QSG152" s="863"/>
      <c r="QSH152" s="863"/>
      <c r="QSI152" s="863"/>
      <c r="QSJ152" s="863"/>
      <c r="QSK152" s="863"/>
      <c r="QSL152" s="863"/>
      <c r="QSM152" s="863"/>
      <c r="QSN152" s="863"/>
      <c r="QSO152" s="883"/>
      <c r="QSP152" s="883"/>
      <c r="QSQ152" s="883"/>
      <c r="QSR152" s="883"/>
      <c r="QSS152" s="883"/>
      <c r="QST152" s="883"/>
      <c r="QSU152" s="883"/>
      <c r="QSV152" s="883"/>
      <c r="QSW152" s="883"/>
      <c r="QSX152" s="863"/>
      <c r="QSY152" s="863"/>
      <c r="QSZ152" s="863"/>
      <c r="QTA152" s="863"/>
      <c r="QTB152" s="863"/>
      <c r="QTC152" s="863"/>
      <c r="QTD152" s="863"/>
      <c r="QTE152" s="863"/>
      <c r="QTF152" s="863"/>
      <c r="QTG152" s="863"/>
      <c r="QTH152" s="863"/>
      <c r="QTI152" s="863"/>
      <c r="QTJ152" s="863"/>
      <c r="QTK152" s="863"/>
      <c r="QTL152" s="863"/>
      <c r="QTM152" s="863"/>
      <c r="QTN152" s="863"/>
      <c r="QTO152" s="863"/>
      <c r="QTP152" s="863"/>
      <c r="QTQ152" s="863"/>
      <c r="QTR152" s="863"/>
      <c r="QTS152" s="863"/>
      <c r="QTT152" s="863"/>
      <c r="QTU152" s="883"/>
      <c r="QTV152" s="883"/>
      <c r="QTW152" s="883"/>
      <c r="QTX152" s="883"/>
      <c r="QTY152" s="883"/>
      <c r="QTZ152" s="883"/>
      <c r="QUA152" s="883"/>
      <c r="QUB152" s="883"/>
      <c r="QUC152" s="883"/>
      <c r="QUD152" s="863"/>
      <c r="QUE152" s="863"/>
      <c r="QUF152" s="863"/>
      <c r="QUG152" s="863"/>
      <c r="QUH152" s="863"/>
      <c r="QUI152" s="863"/>
      <c r="QUJ152" s="863"/>
      <c r="QUK152" s="863"/>
      <c r="QUL152" s="863"/>
      <c r="QUM152" s="863"/>
      <c r="QUN152" s="863"/>
      <c r="QUO152" s="863"/>
      <c r="QUP152" s="863"/>
      <c r="QUQ152" s="863"/>
      <c r="QUR152" s="863"/>
      <c r="QUS152" s="863"/>
      <c r="QUT152" s="863"/>
      <c r="QUU152" s="863"/>
      <c r="QUV152" s="863"/>
      <c r="QUW152" s="863"/>
      <c r="QUX152" s="863"/>
      <c r="QUY152" s="863"/>
      <c r="QUZ152" s="863"/>
      <c r="QVA152" s="883"/>
      <c r="QVB152" s="883"/>
      <c r="QVC152" s="883"/>
      <c r="QVD152" s="883"/>
      <c r="QVE152" s="883"/>
      <c r="QVF152" s="883"/>
      <c r="QVG152" s="883"/>
      <c r="QVH152" s="883"/>
      <c r="QVI152" s="883"/>
      <c r="QVJ152" s="863"/>
      <c r="QVK152" s="863"/>
      <c r="QVL152" s="863"/>
      <c r="QVM152" s="863"/>
      <c r="QVN152" s="863"/>
      <c r="QVO152" s="863"/>
      <c r="QVP152" s="863"/>
      <c r="QVQ152" s="863"/>
      <c r="QVR152" s="863"/>
      <c r="QVS152" s="863"/>
      <c r="QVT152" s="863"/>
      <c r="QVU152" s="863"/>
      <c r="QVV152" s="863"/>
      <c r="QVW152" s="863"/>
      <c r="QVX152" s="863"/>
      <c r="QVY152" s="863"/>
      <c r="QVZ152" s="863"/>
      <c r="QWA152" s="863"/>
      <c r="QWB152" s="863"/>
      <c r="QWC152" s="863"/>
      <c r="QWD152" s="863"/>
      <c r="QWE152" s="863"/>
      <c r="QWF152" s="863"/>
      <c r="QWG152" s="883"/>
      <c r="QWH152" s="883"/>
      <c r="QWI152" s="883"/>
      <c r="QWJ152" s="883"/>
      <c r="QWK152" s="883"/>
      <c r="QWL152" s="883"/>
      <c r="QWM152" s="883"/>
      <c r="QWN152" s="883"/>
      <c r="QWO152" s="883"/>
      <c r="QWP152" s="863"/>
      <c r="QWQ152" s="863"/>
      <c r="QWR152" s="863"/>
      <c r="QWS152" s="863"/>
      <c r="QWT152" s="863"/>
      <c r="QWU152" s="863"/>
      <c r="QWV152" s="863"/>
      <c r="QWW152" s="863"/>
      <c r="QWX152" s="863"/>
      <c r="QWY152" s="863"/>
      <c r="QWZ152" s="863"/>
      <c r="QXA152" s="863"/>
      <c r="QXB152" s="863"/>
      <c r="QXC152" s="863"/>
      <c r="QXD152" s="863"/>
      <c r="QXE152" s="863"/>
      <c r="QXF152" s="863"/>
      <c r="QXG152" s="863"/>
      <c r="QXH152" s="863"/>
      <c r="QXI152" s="863"/>
      <c r="QXJ152" s="863"/>
      <c r="QXK152" s="863"/>
      <c r="QXL152" s="863"/>
      <c r="QXM152" s="883"/>
      <c r="QXN152" s="883"/>
      <c r="QXO152" s="883"/>
      <c r="QXP152" s="883"/>
      <c r="QXQ152" s="883"/>
      <c r="QXR152" s="883"/>
      <c r="QXS152" s="883"/>
      <c r="QXT152" s="883"/>
      <c r="QXU152" s="883"/>
      <c r="QXV152" s="863"/>
      <c r="QXW152" s="863"/>
      <c r="QXX152" s="863"/>
      <c r="QXY152" s="863"/>
      <c r="QXZ152" s="863"/>
      <c r="QYA152" s="863"/>
      <c r="QYB152" s="863"/>
      <c r="QYC152" s="863"/>
      <c r="QYD152" s="863"/>
      <c r="QYE152" s="863"/>
      <c r="QYF152" s="863"/>
      <c r="QYG152" s="863"/>
      <c r="QYH152" s="863"/>
      <c r="QYI152" s="863"/>
      <c r="QYJ152" s="863"/>
      <c r="QYK152" s="863"/>
      <c r="QYL152" s="863"/>
      <c r="QYM152" s="863"/>
      <c r="QYN152" s="863"/>
      <c r="QYO152" s="863"/>
      <c r="QYP152" s="863"/>
      <c r="QYQ152" s="863"/>
      <c r="QYR152" s="863"/>
      <c r="QYS152" s="883"/>
      <c r="QYT152" s="883"/>
      <c r="QYU152" s="883"/>
      <c r="QYV152" s="883"/>
      <c r="QYW152" s="883"/>
      <c r="QYX152" s="883"/>
      <c r="QYY152" s="883"/>
      <c r="QYZ152" s="883"/>
      <c r="QZA152" s="883"/>
      <c r="QZB152" s="863"/>
      <c r="QZC152" s="863"/>
      <c r="QZD152" s="863"/>
      <c r="QZE152" s="863"/>
      <c r="QZF152" s="863"/>
      <c r="QZG152" s="863"/>
      <c r="QZH152" s="863"/>
      <c r="QZI152" s="863"/>
      <c r="QZJ152" s="863"/>
      <c r="QZK152" s="863"/>
      <c r="QZL152" s="863"/>
      <c r="QZM152" s="863"/>
      <c r="QZN152" s="863"/>
      <c r="QZO152" s="863"/>
      <c r="QZP152" s="863"/>
      <c r="QZQ152" s="863"/>
      <c r="QZR152" s="863"/>
      <c r="QZS152" s="863"/>
      <c r="QZT152" s="863"/>
      <c r="QZU152" s="863"/>
      <c r="QZV152" s="863"/>
      <c r="QZW152" s="863"/>
      <c r="QZX152" s="863"/>
      <c r="QZY152" s="883"/>
      <c r="QZZ152" s="883"/>
      <c r="RAA152" s="883"/>
      <c r="RAB152" s="883"/>
      <c r="RAC152" s="883"/>
      <c r="RAD152" s="883"/>
      <c r="RAE152" s="883"/>
      <c r="RAF152" s="883"/>
      <c r="RAG152" s="883"/>
      <c r="RAH152" s="863"/>
      <c r="RAI152" s="863"/>
      <c r="RAJ152" s="863"/>
      <c r="RAK152" s="863"/>
      <c r="RAL152" s="863"/>
      <c r="RAM152" s="863"/>
      <c r="RAN152" s="863"/>
      <c r="RAO152" s="863"/>
      <c r="RAP152" s="863"/>
      <c r="RAQ152" s="863"/>
      <c r="RAR152" s="863"/>
      <c r="RAS152" s="863"/>
      <c r="RAT152" s="863"/>
      <c r="RAU152" s="863"/>
      <c r="RAV152" s="863"/>
      <c r="RAW152" s="863"/>
      <c r="RAX152" s="863"/>
      <c r="RAY152" s="863"/>
      <c r="RAZ152" s="863"/>
      <c r="RBA152" s="863"/>
      <c r="RBB152" s="863"/>
      <c r="RBC152" s="863"/>
      <c r="RBD152" s="863"/>
      <c r="RBE152" s="883"/>
      <c r="RBF152" s="883"/>
      <c r="RBG152" s="883"/>
      <c r="RBH152" s="883"/>
      <c r="RBI152" s="883"/>
      <c r="RBJ152" s="883"/>
      <c r="RBK152" s="883"/>
      <c r="RBL152" s="883"/>
      <c r="RBM152" s="883"/>
      <c r="RBN152" s="863"/>
      <c r="RBO152" s="863"/>
      <c r="RBP152" s="863"/>
      <c r="RBQ152" s="863"/>
      <c r="RBR152" s="863"/>
      <c r="RBS152" s="863"/>
      <c r="RBT152" s="863"/>
      <c r="RBU152" s="863"/>
      <c r="RBV152" s="863"/>
      <c r="RBW152" s="863"/>
      <c r="RBX152" s="863"/>
      <c r="RBY152" s="863"/>
      <c r="RBZ152" s="863"/>
      <c r="RCA152" s="863"/>
      <c r="RCB152" s="863"/>
      <c r="RCC152" s="863"/>
      <c r="RCD152" s="863"/>
      <c r="RCE152" s="863"/>
      <c r="RCF152" s="863"/>
      <c r="RCG152" s="863"/>
      <c r="RCH152" s="863"/>
      <c r="RCI152" s="863"/>
      <c r="RCJ152" s="863"/>
      <c r="RCK152" s="883"/>
      <c r="RCL152" s="883"/>
      <c r="RCM152" s="883"/>
      <c r="RCN152" s="883"/>
      <c r="RCO152" s="883"/>
      <c r="RCP152" s="883"/>
      <c r="RCQ152" s="883"/>
      <c r="RCR152" s="883"/>
      <c r="RCS152" s="883"/>
      <c r="RCT152" s="863"/>
      <c r="RCU152" s="863"/>
      <c r="RCV152" s="863"/>
      <c r="RCW152" s="863"/>
      <c r="RCX152" s="863"/>
      <c r="RCY152" s="863"/>
      <c r="RCZ152" s="863"/>
      <c r="RDA152" s="863"/>
      <c r="RDB152" s="863"/>
      <c r="RDC152" s="863"/>
      <c r="RDD152" s="863"/>
      <c r="RDE152" s="863"/>
      <c r="RDF152" s="863"/>
      <c r="RDG152" s="863"/>
      <c r="RDH152" s="863"/>
      <c r="RDI152" s="863"/>
      <c r="RDJ152" s="863"/>
      <c r="RDK152" s="863"/>
      <c r="RDL152" s="863"/>
      <c r="RDM152" s="863"/>
      <c r="RDN152" s="863"/>
      <c r="RDO152" s="863"/>
      <c r="RDP152" s="863"/>
      <c r="RDQ152" s="883"/>
      <c r="RDR152" s="883"/>
      <c r="RDS152" s="883"/>
      <c r="RDT152" s="883"/>
      <c r="RDU152" s="883"/>
      <c r="RDV152" s="883"/>
      <c r="RDW152" s="883"/>
      <c r="RDX152" s="883"/>
      <c r="RDY152" s="883"/>
      <c r="RDZ152" s="863"/>
      <c r="REA152" s="863"/>
      <c r="REB152" s="863"/>
      <c r="REC152" s="863"/>
      <c r="RED152" s="863"/>
      <c r="REE152" s="863"/>
      <c r="REF152" s="863"/>
      <c r="REG152" s="863"/>
      <c r="REH152" s="863"/>
      <c r="REI152" s="863"/>
      <c r="REJ152" s="863"/>
      <c r="REK152" s="863"/>
      <c r="REL152" s="863"/>
      <c r="REM152" s="863"/>
      <c r="REN152" s="863"/>
      <c r="REO152" s="863"/>
      <c r="REP152" s="863"/>
      <c r="REQ152" s="863"/>
      <c r="RER152" s="863"/>
      <c r="RES152" s="863"/>
      <c r="RET152" s="863"/>
      <c r="REU152" s="863"/>
      <c r="REV152" s="863"/>
      <c r="REW152" s="883"/>
      <c r="REX152" s="883"/>
      <c r="REY152" s="883"/>
      <c r="REZ152" s="883"/>
      <c r="RFA152" s="883"/>
      <c r="RFB152" s="883"/>
      <c r="RFC152" s="883"/>
      <c r="RFD152" s="883"/>
      <c r="RFE152" s="883"/>
      <c r="RFF152" s="863"/>
      <c r="RFG152" s="863"/>
      <c r="RFH152" s="863"/>
      <c r="RFI152" s="863"/>
      <c r="RFJ152" s="863"/>
      <c r="RFK152" s="863"/>
      <c r="RFL152" s="863"/>
      <c r="RFM152" s="863"/>
      <c r="RFN152" s="863"/>
      <c r="RFO152" s="863"/>
      <c r="RFP152" s="863"/>
      <c r="RFQ152" s="863"/>
      <c r="RFR152" s="863"/>
      <c r="RFS152" s="863"/>
      <c r="RFT152" s="863"/>
      <c r="RFU152" s="863"/>
      <c r="RFV152" s="863"/>
      <c r="RFW152" s="863"/>
      <c r="RFX152" s="863"/>
      <c r="RFY152" s="863"/>
      <c r="RFZ152" s="863"/>
      <c r="RGA152" s="863"/>
      <c r="RGB152" s="863"/>
      <c r="RGC152" s="883"/>
      <c r="RGD152" s="883"/>
      <c r="RGE152" s="883"/>
      <c r="RGF152" s="883"/>
      <c r="RGG152" s="883"/>
      <c r="RGH152" s="883"/>
      <c r="RGI152" s="883"/>
      <c r="RGJ152" s="883"/>
      <c r="RGK152" s="883"/>
      <c r="RGL152" s="863"/>
      <c r="RGM152" s="863"/>
      <c r="RGN152" s="863"/>
      <c r="RGO152" s="863"/>
      <c r="RGP152" s="863"/>
      <c r="RGQ152" s="863"/>
      <c r="RGR152" s="863"/>
      <c r="RGS152" s="863"/>
      <c r="RGT152" s="863"/>
      <c r="RGU152" s="863"/>
      <c r="RGV152" s="863"/>
      <c r="RGW152" s="863"/>
      <c r="RGX152" s="863"/>
      <c r="RGY152" s="863"/>
      <c r="RGZ152" s="863"/>
      <c r="RHA152" s="863"/>
      <c r="RHB152" s="863"/>
      <c r="RHC152" s="863"/>
      <c r="RHD152" s="863"/>
      <c r="RHE152" s="863"/>
      <c r="RHF152" s="863"/>
      <c r="RHG152" s="863"/>
      <c r="RHH152" s="863"/>
      <c r="RHI152" s="883"/>
      <c r="RHJ152" s="883"/>
      <c r="RHK152" s="883"/>
      <c r="RHL152" s="883"/>
      <c r="RHM152" s="883"/>
      <c r="RHN152" s="883"/>
      <c r="RHO152" s="883"/>
      <c r="RHP152" s="883"/>
      <c r="RHQ152" s="883"/>
      <c r="RHR152" s="863"/>
      <c r="RHS152" s="863"/>
      <c r="RHT152" s="863"/>
      <c r="RHU152" s="863"/>
      <c r="RHV152" s="863"/>
      <c r="RHW152" s="863"/>
      <c r="RHX152" s="863"/>
      <c r="RHY152" s="863"/>
      <c r="RHZ152" s="863"/>
      <c r="RIA152" s="863"/>
      <c r="RIB152" s="863"/>
      <c r="RIC152" s="863"/>
      <c r="RID152" s="863"/>
      <c r="RIE152" s="863"/>
      <c r="RIF152" s="863"/>
      <c r="RIG152" s="863"/>
      <c r="RIH152" s="863"/>
      <c r="RII152" s="863"/>
      <c r="RIJ152" s="863"/>
      <c r="RIK152" s="863"/>
      <c r="RIL152" s="863"/>
      <c r="RIM152" s="863"/>
      <c r="RIN152" s="863"/>
      <c r="RIO152" s="883"/>
      <c r="RIP152" s="883"/>
      <c r="RIQ152" s="883"/>
      <c r="RIR152" s="883"/>
      <c r="RIS152" s="883"/>
      <c r="RIT152" s="883"/>
      <c r="RIU152" s="883"/>
      <c r="RIV152" s="883"/>
      <c r="RIW152" s="883"/>
      <c r="RIX152" s="863"/>
      <c r="RIY152" s="863"/>
      <c r="RIZ152" s="863"/>
      <c r="RJA152" s="863"/>
      <c r="RJB152" s="863"/>
      <c r="RJC152" s="863"/>
      <c r="RJD152" s="863"/>
      <c r="RJE152" s="863"/>
      <c r="RJF152" s="863"/>
      <c r="RJG152" s="863"/>
      <c r="RJH152" s="863"/>
      <c r="RJI152" s="863"/>
      <c r="RJJ152" s="863"/>
      <c r="RJK152" s="863"/>
      <c r="RJL152" s="863"/>
      <c r="RJM152" s="863"/>
      <c r="RJN152" s="863"/>
      <c r="RJO152" s="863"/>
      <c r="RJP152" s="863"/>
      <c r="RJQ152" s="863"/>
      <c r="RJR152" s="863"/>
      <c r="RJS152" s="863"/>
      <c r="RJT152" s="863"/>
      <c r="RJU152" s="883"/>
      <c r="RJV152" s="883"/>
      <c r="RJW152" s="883"/>
      <c r="RJX152" s="883"/>
      <c r="RJY152" s="883"/>
      <c r="RJZ152" s="883"/>
      <c r="RKA152" s="883"/>
      <c r="RKB152" s="883"/>
      <c r="RKC152" s="883"/>
      <c r="RKD152" s="863"/>
      <c r="RKE152" s="863"/>
      <c r="RKF152" s="863"/>
      <c r="RKG152" s="863"/>
      <c r="RKH152" s="863"/>
      <c r="RKI152" s="863"/>
      <c r="RKJ152" s="863"/>
      <c r="RKK152" s="863"/>
      <c r="RKL152" s="863"/>
      <c r="RKM152" s="863"/>
      <c r="RKN152" s="863"/>
      <c r="RKO152" s="863"/>
      <c r="RKP152" s="863"/>
      <c r="RKQ152" s="863"/>
      <c r="RKR152" s="863"/>
      <c r="RKS152" s="863"/>
      <c r="RKT152" s="863"/>
      <c r="RKU152" s="863"/>
      <c r="RKV152" s="863"/>
      <c r="RKW152" s="863"/>
      <c r="RKX152" s="863"/>
      <c r="RKY152" s="863"/>
      <c r="RKZ152" s="863"/>
      <c r="RLA152" s="883"/>
      <c r="RLB152" s="883"/>
      <c r="RLC152" s="883"/>
      <c r="RLD152" s="883"/>
      <c r="RLE152" s="883"/>
      <c r="RLF152" s="883"/>
      <c r="RLG152" s="883"/>
      <c r="RLH152" s="883"/>
      <c r="RLI152" s="883"/>
      <c r="RLJ152" s="863"/>
      <c r="RLK152" s="863"/>
      <c r="RLL152" s="863"/>
      <c r="RLM152" s="863"/>
      <c r="RLN152" s="863"/>
      <c r="RLO152" s="863"/>
      <c r="RLP152" s="863"/>
      <c r="RLQ152" s="863"/>
      <c r="RLR152" s="863"/>
      <c r="RLS152" s="863"/>
      <c r="RLT152" s="863"/>
      <c r="RLU152" s="863"/>
      <c r="RLV152" s="863"/>
      <c r="RLW152" s="863"/>
      <c r="RLX152" s="863"/>
      <c r="RLY152" s="863"/>
      <c r="RLZ152" s="863"/>
      <c r="RMA152" s="863"/>
      <c r="RMB152" s="863"/>
      <c r="RMC152" s="863"/>
      <c r="RMD152" s="863"/>
      <c r="RME152" s="863"/>
      <c r="RMF152" s="863"/>
      <c r="RMG152" s="883"/>
      <c r="RMH152" s="883"/>
      <c r="RMI152" s="883"/>
      <c r="RMJ152" s="883"/>
      <c r="RMK152" s="883"/>
      <c r="RML152" s="883"/>
      <c r="RMM152" s="883"/>
      <c r="RMN152" s="883"/>
      <c r="RMO152" s="883"/>
      <c r="RMP152" s="863"/>
      <c r="RMQ152" s="863"/>
      <c r="RMR152" s="863"/>
      <c r="RMS152" s="863"/>
      <c r="RMT152" s="863"/>
      <c r="RMU152" s="863"/>
      <c r="RMV152" s="863"/>
      <c r="RMW152" s="863"/>
      <c r="RMX152" s="863"/>
      <c r="RMY152" s="863"/>
      <c r="RMZ152" s="863"/>
      <c r="RNA152" s="863"/>
      <c r="RNB152" s="863"/>
      <c r="RNC152" s="863"/>
      <c r="RND152" s="863"/>
      <c r="RNE152" s="863"/>
      <c r="RNF152" s="863"/>
      <c r="RNG152" s="863"/>
      <c r="RNH152" s="863"/>
      <c r="RNI152" s="863"/>
      <c r="RNJ152" s="863"/>
      <c r="RNK152" s="863"/>
      <c r="RNL152" s="863"/>
      <c r="RNM152" s="883"/>
      <c r="RNN152" s="883"/>
      <c r="RNO152" s="883"/>
      <c r="RNP152" s="883"/>
      <c r="RNQ152" s="883"/>
      <c r="RNR152" s="883"/>
      <c r="RNS152" s="883"/>
      <c r="RNT152" s="883"/>
      <c r="RNU152" s="883"/>
      <c r="RNV152" s="863"/>
      <c r="RNW152" s="863"/>
      <c r="RNX152" s="863"/>
      <c r="RNY152" s="863"/>
      <c r="RNZ152" s="863"/>
      <c r="ROA152" s="863"/>
      <c r="ROB152" s="863"/>
      <c r="ROC152" s="863"/>
      <c r="ROD152" s="863"/>
      <c r="ROE152" s="863"/>
      <c r="ROF152" s="863"/>
      <c r="ROG152" s="863"/>
      <c r="ROH152" s="863"/>
      <c r="ROI152" s="863"/>
      <c r="ROJ152" s="863"/>
      <c r="ROK152" s="863"/>
      <c r="ROL152" s="863"/>
      <c r="ROM152" s="863"/>
      <c r="RON152" s="863"/>
      <c r="ROO152" s="863"/>
      <c r="ROP152" s="863"/>
      <c r="ROQ152" s="863"/>
      <c r="ROR152" s="863"/>
      <c r="ROS152" s="883"/>
      <c r="ROT152" s="883"/>
      <c r="ROU152" s="883"/>
      <c r="ROV152" s="883"/>
      <c r="ROW152" s="883"/>
      <c r="ROX152" s="883"/>
      <c r="ROY152" s="883"/>
      <c r="ROZ152" s="883"/>
      <c r="RPA152" s="883"/>
      <c r="RPB152" s="863"/>
      <c r="RPC152" s="863"/>
      <c r="RPD152" s="863"/>
      <c r="RPE152" s="863"/>
      <c r="RPF152" s="863"/>
      <c r="RPG152" s="863"/>
      <c r="RPH152" s="863"/>
      <c r="RPI152" s="863"/>
      <c r="RPJ152" s="863"/>
      <c r="RPK152" s="863"/>
      <c r="RPL152" s="863"/>
      <c r="RPM152" s="863"/>
      <c r="RPN152" s="863"/>
      <c r="RPO152" s="863"/>
      <c r="RPP152" s="863"/>
      <c r="RPQ152" s="863"/>
      <c r="RPR152" s="863"/>
      <c r="RPS152" s="863"/>
      <c r="RPT152" s="863"/>
      <c r="RPU152" s="863"/>
      <c r="RPV152" s="863"/>
      <c r="RPW152" s="863"/>
      <c r="RPX152" s="863"/>
      <c r="RPY152" s="883"/>
      <c r="RPZ152" s="883"/>
      <c r="RQA152" s="883"/>
      <c r="RQB152" s="883"/>
      <c r="RQC152" s="883"/>
      <c r="RQD152" s="883"/>
      <c r="RQE152" s="883"/>
      <c r="RQF152" s="883"/>
      <c r="RQG152" s="883"/>
      <c r="RQH152" s="863"/>
      <c r="RQI152" s="863"/>
      <c r="RQJ152" s="863"/>
      <c r="RQK152" s="863"/>
      <c r="RQL152" s="863"/>
      <c r="RQM152" s="863"/>
      <c r="RQN152" s="863"/>
      <c r="RQO152" s="863"/>
      <c r="RQP152" s="863"/>
      <c r="RQQ152" s="863"/>
      <c r="RQR152" s="863"/>
      <c r="RQS152" s="863"/>
      <c r="RQT152" s="863"/>
      <c r="RQU152" s="863"/>
      <c r="RQV152" s="863"/>
      <c r="RQW152" s="863"/>
      <c r="RQX152" s="863"/>
      <c r="RQY152" s="863"/>
      <c r="RQZ152" s="863"/>
      <c r="RRA152" s="863"/>
      <c r="RRB152" s="863"/>
      <c r="RRC152" s="863"/>
      <c r="RRD152" s="863"/>
      <c r="RRE152" s="883"/>
      <c r="RRF152" s="883"/>
      <c r="RRG152" s="883"/>
      <c r="RRH152" s="883"/>
      <c r="RRI152" s="883"/>
      <c r="RRJ152" s="883"/>
      <c r="RRK152" s="883"/>
      <c r="RRL152" s="883"/>
      <c r="RRM152" s="883"/>
      <c r="RRN152" s="863"/>
      <c r="RRO152" s="863"/>
      <c r="RRP152" s="863"/>
      <c r="RRQ152" s="863"/>
      <c r="RRR152" s="863"/>
      <c r="RRS152" s="863"/>
      <c r="RRT152" s="863"/>
      <c r="RRU152" s="863"/>
      <c r="RRV152" s="863"/>
      <c r="RRW152" s="863"/>
      <c r="RRX152" s="863"/>
      <c r="RRY152" s="863"/>
      <c r="RRZ152" s="863"/>
      <c r="RSA152" s="863"/>
      <c r="RSB152" s="863"/>
      <c r="RSC152" s="863"/>
      <c r="RSD152" s="863"/>
      <c r="RSE152" s="863"/>
      <c r="RSF152" s="863"/>
      <c r="RSG152" s="863"/>
      <c r="RSH152" s="863"/>
      <c r="RSI152" s="863"/>
      <c r="RSJ152" s="863"/>
      <c r="RSK152" s="883"/>
      <c r="RSL152" s="883"/>
      <c r="RSM152" s="883"/>
      <c r="RSN152" s="883"/>
      <c r="RSO152" s="883"/>
      <c r="RSP152" s="883"/>
      <c r="RSQ152" s="883"/>
      <c r="RSR152" s="883"/>
      <c r="RSS152" s="883"/>
      <c r="RST152" s="863"/>
      <c r="RSU152" s="863"/>
      <c r="RSV152" s="863"/>
      <c r="RSW152" s="863"/>
      <c r="RSX152" s="863"/>
      <c r="RSY152" s="863"/>
      <c r="RSZ152" s="863"/>
      <c r="RTA152" s="863"/>
      <c r="RTB152" s="863"/>
      <c r="RTC152" s="863"/>
      <c r="RTD152" s="863"/>
      <c r="RTE152" s="863"/>
      <c r="RTF152" s="863"/>
      <c r="RTG152" s="863"/>
      <c r="RTH152" s="863"/>
      <c r="RTI152" s="863"/>
      <c r="RTJ152" s="863"/>
      <c r="RTK152" s="863"/>
      <c r="RTL152" s="863"/>
      <c r="RTM152" s="863"/>
      <c r="RTN152" s="863"/>
      <c r="RTO152" s="863"/>
      <c r="RTP152" s="863"/>
      <c r="RTQ152" s="883"/>
      <c r="RTR152" s="883"/>
      <c r="RTS152" s="883"/>
      <c r="RTT152" s="883"/>
      <c r="RTU152" s="883"/>
      <c r="RTV152" s="883"/>
      <c r="RTW152" s="883"/>
      <c r="RTX152" s="883"/>
      <c r="RTY152" s="883"/>
      <c r="RTZ152" s="863"/>
      <c r="RUA152" s="863"/>
      <c r="RUB152" s="863"/>
      <c r="RUC152" s="863"/>
      <c r="RUD152" s="863"/>
      <c r="RUE152" s="863"/>
      <c r="RUF152" s="863"/>
      <c r="RUG152" s="863"/>
      <c r="RUH152" s="863"/>
      <c r="RUI152" s="863"/>
      <c r="RUJ152" s="863"/>
      <c r="RUK152" s="863"/>
      <c r="RUL152" s="863"/>
      <c r="RUM152" s="863"/>
      <c r="RUN152" s="863"/>
      <c r="RUO152" s="863"/>
      <c r="RUP152" s="863"/>
      <c r="RUQ152" s="863"/>
      <c r="RUR152" s="863"/>
      <c r="RUS152" s="863"/>
      <c r="RUT152" s="863"/>
      <c r="RUU152" s="863"/>
      <c r="RUV152" s="863"/>
      <c r="RUW152" s="883"/>
      <c r="RUX152" s="883"/>
      <c r="RUY152" s="883"/>
      <c r="RUZ152" s="883"/>
      <c r="RVA152" s="883"/>
      <c r="RVB152" s="883"/>
      <c r="RVC152" s="883"/>
      <c r="RVD152" s="883"/>
      <c r="RVE152" s="883"/>
      <c r="RVF152" s="863"/>
      <c r="RVG152" s="863"/>
      <c r="RVH152" s="863"/>
      <c r="RVI152" s="863"/>
      <c r="RVJ152" s="863"/>
      <c r="RVK152" s="863"/>
      <c r="RVL152" s="863"/>
      <c r="RVM152" s="863"/>
      <c r="RVN152" s="863"/>
      <c r="RVO152" s="863"/>
      <c r="RVP152" s="863"/>
      <c r="RVQ152" s="863"/>
      <c r="RVR152" s="863"/>
      <c r="RVS152" s="863"/>
      <c r="RVT152" s="863"/>
      <c r="RVU152" s="863"/>
      <c r="RVV152" s="863"/>
      <c r="RVW152" s="863"/>
      <c r="RVX152" s="863"/>
      <c r="RVY152" s="863"/>
      <c r="RVZ152" s="863"/>
      <c r="RWA152" s="863"/>
      <c r="RWB152" s="863"/>
      <c r="RWC152" s="883"/>
      <c r="RWD152" s="883"/>
      <c r="RWE152" s="883"/>
      <c r="RWF152" s="883"/>
      <c r="RWG152" s="883"/>
      <c r="RWH152" s="883"/>
      <c r="RWI152" s="883"/>
      <c r="RWJ152" s="883"/>
      <c r="RWK152" s="883"/>
      <c r="RWL152" s="863"/>
      <c r="RWM152" s="863"/>
      <c r="RWN152" s="863"/>
      <c r="RWO152" s="863"/>
      <c r="RWP152" s="863"/>
      <c r="RWQ152" s="863"/>
      <c r="RWR152" s="863"/>
      <c r="RWS152" s="863"/>
      <c r="RWT152" s="863"/>
      <c r="RWU152" s="863"/>
      <c r="RWV152" s="863"/>
      <c r="RWW152" s="863"/>
      <c r="RWX152" s="863"/>
      <c r="RWY152" s="863"/>
      <c r="RWZ152" s="863"/>
      <c r="RXA152" s="863"/>
      <c r="RXB152" s="863"/>
      <c r="RXC152" s="863"/>
      <c r="RXD152" s="863"/>
      <c r="RXE152" s="863"/>
      <c r="RXF152" s="863"/>
      <c r="RXG152" s="863"/>
      <c r="RXH152" s="863"/>
      <c r="RXI152" s="883"/>
      <c r="RXJ152" s="883"/>
      <c r="RXK152" s="883"/>
      <c r="RXL152" s="883"/>
      <c r="RXM152" s="883"/>
      <c r="RXN152" s="883"/>
      <c r="RXO152" s="883"/>
      <c r="RXP152" s="883"/>
      <c r="RXQ152" s="883"/>
      <c r="RXR152" s="863"/>
      <c r="RXS152" s="863"/>
      <c r="RXT152" s="863"/>
      <c r="RXU152" s="863"/>
      <c r="RXV152" s="863"/>
      <c r="RXW152" s="863"/>
      <c r="RXX152" s="863"/>
      <c r="RXY152" s="863"/>
      <c r="RXZ152" s="863"/>
      <c r="RYA152" s="863"/>
      <c r="RYB152" s="863"/>
      <c r="RYC152" s="863"/>
      <c r="RYD152" s="863"/>
      <c r="RYE152" s="863"/>
      <c r="RYF152" s="863"/>
      <c r="RYG152" s="863"/>
      <c r="RYH152" s="863"/>
      <c r="RYI152" s="863"/>
      <c r="RYJ152" s="863"/>
      <c r="RYK152" s="863"/>
      <c r="RYL152" s="863"/>
      <c r="RYM152" s="863"/>
      <c r="RYN152" s="863"/>
      <c r="RYO152" s="883"/>
      <c r="RYP152" s="883"/>
      <c r="RYQ152" s="883"/>
      <c r="RYR152" s="883"/>
      <c r="RYS152" s="883"/>
      <c r="RYT152" s="883"/>
      <c r="RYU152" s="883"/>
      <c r="RYV152" s="883"/>
      <c r="RYW152" s="883"/>
      <c r="RYX152" s="863"/>
      <c r="RYY152" s="863"/>
      <c r="RYZ152" s="863"/>
      <c r="RZA152" s="863"/>
      <c r="RZB152" s="863"/>
      <c r="RZC152" s="863"/>
      <c r="RZD152" s="863"/>
      <c r="RZE152" s="863"/>
      <c r="RZF152" s="863"/>
      <c r="RZG152" s="863"/>
      <c r="RZH152" s="863"/>
      <c r="RZI152" s="863"/>
      <c r="RZJ152" s="863"/>
      <c r="RZK152" s="863"/>
      <c r="RZL152" s="863"/>
      <c r="RZM152" s="863"/>
      <c r="RZN152" s="863"/>
      <c r="RZO152" s="863"/>
      <c r="RZP152" s="863"/>
      <c r="RZQ152" s="863"/>
      <c r="RZR152" s="863"/>
      <c r="RZS152" s="863"/>
      <c r="RZT152" s="863"/>
      <c r="RZU152" s="883"/>
      <c r="RZV152" s="883"/>
      <c r="RZW152" s="883"/>
      <c r="RZX152" s="883"/>
      <c r="RZY152" s="883"/>
      <c r="RZZ152" s="883"/>
      <c r="SAA152" s="883"/>
      <c r="SAB152" s="883"/>
      <c r="SAC152" s="883"/>
      <c r="SAD152" s="863"/>
      <c r="SAE152" s="863"/>
      <c r="SAF152" s="863"/>
      <c r="SAG152" s="863"/>
      <c r="SAH152" s="863"/>
      <c r="SAI152" s="863"/>
      <c r="SAJ152" s="863"/>
      <c r="SAK152" s="863"/>
      <c r="SAL152" s="863"/>
      <c r="SAM152" s="863"/>
      <c r="SAN152" s="863"/>
      <c r="SAO152" s="863"/>
      <c r="SAP152" s="863"/>
      <c r="SAQ152" s="863"/>
      <c r="SAR152" s="863"/>
      <c r="SAS152" s="863"/>
      <c r="SAT152" s="863"/>
      <c r="SAU152" s="863"/>
      <c r="SAV152" s="863"/>
      <c r="SAW152" s="863"/>
      <c r="SAX152" s="863"/>
      <c r="SAY152" s="863"/>
      <c r="SAZ152" s="863"/>
      <c r="SBA152" s="883"/>
      <c r="SBB152" s="883"/>
      <c r="SBC152" s="883"/>
      <c r="SBD152" s="883"/>
      <c r="SBE152" s="883"/>
      <c r="SBF152" s="883"/>
      <c r="SBG152" s="883"/>
      <c r="SBH152" s="883"/>
      <c r="SBI152" s="883"/>
      <c r="SBJ152" s="863"/>
      <c r="SBK152" s="863"/>
      <c r="SBL152" s="863"/>
      <c r="SBM152" s="863"/>
      <c r="SBN152" s="863"/>
      <c r="SBO152" s="863"/>
      <c r="SBP152" s="863"/>
      <c r="SBQ152" s="863"/>
      <c r="SBR152" s="863"/>
      <c r="SBS152" s="863"/>
      <c r="SBT152" s="863"/>
      <c r="SBU152" s="863"/>
      <c r="SBV152" s="863"/>
      <c r="SBW152" s="863"/>
      <c r="SBX152" s="863"/>
      <c r="SBY152" s="863"/>
      <c r="SBZ152" s="863"/>
      <c r="SCA152" s="863"/>
      <c r="SCB152" s="863"/>
      <c r="SCC152" s="863"/>
      <c r="SCD152" s="863"/>
      <c r="SCE152" s="863"/>
      <c r="SCF152" s="863"/>
      <c r="SCG152" s="883"/>
      <c r="SCH152" s="883"/>
      <c r="SCI152" s="883"/>
      <c r="SCJ152" s="883"/>
      <c r="SCK152" s="883"/>
      <c r="SCL152" s="883"/>
      <c r="SCM152" s="883"/>
      <c r="SCN152" s="883"/>
      <c r="SCO152" s="883"/>
      <c r="SCP152" s="863"/>
      <c r="SCQ152" s="863"/>
      <c r="SCR152" s="863"/>
      <c r="SCS152" s="863"/>
      <c r="SCT152" s="863"/>
      <c r="SCU152" s="863"/>
      <c r="SCV152" s="863"/>
      <c r="SCW152" s="863"/>
      <c r="SCX152" s="863"/>
      <c r="SCY152" s="863"/>
      <c r="SCZ152" s="863"/>
      <c r="SDA152" s="863"/>
      <c r="SDB152" s="863"/>
      <c r="SDC152" s="863"/>
      <c r="SDD152" s="863"/>
      <c r="SDE152" s="863"/>
      <c r="SDF152" s="863"/>
      <c r="SDG152" s="863"/>
      <c r="SDH152" s="863"/>
      <c r="SDI152" s="863"/>
      <c r="SDJ152" s="863"/>
      <c r="SDK152" s="863"/>
      <c r="SDL152" s="863"/>
      <c r="SDM152" s="883"/>
      <c r="SDN152" s="883"/>
      <c r="SDO152" s="883"/>
      <c r="SDP152" s="883"/>
      <c r="SDQ152" s="883"/>
      <c r="SDR152" s="883"/>
      <c r="SDS152" s="883"/>
      <c r="SDT152" s="883"/>
      <c r="SDU152" s="883"/>
      <c r="SDV152" s="863"/>
      <c r="SDW152" s="863"/>
      <c r="SDX152" s="863"/>
      <c r="SDY152" s="863"/>
      <c r="SDZ152" s="863"/>
      <c r="SEA152" s="863"/>
      <c r="SEB152" s="863"/>
      <c r="SEC152" s="863"/>
      <c r="SED152" s="863"/>
      <c r="SEE152" s="863"/>
      <c r="SEF152" s="863"/>
      <c r="SEG152" s="863"/>
      <c r="SEH152" s="863"/>
      <c r="SEI152" s="863"/>
      <c r="SEJ152" s="863"/>
      <c r="SEK152" s="863"/>
      <c r="SEL152" s="863"/>
      <c r="SEM152" s="863"/>
      <c r="SEN152" s="863"/>
      <c r="SEO152" s="863"/>
      <c r="SEP152" s="863"/>
      <c r="SEQ152" s="863"/>
      <c r="SER152" s="863"/>
      <c r="SES152" s="883"/>
      <c r="SET152" s="883"/>
      <c r="SEU152" s="883"/>
      <c r="SEV152" s="883"/>
      <c r="SEW152" s="883"/>
      <c r="SEX152" s="883"/>
      <c r="SEY152" s="883"/>
      <c r="SEZ152" s="883"/>
      <c r="SFA152" s="883"/>
      <c r="SFB152" s="863"/>
      <c r="SFC152" s="863"/>
      <c r="SFD152" s="863"/>
      <c r="SFE152" s="863"/>
      <c r="SFF152" s="863"/>
      <c r="SFG152" s="863"/>
      <c r="SFH152" s="863"/>
      <c r="SFI152" s="863"/>
      <c r="SFJ152" s="863"/>
      <c r="SFK152" s="863"/>
      <c r="SFL152" s="863"/>
      <c r="SFM152" s="863"/>
      <c r="SFN152" s="863"/>
      <c r="SFO152" s="863"/>
      <c r="SFP152" s="863"/>
      <c r="SFQ152" s="863"/>
      <c r="SFR152" s="863"/>
      <c r="SFS152" s="863"/>
      <c r="SFT152" s="863"/>
      <c r="SFU152" s="863"/>
      <c r="SFV152" s="863"/>
      <c r="SFW152" s="863"/>
      <c r="SFX152" s="863"/>
      <c r="SFY152" s="883"/>
      <c r="SFZ152" s="883"/>
      <c r="SGA152" s="883"/>
      <c r="SGB152" s="883"/>
      <c r="SGC152" s="883"/>
      <c r="SGD152" s="883"/>
      <c r="SGE152" s="883"/>
      <c r="SGF152" s="883"/>
      <c r="SGG152" s="883"/>
      <c r="SGH152" s="863"/>
      <c r="SGI152" s="863"/>
      <c r="SGJ152" s="863"/>
      <c r="SGK152" s="863"/>
      <c r="SGL152" s="863"/>
      <c r="SGM152" s="863"/>
      <c r="SGN152" s="863"/>
      <c r="SGO152" s="863"/>
      <c r="SGP152" s="863"/>
      <c r="SGQ152" s="863"/>
      <c r="SGR152" s="863"/>
      <c r="SGS152" s="863"/>
      <c r="SGT152" s="863"/>
      <c r="SGU152" s="863"/>
      <c r="SGV152" s="863"/>
      <c r="SGW152" s="863"/>
      <c r="SGX152" s="863"/>
      <c r="SGY152" s="863"/>
      <c r="SGZ152" s="863"/>
      <c r="SHA152" s="863"/>
      <c r="SHB152" s="863"/>
      <c r="SHC152" s="863"/>
      <c r="SHD152" s="863"/>
      <c r="SHE152" s="883"/>
      <c r="SHF152" s="883"/>
      <c r="SHG152" s="883"/>
      <c r="SHH152" s="883"/>
      <c r="SHI152" s="883"/>
      <c r="SHJ152" s="883"/>
      <c r="SHK152" s="883"/>
      <c r="SHL152" s="883"/>
      <c r="SHM152" s="883"/>
      <c r="SHN152" s="863"/>
      <c r="SHO152" s="863"/>
      <c r="SHP152" s="863"/>
      <c r="SHQ152" s="863"/>
      <c r="SHR152" s="863"/>
      <c r="SHS152" s="863"/>
      <c r="SHT152" s="863"/>
      <c r="SHU152" s="863"/>
      <c r="SHV152" s="863"/>
      <c r="SHW152" s="863"/>
      <c r="SHX152" s="863"/>
      <c r="SHY152" s="863"/>
      <c r="SHZ152" s="863"/>
      <c r="SIA152" s="863"/>
      <c r="SIB152" s="863"/>
      <c r="SIC152" s="863"/>
      <c r="SID152" s="863"/>
      <c r="SIE152" s="863"/>
      <c r="SIF152" s="863"/>
      <c r="SIG152" s="863"/>
      <c r="SIH152" s="863"/>
      <c r="SII152" s="863"/>
      <c r="SIJ152" s="863"/>
      <c r="SIK152" s="883"/>
      <c r="SIL152" s="883"/>
      <c r="SIM152" s="883"/>
      <c r="SIN152" s="883"/>
      <c r="SIO152" s="883"/>
      <c r="SIP152" s="883"/>
      <c r="SIQ152" s="883"/>
      <c r="SIR152" s="883"/>
      <c r="SIS152" s="883"/>
      <c r="SIT152" s="863"/>
      <c r="SIU152" s="863"/>
      <c r="SIV152" s="863"/>
      <c r="SIW152" s="863"/>
      <c r="SIX152" s="863"/>
      <c r="SIY152" s="863"/>
      <c r="SIZ152" s="863"/>
      <c r="SJA152" s="863"/>
      <c r="SJB152" s="863"/>
      <c r="SJC152" s="863"/>
      <c r="SJD152" s="863"/>
      <c r="SJE152" s="863"/>
      <c r="SJF152" s="863"/>
      <c r="SJG152" s="863"/>
      <c r="SJH152" s="863"/>
      <c r="SJI152" s="863"/>
      <c r="SJJ152" s="863"/>
      <c r="SJK152" s="863"/>
      <c r="SJL152" s="863"/>
      <c r="SJM152" s="863"/>
      <c r="SJN152" s="863"/>
      <c r="SJO152" s="863"/>
      <c r="SJP152" s="863"/>
      <c r="SJQ152" s="883"/>
      <c r="SJR152" s="883"/>
      <c r="SJS152" s="883"/>
      <c r="SJT152" s="883"/>
      <c r="SJU152" s="883"/>
      <c r="SJV152" s="883"/>
      <c r="SJW152" s="883"/>
      <c r="SJX152" s="883"/>
      <c r="SJY152" s="883"/>
      <c r="SJZ152" s="863"/>
      <c r="SKA152" s="863"/>
      <c r="SKB152" s="863"/>
      <c r="SKC152" s="863"/>
      <c r="SKD152" s="863"/>
      <c r="SKE152" s="863"/>
      <c r="SKF152" s="863"/>
      <c r="SKG152" s="863"/>
      <c r="SKH152" s="863"/>
      <c r="SKI152" s="863"/>
      <c r="SKJ152" s="863"/>
      <c r="SKK152" s="863"/>
      <c r="SKL152" s="863"/>
      <c r="SKM152" s="863"/>
      <c r="SKN152" s="863"/>
      <c r="SKO152" s="863"/>
      <c r="SKP152" s="863"/>
      <c r="SKQ152" s="863"/>
      <c r="SKR152" s="863"/>
      <c r="SKS152" s="863"/>
      <c r="SKT152" s="863"/>
      <c r="SKU152" s="863"/>
      <c r="SKV152" s="863"/>
      <c r="SKW152" s="883"/>
      <c r="SKX152" s="883"/>
      <c r="SKY152" s="883"/>
      <c r="SKZ152" s="883"/>
      <c r="SLA152" s="883"/>
      <c r="SLB152" s="883"/>
      <c r="SLC152" s="883"/>
      <c r="SLD152" s="883"/>
      <c r="SLE152" s="883"/>
      <c r="SLF152" s="863"/>
      <c r="SLG152" s="863"/>
      <c r="SLH152" s="863"/>
      <c r="SLI152" s="863"/>
      <c r="SLJ152" s="863"/>
      <c r="SLK152" s="863"/>
      <c r="SLL152" s="863"/>
      <c r="SLM152" s="863"/>
      <c r="SLN152" s="863"/>
      <c r="SLO152" s="863"/>
      <c r="SLP152" s="863"/>
      <c r="SLQ152" s="863"/>
      <c r="SLR152" s="863"/>
      <c r="SLS152" s="863"/>
      <c r="SLT152" s="863"/>
      <c r="SLU152" s="863"/>
      <c r="SLV152" s="863"/>
      <c r="SLW152" s="863"/>
      <c r="SLX152" s="863"/>
      <c r="SLY152" s="863"/>
      <c r="SLZ152" s="863"/>
      <c r="SMA152" s="863"/>
      <c r="SMB152" s="863"/>
      <c r="SMC152" s="883"/>
      <c r="SMD152" s="883"/>
      <c r="SME152" s="883"/>
      <c r="SMF152" s="883"/>
      <c r="SMG152" s="883"/>
      <c r="SMH152" s="883"/>
      <c r="SMI152" s="883"/>
      <c r="SMJ152" s="883"/>
      <c r="SMK152" s="883"/>
      <c r="SML152" s="863"/>
      <c r="SMM152" s="863"/>
      <c r="SMN152" s="863"/>
      <c r="SMO152" s="863"/>
      <c r="SMP152" s="863"/>
      <c r="SMQ152" s="863"/>
      <c r="SMR152" s="863"/>
      <c r="SMS152" s="863"/>
      <c r="SMT152" s="863"/>
      <c r="SMU152" s="863"/>
      <c r="SMV152" s="863"/>
      <c r="SMW152" s="863"/>
      <c r="SMX152" s="863"/>
      <c r="SMY152" s="863"/>
      <c r="SMZ152" s="863"/>
      <c r="SNA152" s="863"/>
      <c r="SNB152" s="863"/>
      <c r="SNC152" s="863"/>
      <c r="SND152" s="863"/>
      <c r="SNE152" s="863"/>
      <c r="SNF152" s="863"/>
      <c r="SNG152" s="863"/>
      <c r="SNH152" s="863"/>
      <c r="SNI152" s="883"/>
      <c r="SNJ152" s="883"/>
      <c r="SNK152" s="883"/>
      <c r="SNL152" s="883"/>
      <c r="SNM152" s="883"/>
      <c r="SNN152" s="883"/>
      <c r="SNO152" s="883"/>
      <c r="SNP152" s="883"/>
      <c r="SNQ152" s="883"/>
      <c r="SNR152" s="863"/>
      <c r="SNS152" s="863"/>
      <c r="SNT152" s="863"/>
      <c r="SNU152" s="863"/>
      <c r="SNV152" s="863"/>
      <c r="SNW152" s="863"/>
      <c r="SNX152" s="863"/>
      <c r="SNY152" s="863"/>
      <c r="SNZ152" s="863"/>
      <c r="SOA152" s="863"/>
      <c r="SOB152" s="863"/>
      <c r="SOC152" s="863"/>
      <c r="SOD152" s="863"/>
      <c r="SOE152" s="863"/>
      <c r="SOF152" s="863"/>
      <c r="SOG152" s="863"/>
      <c r="SOH152" s="863"/>
      <c r="SOI152" s="863"/>
      <c r="SOJ152" s="863"/>
      <c r="SOK152" s="863"/>
      <c r="SOL152" s="863"/>
      <c r="SOM152" s="863"/>
      <c r="SON152" s="863"/>
      <c r="SOO152" s="883"/>
      <c r="SOP152" s="883"/>
      <c r="SOQ152" s="883"/>
      <c r="SOR152" s="883"/>
      <c r="SOS152" s="883"/>
      <c r="SOT152" s="883"/>
      <c r="SOU152" s="883"/>
      <c r="SOV152" s="883"/>
      <c r="SOW152" s="883"/>
      <c r="SOX152" s="863"/>
      <c r="SOY152" s="863"/>
      <c r="SOZ152" s="863"/>
      <c r="SPA152" s="863"/>
      <c r="SPB152" s="863"/>
      <c r="SPC152" s="863"/>
      <c r="SPD152" s="863"/>
      <c r="SPE152" s="863"/>
      <c r="SPF152" s="863"/>
      <c r="SPG152" s="863"/>
      <c r="SPH152" s="863"/>
      <c r="SPI152" s="863"/>
      <c r="SPJ152" s="863"/>
      <c r="SPK152" s="863"/>
      <c r="SPL152" s="863"/>
      <c r="SPM152" s="863"/>
      <c r="SPN152" s="863"/>
      <c r="SPO152" s="863"/>
      <c r="SPP152" s="863"/>
      <c r="SPQ152" s="863"/>
      <c r="SPR152" s="863"/>
      <c r="SPS152" s="863"/>
      <c r="SPT152" s="863"/>
      <c r="SPU152" s="883"/>
      <c r="SPV152" s="883"/>
      <c r="SPW152" s="883"/>
      <c r="SPX152" s="883"/>
      <c r="SPY152" s="883"/>
      <c r="SPZ152" s="883"/>
      <c r="SQA152" s="883"/>
      <c r="SQB152" s="883"/>
      <c r="SQC152" s="883"/>
      <c r="SQD152" s="863"/>
      <c r="SQE152" s="863"/>
      <c r="SQF152" s="863"/>
      <c r="SQG152" s="863"/>
      <c r="SQH152" s="863"/>
      <c r="SQI152" s="863"/>
      <c r="SQJ152" s="863"/>
      <c r="SQK152" s="863"/>
      <c r="SQL152" s="863"/>
      <c r="SQM152" s="863"/>
      <c r="SQN152" s="863"/>
      <c r="SQO152" s="863"/>
      <c r="SQP152" s="863"/>
      <c r="SQQ152" s="863"/>
      <c r="SQR152" s="863"/>
      <c r="SQS152" s="863"/>
      <c r="SQT152" s="863"/>
      <c r="SQU152" s="863"/>
      <c r="SQV152" s="863"/>
      <c r="SQW152" s="863"/>
      <c r="SQX152" s="863"/>
      <c r="SQY152" s="863"/>
      <c r="SQZ152" s="863"/>
      <c r="SRA152" s="883"/>
      <c r="SRB152" s="883"/>
      <c r="SRC152" s="883"/>
      <c r="SRD152" s="883"/>
      <c r="SRE152" s="883"/>
      <c r="SRF152" s="883"/>
      <c r="SRG152" s="883"/>
      <c r="SRH152" s="883"/>
      <c r="SRI152" s="883"/>
      <c r="SRJ152" s="863"/>
      <c r="SRK152" s="863"/>
      <c r="SRL152" s="863"/>
      <c r="SRM152" s="863"/>
      <c r="SRN152" s="863"/>
      <c r="SRO152" s="863"/>
      <c r="SRP152" s="863"/>
      <c r="SRQ152" s="863"/>
      <c r="SRR152" s="863"/>
      <c r="SRS152" s="863"/>
      <c r="SRT152" s="863"/>
      <c r="SRU152" s="863"/>
      <c r="SRV152" s="863"/>
      <c r="SRW152" s="863"/>
      <c r="SRX152" s="863"/>
      <c r="SRY152" s="863"/>
      <c r="SRZ152" s="863"/>
      <c r="SSA152" s="863"/>
      <c r="SSB152" s="863"/>
      <c r="SSC152" s="863"/>
      <c r="SSD152" s="863"/>
      <c r="SSE152" s="863"/>
      <c r="SSF152" s="863"/>
      <c r="SSG152" s="883"/>
      <c r="SSH152" s="883"/>
      <c r="SSI152" s="883"/>
      <c r="SSJ152" s="883"/>
      <c r="SSK152" s="883"/>
      <c r="SSL152" s="883"/>
      <c r="SSM152" s="883"/>
      <c r="SSN152" s="883"/>
      <c r="SSO152" s="883"/>
      <c r="SSP152" s="863"/>
      <c r="SSQ152" s="863"/>
      <c r="SSR152" s="863"/>
      <c r="SSS152" s="863"/>
      <c r="SST152" s="863"/>
      <c r="SSU152" s="863"/>
      <c r="SSV152" s="863"/>
      <c r="SSW152" s="863"/>
      <c r="SSX152" s="863"/>
      <c r="SSY152" s="863"/>
      <c r="SSZ152" s="863"/>
      <c r="STA152" s="863"/>
      <c r="STB152" s="863"/>
      <c r="STC152" s="863"/>
      <c r="STD152" s="863"/>
      <c r="STE152" s="863"/>
      <c r="STF152" s="863"/>
      <c r="STG152" s="863"/>
      <c r="STH152" s="863"/>
      <c r="STI152" s="863"/>
      <c r="STJ152" s="863"/>
      <c r="STK152" s="863"/>
      <c r="STL152" s="863"/>
      <c r="STM152" s="883"/>
      <c r="STN152" s="883"/>
      <c r="STO152" s="883"/>
      <c r="STP152" s="883"/>
      <c r="STQ152" s="883"/>
      <c r="STR152" s="883"/>
      <c r="STS152" s="883"/>
      <c r="STT152" s="883"/>
      <c r="STU152" s="883"/>
      <c r="STV152" s="863"/>
      <c r="STW152" s="863"/>
      <c r="STX152" s="863"/>
      <c r="STY152" s="863"/>
      <c r="STZ152" s="863"/>
      <c r="SUA152" s="863"/>
      <c r="SUB152" s="863"/>
      <c r="SUC152" s="863"/>
      <c r="SUD152" s="863"/>
      <c r="SUE152" s="863"/>
      <c r="SUF152" s="863"/>
      <c r="SUG152" s="863"/>
      <c r="SUH152" s="863"/>
      <c r="SUI152" s="863"/>
      <c r="SUJ152" s="863"/>
      <c r="SUK152" s="863"/>
      <c r="SUL152" s="863"/>
      <c r="SUM152" s="863"/>
      <c r="SUN152" s="863"/>
      <c r="SUO152" s="863"/>
      <c r="SUP152" s="863"/>
      <c r="SUQ152" s="863"/>
      <c r="SUR152" s="863"/>
      <c r="SUS152" s="883"/>
      <c r="SUT152" s="883"/>
      <c r="SUU152" s="883"/>
      <c r="SUV152" s="883"/>
      <c r="SUW152" s="883"/>
      <c r="SUX152" s="883"/>
      <c r="SUY152" s="883"/>
      <c r="SUZ152" s="883"/>
      <c r="SVA152" s="883"/>
      <c r="SVB152" s="863"/>
      <c r="SVC152" s="863"/>
      <c r="SVD152" s="863"/>
      <c r="SVE152" s="863"/>
      <c r="SVF152" s="863"/>
      <c r="SVG152" s="863"/>
      <c r="SVH152" s="863"/>
      <c r="SVI152" s="863"/>
      <c r="SVJ152" s="863"/>
      <c r="SVK152" s="863"/>
      <c r="SVL152" s="863"/>
      <c r="SVM152" s="863"/>
      <c r="SVN152" s="863"/>
      <c r="SVO152" s="863"/>
      <c r="SVP152" s="863"/>
      <c r="SVQ152" s="863"/>
      <c r="SVR152" s="863"/>
      <c r="SVS152" s="863"/>
      <c r="SVT152" s="863"/>
      <c r="SVU152" s="863"/>
      <c r="SVV152" s="863"/>
      <c r="SVW152" s="863"/>
      <c r="SVX152" s="863"/>
      <c r="SVY152" s="883"/>
      <c r="SVZ152" s="883"/>
      <c r="SWA152" s="883"/>
      <c r="SWB152" s="883"/>
      <c r="SWC152" s="883"/>
      <c r="SWD152" s="883"/>
      <c r="SWE152" s="883"/>
      <c r="SWF152" s="883"/>
      <c r="SWG152" s="883"/>
      <c r="SWH152" s="863"/>
      <c r="SWI152" s="863"/>
      <c r="SWJ152" s="863"/>
      <c r="SWK152" s="863"/>
      <c r="SWL152" s="863"/>
      <c r="SWM152" s="863"/>
      <c r="SWN152" s="863"/>
      <c r="SWO152" s="863"/>
      <c r="SWP152" s="863"/>
      <c r="SWQ152" s="863"/>
      <c r="SWR152" s="863"/>
      <c r="SWS152" s="863"/>
      <c r="SWT152" s="863"/>
      <c r="SWU152" s="863"/>
      <c r="SWV152" s="863"/>
      <c r="SWW152" s="863"/>
      <c r="SWX152" s="863"/>
      <c r="SWY152" s="863"/>
      <c r="SWZ152" s="863"/>
      <c r="SXA152" s="863"/>
      <c r="SXB152" s="863"/>
      <c r="SXC152" s="863"/>
      <c r="SXD152" s="863"/>
      <c r="SXE152" s="883"/>
      <c r="SXF152" s="883"/>
      <c r="SXG152" s="883"/>
      <c r="SXH152" s="883"/>
      <c r="SXI152" s="883"/>
      <c r="SXJ152" s="883"/>
      <c r="SXK152" s="883"/>
      <c r="SXL152" s="883"/>
      <c r="SXM152" s="883"/>
      <c r="SXN152" s="863"/>
      <c r="SXO152" s="863"/>
      <c r="SXP152" s="863"/>
      <c r="SXQ152" s="863"/>
      <c r="SXR152" s="863"/>
      <c r="SXS152" s="863"/>
      <c r="SXT152" s="863"/>
      <c r="SXU152" s="863"/>
      <c r="SXV152" s="863"/>
      <c r="SXW152" s="863"/>
      <c r="SXX152" s="863"/>
      <c r="SXY152" s="863"/>
      <c r="SXZ152" s="863"/>
      <c r="SYA152" s="863"/>
      <c r="SYB152" s="863"/>
      <c r="SYC152" s="863"/>
      <c r="SYD152" s="863"/>
      <c r="SYE152" s="863"/>
      <c r="SYF152" s="863"/>
      <c r="SYG152" s="863"/>
      <c r="SYH152" s="863"/>
      <c r="SYI152" s="863"/>
      <c r="SYJ152" s="863"/>
      <c r="SYK152" s="883"/>
      <c r="SYL152" s="883"/>
      <c r="SYM152" s="883"/>
      <c r="SYN152" s="883"/>
      <c r="SYO152" s="883"/>
      <c r="SYP152" s="883"/>
      <c r="SYQ152" s="883"/>
      <c r="SYR152" s="883"/>
      <c r="SYS152" s="883"/>
      <c r="SYT152" s="863"/>
      <c r="SYU152" s="863"/>
      <c r="SYV152" s="863"/>
      <c r="SYW152" s="863"/>
      <c r="SYX152" s="863"/>
      <c r="SYY152" s="863"/>
      <c r="SYZ152" s="863"/>
      <c r="SZA152" s="863"/>
      <c r="SZB152" s="863"/>
      <c r="SZC152" s="863"/>
      <c r="SZD152" s="863"/>
      <c r="SZE152" s="863"/>
      <c r="SZF152" s="863"/>
      <c r="SZG152" s="863"/>
      <c r="SZH152" s="863"/>
      <c r="SZI152" s="863"/>
      <c r="SZJ152" s="863"/>
      <c r="SZK152" s="863"/>
      <c r="SZL152" s="863"/>
      <c r="SZM152" s="863"/>
      <c r="SZN152" s="863"/>
      <c r="SZO152" s="863"/>
      <c r="SZP152" s="863"/>
      <c r="SZQ152" s="883"/>
      <c r="SZR152" s="883"/>
      <c r="SZS152" s="883"/>
      <c r="SZT152" s="883"/>
      <c r="SZU152" s="883"/>
      <c r="SZV152" s="883"/>
      <c r="SZW152" s="883"/>
      <c r="SZX152" s="883"/>
      <c r="SZY152" s="883"/>
      <c r="SZZ152" s="863"/>
      <c r="TAA152" s="863"/>
      <c r="TAB152" s="863"/>
      <c r="TAC152" s="863"/>
      <c r="TAD152" s="863"/>
      <c r="TAE152" s="863"/>
      <c r="TAF152" s="863"/>
      <c r="TAG152" s="863"/>
      <c r="TAH152" s="863"/>
      <c r="TAI152" s="863"/>
      <c r="TAJ152" s="863"/>
      <c r="TAK152" s="863"/>
      <c r="TAL152" s="863"/>
      <c r="TAM152" s="863"/>
      <c r="TAN152" s="863"/>
      <c r="TAO152" s="863"/>
      <c r="TAP152" s="863"/>
      <c r="TAQ152" s="863"/>
      <c r="TAR152" s="863"/>
      <c r="TAS152" s="863"/>
      <c r="TAT152" s="863"/>
      <c r="TAU152" s="863"/>
      <c r="TAV152" s="863"/>
      <c r="TAW152" s="883"/>
      <c r="TAX152" s="883"/>
      <c r="TAY152" s="883"/>
      <c r="TAZ152" s="883"/>
      <c r="TBA152" s="883"/>
      <c r="TBB152" s="883"/>
      <c r="TBC152" s="883"/>
      <c r="TBD152" s="883"/>
      <c r="TBE152" s="883"/>
      <c r="TBF152" s="863"/>
      <c r="TBG152" s="863"/>
      <c r="TBH152" s="863"/>
      <c r="TBI152" s="863"/>
      <c r="TBJ152" s="863"/>
      <c r="TBK152" s="863"/>
      <c r="TBL152" s="863"/>
      <c r="TBM152" s="863"/>
      <c r="TBN152" s="863"/>
      <c r="TBO152" s="863"/>
      <c r="TBP152" s="863"/>
      <c r="TBQ152" s="863"/>
      <c r="TBR152" s="863"/>
      <c r="TBS152" s="863"/>
      <c r="TBT152" s="863"/>
      <c r="TBU152" s="863"/>
      <c r="TBV152" s="863"/>
      <c r="TBW152" s="863"/>
      <c r="TBX152" s="863"/>
      <c r="TBY152" s="863"/>
      <c r="TBZ152" s="863"/>
      <c r="TCA152" s="863"/>
      <c r="TCB152" s="863"/>
      <c r="TCC152" s="883"/>
      <c r="TCD152" s="883"/>
      <c r="TCE152" s="883"/>
      <c r="TCF152" s="883"/>
      <c r="TCG152" s="883"/>
      <c r="TCH152" s="883"/>
      <c r="TCI152" s="883"/>
      <c r="TCJ152" s="883"/>
      <c r="TCK152" s="883"/>
      <c r="TCL152" s="863"/>
      <c r="TCM152" s="863"/>
      <c r="TCN152" s="863"/>
      <c r="TCO152" s="863"/>
      <c r="TCP152" s="863"/>
      <c r="TCQ152" s="863"/>
      <c r="TCR152" s="863"/>
      <c r="TCS152" s="863"/>
      <c r="TCT152" s="863"/>
      <c r="TCU152" s="863"/>
      <c r="TCV152" s="863"/>
      <c r="TCW152" s="863"/>
      <c r="TCX152" s="863"/>
      <c r="TCY152" s="863"/>
      <c r="TCZ152" s="863"/>
      <c r="TDA152" s="863"/>
      <c r="TDB152" s="863"/>
      <c r="TDC152" s="863"/>
      <c r="TDD152" s="863"/>
      <c r="TDE152" s="863"/>
      <c r="TDF152" s="863"/>
      <c r="TDG152" s="863"/>
      <c r="TDH152" s="863"/>
      <c r="TDI152" s="883"/>
      <c r="TDJ152" s="883"/>
      <c r="TDK152" s="883"/>
      <c r="TDL152" s="883"/>
      <c r="TDM152" s="883"/>
      <c r="TDN152" s="883"/>
      <c r="TDO152" s="883"/>
      <c r="TDP152" s="883"/>
      <c r="TDQ152" s="883"/>
      <c r="TDR152" s="863"/>
      <c r="TDS152" s="863"/>
      <c r="TDT152" s="863"/>
      <c r="TDU152" s="863"/>
      <c r="TDV152" s="863"/>
      <c r="TDW152" s="863"/>
      <c r="TDX152" s="863"/>
      <c r="TDY152" s="863"/>
      <c r="TDZ152" s="863"/>
      <c r="TEA152" s="863"/>
      <c r="TEB152" s="863"/>
      <c r="TEC152" s="863"/>
      <c r="TED152" s="863"/>
      <c r="TEE152" s="863"/>
      <c r="TEF152" s="863"/>
      <c r="TEG152" s="863"/>
      <c r="TEH152" s="863"/>
      <c r="TEI152" s="863"/>
      <c r="TEJ152" s="863"/>
      <c r="TEK152" s="863"/>
      <c r="TEL152" s="863"/>
      <c r="TEM152" s="863"/>
      <c r="TEN152" s="863"/>
      <c r="TEO152" s="883"/>
      <c r="TEP152" s="883"/>
      <c r="TEQ152" s="883"/>
      <c r="TER152" s="883"/>
      <c r="TES152" s="883"/>
      <c r="TET152" s="883"/>
      <c r="TEU152" s="883"/>
      <c r="TEV152" s="883"/>
      <c r="TEW152" s="883"/>
      <c r="TEX152" s="863"/>
      <c r="TEY152" s="863"/>
      <c r="TEZ152" s="863"/>
      <c r="TFA152" s="863"/>
      <c r="TFB152" s="863"/>
      <c r="TFC152" s="863"/>
      <c r="TFD152" s="863"/>
      <c r="TFE152" s="863"/>
      <c r="TFF152" s="863"/>
      <c r="TFG152" s="863"/>
      <c r="TFH152" s="863"/>
      <c r="TFI152" s="863"/>
      <c r="TFJ152" s="863"/>
      <c r="TFK152" s="863"/>
      <c r="TFL152" s="863"/>
      <c r="TFM152" s="863"/>
      <c r="TFN152" s="863"/>
      <c r="TFO152" s="863"/>
      <c r="TFP152" s="863"/>
      <c r="TFQ152" s="863"/>
      <c r="TFR152" s="863"/>
      <c r="TFS152" s="863"/>
      <c r="TFT152" s="863"/>
      <c r="TFU152" s="883"/>
      <c r="TFV152" s="883"/>
      <c r="TFW152" s="883"/>
      <c r="TFX152" s="883"/>
      <c r="TFY152" s="883"/>
      <c r="TFZ152" s="883"/>
      <c r="TGA152" s="883"/>
      <c r="TGB152" s="883"/>
      <c r="TGC152" s="883"/>
      <c r="TGD152" s="863"/>
      <c r="TGE152" s="863"/>
      <c r="TGF152" s="863"/>
      <c r="TGG152" s="863"/>
      <c r="TGH152" s="863"/>
      <c r="TGI152" s="863"/>
      <c r="TGJ152" s="863"/>
      <c r="TGK152" s="863"/>
      <c r="TGL152" s="863"/>
      <c r="TGM152" s="863"/>
      <c r="TGN152" s="863"/>
      <c r="TGO152" s="863"/>
      <c r="TGP152" s="863"/>
      <c r="TGQ152" s="863"/>
      <c r="TGR152" s="863"/>
      <c r="TGS152" s="863"/>
      <c r="TGT152" s="863"/>
      <c r="TGU152" s="863"/>
      <c r="TGV152" s="863"/>
      <c r="TGW152" s="863"/>
      <c r="TGX152" s="863"/>
      <c r="TGY152" s="863"/>
      <c r="TGZ152" s="863"/>
      <c r="THA152" s="883"/>
      <c r="THB152" s="883"/>
      <c r="THC152" s="883"/>
      <c r="THD152" s="883"/>
      <c r="THE152" s="883"/>
      <c r="THF152" s="883"/>
      <c r="THG152" s="883"/>
      <c r="THH152" s="883"/>
      <c r="THI152" s="883"/>
      <c r="THJ152" s="863"/>
      <c r="THK152" s="863"/>
      <c r="THL152" s="863"/>
      <c r="THM152" s="863"/>
      <c r="THN152" s="863"/>
      <c r="THO152" s="863"/>
      <c r="THP152" s="863"/>
      <c r="THQ152" s="863"/>
      <c r="THR152" s="863"/>
      <c r="THS152" s="863"/>
      <c r="THT152" s="863"/>
      <c r="THU152" s="863"/>
      <c r="THV152" s="863"/>
      <c r="THW152" s="863"/>
      <c r="THX152" s="863"/>
      <c r="THY152" s="863"/>
      <c r="THZ152" s="863"/>
      <c r="TIA152" s="863"/>
      <c r="TIB152" s="863"/>
      <c r="TIC152" s="863"/>
      <c r="TID152" s="863"/>
      <c r="TIE152" s="863"/>
      <c r="TIF152" s="863"/>
      <c r="TIG152" s="883"/>
      <c r="TIH152" s="883"/>
      <c r="TII152" s="883"/>
      <c r="TIJ152" s="883"/>
      <c r="TIK152" s="883"/>
      <c r="TIL152" s="883"/>
      <c r="TIM152" s="883"/>
      <c r="TIN152" s="883"/>
      <c r="TIO152" s="883"/>
      <c r="TIP152" s="863"/>
      <c r="TIQ152" s="863"/>
      <c r="TIR152" s="863"/>
      <c r="TIS152" s="863"/>
      <c r="TIT152" s="863"/>
      <c r="TIU152" s="863"/>
      <c r="TIV152" s="863"/>
      <c r="TIW152" s="863"/>
      <c r="TIX152" s="863"/>
      <c r="TIY152" s="863"/>
      <c r="TIZ152" s="863"/>
      <c r="TJA152" s="863"/>
      <c r="TJB152" s="863"/>
      <c r="TJC152" s="863"/>
      <c r="TJD152" s="863"/>
      <c r="TJE152" s="863"/>
      <c r="TJF152" s="863"/>
      <c r="TJG152" s="863"/>
      <c r="TJH152" s="863"/>
      <c r="TJI152" s="863"/>
      <c r="TJJ152" s="863"/>
      <c r="TJK152" s="863"/>
      <c r="TJL152" s="863"/>
      <c r="TJM152" s="883"/>
      <c r="TJN152" s="883"/>
      <c r="TJO152" s="883"/>
      <c r="TJP152" s="883"/>
      <c r="TJQ152" s="883"/>
      <c r="TJR152" s="883"/>
      <c r="TJS152" s="883"/>
      <c r="TJT152" s="883"/>
      <c r="TJU152" s="883"/>
      <c r="TJV152" s="863"/>
      <c r="TJW152" s="863"/>
      <c r="TJX152" s="863"/>
      <c r="TJY152" s="863"/>
      <c r="TJZ152" s="863"/>
      <c r="TKA152" s="863"/>
      <c r="TKB152" s="863"/>
      <c r="TKC152" s="863"/>
      <c r="TKD152" s="863"/>
      <c r="TKE152" s="863"/>
      <c r="TKF152" s="863"/>
      <c r="TKG152" s="863"/>
      <c r="TKH152" s="863"/>
      <c r="TKI152" s="863"/>
      <c r="TKJ152" s="863"/>
      <c r="TKK152" s="863"/>
      <c r="TKL152" s="863"/>
      <c r="TKM152" s="863"/>
      <c r="TKN152" s="863"/>
      <c r="TKO152" s="863"/>
      <c r="TKP152" s="863"/>
      <c r="TKQ152" s="863"/>
      <c r="TKR152" s="863"/>
      <c r="TKS152" s="883"/>
      <c r="TKT152" s="883"/>
      <c r="TKU152" s="883"/>
      <c r="TKV152" s="883"/>
      <c r="TKW152" s="883"/>
      <c r="TKX152" s="883"/>
      <c r="TKY152" s="883"/>
      <c r="TKZ152" s="883"/>
      <c r="TLA152" s="883"/>
      <c r="TLB152" s="863"/>
      <c r="TLC152" s="863"/>
      <c r="TLD152" s="863"/>
      <c r="TLE152" s="863"/>
      <c r="TLF152" s="863"/>
      <c r="TLG152" s="863"/>
      <c r="TLH152" s="863"/>
      <c r="TLI152" s="863"/>
      <c r="TLJ152" s="863"/>
      <c r="TLK152" s="863"/>
      <c r="TLL152" s="863"/>
      <c r="TLM152" s="863"/>
      <c r="TLN152" s="863"/>
      <c r="TLO152" s="863"/>
      <c r="TLP152" s="863"/>
      <c r="TLQ152" s="863"/>
      <c r="TLR152" s="863"/>
      <c r="TLS152" s="863"/>
      <c r="TLT152" s="863"/>
      <c r="TLU152" s="863"/>
      <c r="TLV152" s="863"/>
      <c r="TLW152" s="863"/>
      <c r="TLX152" s="863"/>
      <c r="TLY152" s="883"/>
      <c r="TLZ152" s="883"/>
      <c r="TMA152" s="883"/>
      <c r="TMB152" s="883"/>
      <c r="TMC152" s="883"/>
      <c r="TMD152" s="883"/>
      <c r="TME152" s="883"/>
      <c r="TMF152" s="883"/>
      <c r="TMG152" s="883"/>
      <c r="TMH152" s="863"/>
      <c r="TMI152" s="863"/>
      <c r="TMJ152" s="863"/>
      <c r="TMK152" s="863"/>
      <c r="TML152" s="863"/>
      <c r="TMM152" s="863"/>
      <c r="TMN152" s="863"/>
      <c r="TMO152" s="863"/>
      <c r="TMP152" s="863"/>
      <c r="TMQ152" s="863"/>
      <c r="TMR152" s="863"/>
      <c r="TMS152" s="863"/>
      <c r="TMT152" s="863"/>
      <c r="TMU152" s="863"/>
      <c r="TMV152" s="863"/>
      <c r="TMW152" s="863"/>
      <c r="TMX152" s="863"/>
      <c r="TMY152" s="863"/>
      <c r="TMZ152" s="863"/>
      <c r="TNA152" s="863"/>
      <c r="TNB152" s="863"/>
      <c r="TNC152" s="863"/>
      <c r="TND152" s="863"/>
      <c r="TNE152" s="883"/>
      <c r="TNF152" s="883"/>
      <c r="TNG152" s="883"/>
      <c r="TNH152" s="883"/>
      <c r="TNI152" s="883"/>
      <c r="TNJ152" s="883"/>
      <c r="TNK152" s="883"/>
      <c r="TNL152" s="883"/>
      <c r="TNM152" s="883"/>
      <c r="TNN152" s="863"/>
      <c r="TNO152" s="863"/>
      <c r="TNP152" s="863"/>
      <c r="TNQ152" s="863"/>
      <c r="TNR152" s="863"/>
      <c r="TNS152" s="863"/>
      <c r="TNT152" s="863"/>
      <c r="TNU152" s="863"/>
      <c r="TNV152" s="863"/>
      <c r="TNW152" s="863"/>
      <c r="TNX152" s="863"/>
      <c r="TNY152" s="863"/>
      <c r="TNZ152" s="863"/>
      <c r="TOA152" s="863"/>
      <c r="TOB152" s="863"/>
      <c r="TOC152" s="863"/>
      <c r="TOD152" s="863"/>
      <c r="TOE152" s="863"/>
      <c r="TOF152" s="863"/>
      <c r="TOG152" s="863"/>
      <c r="TOH152" s="863"/>
      <c r="TOI152" s="863"/>
      <c r="TOJ152" s="863"/>
      <c r="TOK152" s="883"/>
      <c r="TOL152" s="883"/>
      <c r="TOM152" s="883"/>
      <c r="TON152" s="883"/>
      <c r="TOO152" s="883"/>
      <c r="TOP152" s="883"/>
      <c r="TOQ152" s="883"/>
      <c r="TOR152" s="883"/>
      <c r="TOS152" s="883"/>
      <c r="TOT152" s="863"/>
      <c r="TOU152" s="863"/>
      <c r="TOV152" s="863"/>
      <c r="TOW152" s="863"/>
      <c r="TOX152" s="863"/>
      <c r="TOY152" s="863"/>
      <c r="TOZ152" s="863"/>
      <c r="TPA152" s="863"/>
      <c r="TPB152" s="863"/>
      <c r="TPC152" s="863"/>
      <c r="TPD152" s="863"/>
      <c r="TPE152" s="863"/>
      <c r="TPF152" s="863"/>
      <c r="TPG152" s="863"/>
      <c r="TPH152" s="863"/>
      <c r="TPI152" s="863"/>
      <c r="TPJ152" s="863"/>
      <c r="TPK152" s="863"/>
      <c r="TPL152" s="863"/>
      <c r="TPM152" s="863"/>
      <c r="TPN152" s="863"/>
      <c r="TPO152" s="863"/>
      <c r="TPP152" s="863"/>
      <c r="TPQ152" s="883"/>
      <c r="TPR152" s="883"/>
      <c r="TPS152" s="883"/>
      <c r="TPT152" s="883"/>
      <c r="TPU152" s="883"/>
      <c r="TPV152" s="883"/>
      <c r="TPW152" s="883"/>
      <c r="TPX152" s="883"/>
      <c r="TPY152" s="883"/>
      <c r="TPZ152" s="863"/>
      <c r="TQA152" s="863"/>
      <c r="TQB152" s="863"/>
      <c r="TQC152" s="863"/>
      <c r="TQD152" s="863"/>
      <c r="TQE152" s="863"/>
      <c r="TQF152" s="863"/>
      <c r="TQG152" s="863"/>
      <c r="TQH152" s="863"/>
      <c r="TQI152" s="863"/>
      <c r="TQJ152" s="863"/>
      <c r="TQK152" s="863"/>
      <c r="TQL152" s="863"/>
      <c r="TQM152" s="863"/>
      <c r="TQN152" s="863"/>
      <c r="TQO152" s="863"/>
      <c r="TQP152" s="863"/>
      <c r="TQQ152" s="863"/>
      <c r="TQR152" s="863"/>
      <c r="TQS152" s="863"/>
      <c r="TQT152" s="863"/>
      <c r="TQU152" s="863"/>
      <c r="TQV152" s="863"/>
      <c r="TQW152" s="883"/>
      <c r="TQX152" s="883"/>
      <c r="TQY152" s="883"/>
      <c r="TQZ152" s="883"/>
      <c r="TRA152" s="883"/>
      <c r="TRB152" s="883"/>
      <c r="TRC152" s="883"/>
      <c r="TRD152" s="883"/>
      <c r="TRE152" s="883"/>
      <c r="TRF152" s="863"/>
      <c r="TRG152" s="863"/>
      <c r="TRH152" s="863"/>
      <c r="TRI152" s="863"/>
      <c r="TRJ152" s="863"/>
      <c r="TRK152" s="863"/>
      <c r="TRL152" s="863"/>
      <c r="TRM152" s="863"/>
      <c r="TRN152" s="863"/>
      <c r="TRO152" s="863"/>
      <c r="TRP152" s="863"/>
      <c r="TRQ152" s="863"/>
      <c r="TRR152" s="863"/>
      <c r="TRS152" s="863"/>
      <c r="TRT152" s="863"/>
      <c r="TRU152" s="863"/>
      <c r="TRV152" s="863"/>
      <c r="TRW152" s="863"/>
      <c r="TRX152" s="863"/>
      <c r="TRY152" s="863"/>
      <c r="TRZ152" s="863"/>
      <c r="TSA152" s="863"/>
      <c r="TSB152" s="863"/>
      <c r="TSC152" s="883"/>
      <c r="TSD152" s="883"/>
      <c r="TSE152" s="883"/>
      <c r="TSF152" s="883"/>
      <c r="TSG152" s="883"/>
      <c r="TSH152" s="883"/>
      <c r="TSI152" s="883"/>
      <c r="TSJ152" s="883"/>
      <c r="TSK152" s="883"/>
      <c r="TSL152" s="863"/>
      <c r="TSM152" s="863"/>
      <c r="TSN152" s="863"/>
      <c r="TSO152" s="863"/>
      <c r="TSP152" s="863"/>
      <c r="TSQ152" s="863"/>
      <c r="TSR152" s="863"/>
      <c r="TSS152" s="863"/>
      <c r="TST152" s="863"/>
      <c r="TSU152" s="863"/>
      <c r="TSV152" s="863"/>
      <c r="TSW152" s="863"/>
      <c r="TSX152" s="863"/>
      <c r="TSY152" s="863"/>
      <c r="TSZ152" s="863"/>
      <c r="TTA152" s="863"/>
      <c r="TTB152" s="863"/>
      <c r="TTC152" s="863"/>
      <c r="TTD152" s="863"/>
      <c r="TTE152" s="863"/>
      <c r="TTF152" s="863"/>
      <c r="TTG152" s="863"/>
      <c r="TTH152" s="863"/>
      <c r="TTI152" s="883"/>
      <c r="TTJ152" s="883"/>
      <c r="TTK152" s="883"/>
      <c r="TTL152" s="883"/>
      <c r="TTM152" s="883"/>
      <c r="TTN152" s="883"/>
      <c r="TTO152" s="883"/>
      <c r="TTP152" s="883"/>
      <c r="TTQ152" s="883"/>
      <c r="TTR152" s="863"/>
      <c r="TTS152" s="863"/>
      <c r="TTT152" s="863"/>
      <c r="TTU152" s="863"/>
      <c r="TTV152" s="863"/>
      <c r="TTW152" s="863"/>
      <c r="TTX152" s="863"/>
      <c r="TTY152" s="863"/>
      <c r="TTZ152" s="863"/>
      <c r="TUA152" s="863"/>
      <c r="TUB152" s="863"/>
      <c r="TUC152" s="863"/>
      <c r="TUD152" s="863"/>
      <c r="TUE152" s="863"/>
      <c r="TUF152" s="863"/>
      <c r="TUG152" s="863"/>
      <c r="TUH152" s="863"/>
      <c r="TUI152" s="863"/>
      <c r="TUJ152" s="863"/>
      <c r="TUK152" s="863"/>
      <c r="TUL152" s="863"/>
      <c r="TUM152" s="863"/>
      <c r="TUN152" s="863"/>
      <c r="TUO152" s="883"/>
      <c r="TUP152" s="883"/>
      <c r="TUQ152" s="883"/>
      <c r="TUR152" s="883"/>
      <c r="TUS152" s="883"/>
      <c r="TUT152" s="883"/>
      <c r="TUU152" s="883"/>
      <c r="TUV152" s="883"/>
      <c r="TUW152" s="883"/>
      <c r="TUX152" s="863"/>
      <c r="TUY152" s="863"/>
      <c r="TUZ152" s="863"/>
      <c r="TVA152" s="863"/>
      <c r="TVB152" s="863"/>
      <c r="TVC152" s="863"/>
      <c r="TVD152" s="863"/>
      <c r="TVE152" s="863"/>
      <c r="TVF152" s="863"/>
      <c r="TVG152" s="863"/>
      <c r="TVH152" s="863"/>
      <c r="TVI152" s="863"/>
      <c r="TVJ152" s="863"/>
      <c r="TVK152" s="863"/>
      <c r="TVL152" s="863"/>
      <c r="TVM152" s="863"/>
      <c r="TVN152" s="863"/>
      <c r="TVO152" s="863"/>
      <c r="TVP152" s="863"/>
      <c r="TVQ152" s="863"/>
      <c r="TVR152" s="863"/>
      <c r="TVS152" s="863"/>
      <c r="TVT152" s="863"/>
      <c r="TVU152" s="883"/>
      <c r="TVV152" s="883"/>
      <c r="TVW152" s="883"/>
      <c r="TVX152" s="883"/>
      <c r="TVY152" s="883"/>
      <c r="TVZ152" s="883"/>
      <c r="TWA152" s="883"/>
      <c r="TWB152" s="883"/>
      <c r="TWC152" s="883"/>
      <c r="TWD152" s="863"/>
      <c r="TWE152" s="863"/>
      <c r="TWF152" s="863"/>
      <c r="TWG152" s="863"/>
      <c r="TWH152" s="863"/>
      <c r="TWI152" s="863"/>
      <c r="TWJ152" s="863"/>
      <c r="TWK152" s="863"/>
      <c r="TWL152" s="863"/>
      <c r="TWM152" s="863"/>
      <c r="TWN152" s="863"/>
      <c r="TWO152" s="863"/>
      <c r="TWP152" s="863"/>
      <c r="TWQ152" s="863"/>
      <c r="TWR152" s="863"/>
      <c r="TWS152" s="863"/>
      <c r="TWT152" s="863"/>
      <c r="TWU152" s="863"/>
      <c r="TWV152" s="863"/>
      <c r="TWW152" s="863"/>
      <c r="TWX152" s="863"/>
      <c r="TWY152" s="863"/>
      <c r="TWZ152" s="863"/>
      <c r="TXA152" s="883"/>
      <c r="TXB152" s="883"/>
      <c r="TXC152" s="883"/>
      <c r="TXD152" s="883"/>
      <c r="TXE152" s="883"/>
      <c r="TXF152" s="883"/>
      <c r="TXG152" s="883"/>
      <c r="TXH152" s="883"/>
      <c r="TXI152" s="883"/>
      <c r="TXJ152" s="863"/>
      <c r="TXK152" s="863"/>
      <c r="TXL152" s="863"/>
      <c r="TXM152" s="863"/>
      <c r="TXN152" s="863"/>
      <c r="TXO152" s="863"/>
      <c r="TXP152" s="863"/>
      <c r="TXQ152" s="863"/>
      <c r="TXR152" s="863"/>
      <c r="TXS152" s="863"/>
      <c r="TXT152" s="863"/>
      <c r="TXU152" s="863"/>
      <c r="TXV152" s="863"/>
      <c r="TXW152" s="863"/>
      <c r="TXX152" s="863"/>
      <c r="TXY152" s="863"/>
      <c r="TXZ152" s="863"/>
      <c r="TYA152" s="863"/>
      <c r="TYB152" s="863"/>
      <c r="TYC152" s="863"/>
      <c r="TYD152" s="863"/>
      <c r="TYE152" s="863"/>
      <c r="TYF152" s="863"/>
      <c r="TYG152" s="883"/>
      <c r="TYH152" s="883"/>
      <c r="TYI152" s="883"/>
      <c r="TYJ152" s="883"/>
      <c r="TYK152" s="883"/>
      <c r="TYL152" s="883"/>
      <c r="TYM152" s="883"/>
      <c r="TYN152" s="883"/>
      <c r="TYO152" s="883"/>
      <c r="TYP152" s="863"/>
      <c r="TYQ152" s="863"/>
      <c r="TYR152" s="863"/>
      <c r="TYS152" s="863"/>
      <c r="TYT152" s="863"/>
      <c r="TYU152" s="863"/>
      <c r="TYV152" s="863"/>
      <c r="TYW152" s="863"/>
      <c r="TYX152" s="863"/>
      <c r="TYY152" s="863"/>
      <c r="TYZ152" s="863"/>
      <c r="TZA152" s="863"/>
      <c r="TZB152" s="863"/>
      <c r="TZC152" s="863"/>
      <c r="TZD152" s="863"/>
      <c r="TZE152" s="863"/>
      <c r="TZF152" s="863"/>
      <c r="TZG152" s="863"/>
      <c r="TZH152" s="863"/>
      <c r="TZI152" s="863"/>
      <c r="TZJ152" s="863"/>
      <c r="TZK152" s="863"/>
      <c r="TZL152" s="863"/>
      <c r="TZM152" s="883"/>
      <c r="TZN152" s="883"/>
      <c r="TZO152" s="883"/>
      <c r="TZP152" s="883"/>
      <c r="TZQ152" s="883"/>
      <c r="TZR152" s="883"/>
      <c r="TZS152" s="883"/>
      <c r="TZT152" s="883"/>
      <c r="TZU152" s="883"/>
      <c r="TZV152" s="863"/>
      <c r="TZW152" s="863"/>
      <c r="TZX152" s="863"/>
      <c r="TZY152" s="863"/>
      <c r="TZZ152" s="863"/>
      <c r="UAA152" s="863"/>
      <c r="UAB152" s="863"/>
      <c r="UAC152" s="863"/>
      <c r="UAD152" s="863"/>
      <c r="UAE152" s="863"/>
      <c r="UAF152" s="863"/>
      <c r="UAG152" s="863"/>
      <c r="UAH152" s="863"/>
      <c r="UAI152" s="863"/>
      <c r="UAJ152" s="863"/>
      <c r="UAK152" s="863"/>
      <c r="UAL152" s="863"/>
      <c r="UAM152" s="863"/>
      <c r="UAN152" s="863"/>
      <c r="UAO152" s="863"/>
      <c r="UAP152" s="863"/>
      <c r="UAQ152" s="863"/>
      <c r="UAR152" s="863"/>
      <c r="UAS152" s="883"/>
      <c r="UAT152" s="883"/>
      <c r="UAU152" s="883"/>
      <c r="UAV152" s="883"/>
      <c r="UAW152" s="883"/>
      <c r="UAX152" s="883"/>
      <c r="UAY152" s="883"/>
      <c r="UAZ152" s="883"/>
      <c r="UBA152" s="883"/>
      <c r="UBB152" s="863"/>
      <c r="UBC152" s="863"/>
      <c r="UBD152" s="863"/>
      <c r="UBE152" s="863"/>
      <c r="UBF152" s="863"/>
      <c r="UBG152" s="863"/>
      <c r="UBH152" s="863"/>
      <c r="UBI152" s="863"/>
      <c r="UBJ152" s="863"/>
      <c r="UBK152" s="863"/>
      <c r="UBL152" s="863"/>
      <c r="UBM152" s="863"/>
      <c r="UBN152" s="863"/>
      <c r="UBO152" s="863"/>
      <c r="UBP152" s="863"/>
      <c r="UBQ152" s="863"/>
      <c r="UBR152" s="863"/>
      <c r="UBS152" s="863"/>
      <c r="UBT152" s="863"/>
      <c r="UBU152" s="863"/>
      <c r="UBV152" s="863"/>
      <c r="UBW152" s="863"/>
      <c r="UBX152" s="863"/>
      <c r="UBY152" s="883"/>
      <c r="UBZ152" s="883"/>
      <c r="UCA152" s="883"/>
      <c r="UCB152" s="883"/>
      <c r="UCC152" s="883"/>
      <c r="UCD152" s="883"/>
      <c r="UCE152" s="883"/>
      <c r="UCF152" s="883"/>
      <c r="UCG152" s="883"/>
      <c r="UCH152" s="863"/>
      <c r="UCI152" s="863"/>
      <c r="UCJ152" s="863"/>
      <c r="UCK152" s="863"/>
      <c r="UCL152" s="863"/>
      <c r="UCM152" s="863"/>
      <c r="UCN152" s="863"/>
      <c r="UCO152" s="863"/>
      <c r="UCP152" s="863"/>
      <c r="UCQ152" s="863"/>
      <c r="UCR152" s="863"/>
      <c r="UCS152" s="863"/>
      <c r="UCT152" s="863"/>
      <c r="UCU152" s="863"/>
      <c r="UCV152" s="863"/>
      <c r="UCW152" s="863"/>
      <c r="UCX152" s="863"/>
      <c r="UCY152" s="863"/>
      <c r="UCZ152" s="863"/>
      <c r="UDA152" s="863"/>
      <c r="UDB152" s="863"/>
      <c r="UDC152" s="863"/>
      <c r="UDD152" s="863"/>
      <c r="UDE152" s="883"/>
      <c r="UDF152" s="883"/>
      <c r="UDG152" s="883"/>
      <c r="UDH152" s="883"/>
      <c r="UDI152" s="883"/>
      <c r="UDJ152" s="883"/>
      <c r="UDK152" s="883"/>
      <c r="UDL152" s="883"/>
      <c r="UDM152" s="883"/>
      <c r="UDN152" s="863"/>
      <c r="UDO152" s="863"/>
      <c r="UDP152" s="863"/>
      <c r="UDQ152" s="863"/>
      <c r="UDR152" s="863"/>
      <c r="UDS152" s="863"/>
      <c r="UDT152" s="863"/>
      <c r="UDU152" s="863"/>
      <c r="UDV152" s="863"/>
      <c r="UDW152" s="863"/>
      <c r="UDX152" s="863"/>
      <c r="UDY152" s="863"/>
      <c r="UDZ152" s="863"/>
      <c r="UEA152" s="863"/>
      <c r="UEB152" s="863"/>
      <c r="UEC152" s="863"/>
      <c r="UED152" s="863"/>
      <c r="UEE152" s="863"/>
      <c r="UEF152" s="863"/>
      <c r="UEG152" s="863"/>
      <c r="UEH152" s="863"/>
      <c r="UEI152" s="863"/>
      <c r="UEJ152" s="863"/>
      <c r="UEK152" s="883"/>
      <c r="UEL152" s="883"/>
      <c r="UEM152" s="883"/>
      <c r="UEN152" s="883"/>
      <c r="UEO152" s="883"/>
      <c r="UEP152" s="883"/>
      <c r="UEQ152" s="883"/>
      <c r="UER152" s="883"/>
      <c r="UES152" s="883"/>
      <c r="UET152" s="863"/>
      <c r="UEU152" s="863"/>
      <c r="UEV152" s="863"/>
      <c r="UEW152" s="863"/>
      <c r="UEX152" s="863"/>
      <c r="UEY152" s="863"/>
      <c r="UEZ152" s="863"/>
      <c r="UFA152" s="863"/>
      <c r="UFB152" s="863"/>
      <c r="UFC152" s="863"/>
      <c r="UFD152" s="863"/>
      <c r="UFE152" s="863"/>
      <c r="UFF152" s="863"/>
      <c r="UFG152" s="863"/>
      <c r="UFH152" s="863"/>
      <c r="UFI152" s="863"/>
      <c r="UFJ152" s="863"/>
      <c r="UFK152" s="863"/>
      <c r="UFL152" s="863"/>
      <c r="UFM152" s="863"/>
      <c r="UFN152" s="863"/>
      <c r="UFO152" s="863"/>
      <c r="UFP152" s="863"/>
      <c r="UFQ152" s="883"/>
      <c r="UFR152" s="883"/>
      <c r="UFS152" s="883"/>
      <c r="UFT152" s="883"/>
      <c r="UFU152" s="883"/>
      <c r="UFV152" s="883"/>
      <c r="UFW152" s="883"/>
      <c r="UFX152" s="883"/>
      <c r="UFY152" s="883"/>
      <c r="UFZ152" s="863"/>
      <c r="UGA152" s="863"/>
      <c r="UGB152" s="863"/>
      <c r="UGC152" s="863"/>
      <c r="UGD152" s="863"/>
      <c r="UGE152" s="863"/>
      <c r="UGF152" s="863"/>
      <c r="UGG152" s="863"/>
      <c r="UGH152" s="863"/>
      <c r="UGI152" s="863"/>
      <c r="UGJ152" s="863"/>
      <c r="UGK152" s="863"/>
      <c r="UGL152" s="863"/>
      <c r="UGM152" s="863"/>
      <c r="UGN152" s="863"/>
      <c r="UGO152" s="863"/>
      <c r="UGP152" s="863"/>
      <c r="UGQ152" s="863"/>
      <c r="UGR152" s="863"/>
      <c r="UGS152" s="863"/>
      <c r="UGT152" s="863"/>
      <c r="UGU152" s="863"/>
      <c r="UGV152" s="863"/>
      <c r="UGW152" s="883"/>
      <c r="UGX152" s="883"/>
      <c r="UGY152" s="883"/>
      <c r="UGZ152" s="883"/>
      <c r="UHA152" s="883"/>
      <c r="UHB152" s="883"/>
      <c r="UHC152" s="883"/>
      <c r="UHD152" s="883"/>
      <c r="UHE152" s="883"/>
      <c r="UHF152" s="863"/>
      <c r="UHG152" s="863"/>
      <c r="UHH152" s="863"/>
      <c r="UHI152" s="863"/>
      <c r="UHJ152" s="863"/>
      <c r="UHK152" s="863"/>
      <c r="UHL152" s="863"/>
      <c r="UHM152" s="863"/>
      <c r="UHN152" s="863"/>
      <c r="UHO152" s="863"/>
      <c r="UHP152" s="863"/>
      <c r="UHQ152" s="863"/>
      <c r="UHR152" s="863"/>
      <c r="UHS152" s="863"/>
      <c r="UHT152" s="863"/>
      <c r="UHU152" s="863"/>
      <c r="UHV152" s="863"/>
      <c r="UHW152" s="863"/>
      <c r="UHX152" s="863"/>
      <c r="UHY152" s="863"/>
      <c r="UHZ152" s="863"/>
      <c r="UIA152" s="863"/>
      <c r="UIB152" s="863"/>
      <c r="UIC152" s="883"/>
      <c r="UID152" s="883"/>
      <c r="UIE152" s="883"/>
      <c r="UIF152" s="883"/>
      <c r="UIG152" s="883"/>
      <c r="UIH152" s="883"/>
      <c r="UII152" s="883"/>
      <c r="UIJ152" s="883"/>
      <c r="UIK152" s="883"/>
      <c r="UIL152" s="863"/>
      <c r="UIM152" s="863"/>
      <c r="UIN152" s="863"/>
      <c r="UIO152" s="863"/>
      <c r="UIP152" s="863"/>
      <c r="UIQ152" s="863"/>
      <c r="UIR152" s="863"/>
      <c r="UIS152" s="863"/>
      <c r="UIT152" s="863"/>
      <c r="UIU152" s="863"/>
      <c r="UIV152" s="863"/>
      <c r="UIW152" s="863"/>
      <c r="UIX152" s="863"/>
      <c r="UIY152" s="863"/>
      <c r="UIZ152" s="863"/>
      <c r="UJA152" s="863"/>
      <c r="UJB152" s="863"/>
      <c r="UJC152" s="863"/>
      <c r="UJD152" s="863"/>
      <c r="UJE152" s="863"/>
      <c r="UJF152" s="863"/>
      <c r="UJG152" s="863"/>
      <c r="UJH152" s="863"/>
      <c r="UJI152" s="883"/>
      <c r="UJJ152" s="883"/>
      <c r="UJK152" s="883"/>
      <c r="UJL152" s="883"/>
      <c r="UJM152" s="883"/>
      <c r="UJN152" s="883"/>
      <c r="UJO152" s="883"/>
      <c r="UJP152" s="883"/>
      <c r="UJQ152" s="883"/>
      <c r="UJR152" s="863"/>
      <c r="UJS152" s="863"/>
      <c r="UJT152" s="863"/>
      <c r="UJU152" s="863"/>
      <c r="UJV152" s="863"/>
      <c r="UJW152" s="863"/>
      <c r="UJX152" s="863"/>
      <c r="UJY152" s="863"/>
      <c r="UJZ152" s="863"/>
      <c r="UKA152" s="863"/>
      <c r="UKB152" s="863"/>
      <c r="UKC152" s="863"/>
      <c r="UKD152" s="863"/>
      <c r="UKE152" s="863"/>
      <c r="UKF152" s="863"/>
      <c r="UKG152" s="863"/>
      <c r="UKH152" s="863"/>
      <c r="UKI152" s="863"/>
      <c r="UKJ152" s="863"/>
      <c r="UKK152" s="863"/>
      <c r="UKL152" s="863"/>
      <c r="UKM152" s="863"/>
      <c r="UKN152" s="863"/>
      <c r="UKO152" s="883"/>
      <c r="UKP152" s="883"/>
      <c r="UKQ152" s="883"/>
      <c r="UKR152" s="883"/>
      <c r="UKS152" s="883"/>
      <c r="UKT152" s="883"/>
      <c r="UKU152" s="883"/>
      <c r="UKV152" s="883"/>
      <c r="UKW152" s="883"/>
      <c r="UKX152" s="863"/>
      <c r="UKY152" s="863"/>
      <c r="UKZ152" s="863"/>
      <c r="ULA152" s="863"/>
      <c r="ULB152" s="863"/>
      <c r="ULC152" s="863"/>
      <c r="ULD152" s="863"/>
      <c r="ULE152" s="863"/>
      <c r="ULF152" s="863"/>
      <c r="ULG152" s="863"/>
      <c r="ULH152" s="863"/>
      <c r="ULI152" s="863"/>
      <c r="ULJ152" s="863"/>
      <c r="ULK152" s="863"/>
      <c r="ULL152" s="863"/>
      <c r="ULM152" s="863"/>
      <c r="ULN152" s="863"/>
      <c r="ULO152" s="863"/>
      <c r="ULP152" s="863"/>
      <c r="ULQ152" s="863"/>
      <c r="ULR152" s="863"/>
      <c r="ULS152" s="863"/>
      <c r="ULT152" s="863"/>
      <c r="ULU152" s="883"/>
      <c r="ULV152" s="883"/>
      <c r="ULW152" s="883"/>
      <c r="ULX152" s="883"/>
      <c r="ULY152" s="883"/>
      <c r="ULZ152" s="883"/>
      <c r="UMA152" s="883"/>
      <c r="UMB152" s="883"/>
      <c r="UMC152" s="883"/>
      <c r="UMD152" s="863"/>
      <c r="UME152" s="863"/>
      <c r="UMF152" s="863"/>
      <c r="UMG152" s="863"/>
      <c r="UMH152" s="863"/>
      <c r="UMI152" s="863"/>
      <c r="UMJ152" s="863"/>
      <c r="UMK152" s="863"/>
      <c r="UML152" s="863"/>
      <c r="UMM152" s="863"/>
      <c r="UMN152" s="863"/>
      <c r="UMO152" s="863"/>
      <c r="UMP152" s="863"/>
      <c r="UMQ152" s="863"/>
      <c r="UMR152" s="863"/>
      <c r="UMS152" s="863"/>
      <c r="UMT152" s="863"/>
      <c r="UMU152" s="863"/>
      <c r="UMV152" s="863"/>
      <c r="UMW152" s="863"/>
      <c r="UMX152" s="863"/>
      <c r="UMY152" s="863"/>
      <c r="UMZ152" s="863"/>
      <c r="UNA152" s="883"/>
      <c r="UNB152" s="883"/>
      <c r="UNC152" s="883"/>
      <c r="UND152" s="883"/>
      <c r="UNE152" s="883"/>
      <c r="UNF152" s="883"/>
      <c r="UNG152" s="883"/>
      <c r="UNH152" s="883"/>
      <c r="UNI152" s="883"/>
      <c r="UNJ152" s="863"/>
      <c r="UNK152" s="863"/>
      <c r="UNL152" s="863"/>
      <c r="UNM152" s="863"/>
      <c r="UNN152" s="863"/>
      <c r="UNO152" s="863"/>
      <c r="UNP152" s="863"/>
      <c r="UNQ152" s="863"/>
      <c r="UNR152" s="863"/>
      <c r="UNS152" s="863"/>
      <c r="UNT152" s="863"/>
      <c r="UNU152" s="863"/>
      <c r="UNV152" s="863"/>
      <c r="UNW152" s="863"/>
      <c r="UNX152" s="863"/>
      <c r="UNY152" s="863"/>
      <c r="UNZ152" s="863"/>
      <c r="UOA152" s="863"/>
      <c r="UOB152" s="863"/>
      <c r="UOC152" s="863"/>
      <c r="UOD152" s="863"/>
      <c r="UOE152" s="863"/>
      <c r="UOF152" s="863"/>
      <c r="UOG152" s="883"/>
      <c r="UOH152" s="883"/>
      <c r="UOI152" s="883"/>
      <c r="UOJ152" s="883"/>
      <c r="UOK152" s="883"/>
      <c r="UOL152" s="883"/>
      <c r="UOM152" s="883"/>
      <c r="UON152" s="883"/>
      <c r="UOO152" s="883"/>
      <c r="UOP152" s="863"/>
      <c r="UOQ152" s="863"/>
      <c r="UOR152" s="863"/>
      <c r="UOS152" s="863"/>
      <c r="UOT152" s="863"/>
      <c r="UOU152" s="863"/>
      <c r="UOV152" s="863"/>
      <c r="UOW152" s="863"/>
      <c r="UOX152" s="863"/>
      <c r="UOY152" s="863"/>
      <c r="UOZ152" s="863"/>
      <c r="UPA152" s="863"/>
      <c r="UPB152" s="863"/>
      <c r="UPC152" s="863"/>
      <c r="UPD152" s="863"/>
      <c r="UPE152" s="863"/>
      <c r="UPF152" s="863"/>
      <c r="UPG152" s="863"/>
      <c r="UPH152" s="863"/>
      <c r="UPI152" s="863"/>
      <c r="UPJ152" s="863"/>
      <c r="UPK152" s="863"/>
      <c r="UPL152" s="863"/>
      <c r="UPM152" s="883"/>
      <c r="UPN152" s="883"/>
      <c r="UPO152" s="883"/>
      <c r="UPP152" s="883"/>
      <c r="UPQ152" s="883"/>
      <c r="UPR152" s="883"/>
      <c r="UPS152" s="883"/>
      <c r="UPT152" s="883"/>
      <c r="UPU152" s="883"/>
      <c r="UPV152" s="863"/>
      <c r="UPW152" s="863"/>
      <c r="UPX152" s="863"/>
      <c r="UPY152" s="863"/>
      <c r="UPZ152" s="863"/>
      <c r="UQA152" s="863"/>
      <c r="UQB152" s="863"/>
      <c r="UQC152" s="863"/>
      <c r="UQD152" s="863"/>
      <c r="UQE152" s="863"/>
      <c r="UQF152" s="863"/>
      <c r="UQG152" s="863"/>
      <c r="UQH152" s="863"/>
      <c r="UQI152" s="863"/>
      <c r="UQJ152" s="863"/>
      <c r="UQK152" s="863"/>
      <c r="UQL152" s="863"/>
      <c r="UQM152" s="863"/>
      <c r="UQN152" s="863"/>
      <c r="UQO152" s="863"/>
      <c r="UQP152" s="863"/>
      <c r="UQQ152" s="863"/>
      <c r="UQR152" s="863"/>
      <c r="UQS152" s="883"/>
      <c r="UQT152" s="883"/>
      <c r="UQU152" s="883"/>
      <c r="UQV152" s="883"/>
      <c r="UQW152" s="883"/>
      <c r="UQX152" s="883"/>
      <c r="UQY152" s="883"/>
      <c r="UQZ152" s="883"/>
      <c r="URA152" s="883"/>
      <c r="URB152" s="863"/>
      <c r="URC152" s="863"/>
      <c r="URD152" s="863"/>
      <c r="URE152" s="863"/>
      <c r="URF152" s="863"/>
      <c r="URG152" s="863"/>
      <c r="URH152" s="863"/>
      <c r="URI152" s="863"/>
      <c r="URJ152" s="863"/>
      <c r="URK152" s="863"/>
      <c r="URL152" s="863"/>
      <c r="URM152" s="863"/>
      <c r="URN152" s="863"/>
      <c r="URO152" s="863"/>
      <c r="URP152" s="863"/>
      <c r="URQ152" s="863"/>
      <c r="URR152" s="863"/>
      <c r="URS152" s="863"/>
      <c r="URT152" s="863"/>
      <c r="URU152" s="863"/>
      <c r="URV152" s="863"/>
      <c r="URW152" s="863"/>
      <c r="URX152" s="863"/>
      <c r="URY152" s="883"/>
      <c r="URZ152" s="883"/>
      <c r="USA152" s="883"/>
      <c r="USB152" s="883"/>
      <c r="USC152" s="883"/>
      <c r="USD152" s="883"/>
      <c r="USE152" s="883"/>
      <c r="USF152" s="883"/>
      <c r="USG152" s="883"/>
      <c r="USH152" s="863"/>
      <c r="USI152" s="863"/>
      <c r="USJ152" s="863"/>
      <c r="USK152" s="863"/>
      <c r="USL152" s="863"/>
      <c r="USM152" s="863"/>
      <c r="USN152" s="863"/>
      <c r="USO152" s="863"/>
      <c r="USP152" s="863"/>
      <c r="USQ152" s="863"/>
      <c r="USR152" s="863"/>
      <c r="USS152" s="863"/>
      <c r="UST152" s="863"/>
      <c r="USU152" s="863"/>
      <c r="USV152" s="863"/>
      <c r="USW152" s="863"/>
      <c r="USX152" s="863"/>
      <c r="USY152" s="863"/>
      <c r="USZ152" s="863"/>
      <c r="UTA152" s="863"/>
      <c r="UTB152" s="863"/>
      <c r="UTC152" s="863"/>
      <c r="UTD152" s="863"/>
      <c r="UTE152" s="883"/>
      <c r="UTF152" s="883"/>
      <c r="UTG152" s="883"/>
      <c r="UTH152" s="883"/>
      <c r="UTI152" s="883"/>
      <c r="UTJ152" s="883"/>
      <c r="UTK152" s="883"/>
      <c r="UTL152" s="883"/>
      <c r="UTM152" s="883"/>
      <c r="UTN152" s="863"/>
      <c r="UTO152" s="863"/>
      <c r="UTP152" s="863"/>
      <c r="UTQ152" s="863"/>
      <c r="UTR152" s="863"/>
      <c r="UTS152" s="863"/>
      <c r="UTT152" s="863"/>
      <c r="UTU152" s="863"/>
      <c r="UTV152" s="863"/>
      <c r="UTW152" s="863"/>
      <c r="UTX152" s="863"/>
      <c r="UTY152" s="863"/>
      <c r="UTZ152" s="863"/>
      <c r="UUA152" s="863"/>
      <c r="UUB152" s="863"/>
      <c r="UUC152" s="863"/>
      <c r="UUD152" s="863"/>
      <c r="UUE152" s="863"/>
      <c r="UUF152" s="863"/>
      <c r="UUG152" s="863"/>
      <c r="UUH152" s="863"/>
      <c r="UUI152" s="863"/>
      <c r="UUJ152" s="863"/>
      <c r="UUK152" s="883"/>
      <c r="UUL152" s="883"/>
      <c r="UUM152" s="883"/>
      <c r="UUN152" s="883"/>
      <c r="UUO152" s="883"/>
      <c r="UUP152" s="883"/>
      <c r="UUQ152" s="883"/>
      <c r="UUR152" s="883"/>
      <c r="UUS152" s="883"/>
      <c r="UUT152" s="863"/>
      <c r="UUU152" s="863"/>
      <c r="UUV152" s="863"/>
      <c r="UUW152" s="863"/>
      <c r="UUX152" s="863"/>
      <c r="UUY152" s="863"/>
      <c r="UUZ152" s="863"/>
      <c r="UVA152" s="863"/>
      <c r="UVB152" s="863"/>
      <c r="UVC152" s="863"/>
      <c r="UVD152" s="863"/>
      <c r="UVE152" s="863"/>
      <c r="UVF152" s="863"/>
      <c r="UVG152" s="863"/>
      <c r="UVH152" s="863"/>
      <c r="UVI152" s="863"/>
      <c r="UVJ152" s="863"/>
      <c r="UVK152" s="863"/>
      <c r="UVL152" s="863"/>
      <c r="UVM152" s="863"/>
      <c r="UVN152" s="863"/>
      <c r="UVO152" s="863"/>
      <c r="UVP152" s="863"/>
      <c r="UVQ152" s="883"/>
      <c r="UVR152" s="883"/>
      <c r="UVS152" s="883"/>
      <c r="UVT152" s="883"/>
      <c r="UVU152" s="883"/>
      <c r="UVV152" s="883"/>
      <c r="UVW152" s="883"/>
      <c r="UVX152" s="883"/>
      <c r="UVY152" s="883"/>
      <c r="UVZ152" s="863"/>
      <c r="UWA152" s="863"/>
      <c r="UWB152" s="863"/>
      <c r="UWC152" s="863"/>
      <c r="UWD152" s="863"/>
      <c r="UWE152" s="863"/>
      <c r="UWF152" s="863"/>
      <c r="UWG152" s="863"/>
      <c r="UWH152" s="863"/>
      <c r="UWI152" s="863"/>
      <c r="UWJ152" s="863"/>
      <c r="UWK152" s="863"/>
      <c r="UWL152" s="863"/>
      <c r="UWM152" s="863"/>
      <c r="UWN152" s="863"/>
      <c r="UWO152" s="863"/>
      <c r="UWP152" s="863"/>
      <c r="UWQ152" s="863"/>
      <c r="UWR152" s="863"/>
      <c r="UWS152" s="863"/>
      <c r="UWT152" s="863"/>
      <c r="UWU152" s="863"/>
      <c r="UWV152" s="863"/>
      <c r="UWW152" s="883"/>
      <c r="UWX152" s="883"/>
      <c r="UWY152" s="883"/>
      <c r="UWZ152" s="883"/>
      <c r="UXA152" s="883"/>
      <c r="UXB152" s="883"/>
      <c r="UXC152" s="883"/>
      <c r="UXD152" s="883"/>
      <c r="UXE152" s="883"/>
      <c r="UXF152" s="863"/>
      <c r="UXG152" s="863"/>
      <c r="UXH152" s="863"/>
      <c r="UXI152" s="863"/>
      <c r="UXJ152" s="863"/>
      <c r="UXK152" s="863"/>
      <c r="UXL152" s="863"/>
      <c r="UXM152" s="863"/>
      <c r="UXN152" s="863"/>
      <c r="UXO152" s="863"/>
      <c r="UXP152" s="863"/>
      <c r="UXQ152" s="863"/>
      <c r="UXR152" s="863"/>
      <c r="UXS152" s="863"/>
      <c r="UXT152" s="863"/>
      <c r="UXU152" s="863"/>
      <c r="UXV152" s="863"/>
      <c r="UXW152" s="863"/>
      <c r="UXX152" s="863"/>
      <c r="UXY152" s="863"/>
      <c r="UXZ152" s="863"/>
      <c r="UYA152" s="863"/>
      <c r="UYB152" s="863"/>
      <c r="UYC152" s="883"/>
      <c r="UYD152" s="883"/>
      <c r="UYE152" s="883"/>
      <c r="UYF152" s="883"/>
      <c r="UYG152" s="883"/>
      <c r="UYH152" s="883"/>
      <c r="UYI152" s="883"/>
      <c r="UYJ152" s="883"/>
      <c r="UYK152" s="883"/>
      <c r="UYL152" s="863"/>
      <c r="UYM152" s="863"/>
      <c r="UYN152" s="863"/>
      <c r="UYO152" s="863"/>
      <c r="UYP152" s="863"/>
      <c r="UYQ152" s="863"/>
      <c r="UYR152" s="863"/>
      <c r="UYS152" s="863"/>
      <c r="UYT152" s="863"/>
      <c r="UYU152" s="863"/>
      <c r="UYV152" s="863"/>
      <c r="UYW152" s="863"/>
      <c r="UYX152" s="863"/>
      <c r="UYY152" s="863"/>
      <c r="UYZ152" s="863"/>
      <c r="UZA152" s="863"/>
      <c r="UZB152" s="863"/>
      <c r="UZC152" s="863"/>
      <c r="UZD152" s="863"/>
      <c r="UZE152" s="863"/>
      <c r="UZF152" s="863"/>
      <c r="UZG152" s="863"/>
      <c r="UZH152" s="863"/>
      <c r="UZI152" s="883"/>
      <c r="UZJ152" s="883"/>
      <c r="UZK152" s="883"/>
      <c r="UZL152" s="883"/>
      <c r="UZM152" s="883"/>
      <c r="UZN152" s="883"/>
      <c r="UZO152" s="883"/>
      <c r="UZP152" s="883"/>
      <c r="UZQ152" s="883"/>
      <c r="UZR152" s="863"/>
      <c r="UZS152" s="863"/>
      <c r="UZT152" s="863"/>
      <c r="UZU152" s="863"/>
      <c r="UZV152" s="863"/>
      <c r="UZW152" s="863"/>
      <c r="UZX152" s="863"/>
      <c r="UZY152" s="863"/>
      <c r="UZZ152" s="863"/>
      <c r="VAA152" s="863"/>
      <c r="VAB152" s="863"/>
      <c r="VAC152" s="863"/>
      <c r="VAD152" s="863"/>
      <c r="VAE152" s="863"/>
      <c r="VAF152" s="863"/>
      <c r="VAG152" s="863"/>
      <c r="VAH152" s="863"/>
      <c r="VAI152" s="863"/>
      <c r="VAJ152" s="863"/>
      <c r="VAK152" s="863"/>
      <c r="VAL152" s="863"/>
      <c r="VAM152" s="863"/>
      <c r="VAN152" s="863"/>
      <c r="VAO152" s="883"/>
      <c r="VAP152" s="883"/>
      <c r="VAQ152" s="883"/>
      <c r="VAR152" s="883"/>
      <c r="VAS152" s="883"/>
      <c r="VAT152" s="883"/>
      <c r="VAU152" s="883"/>
      <c r="VAV152" s="883"/>
      <c r="VAW152" s="883"/>
      <c r="VAX152" s="863"/>
      <c r="VAY152" s="863"/>
      <c r="VAZ152" s="863"/>
      <c r="VBA152" s="863"/>
      <c r="VBB152" s="863"/>
      <c r="VBC152" s="863"/>
      <c r="VBD152" s="863"/>
      <c r="VBE152" s="863"/>
      <c r="VBF152" s="863"/>
      <c r="VBG152" s="863"/>
      <c r="VBH152" s="863"/>
      <c r="VBI152" s="863"/>
      <c r="VBJ152" s="863"/>
      <c r="VBK152" s="863"/>
      <c r="VBL152" s="863"/>
      <c r="VBM152" s="863"/>
      <c r="VBN152" s="863"/>
      <c r="VBO152" s="863"/>
      <c r="VBP152" s="863"/>
      <c r="VBQ152" s="863"/>
      <c r="VBR152" s="863"/>
      <c r="VBS152" s="863"/>
      <c r="VBT152" s="863"/>
      <c r="VBU152" s="883"/>
      <c r="VBV152" s="883"/>
      <c r="VBW152" s="883"/>
      <c r="VBX152" s="883"/>
      <c r="VBY152" s="883"/>
      <c r="VBZ152" s="883"/>
      <c r="VCA152" s="883"/>
      <c r="VCB152" s="883"/>
      <c r="VCC152" s="883"/>
      <c r="VCD152" s="863"/>
      <c r="VCE152" s="863"/>
      <c r="VCF152" s="863"/>
      <c r="VCG152" s="863"/>
      <c r="VCH152" s="863"/>
      <c r="VCI152" s="863"/>
      <c r="VCJ152" s="863"/>
      <c r="VCK152" s="863"/>
      <c r="VCL152" s="863"/>
      <c r="VCM152" s="863"/>
      <c r="VCN152" s="863"/>
      <c r="VCO152" s="863"/>
      <c r="VCP152" s="863"/>
      <c r="VCQ152" s="863"/>
      <c r="VCR152" s="863"/>
      <c r="VCS152" s="863"/>
      <c r="VCT152" s="863"/>
      <c r="VCU152" s="863"/>
      <c r="VCV152" s="863"/>
      <c r="VCW152" s="863"/>
      <c r="VCX152" s="863"/>
      <c r="VCY152" s="863"/>
      <c r="VCZ152" s="863"/>
      <c r="VDA152" s="883"/>
      <c r="VDB152" s="883"/>
      <c r="VDC152" s="883"/>
      <c r="VDD152" s="883"/>
      <c r="VDE152" s="883"/>
      <c r="VDF152" s="883"/>
      <c r="VDG152" s="883"/>
      <c r="VDH152" s="883"/>
      <c r="VDI152" s="883"/>
      <c r="VDJ152" s="863"/>
      <c r="VDK152" s="863"/>
      <c r="VDL152" s="863"/>
      <c r="VDM152" s="863"/>
      <c r="VDN152" s="863"/>
      <c r="VDO152" s="863"/>
      <c r="VDP152" s="863"/>
      <c r="VDQ152" s="863"/>
      <c r="VDR152" s="863"/>
      <c r="VDS152" s="863"/>
      <c r="VDT152" s="863"/>
      <c r="VDU152" s="863"/>
      <c r="VDV152" s="863"/>
      <c r="VDW152" s="863"/>
      <c r="VDX152" s="863"/>
      <c r="VDY152" s="863"/>
      <c r="VDZ152" s="863"/>
      <c r="VEA152" s="863"/>
      <c r="VEB152" s="863"/>
      <c r="VEC152" s="863"/>
      <c r="VED152" s="863"/>
      <c r="VEE152" s="863"/>
      <c r="VEF152" s="863"/>
      <c r="VEG152" s="883"/>
      <c r="VEH152" s="883"/>
      <c r="VEI152" s="883"/>
      <c r="VEJ152" s="883"/>
      <c r="VEK152" s="883"/>
      <c r="VEL152" s="883"/>
      <c r="VEM152" s="883"/>
      <c r="VEN152" s="883"/>
      <c r="VEO152" s="883"/>
      <c r="VEP152" s="863"/>
      <c r="VEQ152" s="863"/>
      <c r="VER152" s="863"/>
      <c r="VES152" s="863"/>
      <c r="VET152" s="863"/>
      <c r="VEU152" s="863"/>
      <c r="VEV152" s="863"/>
      <c r="VEW152" s="863"/>
      <c r="VEX152" s="863"/>
      <c r="VEY152" s="863"/>
      <c r="VEZ152" s="863"/>
      <c r="VFA152" s="863"/>
      <c r="VFB152" s="863"/>
      <c r="VFC152" s="863"/>
      <c r="VFD152" s="863"/>
      <c r="VFE152" s="863"/>
      <c r="VFF152" s="863"/>
      <c r="VFG152" s="863"/>
      <c r="VFH152" s="863"/>
      <c r="VFI152" s="863"/>
      <c r="VFJ152" s="863"/>
      <c r="VFK152" s="863"/>
      <c r="VFL152" s="863"/>
      <c r="VFM152" s="883"/>
      <c r="VFN152" s="883"/>
      <c r="VFO152" s="883"/>
      <c r="VFP152" s="883"/>
      <c r="VFQ152" s="883"/>
      <c r="VFR152" s="883"/>
      <c r="VFS152" s="883"/>
      <c r="VFT152" s="883"/>
      <c r="VFU152" s="883"/>
      <c r="VFV152" s="863"/>
      <c r="VFW152" s="863"/>
      <c r="VFX152" s="863"/>
      <c r="VFY152" s="863"/>
      <c r="VFZ152" s="863"/>
      <c r="VGA152" s="863"/>
      <c r="VGB152" s="863"/>
      <c r="VGC152" s="863"/>
      <c r="VGD152" s="863"/>
      <c r="VGE152" s="863"/>
      <c r="VGF152" s="863"/>
      <c r="VGG152" s="863"/>
      <c r="VGH152" s="863"/>
      <c r="VGI152" s="863"/>
      <c r="VGJ152" s="863"/>
      <c r="VGK152" s="863"/>
      <c r="VGL152" s="863"/>
      <c r="VGM152" s="863"/>
      <c r="VGN152" s="863"/>
      <c r="VGO152" s="863"/>
      <c r="VGP152" s="863"/>
      <c r="VGQ152" s="863"/>
      <c r="VGR152" s="863"/>
      <c r="VGS152" s="883"/>
      <c r="VGT152" s="883"/>
      <c r="VGU152" s="883"/>
      <c r="VGV152" s="883"/>
      <c r="VGW152" s="883"/>
      <c r="VGX152" s="883"/>
      <c r="VGY152" s="883"/>
      <c r="VGZ152" s="883"/>
      <c r="VHA152" s="883"/>
      <c r="VHB152" s="863"/>
      <c r="VHC152" s="863"/>
      <c r="VHD152" s="863"/>
      <c r="VHE152" s="863"/>
      <c r="VHF152" s="863"/>
      <c r="VHG152" s="863"/>
      <c r="VHH152" s="863"/>
      <c r="VHI152" s="863"/>
      <c r="VHJ152" s="863"/>
      <c r="VHK152" s="863"/>
      <c r="VHL152" s="863"/>
      <c r="VHM152" s="863"/>
      <c r="VHN152" s="863"/>
      <c r="VHO152" s="863"/>
      <c r="VHP152" s="863"/>
      <c r="VHQ152" s="863"/>
      <c r="VHR152" s="863"/>
      <c r="VHS152" s="863"/>
      <c r="VHT152" s="863"/>
      <c r="VHU152" s="863"/>
      <c r="VHV152" s="863"/>
      <c r="VHW152" s="863"/>
      <c r="VHX152" s="863"/>
      <c r="VHY152" s="883"/>
      <c r="VHZ152" s="883"/>
      <c r="VIA152" s="883"/>
      <c r="VIB152" s="883"/>
      <c r="VIC152" s="883"/>
      <c r="VID152" s="883"/>
      <c r="VIE152" s="883"/>
      <c r="VIF152" s="883"/>
      <c r="VIG152" s="883"/>
      <c r="VIH152" s="863"/>
      <c r="VII152" s="863"/>
      <c r="VIJ152" s="863"/>
      <c r="VIK152" s="863"/>
      <c r="VIL152" s="863"/>
      <c r="VIM152" s="863"/>
      <c r="VIN152" s="863"/>
      <c r="VIO152" s="863"/>
      <c r="VIP152" s="863"/>
      <c r="VIQ152" s="863"/>
      <c r="VIR152" s="863"/>
      <c r="VIS152" s="863"/>
      <c r="VIT152" s="863"/>
      <c r="VIU152" s="863"/>
      <c r="VIV152" s="863"/>
      <c r="VIW152" s="863"/>
      <c r="VIX152" s="863"/>
      <c r="VIY152" s="863"/>
      <c r="VIZ152" s="863"/>
      <c r="VJA152" s="863"/>
      <c r="VJB152" s="863"/>
      <c r="VJC152" s="863"/>
      <c r="VJD152" s="863"/>
      <c r="VJE152" s="883"/>
      <c r="VJF152" s="883"/>
      <c r="VJG152" s="883"/>
      <c r="VJH152" s="883"/>
      <c r="VJI152" s="883"/>
      <c r="VJJ152" s="883"/>
      <c r="VJK152" s="883"/>
      <c r="VJL152" s="883"/>
      <c r="VJM152" s="883"/>
      <c r="VJN152" s="863"/>
      <c r="VJO152" s="863"/>
      <c r="VJP152" s="863"/>
      <c r="VJQ152" s="863"/>
      <c r="VJR152" s="863"/>
      <c r="VJS152" s="863"/>
      <c r="VJT152" s="863"/>
      <c r="VJU152" s="863"/>
      <c r="VJV152" s="863"/>
      <c r="VJW152" s="863"/>
      <c r="VJX152" s="863"/>
      <c r="VJY152" s="863"/>
      <c r="VJZ152" s="863"/>
      <c r="VKA152" s="863"/>
      <c r="VKB152" s="863"/>
      <c r="VKC152" s="863"/>
      <c r="VKD152" s="863"/>
      <c r="VKE152" s="863"/>
      <c r="VKF152" s="863"/>
      <c r="VKG152" s="863"/>
      <c r="VKH152" s="863"/>
      <c r="VKI152" s="863"/>
      <c r="VKJ152" s="863"/>
      <c r="VKK152" s="883"/>
      <c r="VKL152" s="883"/>
      <c r="VKM152" s="883"/>
      <c r="VKN152" s="883"/>
      <c r="VKO152" s="883"/>
      <c r="VKP152" s="883"/>
      <c r="VKQ152" s="883"/>
      <c r="VKR152" s="883"/>
      <c r="VKS152" s="883"/>
      <c r="VKT152" s="863"/>
      <c r="VKU152" s="863"/>
      <c r="VKV152" s="863"/>
      <c r="VKW152" s="863"/>
      <c r="VKX152" s="863"/>
      <c r="VKY152" s="863"/>
      <c r="VKZ152" s="863"/>
      <c r="VLA152" s="863"/>
      <c r="VLB152" s="863"/>
      <c r="VLC152" s="863"/>
      <c r="VLD152" s="863"/>
      <c r="VLE152" s="863"/>
      <c r="VLF152" s="863"/>
      <c r="VLG152" s="863"/>
      <c r="VLH152" s="863"/>
      <c r="VLI152" s="863"/>
      <c r="VLJ152" s="863"/>
      <c r="VLK152" s="863"/>
      <c r="VLL152" s="863"/>
      <c r="VLM152" s="863"/>
      <c r="VLN152" s="863"/>
      <c r="VLO152" s="863"/>
      <c r="VLP152" s="863"/>
      <c r="VLQ152" s="883"/>
      <c r="VLR152" s="883"/>
      <c r="VLS152" s="883"/>
      <c r="VLT152" s="883"/>
      <c r="VLU152" s="883"/>
      <c r="VLV152" s="883"/>
      <c r="VLW152" s="883"/>
      <c r="VLX152" s="883"/>
      <c r="VLY152" s="883"/>
      <c r="VLZ152" s="863"/>
      <c r="VMA152" s="863"/>
      <c r="VMB152" s="863"/>
      <c r="VMC152" s="863"/>
      <c r="VMD152" s="863"/>
      <c r="VME152" s="863"/>
      <c r="VMF152" s="863"/>
      <c r="VMG152" s="863"/>
      <c r="VMH152" s="863"/>
      <c r="VMI152" s="863"/>
      <c r="VMJ152" s="863"/>
      <c r="VMK152" s="863"/>
      <c r="VML152" s="863"/>
      <c r="VMM152" s="863"/>
      <c r="VMN152" s="863"/>
      <c r="VMO152" s="863"/>
      <c r="VMP152" s="863"/>
      <c r="VMQ152" s="863"/>
      <c r="VMR152" s="863"/>
      <c r="VMS152" s="863"/>
      <c r="VMT152" s="863"/>
      <c r="VMU152" s="863"/>
      <c r="VMV152" s="863"/>
      <c r="VMW152" s="883"/>
      <c r="VMX152" s="883"/>
      <c r="VMY152" s="883"/>
      <c r="VMZ152" s="883"/>
      <c r="VNA152" s="883"/>
      <c r="VNB152" s="883"/>
      <c r="VNC152" s="883"/>
      <c r="VND152" s="883"/>
      <c r="VNE152" s="883"/>
      <c r="VNF152" s="863"/>
      <c r="VNG152" s="863"/>
      <c r="VNH152" s="863"/>
      <c r="VNI152" s="863"/>
      <c r="VNJ152" s="863"/>
      <c r="VNK152" s="863"/>
      <c r="VNL152" s="863"/>
      <c r="VNM152" s="863"/>
      <c r="VNN152" s="863"/>
      <c r="VNO152" s="863"/>
      <c r="VNP152" s="863"/>
      <c r="VNQ152" s="863"/>
      <c r="VNR152" s="863"/>
      <c r="VNS152" s="863"/>
      <c r="VNT152" s="863"/>
      <c r="VNU152" s="863"/>
      <c r="VNV152" s="863"/>
      <c r="VNW152" s="863"/>
      <c r="VNX152" s="863"/>
      <c r="VNY152" s="863"/>
      <c r="VNZ152" s="863"/>
      <c r="VOA152" s="863"/>
      <c r="VOB152" s="863"/>
      <c r="VOC152" s="883"/>
      <c r="VOD152" s="883"/>
      <c r="VOE152" s="883"/>
      <c r="VOF152" s="883"/>
      <c r="VOG152" s="883"/>
      <c r="VOH152" s="883"/>
      <c r="VOI152" s="883"/>
      <c r="VOJ152" s="883"/>
      <c r="VOK152" s="883"/>
      <c r="VOL152" s="863"/>
      <c r="VOM152" s="863"/>
      <c r="VON152" s="863"/>
      <c r="VOO152" s="863"/>
      <c r="VOP152" s="863"/>
      <c r="VOQ152" s="863"/>
      <c r="VOR152" s="863"/>
      <c r="VOS152" s="863"/>
      <c r="VOT152" s="863"/>
      <c r="VOU152" s="863"/>
      <c r="VOV152" s="863"/>
      <c r="VOW152" s="863"/>
      <c r="VOX152" s="863"/>
      <c r="VOY152" s="863"/>
      <c r="VOZ152" s="863"/>
      <c r="VPA152" s="863"/>
      <c r="VPB152" s="863"/>
      <c r="VPC152" s="863"/>
      <c r="VPD152" s="863"/>
      <c r="VPE152" s="863"/>
      <c r="VPF152" s="863"/>
      <c r="VPG152" s="863"/>
      <c r="VPH152" s="863"/>
      <c r="VPI152" s="883"/>
      <c r="VPJ152" s="883"/>
      <c r="VPK152" s="883"/>
      <c r="VPL152" s="883"/>
      <c r="VPM152" s="883"/>
      <c r="VPN152" s="883"/>
      <c r="VPO152" s="883"/>
      <c r="VPP152" s="883"/>
      <c r="VPQ152" s="883"/>
      <c r="VPR152" s="863"/>
      <c r="VPS152" s="863"/>
      <c r="VPT152" s="863"/>
      <c r="VPU152" s="863"/>
      <c r="VPV152" s="863"/>
      <c r="VPW152" s="863"/>
      <c r="VPX152" s="863"/>
      <c r="VPY152" s="863"/>
      <c r="VPZ152" s="863"/>
      <c r="VQA152" s="863"/>
      <c r="VQB152" s="863"/>
      <c r="VQC152" s="863"/>
      <c r="VQD152" s="863"/>
      <c r="VQE152" s="863"/>
      <c r="VQF152" s="863"/>
      <c r="VQG152" s="863"/>
      <c r="VQH152" s="863"/>
      <c r="VQI152" s="863"/>
      <c r="VQJ152" s="863"/>
      <c r="VQK152" s="863"/>
      <c r="VQL152" s="863"/>
      <c r="VQM152" s="863"/>
      <c r="VQN152" s="863"/>
      <c r="VQO152" s="883"/>
      <c r="VQP152" s="883"/>
      <c r="VQQ152" s="883"/>
      <c r="VQR152" s="883"/>
      <c r="VQS152" s="883"/>
      <c r="VQT152" s="883"/>
      <c r="VQU152" s="883"/>
      <c r="VQV152" s="883"/>
      <c r="VQW152" s="883"/>
      <c r="VQX152" s="863"/>
      <c r="VQY152" s="863"/>
      <c r="VQZ152" s="863"/>
      <c r="VRA152" s="863"/>
      <c r="VRB152" s="863"/>
      <c r="VRC152" s="863"/>
      <c r="VRD152" s="863"/>
      <c r="VRE152" s="863"/>
      <c r="VRF152" s="863"/>
      <c r="VRG152" s="863"/>
      <c r="VRH152" s="863"/>
      <c r="VRI152" s="863"/>
      <c r="VRJ152" s="863"/>
      <c r="VRK152" s="863"/>
      <c r="VRL152" s="863"/>
      <c r="VRM152" s="863"/>
      <c r="VRN152" s="863"/>
      <c r="VRO152" s="863"/>
      <c r="VRP152" s="863"/>
      <c r="VRQ152" s="863"/>
      <c r="VRR152" s="863"/>
      <c r="VRS152" s="863"/>
      <c r="VRT152" s="863"/>
      <c r="VRU152" s="883"/>
      <c r="VRV152" s="883"/>
      <c r="VRW152" s="883"/>
      <c r="VRX152" s="883"/>
      <c r="VRY152" s="883"/>
      <c r="VRZ152" s="883"/>
      <c r="VSA152" s="883"/>
      <c r="VSB152" s="883"/>
      <c r="VSC152" s="883"/>
      <c r="VSD152" s="863"/>
      <c r="VSE152" s="863"/>
      <c r="VSF152" s="863"/>
      <c r="VSG152" s="863"/>
      <c r="VSH152" s="863"/>
      <c r="VSI152" s="863"/>
      <c r="VSJ152" s="863"/>
      <c r="VSK152" s="863"/>
      <c r="VSL152" s="863"/>
      <c r="VSM152" s="863"/>
      <c r="VSN152" s="863"/>
      <c r="VSO152" s="863"/>
      <c r="VSP152" s="863"/>
      <c r="VSQ152" s="863"/>
      <c r="VSR152" s="863"/>
      <c r="VSS152" s="863"/>
      <c r="VST152" s="863"/>
      <c r="VSU152" s="863"/>
      <c r="VSV152" s="863"/>
      <c r="VSW152" s="863"/>
      <c r="VSX152" s="863"/>
      <c r="VSY152" s="863"/>
      <c r="VSZ152" s="863"/>
      <c r="VTA152" s="883"/>
      <c r="VTB152" s="883"/>
      <c r="VTC152" s="883"/>
      <c r="VTD152" s="883"/>
      <c r="VTE152" s="883"/>
      <c r="VTF152" s="883"/>
      <c r="VTG152" s="883"/>
      <c r="VTH152" s="883"/>
      <c r="VTI152" s="883"/>
      <c r="VTJ152" s="863"/>
      <c r="VTK152" s="863"/>
      <c r="VTL152" s="863"/>
      <c r="VTM152" s="863"/>
      <c r="VTN152" s="863"/>
      <c r="VTO152" s="863"/>
      <c r="VTP152" s="863"/>
      <c r="VTQ152" s="863"/>
      <c r="VTR152" s="863"/>
      <c r="VTS152" s="863"/>
      <c r="VTT152" s="863"/>
      <c r="VTU152" s="863"/>
      <c r="VTV152" s="863"/>
      <c r="VTW152" s="863"/>
      <c r="VTX152" s="863"/>
      <c r="VTY152" s="863"/>
      <c r="VTZ152" s="863"/>
      <c r="VUA152" s="863"/>
      <c r="VUB152" s="863"/>
      <c r="VUC152" s="863"/>
      <c r="VUD152" s="863"/>
      <c r="VUE152" s="863"/>
      <c r="VUF152" s="863"/>
      <c r="VUG152" s="883"/>
      <c r="VUH152" s="883"/>
      <c r="VUI152" s="883"/>
      <c r="VUJ152" s="883"/>
      <c r="VUK152" s="883"/>
      <c r="VUL152" s="883"/>
      <c r="VUM152" s="883"/>
      <c r="VUN152" s="883"/>
      <c r="VUO152" s="883"/>
      <c r="VUP152" s="863"/>
      <c r="VUQ152" s="863"/>
      <c r="VUR152" s="863"/>
      <c r="VUS152" s="863"/>
      <c r="VUT152" s="863"/>
      <c r="VUU152" s="863"/>
      <c r="VUV152" s="863"/>
      <c r="VUW152" s="863"/>
      <c r="VUX152" s="863"/>
      <c r="VUY152" s="863"/>
      <c r="VUZ152" s="863"/>
      <c r="VVA152" s="863"/>
      <c r="VVB152" s="863"/>
      <c r="VVC152" s="863"/>
      <c r="VVD152" s="863"/>
      <c r="VVE152" s="863"/>
      <c r="VVF152" s="863"/>
      <c r="VVG152" s="863"/>
      <c r="VVH152" s="863"/>
      <c r="VVI152" s="863"/>
      <c r="VVJ152" s="863"/>
      <c r="VVK152" s="863"/>
      <c r="VVL152" s="863"/>
      <c r="VVM152" s="883"/>
      <c r="VVN152" s="883"/>
      <c r="VVO152" s="883"/>
      <c r="VVP152" s="883"/>
      <c r="VVQ152" s="883"/>
      <c r="VVR152" s="883"/>
      <c r="VVS152" s="883"/>
      <c r="VVT152" s="883"/>
      <c r="VVU152" s="883"/>
      <c r="VVV152" s="863"/>
      <c r="VVW152" s="863"/>
      <c r="VVX152" s="863"/>
      <c r="VVY152" s="863"/>
      <c r="VVZ152" s="863"/>
      <c r="VWA152" s="863"/>
      <c r="VWB152" s="863"/>
      <c r="VWC152" s="863"/>
      <c r="VWD152" s="863"/>
      <c r="VWE152" s="863"/>
      <c r="VWF152" s="863"/>
      <c r="VWG152" s="863"/>
      <c r="VWH152" s="863"/>
      <c r="VWI152" s="863"/>
      <c r="VWJ152" s="863"/>
      <c r="VWK152" s="863"/>
      <c r="VWL152" s="863"/>
      <c r="VWM152" s="863"/>
      <c r="VWN152" s="863"/>
      <c r="VWO152" s="863"/>
      <c r="VWP152" s="863"/>
      <c r="VWQ152" s="863"/>
      <c r="VWR152" s="863"/>
      <c r="VWS152" s="883"/>
      <c r="VWT152" s="883"/>
      <c r="VWU152" s="883"/>
      <c r="VWV152" s="883"/>
      <c r="VWW152" s="883"/>
      <c r="VWX152" s="883"/>
      <c r="VWY152" s="883"/>
      <c r="VWZ152" s="883"/>
      <c r="VXA152" s="883"/>
      <c r="VXB152" s="863"/>
      <c r="VXC152" s="863"/>
      <c r="VXD152" s="863"/>
      <c r="VXE152" s="863"/>
      <c r="VXF152" s="863"/>
      <c r="VXG152" s="863"/>
      <c r="VXH152" s="863"/>
      <c r="VXI152" s="863"/>
      <c r="VXJ152" s="863"/>
      <c r="VXK152" s="863"/>
      <c r="VXL152" s="863"/>
      <c r="VXM152" s="863"/>
      <c r="VXN152" s="863"/>
      <c r="VXO152" s="863"/>
      <c r="VXP152" s="863"/>
      <c r="VXQ152" s="863"/>
      <c r="VXR152" s="863"/>
      <c r="VXS152" s="863"/>
      <c r="VXT152" s="863"/>
      <c r="VXU152" s="863"/>
      <c r="VXV152" s="863"/>
      <c r="VXW152" s="863"/>
      <c r="VXX152" s="863"/>
      <c r="VXY152" s="883"/>
      <c r="VXZ152" s="883"/>
      <c r="VYA152" s="883"/>
      <c r="VYB152" s="883"/>
      <c r="VYC152" s="883"/>
      <c r="VYD152" s="883"/>
      <c r="VYE152" s="883"/>
      <c r="VYF152" s="883"/>
      <c r="VYG152" s="883"/>
      <c r="VYH152" s="863"/>
      <c r="VYI152" s="863"/>
      <c r="VYJ152" s="863"/>
      <c r="VYK152" s="863"/>
      <c r="VYL152" s="863"/>
      <c r="VYM152" s="863"/>
      <c r="VYN152" s="863"/>
      <c r="VYO152" s="863"/>
      <c r="VYP152" s="863"/>
      <c r="VYQ152" s="863"/>
      <c r="VYR152" s="863"/>
      <c r="VYS152" s="863"/>
      <c r="VYT152" s="863"/>
      <c r="VYU152" s="863"/>
      <c r="VYV152" s="863"/>
      <c r="VYW152" s="863"/>
      <c r="VYX152" s="863"/>
      <c r="VYY152" s="863"/>
      <c r="VYZ152" s="863"/>
      <c r="VZA152" s="863"/>
      <c r="VZB152" s="863"/>
      <c r="VZC152" s="863"/>
      <c r="VZD152" s="863"/>
      <c r="VZE152" s="883"/>
      <c r="VZF152" s="883"/>
      <c r="VZG152" s="883"/>
      <c r="VZH152" s="883"/>
      <c r="VZI152" s="883"/>
      <c r="VZJ152" s="883"/>
      <c r="VZK152" s="883"/>
      <c r="VZL152" s="883"/>
      <c r="VZM152" s="883"/>
      <c r="VZN152" s="863"/>
      <c r="VZO152" s="863"/>
      <c r="VZP152" s="863"/>
      <c r="VZQ152" s="863"/>
      <c r="VZR152" s="863"/>
      <c r="VZS152" s="863"/>
      <c r="VZT152" s="863"/>
      <c r="VZU152" s="863"/>
      <c r="VZV152" s="863"/>
      <c r="VZW152" s="863"/>
      <c r="VZX152" s="863"/>
      <c r="VZY152" s="863"/>
      <c r="VZZ152" s="863"/>
      <c r="WAA152" s="863"/>
      <c r="WAB152" s="863"/>
      <c r="WAC152" s="863"/>
      <c r="WAD152" s="863"/>
      <c r="WAE152" s="863"/>
      <c r="WAF152" s="863"/>
      <c r="WAG152" s="863"/>
      <c r="WAH152" s="863"/>
      <c r="WAI152" s="863"/>
      <c r="WAJ152" s="863"/>
      <c r="WAK152" s="883"/>
      <c r="WAL152" s="883"/>
      <c r="WAM152" s="883"/>
      <c r="WAN152" s="883"/>
      <c r="WAO152" s="883"/>
      <c r="WAP152" s="883"/>
      <c r="WAQ152" s="883"/>
      <c r="WAR152" s="883"/>
      <c r="WAS152" s="883"/>
      <c r="WAT152" s="863"/>
      <c r="WAU152" s="863"/>
      <c r="WAV152" s="863"/>
      <c r="WAW152" s="863"/>
      <c r="WAX152" s="863"/>
      <c r="WAY152" s="863"/>
      <c r="WAZ152" s="863"/>
      <c r="WBA152" s="863"/>
      <c r="WBB152" s="863"/>
      <c r="WBC152" s="863"/>
      <c r="WBD152" s="863"/>
      <c r="WBE152" s="863"/>
      <c r="WBF152" s="863"/>
      <c r="WBG152" s="863"/>
      <c r="WBH152" s="863"/>
      <c r="WBI152" s="863"/>
      <c r="WBJ152" s="863"/>
      <c r="WBK152" s="863"/>
      <c r="WBL152" s="863"/>
      <c r="WBM152" s="863"/>
      <c r="WBN152" s="863"/>
      <c r="WBO152" s="863"/>
      <c r="WBP152" s="863"/>
      <c r="WBQ152" s="883"/>
      <c r="WBR152" s="883"/>
      <c r="WBS152" s="883"/>
      <c r="WBT152" s="883"/>
      <c r="WBU152" s="883"/>
      <c r="WBV152" s="883"/>
      <c r="WBW152" s="883"/>
      <c r="WBX152" s="883"/>
      <c r="WBY152" s="883"/>
      <c r="WBZ152" s="863"/>
      <c r="WCA152" s="863"/>
      <c r="WCB152" s="863"/>
      <c r="WCC152" s="863"/>
      <c r="WCD152" s="863"/>
      <c r="WCE152" s="863"/>
      <c r="WCF152" s="863"/>
      <c r="WCG152" s="863"/>
      <c r="WCH152" s="863"/>
      <c r="WCI152" s="863"/>
      <c r="WCJ152" s="863"/>
      <c r="WCK152" s="863"/>
      <c r="WCL152" s="863"/>
      <c r="WCM152" s="863"/>
      <c r="WCN152" s="863"/>
      <c r="WCO152" s="863"/>
      <c r="WCP152" s="863"/>
      <c r="WCQ152" s="863"/>
      <c r="WCR152" s="863"/>
      <c r="WCS152" s="863"/>
      <c r="WCT152" s="863"/>
      <c r="WCU152" s="863"/>
      <c r="WCV152" s="863"/>
      <c r="WCW152" s="883"/>
      <c r="WCX152" s="883"/>
      <c r="WCY152" s="883"/>
      <c r="WCZ152" s="883"/>
      <c r="WDA152" s="883"/>
      <c r="WDB152" s="883"/>
      <c r="WDC152" s="883"/>
      <c r="WDD152" s="883"/>
      <c r="WDE152" s="883"/>
      <c r="WDF152" s="863"/>
      <c r="WDG152" s="863"/>
      <c r="WDH152" s="863"/>
      <c r="WDI152" s="863"/>
      <c r="WDJ152" s="863"/>
      <c r="WDK152" s="863"/>
      <c r="WDL152" s="863"/>
      <c r="WDM152" s="863"/>
      <c r="WDN152" s="863"/>
      <c r="WDO152" s="863"/>
      <c r="WDP152" s="863"/>
      <c r="WDQ152" s="863"/>
      <c r="WDR152" s="863"/>
      <c r="WDS152" s="863"/>
      <c r="WDT152" s="863"/>
      <c r="WDU152" s="863"/>
      <c r="WDV152" s="863"/>
      <c r="WDW152" s="863"/>
      <c r="WDX152" s="863"/>
      <c r="WDY152" s="863"/>
      <c r="WDZ152" s="863"/>
      <c r="WEA152" s="863"/>
      <c r="WEB152" s="863"/>
      <c r="WEC152" s="883"/>
      <c r="WED152" s="883"/>
      <c r="WEE152" s="883"/>
      <c r="WEF152" s="883"/>
      <c r="WEG152" s="883"/>
      <c r="WEH152" s="883"/>
      <c r="WEI152" s="883"/>
      <c r="WEJ152" s="883"/>
      <c r="WEK152" s="883"/>
      <c r="WEL152" s="863"/>
      <c r="WEM152" s="863"/>
      <c r="WEN152" s="863"/>
      <c r="WEO152" s="863"/>
      <c r="WEP152" s="863"/>
      <c r="WEQ152" s="863"/>
      <c r="WER152" s="863"/>
      <c r="WES152" s="863"/>
      <c r="WET152" s="863"/>
      <c r="WEU152" s="863"/>
      <c r="WEV152" s="863"/>
      <c r="WEW152" s="863"/>
      <c r="WEX152" s="863"/>
      <c r="WEY152" s="863"/>
      <c r="WEZ152" s="863"/>
      <c r="WFA152" s="863"/>
      <c r="WFB152" s="863"/>
      <c r="WFC152" s="863"/>
      <c r="WFD152" s="863"/>
      <c r="WFE152" s="863"/>
      <c r="WFF152" s="863"/>
      <c r="WFG152" s="863"/>
      <c r="WFH152" s="863"/>
      <c r="WFI152" s="883"/>
      <c r="WFJ152" s="883"/>
      <c r="WFK152" s="883"/>
      <c r="WFL152" s="883"/>
      <c r="WFM152" s="883"/>
      <c r="WFN152" s="883"/>
      <c r="WFO152" s="883"/>
      <c r="WFP152" s="883"/>
      <c r="WFQ152" s="883"/>
      <c r="WFR152" s="863"/>
      <c r="WFS152" s="863"/>
      <c r="WFT152" s="863"/>
      <c r="WFU152" s="863"/>
      <c r="WFV152" s="863"/>
      <c r="WFW152" s="863"/>
      <c r="WFX152" s="863"/>
      <c r="WFY152" s="863"/>
      <c r="WFZ152" s="863"/>
      <c r="WGA152" s="863"/>
      <c r="WGB152" s="863"/>
      <c r="WGC152" s="863"/>
      <c r="WGD152" s="863"/>
      <c r="WGE152" s="863"/>
      <c r="WGF152" s="863"/>
      <c r="WGG152" s="863"/>
      <c r="WGH152" s="863"/>
      <c r="WGI152" s="863"/>
      <c r="WGJ152" s="863"/>
      <c r="WGK152" s="863"/>
      <c r="WGL152" s="863"/>
      <c r="WGM152" s="863"/>
      <c r="WGN152" s="863"/>
      <c r="WGO152" s="883"/>
      <c r="WGP152" s="883"/>
      <c r="WGQ152" s="883"/>
      <c r="WGR152" s="883"/>
      <c r="WGS152" s="883"/>
      <c r="WGT152" s="883"/>
      <c r="WGU152" s="883"/>
      <c r="WGV152" s="883"/>
      <c r="WGW152" s="883"/>
      <c r="WGX152" s="863"/>
      <c r="WGY152" s="863"/>
      <c r="WGZ152" s="863"/>
      <c r="WHA152" s="863"/>
      <c r="WHB152" s="863"/>
      <c r="WHC152" s="863"/>
      <c r="WHD152" s="863"/>
      <c r="WHE152" s="863"/>
      <c r="WHF152" s="863"/>
      <c r="WHG152" s="863"/>
      <c r="WHH152" s="863"/>
      <c r="WHI152" s="863"/>
      <c r="WHJ152" s="863"/>
      <c r="WHK152" s="863"/>
      <c r="WHL152" s="863"/>
      <c r="WHM152" s="863"/>
      <c r="WHN152" s="863"/>
      <c r="WHO152" s="863"/>
      <c r="WHP152" s="863"/>
      <c r="WHQ152" s="863"/>
      <c r="WHR152" s="863"/>
      <c r="WHS152" s="863"/>
      <c r="WHT152" s="863"/>
      <c r="WHU152" s="883"/>
      <c r="WHV152" s="883"/>
      <c r="WHW152" s="883"/>
      <c r="WHX152" s="883"/>
      <c r="WHY152" s="883"/>
      <c r="WHZ152" s="883"/>
      <c r="WIA152" s="883"/>
      <c r="WIB152" s="883"/>
      <c r="WIC152" s="883"/>
      <c r="WID152" s="863"/>
      <c r="WIE152" s="863"/>
      <c r="WIF152" s="863"/>
      <c r="WIG152" s="863"/>
      <c r="WIH152" s="863"/>
      <c r="WII152" s="863"/>
      <c r="WIJ152" s="863"/>
      <c r="WIK152" s="863"/>
      <c r="WIL152" s="863"/>
      <c r="WIM152" s="863"/>
      <c r="WIN152" s="863"/>
      <c r="WIO152" s="863"/>
      <c r="WIP152" s="863"/>
      <c r="WIQ152" s="863"/>
      <c r="WIR152" s="863"/>
      <c r="WIS152" s="863"/>
      <c r="WIT152" s="863"/>
      <c r="WIU152" s="863"/>
      <c r="WIV152" s="863"/>
      <c r="WIW152" s="863"/>
      <c r="WIX152" s="863"/>
      <c r="WIY152" s="863"/>
      <c r="WIZ152" s="863"/>
      <c r="WJA152" s="883"/>
      <c r="WJB152" s="883"/>
      <c r="WJC152" s="883"/>
      <c r="WJD152" s="883"/>
      <c r="WJE152" s="883"/>
      <c r="WJF152" s="883"/>
      <c r="WJG152" s="883"/>
      <c r="WJH152" s="883"/>
      <c r="WJI152" s="883"/>
      <c r="WJJ152" s="863"/>
      <c r="WJK152" s="863"/>
      <c r="WJL152" s="863"/>
      <c r="WJM152" s="863"/>
      <c r="WJN152" s="863"/>
      <c r="WJO152" s="863"/>
      <c r="WJP152" s="863"/>
      <c r="WJQ152" s="863"/>
      <c r="WJR152" s="863"/>
      <c r="WJS152" s="863"/>
      <c r="WJT152" s="863"/>
      <c r="WJU152" s="863"/>
      <c r="WJV152" s="863"/>
      <c r="WJW152" s="863"/>
      <c r="WJX152" s="863"/>
      <c r="WJY152" s="863"/>
      <c r="WJZ152" s="863"/>
      <c r="WKA152" s="863"/>
      <c r="WKB152" s="863"/>
      <c r="WKC152" s="863"/>
      <c r="WKD152" s="863"/>
      <c r="WKE152" s="863"/>
      <c r="WKF152" s="863"/>
      <c r="WKG152" s="883"/>
      <c r="WKH152" s="883"/>
      <c r="WKI152" s="883"/>
      <c r="WKJ152" s="883"/>
      <c r="WKK152" s="883"/>
      <c r="WKL152" s="883"/>
      <c r="WKM152" s="883"/>
      <c r="WKN152" s="883"/>
      <c r="WKO152" s="883"/>
      <c r="WKP152" s="863"/>
      <c r="WKQ152" s="863"/>
      <c r="WKR152" s="863"/>
      <c r="WKS152" s="863"/>
      <c r="WKT152" s="863"/>
      <c r="WKU152" s="863"/>
      <c r="WKV152" s="863"/>
      <c r="WKW152" s="863"/>
      <c r="WKX152" s="863"/>
      <c r="WKY152" s="863"/>
      <c r="WKZ152" s="863"/>
      <c r="WLA152" s="863"/>
      <c r="WLB152" s="863"/>
      <c r="WLC152" s="863"/>
      <c r="WLD152" s="863"/>
      <c r="WLE152" s="863"/>
      <c r="WLF152" s="863"/>
      <c r="WLG152" s="863"/>
      <c r="WLH152" s="863"/>
      <c r="WLI152" s="863"/>
      <c r="WLJ152" s="863"/>
      <c r="WLK152" s="863"/>
      <c r="WLL152" s="863"/>
      <c r="WLM152" s="883"/>
      <c r="WLN152" s="883"/>
      <c r="WLO152" s="883"/>
      <c r="WLP152" s="883"/>
      <c r="WLQ152" s="883"/>
      <c r="WLR152" s="883"/>
      <c r="WLS152" s="883"/>
      <c r="WLT152" s="883"/>
      <c r="WLU152" s="883"/>
      <c r="WLV152" s="863"/>
      <c r="WLW152" s="863"/>
      <c r="WLX152" s="863"/>
      <c r="WLY152" s="863"/>
      <c r="WLZ152" s="863"/>
      <c r="WMA152" s="863"/>
      <c r="WMB152" s="863"/>
      <c r="WMC152" s="863"/>
      <c r="WMD152" s="863"/>
      <c r="WME152" s="863"/>
      <c r="WMF152" s="863"/>
      <c r="WMG152" s="863"/>
      <c r="WMH152" s="863"/>
      <c r="WMI152" s="863"/>
      <c r="WMJ152" s="863"/>
      <c r="WMK152" s="863"/>
      <c r="WML152" s="863"/>
      <c r="WMM152" s="863"/>
      <c r="WMN152" s="863"/>
      <c r="WMO152" s="863"/>
      <c r="WMP152" s="863"/>
      <c r="WMQ152" s="863"/>
      <c r="WMR152" s="863"/>
      <c r="WMS152" s="883"/>
      <c r="WMT152" s="883"/>
      <c r="WMU152" s="883"/>
      <c r="WMV152" s="883"/>
      <c r="WMW152" s="883"/>
      <c r="WMX152" s="883"/>
      <c r="WMY152" s="883"/>
      <c r="WMZ152" s="883"/>
      <c r="WNA152" s="883"/>
      <c r="WNB152" s="863"/>
      <c r="WNC152" s="863"/>
      <c r="WND152" s="863"/>
      <c r="WNE152" s="863"/>
      <c r="WNF152" s="863"/>
      <c r="WNG152" s="863"/>
      <c r="WNH152" s="863"/>
      <c r="WNI152" s="863"/>
      <c r="WNJ152" s="863"/>
      <c r="WNK152" s="863"/>
      <c r="WNL152" s="863"/>
      <c r="WNM152" s="863"/>
      <c r="WNN152" s="863"/>
      <c r="WNO152" s="863"/>
      <c r="WNP152" s="863"/>
      <c r="WNQ152" s="863"/>
      <c r="WNR152" s="863"/>
      <c r="WNS152" s="863"/>
      <c r="WNT152" s="863"/>
      <c r="WNU152" s="863"/>
      <c r="WNV152" s="863"/>
      <c r="WNW152" s="863"/>
      <c r="WNX152" s="863"/>
      <c r="WNY152" s="883"/>
      <c r="WNZ152" s="883"/>
      <c r="WOA152" s="883"/>
      <c r="WOB152" s="883"/>
      <c r="WOC152" s="883"/>
      <c r="WOD152" s="883"/>
      <c r="WOE152" s="883"/>
      <c r="WOF152" s="883"/>
      <c r="WOG152" s="883"/>
      <c r="WOH152" s="863"/>
      <c r="WOI152" s="863"/>
      <c r="WOJ152" s="863"/>
      <c r="WOK152" s="863"/>
      <c r="WOL152" s="863"/>
      <c r="WOM152" s="863"/>
      <c r="WON152" s="863"/>
      <c r="WOO152" s="863"/>
      <c r="WOP152" s="863"/>
      <c r="WOQ152" s="863"/>
      <c r="WOR152" s="863"/>
      <c r="WOS152" s="863"/>
      <c r="WOT152" s="863"/>
      <c r="WOU152" s="863"/>
      <c r="WOV152" s="863"/>
      <c r="WOW152" s="863"/>
      <c r="WOX152" s="863"/>
      <c r="WOY152" s="863"/>
      <c r="WOZ152" s="863"/>
      <c r="WPA152" s="863"/>
      <c r="WPB152" s="863"/>
      <c r="WPC152" s="863"/>
      <c r="WPD152" s="863"/>
      <c r="WPE152" s="883"/>
      <c r="WPF152" s="883"/>
      <c r="WPG152" s="883"/>
      <c r="WPH152" s="883"/>
      <c r="WPI152" s="883"/>
      <c r="WPJ152" s="883"/>
      <c r="WPK152" s="883"/>
      <c r="WPL152" s="883"/>
      <c r="WPM152" s="883"/>
      <c r="WPN152" s="863"/>
      <c r="WPO152" s="863"/>
      <c r="WPP152" s="863"/>
      <c r="WPQ152" s="863"/>
      <c r="WPR152" s="863"/>
      <c r="WPS152" s="863"/>
      <c r="WPT152" s="863"/>
      <c r="WPU152" s="863"/>
      <c r="WPV152" s="863"/>
      <c r="WPW152" s="863"/>
      <c r="WPX152" s="863"/>
      <c r="WPY152" s="863"/>
      <c r="WPZ152" s="863"/>
      <c r="WQA152" s="863"/>
      <c r="WQB152" s="863"/>
      <c r="WQC152" s="863"/>
      <c r="WQD152" s="863"/>
      <c r="WQE152" s="863"/>
      <c r="WQF152" s="863"/>
      <c r="WQG152" s="863"/>
      <c r="WQH152" s="863"/>
      <c r="WQI152" s="863"/>
      <c r="WQJ152" s="863"/>
      <c r="WQK152" s="883"/>
      <c r="WQL152" s="883"/>
      <c r="WQM152" s="883"/>
      <c r="WQN152" s="883"/>
      <c r="WQO152" s="883"/>
      <c r="WQP152" s="883"/>
      <c r="WQQ152" s="883"/>
      <c r="WQR152" s="883"/>
      <c r="WQS152" s="883"/>
      <c r="WQT152" s="863"/>
      <c r="WQU152" s="863"/>
      <c r="WQV152" s="863"/>
      <c r="WQW152" s="863"/>
      <c r="WQX152" s="863"/>
      <c r="WQY152" s="863"/>
      <c r="WQZ152" s="863"/>
      <c r="WRA152" s="863"/>
      <c r="WRB152" s="863"/>
      <c r="WRC152" s="863"/>
      <c r="WRD152" s="863"/>
      <c r="WRE152" s="863"/>
      <c r="WRF152" s="863"/>
      <c r="WRG152" s="863"/>
      <c r="WRH152" s="863"/>
      <c r="WRI152" s="863"/>
      <c r="WRJ152" s="863"/>
      <c r="WRK152" s="863"/>
      <c r="WRL152" s="863"/>
      <c r="WRM152" s="863"/>
      <c r="WRN152" s="863"/>
      <c r="WRO152" s="863"/>
      <c r="WRP152" s="863"/>
      <c r="WRQ152" s="883"/>
      <c r="WRR152" s="883"/>
      <c r="WRS152" s="883"/>
      <c r="WRT152" s="883"/>
      <c r="WRU152" s="883"/>
      <c r="WRV152" s="883"/>
      <c r="WRW152" s="883"/>
      <c r="WRX152" s="883"/>
      <c r="WRY152" s="883"/>
      <c r="WRZ152" s="863"/>
      <c r="WSA152" s="863"/>
      <c r="WSB152" s="863"/>
      <c r="WSC152" s="863"/>
      <c r="WSD152" s="863"/>
      <c r="WSE152" s="863"/>
      <c r="WSF152" s="863"/>
      <c r="WSG152" s="863"/>
      <c r="WSH152" s="863"/>
      <c r="WSI152" s="863"/>
      <c r="WSJ152" s="863"/>
      <c r="WSK152" s="863"/>
      <c r="WSL152" s="863"/>
      <c r="WSM152" s="863"/>
      <c r="WSN152" s="863"/>
      <c r="WSO152" s="863"/>
      <c r="WSP152" s="863"/>
      <c r="WSQ152" s="863"/>
      <c r="WSR152" s="863"/>
      <c r="WSS152" s="863"/>
      <c r="WST152" s="863"/>
      <c r="WSU152" s="863"/>
      <c r="WSV152" s="863"/>
      <c r="WSW152" s="883"/>
      <c r="WSX152" s="883"/>
      <c r="WSY152" s="883"/>
      <c r="WSZ152" s="883"/>
      <c r="WTA152" s="883"/>
      <c r="WTB152" s="883"/>
      <c r="WTC152" s="883"/>
      <c r="WTD152" s="883"/>
      <c r="WTE152" s="883"/>
      <c r="WTF152" s="863"/>
      <c r="WTG152" s="863"/>
      <c r="WTH152" s="863"/>
      <c r="WTI152" s="863"/>
      <c r="WTJ152" s="863"/>
      <c r="WTK152" s="863"/>
      <c r="WTL152" s="863"/>
      <c r="WTM152" s="863"/>
      <c r="WTN152" s="863"/>
      <c r="WTO152" s="863"/>
      <c r="WTP152" s="863"/>
      <c r="WTQ152" s="863"/>
      <c r="WTR152" s="863"/>
      <c r="WTS152" s="863"/>
      <c r="WTT152" s="863"/>
      <c r="WTU152" s="863"/>
      <c r="WTV152" s="863"/>
      <c r="WTW152" s="863"/>
      <c r="WTX152" s="863"/>
      <c r="WTY152" s="863"/>
      <c r="WTZ152" s="863"/>
      <c r="WUA152" s="863"/>
      <c r="WUB152" s="863"/>
      <c r="WUC152" s="883"/>
      <c r="WUD152" s="883"/>
      <c r="WUE152" s="883"/>
      <c r="WUF152" s="883"/>
      <c r="WUG152" s="883"/>
      <c r="WUH152" s="883"/>
      <c r="WUI152" s="883"/>
      <c r="WUJ152" s="883"/>
      <c r="WUK152" s="883"/>
      <c r="WUL152" s="863"/>
      <c r="WUM152" s="863"/>
      <c r="WUN152" s="863"/>
      <c r="WUO152" s="863"/>
      <c r="WUP152" s="863"/>
      <c r="WUQ152" s="863"/>
      <c r="WUR152" s="863"/>
      <c r="WUS152" s="863"/>
      <c r="WUT152" s="863"/>
      <c r="WUU152" s="863"/>
      <c r="WUV152" s="863"/>
      <c r="WUW152" s="863"/>
      <c r="WUX152" s="863"/>
      <c r="WUY152" s="863"/>
      <c r="WUZ152" s="863"/>
      <c r="WVA152" s="863"/>
      <c r="WVB152" s="863"/>
      <c r="WVC152" s="863"/>
      <c r="WVD152" s="863"/>
      <c r="WVE152" s="863"/>
      <c r="WVF152" s="863"/>
      <c r="WVG152" s="863"/>
      <c r="WVH152" s="863"/>
      <c r="WVI152" s="883"/>
      <c r="WVJ152" s="883"/>
      <c r="WVK152" s="883"/>
      <c r="WVL152" s="883"/>
      <c r="WVM152" s="883"/>
      <c r="WVN152" s="883"/>
      <c r="WVO152" s="883"/>
      <c r="WVP152" s="883"/>
      <c r="WVQ152" s="883"/>
      <c r="WVR152" s="863"/>
      <c r="WVS152" s="863"/>
      <c r="WVT152" s="863"/>
      <c r="WVU152" s="863"/>
      <c r="WVV152" s="863"/>
      <c r="WVW152" s="863"/>
      <c r="WVX152" s="863"/>
      <c r="WVY152" s="863"/>
      <c r="WVZ152" s="863"/>
      <c r="WWA152" s="863"/>
      <c r="WWB152" s="863"/>
      <c r="WWC152" s="863"/>
      <c r="WWD152" s="863"/>
      <c r="WWE152" s="863"/>
      <c r="WWF152" s="863"/>
      <c r="WWG152" s="863"/>
      <c r="WWH152" s="863"/>
      <c r="WWI152" s="863"/>
      <c r="WWJ152" s="863"/>
      <c r="WWK152" s="863"/>
      <c r="WWL152" s="863"/>
      <c r="WWM152" s="863"/>
      <c r="WWN152" s="863"/>
      <c r="WWO152" s="883"/>
      <c r="WWP152" s="883"/>
      <c r="WWQ152" s="883"/>
      <c r="WWR152" s="883"/>
      <c r="WWS152" s="883"/>
      <c r="WWT152" s="883"/>
      <c r="WWU152" s="883"/>
      <c r="WWV152" s="883"/>
      <c r="WWW152" s="883"/>
      <c r="WWX152" s="863"/>
      <c r="WWY152" s="863"/>
      <c r="WWZ152" s="863"/>
      <c r="WXA152" s="863"/>
      <c r="WXB152" s="863"/>
      <c r="WXC152" s="863"/>
      <c r="WXD152" s="863"/>
      <c r="WXE152" s="863"/>
      <c r="WXF152" s="863"/>
      <c r="WXG152" s="863"/>
      <c r="WXH152" s="863"/>
      <c r="WXI152" s="863"/>
      <c r="WXJ152" s="863"/>
      <c r="WXK152" s="863"/>
      <c r="WXL152" s="863"/>
      <c r="WXM152" s="863"/>
      <c r="WXN152" s="863"/>
      <c r="WXO152" s="863"/>
      <c r="WXP152" s="863"/>
      <c r="WXQ152" s="863"/>
      <c r="WXR152" s="863"/>
      <c r="WXS152" s="863"/>
      <c r="WXT152" s="863"/>
      <c r="WXU152" s="883"/>
      <c r="WXV152" s="883"/>
      <c r="WXW152" s="883"/>
      <c r="WXX152" s="883"/>
      <c r="WXY152" s="883"/>
      <c r="WXZ152" s="883"/>
      <c r="WYA152" s="883"/>
      <c r="WYB152" s="883"/>
      <c r="WYC152" s="883"/>
      <c r="WYD152" s="863"/>
      <c r="WYE152" s="863"/>
      <c r="WYF152" s="863"/>
      <c r="WYG152" s="863"/>
      <c r="WYH152" s="863"/>
      <c r="WYI152" s="863"/>
      <c r="WYJ152" s="863"/>
      <c r="WYK152" s="863"/>
      <c r="WYL152" s="863"/>
      <c r="WYM152" s="863"/>
      <c r="WYN152" s="863"/>
      <c r="WYO152" s="863"/>
      <c r="WYP152" s="863"/>
      <c r="WYQ152" s="863"/>
      <c r="WYR152" s="863"/>
      <c r="WYS152" s="863"/>
      <c r="WYT152" s="863"/>
      <c r="WYU152" s="863"/>
      <c r="WYV152" s="863"/>
      <c r="WYW152" s="863"/>
      <c r="WYX152" s="863"/>
      <c r="WYY152" s="863"/>
      <c r="WYZ152" s="863"/>
      <c r="WZA152" s="883"/>
      <c r="WZB152" s="883"/>
      <c r="WZC152" s="883"/>
      <c r="WZD152" s="883"/>
      <c r="WZE152" s="883"/>
      <c r="WZF152" s="883"/>
      <c r="WZG152" s="883"/>
      <c r="WZH152" s="883"/>
      <c r="WZI152" s="883"/>
      <c r="WZJ152" s="863"/>
      <c r="WZK152" s="863"/>
      <c r="WZL152" s="863"/>
      <c r="WZM152" s="863"/>
      <c r="WZN152" s="863"/>
      <c r="WZO152" s="863"/>
      <c r="WZP152" s="863"/>
      <c r="WZQ152" s="863"/>
      <c r="WZR152" s="863"/>
      <c r="WZS152" s="863"/>
      <c r="WZT152" s="863"/>
      <c r="WZU152" s="863"/>
      <c r="WZV152" s="863"/>
      <c r="WZW152" s="863"/>
      <c r="WZX152" s="863"/>
      <c r="WZY152" s="863"/>
      <c r="WZZ152" s="863"/>
      <c r="XAA152" s="863"/>
      <c r="XAB152" s="863"/>
      <c r="XAC152" s="863"/>
      <c r="XAD152" s="863"/>
      <c r="XAE152" s="863"/>
      <c r="XAF152" s="863"/>
      <c r="XAG152" s="883"/>
      <c r="XAH152" s="883"/>
      <c r="XAI152" s="883"/>
      <c r="XAJ152" s="883"/>
      <c r="XAK152" s="883"/>
      <c r="XAL152" s="883"/>
      <c r="XAM152" s="883"/>
      <c r="XAN152" s="883"/>
      <c r="XAO152" s="883"/>
      <c r="XAP152" s="863"/>
      <c r="XAQ152" s="863"/>
      <c r="XAR152" s="863"/>
      <c r="XAS152" s="863"/>
      <c r="XAT152" s="863"/>
      <c r="XAU152" s="863"/>
      <c r="XAV152" s="863"/>
      <c r="XAW152" s="863"/>
      <c r="XAX152" s="863"/>
      <c r="XAY152" s="863"/>
      <c r="XAZ152" s="863"/>
      <c r="XBA152" s="863"/>
      <c r="XBB152" s="863"/>
      <c r="XBC152" s="863"/>
      <c r="XBD152" s="863"/>
      <c r="XBE152" s="863"/>
      <c r="XBF152" s="863"/>
      <c r="XBG152" s="863"/>
      <c r="XBH152" s="863"/>
      <c r="XBI152" s="863"/>
      <c r="XBJ152" s="863"/>
      <c r="XBK152" s="863"/>
      <c r="XBL152" s="863"/>
      <c r="XBM152" s="883"/>
      <c r="XBN152" s="883"/>
      <c r="XBO152" s="883"/>
      <c r="XBP152" s="883"/>
      <c r="XBQ152" s="883"/>
      <c r="XBR152" s="883"/>
      <c r="XBS152" s="883"/>
      <c r="XBT152" s="883"/>
      <c r="XBU152" s="883"/>
      <c r="XBV152" s="863"/>
      <c r="XBW152" s="863"/>
      <c r="XBX152" s="863"/>
      <c r="XBY152" s="863"/>
      <c r="XBZ152" s="863"/>
      <c r="XCA152" s="863"/>
      <c r="XCB152" s="863"/>
      <c r="XCC152" s="863"/>
      <c r="XCD152" s="863"/>
      <c r="XCE152" s="863"/>
      <c r="XCF152" s="863"/>
      <c r="XCG152" s="863"/>
      <c r="XCH152" s="863"/>
      <c r="XCI152" s="863"/>
      <c r="XCJ152" s="863"/>
      <c r="XCK152" s="863"/>
      <c r="XCL152" s="863"/>
      <c r="XCM152" s="863"/>
      <c r="XCN152" s="863"/>
      <c r="XCO152" s="863"/>
      <c r="XCP152" s="863"/>
      <c r="XCQ152" s="863"/>
      <c r="XCR152" s="863"/>
      <c r="XCS152" s="883"/>
      <c r="XCT152" s="883"/>
      <c r="XCU152" s="883"/>
      <c r="XCV152" s="883"/>
      <c r="XCW152" s="883"/>
      <c r="XCX152" s="883"/>
      <c r="XCY152" s="883"/>
      <c r="XCZ152" s="883"/>
      <c r="XDA152" s="883"/>
      <c r="XDB152" s="863"/>
      <c r="XDC152" s="863"/>
      <c r="XDD152" s="863"/>
      <c r="XDE152" s="863"/>
      <c r="XDF152" s="863"/>
      <c r="XDG152" s="863"/>
      <c r="XDH152" s="863"/>
      <c r="XDI152" s="863"/>
      <c r="XDJ152" s="863"/>
      <c r="XDK152" s="863"/>
      <c r="XDL152" s="863"/>
      <c r="XDM152" s="863"/>
      <c r="XDN152" s="863"/>
      <c r="XDO152" s="863"/>
      <c r="XDP152" s="863"/>
      <c r="XDQ152" s="863"/>
      <c r="XDR152" s="863"/>
      <c r="XDS152" s="863"/>
      <c r="XDT152" s="863"/>
      <c r="XDU152" s="863"/>
      <c r="XDV152" s="863"/>
      <c r="XDW152" s="863"/>
      <c r="XDX152" s="863"/>
      <c r="XDY152" s="883"/>
      <c r="XDZ152" s="883"/>
      <c r="XEA152" s="883"/>
      <c r="XEB152" s="883"/>
      <c r="XEC152" s="883"/>
      <c r="XED152" s="883"/>
      <c r="XEE152" s="883"/>
      <c r="XEF152" s="883"/>
      <c r="XEG152" s="883"/>
      <c r="XEH152" s="863"/>
      <c r="XEI152" s="863"/>
      <c r="XEJ152" s="863"/>
      <c r="XEK152" s="863"/>
      <c r="XEL152" s="863"/>
      <c r="XEM152" s="863"/>
      <c r="XEN152" s="863"/>
      <c r="XEO152" s="863"/>
      <c r="XEP152" s="863"/>
      <c r="XEQ152" s="863"/>
      <c r="XER152" s="863"/>
      <c r="XES152" s="863"/>
      <c r="XET152" s="863"/>
      <c r="XEU152" s="863"/>
      <c r="XEV152" s="863"/>
      <c r="XEW152" s="863"/>
      <c r="XEX152" s="863"/>
      <c r="XEY152" s="863"/>
      <c r="XEZ152" s="863"/>
      <c r="XFA152" s="863"/>
      <c r="XFB152" s="863"/>
      <c r="XFC152" s="863"/>
      <c r="XFD152" s="863"/>
    </row>
    <row r="154" spans="1:16384" ht="53.25" customHeight="1" x14ac:dyDescent="0.3">
      <c r="A154" s="883" t="s">
        <v>2475</v>
      </c>
      <c r="B154" s="883"/>
      <c r="C154" s="883"/>
      <c r="D154" s="883"/>
      <c r="E154" s="883"/>
      <c r="F154" s="883"/>
      <c r="G154" s="883"/>
      <c r="H154" s="883"/>
      <c r="I154" s="883"/>
      <c r="J154" s="863" t="s">
        <v>2476</v>
      </c>
      <c r="K154" s="863"/>
      <c r="L154" s="863"/>
      <c r="M154" s="863"/>
      <c r="N154" s="863"/>
      <c r="O154" s="863"/>
      <c r="P154" s="863"/>
      <c r="Q154" s="863"/>
      <c r="R154" s="863"/>
      <c r="S154" s="863"/>
      <c r="T154" s="863"/>
      <c r="U154" s="863"/>
      <c r="V154" s="863"/>
      <c r="W154" s="863"/>
      <c r="X154" s="863"/>
      <c r="Y154" s="863"/>
      <c r="Z154" s="863"/>
      <c r="AA154" s="863"/>
      <c r="AB154" s="863"/>
      <c r="AC154" s="863"/>
      <c r="AD154" s="863"/>
      <c r="AE154" s="863"/>
      <c r="AF154" s="863"/>
    </row>
    <row r="156" spans="1:16384" ht="73.5" customHeight="1" x14ac:dyDescent="0.3">
      <c r="A156" s="883" t="s">
        <v>2477</v>
      </c>
      <c r="B156" s="883"/>
      <c r="C156" s="883"/>
      <c r="D156" s="883"/>
      <c r="E156" s="883"/>
      <c r="F156" s="883"/>
      <c r="G156" s="883"/>
      <c r="H156" s="883"/>
      <c r="I156" s="883"/>
      <c r="J156" s="863" t="s">
        <v>2478</v>
      </c>
      <c r="K156" s="863"/>
      <c r="L156" s="863"/>
      <c r="M156" s="863"/>
      <c r="N156" s="863"/>
      <c r="O156" s="863"/>
      <c r="P156" s="863"/>
      <c r="Q156" s="863"/>
      <c r="R156" s="863"/>
      <c r="S156" s="863"/>
      <c r="T156" s="863"/>
      <c r="U156" s="863"/>
      <c r="V156" s="863"/>
      <c r="W156" s="863"/>
      <c r="X156" s="863"/>
      <c r="Y156" s="863"/>
      <c r="Z156" s="863"/>
      <c r="AA156" s="863"/>
      <c r="AB156" s="863"/>
      <c r="AC156" s="863"/>
      <c r="AD156" s="863"/>
      <c r="AE156" s="863"/>
      <c r="AF156" s="863"/>
    </row>
    <row r="158" spans="1:16384" ht="51" customHeight="1" x14ac:dyDescent="0.3">
      <c r="A158" s="883" t="s">
        <v>2479</v>
      </c>
      <c r="B158" s="883"/>
      <c r="C158" s="883"/>
      <c r="D158" s="883"/>
      <c r="E158" s="883"/>
      <c r="F158" s="883"/>
      <c r="G158" s="883"/>
      <c r="H158" s="883"/>
      <c r="I158" s="883"/>
      <c r="J158" s="863" t="s">
        <v>823</v>
      </c>
      <c r="K158" s="863"/>
      <c r="L158" s="863"/>
      <c r="M158" s="863"/>
      <c r="N158" s="863"/>
      <c r="O158" s="863"/>
      <c r="P158" s="863"/>
      <c r="Q158" s="863"/>
      <c r="R158" s="863"/>
      <c r="S158" s="863"/>
      <c r="T158" s="863"/>
      <c r="U158" s="863"/>
      <c r="V158" s="863"/>
      <c r="W158" s="863"/>
      <c r="X158" s="863"/>
      <c r="Y158" s="863"/>
      <c r="Z158" s="863"/>
      <c r="AA158" s="863"/>
      <c r="AB158" s="863"/>
      <c r="AC158" s="863"/>
      <c r="AD158" s="863"/>
      <c r="AE158" s="863"/>
      <c r="AF158" s="863"/>
    </row>
    <row r="160" spans="1:16384" ht="69" customHeight="1" x14ac:dyDescent="0.3">
      <c r="A160" s="883" t="s">
        <v>2480</v>
      </c>
      <c r="B160" s="883"/>
      <c r="C160" s="883"/>
      <c r="D160" s="883"/>
      <c r="E160" s="883"/>
      <c r="F160" s="883"/>
      <c r="G160" s="883"/>
      <c r="H160" s="883"/>
      <c r="I160" s="883"/>
      <c r="J160" s="863" t="s">
        <v>824</v>
      </c>
      <c r="K160" s="863"/>
      <c r="L160" s="863"/>
      <c r="M160" s="863"/>
      <c r="N160" s="863"/>
      <c r="O160" s="863"/>
      <c r="P160" s="863"/>
      <c r="Q160" s="863"/>
      <c r="R160" s="863"/>
      <c r="S160" s="863"/>
      <c r="T160" s="863"/>
      <c r="U160" s="863"/>
      <c r="V160" s="863"/>
      <c r="W160" s="863"/>
      <c r="X160" s="863"/>
      <c r="Y160" s="863"/>
      <c r="Z160" s="863"/>
      <c r="AA160" s="863"/>
      <c r="AB160" s="863"/>
      <c r="AC160" s="863"/>
      <c r="AD160" s="863"/>
      <c r="AE160" s="863"/>
      <c r="AF160" s="863"/>
    </row>
    <row r="162" spans="1:32" x14ac:dyDescent="0.3">
      <c r="A162" s="883"/>
      <c r="B162" s="883"/>
      <c r="C162" s="883"/>
      <c r="D162" s="883"/>
      <c r="E162" s="883"/>
      <c r="F162" s="883"/>
      <c r="G162" s="883"/>
      <c r="H162" s="883"/>
      <c r="I162" s="883"/>
      <c r="J162" s="863"/>
      <c r="K162" s="863"/>
      <c r="L162" s="863"/>
      <c r="M162" s="863"/>
      <c r="N162" s="863"/>
      <c r="O162" s="863"/>
      <c r="P162" s="863"/>
      <c r="Q162" s="863"/>
      <c r="R162" s="863"/>
      <c r="S162" s="863"/>
      <c r="T162" s="863"/>
      <c r="U162" s="863"/>
      <c r="V162" s="863"/>
      <c r="W162" s="863"/>
      <c r="X162" s="863"/>
      <c r="Y162" s="863"/>
      <c r="Z162" s="863"/>
      <c r="AA162" s="863"/>
      <c r="AB162" s="863"/>
      <c r="AC162" s="863"/>
      <c r="AD162" s="863"/>
      <c r="AE162" s="863"/>
      <c r="AF162" s="863"/>
    </row>
    <row r="164" spans="1:32" x14ac:dyDescent="0.3">
      <c r="A164" s="883"/>
      <c r="B164" s="883"/>
      <c r="C164" s="883"/>
      <c r="D164" s="883"/>
      <c r="E164" s="883"/>
      <c r="F164" s="883"/>
      <c r="G164" s="883"/>
      <c r="H164" s="883"/>
      <c r="I164" s="883"/>
      <c r="J164" s="863"/>
      <c r="K164" s="863"/>
      <c r="L164" s="863"/>
      <c r="M164" s="863"/>
      <c r="N164" s="863"/>
      <c r="O164" s="863"/>
      <c r="P164" s="863"/>
      <c r="Q164" s="863"/>
      <c r="R164" s="863"/>
      <c r="S164" s="863"/>
      <c r="T164" s="863"/>
      <c r="U164" s="863"/>
      <c r="V164" s="863"/>
      <c r="W164" s="863"/>
      <c r="X164" s="863"/>
      <c r="Y164" s="863"/>
      <c r="Z164" s="863"/>
      <c r="AA164" s="863"/>
      <c r="AB164" s="863"/>
      <c r="AC164" s="863"/>
      <c r="AD164" s="863"/>
      <c r="AE164" s="863"/>
      <c r="AF164" s="863"/>
    </row>
    <row r="166" spans="1:32" x14ac:dyDescent="0.3">
      <c r="A166" s="883"/>
      <c r="B166" s="883"/>
      <c r="C166" s="883"/>
      <c r="D166" s="883"/>
      <c r="E166" s="883"/>
      <c r="F166" s="883"/>
      <c r="G166" s="883"/>
      <c r="H166" s="883"/>
      <c r="I166" s="883"/>
      <c r="J166" s="863"/>
      <c r="K166" s="863"/>
      <c r="L166" s="863"/>
      <c r="M166" s="863"/>
      <c r="N166" s="863"/>
      <c r="O166" s="863"/>
      <c r="P166" s="863"/>
      <c r="Q166" s="863"/>
      <c r="R166" s="863"/>
      <c r="S166" s="863"/>
      <c r="T166" s="863"/>
      <c r="U166" s="863"/>
      <c r="V166" s="863"/>
      <c r="W166" s="863"/>
      <c r="X166" s="863"/>
      <c r="Y166" s="863"/>
      <c r="Z166" s="863"/>
      <c r="AA166" s="863"/>
      <c r="AB166" s="863"/>
      <c r="AC166" s="863"/>
      <c r="AD166" s="863"/>
      <c r="AE166" s="863"/>
      <c r="AF166" s="863"/>
    </row>
    <row r="168" spans="1:32" x14ac:dyDescent="0.3">
      <c r="A168" s="883"/>
      <c r="B168" s="883"/>
      <c r="C168" s="883"/>
      <c r="D168" s="883"/>
      <c r="E168" s="883"/>
      <c r="F168" s="883"/>
      <c r="G168" s="883"/>
      <c r="H168" s="883"/>
      <c r="I168" s="88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row>
  </sheetData>
  <sheetProtection algorithmName="SHA-512" hashValue="17ntxNusaEFeplY+xGumPeIDw5i+djKQur1pC18pkogufmQvwit9dwe9u5VeIJGRsHDJk1jscd3kmX3axLk3Cg==" saltValue="PeXLW1AqXd60GfTbjNJi0Q==" spinCount="100000" sheet="1" objects="1" scenarios="1"/>
  <mergeCells count="4262">
    <mergeCell ref="A3:AF3"/>
    <mergeCell ref="B5:AF5"/>
    <mergeCell ref="A7:I7"/>
    <mergeCell ref="J7:AF7"/>
    <mergeCell ref="J17:AF17"/>
    <mergeCell ref="J19:AF19"/>
    <mergeCell ref="J21:AF21"/>
    <mergeCell ref="J25:AF25"/>
    <mergeCell ref="J27:AF27"/>
    <mergeCell ref="A1:AF1"/>
    <mergeCell ref="A29:I29"/>
    <mergeCell ref="A9:I9"/>
    <mergeCell ref="A11:I11"/>
    <mergeCell ref="A13:I13"/>
    <mergeCell ref="A15:I15"/>
    <mergeCell ref="A17:I17"/>
    <mergeCell ref="A19:I19"/>
    <mergeCell ref="A21:I21"/>
    <mergeCell ref="A25:I25"/>
    <mergeCell ref="J29:AF29"/>
    <mergeCell ref="A27:I27"/>
    <mergeCell ref="J9:AF9"/>
    <mergeCell ref="J11:AF11"/>
    <mergeCell ref="J13:AF13"/>
    <mergeCell ref="J15:AF15"/>
    <mergeCell ref="A23:I23"/>
    <mergeCell ref="J23:AF23"/>
    <mergeCell ref="DY40:EG40"/>
    <mergeCell ref="EH40:FD40"/>
    <mergeCell ref="FE40:FM40"/>
    <mergeCell ref="FN40:GJ40"/>
    <mergeCell ref="AG40:AO40"/>
    <mergeCell ref="AP40:BL40"/>
    <mergeCell ref="BM40:BU40"/>
    <mergeCell ref="BV40:CR40"/>
    <mergeCell ref="CS40:DA40"/>
    <mergeCell ref="A37:I37"/>
    <mergeCell ref="J37:AF37"/>
    <mergeCell ref="A38:I38"/>
    <mergeCell ref="J38:AF38"/>
    <mergeCell ref="A40:I40"/>
    <mergeCell ref="J40:AF40"/>
    <mergeCell ref="A39:I39"/>
    <mergeCell ref="J39:AF39"/>
    <mergeCell ref="A31:I31"/>
    <mergeCell ref="J31:AF31"/>
    <mergeCell ref="A33:I33"/>
    <mergeCell ref="J33:AF33"/>
    <mergeCell ref="A35:I35"/>
    <mergeCell ref="J35:AF35"/>
    <mergeCell ref="SS40:TA40"/>
    <mergeCell ref="TB40:TX40"/>
    <mergeCell ref="TY40:UG40"/>
    <mergeCell ref="UH40:VD40"/>
    <mergeCell ref="VE40:VM40"/>
    <mergeCell ref="PJ40:QF40"/>
    <mergeCell ref="QG40:QO40"/>
    <mergeCell ref="QP40:RL40"/>
    <mergeCell ref="RM40:RU40"/>
    <mergeCell ref="RV40:SR40"/>
    <mergeCell ref="MO40:MW40"/>
    <mergeCell ref="MX40:NT40"/>
    <mergeCell ref="NU40:OC40"/>
    <mergeCell ref="OD40:OZ40"/>
    <mergeCell ref="PA40:PI40"/>
    <mergeCell ref="JF40:KB40"/>
    <mergeCell ref="KC40:KK40"/>
    <mergeCell ref="KL40:LH40"/>
    <mergeCell ref="LI40:LQ40"/>
    <mergeCell ref="LR40:MN40"/>
    <mergeCell ref="GK40:GS40"/>
    <mergeCell ref="GT40:HP40"/>
    <mergeCell ref="HQ40:HY40"/>
    <mergeCell ref="HZ40:IV40"/>
    <mergeCell ref="IW40:JE40"/>
    <mergeCell ref="DB40:DX40"/>
    <mergeCell ref="AFA40:AFI40"/>
    <mergeCell ref="AFJ40:AGF40"/>
    <mergeCell ref="AGG40:AGO40"/>
    <mergeCell ref="AGP40:AHL40"/>
    <mergeCell ref="AHM40:AHU40"/>
    <mergeCell ref="ABR40:ACN40"/>
    <mergeCell ref="ACO40:ACW40"/>
    <mergeCell ref="ACX40:ADT40"/>
    <mergeCell ref="ADU40:AEC40"/>
    <mergeCell ref="AED40:AEZ40"/>
    <mergeCell ref="YW40:ZE40"/>
    <mergeCell ref="ZF40:AAB40"/>
    <mergeCell ref="AAC40:AAK40"/>
    <mergeCell ref="AAL40:ABH40"/>
    <mergeCell ref="ABI40:ABQ40"/>
    <mergeCell ref="VN40:WJ40"/>
    <mergeCell ref="WK40:WS40"/>
    <mergeCell ref="WT40:XP40"/>
    <mergeCell ref="XQ40:XY40"/>
    <mergeCell ref="XZ40:YV40"/>
    <mergeCell ref="ARI40:ARQ40"/>
    <mergeCell ref="ARR40:ASN40"/>
    <mergeCell ref="ASO40:ASW40"/>
    <mergeCell ref="ASX40:ATT40"/>
    <mergeCell ref="ATU40:AUC40"/>
    <mergeCell ref="ANZ40:AOV40"/>
    <mergeCell ref="AOW40:APE40"/>
    <mergeCell ref="APF40:AQB40"/>
    <mergeCell ref="AQC40:AQK40"/>
    <mergeCell ref="AQL40:ARH40"/>
    <mergeCell ref="ALE40:ALM40"/>
    <mergeCell ref="ALN40:AMJ40"/>
    <mergeCell ref="AMK40:AMS40"/>
    <mergeCell ref="AMT40:ANP40"/>
    <mergeCell ref="ANQ40:ANY40"/>
    <mergeCell ref="AHV40:AIR40"/>
    <mergeCell ref="AIS40:AJA40"/>
    <mergeCell ref="AJB40:AJX40"/>
    <mergeCell ref="AJY40:AKG40"/>
    <mergeCell ref="AKH40:ALD40"/>
    <mergeCell ref="BDQ40:BDY40"/>
    <mergeCell ref="BDZ40:BEV40"/>
    <mergeCell ref="BEW40:BFE40"/>
    <mergeCell ref="BFF40:BGB40"/>
    <mergeCell ref="BGC40:BGK40"/>
    <mergeCell ref="BAH40:BBD40"/>
    <mergeCell ref="BBE40:BBM40"/>
    <mergeCell ref="BBN40:BCJ40"/>
    <mergeCell ref="BCK40:BCS40"/>
    <mergeCell ref="BCT40:BDP40"/>
    <mergeCell ref="AXM40:AXU40"/>
    <mergeCell ref="AXV40:AYR40"/>
    <mergeCell ref="AYS40:AZA40"/>
    <mergeCell ref="AZB40:AZX40"/>
    <mergeCell ref="AZY40:BAG40"/>
    <mergeCell ref="AUD40:AUZ40"/>
    <mergeCell ref="AVA40:AVI40"/>
    <mergeCell ref="AVJ40:AWF40"/>
    <mergeCell ref="AWG40:AWO40"/>
    <mergeCell ref="AWP40:AXL40"/>
    <mergeCell ref="BPY40:BQG40"/>
    <mergeCell ref="BQH40:BRD40"/>
    <mergeCell ref="BRE40:BRM40"/>
    <mergeCell ref="BRN40:BSJ40"/>
    <mergeCell ref="BSK40:BSS40"/>
    <mergeCell ref="BMP40:BNL40"/>
    <mergeCell ref="BNM40:BNU40"/>
    <mergeCell ref="BNV40:BOR40"/>
    <mergeCell ref="BOS40:BPA40"/>
    <mergeCell ref="BPB40:BPX40"/>
    <mergeCell ref="BJU40:BKC40"/>
    <mergeCell ref="BKD40:BKZ40"/>
    <mergeCell ref="BLA40:BLI40"/>
    <mergeCell ref="BLJ40:BMF40"/>
    <mergeCell ref="BMG40:BMO40"/>
    <mergeCell ref="BGL40:BHH40"/>
    <mergeCell ref="BHI40:BHQ40"/>
    <mergeCell ref="BHR40:BIN40"/>
    <mergeCell ref="BIO40:BIW40"/>
    <mergeCell ref="BIX40:BJT40"/>
    <mergeCell ref="CCG40:CCO40"/>
    <mergeCell ref="CCP40:CDL40"/>
    <mergeCell ref="CDM40:CDU40"/>
    <mergeCell ref="CDV40:CER40"/>
    <mergeCell ref="CES40:CFA40"/>
    <mergeCell ref="BYX40:BZT40"/>
    <mergeCell ref="BZU40:CAC40"/>
    <mergeCell ref="CAD40:CAZ40"/>
    <mergeCell ref="CBA40:CBI40"/>
    <mergeCell ref="CBJ40:CCF40"/>
    <mergeCell ref="BWC40:BWK40"/>
    <mergeCell ref="BWL40:BXH40"/>
    <mergeCell ref="BXI40:BXQ40"/>
    <mergeCell ref="BXR40:BYN40"/>
    <mergeCell ref="BYO40:BYW40"/>
    <mergeCell ref="BST40:BTP40"/>
    <mergeCell ref="BTQ40:BTY40"/>
    <mergeCell ref="BTZ40:BUV40"/>
    <mergeCell ref="BUW40:BVE40"/>
    <mergeCell ref="BVF40:BWB40"/>
    <mergeCell ref="COO40:COW40"/>
    <mergeCell ref="COX40:CPT40"/>
    <mergeCell ref="CPU40:CQC40"/>
    <mergeCell ref="CQD40:CQZ40"/>
    <mergeCell ref="CRA40:CRI40"/>
    <mergeCell ref="CLF40:CMB40"/>
    <mergeCell ref="CMC40:CMK40"/>
    <mergeCell ref="CML40:CNH40"/>
    <mergeCell ref="CNI40:CNQ40"/>
    <mergeCell ref="CNR40:CON40"/>
    <mergeCell ref="CIK40:CIS40"/>
    <mergeCell ref="CIT40:CJP40"/>
    <mergeCell ref="CJQ40:CJY40"/>
    <mergeCell ref="CJZ40:CKV40"/>
    <mergeCell ref="CKW40:CLE40"/>
    <mergeCell ref="CFB40:CFX40"/>
    <mergeCell ref="CFY40:CGG40"/>
    <mergeCell ref="CGH40:CHD40"/>
    <mergeCell ref="CHE40:CHM40"/>
    <mergeCell ref="CHN40:CIJ40"/>
    <mergeCell ref="DAW40:DBE40"/>
    <mergeCell ref="DBF40:DCB40"/>
    <mergeCell ref="DCC40:DCK40"/>
    <mergeCell ref="DCL40:DDH40"/>
    <mergeCell ref="DDI40:DDQ40"/>
    <mergeCell ref="CXN40:CYJ40"/>
    <mergeCell ref="CYK40:CYS40"/>
    <mergeCell ref="CYT40:CZP40"/>
    <mergeCell ref="CZQ40:CZY40"/>
    <mergeCell ref="CZZ40:DAV40"/>
    <mergeCell ref="CUS40:CVA40"/>
    <mergeCell ref="CVB40:CVX40"/>
    <mergeCell ref="CVY40:CWG40"/>
    <mergeCell ref="CWH40:CXD40"/>
    <mergeCell ref="CXE40:CXM40"/>
    <mergeCell ref="CRJ40:CSF40"/>
    <mergeCell ref="CSG40:CSO40"/>
    <mergeCell ref="CSP40:CTL40"/>
    <mergeCell ref="CTM40:CTU40"/>
    <mergeCell ref="CTV40:CUR40"/>
    <mergeCell ref="DNE40:DNM40"/>
    <mergeCell ref="DNN40:DOJ40"/>
    <mergeCell ref="DOK40:DOS40"/>
    <mergeCell ref="DOT40:DPP40"/>
    <mergeCell ref="DPQ40:DPY40"/>
    <mergeCell ref="DJV40:DKR40"/>
    <mergeCell ref="DKS40:DLA40"/>
    <mergeCell ref="DLB40:DLX40"/>
    <mergeCell ref="DLY40:DMG40"/>
    <mergeCell ref="DMH40:DND40"/>
    <mergeCell ref="DHA40:DHI40"/>
    <mergeCell ref="DHJ40:DIF40"/>
    <mergeCell ref="DIG40:DIO40"/>
    <mergeCell ref="DIP40:DJL40"/>
    <mergeCell ref="DJM40:DJU40"/>
    <mergeCell ref="DDR40:DEN40"/>
    <mergeCell ref="DEO40:DEW40"/>
    <mergeCell ref="DEX40:DFT40"/>
    <mergeCell ref="DFU40:DGC40"/>
    <mergeCell ref="DGD40:DGZ40"/>
    <mergeCell ref="DZM40:DZU40"/>
    <mergeCell ref="DZV40:EAR40"/>
    <mergeCell ref="EAS40:EBA40"/>
    <mergeCell ref="EBB40:EBX40"/>
    <mergeCell ref="EBY40:ECG40"/>
    <mergeCell ref="DWD40:DWZ40"/>
    <mergeCell ref="DXA40:DXI40"/>
    <mergeCell ref="DXJ40:DYF40"/>
    <mergeCell ref="DYG40:DYO40"/>
    <mergeCell ref="DYP40:DZL40"/>
    <mergeCell ref="DTI40:DTQ40"/>
    <mergeCell ref="DTR40:DUN40"/>
    <mergeCell ref="DUO40:DUW40"/>
    <mergeCell ref="DUX40:DVT40"/>
    <mergeCell ref="DVU40:DWC40"/>
    <mergeCell ref="DPZ40:DQV40"/>
    <mergeCell ref="DQW40:DRE40"/>
    <mergeCell ref="DRF40:DSB40"/>
    <mergeCell ref="DSC40:DSK40"/>
    <mergeCell ref="DSL40:DTH40"/>
    <mergeCell ref="ELU40:EMC40"/>
    <mergeCell ref="EMD40:EMZ40"/>
    <mergeCell ref="ENA40:ENI40"/>
    <mergeCell ref="ENJ40:EOF40"/>
    <mergeCell ref="EOG40:EOO40"/>
    <mergeCell ref="EIL40:EJH40"/>
    <mergeCell ref="EJI40:EJQ40"/>
    <mergeCell ref="EJR40:EKN40"/>
    <mergeCell ref="EKO40:EKW40"/>
    <mergeCell ref="EKX40:ELT40"/>
    <mergeCell ref="EFQ40:EFY40"/>
    <mergeCell ref="EFZ40:EGV40"/>
    <mergeCell ref="EGW40:EHE40"/>
    <mergeCell ref="EHF40:EIB40"/>
    <mergeCell ref="EIC40:EIK40"/>
    <mergeCell ref="ECH40:EDD40"/>
    <mergeCell ref="EDE40:EDM40"/>
    <mergeCell ref="EDN40:EEJ40"/>
    <mergeCell ref="EEK40:EES40"/>
    <mergeCell ref="EET40:EFP40"/>
    <mergeCell ref="EYC40:EYK40"/>
    <mergeCell ref="EYL40:EZH40"/>
    <mergeCell ref="EZI40:EZQ40"/>
    <mergeCell ref="EZR40:FAN40"/>
    <mergeCell ref="FAO40:FAW40"/>
    <mergeCell ref="EUT40:EVP40"/>
    <mergeCell ref="EVQ40:EVY40"/>
    <mergeCell ref="EVZ40:EWV40"/>
    <mergeCell ref="EWW40:EXE40"/>
    <mergeCell ref="EXF40:EYB40"/>
    <mergeCell ref="ERY40:ESG40"/>
    <mergeCell ref="ESH40:ETD40"/>
    <mergeCell ref="ETE40:ETM40"/>
    <mergeCell ref="ETN40:EUJ40"/>
    <mergeCell ref="EUK40:EUS40"/>
    <mergeCell ref="EOP40:EPL40"/>
    <mergeCell ref="EPM40:EPU40"/>
    <mergeCell ref="EPV40:EQR40"/>
    <mergeCell ref="EQS40:ERA40"/>
    <mergeCell ref="ERB40:ERX40"/>
    <mergeCell ref="FKK40:FKS40"/>
    <mergeCell ref="FKT40:FLP40"/>
    <mergeCell ref="FLQ40:FLY40"/>
    <mergeCell ref="FLZ40:FMV40"/>
    <mergeCell ref="FMW40:FNE40"/>
    <mergeCell ref="FHB40:FHX40"/>
    <mergeCell ref="FHY40:FIG40"/>
    <mergeCell ref="FIH40:FJD40"/>
    <mergeCell ref="FJE40:FJM40"/>
    <mergeCell ref="FJN40:FKJ40"/>
    <mergeCell ref="FEG40:FEO40"/>
    <mergeCell ref="FEP40:FFL40"/>
    <mergeCell ref="FFM40:FFU40"/>
    <mergeCell ref="FFV40:FGR40"/>
    <mergeCell ref="FGS40:FHA40"/>
    <mergeCell ref="FAX40:FBT40"/>
    <mergeCell ref="FBU40:FCC40"/>
    <mergeCell ref="FCD40:FCZ40"/>
    <mergeCell ref="FDA40:FDI40"/>
    <mergeCell ref="FDJ40:FEF40"/>
    <mergeCell ref="FWS40:FXA40"/>
    <mergeCell ref="FXB40:FXX40"/>
    <mergeCell ref="FXY40:FYG40"/>
    <mergeCell ref="FYH40:FZD40"/>
    <mergeCell ref="FZE40:FZM40"/>
    <mergeCell ref="FTJ40:FUF40"/>
    <mergeCell ref="FUG40:FUO40"/>
    <mergeCell ref="FUP40:FVL40"/>
    <mergeCell ref="FVM40:FVU40"/>
    <mergeCell ref="FVV40:FWR40"/>
    <mergeCell ref="FQO40:FQW40"/>
    <mergeCell ref="FQX40:FRT40"/>
    <mergeCell ref="FRU40:FSC40"/>
    <mergeCell ref="FSD40:FSZ40"/>
    <mergeCell ref="FTA40:FTI40"/>
    <mergeCell ref="FNF40:FOB40"/>
    <mergeCell ref="FOC40:FOK40"/>
    <mergeCell ref="FOL40:FPH40"/>
    <mergeCell ref="FPI40:FPQ40"/>
    <mergeCell ref="FPR40:FQN40"/>
    <mergeCell ref="GJA40:GJI40"/>
    <mergeCell ref="GJJ40:GKF40"/>
    <mergeCell ref="GKG40:GKO40"/>
    <mergeCell ref="GKP40:GLL40"/>
    <mergeCell ref="GLM40:GLU40"/>
    <mergeCell ref="GFR40:GGN40"/>
    <mergeCell ref="GGO40:GGW40"/>
    <mergeCell ref="GGX40:GHT40"/>
    <mergeCell ref="GHU40:GIC40"/>
    <mergeCell ref="GID40:GIZ40"/>
    <mergeCell ref="GCW40:GDE40"/>
    <mergeCell ref="GDF40:GEB40"/>
    <mergeCell ref="GEC40:GEK40"/>
    <mergeCell ref="GEL40:GFH40"/>
    <mergeCell ref="GFI40:GFQ40"/>
    <mergeCell ref="FZN40:GAJ40"/>
    <mergeCell ref="GAK40:GAS40"/>
    <mergeCell ref="GAT40:GBP40"/>
    <mergeCell ref="GBQ40:GBY40"/>
    <mergeCell ref="GBZ40:GCV40"/>
    <mergeCell ref="GVI40:GVQ40"/>
    <mergeCell ref="GVR40:GWN40"/>
    <mergeCell ref="GWO40:GWW40"/>
    <mergeCell ref="GWX40:GXT40"/>
    <mergeCell ref="GXU40:GYC40"/>
    <mergeCell ref="GRZ40:GSV40"/>
    <mergeCell ref="GSW40:GTE40"/>
    <mergeCell ref="GTF40:GUB40"/>
    <mergeCell ref="GUC40:GUK40"/>
    <mergeCell ref="GUL40:GVH40"/>
    <mergeCell ref="GPE40:GPM40"/>
    <mergeCell ref="GPN40:GQJ40"/>
    <mergeCell ref="GQK40:GQS40"/>
    <mergeCell ref="GQT40:GRP40"/>
    <mergeCell ref="GRQ40:GRY40"/>
    <mergeCell ref="GLV40:GMR40"/>
    <mergeCell ref="GMS40:GNA40"/>
    <mergeCell ref="GNB40:GNX40"/>
    <mergeCell ref="GNY40:GOG40"/>
    <mergeCell ref="GOH40:GPD40"/>
    <mergeCell ref="HHQ40:HHY40"/>
    <mergeCell ref="HHZ40:HIV40"/>
    <mergeCell ref="HIW40:HJE40"/>
    <mergeCell ref="HJF40:HKB40"/>
    <mergeCell ref="HKC40:HKK40"/>
    <mergeCell ref="HEH40:HFD40"/>
    <mergeCell ref="HFE40:HFM40"/>
    <mergeCell ref="HFN40:HGJ40"/>
    <mergeCell ref="HGK40:HGS40"/>
    <mergeCell ref="HGT40:HHP40"/>
    <mergeCell ref="HBM40:HBU40"/>
    <mergeCell ref="HBV40:HCR40"/>
    <mergeCell ref="HCS40:HDA40"/>
    <mergeCell ref="HDB40:HDX40"/>
    <mergeCell ref="HDY40:HEG40"/>
    <mergeCell ref="GYD40:GYZ40"/>
    <mergeCell ref="GZA40:GZI40"/>
    <mergeCell ref="GZJ40:HAF40"/>
    <mergeCell ref="HAG40:HAO40"/>
    <mergeCell ref="HAP40:HBL40"/>
    <mergeCell ref="HTY40:HUG40"/>
    <mergeCell ref="HUH40:HVD40"/>
    <mergeCell ref="HVE40:HVM40"/>
    <mergeCell ref="HVN40:HWJ40"/>
    <mergeCell ref="HWK40:HWS40"/>
    <mergeCell ref="HQP40:HRL40"/>
    <mergeCell ref="HRM40:HRU40"/>
    <mergeCell ref="HRV40:HSR40"/>
    <mergeCell ref="HSS40:HTA40"/>
    <mergeCell ref="HTB40:HTX40"/>
    <mergeCell ref="HNU40:HOC40"/>
    <mergeCell ref="HOD40:HOZ40"/>
    <mergeCell ref="HPA40:HPI40"/>
    <mergeCell ref="HPJ40:HQF40"/>
    <mergeCell ref="HQG40:HQO40"/>
    <mergeCell ref="HKL40:HLH40"/>
    <mergeCell ref="HLI40:HLQ40"/>
    <mergeCell ref="HLR40:HMN40"/>
    <mergeCell ref="HMO40:HMW40"/>
    <mergeCell ref="HMX40:HNT40"/>
    <mergeCell ref="IGG40:IGO40"/>
    <mergeCell ref="IGP40:IHL40"/>
    <mergeCell ref="IHM40:IHU40"/>
    <mergeCell ref="IHV40:IIR40"/>
    <mergeCell ref="IIS40:IJA40"/>
    <mergeCell ref="ICX40:IDT40"/>
    <mergeCell ref="IDU40:IEC40"/>
    <mergeCell ref="IED40:IEZ40"/>
    <mergeCell ref="IFA40:IFI40"/>
    <mergeCell ref="IFJ40:IGF40"/>
    <mergeCell ref="IAC40:IAK40"/>
    <mergeCell ref="IAL40:IBH40"/>
    <mergeCell ref="IBI40:IBQ40"/>
    <mergeCell ref="IBR40:ICN40"/>
    <mergeCell ref="ICO40:ICW40"/>
    <mergeCell ref="HWT40:HXP40"/>
    <mergeCell ref="HXQ40:HXY40"/>
    <mergeCell ref="HXZ40:HYV40"/>
    <mergeCell ref="HYW40:HZE40"/>
    <mergeCell ref="HZF40:IAB40"/>
    <mergeCell ref="ISO40:ISW40"/>
    <mergeCell ref="ISX40:ITT40"/>
    <mergeCell ref="ITU40:IUC40"/>
    <mergeCell ref="IUD40:IUZ40"/>
    <mergeCell ref="IVA40:IVI40"/>
    <mergeCell ref="IPF40:IQB40"/>
    <mergeCell ref="IQC40:IQK40"/>
    <mergeCell ref="IQL40:IRH40"/>
    <mergeCell ref="IRI40:IRQ40"/>
    <mergeCell ref="IRR40:ISN40"/>
    <mergeCell ref="IMK40:IMS40"/>
    <mergeCell ref="IMT40:INP40"/>
    <mergeCell ref="INQ40:INY40"/>
    <mergeCell ref="INZ40:IOV40"/>
    <mergeCell ref="IOW40:IPE40"/>
    <mergeCell ref="IJB40:IJX40"/>
    <mergeCell ref="IJY40:IKG40"/>
    <mergeCell ref="IKH40:ILD40"/>
    <mergeCell ref="ILE40:ILM40"/>
    <mergeCell ref="ILN40:IMJ40"/>
    <mergeCell ref="JEW40:JFE40"/>
    <mergeCell ref="JFF40:JGB40"/>
    <mergeCell ref="JGC40:JGK40"/>
    <mergeCell ref="JGL40:JHH40"/>
    <mergeCell ref="JHI40:JHQ40"/>
    <mergeCell ref="JBN40:JCJ40"/>
    <mergeCell ref="JCK40:JCS40"/>
    <mergeCell ref="JCT40:JDP40"/>
    <mergeCell ref="JDQ40:JDY40"/>
    <mergeCell ref="JDZ40:JEV40"/>
    <mergeCell ref="IYS40:IZA40"/>
    <mergeCell ref="IZB40:IZX40"/>
    <mergeCell ref="IZY40:JAG40"/>
    <mergeCell ref="JAH40:JBD40"/>
    <mergeCell ref="JBE40:JBM40"/>
    <mergeCell ref="IVJ40:IWF40"/>
    <mergeCell ref="IWG40:IWO40"/>
    <mergeCell ref="IWP40:IXL40"/>
    <mergeCell ref="IXM40:IXU40"/>
    <mergeCell ref="IXV40:IYR40"/>
    <mergeCell ref="JRE40:JRM40"/>
    <mergeCell ref="JRN40:JSJ40"/>
    <mergeCell ref="JSK40:JSS40"/>
    <mergeCell ref="JST40:JTP40"/>
    <mergeCell ref="JTQ40:JTY40"/>
    <mergeCell ref="JNV40:JOR40"/>
    <mergeCell ref="JOS40:JPA40"/>
    <mergeCell ref="JPB40:JPX40"/>
    <mergeCell ref="JPY40:JQG40"/>
    <mergeCell ref="JQH40:JRD40"/>
    <mergeCell ref="JLA40:JLI40"/>
    <mergeCell ref="JLJ40:JMF40"/>
    <mergeCell ref="JMG40:JMO40"/>
    <mergeCell ref="JMP40:JNL40"/>
    <mergeCell ref="JNM40:JNU40"/>
    <mergeCell ref="JHR40:JIN40"/>
    <mergeCell ref="JIO40:JIW40"/>
    <mergeCell ref="JIX40:JJT40"/>
    <mergeCell ref="JJU40:JKC40"/>
    <mergeCell ref="JKD40:JKZ40"/>
    <mergeCell ref="KDM40:KDU40"/>
    <mergeCell ref="KDV40:KER40"/>
    <mergeCell ref="KES40:KFA40"/>
    <mergeCell ref="KFB40:KFX40"/>
    <mergeCell ref="KFY40:KGG40"/>
    <mergeCell ref="KAD40:KAZ40"/>
    <mergeCell ref="KBA40:KBI40"/>
    <mergeCell ref="KBJ40:KCF40"/>
    <mergeCell ref="KCG40:KCO40"/>
    <mergeCell ref="KCP40:KDL40"/>
    <mergeCell ref="JXI40:JXQ40"/>
    <mergeCell ref="JXR40:JYN40"/>
    <mergeCell ref="JYO40:JYW40"/>
    <mergeCell ref="JYX40:JZT40"/>
    <mergeCell ref="JZU40:KAC40"/>
    <mergeCell ref="JTZ40:JUV40"/>
    <mergeCell ref="JUW40:JVE40"/>
    <mergeCell ref="JVF40:JWB40"/>
    <mergeCell ref="JWC40:JWK40"/>
    <mergeCell ref="JWL40:JXH40"/>
    <mergeCell ref="KPU40:KQC40"/>
    <mergeCell ref="KQD40:KQZ40"/>
    <mergeCell ref="KRA40:KRI40"/>
    <mergeCell ref="KRJ40:KSF40"/>
    <mergeCell ref="KSG40:KSO40"/>
    <mergeCell ref="KML40:KNH40"/>
    <mergeCell ref="KNI40:KNQ40"/>
    <mergeCell ref="KNR40:KON40"/>
    <mergeCell ref="KOO40:KOW40"/>
    <mergeCell ref="KOX40:KPT40"/>
    <mergeCell ref="KJQ40:KJY40"/>
    <mergeCell ref="KJZ40:KKV40"/>
    <mergeCell ref="KKW40:KLE40"/>
    <mergeCell ref="KLF40:KMB40"/>
    <mergeCell ref="KMC40:KMK40"/>
    <mergeCell ref="KGH40:KHD40"/>
    <mergeCell ref="KHE40:KHM40"/>
    <mergeCell ref="KHN40:KIJ40"/>
    <mergeCell ref="KIK40:KIS40"/>
    <mergeCell ref="KIT40:KJP40"/>
    <mergeCell ref="LCC40:LCK40"/>
    <mergeCell ref="LCL40:LDH40"/>
    <mergeCell ref="LDI40:LDQ40"/>
    <mergeCell ref="LDR40:LEN40"/>
    <mergeCell ref="LEO40:LEW40"/>
    <mergeCell ref="KYT40:KZP40"/>
    <mergeCell ref="KZQ40:KZY40"/>
    <mergeCell ref="KZZ40:LAV40"/>
    <mergeCell ref="LAW40:LBE40"/>
    <mergeCell ref="LBF40:LCB40"/>
    <mergeCell ref="KVY40:KWG40"/>
    <mergeCell ref="KWH40:KXD40"/>
    <mergeCell ref="KXE40:KXM40"/>
    <mergeCell ref="KXN40:KYJ40"/>
    <mergeCell ref="KYK40:KYS40"/>
    <mergeCell ref="KSP40:KTL40"/>
    <mergeCell ref="KTM40:KTU40"/>
    <mergeCell ref="KTV40:KUR40"/>
    <mergeCell ref="KUS40:KVA40"/>
    <mergeCell ref="KVB40:KVX40"/>
    <mergeCell ref="LOK40:LOS40"/>
    <mergeCell ref="LOT40:LPP40"/>
    <mergeCell ref="LPQ40:LPY40"/>
    <mergeCell ref="LPZ40:LQV40"/>
    <mergeCell ref="LQW40:LRE40"/>
    <mergeCell ref="LLB40:LLX40"/>
    <mergeCell ref="LLY40:LMG40"/>
    <mergeCell ref="LMH40:LND40"/>
    <mergeCell ref="LNE40:LNM40"/>
    <mergeCell ref="LNN40:LOJ40"/>
    <mergeCell ref="LIG40:LIO40"/>
    <mergeCell ref="LIP40:LJL40"/>
    <mergeCell ref="LJM40:LJU40"/>
    <mergeCell ref="LJV40:LKR40"/>
    <mergeCell ref="LKS40:LLA40"/>
    <mergeCell ref="LEX40:LFT40"/>
    <mergeCell ref="LFU40:LGC40"/>
    <mergeCell ref="LGD40:LGZ40"/>
    <mergeCell ref="LHA40:LHI40"/>
    <mergeCell ref="LHJ40:LIF40"/>
    <mergeCell ref="MAS40:MBA40"/>
    <mergeCell ref="MBB40:MBX40"/>
    <mergeCell ref="MBY40:MCG40"/>
    <mergeCell ref="MCH40:MDD40"/>
    <mergeCell ref="MDE40:MDM40"/>
    <mergeCell ref="LXJ40:LYF40"/>
    <mergeCell ref="LYG40:LYO40"/>
    <mergeCell ref="LYP40:LZL40"/>
    <mergeCell ref="LZM40:LZU40"/>
    <mergeCell ref="LZV40:MAR40"/>
    <mergeCell ref="LUO40:LUW40"/>
    <mergeCell ref="LUX40:LVT40"/>
    <mergeCell ref="LVU40:LWC40"/>
    <mergeCell ref="LWD40:LWZ40"/>
    <mergeCell ref="LXA40:LXI40"/>
    <mergeCell ref="LRF40:LSB40"/>
    <mergeCell ref="LSC40:LSK40"/>
    <mergeCell ref="LSL40:LTH40"/>
    <mergeCell ref="LTI40:LTQ40"/>
    <mergeCell ref="LTR40:LUN40"/>
    <mergeCell ref="MNA40:MNI40"/>
    <mergeCell ref="MNJ40:MOF40"/>
    <mergeCell ref="MOG40:MOO40"/>
    <mergeCell ref="MOP40:MPL40"/>
    <mergeCell ref="MPM40:MPU40"/>
    <mergeCell ref="MJR40:MKN40"/>
    <mergeCell ref="MKO40:MKW40"/>
    <mergeCell ref="MKX40:MLT40"/>
    <mergeCell ref="MLU40:MMC40"/>
    <mergeCell ref="MMD40:MMZ40"/>
    <mergeCell ref="MGW40:MHE40"/>
    <mergeCell ref="MHF40:MIB40"/>
    <mergeCell ref="MIC40:MIK40"/>
    <mergeCell ref="MIL40:MJH40"/>
    <mergeCell ref="MJI40:MJQ40"/>
    <mergeCell ref="MDN40:MEJ40"/>
    <mergeCell ref="MEK40:MES40"/>
    <mergeCell ref="MET40:MFP40"/>
    <mergeCell ref="MFQ40:MFY40"/>
    <mergeCell ref="MFZ40:MGV40"/>
    <mergeCell ref="MZI40:MZQ40"/>
    <mergeCell ref="MZR40:NAN40"/>
    <mergeCell ref="NAO40:NAW40"/>
    <mergeCell ref="NAX40:NBT40"/>
    <mergeCell ref="NBU40:NCC40"/>
    <mergeCell ref="MVZ40:MWV40"/>
    <mergeCell ref="MWW40:MXE40"/>
    <mergeCell ref="MXF40:MYB40"/>
    <mergeCell ref="MYC40:MYK40"/>
    <mergeCell ref="MYL40:MZH40"/>
    <mergeCell ref="MTE40:MTM40"/>
    <mergeCell ref="MTN40:MUJ40"/>
    <mergeCell ref="MUK40:MUS40"/>
    <mergeCell ref="MUT40:MVP40"/>
    <mergeCell ref="MVQ40:MVY40"/>
    <mergeCell ref="MPV40:MQR40"/>
    <mergeCell ref="MQS40:MRA40"/>
    <mergeCell ref="MRB40:MRX40"/>
    <mergeCell ref="MRY40:MSG40"/>
    <mergeCell ref="MSH40:MTD40"/>
    <mergeCell ref="NLQ40:NLY40"/>
    <mergeCell ref="NLZ40:NMV40"/>
    <mergeCell ref="NMW40:NNE40"/>
    <mergeCell ref="NNF40:NOB40"/>
    <mergeCell ref="NOC40:NOK40"/>
    <mergeCell ref="NIH40:NJD40"/>
    <mergeCell ref="NJE40:NJM40"/>
    <mergeCell ref="NJN40:NKJ40"/>
    <mergeCell ref="NKK40:NKS40"/>
    <mergeCell ref="NKT40:NLP40"/>
    <mergeCell ref="NFM40:NFU40"/>
    <mergeCell ref="NFV40:NGR40"/>
    <mergeCell ref="NGS40:NHA40"/>
    <mergeCell ref="NHB40:NHX40"/>
    <mergeCell ref="NHY40:NIG40"/>
    <mergeCell ref="NCD40:NCZ40"/>
    <mergeCell ref="NDA40:NDI40"/>
    <mergeCell ref="NDJ40:NEF40"/>
    <mergeCell ref="NEG40:NEO40"/>
    <mergeCell ref="NEP40:NFL40"/>
    <mergeCell ref="NXY40:NYG40"/>
    <mergeCell ref="NYH40:NZD40"/>
    <mergeCell ref="NZE40:NZM40"/>
    <mergeCell ref="NZN40:OAJ40"/>
    <mergeCell ref="OAK40:OAS40"/>
    <mergeCell ref="NUP40:NVL40"/>
    <mergeCell ref="NVM40:NVU40"/>
    <mergeCell ref="NVV40:NWR40"/>
    <mergeCell ref="NWS40:NXA40"/>
    <mergeCell ref="NXB40:NXX40"/>
    <mergeCell ref="NRU40:NSC40"/>
    <mergeCell ref="NSD40:NSZ40"/>
    <mergeCell ref="NTA40:NTI40"/>
    <mergeCell ref="NTJ40:NUF40"/>
    <mergeCell ref="NUG40:NUO40"/>
    <mergeCell ref="NOL40:NPH40"/>
    <mergeCell ref="NPI40:NPQ40"/>
    <mergeCell ref="NPR40:NQN40"/>
    <mergeCell ref="NQO40:NQW40"/>
    <mergeCell ref="NQX40:NRT40"/>
    <mergeCell ref="OKG40:OKO40"/>
    <mergeCell ref="OKP40:OLL40"/>
    <mergeCell ref="OLM40:OLU40"/>
    <mergeCell ref="OLV40:OMR40"/>
    <mergeCell ref="OMS40:ONA40"/>
    <mergeCell ref="OGX40:OHT40"/>
    <mergeCell ref="OHU40:OIC40"/>
    <mergeCell ref="OID40:OIZ40"/>
    <mergeCell ref="OJA40:OJI40"/>
    <mergeCell ref="OJJ40:OKF40"/>
    <mergeCell ref="OEC40:OEK40"/>
    <mergeCell ref="OEL40:OFH40"/>
    <mergeCell ref="OFI40:OFQ40"/>
    <mergeCell ref="OFR40:OGN40"/>
    <mergeCell ref="OGO40:OGW40"/>
    <mergeCell ref="OAT40:OBP40"/>
    <mergeCell ref="OBQ40:OBY40"/>
    <mergeCell ref="OBZ40:OCV40"/>
    <mergeCell ref="OCW40:ODE40"/>
    <mergeCell ref="ODF40:OEB40"/>
    <mergeCell ref="OWO40:OWW40"/>
    <mergeCell ref="OWX40:OXT40"/>
    <mergeCell ref="OXU40:OYC40"/>
    <mergeCell ref="OYD40:OYZ40"/>
    <mergeCell ref="OZA40:OZI40"/>
    <mergeCell ref="OTF40:OUB40"/>
    <mergeCell ref="OUC40:OUK40"/>
    <mergeCell ref="OUL40:OVH40"/>
    <mergeCell ref="OVI40:OVQ40"/>
    <mergeCell ref="OVR40:OWN40"/>
    <mergeCell ref="OQK40:OQS40"/>
    <mergeCell ref="OQT40:ORP40"/>
    <mergeCell ref="ORQ40:ORY40"/>
    <mergeCell ref="ORZ40:OSV40"/>
    <mergeCell ref="OSW40:OTE40"/>
    <mergeCell ref="ONB40:ONX40"/>
    <mergeCell ref="ONY40:OOG40"/>
    <mergeCell ref="OOH40:OPD40"/>
    <mergeCell ref="OPE40:OPM40"/>
    <mergeCell ref="OPN40:OQJ40"/>
    <mergeCell ref="PIW40:PJE40"/>
    <mergeCell ref="PJF40:PKB40"/>
    <mergeCell ref="PKC40:PKK40"/>
    <mergeCell ref="PKL40:PLH40"/>
    <mergeCell ref="PLI40:PLQ40"/>
    <mergeCell ref="PFN40:PGJ40"/>
    <mergeCell ref="PGK40:PGS40"/>
    <mergeCell ref="PGT40:PHP40"/>
    <mergeCell ref="PHQ40:PHY40"/>
    <mergeCell ref="PHZ40:PIV40"/>
    <mergeCell ref="PCS40:PDA40"/>
    <mergeCell ref="PDB40:PDX40"/>
    <mergeCell ref="PDY40:PEG40"/>
    <mergeCell ref="PEH40:PFD40"/>
    <mergeCell ref="PFE40:PFM40"/>
    <mergeCell ref="OZJ40:PAF40"/>
    <mergeCell ref="PAG40:PAO40"/>
    <mergeCell ref="PAP40:PBL40"/>
    <mergeCell ref="PBM40:PBU40"/>
    <mergeCell ref="PBV40:PCR40"/>
    <mergeCell ref="PVE40:PVM40"/>
    <mergeCell ref="PVN40:PWJ40"/>
    <mergeCell ref="PWK40:PWS40"/>
    <mergeCell ref="PWT40:PXP40"/>
    <mergeCell ref="PXQ40:PXY40"/>
    <mergeCell ref="PRV40:PSR40"/>
    <mergeCell ref="PSS40:PTA40"/>
    <mergeCell ref="PTB40:PTX40"/>
    <mergeCell ref="PTY40:PUG40"/>
    <mergeCell ref="PUH40:PVD40"/>
    <mergeCell ref="PPA40:PPI40"/>
    <mergeCell ref="PPJ40:PQF40"/>
    <mergeCell ref="PQG40:PQO40"/>
    <mergeCell ref="PQP40:PRL40"/>
    <mergeCell ref="PRM40:PRU40"/>
    <mergeCell ref="PLR40:PMN40"/>
    <mergeCell ref="PMO40:PMW40"/>
    <mergeCell ref="PMX40:PNT40"/>
    <mergeCell ref="PNU40:POC40"/>
    <mergeCell ref="POD40:POZ40"/>
    <mergeCell ref="QHM40:QHU40"/>
    <mergeCell ref="QHV40:QIR40"/>
    <mergeCell ref="QIS40:QJA40"/>
    <mergeCell ref="QJB40:QJX40"/>
    <mergeCell ref="QJY40:QKG40"/>
    <mergeCell ref="QED40:QEZ40"/>
    <mergeCell ref="QFA40:QFI40"/>
    <mergeCell ref="QFJ40:QGF40"/>
    <mergeCell ref="QGG40:QGO40"/>
    <mergeCell ref="QGP40:QHL40"/>
    <mergeCell ref="QBI40:QBQ40"/>
    <mergeCell ref="QBR40:QCN40"/>
    <mergeCell ref="QCO40:QCW40"/>
    <mergeCell ref="QCX40:QDT40"/>
    <mergeCell ref="QDU40:QEC40"/>
    <mergeCell ref="PXZ40:PYV40"/>
    <mergeCell ref="PYW40:PZE40"/>
    <mergeCell ref="PZF40:QAB40"/>
    <mergeCell ref="QAC40:QAK40"/>
    <mergeCell ref="QAL40:QBH40"/>
    <mergeCell ref="QTU40:QUC40"/>
    <mergeCell ref="QUD40:QUZ40"/>
    <mergeCell ref="QVA40:QVI40"/>
    <mergeCell ref="QVJ40:QWF40"/>
    <mergeCell ref="QWG40:QWO40"/>
    <mergeCell ref="QQL40:QRH40"/>
    <mergeCell ref="QRI40:QRQ40"/>
    <mergeCell ref="QRR40:QSN40"/>
    <mergeCell ref="QSO40:QSW40"/>
    <mergeCell ref="QSX40:QTT40"/>
    <mergeCell ref="QNQ40:QNY40"/>
    <mergeCell ref="QNZ40:QOV40"/>
    <mergeCell ref="QOW40:QPE40"/>
    <mergeCell ref="QPF40:QQB40"/>
    <mergeCell ref="QQC40:QQK40"/>
    <mergeCell ref="QKH40:QLD40"/>
    <mergeCell ref="QLE40:QLM40"/>
    <mergeCell ref="QLN40:QMJ40"/>
    <mergeCell ref="QMK40:QMS40"/>
    <mergeCell ref="QMT40:QNP40"/>
    <mergeCell ref="RGC40:RGK40"/>
    <mergeCell ref="RGL40:RHH40"/>
    <mergeCell ref="RHI40:RHQ40"/>
    <mergeCell ref="RHR40:RIN40"/>
    <mergeCell ref="RIO40:RIW40"/>
    <mergeCell ref="RCT40:RDP40"/>
    <mergeCell ref="RDQ40:RDY40"/>
    <mergeCell ref="RDZ40:REV40"/>
    <mergeCell ref="REW40:RFE40"/>
    <mergeCell ref="RFF40:RGB40"/>
    <mergeCell ref="QZY40:RAG40"/>
    <mergeCell ref="RAH40:RBD40"/>
    <mergeCell ref="RBE40:RBM40"/>
    <mergeCell ref="RBN40:RCJ40"/>
    <mergeCell ref="RCK40:RCS40"/>
    <mergeCell ref="QWP40:QXL40"/>
    <mergeCell ref="QXM40:QXU40"/>
    <mergeCell ref="QXV40:QYR40"/>
    <mergeCell ref="QYS40:QZA40"/>
    <mergeCell ref="QZB40:QZX40"/>
    <mergeCell ref="RSK40:RSS40"/>
    <mergeCell ref="RST40:RTP40"/>
    <mergeCell ref="RTQ40:RTY40"/>
    <mergeCell ref="RTZ40:RUV40"/>
    <mergeCell ref="RUW40:RVE40"/>
    <mergeCell ref="RPB40:RPX40"/>
    <mergeCell ref="RPY40:RQG40"/>
    <mergeCell ref="RQH40:RRD40"/>
    <mergeCell ref="RRE40:RRM40"/>
    <mergeCell ref="RRN40:RSJ40"/>
    <mergeCell ref="RMG40:RMO40"/>
    <mergeCell ref="RMP40:RNL40"/>
    <mergeCell ref="RNM40:RNU40"/>
    <mergeCell ref="RNV40:ROR40"/>
    <mergeCell ref="ROS40:RPA40"/>
    <mergeCell ref="RIX40:RJT40"/>
    <mergeCell ref="RJU40:RKC40"/>
    <mergeCell ref="RKD40:RKZ40"/>
    <mergeCell ref="RLA40:RLI40"/>
    <mergeCell ref="RLJ40:RMF40"/>
    <mergeCell ref="SES40:SFA40"/>
    <mergeCell ref="SFB40:SFX40"/>
    <mergeCell ref="SFY40:SGG40"/>
    <mergeCell ref="SGH40:SHD40"/>
    <mergeCell ref="SHE40:SHM40"/>
    <mergeCell ref="SBJ40:SCF40"/>
    <mergeCell ref="SCG40:SCO40"/>
    <mergeCell ref="SCP40:SDL40"/>
    <mergeCell ref="SDM40:SDU40"/>
    <mergeCell ref="SDV40:SER40"/>
    <mergeCell ref="RYO40:RYW40"/>
    <mergeCell ref="RYX40:RZT40"/>
    <mergeCell ref="RZU40:SAC40"/>
    <mergeCell ref="SAD40:SAZ40"/>
    <mergeCell ref="SBA40:SBI40"/>
    <mergeCell ref="RVF40:RWB40"/>
    <mergeCell ref="RWC40:RWK40"/>
    <mergeCell ref="RWL40:RXH40"/>
    <mergeCell ref="RXI40:RXQ40"/>
    <mergeCell ref="RXR40:RYN40"/>
    <mergeCell ref="SRA40:SRI40"/>
    <mergeCell ref="SRJ40:SSF40"/>
    <mergeCell ref="SSG40:SSO40"/>
    <mergeCell ref="SSP40:STL40"/>
    <mergeCell ref="STM40:STU40"/>
    <mergeCell ref="SNR40:SON40"/>
    <mergeCell ref="SOO40:SOW40"/>
    <mergeCell ref="SOX40:SPT40"/>
    <mergeCell ref="SPU40:SQC40"/>
    <mergeCell ref="SQD40:SQZ40"/>
    <mergeCell ref="SKW40:SLE40"/>
    <mergeCell ref="SLF40:SMB40"/>
    <mergeCell ref="SMC40:SMK40"/>
    <mergeCell ref="SML40:SNH40"/>
    <mergeCell ref="SNI40:SNQ40"/>
    <mergeCell ref="SHN40:SIJ40"/>
    <mergeCell ref="SIK40:SIS40"/>
    <mergeCell ref="SIT40:SJP40"/>
    <mergeCell ref="SJQ40:SJY40"/>
    <mergeCell ref="SJZ40:SKV40"/>
    <mergeCell ref="TDI40:TDQ40"/>
    <mergeCell ref="TDR40:TEN40"/>
    <mergeCell ref="TEO40:TEW40"/>
    <mergeCell ref="TEX40:TFT40"/>
    <mergeCell ref="TFU40:TGC40"/>
    <mergeCell ref="SZZ40:TAV40"/>
    <mergeCell ref="TAW40:TBE40"/>
    <mergeCell ref="TBF40:TCB40"/>
    <mergeCell ref="TCC40:TCK40"/>
    <mergeCell ref="TCL40:TDH40"/>
    <mergeCell ref="SXE40:SXM40"/>
    <mergeCell ref="SXN40:SYJ40"/>
    <mergeCell ref="SYK40:SYS40"/>
    <mergeCell ref="SYT40:SZP40"/>
    <mergeCell ref="SZQ40:SZY40"/>
    <mergeCell ref="STV40:SUR40"/>
    <mergeCell ref="SUS40:SVA40"/>
    <mergeCell ref="SVB40:SVX40"/>
    <mergeCell ref="SVY40:SWG40"/>
    <mergeCell ref="SWH40:SXD40"/>
    <mergeCell ref="TPQ40:TPY40"/>
    <mergeCell ref="TPZ40:TQV40"/>
    <mergeCell ref="TQW40:TRE40"/>
    <mergeCell ref="TRF40:TSB40"/>
    <mergeCell ref="TSC40:TSK40"/>
    <mergeCell ref="TMH40:TND40"/>
    <mergeCell ref="TNE40:TNM40"/>
    <mergeCell ref="TNN40:TOJ40"/>
    <mergeCell ref="TOK40:TOS40"/>
    <mergeCell ref="TOT40:TPP40"/>
    <mergeCell ref="TJM40:TJU40"/>
    <mergeCell ref="TJV40:TKR40"/>
    <mergeCell ref="TKS40:TLA40"/>
    <mergeCell ref="TLB40:TLX40"/>
    <mergeCell ref="TLY40:TMG40"/>
    <mergeCell ref="TGD40:TGZ40"/>
    <mergeCell ref="THA40:THI40"/>
    <mergeCell ref="THJ40:TIF40"/>
    <mergeCell ref="TIG40:TIO40"/>
    <mergeCell ref="TIP40:TJL40"/>
    <mergeCell ref="UBY40:UCG40"/>
    <mergeCell ref="UCH40:UDD40"/>
    <mergeCell ref="UDE40:UDM40"/>
    <mergeCell ref="UDN40:UEJ40"/>
    <mergeCell ref="UEK40:UES40"/>
    <mergeCell ref="TYP40:TZL40"/>
    <mergeCell ref="TZM40:TZU40"/>
    <mergeCell ref="TZV40:UAR40"/>
    <mergeCell ref="UAS40:UBA40"/>
    <mergeCell ref="UBB40:UBX40"/>
    <mergeCell ref="TVU40:TWC40"/>
    <mergeCell ref="TWD40:TWZ40"/>
    <mergeCell ref="TXA40:TXI40"/>
    <mergeCell ref="TXJ40:TYF40"/>
    <mergeCell ref="TYG40:TYO40"/>
    <mergeCell ref="TSL40:TTH40"/>
    <mergeCell ref="TTI40:TTQ40"/>
    <mergeCell ref="TTR40:TUN40"/>
    <mergeCell ref="TUO40:TUW40"/>
    <mergeCell ref="TUX40:TVT40"/>
    <mergeCell ref="UOG40:UOO40"/>
    <mergeCell ref="UOP40:UPL40"/>
    <mergeCell ref="UPM40:UPU40"/>
    <mergeCell ref="UPV40:UQR40"/>
    <mergeCell ref="UQS40:URA40"/>
    <mergeCell ref="UKX40:ULT40"/>
    <mergeCell ref="ULU40:UMC40"/>
    <mergeCell ref="UMD40:UMZ40"/>
    <mergeCell ref="UNA40:UNI40"/>
    <mergeCell ref="UNJ40:UOF40"/>
    <mergeCell ref="UIC40:UIK40"/>
    <mergeCell ref="UIL40:UJH40"/>
    <mergeCell ref="UJI40:UJQ40"/>
    <mergeCell ref="UJR40:UKN40"/>
    <mergeCell ref="UKO40:UKW40"/>
    <mergeCell ref="UET40:UFP40"/>
    <mergeCell ref="UFQ40:UFY40"/>
    <mergeCell ref="UFZ40:UGV40"/>
    <mergeCell ref="UGW40:UHE40"/>
    <mergeCell ref="UHF40:UIB40"/>
    <mergeCell ref="VAO40:VAW40"/>
    <mergeCell ref="VAX40:VBT40"/>
    <mergeCell ref="VBU40:VCC40"/>
    <mergeCell ref="VCD40:VCZ40"/>
    <mergeCell ref="VDA40:VDI40"/>
    <mergeCell ref="UXF40:UYB40"/>
    <mergeCell ref="UYC40:UYK40"/>
    <mergeCell ref="UYL40:UZH40"/>
    <mergeCell ref="UZI40:UZQ40"/>
    <mergeCell ref="UZR40:VAN40"/>
    <mergeCell ref="UUK40:UUS40"/>
    <mergeCell ref="UUT40:UVP40"/>
    <mergeCell ref="UVQ40:UVY40"/>
    <mergeCell ref="UVZ40:UWV40"/>
    <mergeCell ref="UWW40:UXE40"/>
    <mergeCell ref="URB40:URX40"/>
    <mergeCell ref="URY40:USG40"/>
    <mergeCell ref="USH40:UTD40"/>
    <mergeCell ref="UTE40:UTM40"/>
    <mergeCell ref="UTN40:UUJ40"/>
    <mergeCell ref="VMW40:VNE40"/>
    <mergeCell ref="VNF40:VOB40"/>
    <mergeCell ref="VOC40:VOK40"/>
    <mergeCell ref="VOL40:VPH40"/>
    <mergeCell ref="VPI40:VPQ40"/>
    <mergeCell ref="VJN40:VKJ40"/>
    <mergeCell ref="VKK40:VKS40"/>
    <mergeCell ref="VKT40:VLP40"/>
    <mergeCell ref="VLQ40:VLY40"/>
    <mergeCell ref="VLZ40:VMV40"/>
    <mergeCell ref="VGS40:VHA40"/>
    <mergeCell ref="VHB40:VHX40"/>
    <mergeCell ref="VHY40:VIG40"/>
    <mergeCell ref="VIH40:VJD40"/>
    <mergeCell ref="VJE40:VJM40"/>
    <mergeCell ref="VDJ40:VEF40"/>
    <mergeCell ref="VEG40:VEO40"/>
    <mergeCell ref="VEP40:VFL40"/>
    <mergeCell ref="VFM40:VFU40"/>
    <mergeCell ref="VFV40:VGR40"/>
    <mergeCell ref="VZE40:VZM40"/>
    <mergeCell ref="VZN40:WAJ40"/>
    <mergeCell ref="WAK40:WAS40"/>
    <mergeCell ref="WAT40:WBP40"/>
    <mergeCell ref="WBQ40:WBY40"/>
    <mergeCell ref="VVV40:VWR40"/>
    <mergeCell ref="VWS40:VXA40"/>
    <mergeCell ref="VXB40:VXX40"/>
    <mergeCell ref="VXY40:VYG40"/>
    <mergeCell ref="VYH40:VZD40"/>
    <mergeCell ref="VTA40:VTI40"/>
    <mergeCell ref="VTJ40:VUF40"/>
    <mergeCell ref="VUG40:VUO40"/>
    <mergeCell ref="VUP40:VVL40"/>
    <mergeCell ref="VVM40:VVU40"/>
    <mergeCell ref="VPR40:VQN40"/>
    <mergeCell ref="VQO40:VQW40"/>
    <mergeCell ref="VQX40:VRT40"/>
    <mergeCell ref="VRU40:VSC40"/>
    <mergeCell ref="VSD40:VSZ40"/>
    <mergeCell ref="WLV40:WMR40"/>
    <mergeCell ref="WMS40:WNA40"/>
    <mergeCell ref="WNB40:WNX40"/>
    <mergeCell ref="WNY40:WOG40"/>
    <mergeCell ref="WID40:WIZ40"/>
    <mergeCell ref="WJA40:WJI40"/>
    <mergeCell ref="WJJ40:WKF40"/>
    <mergeCell ref="WKG40:WKO40"/>
    <mergeCell ref="WKP40:WLL40"/>
    <mergeCell ref="WFI40:WFQ40"/>
    <mergeCell ref="WFR40:WGN40"/>
    <mergeCell ref="WGO40:WGW40"/>
    <mergeCell ref="WGX40:WHT40"/>
    <mergeCell ref="WHU40:WIC40"/>
    <mergeCell ref="WBZ40:WCV40"/>
    <mergeCell ref="WCW40:WDE40"/>
    <mergeCell ref="WDF40:WEB40"/>
    <mergeCell ref="WEC40:WEK40"/>
    <mergeCell ref="WEL40:WFH40"/>
    <mergeCell ref="XDY40:XEG40"/>
    <mergeCell ref="XEH40:XFD40"/>
    <mergeCell ref="A41:I41"/>
    <mergeCell ref="J41:AF41"/>
    <mergeCell ref="A42:I42"/>
    <mergeCell ref="J42:AF42"/>
    <mergeCell ref="XAP40:XBL40"/>
    <mergeCell ref="XBM40:XBU40"/>
    <mergeCell ref="XBV40:XCR40"/>
    <mergeCell ref="XCS40:XDA40"/>
    <mergeCell ref="XDB40:XDX40"/>
    <mergeCell ref="WXU40:WYC40"/>
    <mergeCell ref="WYD40:WYZ40"/>
    <mergeCell ref="WZA40:WZI40"/>
    <mergeCell ref="WZJ40:XAF40"/>
    <mergeCell ref="XAG40:XAO40"/>
    <mergeCell ref="WUL40:WVH40"/>
    <mergeCell ref="WVI40:WVQ40"/>
    <mergeCell ref="WVR40:WWN40"/>
    <mergeCell ref="WWO40:WWW40"/>
    <mergeCell ref="WWX40:WXT40"/>
    <mergeCell ref="WRQ40:WRY40"/>
    <mergeCell ref="WRZ40:WSV40"/>
    <mergeCell ref="WSW40:WTE40"/>
    <mergeCell ref="WTF40:WUB40"/>
    <mergeCell ref="WUC40:WUK40"/>
    <mergeCell ref="WOH40:WPD40"/>
    <mergeCell ref="WPE40:WPM40"/>
    <mergeCell ref="WPN40:WQJ40"/>
    <mergeCell ref="WQK40:WQS40"/>
    <mergeCell ref="WQT40:WRP40"/>
    <mergeCell ref="WLM40:WLU40"/>
    <mergeCell ref="DB50:DX50"/>
    <mergeCell ref="DY50:EG50"/>
    <mergeCell ref="EH50:FD50"/>
    <mergeCell ref="FE50:FM50"/>
    <mergeCell ref="FN50:GJ50"/>
    <mergeCell ref="AG50:AO50"/>
    <mergeCell ref="AP50:BL50"/>
    <mergeCell ref="BM50:BU50"/>
    <mergeCell ref="BV50:CR50"/>
    <mergeCell ref="CS50:DA50"/>
    <mergeCell ref="A54:I54"/>
    <mergeCell ref="J54:AF54"/>
    <mergeCell ref="A58:I58"/>
    <mergeCell ref="J58:AF58"/>
    <mergeCell ref="A50:I50"/>
    <mergeCell ref="J50:AF50"/>
    <mergeCell ref="A44:I44"/>
    <mergeCell ref="J44:AF44"/>
    <mergeCell ref="A46:I46"/>
    <mergeCell ref="J46:AF46"/>
    <mergeCell ref="A48:I48"/>
    <mergeCell ref="J48:AF48"/>
    <mergeCell ref="J56:AF56"/>
    <mergeCell ref="A56:I56"/>
    <mergeCell ref="PJ50:QF50"/>
    <mergeCell ref="QG50:QO50"/>
    <mergeCell ref="QP50:RL50"/>
    <mergeCell ref="RM50:RU50"/>
    <mergeCell ref="RV50:SR50"/>
    <mergeCell ref="MO50:MW50"/>
    <mergeCell ref="MX50:NT50"/>
    <mergeCell ref="NU50:OC50"/>
    <mergeCell ref="OD50:OZ50"/>
    <mergeCell ref="PA50:PI50"/>
    <mergeCell ref="JF50:KB50"/>
    <mergeCell ref="KC50:KK50"/>
    <mergeCell ref="KL50:LH50"/>
    <mergeCell ref="LI50:LQ50"/>
    <mergeCell ref="LR50:MN50"/>
    <mergeCell ref="GK50:GS50"/>
    <mergeCell ref="GT50:HP50"/>
    <mergeCell ref="HQ50:HY50"/>
    <mergeCell ref="HZ50:IV50"/>
    <mergeCell ref="IW50:JE50"/>
    <mergeCell ref="ABR50:ACN50"/>
    <mergeCell ref="ACO50:ACW50"/>
    <mergeCell ref="ACX50:ADT50"/>
    <mergeCell ref="ADU50:AEC50"/>
    <mergeCell ref="AED50:AEZ50"/>
    <mergeCell ref="YW50:ZE50"/>
    <mergeCell ref="ZF50:AAB50"/>
    <mergeCell ref="AAC50:AAK50"/>
    <mergeCell ref="AAL50:ABH50"/>
    <mergeCell ref="ABI50:ABQ50"/>
    <mergeCell ref="VN50:WJ50"/>
    <mergeCell ref="WK50:WS50"/>
    <mergeCell ref="WT50:XP50"/>
    <mergeCell ref="XQ50:XY50"/>
    <mergeCell ref="XZ50:YV50"/>
    <mergeCell ref="SS50:TA50"/>
    <mergeCell ref="TB50:TX50"/>
    <mergeCell ref="TY50:UG50"/>
    <mergeCell ref="UH50:VD50"/>
    <mergeCell ref="VE50:VM50"/>
    <mergeCell ref="ANZ50:AOV50"/>
    <mergeCell ref="AOW50:APE50"/>
    <mergeCell ref="APF50:AQB50"/>
    <mergeCell ref="AQC50:AQK50"/>
    <mergeCell ref="AQL50:ARH50"/>
    <mergeCell ref="ALE50:ALM50"/>
    <mergeCell ref="ALN50:AMJ50"/>
    <mergeCell ref="AMK50:AMS50"/>
    <mergeCell ref="AMT50:ANP50"/>
    <mergeCell ref="ANQ50:ANY50"/>
    <mergeCell ref="AHV50:AIR50"/>
    <mergeCell ref="AIS50:AJA50"/>
    <mergeCell ref="AJB50:AJX50"/>
    <mergeCell ref="AJY50:AKG50"/>
    <mergeCell ref="AKH50:ALD50"/>
    <mergeCell ref="AFA50:AFI50"/>
    <mergeCell ref="AFJ50:AGF50"/>
    <mergeCell ref="AGG50:AGO50"/>
    <mergeCell ref="AGP50:AHL50"/>
    <mergeCell ref="AHM50:AHU50"/>
    <mergeCell ref="BAH50:BBD50"/>
    <mergeCell ref="BBE50:BBM50"/>
    <mergeCell ref="BBN50:BCJ50"/>
    <mergeCell ref="BCK50:BCS50"/>
    <mergeCell ref="BCT50:BDP50"/>
    <mergeCell ref="AXM50:AXU50"/>
    <mergeCell ref="AXV50:AYR50"/>
    <mergeCell ref="AYS50:AZA50"/>
    <mergeCell ref="AZB50:AZX50"/>
    <mergeCell ref="AZY50:BAG50"/>
    <mergeCell ref="AUD50:AUZ50"/>
    <mergeCell ref="AVA50:AVI50"/>
    <mergeCell ref="AVJ50:AWF50"/>
    <mergeCell ref="AWG50:AWO50"/>
    <mergeCell ref="AWP50:AXL50"/>
    <mergeCell ref="ARI50:ARQ50"/>
    <mergeCell ref="ARR50:ASN50"/>
    <mergeCell ref="ASO50:ASW50"/>
    <mergeCell ref="ASX50:ATT50"/>
    <mergeCell ref="ATU50:AUC50"/>
    <mergeCell ref="BMP50:BNL50"/>
    <mergeCell ref="BNM50:BNU50"/>
    <mergeCell ref="BNV50:BOR50"/>
    <mergeCell ref="BOS50:BPA50"/>
    <mergeCell ref="BPB50:BPX50"/>
    <mergeCell ref="BJU50:BKC50"/>
    <mergeCell ref="BKD50:BKZ50"/>
    <mergeCell ref="BLA50:BLI50"/>
    <mergeCell ref="BLJ50:BMF50"/>
    <mergeCell ref="BMG50:BMO50"/>
    <mergeCell ref="BGL50:BHH50"/>
    <mergeCell ref="BHI50:BHQ50"/>
    <mergeCell ref="BHR50:BIN50"/>
    <mergeCell ref="BIO50:BIW50"/>
    <mergeCell ref="BIX50:BJT50"/>
    <mergeCell ref="BDQ50:BDY50"/>
    <mergeCell ref="BDZ50:BEV50"/>
    <mergeCell ref="BEW50:BFE50"/>
    <mergeCell ref="BFF50:BGB50"/>
    <mergeCell ref="BGC50:BGK50"/>
    <mergeCell ref="BYX50:BZT50"/>
    <mergeCell ref="BZU50:CAC50"/>
    <mergeCell ref="CAD50:CAZ50"/>
    <mergeCell ref="CBA50:CBI50"/>
    <mergeCell ref="CBJ50:CCF50"/>
    <mergeCell ref="BWC50:BWK50"/>
    <mergeCell ref="BWL50:BXH50"/>
    <mergeCell ref="BXI50:BXQ50"/>
    <mergeCell ref="BXR50:BYN50"/>
    <mergeCell ref="BYO50:BYW50"/>
    <mergeCell ref="BST50:BTP50"/>
    <mergeCell ref="BTQ50:BTY50"/>
    <mergeCell ref="BTZ50:BUV50"/>
    <mergeCell ref="BUW50:BVE50"/>
    <mergeCell ref="BVF50:BWB50"/>
    <mergeCell ref="BPY50:BQG50"/>
    <mergeCell ref="BQH50:BRD50"/>
    <mergeCell ref="BRE50:BRM50"/>
    <mergeCell ref="BRN50:BSJ50"/>
    <mergeCell ref="BSK50:BSS50"/>
    <mergeCell ref="CLF50:CMB50"/>
    <mergeCell ref="CMC50:CMK50"/>
    <mergeCell ref="CML50:CNH50"/>
    <mergeCell ref="CNI50:CNQ50"/>
    <mergeCell ref="CNR50:CON50"/>
    <mergeCell ref="CIK50:CIS50"/>
    <mergeCell ref="CIT50:CJP50"/>
    <mergeCell ref="CJQ50:CJY50"/>
    <mergeCell ref="CJZ50:CKV50"/>
    <mergeCell ref="CKW50:CLE50"/>
    <mergeCell ref="CFB50:CFX50"/>
    <mergeCell ref="CFY50:CGG50"/>
    <mergeCell ref="CGH50:CHD50"/>
    <mergeCell ref="CHE50:CHM50"/>
    <mergeCell ref="CHN50:CIJ50"/>
    <mergeCell ref="CCG50:CCO50"/>
    <mergeCell ref="CCP50:CDL50"/>
    <mergeCell ref="CDM50:CDU50"/>
    <mergeCell ref="CDV50:CER50"/>
    <mergeCell ref="CES50:CFA50"/>
    <mergeCell ref="CXN50:CYJ50"/>
    <mergeCell ref="CYK50:CYS50"/>
    <mergeCell ref="CYT50:CZP50"/>
    <mergeCell ref="CZQ50:CZY50"/>
    <mergeCell ref="CZZ50:DAV50"/>
    <mergeCell ref="CUS50:CVA50"/>
    <mergeCell ref="CVB50:CVX50"/>
    <mergeCell ref="CVY50:CWG50"/>
    <mergeCell ref="CWH50:CXD50"/>
    <mergeCell ref="CXE50:CXM50"/>
    <mergeCell ref="CRJ50:CSF50"/>
    <mergeCell ref="CSG50:CSO50"/>
    <mergeCell ref="CSP50:CTL50"/>
    <mergeCell ref="CTM50:CTU50"/>
    <mergeCell ref="CTV50:CUR50"/>
    <mergeCell ref="COO50:COW50"/>
    <mergeCell ref="COX50:CPT50"/>
    <mergeCell ref="CPU50:CQC50"/>
    <mergeCell ref="CQD50:CQZ50"/>
    <mergeCell ref="CRA50:CRI50"/>
    <mergeCell ref="DJV50:DKR50"/>
    <mergeCell ref="DKS50:DLA50"/>
    <mergeCell ref="DLB50:DLX50"/>
    <mergeCell ref="DLY50:DMG50"/>
    <mergeCell ref="DMH50:DND50"/>
    <mergeCell ref="DHA50:DHI50"/>
    <mergeCell ref="DHJ50:DIF50"/>
    <mergeCell ref="DIG50:DIO50"/>
    <mergeCell ref="DIP50:DJL50"/>
    <mergeCell ref="DJM50:DJU50"/>
    <mergeCell ref="DDR50:DEN50"/>
    <mergeCell ref="DEO50:DEW50"/>
    <mergeCell ref="DEX50:DFT50"/>
    <mergeCell ref="DFU50:DGC50"/>
    <mergeCell ref="DGD50:DGZ50"/>
    <mergeCell ref="DAW50:DBE50"/>
    <mergeCell ref="DBF50:DCB50"/>
    <mergeCell ref="DCC50:DCK50"/>
    <mergeCell ref="DCL50:DDH50"/>
    <mergeCell ref="DDI50:DDQ50"/>
    <mergeCell ref="DWD50:DWZ50"/>
    <mergeCell ref="DXA50:DXI50"/>
    <mergeCell ref="DXJ50:DYF50"/>
    <mergeCell ref="DYG50:DYO50"/>
    <mergeCell ref="DYP50:DZL50"/>
    <mergeCell ref="DTI50:DTQ50"/>
    <mergeCell ref="DTR50:DUN50"/>
    <mergeCell ref="DUO50:DUW50"/>
    <mergeCell ref="DUX50:DVT50"/>
    <mergeCell ref="DVU50:DWC50"/>
    <mergeCell ref="DPZ50:DQV50"/>
    <mergeCell ref="DQW50:DRE50"/>
    <mergeCell ref="DRF50:DSB50"/>
    <mergeCell ref="DSC50:DSK50"/>
    <mergeCell ref="DSL50:DTH50"/>
    <mergeCell ref="DNE50:DNM50"/>
    <mergeCell ref="DNN50:DOJ50"/>
    <mergeCell ref="DOK50:DOS50"/>
    <mergeCell ref="DOT50:DPP50"/>
    <mergeCell ref="DPQ50:DPY50"/>
    <mergeCell ref="EIL50:EJH50"/>
    <mergeCell ref="EJI50:EJQ50"/>
    <mergeCell ref="EJR50:EKN50"/>
    <mergeCell ref="EKO50:EKW50"/>
    <mergeCell ref="EKX50:ELT50"/>
    <mergeCell ref="EFQ50:EFY50"/>
    <mergeCell ref="EFZ50:EGV50"/>
    <mergeCell ref="EGW50:EHE50"/>
    <mergeCell ref="EHF50:EIB50"/>
    <mergeCell ref="EIC50:EIK50"/>
    <mergeCell ref="ECH50:EDD50"/>
    <mergeCell ref="EDE50:EDM50"/>
    <mergeCell ref="EDN50:EEJ50"/>
    <mergeCell ref="EEK50:EES50"/>
    <mergeCell ref="EET50:EFP50"/>
    <mergeCell ref="DZM50:DZU50"/>
    <mergeCell ref="DZV50:EAR50"/>
    <mergeCell ref="EAS50:EBA50"/>
    <mergeCell ref="EBB50:EBX50"/>
    <mergeCell ref="EBY50:ECG50"/>
    <mergeCell ref="EUT50:EVP50"/>
    <mergeCell ref="EVQ50:EVY50"/>
    <mergeCell ref="EVZ50:EWV50"/>
    <mergeCell ref="EWW50:EXE50"/>
    <mergeCell ref="EXF50:EYB50"/>
    <mergeCell ref="ERY50:ESG50"/>
    <mergeCell ref="ESH50:ETD50"/>
    <mergeCell ref="ETE50:ETM50"/>
    <mergeCell ref="ETN50:EUJ50"/>
    <mergeCell ref="EUK50:EUS50"/>
    <mergeCell ref="EOP50:EPL50"/>
    <mergeCell ref="EPM50:EPU50"/>
    <mergeCell ref="EPV50:EQR50"/>
    <mergeCell ref="EQS50:ERA50"/>
    <mergeCell ref="ERB50:ERX50"/>
    <mergeCell ref="ELU50:EMC50"/>
    <mergeCell ref="EMD50:EMZ50"/>
    <mergeCell ref="ENA50:ENI50"/>
    <mergeCell ref="ENJ50:EOF50"/>
    <mergeCell ref="EOG50:EOO50"/>
    <mergeCell ref="FHB50:FHX50"/>
    <mergeCell ref="FHY50:FIG50"/>
    <mergeCell ref="FIH50:FJD50"/>
    <mergeCell ref="FJE50:FJM50"/>
    <mergeCell ref="FJN50:FKJ50"/>
    <mergeCell ref="FEG50:FEO50"/>
    <mergeCell ref="FEP50:FFL50"/>
    <mergeCell ref="FFM50:FFU50"/>
    <mergeCell ref="FFV50:FGR50"/>
    <mergeCell ref="FGS50:FHA50"/>
    <mergeCell ref="FAX50:FBT50"/>
    <mergeCell ref="FBU50:FCC50"/>
    <mergeCell ref="FCD50:FCZ50"/>
    <mergeCell ref="FDA50:FDI50"/>
    <mergeCell ref="FDJ50:FEF50"/>
    <mergeCell ref="EYC50:EYK50"/>
    <mergeCell ref="EYL50:EZH50"/>
    <mergeCell ref="EZI50:EZQ50"/>
    <mergeCell ref="EZR50:FAN50"/>
    <mergeCell ref="FAO50:FAW50"/>
    <mergeCell ref="FTJ50:FUF50"/>
    <mergeCell ref="FUG50:FUO50"/>
    <mergeCell ref="FUP50:FVL50"/>
    <mergeCell ref="FVM50:FVU50"/>
    <mergeCell ref="FVV50:FWR50"/>
    <mergeCell ref="FQO50:FQW50"/>
    <mergeCell ref="FQX50:FRT50"/>
    <mergeCell ref="FRU50:FSC50"/>
    <mergeCell ref="FSD50:FSZ50"/>
    <mergeCell ref="FTA50:FTI50"/>
    <mergeCell ref="FNF50:FOB50"/>
    <mergeCell ref="FOC50:FOK50"/>
    <mergeCell ref="FOL50:FPH50"/>
    <mergeCell ref="FPI50:FPQ50"/>
    <mergeCell ref="FPR50:FQN50"/>
    <mergeCell ref="FKK50:FKS50"/>
    <mergeCell ref="FKT50:FLP50"/>
    <mergeCell ref="FLQ50:FLY50"/>
    <mergeCell ref="FLZ50:FMV50"/>
    <mergeCell ref="FMW50:FNE50"/>
    <mergeCell ref="GFR50:GGN50"/>
    <mergeCell ref="GGO50:GGW50"/>
    <mergeCell ref="GGX50:GHT50"/>
    <mergeCell ref="GHU50:GIC50"/>
    <mergeCell ref="GID50:GIZ50"/>
    <mergeCell ref="GCW50:GDE50"/>
    <mergeCell ref="GDF50:GEB50"/>
    <mergeCell ref="GEC50:GEK50"/>
    <mergeCell ref="GEL50:GFH50"/>
    <mergeCell ref="GFI50:GFQ50"/>
    <mergeCell ref="FZN50:GAJ50"/>
    <mergeCell ref="GAK50:GAS50"/>
    <mergeCell ref="GAT50:GBP50"/>
    <mergeCell ref="GBQ50:GBY50"/>
    <mergeCell ref="GBZ50:GCV50"/>
    <mergeCell ref="FWS50:FXA50"/>
    <mergeCell ref="FXB50:FXX50"/>
    <mergeCell ref="FXY50:FYG50"/>
    <mergeCell ref="FYH50:FZD50"/>
    <mergeCell ref="FZE50:FZM50"/>
    <mergeCell ref="GRZ50:GSV50"/>
    <mergeCell ref="GSW50:GTE50"/>
    <mergeCell ref="GTF50:GUB50"/>
    <mergeCell ref="GUC50:GUK50"/>
    <mergeCell ref="GUL50:GVH50"/>
    <mergeCell ref="GPE50:GPM50"/>
    <mergeCell ref="GPN50:GQJ50"/>
    <mergeCell ref="GQK50:GQS50"/>
    <mergeCell ref="GQT50:GRP50"/>
    <mergeCell ref="GRQ50:GRY50"/>
    <mergeCell ref="GLV50:GMR50"/>
    <mergeCell ref="GMS50:GNA50"/>
    <mergeCell ref="GNB50:GNX50"/>
    <mergeCell ref="GNY50:GOG50"/>
    <mergeCell ref="GOH50:GPD50"/>
    <mergeCell ref="GJA50:GJI50"/>
    <mergeCell ref="GJJ50:GKF50"/>
    <mergeCell ref="GKG50:GKO50"/>
    <mergeCell ref="GKP50:GLL50"/>
    <mergeCell ref="GLM50:GLU50"/>
    <mergeCell ref="HEH50:HFD50"/>
    <mergeCell ref="HFE50:HFM50"/>
    <mergeCell ref="HFN50:HGJ50"/>
    <mergeCell ref="HGK50:HGS50"/>
    <mergeCell ref="HGT50:HHP50"/>
    <mergeCell ref="HBM50:HBU50"/>
    <mergeCell ref="HBV50:HCR50"/>
    <mergeCell ref="HCS50:HDA50"/>
    <mergeCell ref="HDB50:HDX50"/>
    <mergeCell ref="HDY50:HEG50"/>
    <mergeCell ref="GYD50:GYZ50"/>
    <mergeCell ref="GZA50:GZI50"/>
    <mergeCell ref="GZJ50:HAF50"/>
    <mergeCell ref="HAG50:HAO50"/>
    <mergeCell ref="HAP50:HBL50"/>
    <mergeCell ref="GVI50:GVQ50"/>
    <mergeCell ref="GVR50:GWN50"/>
    <mergeCell ref="GWO50:GWW50"/>
    <mergeCell ref="GWX50:GXT50"/>
    <mergeCell ref="GXU50:GYC50"/>
    <mergeCell ref="HQP50:HRL50"/>
    <mergeCell ref="HRM50:HRU50"/>
    <mergeCell ref="HRV50:HSR50"/>
    <mergeCell ref="HSS50:HTA50"/>
    <mergeCell ref="HTB50:HTX50"/>
    <mergeCell ref="HNU50:HOC50"/>
    <mergeCell ref="HOD50:HOZ50"/>
    <mergeCell ref="HPA50:HPI50"/>
    <mergeCell ref="HPJ50:HQF50"/>
    <mergeCell ref="HQG50:HQO50"/>
    <mergeCell ref="HKL50:HLH50"/>
    <mergeCell ref="HLI50:HLQ50"/>
    <mergeCell ref="HLR50:HMN50"/>
    <mergeCell ref="HMO50:HMW50"/>
    <mergeCell ref="HMX50:HNT50"/>
    <mergeCell ref="HHQ50:HHY50"/>
    <mergeCell ref="HHZ50:HIV50"/>
    <mergeCell ref="HIW50:HJE50"/>
    <mergeCell ref="HJF50:HKB50"/>
    <mergeCell ref="HKC50:HKK50"/>
    <mergeCell ref="ICX50:IDT50"/>
    <mergeCell ref="IDU50:IEC50"/>
    <mergeCell ref="IED50:IEZ50"/>
    <mergeCell ref="IFA50:IFI50"/>
    <mergeCell ref="IFJ50:IGF50"/>
    <mergeCell ref="IAC50:IAK50"/>
    <mergeCell ref="IAL50:IBH50"/>
    <mergeCell ref="IBI50:IBQ50"/>
    <mergeCell ref="IBR50:ICN50"/>
    <mergeCell ref="ICO50:ICW50"/>
    <mergeCell ref="HWT50:HXP50"/>
    <mergeCell ref="HXQ50:HXY50"/>
    <mergeCell ref="HXZ50:HYV50"/>
    <mergeCell ref="HYW50:HZE50"/>
    <mergeCell ref="HZF50:IAB50"/>
    <mergeCell ref="HTY50:HUG50"/>
    <mergeCell ref="HUH50:HVD50"/>
    <mergeCell ref="HVE50:HVM50"/>
    <mergeCell ref="HVN50:HWJ50"/>
    <mergeCell ref="HWK50:HWS50"/>
    <mergeCell ref="IPF50:IQB50"/>
    <mergeCell ref="IQC50:IQK50"/>
    <mergeCell ref="IQL50:IRH50"/>
    <mergeCell ref="IRI50:IRQ50"/>
    <mergeCell ref="IRR50:ISN50"/>
    <mergeCell ref="IMK50:IMS50"/>
    <mergeCell ref="IMT50:INP50"/>
    <mergeCell ref="INQ50:INY50"/>
    <mergeCell ref="INZ50:IOV50"/>
    <mergeCell ref="IOW50:IPE50"/>
    <mergeCell ref="IJB50:IJX50"/>
    <mergeCell ref="IJY50:IKG50"/>
    <mergeCell ref="IKH50:ILD50"/>
    <mergeCell ref="ILE50:ILM50"/>
    <mergeCell ref="ILN50:IMJ50"/>
    <mergeCell ref="IGG50:IGO50"/>
    <mergeCell ref="IGP50:IHL50"/>
    <mergeCell ref="IHM50:IHU50"/>
    <mergeCell ref="IHV50:IIR50"/>
    <mergeCell ref="IIS50:IJA50"/>
    <mergeCell ref="JBN50:JCJ50"/>
    <mergeCell ref="JCK50:JCS50"/>
    <mergeCell ref="JCT50:JDP50"/>
    <mergeCell ref="JDQ50:JDY50"/>
    <mergeCell ref="JDZ50:JEV50"/>
    <mergeCell ref="IYS50:IZA50"/>
    <mergeCell ref="IZB50:IZX50"/>
    <mergeCell ref="IZY50:JAG50"/>
    <mergeCell ref="JAH50:JBD50"/>
    <mergeCell ref="JBE50:JBM50"/>
    <mergeCell ref="IVJ50:IWF50"/>
    <mergeCell ref="IWG50:IWO50"/>
    <mergeCell ref="IWP50:IXL50"/>
    <mergeCell ref="IXM50:IXU50"/>
    <mergeCell ref="IXV50:IYR50"/>
    <mergeCell ref="ISO50:ISW50"/>
    <mergeCell ref="ISX50:ITT50"/>
    <mergeCell ref="ITU50:IUC50"/>
    <mergeCell ref="IUD50:IUZ50"/>
    <mergeCell ref="IVA50:IVI50"/>
    <mergeCell ref="JNV50:JOR50"/>
    <mergeCell ref="JOS50:JPA50"/>
    <mergeCell ref="JPB50:JPX50"/>
    <mergeCell ref="JPY50:JQG50"/>
    <mergeCell ref="JQH50:JRD50"/>
    <mergeCell ref="JLA50:JLI50"/>
    <mergeCell ref="JLJ50:JMF50"/>
    <mergeCell ref="JMG50:JMO50"/>
    <mergeCell ref="JMP50:JNL50"/>
    <mergeCell ref="JNM50:JNU50"/>
    <mergeCell ref="JHR50:JIN50"/>
    <mergeCell ref="JIO50:JIW50"/>
    <mergeCell ref="JIX50:JJT50"/>
    <mergeCell ref="JJU50:JKC50"/>
    <mergeCell ref="JKD50:JKZ50"/>
    <mergeCell ref="JEW50:JFE50"/>
    <mergeCell ref="JFF50:JGB50"/>
    <mergeCell ref="JGC50:JGK50"/>
    <mergeCell ref="JGL50:JHH50"/>
    <mergeCell ref="JHI50:JHQ50"/>
    <mergeCell ref="KAD50:KAZ50"/>
    <mergeCell ref="KBA50:KBI50"/>
    <mergeCell ref="KBJ50:KCF50"/>
    <mergeCell ref="KCG50:KCO50"/>
    <mergeCell ref="KCP50:KDL50"/>
    <mergeCell ref="JXI50:JXQ50"/>
    <mergeCell ref="JXR50:JYN50"/>
    <mergeCell ref="JYO50:JYW50"/>
    <mergeCell ref="JYX50:JZT50"/>
    <mergeCell ref="JZU50:KAC50"/>
    <mergeCell ref="JTZ50:JUV50"/>
    <mergeCell ref="JUW50:JVE50"/>
    <mergeCell ref="JVF50:JWB50"/>
    <mergeCell ref="JWC50:JWK50"/>
    <mergeCell ref="JWL50:JXH50"/>
    <mergeCell ref="JRE50:JRM50"/>
    <mergeCell ref="JRN50:JSJ50"/>
    <mergeCell ref="JSK50:JSS50"/>
    <mergeCell ref="JST50:JTP50"/>
    <mergeCell ref="JTQ50:JTY50"/>
    <mergeCell ref="KML50:KNH50"/>
    <mergeCell ref="KNI50:KNQ50"/>
    <mergeCell ref="KNR50:KON50"/>
    <mergeCell ref="KOO50:KOW50"/>
    <mergeCell ref="KOX50:KPT50"/>
    <mergeCell ref="KJQ50:KJY50"/>
    <mergeCell ref="KJZ50:KKV50"/>
    <mergeCell ref="KKW50:KLE50"/>
    <mergeCell ref="KLF50:KMB50"/>
    <mergeCell ref="KMC50:KMK50"/>
    <mergeCell ref="KGH50:KHD50"/>
    <mergeCell ref="KHE50:KHM50"/>
    <mergeCell ref="KHN50:KIJ50"/>
    <mergeCell ref="KIK50:KIS50"/>
    <mergeCell ref="KIT50:KJP50"/>
    <mergeCell ref="KDM50:KDU50"/>
    <mergeCell ref="KDV50:KER50"/>
    <mergeCell ref="KES50:KFA50"/>
    <mergeCell ref="KFB50:KFX50"/>
    <mergeCell ref="KFY50:KGG50"/>
    <mergeCell ref="KYT50:KZP50"/>
    <mergeCell ref="KZQ50:KZY50"/>
    <mergeCell ref="KZZ50:LAV50"/>
    <mergeCell ref="LAW50:LBE50"/>
    <mergeCell ref="LBF50:LCB50"/>
    <mergeCell ref="KVY50:KWG50"/>
    <mergeCell ref="KWH50:KXD50"/>
    <mergeCell ref="KXE50:KXM50"/>
    <mergeCell ref="KXN50:KYJ50"/>
    <mergeCell ref="KYK50:KYS50"/>
    <mergeCell ref="KSP50:KTL50"/>
    <mergeCell ref="KTM50:KTU50"/>
    <mergeCell ref="KTV50:KUR50"/>
    <mergeCell ref="KUS50:KVA50"/>
    <mergeCell ref="KVB50:KVX50"/>
    <mergeCell ref="KPU50:KQC50"/>
    <mergeCell ref="KQD50:KQZ50"/>
    <mergeCell ref="KRA50:KRI50"/>
    <mergeCell ref="KRJ50:KSF50"/>
    <mergeCell ref="KSG50:KSO50"/>
    <mergeCell ref="LLB50:LLX50"/>
    <mergeCell ref="LLY50:LMG50"/>
    <mergeCell ref="LMH50:LND50"/>
    <mergeCell ref="LNE50:LNM50"/>
    <mergeCell ref="LNN50:LOJ50"/>
    <mergeCell ref="LIG50:LIO50"/>
    <mergeCell ref="LIP50:LJL50"/>
    <mergeCell ref="LJM50:LJU50"/>
    <mergeCell ref="LJV50:LKR50"/>
    <mergeCell ref="LKS50:LLA50"/>
    <mergeCell ref="LEX50:LFT50"/>
    <mergeCell ref="LFU50:LGC50"/>
    <mergeCell ref="LGD50:LGZ50"/>
    <mergeCell ref="LHA50:LHI50"/>
    <mergeCell ref="LHJ50:LIF50"/>
    <mergeCell ref="LCC50:LCK50"/>
    <mergeCell ref="LCL50:LDH50"/>
    <mergeCell ref="LDI50:LDQ50"/>
    <mergeCell ref="LDR50:LEN50"/>
    <mergeCell ref="LEO50:LEW50"/>
    <mergeCell ref="LXJ50:LYF50"/>
    <mergeCell ref="LYG50:LYO50"/>
    <mergeCell ref="LYP50:LZL50"/>
    <mergeCell ref="LZM50:LZU50"/>
    <mergeCell ref="LZV50:MAR50"/>
    <mergeCell ref="LUO50:LUW50"/>
    <mergeCell ref="LUX50:LVT50"/>
    <mergeCell ref="LVU50:LWC50"/>
    <mergeCell ref="LWD50:LWZ50"/>
    <mergeCell ref="LXA50:LXI50"/>
    <mergeCell ref="LRF50:LSB50"/>
    <mergeCell ref="LSC50:LSK50"/>
    <mergeCell ref="LSL50:LTH50"/>
    <mergeCell ref="LTI50:LTQ50"/>
    <mergeCell ref="LTR50:LUN50"/>
    <mergeCell ref="LOK50:LOS50"/>
    <mergeCell ref="LOT50:LPP50"/>
    <mergeCell ref="LPQ50:LPY50"/>
    <mergeCell ref="LPZ50:LQV50"/>
    <mergeCell ref="LQW50:LRE50"/>
    <mergeCell ref="MJR50:MKN50"/>
    <mergeCell ref="MKO50:MKW50"/>
    <mergeCell ref="MKX50:MLT50"/>
    <mergeCell ref="MLU50:MMC50"/>
    <mergeCell ref="MMD50:MMZ50"/>
    <mergeCell ref="MGW50:MHE50"/>
    <mergeCell ref="MHF50:MIB50"/>
    <mergeCell ref="MIC50:MIK50"/>
    <mergeCell ref="MIL50:MJH50"/>
    <mergeCell ref="MJI50:MJQ50"/>
    <mergeCell ref="MDN50:MEJ50"/>
    <mergeCell ref="MEK50:MES50"/>
    <mergeCell ref="MET50:MFP50"/>
    <mergeCell ref="MFQ50:MFY50"/>
    <mergeCell ref="MFZ50:MGV50"/>
    <mergeCell ref="MAS50:MBA50"/>
    <mergeCell ref="MBB50:MBX50"/>
    <mergeCell ref="MBY50:MCG50"/>
    <mergeCell ref="MCH50:MDD50"/>
    <mergeCell ref="MDE50:MDM50"/>
    <mergeCell ref="MVZ50:MWV50"/>
    <mergeCell ref="MWW50:MXE50"/>
    <mergeCell ref="MXF50:MYB50"/>
    <mergeCell ref="MYC50:MYK50"/>
    <mergeCell ref="MYL50:MZH50"/>
    <mergeCell ref="MTE50:MTM50"/>
    <mergeCell ref="MTN50:MUJ50"/>
    <mergeCell ref="MUK50:MUS50"/>
    <mergeCell ref="MUT50:MVP50"/>
    <mergeCell ref="MVQ50:MVY50"/>
    <mergeCell ref="MPV50:MQR50"/>
    <mergeCell ref="MQS50:MRA50"/>
    <mergeCell ref="MRB50:MRX50"/>
    <mergeCell ref="MRY50:MSG50"/>
    <mergeCell ref="MSH50:MTD50"/>
    <mergeCell ref="MNA50:MNI50"/>
    <mergeCell ref="MNJ50:MOF50"/>
    <mergeCell ref="MOG50:MOO50"/>
    <mergeCell ref="MOP50:MPL50"/>
    <mergeCell ref="MPM50:MPU50"/>
    <mergeCell ref="NIH50:NJD50"/>
    <mergeCell ref="NJE50:NJM50"/>
    <mergeCell ref="NJN50:NKJ50"/>
    <mergeCell ref="NKK50:NKS50"/>
    <mergeCell ref="NKT50:NLP50"/>
    <mergeCell ref="NFM50:NFU50"/>
    <mergeCell ref="NFV50:NGR50"/>
    <mergeCell ref="NGS50:NHA50"/>
    <mergeCell ref="NHB50:NHX50"/>
    <mergeCell ref="NHY50:NIG50"/>
    <mergeCell ref="NCD50:NCZ50"/>
    <mergeCell ref="NDA50:NDI50"/>
    <mergeCell ref="NDJ50:NEF50"/>
    <mergeCell ref="NEG50:NEO50"/>
    <mergeCell ref="NEP50:NFL50"/>
    <mergeCell ref="MZI50:MZQ50"/>
    <mergeCell ref="MZR50:NAN50"/>
    <mergeCell ref="NAO50:NAW50"/>
    <mergeCell ref="NAX50:NBT50"/>
    <mergeCell ref="NBU50:NCC50"/>
    <mergeCell ref="NUP50:NVL50"/>
    <mergeCell ref="NVM50:NVU50"/>
    <mergeCell ref="NVV50:NWR50"/>
    <mergeCell ref="NWS50:NXA50"/>
    <mergeCell ref="NXB50:NXX50"/>
    <mergeCell ref="NRU50:NSC50"/>
    <mergeCell ref="NSD50:NSZ50"/>
    <mergeCell ref="NTA50:NTI50"/>
    <mergeCell ref="NTJ50:NUF50"/>
    <mergeCell ref="NUG50:NUO50"/>
    <mergeCell ref="NOL50:NPH50"/>
    <mergeCell ref="NPI50:NPQ50"/>
    <mergeCell ref="NPR50:NQN50"/>
    <mergeCell ref="NQO50:NQW50"/>
    <mergeCell ref="NQX50:NRT50"/>
    <mergeCell ref="NLQ50:NLY50"/>
    <mergeCell ref="NLZ50:NMV50"/>
    <mergeCell ref="NMW50:NNE50"/>
    <mergeCell ref="NNF50:NOB50"/>
    <mergeCell ref="NOC50:NOK50"/>
    <mergeCell ref="OGX50:OHT50"/>
    <mergeCell ref="OHU50:OIC50"/>
    <mergeCell ref="OID50:OIZ50"/>
    <mergeCell ref="OJA50:OJI50"/>
    <mergeCell ref="OJJ50:OKF50"/>
    <mergeCell ref="OEC50:OEK50"/>
    <mergeCell ref="OEL50:OFH50"/>
    <mergeCell ref="OFI50:OFQ50"/>
    <mergeCell ref="OFR50:OGN50"/>
    <mergeCell ref="OGO50:OGW50"/>
    <mergeCell ref="OAT50:OBP50"/>
    <mergeCell ref="OBQ50:OBY50"/>
    <mergeCell ref="OBZ50:OCV50"/>
    <mergeCell ref="OCW50:ODE50"/>
    <mergeCell ref="ODF50:OEB50"/>
    <mergeCell ref="NXY50:NYG50"/>
    <mergeCell ref="NYH50:NZD50"/>
    <mergeCell ref="NZE50:NZM50"/>
    <mergeCell ref="NZN50:OAJ50"/>
    <mergeCell ref="OAK50:OAS50"/>
    <mergeCell ref="OTF50:OUB50"/>
    <mergeCell ref="OUC50:OUK50"/>
    <mergeCell ref="OUL50:OVH50"/>
    <mergeCell ref="OVI50:OVQ50"/>
    <mergeCell ref="OVR50:OWN50"/>
    <mergeCell ref="OQK50:OQS50"/>
    <mergeCell ref="OQT50:ORP50"/>
    <mergeCell ref="ORQ50:ORY50"/>
    <mergeCell ref="ORZ50:OSV50"/>
    <mergeCell ref="OSW50:OTE50"/>
    <mergeCell ref="ONB50:ONX50"/>
    <mergeCell ref="ONY50:OOG50"/>
    <mergeCell ref="OOH50:OPD50"/>
    <mergeCell ref="OPE50:OPM50"/>
    <mergeCell ref="OPN50:OQJ50"/>
    <mergeCell ref="OKG50:OKO50"/>
    <mergeCell ref="OKP50:OLL50"/>
    <mergeCell ref="OLM50:OLU50"/>
    <mergeCell ref="OLV50:OMR50"/>
    <mergeCell ref="OMS50:ONA50"/>
    <mergeCell ref="PFN50:PGJ50"/>
    <mergeCell ref="PGK50:PGS50"/>
    <mergeCell ref="PGT50:PHP50"/>
    <mergeCell ref="PHQ50:PHY50"/>
    <mergeCell ref="PHZ50:PIV50"/>
    <mergeCell ref="PCS50:PDA50"/>
    <mergeCell ref="PDB50:PDX50"/>
    <mergeCell ref="PDY50:PEG50"/>
    <mergeCell ref="PEH50:PFD50"/>
    <mergeCell ref="PFE50:PFM50"/>
    <mergeCell ref="OZJ50:PAF50"/>
    <mergeCell ref="PAG50:PAO50"/>
    <mergeCell ref="PAP50:PBL50"/>
    <mergeCell ref="PBM50:PBU50"/>
    <mergeCell ref="PBV50:PCR50"/>
    <mergeCell ref="OWO50:OWW50"/>
    <mergeCell ref="OWX50:OXT50"/>
    <mergeCell ref="OXU50:OYC50"/>
    <mergeCell ref="OYD50:OYZ50"/>
    <mergeCell ref="OZA50:OZI50"/>
    <mergeCell ref="PRV50:PSR50"/>
    <mergeCell ref="PSS50:PTA50"/>
    <mergeCell ref="PTB50:PTX50"/>
    <mergeCell ref="PTY50:PUG50"/>
    <mergeCell ref="PUH50:PVD50"/>
    <mergeCell ref="PPA50:PPI50"/>
    <mergeCell ref="PPJ50:PQF50"/>
    <mergeCell ref="PQG50:PQO50"/>
    <mergeCell ref="PQP50:PRL50"/>
    <mergeCell ref="PRM50:PRU50"/>
    <mergeCell ref="PLR50:PMN50"/>
    <mergeCell ref="PMO50:PMW50"/>
    <mergeCell ref="PMX50:PNT50"/>
    <mergeCell ref="PNU50:POC50"/>
    <mergeCell ref="POD50:POZ50"/>
    <mergeCell ref="PIW50:PJE50"/>
    <mergeCell ref="PJF50:PKB50"/>
    <mergeCell ref="PKC50:PKK50"/>
    <mergeCell ref="PKL50:PLH50"/>
    <mergeCell ref="PLI50:PLQ50"/>
    <mergeCell ref="QED50:QEZ50"/>
    <mergeCell ref="QFA50:QFI50"/>
    <mergeCell ref="QFJ50:QGF50"/>
    <mergeCell ref="QGG50:QGO50"/>
    <mergeCell ref="QGP50:QHL50"/>
    <mergeCell ref="QBI50:QBQ50"/>
    <mergeCell ref="QBR50:QCN50"/>
    <mergeCell ref="QCO50:QCW50"/>
    <mergeCell ref="QCX50:QDT50"/>
    <mergeCell ref="QDU50:QEC50"/>
    <mergeCell ref="PXZ50:PYV50"/>
    <mergeCell ref="PYW50:PZE50"/>
    <mergeCell ref="PZF50:QAB50"/>
    <mergeCell ref="QAC50:QAK50"/>
    <mergeCell ref="QAL50:QBH50"/>
    <mergeCell ref="PVE50:PVM50"/>
    <mergeCell ref="PVN50:PWJ50"/>
    <mergeCell ref="PWK50:PWS50"/>
    <mergeCell ref="PWT50:PXP50"/>
    <mergeCell ref="PXQ50:PXY50"/>
    <mergeCell ref="QQL50:QRH50"/>
    <mergeCell ref="QRI50:QRQ50"/>
    <mergeCell ref="QRR50:QSN50"/>
    <mergeCell ref="QSO50:QSW50"/>
    <mergeCell ref="QSX50:QTT50"/>
    <mergeCell ref="QNQ50:QNY50"/>
    <mergeCell ref="QNZ50:QOV50"/>
    <mergeCell ref="QOW50:QPE50"/>
    <mergeCell ref="QPF50:QQB50"/>
    <mergeCell ref="QQC50:QQK50"/>
    <mergeCell ref="QKH50:QLD50"/>
    <mergeCell ref="QLE50:QLM50"/>
    <mergeCell ref="QLN50:QMJ50"/>
    <mergeCell ref="QMK50:QMS50"/>
    <mergeCell ref="QMT50:QNP50"/>
    <mergeCell ref="QHM50:QHU50"/>
    <mergeCell ref="QHV50:QIR50"/>
    <mergeCell ref="QIS50:QJA50"/>
    <mergeCell ref="QJB50:QJX50"/>
    <mergeCell ref="QJY50:QKG50"/>
    <mergeCell ref="RCT50:RDP50"/>
    <mergeCell ref="RDQ50:RDY50"/>
    <mergeCell ref="RDZ50:REV50"/>
    <mergeCell ref="REW50:RFE50"/>
    <mergeCell ref="RFF50:RGB50"/>
    <mergeCell ref="QZY50:RAG50"/>
    <mergeCell ref="RAH50:RBD50"/>
    <mergeCell ref="RBE50:RBM50"/>
    <mergeCell ref="RBN50:RCJ50"/>
    <mergeCell ref="RCK50:RCS50"/>
    <mergeCell ref="QWP50:QXL50"/>
    <mergeCell ref="QXM50:QXU50"/>
    <mergeCell ref="QXV50:QYR50"/>
    <mergeCell ref="QYS50:QZA50"/>
    <mergeCell ref="QZB50:QZX50"/>
    <mergeCell ref="QTU50:QUC50"/>
    <mergeCell ref="QUD50:QUZ50"/>
    <mergeCell ref="QVA50:QVI50"/>
    <mergeCell ref="QVJ50:QWF50"/>
    <mergeCell ref="QWG50:QWO50"/>
    <mergeCell ref="RPB50:RPX50"/>
    <mergeCell ref="RPY50:RQG50"/>
    <mergeCell ref="RQH50:RRD50"/>
    <mergeCell ref="RRE50:RRM50"/>
    <mergeCell ref="RRN50:RSJ50"/>
    <mergeCell ref="RMG50:RMO50"/>
    <mergeCell ref="RMP50:RNL50"/>
    <mergeCell ref="RNM50:RNU50"/>
    <mergeCell ref="RNV50:ROR50"/>
    <mergeCell ref="ROS50:RPA50"/>
    <mergeCell ref="RIX50:RJT50"/>
    <mergeCell ref="RJU50:RKC50"/>
    <mergeCell ref="RKD50:RKZ50"/>
    <mergeCell ref="RLA50:RLI50"/>
    <mergeCell ref="RLJ50:RMF50"/>
    <mergeCell ref="RGC50:RGK50"/>
    <mergeCell ref="RGL50:RHH50"/>
    <mergeCell ref="RHI50:RHQ50"/>
    <mergeCell ref="RHR50:RIN50"/>
    <mergeCell ref="RIO50:RIW50"/>
    <mergeCell ref="SBJ50:SCF50"/>
    <mergeCell ref="SCG50:SCO50"/>
    <mergeCell ref="SCP50:SDL50"/>
    <mergeCell ref="SDM50:SDU50"/>
    <mergeCell ref="SDV50:SER50"/>
    <mergeCell ref="RYO50:RYW50"/>
    <mergeCell ref="RYX50:RZT50"/>
    <mergeCell ref="RZU50:SAC50"/>
    <mergeCell ref="SAD50:SAZ50"/>
    <mergeCell ref="SBA50:SBI50"/>
    <mergeCell ref="RVF50:RWB50"/>
    <mergeCell ref="RWC50:RWK50"/>
    <mergeCell ref="RWL50:RXH50"/>
    <mergeCell ref="RXI50:RXQ50"/>
    <mergeCell ref="RXR50:RYN50"/>
    <mergeCell ref="RSK50:RSS50"/>
    <mergeCell ref="RST50:RTP50"/>
    <mergeCell ref="RTQ50:RTY50"/>
    <mergeCell ref="RTZ50:RUV50"/>
    <mergeCell ref="RUW50:RVE50"/>
    <mergeCell ref="SNR50:SON50"/>
    <mergeCell ref="SOO50:SOW50"/>
    <mergeCell ref="SOX50:SPT50"/>
    <mergeCell ref="SPU50:SQC50"/>
    <mergeCell ref="SQD50:SQZ50"/>
    <mergeCell ref="SKW50:SLE50"/>
    <mergeCell ref="SLF50:SMB50"/>
    <mergeCell ref="SMC50:SMK50"/>
    <mergeCell ref="SML50:SNH50"/>
    <mergeCell ref="SNI50:SNQ50"/>
    <mergeCell ref="SHN50:SIJ50"/>
    <mergeCell ref="SIK50:SIS50"/>
    <mergeCell ref="SIT50:SJP50"/>
    <mergeCell ref="SJQ50:SJY50"/>
    <mergeCell ref="SJZ50:SKV50"/>
    <mergeCell ref="SES50:SFA50"/>
    <mergeCell ref="SFB50:SFX50"/>
    <mergeCell ref="SFY50:SGG50"/>
    <mergeCell ref="SGH50:SHD50"/>
    <mergeCell ref="SHE50:SHM50"/>
    <mergeCell ref="SZZ50:TAV50"/>
    <mergeCell ref="TAW50:TBE50"/>
    <mergeCell ref="TBF50:TCB50"/>
    <mergeCell ref="TCC50:TCK50"/>
    <mergeCell ref="TCL50:TDH50"/>
    <mergeCell ref="SXE50:SXM50"/>
    <mergeCell ref="SXN50:SYJ50"/>
    <mergeCell ref="SYK50:SYS50"/>
    <mergeCell ref="SYT50:SZP50"/>
    <mergeCell ref="SZQ50:SZY50"/>
    <mergeCell ref="STV50:SUR50"/>
    <mergeCell ref="SUS50:SVA50"/>
    <mergeCell ref="SVB50:SVX50"/>
    <mergeCell ref="SVY50:SWG50"/>
    <mergeCell ref="SWH50:SXD50"/>
    <mergeCell ref="SRA50:SRI50"/>
    <mergeCell ref="SRJ50:SSF50"/>
    <mergeCell ref="SSG50:SSO50"/>
    <mergeCell ref="SSP50:STL50"/>
    <mergeCell ref="STM50:STU50"/>
    <mergeCell ref="TMH50:TND50"/>
    <mergeCell ref="TNE50:TNM50"/>
    <mergeCell ref="TNN50:TOJ50"/>
    <mergeCell ref="TOK50:TOS50"/>
    <mergeCell ref="TOT50:TPP50"/>
    <mergeCell ref="TJM50:TJU50"/>
    <mergeCell ref="TJV50:TKR50"/>
    <mergeCell ref="TKS50:TLA50"/>
    <mergeCell ref="TLB50:TLX50"/>
    <mergeCell ref="TLY50:TMG50"/>
    <mergeCell ref="TGD50:TGZ50"/>
    <mergeCell ref="THA50:THI50"/>
    <mergeCell ref="THJ50:TIF50"/>
    <mergeCell ref="TIG50:TIO50"/>
    <mergeCell ref="TIP50:TJL50"/>
    <mergeCell ref="TDI50:TDQ50"/>
    <mergeCell ref="TDR50:TEN50"/>
    <mergeCell ref="TEO50:TEW50"/>
    <mergeCell ref="TEX50:TFT50"/>
    <mergeCell ref="TFU50:TGC50"/>
    <mergeCell ref="TYP50:TZL50"/>
    <mergeCell ref="TZM50:TZU50"/>
    <mergeCell ref="TZV50:UAR50"/>
    <mergeCell ref="UAS50:UBA50"/>
    <mergeCell ref="UBB50:UBX50"/>
    <mergeCell ref="TVU50:TWC50"/>
    <mergeCell ref="TWD50:TWZ50"/>
    <mergeCell ref="TXA50:TXI50"/>
    <mergeCell ref="TXJ50:TYF50"/>
    <mergeCell ref="TYG50:TYO50"/>
    <mergeCell ref="TSL50:TTH50"/>
    <mergeCell ref="TTI50:TTQ50"/>
    <mergeCell ref="TTR50:TUN50"/>
    <mergeCell ref="TUO50:TUW50"/>
    <mergeCell ref="TUX50:TVT50"/>
    <mergeCell ref="TPQ50:TPY50"/>
    <mergeCell ref="TPZ50:TQV50"/>
    <mergeCell ref="TQW50:TRE50"/>
    <mergeCell ref="TRF50:TSB50"/>
    <mergeCell ref="TSC50:TSK50"/>
    <mergeCell ref="UKX50:ULT50"/>
    <mergeCell ref="ULU50:UMC50"/>
    <mergeCell ref="UMD50:UMZ50"/>
    <mergeCell ref="UNA50:UNI50"/>
    <mergeCell ref="UNJ50:UOF50"/>
    <mergeCell ref="UIC50:UIK50"/>
    <mergeCell ref="UIL50:UJH50"/>
    <mergeCell ref="UJI50:UJQ50"/>
    <mergeCell ref="UJR50:UKN50"/>
    <mergeCell ref="UKO50:UKW50"/>
    <mergeCell ref="UET50:UFP50"/>
    <mergeCell ref="UFQ50:UFY50"/>
    <mergeCell ref="UFZ50:UGV50"/>
    <mergeCell ref="UGW50:UHE50"/>
    <mergeCell ref="UHF50:UIB50"/>
    <mergeCell ref="UBY50:UCG50"/>
    <mergeCell ref="UCH50:UDD50"/>
    <mergeCell ref="UDE50:UDM50"/>
    <mergeCell ref="UDN50:UEJ50"/>
    <mergeCell ref="UEK50:UES50"/>
    <mergeCell ref="UXF50:UYB50"/>
    <mergeCell ref="UYC50:UYK50"/>
    <mergeCell ref="UYL50:UZH50"/>
    <mergeCell ref="UZI50:UZQ50"/>
    <mergeCell ref="UZR50:VAN50"/>
    <mergeCell ref="UUK50:UUS50"/>
    <mergeCell ref="UUT50:UVP50"/>
    <mergeCell ref="UVQ50:UVY50"/>
    <mergeCell ref="UVZ50:UWV50"/>
    <mergeCell ref="UWW50:UXE50"/>
    <mergeCell ref="URB50:URX50"/>
    <mergeCell ref="URY50:USG50"/>
    <mergeCell ref="USH50:UTD50"/>
    <mergeCell ref="UTE50:UTM50"/>
    <mergeCell ref="UTN50:UUJ50"/>
    <mergeCell ref="UOG50:UOO50"/>
    <mergeCell ref="UOP50:UPL50"/>
    <mergeCell ref="UPM50:UPU50"/>
    <mergeCell ref="UPV50:UQR50"/>
    <mergeCell ref="UQS50:URA50"/>
    <mergeCell ref="VJN50:VKJ50"/>
    <mergeCell ref="VKK50:VKS50"/>
    <mergeCell ref="VKT50:VLP50"/>
    <mergeCell ref="VLQ50:VLY50"/>
    <mergeCell ref="VLZ50:VMV50"/>
    <mergeCell ref="VGS50:VHA50"/>
    <mergeCell ref="VHB50:VHX50"/>
    <mergeCell ref="VHY50:VIG50"/>
    <mergeCell ref="VIH50:VJD50"/>
    <mergeCell ref="VJE50:VJM50"/>
    <mergeCell ref="VDJ50:VEF50"/>
    <mergeCell ref="VEG50:VEO50"/>
    <mergeCell ref="VEP50:VFL50"/>
    <mergeCell ref="VFM50:VFU50"/>
    <mergeCell ref="VFV50:VGR50"/>
    <mergeCell ref="VAO50:VAW50"/>
    <mergeCell ref="VAX50:VBT50"/>
    <mergeCell ref="VBU50:VCC50"/>
    <mergeCell ref="VCD50:VCZ50"/>
    <mergeCell ref="VDA50:VDI50"/>
    <mergeCell ref="VVV50:VWR50"/>
    <mergeCell ref="VWS50:VXA50"/>
    <mergeCell ref="VXB50:VXX50"/>
    <mergeCell ref="VXY50:VYG50"/>
    <mergeCell ref="VYH50:VZD50"/>
    <mergeCell ref="VTA50:VTI50"/>
    <mergeCell ref="VTJ50:VUF50"/>
    <mergeCell ref="VUG50:VUO50"/>
    <mergeCell ref="VUP50:VVL50"/>
    <mergeCell ref="VVM50:VVU50"/>
    <mergeCell ref="VPR50:VQN50"/>
    <mergeCell ref="VQO50:VQW50"/>
    <mergeCell ref="VQX50:VRT50"/>
    <mergeCell ref="VRU50:VSC50"/>
    <mergeCell ref="VSD50:VSZ50"/>
    <mergeCell ref="VMW50:VNE50"/>
    <mergeCell ref="VNF50:VOB50"/>
    <mergeCell ref="VOC50:VOK50"/>
    <mergeCell ref="VOL50:VPH50"/>
    <mergeCell ref="VPI50:VPQ50"/>
    <mergeCell ref="WID50:WIZ50"/>
    <mergeCell ref="WJA50:WJI50"/>
    <mergeCell ref="WJJ50:WKF50"/>
    <mergeCell ref="WKG50:WKO50"/>
    <mergeCell ref="WKP50:WLL50"/>
    <mergeCell ref="WFI50:WFQ50"/>
    <mergeCell ref="WFR50:WGN50"/>
    <mergeCell ref="WGO50:WGW50"/>
    <mergeCell ref="WGX50:WHT50"/>
    <mergeCell ref="WHU50:WIC50"/>
    <mergeCell ref="WBZ50:WCV50"/>
    <mergeCell ref="WCW50:WDE50"/>
    <mergeCell ref="WDF50:WEB50"/>
    <mergeCell ref="WEC50:WEK50"/>
    <mergeCell ref="WEL50:WFH50"/>
    <mergeCell ref="VZE50:VZM50"/>
    <mergeCell ref="VZN50:WAJ50"/>
    <mergeCell ref="WAK50:WAS50"/>
    <mergeCell ref="WAT50:WBP50"/>
    <mergeCell ref="WBQ50:WBY50"/>
    <mergeCell ref="XAG50:XAO50"/>
    <mergeCell ref="WUL50:WVH50"/>
    <mergeCell ref="WVI50:WVQ50"/>
    <mergeCell ref="WVR50:WWN50"/>
    <mergeCell ref="WWO50:WWW50"/>
    <mergeCell ref="WWX50:WXT50"/>
    <mergeCell ref="WRQ50:WRY50"/>
    <mergeCell ref="WRZ50:WSV50"/>
    <mergeCell ref="WSW50:WTE50"/>
    <mergeCell ref="WTF50:WUB50"/>
    <mergeCell ref="WUC50:WUK50"/>
    <mergeCell ref="WOH50:WPD50"/>
    <mergeCell ref="WPE50:WPM50"/>
    <mergeCell ref="WPN50:WQJ50"/>
    <mergeCell ref="WQK50:WQS50"/>
    <mergeCell ref="WQT50:WRP50"/>
    <mergeCell ref="WLM50:WLU50"/>
    <mergeCell ref="WLV50:WMR50"/>
    <mergeCell ref="WMS50:WNA50"/>
    <mergeCell ref="WNB50:WNX50"/>
    <mergeCell ref="WNY50:WOG50"/>
    <mergeCell ref="A62:I62"/>
    <mergeCell ref="J62:AF62"/>
    <mergeCell ref="A66:I66"/>
    <mergeCell ref="J66:AF66"/>
    <mergeCell ref="A68:I68"/>
    <mergeCell ref="J68:AF68"/>
    <mergeCell ref="J67:AF67"/>
    <mergeCell ref="J64:AF64"/>
    <mergeCell ref="A64:I64"/>
    <mergeCell ref="A74:I74"/>
    <mergeCell ref="J74:AF74"/>
    <mergeCell ref="A72:I72"/>
    <mergeCell ref="J72:AF72"/>
    <mergeCell ref="A70:I70"/>
    <mergeCell ref="J70:AF70"/>
    <mergeCell ref="XDY50:XEG50"/>
    <mergeCell ref="XEH50:XFD50"/>
    <mergeCell ref="A52:I52"/>
    <mergeCell ref="J52:AF52"/>
    <mergeCell ref="A60:I60"/>
    <mergeCell ref="J60:AF60"/>
    <mergeCell ref="A51:I51"/>
    <mergeCell ref="J51:AF51"/>
    <mergeCell ref="XAP50:XBL50"/>
    <mergeCell ref="XBM50:XBU50"/>
    <mergeCell ref="XBV50:XCR50"/>
    <mergeCell ref="XCS50:XDA50"/>
    <mergeCell ref="XDB50:XDX50"/>
    <mergeCell ref="WXU50:WYC50"/>
    <mergeCell ref="WYD50:WYZ50"/>
    <mergeCell ref="WZA50:WZI50"/>
    <mergeCell ref="WZJ50:XAF50"/>
    <mergeCell ref="A94:I94"/>
    <mergeCell ref="J94:AF94"/>
    <mergeCell ref="A96:I96"/>
    <mergeCell ref="J96:AF96"/>
    <mergeCell ref="A98:I98"/>
    <mergeCell ref="J98:AF98"/>
    <mergeCell ref="A90:I90"/>
    <mergeCell ref="J90:AF90"/>
    <mergeCell ref="A92:I92"/>
    <mergeCell ref="J92:AF92"/>
    <mergeCell ref="A82:I82"/>
    <mergeCell ref="J82:AF82"/>
    <mergeCell ref="A84:I84"/>
    <mergeCell ref="J84:AF84"/>
    <mergeCell ref="A88:I88"/>
    <mergeCell ref="J88:AF88"/>
    <mergeCell ref="A76:I76"/>
    <mergeCell ref="J76:AF76"/>
    <mergeCell ref="A78:I78"/>
    <mergeCell ref="J78:AF78"/>
    <mergeCell ref="A80:I80"/>
    <mergeCell ref="J80:AF80"/>
    <mergeCell ref="DB110:DX110"/>
    <mergeCell ref="DY110:EG110"/>
    <mergeCell ref="EH110:FD110"/>
    <mergeCell ref="FE110:FM110"/>
    <mergeCell ref="FN110:GJ110"/>
    <mergeCell ref="AG110:AO110"/>
    <mergeCell ref="AP110:BL110"/>
    <mergeCell ref="BM110:BU110"/>
    <mergeCell ref="BV110:CR110"/>
    <mergeCell ref="CS110:DA110"/>
    <mergeCell ref="A106:I106"/>
    <mergeCell ref="J106:AF106"/>
    <mergeCell ref="A108:I108"/>
    <mergeCell ref="J108:AF108"/>
    <mergeCell ref="A110:I110"/>
    <mergeCell ref="J110:AF110"/>
    <mergeCell ref="A100:I100"/>
    <mergeCell ref="J100:AF100"/>
    <mergeCell ref="A102:I102"/>
    <mergeCell ref="J102:AF102"/>
    <mergeCell ref="A104:I104"/>
    <mergeCell ref="J104:AF104"/>
    <mergeCell ref="PJ110:QF110"/>
    <mergeCell ref="QG110:QO110"/>
    <mergeCell ref="QP110:RL110"/>
    <mergeCell ref="RM110:RU110"/>
    <mergeCell ref="RV110:SR110"/>
    <mergeCell ref="MO110:MW110"/>
    <mergeCell ref="MX110:NT110"/>
    <mergeCell ref="NU110:OC110"/>
    <mergeCell ref="OD110:OZ110"/>
    <mergeCell ref="PA110:PI110"/>
    <mergeCell ref="JF110:KB110"/>
    <mergeCell ref="KC110:KK110"/>
    <mergeCell ref="KL110:LH110"/>
    <mergeCell ref="LI110:LQ110"/>
    <mergeCell ref="LR110:MN110"/>
    <mergeCell ref="GK110:GS110"/>
    <mergeCell ref="GT110:HP110"/>
    <mergeCell ref="HQ110:HY110"/>
    <mergeCell ref="HZ110:IV110"/>
    <mergeCell ref="IW110:JE110"/>
    <mergeCell ref="ABR110:ACN110"/>
    <mergeCell ref="ACO110:ACW110"/>
    <mergeCell ref="ACX110:ADT110"/>
    <mergeCell ref="ADU110:AEC110"/>
    <mergeCell ref="AED110:AEZ110"/>
    <mergeCell ref="YW110:ZE110"/>
    <mergeCell ref="ZF110:AAB110"/>
    <mergeCell ref="AAC110:AAK110"/>
    <mergeCell ref="AAL110:ABH110"/>
    <mergeCell ref="ABI110:ABQ110"/>
    <mergeCell ref="VN110:WJ110"/>
    <mergeCell ref="WK110:WS110"/>
    <mergeCell ref="WT110:XP110"/>
    <mergeCell ref="XQ110:XY110"/>
    <mergeCell ref="XZ110:YV110"/>
    <mergeCell ref="SS110:TA110"/>
    <mergeCell ref="TB110:TX110"/>
    <mergeCell ref="TY110:UG110"/>
    <mergeCell ref="UH110:VD110"/>
    <mergeCell ref="VE110:VM110"/>
    <mergeCell ref="ANZ110:AOV110"/>
    <mergeCell ref="AOW110:APE110"/>
    <mergeCell ref="APF110:AQB110"/>
    <mergeCell ref="AQC110:AQK110"/>
    <mergeCell ref="AQL110:ARH110"/>
    <mergeCell ref="ALE110:ALM110"/>
    <mergeCell ref="ALN110:AMJ110"/>
    <mergeCell ref="AMK110:AMS110"/>
    <mergeCell ref="AMT110:ANP110"/>
    <mergeCell ref="ANQ110:ANY110"/>
    <mergeCell ref="AHV110:AIR110"/>
    <mergeCell ref="AIS110:AJA110"/>
    <mergeCell ref="AJB110:AJX110"/>
    <mergeCell ref="AJY110:AKG110"/>
    <mergeCell ref="AKH110:ALD110"/>
    <mergeCell ref="AFA110:AFI110"/>
    <mergeCell ref="AFJ110:AGF110"/>
    <mergeCell ref="AGG110:AGO110"/>
    <mergeCell ref="AGP110:AHL110"/>
    <mergeCell ref="AHM110:AHU110"/>
    <mergeCell ref="BAH110:BBD110"/>
    <mergeCell ref="BBE110:BBM110"/>
    <mergeCell ref="BBN110:BCJ110"/>
    <mergeCell ref="BCK110:BCS110"/>
    <mergeCell ref="BCT110:BDP110"/>
    <mergeCell ref="AXM110:AXU110"/>
    <mergeCell ref="AXV110:AYR110"/>
    <mergeCell ref="AYS110:AZA110"/>
    <mergeCell ref="AZB110:AZX110"/>
    <mergeCell ref="AZY110:BAG110"/>
    <mergeCell ref="AUD110:AUZ110"/>
    <mergeCell ref="AVA110:AVI110"/>
    <mergeCell ref="AVJ110:AWF110"/>
    <mergeCell ref="AWG110:AWO110"/>
    <mergeCell ref="AWP110:AXL110"/>
    <mergeCell ref="ARI110:ARQ110"/>
    <mergeCell ref="ARR110:ASN110"/>
    <mergeCell ref="ASO110:ASW110"/>
    <mergeCell ref="ASX110:ATT110"/>
    <mergeCell ref="ATU110:AUC110"/>
    <mergeCell ref="BMP110:BNL110"/>
    <mergeCell ref="BNM110:BNU110"/>
    <mergeCell ref="BNV110:BOR110"/>
    <mergeCell ref="BOS110:BPA110"/>
    <mergeCell ref="BPB110:BPX110"/>
    <mergeCell ref="BJU110:BKC110"/>
    <mergeCell ref="BKD110:BKZ110"/>
    <mergeCell ref="BLA110:BLI110"/>
    <mergeCell ref="BLJ110:BMF110"/>
    <mergeCell ref="BMG110:BMO110"/>
    <mergeCell ref="BGL110:BHH110"/>
    <mergeCell ref="BHI110:BHQ110"/>
    <mergeCell ref="BHR110:BIN110"/>
    <mergeCell ref="BIO110:BIW110"/>
    <mergeCell ref="BIX110:BJT110"/>
    <mergeCell ref="BDQ110:BDY110"/>
    <mergeCell ref="BDZ110:BEV110"/>
    <mergeCell ref="BEW110:BFE110"/>
    <mergeCell ref="BFF110:BGB110"/>
    <mergeCell ref="BGC110:BGK110"/>
    <mergeCell ref="BYX110:BZT110"/>
    <mergeCell ref="BZU110:CAC110"/>
    <mergeCell ref="CAD110:CAZ110"/>
    <mergeCell ref="CBA110:CBI110"/>
    <mergeCell ref="CBJ110:CCF110"/>
    <mergeCell ref="BWC110:BWK110"/>
    <mergeCell ref="BWL110:BXH110"/>
    <mergeCell ref="BXI110:BXQ110"/>
    <mergeCell ref="BXR110:BYN110"/>
    <mergeCell ref="BYO110:BYW110"/>
    <mergeCell ref="BST110:BTP110"/>
    <mergeCell ref="BTQ110:BTY110"/>
    <mergeCell ref="BTZ110:BUV110"/>
    <mergeCell ref="BUW110:BVE110"/>
    <mergeCell ref="BVF110:BWB110"/>
    <mergeCell ref="BPY110:BQG110"/>
    <mergeCell ref="BQH110:BRD110"/>
    <mergeCell ref="BRE110:BRM110"/>
    <mergeCell ref="BRN110:BSJ110"/>
    <mergeCell ref="BSK110:BSS110"/>
    <mergeCell ref="CLF110:CMB110"/>
    <mergeCell ref="CMC110:CMK110"/>
    <mergeCell ref="CML110:CNH110"/>
    <mergeCell ref="CNI110:CNQ110"/>
    <mergeCell ref="CNR110:CON110"/>
    <mergeCell ref="CIK110:CIS110"/>
    <mergeCell ref="CIT110:CJP110"/>
    <mergeCell ref="CJQ110:CJY110"/>
    <mergeCell ref="CJZ110:CKV110"/>
    <mergeCell ref="CKW110:CLE110"/>
    <mergeCell ref="CFB110:CFX110"/>
    <mergeCell ref="CFY110:CGG110"/>
    <mergeCell ref="CGH110:CHD110"/>
    <mergeCell ref="CHE110:CHM110"/>
    <mergeCell ref="CHN110:CIJ110"/>
    <mergeCell ref="CCG110:CCO110"/>
    <mergeCell ref="CCP110:CDL110"/>
    <mergeCell ref="CDM110:CDU110"/>
    <mergeCell ref="CDV110:CER110"/>
    <mergeCell ref="CES110:CFA110"/>
    <mergeCell ref="CXN110:CYJ110"/>
    <mergeCell ref="CYK110:CYS110"/>
    <mergeCell ref="CYT110:CZP110"/>
    <mergeCell ref="CZQ110:CZY110"/>
    <mergeCell ref="CZZ110:DAV110"/>
    <mergeCell ref="CUS110:CVA110"/>
    <mergeCell ref="CVB110:CVX110"/>
    <mergeCell ref="CVY110:CWG110"/>
    <mergeCell ref="CWH110:CXD110"/>
    <mergeCell ref="CXE110:CXM110"/>
    <mergeCell ref="CRJ110:CSF110"/>
    <mergeCell ref="CSG110:CSO110"/>
    <mergeCell ref="CSP110:CTL110"/>
    <mergeCell ref="CTM110:CTU110"/>
    <mergeCell ref="CTV110:CUR110"/>
    <mergeCell ref="COO110:COW110"/>
    <mergeCell ref="COX110:CPT110"/>
    <mergeCell ref="CPU110:CQC110"/>
    <mergeCell ref="CQD110:CQZ110"/>
    <mergeCell ref="CRA110:CRI110"/>
    <mergeCell ref="DJV110:DKR110"/>
    <mergeCell ref="DKS110:DLA110"/>
    <mergeCell ref="DLB110:DLX110"/>
    <mergeCell ref="DLY110:DMG110"/>
    <mergeCell ref="DMH110:DND110"/>
    <mergeCell ref="DHA110:DHI110"/>
    <mergeCell ref="DHJ110:DIF110"/>
    <mergeCell ref="DIG110:DIO110"/>
    <mergeCell ref="DIP110:DJL110"/>
    <mergeCell ref="DJM110:DJU110"/>
    <mergeCell ref="DDR110:DEN110"/>
    <mergeCell ref="DEO110:DEW110"/>
    <mergeCell ref="DEX110:DFT110"/>
    <mergeCell ref="DFU110:DGC110"/>
    <mergeCell ref="DGD110:DGZ110"/>
    <mergeCell ref="DAW110:DBE110"/>
    <mergeCell ref="DBF110:DCB110"/>
    <mergeCell ref="DCC110:DCK110"/>
    <mergeCell ref="DCL110:DDH110"/>
    <mergeCell ref="DDI110:DDQ110"/>
    <mergeCell ref="DWD110:DWZ110"/>
    <mergeCell ref="DXA110:DXI110"/>
    <mergeCell ref="DXJ110:DYF110"/>
    <mergeCell ref="DYG110:DYO110"/>
    <mergeCell ref="DYP110:DZL110"/>
    <mergeCell ref="DTI110:DTQ110"/>
    <mergeCell ref="DTR110:DUN110"/>
    <mergeCell ref="DUO110:DUW110"/>
    <mergeCell ref="DUX110:DVT110"/>
    <mergeCell ref="DVU110:DWC110"/>
    <mergeCell ref="DPZ110:DQV110"/>
    <mergeCell ref="DQW110:DRE110"/>
    <mergeCell ref="DRF110:DSB110"/>
    <mergeCell ref="DSC110:DSK110"/>
    <mergeCell ref="DSL110:DTH110"/>
    <mergeCell ref="DNE110:DNM110"/>
    <mergeCell ref="DNN110:DOJ110"/>
    <mergeCell ref="DOK110:DOS110"/>
    <mergeCell ref="DOT110:DPP110"/>
    <mergeCell ref="DPQ110:DPY110"/>
    <mergeCell ref="EIL110:EJH110"/>
    <mergeCell ref="EJI110:EJQ110"/>
    <mergeCell ref="EJR110:EKN110"/>
    <mergeCell ref="EKO110:EKW110"/>
    <mergeCell ref="EKX110:ELT110"/>
    <mergeCell ref="EFQ110:EFY110"/>
    <mergeCell ref="EFZ110:EGV110"/>
    <mergeCell ref="EGW110:EHE110"/>
    <mergeCell ref="EHF110:EIB110"/>
    <mergeCell ref="EIC110:EIK110"/>
    <mergeCell ref="ECH110:EDD110"/>
    <mergeCell ref="EDE110:EDM110"/>
    <mergeCell ref="EDN110:EEJ110"/>
    <mergeCell ref="EEK110:EES110"/>
    <mergeCell ref="EET110:EFP110"/>
    <mergeCell ref="DZM110:DZU110"/>
    <mergeCell ref="DZV110:EAR110"/>
    <mergeCell ref="EAS110:EBA110"/>
    <mergeCell ref="EBB110:EBX110"/>
    <mergeCell ref="EBY110:ECG110"/>
    <mergeCell ref="EUT110:EVP110"/>
    <mergeCell ref="EVQ110:EVY110"/>
    <mergeCell ref="EVZ110:EWV110"/>
    <mergeCell ref="EWW110:EXE110"/>
    <mergeCell ref="EXF110:EYB110"/>
    <mergeCell ref="ERY110:ESG110"/>
    <mergeCell ref="ESH110:ETD110"/>
    <mergeCell ref="ETE110:ETM110"/>
    <mergeCell ref="ETN110:EUJ110"/>
    <mergeCell ref="EUK110:EUS110"/>
    <mergeCell ref="EOP110:EPL110"/>
    <mergeCell ref="EPM110:EPU110"/>
    <mergeCell ref="EPV110:EQR110"/>
    <mergeCell ref="EQS110:ERA110"/>
    <mergeCell ref="ERB110:ERX110"/>
    <mergeCell ref="ELU110:EMC110"/>
    <mergeCell ref="EMD110:EMZ110"/>
    <mergeCell ref="ENA110:ENI110"/>
    <mergeCell ref="ENJ110:EOF110"/>
    <mergeCell ref="EOG110:EOO110"/>
    <mergeCell ref="FHB110:FHX110"/>
    <mergeCell ref="FHY110:FIG110"/>
    <mergeCell ref="FIH110:FJD110"/>
    <mergeCell ref="FJE110:FJM110"/>
    <mergeCell ref="FJN110:FKJ110"/>
    <mergeCell ref="FEG110:FEO110"/>
    <mergeCell ref="FEP110:FFL110"/>
    <mergeCell ref="FFM110:FFU110"/>
    <mergeCell ref="FFV110:FGR110"/>
    <mergeCell ref="FGS110:FHA110"/>
    <mergeCell ref="FAX110:FBT110"/>
    <mergeCell ref="FBU110:FCC110"/>
    <mergeCell ref="FCD110:FCZ110"/>
    <mergeCell ref="FDA110:FDI110"/>
    <mergeCell ref="FDJ110:FEF110"/>
    <mergeCell ref="EYC110:EYK110"/>
    <mergeCell ref="EYL110:EZH110"/>
    <mergeCell ref="EZI110:EZQ110"/>
    <mergeCell ref="EZR110:FAN110"/>
    <mergeCell ref="FAO110:FAW110"/>
    <mergeCell ref="FTJ110:FUF110"/>
    <mergeCell ref="FUG110:FUO110"/>
    <mergeCell ref="FUP110:FVL110"/>
    <mergeCell ref="FVM110:FVU110"/>
    <mergeCell ref="FVV110:FWR110"/>
    <mergeCell ref="FQO110:FQW110"/>
    <mergeCell ref="FQX110:FRT110"/>
    <mergeCell ref="FRU110:FSC110"/>
    <mergeCell ref="FSD110:FSZ110"/>
    <mergeCell ref="FTA110:FTI110"/>
    <mergeCell ref="FNF110:FOB110"/>
    <mergeCell ref="FOC110:FOK110"/>
    <mergeCell ref="FOL110:FPH110"/>
    <mergeCell ref="FPI110:FPQ110"/>
    <mergeCell ref="FPR110:FQN110"/>
    <mergeCell ref="FKK110:FKS110"/>
    <mergeCell ref="FKT110:FLP110"/>
    <mergeCell ref="FLQ110:FLY110"/>
    <mergeCell ref="FLZ110:FMV110"/>
    <mergeCell ref="FMW110:FNE110"/>
    <mergeCell ref="GFR110:GGN110"/>
    <mergeCell ref="GGO110:GGW110"/>
    <mergeCell ref="GGX110:GHT110"/>
    <mergeCell ref="GHU110:GIC110"/>
    <mergeCell ref="GID110:GIZ110"/>
    <mergeCell ref="GCW110:GDE110"/>
    <mergeCell ref="GDF110:GEB110"/>
    <mergeCell ref="GEC110:GEK110"/>
    <mergeCell ref="GEL110:GFH110"/>
    <mergeCell ref="GFI110:GFQ110"/>
    <mergeCell ref="FZN110:GAJ110"/>
    <mergeCell ref="GAK110:GAS110"/>
    <mergeCell ref="GAT110:GBP110"/>
    <mergeCell ref="GBQ110:GBY110"/>
    <mergeCell ref="GBZ110:GCV110"/>
    <mergeCell ref="FWS110:FXA110"/>
    <mergeCell ref="FXB110:FXX110"/>
    <mergeCell ref="FXY110:FYG110"/>
    <mergeCell ref="FYH110:FZD110"/>
    <mergeCell ref="FZE110:FZM110"/>
    <mergeCell ref="GRZ110:GSV110"/>
    <mergeCell ref="GSW110:GTE110"/>
    <mergeCell ref="GTF110:GUB110"/>
    <mergeCell ref="GUC110:GUK110"/>
    <mergeCell ref="GUL110:GVH110"/>
    <mergeCell ref="GPE110:GPM110"/>
    <mergeCell ref="GPN110:GQJ110"/>
    <mergeCell ref="GQK110:GQS110"/>
    <mergeCell ref="GQT110:GRP110"/>
    <mergeCell ref="GRQ110:GRY110"/>
    <mergeCell ref="GLV110:GMR110"/>
    <mergeCell ref="GMS110:GNA110"/>
    <mergeCell ref="GNB110:GNX110"/>
    <mergeCell ref="GNY110:GOG110"/>
    <mergeCell ref="GOH110:GPD110"/>
    <mergeCell ref="GJA110:GJI110"/>
    <mergeCell ref="GJJ110:GKF110"/>
    <mergeCell ref="GKG110:GKO110"/>
    <mergeCell ref="GKP110:GLL110"/>
    <mergeCell ref="GLM110:GLU110"/>
    <mergeCell ref="HEH110:HFD110"/>
    <mergeCell ref="HFE110:HFM110"/>
    <mergeCell ref="HFN110:HGJ110"/>
    <mergeCell ref="HGK110:HGS110"/>
    <mergeCell ref="HGT110:HHP110"/>
    <mergeCell ref="HBM110:HBU110"/>
    <mergeCell ref="HBV110:HCR110"/>
    <mergeCell ref="HCS110:HDA110"/>
    <mergeCell ref="HDB110:HDX110"/>
    <mergeCell ref="HDY110:HEG110"/>
    <mergeCell ref="GYD110:GYZ110"/>
    <mergeCell ref="GZA110:GZI110"/>
    <mergeCell ref="GZJ110:HAF110"/>
    <mergeCell ref="HAG110:HAO110"/>
    <mergeCell ref="HAP110:HBL110"/>
    <mergeCell ref="GVI110:GVQ110"/>
    <mergeCell ref="GVR110:GWN110"/>
    <mergeCell ref="GWO110:GWW110"/>
    <mergeCell ref="GWX110:GXT110"/>
    <mergeCell ref="GXU110:GYC110"/>
    <mergeCell ref="HQP110:HRL110"/>
    <mergeCell ref="HRM110:HRU110"/>
    <mergeCell ref="HRV110:HSR110"/>
    <mergeCell ref="HSS110:HTA110"/>
    <mergeCell ref="HTB110:HTX110"/>
    <mergeCell ref="HNU110:HOC110"/>
    <mergeCell ref="HOD110:HOZ110"/>
    <mergeCell ref="HPA110:HPI110"/>
    <mergeCell ref="HPJ110:HQF110"/>
    <mergeCell ref="HQG110:HQO110"/>
    <mergeCell ref="HKL110:HLH110"/>
    <mergeCell ref="HLI110:HLQ110"/>
    <mergeCell ref="HLR110:HMN110"/>
    <mergeCell ref="HMO110:HMW110"/>
    <mergeCell ref="HMX110:HNT110"/>
    <mergeCell ref="HHQ110:HHY110"/>
    <mergeCell ref="HHZ110:HIV110"/>
    <mergeCell ref="HIW110:HJE110"/>
    <mergeCell ref="HJF110:HKB110"/>
    <mergeCell ref="HKC110:HKK110"/>
    <mergeCell ref="ICX110:IDT110"/>
    <mergeCell ref="IDU110:IEC110"/>
    <mergeCell ref="IED110:IEZ110"/>
    <mergeCell ref="IFA110:IFI110"/>
    <mergeCell ref="IFJ110:IGF110"/>
    <mergeCell ref="IAC110:IAK110"/>
    <mergeCell ref="IAL110:IBH110"/>
    <mergeCell ref="IBI110:IBQ110"/>
    <mergeCell ref="IBR110:ICN110"/>
    <mergeCell ref="ICO110:ICW110"/>
    <mergeCell ref="HWT110:HXP110"/>
    <mergeCell ref="HXQ110:HXY110"/>
    <mergeCell ref="HXZ110:HYV110"/>
    <mergeCell ref="HYW110:HZE110"/>
    <mergeCell ref="HZF110:IAB110"/>
    <mergeCell ref="HTY110:HUG110"/>
    <mergeCell ref="HUH110:HVD110"/>
    <mergeCell ref="HVE110:HVM110"/>
    <mergeCell ref="HVN110:HWJ110"/>
    <mergeCell ref="HWK110:HWS110"/>
    <mergeCell ref="IPF110:IQB110"/>
    <mergeCell ref="IQC110:IQK110"/>
    <mergeCell ref="IQL110:IRH110"/>
    <mergeCell ref="IRI110:IRQ110"/>
    <mergeCell ref="IRR110:ISN110"/>
    <mergeCell ref="IMK110:IMS110"/>
    <mergeCell ref="IMT110:INP110"/>
    <mergeCell ref="INQ110:INY110"/>
    <mergeCell ref="INZ110:IOV110"/>
    <mergeCell ref="IOW110:IPE110"/>
    <mergeCell ref="IJB110:IJX110"/>
    <mergeCell ref="IJY110:IKG110"/>
    <mergeCell ref="IKH110:ILD110"/>
    <mergeCell ref="ILE110:ILM110"/>
    <mergeCell ref="ILN110:IMJ110"/>
    <mergeCell ref="IGG110:IGO110"/>
    <mergeCell ref="IGP110:IHL110"/>
    <mergeCell ref="IHM110:IHU110"/>
    <mergeCell ref="IHV110:IIR110"/>
    <mergeCell ref="IIS110:IJA110"/>
    <mergeCell ref="JBN110:JCJ110"/>
    <mergeCell ref="JCK110:JCS110"/>
    <mergeCell ref="JCT110:JDP110"/>
    <mergeCell ref="JDQ110:JDY110"/>
    <mergeCell ref="JDZ110:JEV110"/>
    <mergeCell ref="IYS110:IZA110"/>
    <mergeCell ref="IZB110:IZX110"/>
    <mergeCell ref="IZY110:JAG110"/>
    <mergeCell ref="JAH110:JBD110"/>
    <mergeCell ref="JBE110:JBM110"/>
    <mergeCell ref="IVJ110:IWF110"/>
    <mergeCell ref="IWG110:IWO110"/>
    <mergeCell ref="IWP110:IXL110"/>
    <mergeCell ref="IXM110:IXU110"/>
    <mergeCell ref="IXV110:IYR110"/>
    <mergeCell ref="ISO110:ISW110"/>
    <mergeCell ref="ISX110:ITT110"/>
    <mergeCell ref="ITU110:IUC110"/>
    <mergeCell ref="IUD110:IUZ110"/>
    <mergeCell ref="IVA110:IVI110"/>
    <mergeCell ref="JNV110:JOR110"/>
    <mergeCell ref="JOS110:JPA110"/>
    <mergeCell ref="JPB110:JPX110"/>
    <mergeCell ref="JPY110:JQG110"/>
    <mergeCell ref="JQH110:JRD110"/>
    <mergeCell ref="JLA110:JLI110"/>
    <mergeCell ref="JLJ110:JMF110"/>
    <mergeCell ref="JMG110:JMO110"/>
    <mergeCell ref="JMP110:JNL110"/>
    <mergeCell ref="JNM110:JNU110"/>
    <mergeCell ref="JHR110:JIN110"/>
    <mergeCell ref="JIO110:JIW110"/>
    <mergeCell ref="JIX110:JJT110"/>
    <mergeCell ref="JJU110:JKC110"/>
    <mergeCell ref="JKD110:JKZ110"/>
    <mergeCell ref="JEW110:JFE110"/>
    <mergeCell ref="JFF110:JGB110"/>
    <mergeCell ref="JGC110:JGK110"/>
    <mergeCell ref="JGL110:JHH110"/>
    <mergeCell ref="JHI110:JHQ110"/>
    <mergeCell ref="KAD110:KAZ110"/>
    <mergeCell ref="KBA110:KBI110"/>
    <mergeCell ref="KBJ110:KCF110"/>
    <mergeCell ref="KCG110:KCO110"/>
    <mergeCell ref="KCP110:KDL110"/>
    <mergeCell ref="JXI110:JXQ110"/>
    <mergeCell ref="JXR110:JYN110"/>
    <mergeCell ref="JYO110:JYW110"/>
    <mergeCell ref="JYX110:JZT110"/>
    <mergeCell ref="JZU110:KAC110"/>
    <mergeCell ref="JTZ110:JUV110"/>
    <mergeCell ref="JUW110:JVE110"/>
    <mergeCell ref="JVF110:JWB110"/>
    <mergeCell ref="JWC110:JWK110"/>
    <mergeCell ref="JWL110:JXH110"/>
    <mergeCell ref="JRE110:JRM110"/>
    <mergeCell ref="JRN110:JSJ110"/>
    <mergeCell ref="JSK110:JSS110"/>
    <mergeCell ref="JST110:JTP110"/>
    <mergeCell ref="JTQ110:JTY110"/>
    <mergeCell ref="KML110:KNH110"/>
    <mergeCell ref="KNI110:KNQ110"/>
    <mergeCell ref="KNR110:KON110"/>
    <mergeCell ref="KOO110:KOW110"/>
    <mergeCell ref="KOX110:KPT110"/>
    <mergeCell ref="KJQ110:KJY110"/>
    <mergeCell ref="KJZ110:KKV110"/>
    <mergeCell ref="KKW110:KLE110"/>
    <mergeCell ref="KLF110:KMB110"/>
    <mergeCell ref="KMC110:KMK110"/>
    <mergeCell ref="KGH110:KHD110"/>
    <mergeCell ref="KHE110:KHM110"/>
    <mergeCell ref="KHN110:KIJ110"/>
    <mergeCell ref="KIK110:KIS110"/>
    <mergeCell ref="KIT110:KJP110"/>
    <mergeCell ref="KDM110:KDU110"/>
    <mergeCell ref="KDV110:KER110"/>
    <mergeCell ref="KES110:KFA110"/>
    <mergeCell ref="KFB110:KFX110"/>
    <mergeCell ref="KFY110:KGG110"/>
    <mergeCell ref="KYT110:KZP110"/>
    <mergeCell ref="KZQ110:KZY110"/>
    <mergeCell ref="KZZ110:LAV110"/>
    <mergeCell ref="LAW110:LBE110"/>
    <mergeCell ref="LBF110:LCB110"/>
    <mergeCell ref="KVY110:KWG110"/>
    <mergeCell ref="KWH110:KXD110"/>
    <mergeCell ref="KXE110:KXM110"/>
    <mergeCell ref="KXN110:KYJ110"/>
    <mergeCell ref="KYK110:KYS110"/>
    <mergeCell ref="KSP110:KTL110"/>
    <mergeCell ref="KTM110:KTU110"/>
    <mergeCell ref="KTV110:KUR110"/>
    <mergeCell ref="KUS110:KVA110"/>
    <mergeCell ref="KVB110:KVX110"/>
    <mergeCell ref="KPU110:KQC110"/>
    <mergeCell ref="KQD110:KQZ110"/>
    <mergeCell ref="KRA110:KRI110"/>
    <mergeCell ref="KRJ110:KSF110"/>
    <mergeCell ref="KSG110:KSO110"/>
    <mergeCell ref="LLB110:LLX110"/>
    <mergeCell ref="LLY110:LMG110"/>
    <mergeCell ref="LMH110:LND110"/>
    <mergeCell ref="LNE110:LNM110"/>
    <mergeCell ref="LNN110:LOJ110"/>
    <mergeCell ref="LIG110:LIO110"/>
    <mergeCell ref="LIP110:LJL110"/>
    <mergeCell ref="LJM110:LJU110"/>
    <mergeCell ref="LJV110:LKR110"/>
    <mergeCell ref="LKS110:LLA110"/>
    <mergeCell ref="LEX110:LFT110"/>
    <mergeCell ref="LFU110:LGC110"/>
    <mergeCell ref="LGD110:LGZ110"/>
    <mergeCell ref="LHA110:LHI110"/>
    <mergeCell ref="LHJ110:LIF110"/>
    <mergeCell ref="LCC110:LCK110"/>
    <mergeCell ref="LCL110:LDH110"/>
    <mergeCell ref="LDI110:LDQ110"/>
    <mergeCell ref="LDR110:LEN110"/>
    <mergeCell ref="LEO110:LEW110"/>
    <mergeCell ref="LXJ110:LYF110"/>
    <mergeCell ref="LYG110:LYO110"/>
    <mergeCell ref="LYP110:LZL110"/>
    <mergeCell ref="LZM110:LZU110"/>
    <mergeCell ref="LZV110:MAR110"/>
    <mergeCell ref="LUO110:LUW110"/>
    <mergeCell ref="LUX110:LVT110"/>
    <mergeCell ref="LVU110:LWC110"/>
    <mergeCell ref="LWD110:LWZ110"/>
    <mergeCell ref="LXA110:LXI110"/>
    <mergeCell ref="LRF110:LSB110"/>
    <mergeCell ref="LSC110:LSK110"/>
    <mergeCell ref="LSL110:LTH110"/>
    <mergeCell ref="LTI110:LTQ110"/>
    <mergeCell ref="LTR110:LUN110"/>
    <mergeCell ref="LOK110:LOS110"/>
    <mergeCell ref="LOT110:LPP110"/>
    <mergeCell ref="LPQ110:LPY110"/>
    <mergeCell ref="LPZ110:LQV110"/>
    <mergeCell ref="LQW110:LRE110"/>
    <mergeCell ref="MJR110:MKN110"/>
    <mergeCell ref="MKO110:MKW110"/>
    <mergeCell ref="MKX110:MLT110"/>
    <mergeCell ref="MLU110:MMC110"/>
    <mergeCell ref="MMD110:MMZ110"/>
    <mergeCell ref="MGW110:MHE110"/>
    <mergeCell ref="MHF110:MIB110"/>
    <mergeCell ref="MIC110:MIK110"/>
    <mergeCell ref="MIL110:MJH110"/>
    <mergeCell ref="MJI110:MJQ110"/>
    <mergeCell ref="MDN110:MEJ110"/>
    <mergeCell ref="MEK110:MES110"/>
    <mergeCell ref="MET110:MFP110"/>
    <mergeCell ref="MFQ110:MFY110"/>
    <mergeCell ref="MFZ110:MGV110"/>
    <mergeCell ref="MAS110:MBA110"/>
    <mergeCell ref="MBB110:MBX110"/>
    <mergeCell ref="MBY110:MCG110"/>
    <mergeCell ref="MCH110:MDD110"/>
    <mergeCell ref="MDE110:MDM110"/>
    <mergeCell ref="MVZ110:MWV110"/>
    <mergeCell ref="MWW110:MXE110"/>
    <mergeCell ref="MXF110:MYB110"/>
    <mergeCell ref="MYC110:MYK110"/>
    <mergeCell ref="MYL110:MZH110"/>
    <mergeCell ref="MTE110:MTM110"/>
    <mergeCell ref="MTN110:MUJ110"/>
    <mergeCell ref="MUK110:MUS110"/>
    <mergeCell ref="MUT110:MVP110"/>
    <mergeCell ref="MVQ110:MVY110"/>
    <mergeCell ref="MPV110:MQR110"/>
    <mergeCell ref="MQS110:MRA110"/>
    <mergeCell ref="MRB110:MRX110"/>
    <mergeCell ref="MRY110:MSG110"/>
    <mergeCell ref="MSH110:MTD110"/>
    <mergeCell ref="MNA110:MNI110"/>
    <mergeCell ref="MNJ110:MOF110"/>
    <mergeCell ref="MOG110:MOO110"/>
    <mergeCell ref="MOP110:MPL110"/>
    <mergeCell ref="MPM110:MPU110"/>
    <mergeCell ref="NIH110:NJD110"/>
    <mergeCell ref="NJE110:NJM110"/>
    <mergeCell ref="NJN110:NKJ110"/>
    <mergeCell ref="NKK110:NKS110"/>
    <mergeCell ref="NKT110:NLP110"/>
    <mergeCell ref="NFM110:NFU110"/>
    <mergeCell ref="NFV110:NGR110"/>
    <mergeCell ref="NGS110:NHA110"/>
    <mergeCell ref="NHB110:NHX110"/>
    <mergeCell ref="NHY110:NIG110"/>
    <mergeCell ref="NCD110:NCZ110"/>
    <mergeCell ref="NDA110:NDI110"/>
    <mergeCell ref="NDJ110:NEF110"/>
    <mergeCell ref="NEG110:NEO110"/>
    <mergeCell ref="NEP110:NFL110"/>
    <mergeCell ref="MZI110:MZQ110"/>
    <mergeCell ref="MZR110:NAN110"/>
    <mergeCell ref="NAO110:NAW110"/>
    <mergeCell ref="NAX110:NBT110"/>
    <mergeCell ref="NBU110:NCC110"/>
    <mergeCell ref="NUP110:NVL110"/>
    <mergeCell ref="NVM110:NVU110"/>
    <mergeCell ref="NVV110:NWR110"/>
    <mergeCell ref="NWS110:NXA110"/>
    <mergeCell ref="NXB110:NXX110"/>
    <mergeCell ref="NRU110:NSC110"/>
    <mergeCell ref="NSD110:NSZ110"/>
    <mergeCell ref="NTA110:NTI110"/>
    <mergeCell ref="NTJ110:NUF110"/>
    <mergeCell ref="NUG110:NUO110"/>
    <mergeCell ref="NOL110:NPH110"/>
    <mergeCell ref="NPI110:NPQ110"/>
    <mergeCell ref="NPR110:NQN110"/>
    <mergeCell ref="NQO110:NQW110"/>
    <mergeCell ref="NQX110:NRT110"/>
    <mergeCell ref="NLQ110:NLY110"/>
    <mergeCell ref="NLZ110:NMV110"/>
    <mergeCell ref="NMW110:NNE110"/>
    <mergeCell ref="NNF110:NOB110"/>
    <mergeCell ref="NOC110:NOK110"/>
    <mergeCell ref="OGX110:OHT110"/>
    <mergeCell ref="OHU110:OIC110"/>
    <mergeCell ref="OID110:OIZ110"/>
    <mergeCell ref="OJA110:OJI110"/>
    <mergeCell ref="OJJ110:OKF110"/>
    <mergeCell ref="OEC110:OEK110"/>
    <mergeCell ref="OEL110:OFH110"/>
    <mergeCell ref="OFI110:OFQ110"/>
    <mergeCell ref="OFR110:OGN110"/>
    <mergeCell ref="OGO110:OGW110"/>
    <mergeCell ref="OAT110:OBP110"/>
    <mergeCell ref="OBQ110:OBY110"/>
    <mergeCell ref="OBZ110:OCV110"/>
    <mergeCell ref="OCW110:ODE110"/>
    <mergeCell ref="ODF110:OEB110"/>
    <mergeCell ref="NXY110:NYG110"/>
    <mergeCell ref="NYH110:NZD110"/>
    <mergeCell ref="NZE110:NZM110"/>
    <mergeCell ref="NZN110:OAJ110"/>
    <mergeCell ref="OAK110:OAS110"/>
    <mergeCell ref="OTF110:OUB110"/>
    <mergeCell ref="OUC110:OUK110"/>
    <mergeCell ref="OUL110:OVH110"/>
    <mergeCell ref="OVI110:OVQ110"/>
    <mergeCell ref="OVR110:OWN110"/>
    <mergeCell ref="OQK110:OQS110"/>
    <mergeCell ref="OQT110:ORP110"/>
    <mergeCell ref="ORQ110:ORY110"/>
    <mergeCell ref="ORZ110:OSV110"/>
    <mergeCell ref="OSW110:OTE110"/>
    <mergeCell ref="ONB110:ONX110"/>
    <mergeCell ref="ONY110:OOG110"/>
    <mergeCell ref="OOH110:OPD110"/>
    <mergeCell ref="OPE110:OPM110"/>
    <mergeCell ref="OPN110:OQJ110"/>
    <mergeCell ref="OKG110:OKO110"/>
    <mergeCell ref="OKP110:OLL110"/>
    <mergeCell ref="OLM110:OLU110"/>
    <mergeCell ref="OLV110:OMR110"/>
    <mergeCell ref="OMS110:ONA110"/>
    <mergeCell ref="PFN110:PGJ110"/>
    <mergeCell ref="PGK110:PGS110"/>
    <mergeCell ref="PGT110:PHP110"/>
    <mergeCell ref="PHQ110:PHY110"/>
    <mergeCell ref="PHZ110:PIV110"/>
    <mergeCell ref="PCS110:PDA110"/>
    <mergeCell ref="PDB110:PDX110"/>
    <mergeCell ref="PDY110:PEG110"/>
    <mergeCell ref="PEH110:PFD110"/>
    <mergeCell ref="PFE110:PFM110"/>
    <mergeCell ref="OZJ110:PAF110"/>
    <mergeCell ref="PAG110:PAO110"/>
    <mergeCell ref="PAP110:PBL110"/>
    <mergeCell ref="PBM110:PBU110"/>
    <mergeCell ref="PBV110:PCR110"/>
    <mergeCell ref="OWO110:OWW110"/>
    <mergeCell ref="OWX110:OXT110"/>
    <mergeCell ref="OXU110:OYC110"/>
    <mergeCell ref="OYD110:OYZ110"/>
    <mergeCell ref="OZA110:OZI110"/>
    <mergeCell ref="PRV110:PSR110"/>
    <mergeCell ref="PSS110:PTA110"/>
    <mergeCell ref="PTB110:PTX110"/>
    <mergeCell ref="PTY110:PUG110"/>
    <mergeCell ref="PUH110:PVD110"/>
    <mergeCell ref="PPA110:PPI110"/>
    <mergeCell ref="PPJ110:PQF110"/>
    <mergeCell ref="PQG110:PQO110"/>
    <mergeCell ref="PQP110:PRL110"/>
    <mergeCell ref="PRM110:PRU110"/>
    <mergeCell ref="PLR110:PMN110"/>
    <mergeCell ref="PMO110:PMW110"/>
    <mergeCell ref="PMX110:PNT110"/>
    <mergeCell ref="PNU110:POC110"/>
    <mergeCell ref="POD110:POZ110"/>
    <mergeCell ref="PIW110:PJE110"/>
    <mergeCell ref="PJF110:PKB110"/>
    <mergeCell ref="PKC110:PKK110"/>
    <mergeCell ref="PKL110:PLH110"/>
    <mergeCell ref="PLI110:PLQ110"/>
    <mergeCell ref="QED110:QEZ110"/>
    <mergeCell ref="QFA110:QFI110"/>
    <mergeCell ref="QFJ110:QGF110"/>
    <mergeCell ref="QGG110:QGO110"/>
    <mergeCell ref="QGP110:QHL110"/>
    <mergeCell ref="QBI110:QBQ110"/>
    <mergeCell ref="QBR110:QCN110"/>
    <mergeCell ref="QCO110:QCW110"/>
    <mergeCell ref="QCX110:QDT110"/>
    <mergeCell ref="QDU110:QEC110"/>
    <mergeCell ref="PXZ110:PYV110"/>
    <mergeCell ref="PYW110:PZE110"/>
    <mergeCell ref="PZF110:QAB110"/>
    <mergeCell ref="QAC110:QAK110"/>
    <mergeCell ref="QAL110:QBH110"/>
    <mergeCell ref="PVE110:PVM110"/>
    <mergeCell ref="PVN110:PWJ110"/>
    <mergeCell ref="PWK110:PWS110"/>
    <mergeCell ref="PWT110:PXP110"/>
    <mergeCell ref="PXQ110:PXY110"/>
    <mergeCell ref="QQL110:QRH110"/>
    <mergeCell ref="QRI110:QRQ110"/>
    <mergeCell ref="QRR110:QSN110"/>
    <mergeCell ref="QSO110:QSW110"/>
    <mergeCell ref="QSX110:QTT110"/>
    <mergeCell ref="QNQ110:QNY110"/>
    <mergeCell ref="QNZ110:QOV110"/>
    <mergeCell ref="QOW110:QPE110"/>
    <mergeCell ref="QPF110:QQB110"/>
    <mergeCell ref="QQC110:QQK110"/>
    <mergeCell ref="QKH110:QLD110"/>
    <mergeCell ref="QLE110:QLM110"/>
    <mergeCell ref="QLN110:QMJ110"/>
    <mergeCell ref="QMK110:QMS110"/>
    <mergeCell ref="QMT110:QNP110"/>
    <mergeCell ref="QHM110:QHU110"/>
    <mergeCell ref="QHV110:QIR110"/>
    <mergeCell ref="QIS110:QJA110"/>
    <mergeCell ref="QJB110:QJX110"/>
    <mergeCell ref="QJY110:QKG110"/>
    <mergeCell ref="RCT110:RDP110"/>
    <mergeCell ref="RDQ110:RDY110"/>
    <mergeCell ref="RDZ110:REV110"/>
    <mergeCell ref="REW110:RFE110"/>
    <mergeCell ref="RFF110:RGB110"/>
    <mergeCell ref="QZY110:RAG110"/>
    <mergeCell ref="RAH110:RBD110"/>
    <mergeCell ref="RBE110:RBM110"/>
    <mergeCell ref="RBN110:RCJ110"/>
    <mergeCell ref="RCK110:RCS110"/>
    <mergeCell ref="QWP110:QXL110"/>
    <mergeCell ref="QXM110:QXU110"/>
    <mergeCell ref="QXV110:QYR110"/>
    <mergeCell ref="QYS110:QZA110"/>
    <mergeCell ref="QZB110:QZX110"/>
    <mergeCell ref="QTU110:QUC110"/>
    <mergeCell ref="QUD110:QUZ110"/>
    <mergeCell ref="QVA110:QVI110"/>
    <mergeCell ref="QVJ110:QWF110"/>
    <mergeCell ref="QWG110:QWO110"/>
    <mergeCell ref="RPB110:RPX110"/>
    <mergeCell ref="RPY110:RQG110"/>
    <mergeCell ref="RQH110:RRD110"/>
    <mergeCell ref="RRE110:RRM110"/>
    <mergeCell ref="RRN110:RSJ110"/>
    <mergeCell ref="RMG110:RMO110"/>
    <mergeCell ref="RMP110:RNL110"/>
    <mergeCell ref="RNM110:RNU110"/>
    <mergeCell ref="RNV110:ROR110"/>
    <mergeCell ref="ROS110:RPA110"/>
    <mergeCell ref="RIX110:RJT110"/>
    <mergeCell ref="RJU110:RKC110"/>
    <mergeCell ref="RKD110:RKZ110"/>
    <mergeCell ref="RLA110:RLI110"/>
    <mergeCell ref="RLJ110:RMF110"/>
    <mergeCell ref="RGC110:RGK110"/>
    <mergeCell ref="RGL110:RHH110"/>
    <mergeCell ref="RHI110:RHQ110"/>
    <mergeCell ref="RHR110:RIN110"/>
    <mergeCell ref="RIO110:RIW110"/>
    <mergeCell ref="SBJ110:SCF110"/>
    <mergeCell ref="SCG110:SCO110"/>
    <mergeCell ref="SCP110:SDL110"/>
    <mergeCell ref="SDM110:SDU110"/>
    <mergeCell ref="SDV110:SER110"/>
    <mergeCell ref="RYO110:RYW110"/>
    <mergeCell ref="RYX110:RZT110"/>
    <mergeCell ref="RZU110:SAC110"/>
    <mergeCell ref="SAD110:SAZ110"/>
    <mergeCell ref="SBA110:SBI110"/>
    <mergeCell ref="RVF110:RWB110"/>
    <mergeCell ref="RWC110:RWK110"/>
    <mergeCell ref="RWL110:RXH110"/>
    <mergeCell ref="RXI110:RXQ110"/>
    <mergeCell ref="RXR110:RYN110"/>
    <mergeCell ref="RSK110:RSS110"/>
    <mergeCell ref="RST110:RTP110"/>
    <mergeCell ref="RTQ110:RTY110"/>
    <mergeCell ref="RTZ110:RUV110"/>
    <mergeCell ref="RUW110:RVE110"/>
    <mergeCell ref="SNR110:SON110"/>
    <mergeCell ref="SOO110:SOW110"/>
    <mergeCell ref="SOX110:SPT110"/>
    <mergeCell ref="SPU110:SQC110"/>
    <mergeCell ref="SQD110:SQZ110"/>
    <mergeCell ref="SKW110:SLE110"/>
    <mergeCell ref="SLF110:SMB110"/>
    <mergeCell ref="SMC110:SMK110"/>
    <mergeCell ref="SML110:SNH110"/>
    <mergeCell ref="SNI110:SNQ110"/>
    <mergeCell ref="SHN110:SIJ110"/>
    <mergeCell ref="SIK110:SIS110"/>
    <mergeCell ref="SIT110:SJP110"/>
    <mergeCell ref="SJQ110:SJY110"/>
    <mergeCell ref="SJZ110:SKV110"/>
    <mergeCell ref="SES110:SFA110"/>
    <mergeCell ref="SFB110:SFX110"/>
    <mergeCell ref="SFY110:SGG110"/>
    <mergeCell ref="SGH110:SHD110"/>
    <mergeCell ref="SHE110:SHM110"/>
    <mergeCell ref="SZZ110:TAV110"/>
    <mergeCell ref="TAW110:TBE110"/>
    <mergeCell ref="TBF110:TCB110"/>
    <mergeCell ref="TCC110:TCK110"/>
    <mergeCell ref="TCL110:TDH110"/>
    <mergeCell ref="SXE110:SXM110"/>
    <mergeCell ref="SXN110:SYJ110"/>
    <mergeCell ref="SYK110:SYS110"/>
    <mergeCell ref="SYT110:SZP110"/>
    <mergeCell ref="SZQ110:SZY110"/>
    <mergeCell ref="STV110:SUR110"/>
    <mergeCell ref="SUS110:SVA110"/>
    <mergeCell ref="SVB110:SVX110"/>
    <mergeCell ref="SVY110:SWG110"/>
    <mergeCell ref="SWH110:SXD110"/>
    <mergeCell ref="SRA110:SRI110"/>
    <mergeCell ref="SRJ110:SSF110"/>
    <mergeCell ref="SSG110:SSO110"/>
    <mergeCell ref="SSP110:STL110"/>
    <mergeCell ref="STM110:STU110"/>
    <mergeCell ref="TMH110:TND110"/>
    <mergeCell ref="TNE110:TNM110"/>
    <mergeCell ref="TNN110:TOJ110"/>
    <mergeCell ref="TOK110:TOS110"/>
    <mergeCell ref="TOT110:TPP110"/>
    <mergeCell ref="TJM110:TJU110"/>
    <mergeCell ref="TJV110:TKR110"/>
    <mergeCell ref="TKS110:TLA110"/>
    <mergeCell ref="TLB110:TLX110"/>
    <mergeCell ref="TLY110:TMG110"/>
    <mergeCell ref="TGD110:TGZ110"/>
    <mergeCell ref="THA110:THI110"/>
    <mergeCell ref="THJ110:TIF110"/>
    <mergeCell ref="TIG110:TIO110"/>
    <mergeCell ref="TIP110:TJL110"/>
    <mergeCell ref="TDI110:TDQ110"/>
    <mergeCell ref="TDR110:TEN110"/>
    <mergeCell ref="TEO110:TEW110"/>
    <mergeCell ref="TEX110:TFT110"/>
    <mergeCell ref="TFU110:TGC110"/>
    <mergeCell ref="TYP110:TZL110"/>
    <mergeCell ref="TZM110:TZU110"/>
    <mergeCell ref="TZV110:UAR110"/>
    <mergeCell ref="UAS110:UBA110"/>
    <mergeCell ref="UBB110:UBX110"/>
    <mergeCell ref="TVU110:TWC110"/>
    <mergeCell ref="TWD110:TWZ110"/>
    <mergeCell ref="TXA110:TXI110"/>
    <mergeCell ref="TXJ110:TYF110"/>
    <mergeCell ref="TYG110:TYO110"/>
    <mergeCell ref="TSL110:TTH110"/>
    <mergeCell ref="TTI110:TTQ110"/>
    <mergeCell ref="TTR110:TUN110"/>
    <mergeCell ref="TUO110:TUW110"/>
    <mergeCell ref="TUX110:TVT110"/>
    <mergeCell ref="TPQ110:TPY110"/>
    <mergeCell ref="TPZ110:TQV110"/>
    <mergeCell ref="TQW110:TRE110"/>
    <mergeCell ref="TRF110:TSB110"/>
    <mergeCell ref="TSC110:TSK110"/>
    <mergeCell ref="UKX110:ULT110"/>
    <mergeCell ref="ULU110:UMC110"/>
    <mergeCell ref="UMD110:UMZ110"/>
    <mergeCell ref="UNA110:UNI110"/>
    <mergeCell ref="UNJ110:UOF110"/>
    <mergeCell ref="UIC110:UIK110"/>
    <mergeCell ref="UIL110:UJH110"/>
    <mergeCell ref="UJI110:UJQ110"/>
    <mergeCell ref="UJR110:UKN110"/>
    <mergeCell ref="UKO110:UKW110"/>
    <mergeCell ref="UET110:UFP110"/>
    <mergeCell ref="UFQ110:UFY110"/>
    <mergeCell ref="UFZ110:UGV110"/>
    <mergeCell ref="UGW110:UHE110"/>
    <mergeCell ref="UHF110:UIB110"/>
    <mergeCell ref="UBY110:UCG110"/>
    <mergeCell ref="UCH110:UDD110"/>
    <mergeCell ref="UDE110:UDM110"/>
    <mergeCell ref="UDN110:UEJ110"/>
    <mergeCell ref="UEK110:UES110"/>
    <mergeCell ref="UXF110:UYB110"/>
    <mergeCell ref="UYC110:UYK110"/>
    <mergeCell ref="UYL110:UZH110"/>
    <mergeCell ref="UZI110:UZQ110"/>
    <mergeCell ref="UZR110:VAN110"/>
    <mergeCell ref="UUK110:UUS110"/>
    <mergeCell ref="UUT110:UVP110"/>
    <mergeCell ref="UVQ110:UVY110"/>
    <mergeCell ref="UVZ110:UWV110"/>
    <mergeCell ref="UWW110:UXE110"/>
    <mergeCell ref="URB110:URX110"/>
    <mergeCell ref="URY110:USG110"/>
    <mergeCell ref="USH110:UTD110"/>
    <mergeCell ref="UTE110:UTM110"/>
    <mergeCell ref="UTN110:UUJ110"/>
    <mergeCell ref="UOG110:UOO110"/>
    <mergeCell ref="UOP110:UPL110"/>
    <mergeCell ref="UPM110:UPU110"/>
    <mergeCell ref="UPV110:UQR110"/>
    <mergeCell ref="UQS110:URA110"/>
    <mergeCell ref="VJN110:VKJ110"/>
    <mergeCell ref="VKK110:VKS110"/>
    <mergeCell ref="VKT110:VLP110"/>
    <mergeCell ref="VLQ110:VLY110"/>
    <mergeCell ref="VLZ110:VMV110"/>
    <mergeCell ref="VGS110:VHA110"/>
    <mergeCell ref="VHB110:VHX110"/>
    <mergeCell ref="VHY110:VIG110"/>
    <mergeCell ref="VIH110:VJD110"/>
    <mergeCell ref="VJE110:VJM110"/>
    <mergeCell ref="VDJ110:VEF110"/>
    <mergeCell ref="VEG110:VEO110"/>
    <mergeCell ref="VEP110:VFL110"/>
    <mergeCell ref="VFM110:VFU110"/>
    <mergeCell ref="VFV110:VGR110"/>
    <mergeCell ref="VAO110:VAW110"/>
    <mergeCell ref="VAX110:VBT110"/>
    <mergeCell ref="VBU110:VCC110"/>
    <mergeCell ref="VCD110:VCZ110"/>
    <mergeCell ref="VDA110:VDI110"/>
    <mergeCell ref="VVV110:VWR110"/>
    <mergeCell ref="VWS110:VXA110"/>
    <mergeCell ref="VXB110:VXX110"/>
    <mergeCell ref="VXY110:VYG110"/>
    <mergeCell ref="VYH110:VZD110"/>
    <mergeCell ref="VTA110:VTI110"/>
    <mergeCell ref="VTJ110:VUF110"/>
    <mergeCell ref="VUG110:VUO110"/>
    <mergeCell ref="VUP110:VVL110"/>
    <mergeCell ref="VVM110:VVU110"/>
    <mergeCell ref="VPR110:VQN110"/>
    <mergeCell ref="VQO110:VQW110"/>
    <mergeCell ref="VQX110:VRT110"/>
    <mergeCell ref="VRU110:VSC110"/>
    <mergeCell ref="VSD110:VSZ110"/>
    <mergeCell ref="VMW110:VNE110"/>
    <mergeCell ref="VNF110:VOB110"/>
    <mergeCell ref="VOC110:VOK110"/>
    <mergeCell ref="VOL110:VPH110"/>
    <mergeCell ref="VPI110:VPQ110"/>
    <mergeCell ref="WID110:WIZ110"/>
    <mergeCell ref="WJA110:WJI110"/>
    <mergeCell ref="WJJ110:WKF110"/>
    <mergeCell ref="WKG110:WKO110"/>
    <mergeCell ref="WKP110:WLL110"/>
    <mergeCell ref="WFI110:WFQ110"/>
    <mergeCell ref="WFR110:WGN110"/>
    <mergeCell ref="WGO110:WGW110"/>
    <mergeCell ref="WGX110:WHT110"/>
    <mergeCell ref="WHU110:WIC110"/>
    <mergeCell ref="WBZ110:WCV110"/>
    <mergeCell ref="WCW110:WDE110"/>
    <mergeCell ref="WDF110:WEB110"/>
    <mergeCell ref="WEC110:WEK110"/>
    <mergeCell ref="WEL110:WFH110"/>
    <mergeCell ref="VZE110:VZM110"/>
    <mergeCell ref="VZN110:WAJ110"/>
    <mergeCell ref="WAK110:WAS110"/>
    <mergeCell ref="WAT110:WBP110"/>
    <mergeCell ref="WBQ110:WBY110"/>
    <mergeCell ref="WVR110:WWN110"/>
    <mergeCell ref="WWO110:WWW110"/>
    <mergeCell ref="WWX110:WXT110"/>
    <mergeCell ref="WRQ110:WRY110"/>
    <mergeCell ref="WRZ110:WSV110"/>
    <mergeCell ref="WSW110:WTE110"/>
    <mergeCell ref="WTF110:WUB110"/>
    <mergeCell ref="WUC110:WUK110"/>
    <mergeCell ref="WOH110:WPD110"/>
    <mergeCell ref="WPE110:WPM110"/>
    <mergeCell ref="WPN110:WQJ110"/>
    <mergeCell ref="WQK110:WQS110"/>
    <mergeCell ref="WQT110:WRP110"/>
    <mergeCell ref="WLM110:WLU110"/>
    <mergeCell ref="WLV110:WMR110"/>
    <mergeCell ref="WMS110:WNA110"/>
    <mergeCell ref="WNB110:WNX110"/>
    <mergeCell ref="WNY110:WOG110"/>
    <mergeCell ref="A124:I124"/>
    <mergeCell ref="J124:AF124"/>
    <mergeCell ref="A126:I126"/>
    <mergeCell ref="J126:AF126"/>
    <mergeCell ref="A144:I144"/>
    <mergeCell ref="J144:AF144"/>
    <mergeCell ref="A134:I134"/>
    <mergeCell ref="J134:AF134"/>
    <mergeCell ref="A136:I136"/>
    <mergeCell ref="J136:AF136"/>
    <mergeCell ref="A118:I118"/>
    <mergeCell ref="J118:AF118"/>
    <mergeCell ref="A120:I120"/>
    <mergeCell ref="J120:AF120"/>
    <mergeCell ref="XDY110:XEG110"/>
    <mergeCell ref="XEH110:XFD110"/>
    <mergeCell ref="A112:I112"/>
    <mergeCell ref="J112:AF112"/>
    <mergeCell ref="A116:I116"/>
    <mergeCell ref="J116:AF116"/>
    <mergeCell ref="XAP110:XBL110"/>
    <mergeCell ref="XBM110:XBU110"/>
    <mergeCell ref="XBV110:XCR110"/>
    <mergeCell ref="XCS110:XDA110"/>
    <mergeCell ref="XDB110:XDX110"/>
    <mergeCell ref="WXU110:WYC110"/>
    <mergeCell ref="WYD110:WYZ110"/>
    <mergeCell ref="WZA110:WZI110"/>
    <mergeCell ref="WZJ110:XAF110"/>
    <mergeCell ref="XAG110:XAO110"/>
    <mergeCell ref="WUL110:WVH110"/>
    <mergeCell ref="WVI110:WVQ110"/>
    <mergeCell ref="FE152:FM152"/>
    <mergeCell ref="FN152:GJ152"/>
    <mergeCell ref="GK152:GS152"/>
    <mergeCell ref="GT152:HP152"/>
    <mergeCell ref="HQ152:HY152"/>
    <mergeCell ref="BV152:CR152"/>
    <mergeCell ref="CS152:DA152"/>
    <mergeCell ref="DB152:DX152"/>
    <mergeCell ref="DY152:EG152"/>
    <mergeCell ref="EH152:FD152"/>
    <mergeCell ref="A152:I152"/>
    <mergeCell ref="J152:AF152"/>
    <mergeCell ref="AG152:AO152"/>
    <mergeCell ref="AP152:BL152"/>
    <mergeCell ref="BM152:BU152"/>
    <mergeCell ref="A146:I146"/>
    <mergeCell ref="J146:AF146"/>
    <mergeCell ref="A148:I148"/>
    <mergeCell ref="J148:AF148"/>
    <mergeCell ref="A150:I150"/>
    <mergeCell ref="J150:AF150"/>
    <mergeCell ref="RM152:RU152"/>
    <mergeCell ref="RV152:SR152"/>
    <mergeCell ref="SS152:TA152"/>
    <mergeCell ref="TB152:TX152"/>
    <mergeCell ref="TY152:UG152"/>
    <mergeCell ref="OD152:OZ152"/>
    <mergeCell ref="PA152:PI152"/>
    <mergeCell ref="PJ152:QF152"/>
    <mergeCell ref="QG152:QO152"/>
    <mergeCell ref="QP152:RL152"/>
    <mergeCell ref="LI152:LQ152"/>
    <mergeCell ref="LR152:MN152"/>
    <mergeCell ref="MO152:MW152"/>
    <mergeCell ref="MX152:NT152"/>
    <mergeCell ref="NU152:OC152"/>
    <mergeCell ref="HZ152:IV152"/>
    <mergeCell ref="IW152:JE152"/>
    <mergeCell ref="JF152:KB152"/>
    <mergeCell ref="KC152:KK152"/>
    <mergeCell ref="KL152:LH152"/>
    <mergeCell ref="ADU152:AEC152"/>
    <mergeCell ref="AED152:AEZ152"/>
    <mergeCell ref="AFA152:AFI152"/>
    <mergeCell ref="AFJ152:AGF152"/>
    <mergeCell ref="AGG152:AGO152"/>
    <mergeCell ref="AAL152:ABH152"/>
    <mergeCell ref="ABI152:ABQ152"/>
    <mergeCell ref="ABR152:ACN152"/>
    <mergeCell ref="ACO152:ACW152"/>
    <mergeCell ref="ACX152:ADT152"/>
    <mergeCell ref="XQ152:XY152"/>
    <mergeCell ref="XZ152:YV152"/>
    <mergeCell ref="YW152:ZE152"/>
    <mergeCell ref="ZF152:AAB152"/>
    <mergeCell ref="AAC152:AAK152"/>
    <mergeCell ref="UH152:VD152"/>
    <mergeCell ref="VE152:VM152"/>
    <mergeCell ref="VN152:WJ152"/>
    <mergeCell ref="WK152:WS152"/>
    <mergeCell ref="WT152:XP152"/>
    <mergeCell ref="AQC152:AQK152"/>
    <mergeCell ref="AQL152:ARH152"/>
    <mergeCell ref="ARI152:ARQ152"/>
    <mergeCell ref="ARR152:ASN152"/>
    <mergeCell ref="ASO152:ASW152"/>
    <mergeCell ref="AMT152:ANP152"/>
    <mergeCell ref="ANQ152:ANY152"/>
    <mergeCell ref="ANZ152:AOV152"/>
    <mergeCell ref="AOW152:APE152"/>
    <mergeCell ref="APF152:AQB152"/>
    <mergeCell ref="AJY152:AKG152"/>
    <mergeCell ref="AKH152:ALD152"/>
    <mergeCell ref="ALE152:ALM152"/>
    <mergeCell ref="ALN152:AMJ152"/>
    <mergeCell ref="AMK152:AMS152"/>
    <mergeCell ref="AGP152:AHL152"/>
    <mergeCell ref="AHM152:AHU152"/>
    <mergeCell ref="AHV152:AIR152"/>
    <mergeCell ref="AIS152:AJA152"/>
    <mergeCell ref="AJB152:AJX152"/>
    <mergeCell ref="BCK152:BCS152"/>
    <mergeCell ref="BCT152:BDP152"/>
    <mergeCell ref="BDQ152:BDY152"/>
    <mergeCell ref="BDZ152:BEV152"/>
    <mergeCell ref="BEW152:BFE152"/>
    <mergeCell ref="AZB152:AZX152"/>
    <mergeCell ref="AZY152:BAG152"/>
    <mergeCell ref="BAH152:BBD152"/>
    <mergeCell ref="BBE152:BBM152"/>
    <mergeCell ref="BBN152:BCJ152"/>
    <mergeCell ref="AWG152:AWO152"/>
    <mergeCell ref="AWP152:AXL152"/>
    <mergeCell ref="AXM152:AXU152"/>
    <mergeCell ref="AXV152:AYR152"/>
    <mergeCell ref="AYS152:AZA152"/>
    <mergeCell ref="ASX152:ATT152"/>
    <mergeCell ref="ATU152:AUC152"/>
    <mergeCell ref="AUD152:AUZ152"/>
    <mergeCell ref="AVA152:AVI152"/>
    <mergeCell ref="AVJ152:AWF152"/>
    <mergeCell ref="BOS152:BPA152"/>
    <mergeCell ref="BPB152:BPX152"/>
    <mergeCell ref="BPY152:BQG152"/>
    <mergeCell ref="BQH152:BRD152"/>
    <mergeCell ref="BRE152:BRM152"/>
    <mergeCell ref="BLJ152:BMF152"/>
    <mergeCell ref="BMG152:BMO152"/>
    <mergeCell ref="BMP152:BNL152"/>
    <mergeCell ref="BNM152:BNU152"/>
    <mergeCell ref="BNV152:BOR152"/>
    <mergeCell ref="BIO152:BIW152"/>
    <mergeCell ref="BIX152:BJT152"/>
    <mergeCell ref="BJU152:BKC152"/>
    <mergeCell ref="BKD152:BKZ152"/>
    <mergeCell ref="BLA152:BLI152"/>
    <mergeCell ref="BFF152:BGB152"/>
    <mergeCell ref="BGC152:BGK152"/>
    <mergeCell ref="BGL152:BHH152"/>
    <mergeCell ref="BHI152:BHQ152"/>
    <mergeCell ref="BHR152:BIN152"/>
    <mergeCell ref="CBA152:CBI152"/>
    <mergeCell ref="CBJ152:CCF152"/>
    <mergeCell ref="CCG152:CCO152"/>
    <mergeCell ref="CCP152:CDL152"/>
    <mergeCell ref="CDM152:CDU152"/>
    <mergeCell ref="BXR152:BYN152"/>
    <mergeCell ref="BYO152:BYW152"/>
    <mergeCell ref="BYX152:BZT152"/>
    <mergeCell ref="BZU152:CAC152"/>
    <mergeCell ref="CAD152:CAZ152"/>
    <mergeCell ref="BUW152:BVE152"/>
    <mergeCell ref="BVF152:BWB152"/>
    <mergeCell ref="BWC152:BWK152"/>
    <mergeCell ref="BWL152:BXH152"/>
    <mergeCell ref="BXI152:BXQ152"/>
    <mergeCell ref="BRN152:BSJ152"/>
    <mergeCell ref="BSK152:BSS152"/>
    <mergeCell ref="BST152:BTP152"/>
    <mergeCell ref="BTQ152:BTY152"/>
    <mergeCell ref="BTZ152:BUV152"/>
    <mergeCell ref="CNI152:CNQ152"/>
    <mergeCell ref="CNR152:CON152"/>
    <mergeCell ref="COO152:COW152"/>
    <mergeCell ref="COX152:CPT152"/>
    <mergeCell ref="CPU152:CQC152"/>
    <mergeCell ref="CJZ152:CKV152"/>
    <mergeCell ref="CKW152:CLE152"/>
    <mergeCell ref="CLF152:CMB152"/>
    <mergeCell ref="CMC152:CMK152"/>
    <mergeCell ref="CML152:CNH152"/>
    <mergeCell ref="CHE152:CHM152"/>
    <mergeCell ref="CHN152:CIJ152"/>
    <mergeCell ref="CIK152:CIS152"/>
    <mergeCell ref="CIT152:CJP152"/>
    <mergeCell ref="CJQ152:CJY152"/>
    <mergeCell ref="CDV152:CER152"/>
    <mergeCell ref="CES152:CFA152"/>
    <mergeCell ref="CFB152:CFX152"/>
    <mergeCell ref="CFY152:CGG152"/>
    <mergeCell ref="CGH152:CHD152"/>
    <mergeCell ref="CZQ152:CZY152"/>
    <mergeCell ref="CZZ152:DAV152"/>
    <mergeCell ref="DAW152:DBE152"/>
    <mergeCell ref="DBF152:DCB152"/>
    <mergeCell ref="DCC152:DCK152"/>
    <mergeCell ref="CWH152:CXD152"/>
    <mergeCell ref="CXE152:CXM152"/>
    <mergeCell ref="CXN152:CYJ152"/>
    <mergeCell ref="CYK152:CYS152"/>
    <mergeCell ref="CYT152:CZP152"/>
    <mergeCell ref="CTM152:CTU152"/>
    <mergeCell ref="CTV152:CUR152"/>
    <mergeCell ref="CUS152:CVA152"/>
    <mergeCell ref="CVB152:CVX152"/>
    <mergeCell ref="CVY152:CWG152"/>
    <mergeCell ref="CQD152:CQZ152"/>
    <mergeCell ref="CRA152:CRI152"/>
    <mergeCell ref="CRJ152:CSF152"/>
    <mergeCell ref="CSG152:CSO152"/>
    <mergeCell ref="CSP152:CTL152"/>
    <mergeCell ref="DLY152:DMG152"/>
    <mergeCell ref="DMH152:DND152"/>
    <mergeCell ref="DNE152:DNM152"/>
    <mergeCell ref="DNN152:DOJ152"/>
    <mergeCell ref="DOK152:DOS152"/>
    <mergeCell ref="DIP152:DJL152"/>
    <mergeCell ref="DJM152:DJU152"/>
    <mergeCell ref="DJV152:DKR152"/>
    <mergeCell ref="DKS152:DLA152"/>
    <mergeCell ref="DLB152:DLX152"/>
    <mergeCell ref="DFU152:DGC152"/>
    <mergeCell ref="DGD152:DGZ152"/>
    <mergeCell ref="DHA152:DHI152"/>
    <mergeCell ref="DHJ152:DIF152"/>
    <mergeCell ref="DIG152:DIO152"/>
    <mergeCell ref="DCL152:DDH152"/>
    <mergeCell ref="DDI152:DDQ152"/>
    <mergeCell ref="DDR152:DEN152"/>
    <mergeCell ref="DEO152:DEW152"/>
    <mergeCell ref="DEX152:DFT152"/>
    <mergeCell ref="DYG152:DYO152"/>
    <mergeCell ref="DYP152:DZL152"/>
    <mergeCell ref="DZM152:DZU152"/>
    <mergeCell ref="DZV152:EAR152"/>
    <mergeCell ref="EAS152:EBA152"/>
    <mergeCell ref="DUX152:DVT152"/>
    <mergeCell ref="DVU152:DWC152"/>
    <mergeCell ref="DWD152:DWZ152"/>
    <mergeCell ref="DXA152:DXI152"/>
    <mergeCell ref="DXJ152:DYF152"/>
    <mergeCell ref="DSC152:DSK152"/>
    <mergeCell ref="DSL152:DTH152"/>
    <mergeCell ref="DTI152:DTQ152"/>
    <mergeCell ref="DTR152:DUN152"/>
    <mergeCell ref="DUO152:DUW152"/>
    <mergeCell ref="DOT152:DPP152"/>
    <mergeCell ref="DPQ152:DPY152"/>
    <mergeCell ref="DPZ152:DQV152"/>
    <mergeCell ref="DQW152:DRE152"/>
    <mergeCell ref="DRF152:DSB152"/>
    <mergeCell ref="EKO152:EKW152"/>
    <mergeCell ref="EKX152:ELT152"/>
    <mergeCell ref="ELU152:EMC152"/>
    <mergeCell ref="EMD152:EMZ152"/>
    <mergeCell ref="ENA152:ENI152"/>
    <mergeCell ref="EHF152:EIB152"/>
    <mergeCell ref="EIC152:EIK152"/>
    <mergeCell ref="EIL152:EJH152"/>
    <mergeCell ref="EJI152:EJQ152"/>
    <mergeCell ref="EJR152:EKN152"/>
    <mergeCell ref="EEK152:EES152"/>
    <mergeCell ref="EET152:EFP152"/>
    <mergeCell ref="EFQ152:EFY152"/>
    <mergeCell ref="EFZ152:EGV152"/>
    <mergeCell ref="EGW152:EHE152"/>
    <mergeCell ref="EBB152:EBX152"/>
    <mergeCell ref="EBY152:ECG152"/>
    <mergeCell ref="ECH152:EDD152"/>
    <mergeCell ref="EDE152:EDM152"/>
    <mergeCell ref="EDN152:EEJ152"/>
    <mergeCell ref="EWW152:EXE152"/>
    <mergeCell ref="EXF152:EYB152"/>
    <mergeCell ref="EYC152:EYK152"/>
    <mergeCell ref="EYL152:EZH152"/>
    <mergeCell ref="EZI152:EZQ152"/>
    <mergeCell ref="ETN152:EUJ152"/>
    <mergeCell ref="EUK152:EUS152"/>
    <mergeCell ref="EUT152:EVP152"/>
    <mergeCell ref="EVQ152:EVY152"/>
    <mergeCell ref="EVZ152:EWV152"/>
    <mergeCell ref="EQS152:ERA152"/>
    <mergeCell ref="ERB152:ERX152"/>
    <mergeCell ref="ERY152:ESG152"/>
    <mergeCell ref="ESH152:ETD152"/>
    <mergeCell ref="ETE152:ETM152"/>
    <mergeCell ref="ENJ152:EOF152"/>
    <mergeCell ref="EOG152:EOO152"/>
    <mergeCell ref="EOP152:EPL152"/>
    <mergeCell ref="EPM152:EPU152"/>
    <mergeCell ref="EPV152:EQR152"/>
    <mergeCell ref="FJE152:FJM152"/>
    <mergeCell ref="FJN152:FKJ152"/>
    <mergeCell ref="FKK152:FKS152"/>
    <mergeCell ref="FKT152:FLP152"/>
    <mergeCell ref="FLQ152:FLY152"/>
    <mergeCell ref="FFV152:FGR152"/>
    <mergeCell ref="FGS152:FHA152"/>
    <mergeCell ref="FHB152:FHX152"/>
    <mergeCell ref="FHY152:FIG152"/>
    <mergeCell ref="FIH152:FJD152"/>
    <mergeCell ref="FDA152:FDI152"/>
    <mergeCell ref="FDJ152:FEF152"/>
    <mergeCell ref="FEG152:FEO152"/>
    <mergeCell ref="FEP152:FFL152"/>
    <mergeCell ref="FFM152:FFU152"/>
    <mergeCell ref="EZR152:FAN152"/>
    <mergeCell ref="FAO152:FAW152"/>
    <mergeCell ref="FAX152:FBT152"/>
    <mergeCell ref="FBU152:FCC152"/>
    <mergeCell ref="FCD152:FCZ152"/>
    <mergeCell ref="FVM152:FVU152"/>
    <mergeCell ref="FVV152:FWR152"/>
    <mergeCell ref="FWS152:FXA152"/>
    <mergeCell ref="FXB152:FXX152"/>
    <mergeCell ref="FXY152:FYG152"/>
    <mergeCell ref="FSD152:FSZ152"/>
    <mergeCell ref="FTA152:FTI152"/>
    <mergeCell ref="FTJ152:FUF152"/>
    <mergeCell ref="FUG152:FUO152"/>
    <mergeCell ref="FUP152:FVL152"/>
    <mergeCell ref="FPI152:FPQ152"/>
    <mergeCell ref="FPR152:FQN152"/>
    <mergeCell ref="FQO152:FQW152"/>
    <mergeCell ref="FQX152:FRT152"/>
    <mergeCell ref="FRU152:FSC152"/>
    <mergeCell ref="FLZ152:FMV152"/>
    <mergeCell ref="FMW152:FNE152"/>
    <mergeCell ref="FNF152:FOB152"/>
    <mergeCell ref="FOC152:FOK152"/>
    <mergeCell ref="FOL152:FPH152"/>
    <mergeCell ref="GHU152:GIC152"/>
    <mergeCell ref="GID152:GIZ152"/>
    <mergeCell ref="GJA152:GJI152"/>
    <mergeCell ref="GJJ152:GKF152"/>
    <mergeCell ref="GKG152:GKO152"/>
    <mergeCell ref="GEL152:GFH152"/>
    <mergeCell ref="GFI152:GFQ152"/>
    <mergeCell ref="GFR152:GGN152"/>
    <mergeCell ref="GGO152:GGW152"/>
    <mergeCell ref="GGX152:GHT152"/>
    <mergeCell ref="GBQ152:GBY152"/>
    <mergeCell ref="GBZ152:GCV152"/>
    <mergeCell ref="GCW152:GDE152"/>
    <mergeCell ref="GDF152:GEB152"/>
    <mergeCell ref="GEC152:GEK152"/>
    <mergeCell ref="FYH152:FZD152"/>
    <mergeCell ref="FZE152:FZM152"/>
    <mergeCell ref="FZN152:GAJ152"/>
    <mergeCell ref="GAK152:GAS152"/>
    <mergeCell ref="GAT152:GBP152"/>
    <mergeCell ref="GUC152:GUK152"/>
    <mergeCell ref="GUL152:GVH152"/>
    <mergeCell ref="GVI152:GVQ152"/>
    <mergeCell ref="GVR152:GWN152"/>
    <mergeCell ref="GWO152:GWW152"/>
    <mergeCell ref="GQT152:GRP152"/>
    <mergeCell ref="GRQ152:GRY152"/>
    <mergeCell ref="GRZ152:GSV152"/>
    <mergeCell ref="GSW152:GTE152"/>
    <mergeCell ref="GTF152:GUB152"/>
    <mergeCell ref="GNY152:GOG152"/>
    <mergeCell ref="GOH152:GPD152"/>
    <mergeCell ref="GPE152:GPM152"/>
    <mergeCell ref="GPN152:GQJ152"/>
    <mergeCell ref="GQK152:GQS152"/>
    <mergeCell ref="GKP152:GLL152"/>
    <mergeCell ref="GLM152:GLU152"/>
    <mergeCell ref="GLV152:GMR152"/>
    <mergeCell ref="GMS152:GNA152"/>
    <mergeCell ref="GNB152:GNX152"/>
    <mergeCell ref="HGK152:HGS152"/>
    <mergeCell ref="HGT152:HHP152"/>
    <mergeCell ref="HHQ152:HHY152"/>
    <mergeCell ref="HHZ152:HIV152"/>
    <mergeCell ref="HIW152:HJE152"/>
    <mergeCell ref="HDB152:HDX152"/>
    <mergeCell ref="HDY152:HEG152"/>
    <mergeCell ref="HEH152:HFD152"/>
    <mergeCell ref="HFE152:HFM152"/>
    <mergeCell ref="HFN152:HGJ152"/>
    <mergeCell ref="HAG152:HAO152"/>
    <mergeCell ref="HAP152:HBL152"/>
    <mergeCell ref="HBM152:HBU152"/>
    <mergeCell ref="HBV152:HCR152"/>
    <mergeCell ref="HCS152:HDA152"/>
    <mergeCell ref="GWX152:GXT152"/>
    <mergeCell ref="GXU152:GYC152"/>
    <mergeCell ref="GYD152:GYZ152"/>
    <mergeCell ref="GZA152:GZI152"/>
    <mergeCell ref="GZJ152:HAF152"/>
    <mergeCell ref="HSS152:HTA152"/>
    <mergeCell ref="HTB152:HTX152"/>
    <mergeCell ref="HTY152:HUG152"/>
    <mergeCell ref="HUH152:HVD152"/>
    <mergeCell ref="HVE152:HVM152"/>
    <mergeCell ref="HPJ152:HQF152"/>
    <mergeCell ref="HQG152:HQO152"/>
    <mergeCell ref="HQP152:HRL152"/>
    <mergeCell ref="HRM152:HRU152"/>
    <mergeCell ref="HRV152:HSR152"/>
    <mergeCell ref="HMO152:HMW152"/>
    <mergeCell ref="HMX152:HNT152"/>
    <mergeCell ref="HNU152:HOC152"/>
    <mergeCell ref="HOD152:HOZ152"/>
    <mergeCell ref="HPA152:HPI152"/>
    <mergeCell ref="HJF152:HKB152"/>
    <mergeCell ref="HKC152:HKK152"/>
    <mergeCell ref="HKL152:HLH152"/>
    <mergeCell ref="HLI152:HLQ152"/>
    <mergeCell ref="HLR152:HMN152"/>
    <mergeCell ref="IFA152:IFI152"/>
    <mergeCell ref="IFJ152:IGF152"/>
    <mergeCell ref="IGG152:IGO152"/>
    <mergeCell ref="IGP152:IHL152"/>
    <mergeCell ref="IHM152:IHU152"/>
    <mergeCell ref="IBR152:ICN152"/>
    <mergeCell ref="ICO152:ICW152"/>
    <mergeCell ref="ICX152:IDT152"/>
    <mergeCell ref="IDU152:IEC152"/>
    <mergeCell ref="IED152:IEZ152"/>
    <mergeCell ref="HYW152:HZE152"/>
    <mergeCell ref="HZF152:IAB152"/>
    <mergeCell ref="IAC152:IAK152"/>
    <mergeCell ref="IAL152:IBH152"/>
    <mergeCell ref="IBI152:IBQ152"/>
    <mergeCell ref="HVN152:HWJ152"/>
    <mergeCell ref="HWK152:HWS152"/>
    <mergeCell ref="HWT152:HXP152"/>
    <mergeCell ref="HXQ152:HXY152"/>
    <mergeCell ref="HXZ152:HYV152"/>
    <mergeCell ref="IRI152:IRQ152"/>
    <mergeCell ref="IRR152:ISN152"/>
    <mergeCell ref="ISO152:ISW152"/>
    <mergeCell ref="ISX152:ITT152"/>
    <mergeCell ref="ITU152:IUC152"/>
    <mergeCell ref="INZ152:IOV152"/>
    <mergeCell ref="IOW152:IPE152"/>
    <mergeCell ref="IPF152:IQB152"/>
    <mergeCell ref="IQC152:IQK152"/>
    <mergeCell ref="IQL152:IRH152"/>
    <mergeCell ref="ILE152:ILM152"/>
    <mergeCell ref="ILN152:IMJ152"/>
    <mergeCell ref="IMK152:IMS152"/>
    <mergeCell ref="IMT152:INP152"/>
    <mergeCell ref="INQ152:INY152"/>
    <mergeCell ref="IHV152:IIR152"/>
    <mergeCell ref="IIS152:IJA152"/>
    <mergeCell ref="IJB152:IJX152"/>
    <mergeCell ref="IJY152:IKG152"/>
    <mergeCell ref="IKH152:ILD152"/>
    <mergeCell ref="JDQ152:JDY152"/>
    <mergeCell ref="JDZ152:JEV152"/>
    <mergeCell ref="JEW152:JFE152"/>
    <mergeCell ref="JFF152:JGB152"/>
    <mergeCell ref="JGC152:JGK152"/>
    <mergeCell ref="JAH152:JBD152"/>
    <mergeCell ref="JBE152:JBM152"/>
    <mergeCell ref="JBN152:JCJ152"/>
    <mergeCell ref="JCK152:JCS152"/>
    <mergeCell ref="JCT152:JDP152"/>
    <mergeCell ref="IXM152:IXU152"/>
    <mergeCell ref="IXV152:IYR152"/>
    <mergeCell ref="IYS152:IZA152"/>
    <mergeCell ref="IZB152:IZX152"/>
    <mergeCell ref="IZY152:JAG152"/>
    <mergeCell ref="IUD152:IUZ152"/>
    <mergeCell ref="IVA152:IVI152"/>
    <mergeCell ref="IVJ152:IWF152"/>
    <mergeCell ref="IWG152:IWO152"/>
    <mergeCell ref="IWP152:IXL152"/>
    <mergeCell ref="JPY152:JQG152"/>
    <mergeCell ref="JQH152:JRD152"/>
    <mergeCell ref="JRE152:JRM152"/>
    <mergeCell ref="JRN152:JSJ152"/>
    <mergeCell ref="JSK152:JSS152"/>
    <mergeCell ref="JMP152:JNL152"/>
    <mergeCell ref="JNM152:JNU152"/>
    <mergeCell ref="JNV152:JOR152"/>
    <mergeCell ref="JOS152:JPA152"/>
    <mergeCell ref="JPB152:JPX152"/>
    <mergeCell ref="JJU152:JKC152"/>
    <mergeCell ref="JKD152:JKZ152"/>
    <mergeCell ref="JLA152:JLI152"/>
    <mergeCell ref="JLJ152:JMF152"/>
    <mergeCell ref="JMG152:JMO152"/>
    <mergeCell ref="JGL152:JHH152"/>
    <mergeCell ref="JHI152:JHQ152"/>
    <mergeCell ref="JHR152:JIN152"/>
    <mergeCell ref="JIO152:JIW152"/>
    <mergeCell ref="JIX152:JJT152"/>
    <mergeCell ref="KCG152:KCO152"/>
    <mergeCell ref="KCP152:KDL152"/>
    <mergeCell ref="KDM152:KDU152"/>
    <mergeCell ref="KDV152:KER152"/>
    <mergeCell ref="KES152:KFA152"/>
    <mergeCell ref="JYX152:JZT152"/>
    <mergeCell ref="JZU152:KAC152"/>
    <mergeCell ref="KAD152:KAZ152"/>
    <mergeCell ref="KBA152:KBI152"/>
    <mergeCell ref="KBJ152:KCF152"/>
    <mergeCell ref="JWC152:JWK152"/>
    <mergeCell ref="JWL152:JXH152"/>
    <mergeCell ref="JXI152:JXQ152"/>
    <mergeCell ref="JXR152:JYN152"/>
    <mergeCell ref="JYO152:JYW152"/>
    <mergeCell ref="JST152:JTP152"/>
    <mergeCell ref="JTQ152:JTY152"/>
    <mergeCell ref="JTZ152:JUV152"/>
    <mergeCell ref="JUW152:JVE152"/>
    <mergeCell ref="JVF152:JWB152"/>
    <mergeCell ref="KOO152:KOW152"/>
    <mergeCell ref="KOX152:KPT152"/>
    <mergeCell ref="KPU152:KQC152"/>
    <mergeCell ref="KQD152:KQZ152"/>
    <mergeCell ref="KRA152:KRI152"/>
    <mergeCell ref="KLF152:KMB152"/>
    <mergeCell ref="KMC152:KMK152"/>
    <mergeCell ref="KML152:KNH152"/>
    <mergeCell ref="KNI152:KNQ152"/>
    <mergeCell ref="KNR152:KON152"/>
    <mergeCell ref="KIK152:KIS152"/>
    <mergeCell ref="KIT152:KJP152"/>
    <mergeCell ref="KJQ152:KJY152"/>
    <mergeCell ref="KJZ152:KKV152"/>
    <mergeCell ref="KKW152:KLE152"/>
    <mergeCell ref="KFB152:KFX152"/>
    <mergeCell ref="KFY152:KGG152"/>
    <mergeCell ref="KGH152:KHD152"/>
    <mergeCell ref="KHE152:KHM152"/>
    <mergeCell ref="KHN152:KIJ152"/>
    <mergeCell ref="LAW152:LBE152"/>
    <mergeCell ref="LBF152:LCB152"/>
    <mergeCell ref="LCC152:LCK152"/>
    <mergeCell ref="LCL152:LDH152"/>
    <mergeCell ref="LDI152:LDQ152"/>
    <mergeCell ref="KXN152:KYJ152"/>
    <mergeCell ref="KYK152:KYS152"/>
    <mergeCell ref="KYT152:KZP152"/>
    <mergeCell ref="KZQ152:KZY152"/>
    <mergeCell ref="KZZ152:LAV152"/>
    <mergeCell ref="KUS152:KVA152"/>
    <mergeCell ref="KVB152:KVX152"/>
    <mergeCell ref="KVY152:KWG152"/>
    <mergeCell ref="KWH152:KXD152"/>
    <mergeCell ref="KXE152:KXM152"/>
    <mergeCell ref="KRJ152:KSF152"/>
    <mergeCell ref="KSG152:KSO152"/>
    <mergeCell ref="KSP152:KTL152"/>
    <mergeCell ref="KTM152:KTU152"/>
    <mergeCell ref="KTV152:KUR152"/>
    <mergeCell ref="LNE152:LNM152"/>
    <mergeCell ref="LNN152:LOJ152"/>
    <mergeCell ref="LOK152:LOS152"/>
    <mergeCell ref="LOT152:LPP152"/>
    <mergeCell ref="LPQ152:LPY152"/>
    <mergeCell ref="LJV152:LKR152"/>
    <mergeCell ref="LKS152:LLA152"/>
    <mergeCell ref="LLB152:LLX152"/>
    <mergeCell ref="LLY152:LMG152"/>
    <mergeCell ref="LMH152:LND152"/>
    <mergeCell ref="LHA152:LHI152"/>
    <mergeCell ref="LHJ152:LIF152"/>
    <mergeCell ref="LIG152:LIO152"/>
    <mergeCell ref="LIP152:LJL152"/>
    <mergeCell ref="LJM152:LJU152"/>
    <mergeCell ref="LDR152:LEN152"/>
    <mergeCell ref="LEO152:LEW152"/>
    <mergeCell ref="LEX152:LFT152"/>
    <mergeCell ref="LFU152:LGC152"/>
    <mergeCell ref="LGD152:LGZ152"/>
    <mergeCell ref="LZM152:LZU152"/>
    <mergeCell ref="LZV152:MAR152"/>
    <mergeCell ref="MAS152:MBA152"/>
    <mergeCell ref="MBB152:MBX152"/>
    <mergeCell ref="MBY152:MCG152"/>
    <mergeCell ref="LWD152:LWZ152"/>
    <mergeCell ref="LXA152:LXI152"/>
    <mergeCell ref="LXJ152:LYF152"/>
    <mergeCell ref="LYG152:LYO152"/>
    <mergeCell ref="LYP152:LZL152"/>
    <mergeCell ref="LTI152:LTQ152"/>
    <mergeCell ref="LTR152:LUN152"/>
    <mergeCell ref="LUO152:LUW152"/>
    <mergeCell ref="LUX152:LVT152"/>
    <mergeCell ref="LVU152:LWC152"/>
    <mergeCell ref="LPZ152:LQV152"/>
    <mergeCell ref="LQW152:LRE152"/>
    <mergeCell ref="LRF152:LSB152"/>
    <mergeCell ref="LSC152:LSK152"/>
    <mergeCell ref="LSL152:LTH152"/>
    <mergeCell ref="MLU152:MMC152"/>
    <mergeCell ref="MMD152:MMZ152"/>
    <mergeCell ref="MNA152:MNI152"/>
    <mergeCell ref="MNJ152:MOF152"/>
    <mergeCell ref="MOG152:MOO152"/>
    <mergeCell ref="MIL152:MJH152"/>
    <mergeCell ref="MJI152:MJQ152"/>
    <mergeCell ref="MJR152:MKN152"/>
    <mergeCell ref="MKO152:MKW152"/>
    <mergeCell ref="MKX152:MLT152"/>
    <mergeCell ref="MFQ152:MFY152"/>
    <mergeCell ref="MFZ152:MGV152"/>
    <mergeCell ref="MGW152:MHE152"/>
    <mergeCell ref="MHF152:MIB152"/>
    <mergeCell ref="MIC152:MIK152"/>
    <mergeCell ref="MCH152:MDD152"/>
    <mergeCell ref="MDE152:MDM152"/>
    <mergeCell ref="MDN152:MEJ152"/>
    <mergeCell ref="MEK152:MES152"/>
    <mergeCell ref="MET152:MFP152"/>
    <mergeCell ref="MYC152:MYK152"/>
    <mergeCell ref="MYL152:MZH152"/>
    <mergeCell ref="MZI152:MZQ152"/>
    <mergeCell ref="MZR152:NAN152"/>
    <mergeCell ref="NAO152:NAW152"/>
    <mergeCell ref="MUT152:MVP152"/>
    <mergeCell ref="MVQ152:MVY152"/>
    <mergeCell ref="MVZ152:MWV152"/>
    <mergeCell ref="MWW152:MXE152"/>
    <mergeCell ref="MXF152:MYB152"/>
    <mergeCell ref="MRY152:MSG152"/>
    <mergeCell ref="MSH152:MTD152"/>
    <mergeCell ref="MTE152:MTM152"/>
    <mergeCell ref="MTN152:MUJ152"/>
    <mergeCell ref="MUK152:MUS152"/>
    <mergeCell ref="MOP152:MPL152"/>
    <mergeCell ref="MPM152:MPU152"/>
    <mergeCell ref="MPV152:MQR152"/>
    <mergeCell ref="MQS152:MRA152"/>
    <mergeCell ref="MRB152:MRX152"/>
    <mergeCell ref="NKK152:NKS152"/>
    <mergeCell ref="NKT152:NLP152"/>
    <mergeCell ref="NLQ152:NLY152"/>
    <mergeCell ref="NLZ152:NMV152"/>
    <mergeCell ref="NMW152:NNE152"/>
    <mergeCell ref="NHB152:NHX152"/>
    <mergeCell ref="NHY152:NIG152"/>
    <mergeCell ref="NIH152:NJD152"/>
    <mergeCell ref="NJE152:NJM152"/>
    <mergeCell ref="NJN152:NKJ152"/>
    <mergeCell ref="NEG152:NEO152"/>
    <mergeCell ref="NEP152:NFL152"/>
    <mergeCell ref="NFM152:NFU152"/>
    <mergeCell ref="NFV152:NGR152"/>
    <mergeCell ref="NGS152:NHA152"/>
    <mergeCell ref="NAX152:NBT152"/>
    <mergeCell ref="NBU152:NCC152"/>
    <mergeCell ref="NCD152:NCZ152"/>
    <mergeCell ref="NDA152:NDI152"/>
    <mergeCell ref="NDJ152:NEF152"/>
    <mergeCell ref="NWS152:NXA152"/>
    <mergeCell ref="NXB152:NXX152"/>
    <mergeCell ref="NXY152:NYG152"/>
    <mergeCell ref="NYH152:NZD152"/>
    <mergeCell ref="NZE152:NZM152"/>
    <mergeCell ref="NTJ152:NUF152"/>
    <mergeCell ref="NUG152:NUO152"/>
    <mergeCell ref="NUP152:NVL152"/>
    <mergeCell ref="NVM152:NVU152"/>
    <mergeCell ref="NVV152:NWR152"/>
    <mergeCell ref="NQO152:NQW152"/>
    <mergeCell ref="NQX152:NRT152"/>
    <mergeCell ref="NRU152:NSC152"/>
    <mergeCell ref="NSD152:NSZ152"/>
    <mergeCell ref="NTA152:NTI152"/>
    <mergeCell ref="NNF152:NOB152"/>
    <mergeCell ref="NOC152:NOK152"/>
    <mergeCell ref="NOL152:NPH152"/>
    <mergeCell ref="NPI152:NPQ152"/>
    <mergeCell ref="NPR152:NQN152"/>
    <mergeCell ref="OJA152:OJI152"/>
    <mergeCell ref="OJJ152:OKF152"/>
    <mergeCell ref="OKG152:OKO152"/>
    <mergeCell ref="OKP152:OLL152"/>
    <mergeCell ref="OLM152:OLU152"/>
    <mergeCell ref="OFR152:OGN152"/>
    <mergeCell ref="OGO152:OGW152"/>
    <mergeCell ref="OGX152:OHT152"/>
    <mergeCell ref="OHU152:OIC152"/>
    <mergeCell ref="OID152:OIZ152"/>
    <mergeCell ref="OCW152:ODE152"/>
    <mergeCell ref="ODF152:OEB152"/>
    <mergeCell ref="OEC152:OEK152"/>
    <mergeCell ref="OEL152:OFH152"/>
    <mergeCell ref="OFI152:OFQ152"/>
    <mergeCell ref="NZN152:OAJ152"/>
    <mergeCell ref="OAK152:OAS152"/>
    <mergeCell ref="OAT152:OBP152"/>
    <mergeCell ref="OBQ152:OBY152"/>
    <mergeCell ref="OBZ152:OCV152"/>
    <mergeCell ref="OVI152:OVQ152"/>
    <mergeCell ref="OVR152:OWN152"/>
    <mergeCell ref="OWO152:OWW152"/>
    <mergeCell ref="OWX152:OXT152"/>
    <mergeCell ref="OXU152:OYC152"/>
    <mergeCell ref="ORZ152:OSV152"/>
    <mergeCell ref="OSW152:OTE152"/>
    <mergeCell ref="OTF152:OUB152"/>
    <mergeCell ref="OUC152:OUK152"/>
    <mergeCell ref="OUL152:OVH152"/>
    <mergeCell ref="OPE152:OPM152"/>
    <mergeCell ref="OPN152:OQJ152"/>
    <mergeCell ref="OQK152:OQS152"/>
    <mergeCell ref="OQT152:ORP152"/>
    <mergeCell ref="ORQ152:ORY152"/>
    <mergeCell ref="OLV152:OMR152"/>
    <mergeCell ref="OMS152:ONA152"/>
    <mergeCell ref="ONB152:ONX152"/>
    <mergeCell ref="ONY152:OOG152"/>
    <mergeCell ref="OOH152:OPD152"/>
    <mergeCell ref="PHQ152:PHY152"/>
    <mergeCell ref="PHZ152:PIV152"/>
    <mergeCell ref="PIW152:PJE152"/>
    <mergeCell ref="PJF152:PKB152"/>
    <mergeCell ref="PKC152:PKK152"/>
    <mergeCell ref="PEH152:PFD152"/>
    <mergeCell ref="PFE152:PFM152"/>
    <mergeCell ref="PFN152:PGJ152"/>
    <mergeCell ref="PGK152:PGS152"/>
    <mergeCell ref="PGT152:PHP152"/>
    <mergeCell ref="PBM152:PBU152"/>
    <mergeCell ref="PBV152:PCR152"/>
    <mergeCell ref="PCS152:PDA152"/>
    <mergeCell ref="PDB152:PDX152"/>
    <mergeCell ref="PDY152:PEG152"/>
    <mergeCell ref="OYD152:OYZ152"/>
    <mergeCell ref="OZA152:OZI152"/>
    <mergeCell ref="OZJ152:PAF152"/>
    <mergeCell ref="PAG152:PAO152"/>
    <mergeCell ref="PAP152:PBL152"/>
    <mergeCell ref="PTY152:PUG152"/>
    <mergeCell ref="PUH152:PVD152"/>
    <mergeCell ref="PVE152:PVM152"/>
    <mergeCell ref="PVN152:PWJ152"/>
    <mergeCell ref="PWK152:PWS152"/>
    <mergeCell ref="PQP152:PRL152"/>
    <mergeCell ref="PRM152:PRU152"/>
    <mergeCell ref="PRV152:PSR152"/>
    <mergeCell ref="PSS152:PTA152"/>
    <mergeCell ref="PTB152:PTX152"/>
    <mergeCell ref="PNU152:POC152"/>
    <mergeCell ref="POD152:POZ152"/>
    <mergeCell ref="PPA152:PPI152"/>
    <mergeCell ref="PPJ152:PQF152"/>
    <mergeCell ref="PQG152:PQO152"/>
    <mergeCell ref="PKL152:PLH152"/>
    <mergeCell ref="PLI152:PLQ152"/>
    <mergeCell ref="PLR152:PMN152"/>
    <mergeCell ref="PMO152:PMW152"/>
    <mergeCell ref="PMX152:PNT152"/>
    <mergeCell ref="QGG152:QGO152"/>
    <mergeCell ref="QGP152:QHL152"/>
    <mergeCell ref="QHM152:QHU152"/>
    <mergeCell ref="QHV152:QIR152"/>
    <mergeCell ref="QIS152:QJA152"/>
    <mergeCell ref="QCX152:QDT152"/>
    <mergeCell ref="QDU152:QEC152"/>
    <mergeCell ref="QED152:QEZ152"/>
    <mergeCell ref="QFA152:QFI152"/>
    <mergeCell ref="QFJ152:QGF152"/>
    <mergeCell ref="QAC152:QAK152"/>
    <mergeCell ref="QAL152:QBH152"/>
    <mergeCell ref="QBI152:QBQ152"/>
    <mergeCell ref="QBR152:QCN152"/>
    <mergeCell ref="QCO152:QCW152"/>
    <mergeCell ref="PWT152:PXP152"/>
    <mergeCell ref="PXQ152:PXY152"/>
    <mergeCell ref="PXZ152:PYV152"/>
    <mergeCell ref="PYW152:PZE152"/>
    <mergeCell ref="PZF152:QAB152"/>
    <mergeCell ref="QSO152:QSW152"/>
    <mergeCell ref="QSX152:QTT152"/>
    <mergeCell ref="QTU152:QUC152"/>
    <mergeCell ref="QUD152:QUZ152"/>
    <mergeCell ref="QVA152:QVI152"/>
    <mergeCell ref="QPF152:QQB152"/>
    <mergeCell ref="QQC152:QQK152"/>
    <mergeCell ref="QQL152:QRH152"/>
    <mergeCell ref="QRI152:QRQ152"/>
    <mergeCell ref="QRR152:QSN152"/>
    <mergeCell ref="QMK152:QMS152"/>
    <mergeCell ref="QMT152:QNP152"/>
    <mergeCell ref="QNQ152:QNY152"/>
    <mergeCell ref="QNZ152:QOV152"/>
    <mergeCell ref="QOW152:QPE152"/>
    <mergeCell ref="QJB152:QJX152"/>
    <mergeCell ref="QJY152:QKG152"/>
    <mergeCell ref="QKH152:QLD152"/>
    <mergeCell ref="QLE152:QLM152"/>
    <mergeCell ref="QLN152:QMJ152"/>
    <mergeCell ref="REW152:RFE152"/>
    <mergeCell ref="RFF152:RGB152"/>
    <mergeCell ref="RGC152:RGK152"/>
    <mergeCell ref="RGL152:RHH152"/>
    <mergeCell ref="RHI152:RHQ152"/>
    <mergeCell ref="RBN152:RCJ152"/>
    <mergeCell ref="RCK152:RCS152"/>
    <mergeCell ref="RCT152:RDP152"/>
    <mergeCell ref="RDQ152:RDY152"/>
    <mergeCell ref="RDZ152:REV152"/>
    <mergeCell ref="QYS152:QZA152"/>
    <mergeCell ref="QZB152:QZX152"/>
    <mergeCell ref="QZY152:RAG152"/>
    <mergeCell ref="RAH152:RBD152"/>
    <mergeCell ref="RBE152:RBM152"/>
    <mergeCell ref="QVJ152:QWF152"/>
    <mergeCell ref="QWG152:QWO152"/>
    <mergeCell ref="QWP152:QXL152"/>
    <mergeCell ref="QXM152:QXU152"/>
    <mergeCell ref="QXV152:QYR152"/>
    <mergeCell ref="RRE152:RRM152"/>
    <mergeCell ref="RRN152:RSJ152"/>
    <mergeCell ref="RSK152:RSS152"/>
    <mergeCell ref="RST152:RTP152"/>
    <mergeCell ref="RTQ152:RTY152"/>
    <mergeCell ref="RNV152:ROR152"/>
    <mergeCell ref="ROS152:RPA152"/>
    <mergeCell ref="RPB152:RPX152"/>
    <mergeCell ref="RPY152:RQG152"/>
    <mergeCell ref="RQH152:RRD152"/>
    <mergeCell ref="RLA152:RLI152"/>
    <mergeCell ref="RLJ152:RMF152"/>
    <mergeCell ref="RMG152:RMO152"/>
    <mergeCell ref="RMP152:RNL152"/>
    <mergeCell ref="RNM152:RNU152"/>
    <mergeCell ref="RHR152:RIN152"/>
    <mergeCell ref="RIO152:RIW152"/>
    <mergeCell ref="RIX152:RJT152"/>
    <mergeCell ref="RJU152:RKC152"/>
    <mergeCell ref="RKD152:RKZ152"/>
    <mergeCell ref="SDM152:SDU152"/>
    <mergeCell ref="SDV152:SER152"/>
    <mergeCell ref="SES152:SFA152"/>
    <mergeCell ref="SFB152:SFX152"/>
    <mergeCell ref="SFY152:SGG152"/>
    <mergeCell ref="SAD152:SAZ152"/>
    <mergeCell ref="SBA152:SBI152"/>
    <mergeCell ref="SBJ152:SCF152"/>
    <mergeCell ref="SCG152:SCO152"/>
    <mergeCell ref="SCP152:SDL152"/>
    <mergeCell ref="RXI152:RXQ152"/>
    <mergeCell ref="RXR152:RYN152"/>
    <mergeCell ref="RYO152:RYW152"/>
    <mergeCell ref="RYX152:RZT152"/>
    <mergeCell ref="RZU152:SAC152"/>
    <mergeCell ref="RTZ152:RUV152"/>
    <mergeCell ref="RUW152:RVE152"/>
    <mergeCell ref="RVF152:RWB152"/>
    <mergeCell ref="RWC152:RWK152"/>
    <mergeCell ref="RWL152:RXH152"/>
    <mergeCell ref="SPU152:SQC152"/>
    <mergeCell ref="SQD152:SQZ152"/>
    <mergeCell ref="SRA152:SRI152"/>
    <mergeCell ref="SRJ152:SSF152"/>
    <mergeCell ref="SSG152:SSO152"/>
    <mergeCell ref="SML152:SNH152"/>
    <mergeCell ref="SNI152:SNQ152"/>
    <mergeCell ref="SNR152:SON152"/>
    <mergeCell ref="SOO152:SOW152"/>
    <mergeCell ref="SOX152:SPT152"/>
    <mergeCell ref="SJQ152:SJY152"/>
    <mergeCell ref="SJZ152:SKV152"/>
    <mergeCell ref="SKW152:SLE152"/>
    <mergeCell ref="SLF152:SMB152"/>
    <mergeCell ref="SMC152:SMK152"/>
    <mergeCell ref="SGH152:SHD152"/>
    <mergeCell ref="SHE152:SHM152"/>
    <mergeCell ref="SHN152:SIJ152"/>
    <mergeCell ref="SIK152:SIS152"/>
    <mergeCell ref="SIT152:SJP152"/>
    <mergeCell ref="TCC152:TCK152"/>
    <mergeCell ref="TCL152:TDH152"/>
    <mergeCell ref="TDI152:TDQ152"/>
    <mergeCell ref="TDR152:TEN152"/>
    <mergeCell ref="TEO152:TEW152"/>
    <mergeCell ref="SYT152:SZP152"/>
    <mergeCell ref="SZQ152:SZY152"/>
    <mergeCell ref="SZZ152:TAV152"/>
    <mergeCell ref="TAW152:TBE152"/>
    <mergeCell ref="TBF152:TCB152"/>
    <mergeCell ref="SVY152:SWG152"/>
    <mergeCell ref="SWH152:SXD152"/>
    <mergeCell ref="SXE152:SXM152"/>
    <mergeCell ref="SXN152:SYJ152"/>
    <mergeCell ref="SYK152:SYS152"/>
    <mergeCell ref="SSP152:STL152"/>
    <mergeCell ref="STM152:STU152"/>
    <mergeCell ref="STV152:SUR152"/>
    <mergeCell ref="SUS152:SVA152"/>
    <mergeCell ref="SVB152:SVX152"/>
    <mergeCell ref="TOK152:TOS152"/>
    <mergeCell ref="TOT152:TPP152"/>
    <mergeCell ref="TPQ152:TPY152"/>
    <mergeCell ref="TPZ152:TQV152"/>
    <mergeCell ref="TQW152:TRE152"/>
    <mergeCell ref="TLB152:TLX152"/>
    <mergeCell ref="TLY152:TMG152"/>
    <mergeCell ref="TMH152:TND152"/>
    <mergeCell ref="TNE152:TNM152"/>
    <mergeCell ref="TNN152:TOJ152"/>
    <mergeCell ref="TIG152:TIO152"/>
    <mergeCell ref="TIP152:TJL152"/>
    <mergeCell ref="TJM152:TJU152"/>
    <mergeCell ref="TJV152:TKR152"/>
    <mergeCell ref="TKS152:TLA152"/>
    <mergeCell ref="TEX152:TFT152"/>
    <mergeCell ref="TFU152:TGC152"/>
    <mergeCell ref="TGD152:TGZ152"/>
    <mergeCell ref="THA152:THI152"/>
    <mergeCell ref="THJ152:TIF152"/>
    <mergeCell ref="UAS152:UBA152"/>
    <mergeCell ref="UBB152:UBX152"/>
    <mergeCell ref="UBY152:UCG152"/>
    <mergeCell ref="UCH152:UDD152"/>
    <mergeCell ref="UDE152:UDM152"/>
    <mergeCell ref="TXJ152:TYF152"/>
    <mergeCell ref="TYG152:TYO152"/>
    <mergeCell ref="TYP152:TZL152"/>
    <mergeCell ref="TZM152:TZU152"/>
    <mergeCell ref="TZV152:UAR152"/>
    <mergeCell ref="TUO152:TUW152"/>
    <mergeCell ref="TUX152:TVT152"/>
    <mergeCell ref="TVU152:TWC152"/>
    <mergeCell ref="TWD152:TWZ152"/>
    <mergeCell ref="TXA152:TXI152"/>
    <mergeCell ref="TRF152:TSB152"/>
    <mergeCell ref="TSC152:TSK152"/>
    <mergeCell ref="TSL152:TTH152"/>
    <mergeCell ref="TTI152:TTQ152"/>
    <mergeCell ref="TTR152:TUN152"/>
    <mergeCell ref="UNA152:UNI152"/>
    <mergeCell ref="UNJ152:UOF152"/>
    <mergeCell ref="UOG152:UOO152"/>
    <mergeCell ref="UOP152:UPL152"/>
    <mergeCell ref="UPM152:UPU152"/>
    <mergeCell ref="UJR152:UKN152"/>
    <mergeCell ref="UKO152:UKW152"/>
    <mergeCell ref="UKX152:ULT152"/>
    <mergeCell ref="ULU152:UMC152"/>
    <mergeCell ref="UMD152:UMZ152"/>
    <mergeCell ref="UGW152:UHE152"/>
    <mergeCell ref="UHF152:UIB152"/>
    <mergeCell ref="UIC152:UIK152"/>
    <mergeCell ref="UIL152:UJH152"/>
    <mergeCell ref="UJI152:UJQ152"/>
    <mergeCell ref="UDN152:UEJ152"/>
    <mergeCell ref="UEK152:UES152"/>
    <mergeCell ref="UET152:UFP152"/>
    <mergeCell ref="UFQ152:UFY152"/>
    <mergeCell ref="UFZ152:UGV152"/>
    <mergeCell ref="UZI152:UZQ152"/>
    <mergeCell ref="UZR152:VAN152"/>
    <mergeCell ref="VAO152:VAW152"/>
    <mergeCell ref="VAX152:VBT152"/>
    <mergeCell ref="VBU152:VCC152"/>
    <mergeCell ref="UVZ152:UWV152"/>
    <mergeCell ref="UWW152:UXE152"/>
    <mergeCell ref="UXF152:UYB152"/>
    <mergeCell ref="UYC152:UYK152"/>
    <mergeCell ref="UYL152:UZH152"/>
    <mergeCell ref="UTE152:UTM152"/>
    <mergeCell ref="UTN152:UUJ152"/>
    <mergeCell ref="UUK152:UUS152"/>
    <mergeCell ref="UUT152:UVP152"/>
    <mergeCell ref="UVQ152:UVY152"/>
    <mergeCell ref="UPV152:UQR152"/>
    <mergeCell ref="UQS152:URA152"/>
    <mergeCell ref="URB152:URX152"/>
    <mergeCell ref="URY152:USG152"/>
    <mergeCell ref="USH152:UTD152"/>
    <mergeCell ref="VLQ152:VLY152"/>
    <mergeCell ref="VLZ152:VMV152"/>
    <mergeCell ref="VMW152:VNE152"/>
    <mergeCell ref="VNF152:VOB152"/>
    <mergeCell ref="VOC152:VOK152"/>
    <mergeCell ref="VIH152:VJD152"/>
    <mergeCell ref="VJE152:VJM152"/>
    <mergeCell ref="VJN152:VKJ152"/>
    <mergeCell ref="VKK152:VKS152"/>
    <mergeCell ref="VKT152:VLP152"/>
    <mergeCell ref="VFM152:VFU152"/>
    <mergeCell ref="VFV152:VGR152"/>
    <mergeCell ref="VGS152:VHA152"/>
    <mergeCell ref="VHB152:VHX152"/>
    <mergeCell ref="VHY152:VIG152"/>
    <mergeCell ref="VCD152:VCZ152"/>
    <mergeCell ref="VDA152:VDI152"/>
    <mergeCell ref="VDJ152:VEF152"/>
    <mergeCell ref="VEG152:VEO152"/>
    <mergeCell ref="VEP152:VFL152"/>
    <mergeCell ref="VXY152:VYG152"/>
    <mergeCell ref="VYH152:VZD152"/>
    <mergeCell ref="VZE152:VZM152"/>
    <mergeCell ref="VZN152:WAJ152"/>
    <mergeCell ref="WAK152:WAS152"/>
    <mergeCell ref="VUP152:VVL152"/>
    <mergeCell ref="VVM152:VVU152"/>
    <mergeCell ref="VVV152:VWR152"/>
    <mergeCell ref="VWS152:VXA152"/>
    <mergeCell ref="VXB152:VXX152"/>
    <mergeCell ref="VRU152:VSC152"/>
    <mergeCell ref="VSD152:VSZ152"/>
    <mergeCell ref="VTA152:VTI152"/>
    <mergeCell ref="VTJ152:VUF152"/>
    <mergeCell ref="VUG152:VUO152"/>
    <mergeCell ref="VOL152:VPH152"/>
    <mergeCell ref="VPI152:VPQ152"/>
    <mergeCell ref="VPR152:VQN152"/>
    <mergeCell ref="VQO152:VQW152"/>
    <mergeCell ref="VQX152:VRT152"/>
    <mergeCell ref="WKP152:WLL152"/>
    <mergeCell ref="WLM152:WLU152"/>
    <mergeCell ref="WLV152:WMR152"/>
    <mergeCell ref="WMS152:WNA152"/>
    <mergeCell ref="WGX152:WHT152"/>
    <mergeCell ref="WHU152:WIC152"/>
    <mergeCell ref="WID152:WIZ152"/>
    <mergeCell ref="WJA152:WJI152"/>
    <mergeCell ref="WJJ152:WKF152"/>
    <mergeCell ref="WEC152:WEK152"/>
    <mergeCell ref="WEL152:WFH152"/>
    <mergeCell ref="WFI152:WFQ152"/>
    <mergeCell ref="WFR152:WGN152"/>
    <mergeCell ref="WGO152:WGW152"/>
    <mergeCell ref="WAT152:WBP152"/>
    <mergeCell ref="WBQ152:WBY152"/>
    <mergeCell ref="WBZ152:WCV152"/>
    <mergeCell ref="WCW152:WDE152"/>
    <mergeCell ref="WDF152:WEB152"/>
    <mergeCell ref="XCS152:XDA152"/>
    <mergeCell ref="XDB152:XDX152"/>
    <mergeCell ref="XDY152:XEG152"/>
    <mergeCell ref="XEH152:XFD152"/>
    <mergeCell ref="A154:I154"/>
    <mergeCell ref="J154:AF154"/>
    <mergeCell ref="WZJ152:XAF152"/>
    <mergeCell ref="XAG152:XAO152"/>
    <mergeCell ref="XAP152:XBL152"/>
    <mergeCell ref="XBM152:XBU152"/>
    <mergeCell ref="XBV152:XCR152"/>
    <mergeCell ref="WWO152:WWW152"/>
    <mergeCell ref="WWX152:WXT152"/>
    <mergeCell ref="WXU152:WYC152"/>
    <mergeCell ref="WYD152:WYZ152"/>
    <mergeCell ref="WZA152:WZI152"/>
    <mergeCell ref="WTF152:WUB152"/>
    <mergeCell ref="WUC152:WUK152"/>
    <mergeCell ref="WUL152:WVH152"/>
    <mergeCell ref="WVI152:WVQ152"/>
    <mergeCell ref="WVR152:WWN152"/>
    <mergeCell ref="WQK152:WQS152"/>
    <mergeCell ref="WQT152:WRP152"/>
    <mergeCell ref="WRQ152:WRY152"/>
    <mergeCell ref="WRZ152:WSV152"/>
    <mergeCell ref="WSW152:WTE152"/>
    <mergeCell ref="WNB152:WNX152"/>
    <mergeCell ref="WNY152:WOG152"/>
    <mergeCell ref="WOH152:WPD152"/>
    <mergeCell ref="WPE152:WPM152"/>
    <mergeCell ref="WPN152:WQJ152"/>
    <mergeCell ref="WKG152:WKO152"/>
    <mergeCell ref="A168:I168"/>
    <mergeCell ref="J168:AF168"/>
    <mergeCell ref="A86:I86"/>
    <mergeCell ref="J86:AF86"/>
    <mergeCell ref="A114:I114"/>
    <mergeCell ref="J114:AF114"/>
    <mergeCell ref="A162:I162"/>
    <mergeCell ref="J162:AF162"/>
    <mergeCell ref="A164:I164"/>
    <mergeCell ref="J164:AF164"/>
    <mergeCell ref="A166:I166"/>
    <mergeCell ref="J166:AF166"/>
    <mergeCell ref="A156:I156"/>
    <mergeCell ref="J156:AF156"/>
    <mergeCell ref="A158:I158"/>
    <mergeCell ref="J158:AF158"/>
    <mergeCell ref="A160:I160"/>
    <mergeCell ref="J160:AF160"/>
    <mergeCell ref="A140:I140"/>
    <mergeCell ref="J140:AF140"/>
    <mergeCell ref="A142:I142"/>
    <mergeCell ref="J142:AF142"/>
    <mergeCell ref="A138:I138"/>
    <mergeCell ref="J138:AF138"/>
    <mergeCell ref="A128:I128"/>
    <mergeCell ref="J128:AF128"/>
    <mergeCell ref="A130:I130"/>
    <mergeCell ref="J130:AF130"/>
    <mergeCell ref="A132:I132"/>
    <mergeCell ref="J132:AF132"/>
    <mergeCell ref="A122:I122"/>
    <mergeCell ref="J122:AF122"/>
  </mergeCells>
  <hyperlinks>
    <hyperlink ref="A2" location="TOC!A1" display="Return to TOC" xr:uid="{00000000-0004-0000-0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F7C8-0FE3-45C9-9700-385DFE0B366D}">
  <sheetPr>
    <tabColor theme="4" tint="0.79998168889431442"/>
  </sheetPr>
  <dimension ref="A1:AF91"/>
  <sheetViews>
    <sheetView workbookViewId="0">
      <selection activeCell="A2" sqref="A2"/>
    </sheetView>
  </sheetViews>
  <sheetFormatPr defaultColWidth="2.6640625" defaultRowHeight="14.4" x14ac:dyDescent="0.3"/>
  <sheetData>
    <row r="1" spans="1:32" ht="18.600000000000001" thickBot="1" x14ac:dyDescent="0.35">
      <c r="A1" s="979" t="s">
        <v>6464</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x14ac:dyDescent="0.3">
      <c r="A2" s="512" t="s">
        <v>1456</v>
      </c>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6465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3">
      <c r="B9" s="5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45" customHeight="1" x14ac:dyDescent="0.3">
      <c r="B10" s="889" t="s">
        <v>6466</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B12" s="51" t="s">
        <v>4</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x14ac:dyDescent="0.3">
      <c r="B13" s="889" t="s">
        <v>6467</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B15" s="267" t="s">
        <v>5</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B16" s="121" t="s">
        <v>6468</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row>
    <row r="17" spans="1:32" x14ac:dyDescent="0.3">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B18" s="267" t="s">
        <v>6</v>
      </c>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3">
      <c r="B19" s="889" t="s">
        <v>6469</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2" x14ac:dyDescent="0.3">
      <c r="B21" s="267" t="s">
        <v>13</v>
      </c>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x14ac:dyDescent="0.3">
      <c r="B22" s="889" t="s">
        <v>6470</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x14ac:dyDescent="0.3">
      <c r="A23" s="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3">
      <c r="A24" s="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row>
    <row r="27" spans="1:32" x14ac:dyDescent="0.3">
      <c r="B27" s="231" t="s">
        <v>5342</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3">
      <c r="B28" s="3"/>
      <c r="C28" s="1"/>
      <c r="D28" s="10"/>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2" x14ac:dyDescent="0.3">
      <c r="B29" s="3"/>
      <c r="D29" s="1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71" t="s">
        <v>1463</v>
      </c>
    </row>
    <row r="30" spans="1:32" x14ac:dyDescent="0.3">
      <c r="B30" s="3"/>
      <c r="D30" s="1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71"/>
    </row>
    <row r="31" spans="1:32" x14ac:dyDescent="0.3">
      <c r="B31" s="1"/>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x14ac:dyDescent="0.3">
      <c r="B32" s="1"/>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2:32" x14ac:dyDescent="0.3">
      <c r="B33" s="231" t="s">
        <v>6471</v>
      </c>
      <c r="C33" s="1"/>
      <c r="D33" s="1"/>
      <c r="E33" s="1"/>
      <c r="F33" s="1"/>
      <c r="G33" s="1"/>
      <c r="H33" s="1"/>
      <c r="I33" s="1"/>
      <c r="J33" s="1"/>
      <c r="K33" s="1"/>
      <c r="L33" s="1"/>
      <c r="M33" s="1"/>
      <c r="N33" s="40"/>
      <c r="O33" s="40"/>
      <c r="P33" s="40"/>
      <c r="Q33" s="40"/>
      <c r="R33" s="40"/>
      <c r="S33" s="40"/>
      <c r="T33" s="40"/>
      <c r="U33" s="40"/>
      <c r="V33" s="40"/>
      <c r="W33" s="40"/>
      <c r="X33" s="40"/>
      <c r="Y33" s="40"/>
      <c r="Z33" s="40"/>
      <c r="AA33" s="40"/>
      <c r="AB33" s="40"/>
      <c r="AC33" s="40"/>
      <c r="AD33" s="40"/>
      <c r="AE33" s="40"/>
      <c r="AF33" s="40"/>
    </row>
    <row r="34" spans="2:32" x14ac:dyDescent="0.3">
      <c r="B34" s="1"/>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2:32" x14ac:dyDescent="0.3">
      <c r="B35" s="1"/>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71" t="s">
        <v>1464</v>
      </c>
    </row>
    <row r="36" spans="2:32" x14ac:dyDescent="0.3">
      <c r="B36" s="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2:32" x14ac:dyDescent="0.3">
      <c r="B37" s="1"/>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2:32" x14ac:dyDescent="0.3">
      <c r="B38" s="1"/>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2:32" x14ac:dyDescent="0.3">
      <c r="B39" s="231" t="s">
        <v>2027</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2:32" x14ac:dyDescent="0.3">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2:32" x14ac:dyDescent="0.3">
      <c r="B41" s="40"/>
      <c r="C41" s="40"/>
      <c r="D41" s="717"/>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71" t="s">
        <v>1465</v>
      </c>
    </row>
    <row r="42" spans="2:32" x14ac:dyDescent="0.3">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2:32" x14ac:dyDescent="0.3">
      <c r="B43" s="231" t="s">
        <v>2137</v>
      </c>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row>
    <row r="44" spans="2:32" x14ac:dyDescent="0.3">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2:32" x14ac:dyDescent="0.3">
      <c r="B45" s="40"/>
      <c r="C45" s="40"/>
      <c r="D45" s="715"/>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2672" t="s">
        <v>1517</v>
      </c>
    </row>
    <row r="46" spans="2:32" x14ac:dyDescent="0.3">
      <c r="B46" s="40"/>
      <c r="C46" s="40"/>
      <c r="D46" s="1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2672"/>
    </row>
    <row r="47" spans="2:32" x14ac:dyDescent="0.3">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169"/>
    </row>
    <row r="48" spans="2:32" x14ac:dyDescent="0.3">
      <c r="B48" s="231" t="s">
        <v>1811</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169"/>
    </row>
    <row r="49" spans="1:32"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169"/>
    </row>
    <row r="50" spans="1:32" x14ac:dyDescent="0.3">
      <c r="A50" s="40"/>
      <c r="B50" s="162"/>
      <c r="C50" s="40"/>
      <c r="D50" s="71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272" t="s">
        <v>1556</v>
      </c>
    </row>
    <row r="51" spans="1:32"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row>
    <row r="52" spans="1:32"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row>
    <row r="53" spans="1:32" x14ac:dyDescent="0.3">
      <c r="A53" s="1141" t="s">
        <v>8</v>
      </c>
      <c r="B53" s="1141"/>
      <c r="C53" s="1141"/>
      <c r="D53" s="1141"/>
      <c r="E53" s="1141"/>
      <c r="F53" s="1141"/>
      <c r="G53" s="1141"/>
      <c r="H53" s="1141"/>
      <c r="I53" s="1141"/>
      <c r="J53" s="1141"/>
      <c r="K53" s="1141"/>
      <c r="L53" s="1141"/>
      <c r="M53" s="1141"/>
      <c r="N53" s="1141"/>
      <c r="O53" s="1141"/>
      <c r="P53" s="1141"/>
      <c r="Q53" s="1141"/>
      <c r="R53" s="1141"/>
      <c r="S53" s="1141"/>
      <c r="T53" s="1141"/>
      <c r="U53" s="1141"/>
      <c r="V53" s="1141"/>
      <c r="W53" s="1141"/>
      <c r="X53" s="1141"/>
      <c r="Y53" s="1141"/>
      <c r="Z53" s="1141"/>
      <c r="AA53" s="1141"/>
      <c r="AB53" s="1141"/>
      <c r="AC53" s="1141"/>
      <c r="AD53" s="1141"/>
      <c r="AE53" s="1141"/>
      <c r="AF53" s="1141"/>
    </row>
    <row r="54" spans="1:32" x14ac:dyDescent="0.3">
      <c r="A54" s="1143" t="s">
        <v>9</v>
      </c>
      <c r="B54" s="1143"/>
      <c r="C54" s="1143"/>
      <c r="D54" s="1143"/>
      <c r="E54" s="1143" t="s">
        <v>3</v>
      </c>
      <c r="F54" s="1143"/>
      <c r="G54" s="1143"/>
      <c r="H54" s="1143"/>
      <c r="I54" s="1143"/>
      <c r="J54" s="1143"/>
      <c r="K54" s="1143"/>
      <c r="L54" s="1143"/>
      <c r="M54" s="1143"/>
      <c r="N54" s="1143"/>
      <c r="O54" s="1143"/>
      <c r="P54" s="1143" t="s">
        <v>10</v>
      </c>
      <c r="Q54" s="1143"/>
      <c r="R54" s="1143"/>
      <c r="S54" s="1143"/>
      <c r="T54" s="1143" t="s">
        <v>11</v>
      </c>
      <c r="U54" s="1143"/>
      <c r="V54" s="1143"/>
      <c r="W54" s="1143"/>
      <c r="X54" s="1143" t="s">
        <v>1466</v>
      </c>
      <c r="Y54" s="1143"/>
      <c r="Z54" s="1143"/>
      <c r="AA54" s="1143"/>
      <c r="AB54" s="1143"/>
      <c r="AC54" s="1143"/>
      <c r="AD54" s="1143"/>
      <c r="AE54" s="1143"/>
      <c r="AF54" s="1143"/>
    </row>
    <row r="55" spans="1:32" ht="30" customHeight="1" x14ac:dyDescent="0.3">
      <c r="A55" s="856" t="s">
        <v>6472</v>
      </c>
      <c r="B55" s="856"/>
      <c r="C55" s="856"/>
      <c r="D55" s="856"/>
      <c r="E55" s="856" t="s">
        <v>6473</v>
      </c>
      <c r="F55" s="856"/>
      <c r="G55" s="856"/>
      <c r="H55" s="856"/>
      <c r="I55" s="856"/>
      <c r="J55" s="856"/>
      <c r="K55" s="856"/>
      <c r="L55" s="856"/>
      <c r="M55" s="856"/>
      <c r="N55" s="856"/>
      <c r="O55" s="856"/>
      <c r="P55" s="1586" t="s">
        <v>6474</v>
      </c>
      <c r="Q55" s="1586"/>
      <c r="R55" s="1586"/>
      <c r="S55" s="1586"/>
      <c r="T55" s="2146" t="s">
        <v>36</v>
      </c>
      <c r="U55" s="1275"/>
      <c r="V55" s="1275"/>
      <c r="W55" s="1275"/>
      <c r="X55" s="1385"/>
      <c r="Y55" s="1385"/>
      <c r="Z55" s="1385"/>
      <c r="AA55" s="1385"/>
      <c r="AB55" s="1385"/>
      <c r="AC55" s="1385"/>
      <c r="AD55" s="1385"/>
      <c r="AE55" s="1385"/>
      <c r="AF55" s="1385"/>
    </row>
    <row r="56" spans="1:32" ht="30" customHeight="1" x14ac:dyDescent="0.3">
      <c r="A56" s="856" t="s">
        <v>6475</v>
      </c>
      <c r="B56" s="856"/>
      <c r="C56" s="856"/>
      <c r="D56" s="856"/>
      <c r="E56" s="856" t="s">
        <v>6476</v>
      </c>
      <c r="F56" s="856"/>
      <c r="G56" s="856"/>
      <c r="H56" s="856"/>
      <c r="I56" s="856"/>
      <c r="J56" s="856"/>
      <c r="K56" s="856"/>
      <c r="L56" s="856"/>
      <c r="M56" s="856"/>
      <c r="N56" s="856"/>
      <c r="O56" s="856"/>
      <c r="P56" s="1151" t="s">
        <v>6477</v>
      </c>
      <c r="Q56" s="1152"/>
      <c r="R56" s="1152"/>
      <c r="S56" s="1153"/>
      <c r="T56" s="1261" t="s">
        <v>36</v>
      </c>
      <c r="U56" s="1244"/>
      <c r="V56" s="1244"/>
      <c r="W56" s="1245"/>
      <c r="X56" s="1385"/>
      <c r="Y56" s="1385"/>
      <c r="Z56" s="1385"/>
      <c r="AA56" s="1385"/>
      <c r="AB56" s="1385"/>
      <c r="AC56" s="1385"/>
      <c r="AD56" s="1385"/>
      <c r="AE56" s="1385"/>
      <c r="AF56" s="1385"/>
    </row>
    <row r="57" spans="1:32" ht="30" customHeight="1" x14ac:dyDescent="0.3">
      <c r="A57" s="2506" t="s">
        <v>401</v>
      </c>
      <c r="B57" s="2507" t="s">
        <v>206</v>
      </c>
      <c r="C57" s="2507" t="s">
        <v>206</v>
      </c>
      <c r="D57" s="2508" t="s">
        <v>206</v>
      </c>
      <c r="E57" s="856" t="s">
        <v>6478</v>
      </c>
      <c r="F57" s="856" t="s">
        <v>523</v>
      </c>
      <c r="G57" s="856" t="s">
        <v>523</v>
      </c>
      <c r="H57" s="856" t="s">
        <v>523</v>
      </c>
      <c r="I57" s="856" t="s">
        <v>523</v>
      </c>
      <c r="J57" s="856" t="s">
        <v>523</v>
      </c>
      <c r="K57" s="856" t="s">
        <v>523</v>
      </c>
      <c r="L57" s="856" t="s">
        <v>523</v>
      </c>
      <c r="M57" s="856" t="s">
        <v>523</v>
      </c>
      <c r="N57" s="856" t="s">
        <v>523</v>
      </c>
      <c r="O57" s="856" t="s">
        <v>523</v>
      </c>
      <c r="P57" s="2310">
        <v>3</v>
      </c>
      <c r="Q57" s="2310"/>
      <c r="R57" s="2310"/>
      <c r="S57" s="2310"/>
      <c r="T57" s="2464" t="s">
        <v>6479</v>
      </c>
      <c r="U57" s="2465"/>
      <c r="V57" s="2465"/>
      <c r="W57" s="2466"/>
      <c r="X57" s="2673" t="s">
        <v>6480</v>
      </c>
      <c r="Y57" s="2674"/>
      <c r="Z57" s="2674"/>
      <c r="AA57" s="2674"/>
      <c r="AB57" s="2674"/>
      <c r="AC57" s="2674"/>
      <c r="AD57" s="2674"/>
      <c r="AE57" s="2674"/>
      <c r="AF57" s="2675"/>
    </row>
    <row r="58" spans="1:32" ht="30" customHeight="1" x14ac:dyDescent="0.3">
      <c r="A58" s="2509"/>
      <c r="B58" s="2510"/>
      <c r="C58" s="2510"/>
      <c r="D58" s="2511"/>
      <c r="E58" s="856" t="s">
        <v>6481</v>
      </c>
      <c r="F58" s="856" t="s">
        <v>523</v>
      </c>
      <c r="G58" s="856" t="s">
        <v>523</v>
      </c>
      <c r="H58" s="856" t="s">
        <v>523</v>
      </c>
      <c r="I58" s="856" t="s">
        <v>523</v>
      </c>
      <c r="J58" s="856" t="s">
        <v>523</v>
      </c>
      <c r="K58" s="856" t="s">
        <v>523</v>
      </c>
      <c r="L58" s="856" t="s">
        <v>523</v>
      </c>
      <c r="M58" s="856" t="s">
        <v>523</v>
      </c>
      <c r="N58" s="856" t="s">
        <v>523</v>
      </c>
      <c r="O58" s="856" t="s">
        <v>523</v>
      </c>
      <c r="P58" s="1586">
        <v>8.4499999999999993</v>
      </c>
      <c r="Q58" s="1586"/>
      <c r="R58" s="1586"/>
      <c r="S58" s="1586"/>
      <c r="T58" s="2485"/>
      <c r="U58" s="2486"/>
      <c r="V58" s="2486"/>
      <c r="W58" s="2487"/>
      <c r="X58" s="2676"/>
      <c r="Y58" s="2677"/>
      <c r="Z58" s="2677"/>
      <c r="AA58" s="2677"/>
      <c r="AB58" s="2677"/>
      <c r="AC58" s="2677"/>
      <c r="AD58" s="2677"/>
      <c r="AE58" s="2677"/>
      <c r="AF58" s="2678"/>
    </row>
    <row r="59" spans="1:32" ht="45" customHeight="1" x14ac:dyDescent="0.3">
      <c r="A59" s="2506" t="s">
        <v>6482</v>
      </c>
      <c r="B59" s="2507"/>
      <c r="C59" s="2507"/>
      <c r="D59" s="2508"/>
      <c r="E59" s="856" t="s">
        <v>6483</v>
      </c>
      <c r="F59" s="856"/>
      <c r="G59" s="856"/>
      <c r="H59" s="856"/>
      <c r="I59" s="856"/>
      <c r="J59" s="856"/>
      <c r="K59" s="856"/>
      <c r="L59" s="856"/>
      <c r="M59" s="856"/>
      <c r="N59" s="856"/>
      <c r="O59" s="856"/>
      <c r="P59" s="1586">
        <v>3.61</v>
      </c>
      <c r="Q59" s="1586"/>
      <c r="R59" s="1586"/>
      <c r="S59" s="1586"/>
      <c r="T59" s="2461" t="s">
        <v>6484</v>
      </c>
      <c r="U59" s="2462"/>
      <c r="V59" s="2462"/>
      <c r="W59" s="2463"/>
      <c r="X59" s="1262" t="s">
        <v>6485</v>
      </c>
      <c r="Y59" s="1263"/>
      <c r="Z59" s="1263"/>
      <c r="AA59" s="1263"/>
      <c r="AB59" s="1263"/>
      <c r="AC59" s="1263"/>
      <c r="AD59" s="1263"/>
      <c r="AE59" s="1263"/>
      <c r="AF59" s="1264"/>
    </row>
    <row r="60" spans="1:32" ht="45" customHeight="1" x14ac:dyDescent="0.3">
      <c r="A60" s="2679"/>
      <c r="B60" s="2680"/>
      <c r="C60" s="2680"/>
      <c r="D60" s="2681"/>
      <c r="E60" s="856" t="s">
        <v>6486</v>
      </c>
      <c r="F60" s="856"/>
      <c r="G60" s="856"/>
      <c r="H60" s="856"/>
      <c r="I60" s="856"/>
      <c r="J60" s="856"/>
      <c r="K60" s="856"/>
      <c r="L60" s="856"/>
      <c r="M60" s="856"/>
      <c r="N60" s="856"/>
      <c r="O60" s="856"/>
      <c r="P60" s="1586">
        <v>3.27</v>
      </c>
      <c r="Q60" s="1586"/>
      <c r="R60" s="1586"/>
      <c r="S60" s="1586"/>
      <c r="T60" s="2476"/>
      <c r="U60" s="2477"/>
      <c r="V60" s="2477"/>
      <c r="W60" s="2478"/>
      <c r="X60" s="2682"/>
      <c r="Y60" s="2683"/>
      <c r="Z60" s="2683"/>
      <c r="AA60" s="2683"/>
      <c r="AB60" s="2683"/>
      <c r="AC60" s="2683"/>
      <c r="AD60" s="2683"/>
      <c r="AE60" s="2683"/>
      <c r="AF60" s="2684"/>
    </row>
    <row r="61" spans="1:32" ht="45" customHeight="1" x14ac:dyDescent="0.3">
      <c r="A61" s="2679"/>
      <c r="B61" s="2680"/>
      <c r="C61" s="2680"/>
      <c r="D61" s="2681"/>
      <c r="E61" s="856" t="s">
        <v>6487</v>
      </c>
      <c r="F61" s="856"/>
      <c r="G61" s="856"/>
      <c r="H61" s="856"/>
      <c r="I61" s="856"/>
      <c r="J61" s="856"/>
      <c r="K61" s="856"/>
      <c r="L61" s="856"/>
      <c r="M61" s="856"/>
      <c r="N61" s="856"/>
      <c r="O61" s="856"/>
      <c r="P61" s="1586">
        <v>2.5499999999999998</v>
      </c>
      <c r="Q61" s="1586"/>
      <c r="R61" s="1586"/>
      <c r="S61" s="1586"/>
      <c r="T61" s="2476"/>
      <c r="U61" s="2477"/>
      <c r="V61" s="2477"/>
      <c r="W61" s="2478"/>
      <c r="X61" s="2682"/>
      <c r="Y61" s="2683"/>
      <c r="Z61" s="2683"/>
      <c r="AA61" s="2683"/>
      <c r="AB61" s="2683"/>
      <c r="AC61" s="2683"/>
      <c r="AD61" s="2683"/>
      <c r="AE61" s="2683"/>
      <c r="AF61" s="2684"/>
    </row>
    <row r="62" spans="1:32" ht="45" customHeight="1" x14ac:dyDescent="0.3">
      <c r="A62" s="2509"/>
      <c r="B62" s="2510"/>
      <c r="C62" s="2510"/>
      <c r="D62" s="2511"/>
      <c r="E62" s="856" t="s">
        <v>6488</v>
      </c>
      <c r="F62" s="856"/>
      <c r="G62" s="856"/>
      <c r="H62" s="856"/>
      <c r="I62" s="856"/>
      <c r="J62" s="856"/>
      <c r="K62" s="856"/>
      <c r="L62" s="856"/>
      <c r="M62" s="856"/>
      <c r="N62" s="856"/>
      <c r="O62" s="856"/>
      <c r="P62" s="1586">
        <v>3.73</v>
      </c>
      <c r="Q62" s="1586"/>
      <c r="R62" s="1586"/>
      <c r="S62" s="1586"/>
      <c r="T62" s="2443"/>
      <c r="U62" s="2444"/>
      <c r="V62" s="2444"/>
      <c r="W62" s="2445"/>
      <c r="X62" s="1265"/>
      <c r="Y62" s="1266"/>
      <c r="Z62" s="1266"/>
      <c r="AA62" s="1266"/>
      <c r="AB62" s="1266"/>
      <c r="AC62" s="1266"/>
      <c r="AD62" s="1266"/>
      <c r="AE62" s="1266"/>
      <c r="AF62" s="1267"/>
    </row>
    <row r="63" spans="1:32" ht="60" customHeight="1" x14ac:dyDescent="0.3">
      <c r="A63" s="855" t="s">
        <v>6489</v>
      </c>
      <c r="B63" s="855"/>
      <c r="C63" s="855"/>
      <c r="D63" s="855"/>
      <c r="E63" s="856" t="s">
        <v>6490</v>
      </c>
      <c r="F63" s="856"/>
      <c r="G63" s="856"/>
      <c r="H63" s="856"/>
      <c r="I63" s="856"/>
      <c r="J63" s="856"/>
      <c r="K63" s="856"/>
      <c r="L63" s="856"/>
      <c r="M63" s="856"/>
      <c r="N63" s="856"/>
      <c r="O63" s="856"/>
      <c r="P63" s="2310">
        <v>4.5</v>
      </c>
      <c r="Q63" s="2310"/>
      <c r="R63" s="2310"/>
      <c r="S63" s="2310"/>
      <c r="T63" s="2146" t="s">
        <v>6484</v>
      </c>
      <c r="U63" s="1275"/>
      <c r="V63" s="1275"/>
      <c r="W63" s="1275"/>
      <c r="X63" s="1207" t="s">
        <v>6491</v>
      </c>
      <c r="Y63" s="1208"/>
      <c r="Z63" s="1208"/>
      <c r="AA63" s="1208"/>
      <c r="AB63" s="1208"/>
      <c r="AC63" s="1208"/>
      <c r="AD63" s="1208"/>
      <c r="AE63" s="1208"/>
      <c r="AF63" s="1209"/>
    </row>
    <row r="64" spans="1:32" ht="30" customHeight="1" x14ac:dyDescent="0.3">
      <c r="A64" s="2506" t="s">
        <v>372</v>
      </c>
      <c r="B64" s="2507" t="s">
        <v>206</v>
      </c>
      <c r="C64" s="2507" t="s">
        <v>206</v>
      </c>
      <c r="D64" s="2508" t="s">
        <v>206</v>
      </c>
      <c r="E64" s="856" t="s">
        <v>6492</v>
      </c>
      <c r="F64" s="856" t="s">
        <v>523</v>
      </c>
      <c r="G64" s="856" t="s">
        <v>523</v>
      </c>
      <c r="H64" s="856" t="s">
        <v>523</v>
      </c>
      <c r="I64" s="856" t="s">
        <v>523</v>
      </c>
      <c r="J64" s="856" t="s">
        <v>523</v>
      </c>
      <c r="K64" s="856" t="s">
        <v>523</v>
      </c>
      <c r="L64" s="856" t="s">
        <v>523</v>
      </c>
      <c r="M64" s="856" t="s">
        <v>523</v>
      </c>
      <c r="N64" s="856" t="s">
        <v>523</v>
      </c>
      <c r="O64" s="856" t="s">
        <v>523</v>
      </c>
      <c r="P64" s="1586">
        <v>251</v>
      </c>
      <c r="Q64" s="1586"/>
      <c r="R64" s="1586"/>
      <c r="S64" s="1586"/>
      <c r="T64" s="2464"/>
      <c r="U64" s="2465"/>
      <c r="V64" s="2465"/>
      <c r="W64" s="2466"/>
      <c r="X64" s="2673" t="s">
        <v>6493</v>
      </c>
      <c r="Y64" s="2674"/>
      <c r="Z64" s="2674"/>
      <c r="AA64" s="2674"/>
      <c r="AB64" s="2674"/>
      <c r="AC64" s="2674"/>
      <c r="AD64" s="2674"/>
      <c r="AE64" s="2674"/>
      <c r="AF64" s="2675"/>
    </row>
    <row r="65" spans="1:32" ht="30" customHeight="1" x14ac:dyDescent="0.3">
      <c r="A65" s="2509"/>
      <c r="B65" s="2510"/>
      <c r="C65" s="2510"/>
      <c r="D65" s="2511"/>
      <c r="E65" s="856" t="s">
        <v>6494</v>
      </c>
      <c r="F65" s="856" t="s">
        <v>523</v>
      </c>
      <c r="G65" s="856" t="s">
        <v>523</v>
      </c>
      <c r="H65" s="856" t="s">
        <v>523</v>
      </c>
      <c r="I65" s="856" t="s">
        <v>523</v>
      </c>
      <c r="J65" s="856" t="s">
        <v>523</v>
      </c>
      <c r="K65" s="856" t="s">
        <v>523</v>
      </c>
      <c r="L65" s="856" t="s">
        <v>523</v>
      </c>
      <c r="M65" s="856" t="s">
        <v>523</v>
      </c>
      <c r="N65" s="856" t="s">
        <v>523</v>
      </c>
      <c r="O65" s="856" t="s">
        <v>523</v>
      </c>
      <c r="P65" s="1586">
        <v>283</v>
      </c>
      <c r="Q65" s="1586"/>
      <c r="R65" s="1586"/>
      <c r="S65" s="1586"/>
      <c r="T65" s="2485"/>
      <c r="U65" s="2486"/>
      <c r="V65" s="2486"/>
      <c r="W65" s="2487"/>
      <c r="X65" s="2676"/>
      <c r="Y65" s="2677"/>
      <c r="Z65" s="2677"/>
      <c r="AA65" s="2677"/>
      <c r="AB65" s="2677"/>
      <c r="AC65" s="2677"/>
      <c r="AD65" s="2677"/>
      <c r="AE65" s="2677"/>
      <c r="AF65" s="2678"/>
    </row>
    <row r="66" spans="1:32" ht="30" customHeight="1" x14ac:dyDescent="0.3">
      <c r="A66" s="856" t="s">
        <v>1253</v>
      </c>
      <c r="B66" s="856"/>
      <c r="C66" s="856"/>
      <c r="D66" s="856"/>
      <c r="E66" s="856" t="s">
        <v>791</v>
      </c>
      <c r="F66" s="856"/>
      <c r="G66" s="856"/>
      <c r="H66" s="856"/>
      <c r="I66" s="856"/>
      <c r="J66" s="856"/>
      <c r="K66" s="856"/>
      <c r="L66" s="856"/>
      <c r="M66" s="856"/>
      <c r="N66" s="856"/>
      <c r="O66" s="856"/>
      <c r="P66" s="2557" t="s">
        <v>6495</v>
      </c>
      <c r="Q66" s="2557"/>
      <c r="R66" s="2557"/>
      <c r="S66" s="2557"/>
      <c r="T66" s="2146" t="s">
        <v>36</v>
      </c>
      <c r="U66" s="1275"/>
      <c r="V66" s="1275"/>
      <c r="W66" s="1275"/>
      <c r="X66" s="1385"/>
      <c r="Y66" s="1385"/>
      <c r="Z66" s="1385"/>
      <c r="AA66" s="1385"/>
      <c r="AB66" s="1385"/>
      <c r="AC66" s="1385"/>
      <c r="AD66" s="1385"/>
      <c r="AE66" s="1385"/>
      <c r="AF66" s="1385"/>
    </row>
    <row r="67" spans="1:32" ht="30" customHeight="1" x14ac:dyDescent="0.3">
      <c r="A67" s="856" t="s">
        <v>1254</v>
      </c>
      <c r="B67" s="856"/>
      <c r="C67" s="856"/>
      <c r="D67" s="856"/>
      <c r="E67" s="856" t="s">
        <v>2613</v>
      </c>
      <c r="F67" s="856"/>
      <c r="G67" s="856"/>
      <c r="H67" s="856"/>
      <c r="I67" s="856"/>
      <c r="J67" s="856"/>
      <c r="K67" s="856"/>
      <c r="L67" s="856"/>
      <c r="M67" s="856"/>
      <c r="N67" s="856"/>
      <c r="O67" s="856"/>
      <c r="P67" s="2557" t="s">
        <v>6496</v>
      </c>
      <c r="Q67" s="2557"/>
      <c r="R67" s="2557"/>
      <c r="S67" s="2557"/>
      <c r="T67" s="2146" t="s">
        <v>18</v>
      </c>
      <c r="U67" s="1275"/>
      <c r="V67" s="1275"/>
      <c r="W67" s="1275"/>
      <c r="X67" s="1385"/>
      <c r="Y67" s="1385"/>
      <c r="Z67" s="1385"/>
      <c r="AA67" s="1385"/>
      <c r="AB67" s="1385"/>
      <c r="AC67" s="1385"/>
      <c r="AD67" s="1385"/>
      <c r="AE67" s="1385"/>
      <c r="AF67" s="1385"/>
    </row>
    <row r="68" spans="1:32" ht="99" customHeight="1" x14ac:dyDescent="0.3">
      <c r="A68" s="855" t="s">
        <v>235</v>
      </c>
      <c r="B68" s="855" t="s">
        <v>206</v>
      </c>
      <c r="C68" s="855" t="s">
        <v>206</v>
      </c>
      <c r="D68" s="855" t="s">
        <v>206</v>
      </c>
      <c r="E68" s="856" t="s">
        <v>6497</v>
      </c>
      <c r="F68" s="856" t="s">
        <v>523</v>
      </c>
      <c r="G68" s="856" t="s">
        <v>523</v>
      </c>
      <c r="H68" s="856" t="s">
        <v>523</v>
      </c>
      <c r="I68" s="856" t="s">
        <v>523</v>
      </c>
      <c r="J68" s="856" t="s">
        <v>523</v>
      </c>
      <c r="K68" s="856" t="s">
        <v>523</v>
      </c>
      <c r="L68" s="856" t="s">
        <v>523</v>
      </c>
      <c r="M68" s="856" t="s">
        <v>523</v>
      </c>
      <c r="N68" s="856" t="s">
        <v>523</v>
      </c>
      <c r="O68" s="856" t="s">
        <v>523</v>
      </c>
      <c r="P68" s="1586">
        <v>3432</v>
      </c>
      <c r="Q68" s="1586"/>
      <c r="R68" s="1586"/>
      <c r="S68" s="1586"/>
      <c r="T68" s="1275" t="s">
        <v>37</v>
      </c>
      <c r="U68" s="1275"/>
      <c r="V68" s="1275"/>
      <c r="W68" s="1275"/>
      <c r="X68" s="1186" t="s">
        <v>6498</v>
      </c>
      <c r="Y68" s="1186"/>
      <c r="Z68" s="1186"/>
      <c r="AA68" s="1186"/>
      <c r="AB68" s="1186"/>
      <c r="AC68" s="1186"/>
      <c r="AD68" s="1186"/>
      <c r="AE68" s="1186"/>
      <c r="AF68" s="1186"/>
    </row>
    <row r="69" spans="1:32" ht="133.5" customHeight="1" x14ac:dyDescent="0.3">
      <c r="A69" s="855" t="s">
        <v>443</v>
      </c>
      <c r="B69" s="855" t="s">
        <v>443</v>
      </c>
      <c r="C69" s="855" t="s">
        <v>443</v>
      </c>
      <c r="D69" s="855" t="s">
        <v>443</v>
      </c>
      <c r="E69" s="1163" t="s">
        <v>6499</v>
      </c>
      <c r="F69" s="1164"/>
      <c r="G69" s="1164"/>
      <c r="H69" s="1164"/>
      <c r="I69" s="1164"/>
      <c r="J69" s="1164"/>
      <c r="K69" s="1164"/>
      <c r="L69" s="1164"/>
      <c r="M69" s="1164"/>
      <c r="N69" s="1164"/>
      <c r="O69" s="1165"/>
      <c r="P69" s="1586">
        <v>0.5</v>
      </c>
      <c r="Q69" s="1586"/>
      <c r="R69" s="1586"/>
      <c r="S69" s="1586"/>
      <c r="T69" s="1275" t="s">
        <v>20</v>
      </c>
      <c r="U69" s="1275"/>
      <c r="V69" s="1275"/>
      <c r="W69" s="1275"/>
      <c r="X69" s="1186" t="s">
        <v>6500</v>
      </c>
      <c r="Y69" s="1186"/>
      <c r="Z69" s="1186"/>
      <c r="AA69" s="1186"/>
      <c r="AB69" s="1186"/>
      <c r="AC69" s="1186"/>
      <c r="AD69" s="1186"/>
      <c r="AE69" s="1186"/>
      <c r="AF69" s="1186"/>
    </row>
    <row r="70" spans="1:32" ht="30" customHeight="1" x14ac:dyDescent="0.3">
      <c r="A70" s="856" t="s">
        <v>6501</v>
      </c>
      <c r="B70" s="856"/>
      <c r="C70" s="856"/>
      <c r="D70" s="856"/>
      <c r="E70" s="856" t="s">
        <v>6502</v>
      </c>
      <c r="F70" s="856"/>
      <c r="G70" s="856"/>
      <c r="H70" s="856"/>
      <c r="I70" s="856"/>
      <c r="J70" s="856"/>
      <c r="K70" s="856"/>
      <c r="L70" s="856"/>
      <c r="M70" s="856"/>
      <c r="N70" s="856"/>
      <c r="O70" s="856"/>
      <c r="P70" s="2557" t="s">
        <v>6496</v>
      </c>
      <c r="Q70" s="2557"/>
      <c r="R70" s="2557"/>
      <c r="S70" s="2557"/>
      <c r="T70" s="2146" t="s">
        <v>36</v>
      </c>
      <c r="U70" s="1275"/>
      <c r="V70" s="1275"/>
      <c r="W70" s="1275"/>
      <c r="X70" s="1385"/>
      <c r="Y70" s="1385"/>
      <c r="Z70" s="1385"/>
      <c r="AA70" s="1385"/>
      <c r="AB70" s="1385"/>
      <c r="AC70" s="1385"/>
      <c r="AD70" s="1385"/>
      <c r="AE70" s="1385"/>
      <c r="AF70" s="1385"/>
    </row>
    <row r="71" spans="1:32" ht="30" customHeight="1" x14ac:dyDescent="0.3">
      <c r="A71" s="1154" t="s">
        <v>6503</v>
      </c>
      <c r="B71" s="1155" t="s">
        <v>26</v>
      </c>
      <c r="C71" s="1155" t="s">
        <v>26</v>
      </c>
      <c r="D71" s="1156" t="s">
        <v>26</v>
      </c>
      <c r="E71" s="856" t="s">
        <v>2050</v>
      </c>
      <c r="F71" s="856" t="s">
        <v>208</v>
      </c>
      <c r="G71" s="856" t="s">
        <v>208</v>
      </c>
      <c r="H71" s="856" t="s">
        <v>208</v>
      </c>
      <c r="I71" s="856" t="s">
        <v>208</v>
      </c>
      <c r="J71" s="856" t="s">
        <v>208</v>
      </c>
      <c r="K71" s="856" t="s">
        <v>208</v>
      </c>
      <c r="L71" s="856" t="s">
        <v>208</v>
      </c>
      <c r="M71" s="856" t="s">
        <v>208</v>
      </c>
      <c r="N71" s="856" t="s">
        <v>208</v>
      </c>
      <c r="O71" s="856" t="s">
        <v>208</v>
      </c>
      <c r="P71" s="1586">
        <f>'Master EUL'!X33</f>
        <v>12</v>
      </c>
      <c r="Q71" s="1586"/>
      <c r="R71" s="1586"/>
      <c r="S71" s="1586"/>
      <c r="T71" s="1275" t="s">
        <v>38</v>
      </c>
      <c r="U71" s="1275"/>
      <c r="V71" s="1275"/>
      <c r="W71" s="1275"/>
      <c r="X71" s="1385" t="s">
        <v>6493</v>
      </c>
      <c r="Y71" s="1385"/>
      <c r="Z71" s="1385"/>
      <c r="AA71" s="1385"/>
      <c r="AB71" s="1385"/>
      <c r="AC71" s="1385"/>
      <c r="AD71" s="1385"/>
      <c r="AE71" s="1385"/>
      <c r="AF71" s="1385"/>
    </row>
    <row r="72" spans="1:32" ht="30" customHeight="1" x14ac:dyDescent="0.3">
      <c r="A72" s="1270" t="s">
        <v>6504</v>
      </c>
      <c r="B72" s="1270"/>
      <c r="C72" s="1270"/>
      <c r="D72" s="1270"/>
      <c r="E72" s="1270"/>
      <c r="F72" s="1270"/>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row>
    <row r="73" spans="1:32" ht="30" customHeight="1" x14ac:dyDescent="0.3">
      <c r="A73" s="1082" t="s">
        <v>6505</v>
      </c>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c r="AA73" s="1082"/>
      <c r="AB73" s="1082"/>
      <c r="AC73" s="1082"/>
      <c r="AD73" s="1082"/>
      <c r="AE73" s="1082"/>
      <c r="AF73" s="1082"/>
    </row>
    <row r="74" spans="1:32" ht="113.25" customHeight="1" x14ac:dyDescent="0.3">
      <c r="A74" s="1082" t="s">
        <v>6506</v>
      </c>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c r="AB74" s="1082"/>
      <c r="AC74" s="1082"/>
      <c r="AD74" s="1082"/>
      <c r="AE74" s="1082"/>
      <c r="AF74" s="1082"/>
    </row>
    <row r="75" spans="1:32"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row>
    <row r="76" spans="1:32" x14ac:dyDescent="0.3">
      <c r="M76" s="319"/>
      <c r="N76" s="319"/>
      <c r="O76" s="319"/>
      <c r="P76" s="319"/>
      <c r="Q76" s="319"/>
      <c r="R76" s="319"/>
      <c r="S76" s="319"/>
      <c r="T76" s="319"/>
      <c r="U76" s="319"/>
      <c r="V76" s="319"/>
      <c r="W76" s="319"/>
      <c r="X76" s="319"/>
    </row>
    <row r="77" spans="1:32" x14ac:dyDescent="0.3">
      <c r="A77" s="1141" t="s">
        <v>14</v>
      </c>
      <c r="B77" s="1141"/>
      <c r="C77" s="1141"/>
      <c r="D77" s="1141"/>
      <c r="E77" s="1141"/>
      <c r="F77" s="1141"/>
      <c r="G77" s="1141"/>
      <c r="H77" s="1141"/>
      <c r="I77" s="1141"/>
      <c r="J77" s="1141"/>
      <c r="K77" s="1141"/>
      <c r="L77" s="1141"/>
      <c r="M77" s="1141"/>
      <c r="N77" s="1141"/>
      <c r="O77" s="1141"/>
      <c r="P77" s="1141"/>
      <c r="Q77" s="1141"/>
      <c r="R77" s="1141"/>
      <c r="S77" s="1141"/>
      <c r="T77" s="1141"/>
      <c r="U77" s="1141"/>
      <c r="V77" s="1141"/>
      <c r="W77" s="1141"/>
      <c r="X77" s="1141"/>
      <c r="Y77" s="1141"/>
      <c r="Z77" s="1141"/>
      <c r="AA77" s="1141"/>
      <c r="AB77" s="1141"/>
      <c r="AC77" s="1141"/>
      <c r="AD77" s="1141"/>
      <c r="AE77" s="1141"/>
      <c r="AF77" s="1141"/>
    </row>
    <row r="78" spans="1:32" ht="15" thickBot="1" x14ac:dyDescent="0.35"/>
    <row r="79" spans="1:32" ht="34.5" customHeight="1" x14ac:dyDescent="0.3">
      <c r="A79" s="1252" t="s">
        <v>15</v>
      </c>
      <c r="B79" s="1253"/>
      <c r="C79" s="1253"/>
      <c r="D79" s="1253"/>
      <c r="E79" s="1253"/>
      <c r="F79" s="1253"/>
      <c r="G79" s="1253"/>
      <c r="H79" s="1253"/>
      <c r="I79" s="1278" t="s">
        <v>2780</v>
      </c>
      <c r="J79" s="1253"/>
      <c r="K79" s="1253"/>
      <c r="L79" s="1253"/>
      <c r="M79" s="1253"/>
      <c r="N79" s="1253"/>
      <c r="O79" s="1253"/>
      <c r="P79" s="1253"/>
      <c r="Q79" s="1278" t="s">
        <v>2776</v>
      </c>
      <c r="R79" s="1253"/>
      <c r="S79" s="1253"/>
      <c r="T79" s="1253"/>
      <c r="U79" s="1253"/>
      <c r="V79" s="1253"/>
      <c r="W79" s="1253"/>
      <c r="X79" s="1253"/>
      <c r="Y79" s="1278" t="s">
        <v>1554</v>
      </c>
      <c r="Z79" s="1253"/>
      <c r="AA79" s="1253"/>
      <c r="AB79" s="1253"/>
      <c r="AC79" s="1253"/>
      <c r="AD79" s="1253"/>
      <c r="AE79" s="1253"/>
      <c r="AF79" s="1254"/>
    </row>
    <row r="80" spans="1:32" ht="45" customHeight="1" x14ac:dyDescent="0.3">
      <c r="A80" s="1635" t="s">
        <v>6507</v>
      </c>
      <c r="B80" s="1593"/>
      <c r="C80" s="1593"/>
      <c r="D80" s="1593"/>
      <c r="E80" s="1593"/>
      <c r="F80" s="1593"/>
      <c r="G80" s="1593"/>
      <c r="H80" s="1593"/>
      <c r="I80" s="2685">
        <f>ROUND(Q80*$P$69/$P$68,3)</f>
        <v>6.0000000000000001E-3</v>
      </c>
      <c r="J80" s="2685"/>
      <c r="K80" s="2685"/>
      <c r="L80" s="2685"/>
      <c r="M80" s="2685"/>
      <c r="N80" s="2685"/>
      <c r="O80" s="2685"/>
      <c r="P80" s="2685"/>
      <c r="Q80" s="2615">
        <f>ROUND((($P$57/$P$59)-($P$57/$P$63))*$P$64,2)</f>
        <v>41.25</v>
      </c>
      <c r="R80" s="2616"/>
      <c r="S80" s="2616"/>
      <c r="T80" s="2616"/>
      <c r="U80" s="2616"/>
      <c r="V80" s="2616"/>
      <c r="W80" s="2616"/>
      <c r="X80" s="2617"/>
      <c r="Y80" s="2618">
        <f>ROUND(Q80*$P$71,2)</f>
        <v>495</v>
      </c>
      <c r="Z80" s="2618"/>
      <c r="AA80" s="2618"/>
      <c r="AB80" s="2618"/>
      <c r="AC80" s="2618"/>
      <c r="AD80" s="2618"/>
      <c r="AE80" s="2618"/>
      <c r="AF80" s="2619"/>
    </row>
    <row r="81" spans="1:32" ht="45" customHeight="1" x14ac:dyDescent="0.3">
      <c r="A81" s="1635" t="s">
        <v>6508</v>
      </c>
      <c r="B81" s="1593"/>
      <c r="C81" s="1593"/>
      <c r="D81" s="1593"/>
      <c r="E81" s="1593"/>
      <c r="F81" s="1593"/>
      <c r="G81" s="1593"/>
      <c r="H81" s="1593"/>
      <c r="I81" s="2685">
        <f>ROUND(Q81*$P$69/$P$68,3)</f>
        <v>8.9999999999999993E-3</v>
      </c>
      <c r="J81" s="2685"/>
      <c r="K81" s="2685"/>
      <c r="L81" s="2685"/>
      <c r="M81" s="2685"/>
      <c r="N81" s="2685"/>
      <c r="O81" s="2685"/>
      <c r="P81" s="2685"/>
      <c r="Q81" s="2615">
        <f>ROUND((($P$57/$P$60)-($P$57/$P$63))*$P$64,2)</f>
        <v>62.94</v>
      </c>
      <c r="R81" s="2616"/>
      <c r="S81" s="2616"/>
      <c r="T81" s="2616"/>
      <c r="U81" s="2616"/>
      <c r="V81" s="2616"/>
      <c r="W81" s="2616"/>
      <c r="X81" s="2617"/>
      <c r="Y81" s="2618">
        <f>ROUND(Q81*$P$71,2)</f>
        <v>755.28</v>
      </c>
      <c r="Z81" s="2618"/>
      <c r="AA81" s="2618"/>
      <c r="AB81" s="2618"/>
      <c r="AC81" s="2618"/>
      <c r="AD81" s="2618"/>
      <c r="AE81" s="2618"/>
      <c r="AF81" s="2619"/>
    </row>
    <row r="82" spans="1:32" ht="45" customHeight="1" x14ac:dyDescent="0.3">
      <c r="A82" s="1635" t="s">
        <v>6509</v>
      </c>
      <c r="B82" s="1593"/>
      <c r="C82" s="1593"/>
      <c r="D82" s="1593"/>
      <c r="E82" s="1593"/>
      <c r="F82" s="1593"/>
      <c r="G82" s="1593"/>
      <c r="H82" s="1593"/>
      <c r="I82" s="2685">
        <f>ROUND(Q82*$P$69/$P$68,3)</f>
        <v>1.9E-2</v>
      </c>
      <c r="J82" s="2685"/>
      <c r="K82" s="2685"/>
      <c r="L82" s="2685"/>
      <c r="M82" s="2685"/>
      <c r="N82" s="2685"/>
      <c r="O82" s="2685"/>
      <c r="P82" s="2685"/>
      <c r="Q82" s="2615">
        <f>ROUND((($P$57/$P$61)-($P$57/$P$63))*$P$64,2)</f>
        <v>127.96</v>
      </c>
      <c r="R82" s="2616"/>
      <c r="S82" s="2616"/>
      <c r="T82" s="2616"/>
      <c r="U82" s="2616"/>
      <c r="V82" s="2616"/>
      <c r="W82" s="2616"/>
      <c r="X82" s="2617"/>
      <c r="Y82" s="2618">
        <f>ROUND(Q82*$P$71,2)</f>
        <v>1535.52</v>
      </c>
      <c r="Z82" s="2618"/>
      <c r="AA82" s="2618"/>
      <c r="AB82" s="2618"/>
      <c r="AC82" s="2618"/>
      <c r="AD82" s="2618"/>
      <c r="AE82" s="2618"/>
      <c r="AF82" s="2619"/>
    </row>
    <row r="83" spans="1:32" ht="45" customHeight="1" thickBot="1" x14ac:dyDescent="0.35">
      <c r="A83" s="1635" t="s">
        <v>6510</v>
      </c>
      <c r="B83" s="1593"/>
      <c r="C83" s="1593"/>
      <c r="D83" s="1593"/>
      <c r="E83" s="1593"/>
      <c r="F83" s="1593"/>
      <c r="G83" s="1593"/>
      <c r="H83" s="1593"/>
      <c r="I83" s="2687">
        <f>ROUND(Q83*$P$69/$P$68,3)</f>
        <v>1.6E-2</v>
      </c>
      <c r="J83" s="2687"/>
      <c r="K83" s="2687"/>
      <c r="L83" s="2687"/>
      <c r="M83" s="2687"/>
      <c r="N83" s="2687"/>
      <c r="O83" s="2687"/>
      <c r="P83" s="2687"/>
      <c r="Q83" s="2623">
        <f>ROUND((($P$58/$P$62)-($P$58/$P$63))*$P$65,2)</f>
        <v>109.7</v>
      </c>
      <c r="R83" s="2624"/>
      <c r="S83" s="2624"/>
      <c r="T83" s="2624"/>
      <c r="U83" s="2624"/>
      <c r="V83" s="2624"/>
      <c r="W83" s="2624"/>
      <c r="X83" s="2625"/>
      <c r="Y83" s="2626">
        <f>ROUND(Q83*$P$71,2)</f>
        <v>1316.4</v>
      </c>
      <c r="Z83" s="2626"/>
      <c r="AA83" s="2626"/>
      <c r="AB83" s="2626"/>
      <c r="AC83" s="2626"/>
      <c r="AD83" s="2626"/>
      <c r="AE83" s="2626"/>
      <c r="AF83" s="2627"/>
    </row>
    <row r="85" spans="1:32" x14ac:dyDescent="0.3">
      <c r="B85" s="269"/>
    </row>
    <row r="86" spans="1:32" x14ac:dyDescent="0.3">
      <c r="A86" s="1141" t="s">
        <v>1514</v>
      </c>
      <c r="B86" s="1141"/>
      <c r="C86" s="1141"/>
      <c r="D86" s="1141"/>
      <c r="E86" s="1141"/>
      <c r="F86" s="1141"/>
      <c r="G86" s="1141"/>
      <c r="H86" s="1141"/>
      <c r="I86" s="1141"/>
      <c r="J86" s="1141"/>
      <c r="K86" s="1141"/>
      <c r="L86" s="1141"/>
      <c r="M86" s="1141"/>
      <c r="N86" s="1141"/>
      <c r="O86" s="1141"/>
      <c r="P86" s="1141"/>
      <c r="Q86" s="1141"/>
      <c r="R86" s="1141"/>
      <c r="S86" s="1141"/>
      <c r="T86" s="1141"/>
      <c r="U86" s="1141"/>
      <c r="V86" s="1141"/>
      <c r="W86" s="1141"/>
      <c r="X86" s="1141"/>
      <c r="Y86" s="1141"/>
      <c r="Z86" s="1141"/>
      <c r="AA86" s="1141"/>
      <c r="AB86" s="1141"/>
      <c r="AC86" s="1141"/>
      <c r="AD86" s="1141"/>
      <c r="AE86" s="1141"/>
      <c r="AF86" s="1141"/>
    </row>
    <row r="88" spans="1:32" ht="30" customHeight="1" x14ac:dyDescent="0.3">
      <c r="A88" s="368" t="s">
        <v>803</v>
      </c>
      <c r="B88" s="889" t="s">
        <v>6511</v>
      </c>
      <c r="C88" s="889"/>
      <c r="D88" s="889"/>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row>
    <row r="89" spans="1:32" ht="30" customHeight="1" x14ac:dyDescent="0.3">
      <c r="A89" s="368" t="s">
        <v>803</v>
      </c>
      <c r="B89" s="889" t="s">
        <v>6512</v>
      </c>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row>
    <row r="90" spans="1:32" ht="30" customHeight="1" x14ac:dyDescent="0.3">
      <c r="A90" s="368" t="s">
        <v>803</v>
      </c>
      <c r="B90" s="889" t="s">
        <v>6513</v>
      </c>
      <c r="C90" s="2686"/>
      <c r="D90" s="2686"/>
      <c r="E90" s="2686"/>
      <c r="F90" s="2686"/>
      <c r="G90" s="2686"/>
      <c r="H90" s="2686"/>
      <c r="I90" s="2686"/>
      <c r="J90" s="2686"/>
      <c r="K90" s="2686"/>
      <c r="L90" s="2686"/>
      <c r="M90" s="2686"/>
      <c r="N90" s="2686"/>
      <c r="O90" s="2686"/>
      <c r="P90" s="2686"/>
      <c r="Q90" s="2686"/>
      <c r="R90" s="2686"/>
      <c r="S90" s="2686"/>
      <c r="T90" s="2686"/>
      <c r="U90" s="2686"/>
      <c r="V90" s="2686"/>
      <c r="W90" s="2686"/>
      <c r="X90" s="2686"/>
      <c r="Y90" s="2686"/>
      <c r="Z90" s="2686"/>
      <c r="AA90" s="2686"/>
      <c r="AB90" s="2686"/>
      <c r="AC90" s="2686"/>
      <c r="AD90" s="2686"/>
      <c r="AE90" s="2686"/>
      <c r="AF90" s="2686"/>
    </row>
    <row r="91" spans="1:32" ht="45" customHeight="1" x14ac:dyDescent="0.3">
      <c r="A91" s="368" t="s">
        <v>803</v>
      </c>
      <c r="B91" s="889" t="s">
        <v>6514</v>
      </c>
      <c r="C91" s="889"/>
      <c r="D91" s="889"/>
      <c r="E91" s="889"/>
      <c r="F91" s="889"/>
      <c r="G91" s="889"/>
      <c r="H91" s="889"/>
      <c r="I91" s="889"/>
      <c r="J91" s="889"/>
      <c r="K91" s="889"/>
      <c r="L91" s="889"/>
      <c r="M91" s="889"/>
      <c r="N91" s="889"/>
      <c r="O91" s="889"/>
      <c r="P91" s="889"/>
      <c r="Q91" s="889"/>
      <c r="R91" s="889"/>
      <c r="S91" s="889"/>
      <c r="T91" s="889"/>
      <c r="U91" s="889"/>
      <c r="V91" s="889"/>
      <c r="W91" s="889"/>
      <c r="X91" s="889"/>
      <c r="Y91" s="889"/>
      <c r="Z91" s="889"/>
      <c r="AA91" s="889"/>
      <c r="AB91" s="889"/>
      <c r="AC91" s="889"/>
      <c r="AD91" s="889"/>
      <c r="AE91" s="889"/>
      <c r="AF91" s="889"/>
    </row>
  </sheetData>
  <sheetProtection algorithmName="SHA-512" hashValue="XNBTZQjVloxp8mAzQkC77vqCIEttVt4jVdxNVE0DffQPPnYUujj637BUpTIcSIsDQUd63Fwc3Np+Bjfw55jLfA==" saltValue="uhCjbzFRJ6lv5wHZzr/OVw==" spinCount="100000" sheet="1" objects="1" scenarios="1"/>
  <mergeCells count="115">
    <mergeCell ref="A86:AF86"/>
    <mergeCell ref="B88:AF88"/>
    <mergeCell ref="B89:AF89"/>
    <mergeCell ref="B90:AF90"/>
    <mergeCell ref="B91:AF91"/>
    <mergeCell ref="A82:H82"/>
    <mergeCell ref="I82:P82"/>
    <mergeCell ref="Q82:X82"/>
    <mergeCell ref="Y82:AF82"/>
    <mergeCell ref="A83:H83"/>
    <mergeCell ref="I83:P83"/>
    <mergeCell ref="Q83:X83"/>
    <mergeCell ref="Y83:AF83"/>
    <mergeCell ref="A80:H80"/>
    <mergeCell ref="I80:P80"/>
    <mergeCell ref="Q80:X80"/>
    <mergeCell ref="Y80:AF80"/>
    <mergeCell ref="A81:H81"/>
    <mergeCell ref="I81:P81"/>
    <mergeCell ref="Q81:X81"/>
    <mergeCell ref="Y81:AF81"/>
    <mergeCell ref="A72:AF72"/>
    <mergeCell ref="A73:AF73"/>
    <mergeCell ref="A74:AF74"/>
    <mergeCell ref="A77:AF77"/>
    <mergeCell ref="A79:H79"/>
    <mergeCell ref="I79:P79"/>
    <mergeCell ref="Q79:X79"/>
    <mergeCell ref="Y79:AF79"/>
    <mergeCell ref="A70:D70"/>
    <mergeCell ref="E70:O70"/>
    <mergeCell ref="P70:S70"/>
    <mergeCell ref="T70:W70"/>
    <mergeCell ref="X70:AF70"/>
    <mergeCell ref="A71:D71"/>
    <mergeCell ref="E71:O71"/>
    <mergeCell ref="P71:S71"/>
    <mergeCell ref="T71:W71"/>
    <mergeCell ref="X71:AF71"/>
    <mergeCell ref="A68:D68"/>
    <mergeCell ref="E68:O68"/>
    <mergeCell ref="P68:S68"/>
    <mergeCell ref="T68:W68"/>
    <mergeCell ref="X68:AF68"/>
    <mergeCell ref="A69:D69"/>
    <mergeCell ref="E69:O69"/>
    <mergeCell ref="P69:S69"/>
    <mergeCell ref="T69:W69"/>
    <mergeCell ref="X69:AF69"/>
    <mergeCell ref="A66:D66"/>
    <mergeCell ref="E66:O66"/>
    <mergeCell ref="P66:S66"/>
    <mergeCell ref="T66:W66"/>
    <mergeCell ref="X66:AF66"/>
    <mergeCell ref="A67:D67"/>
    <mergeCell ref="E67:O67"/>
    <mergeCell ref="P67:S67"/>
    <mergeCell ref="T67:W67"/>
    <mergeCell ref="X67:AF67"/>
    <mergeCell ref="A64:D65"/>
    <mergeCell ref="E64:O64"/>
    <mergeCell ref="P64:S64"/>
    <mergeCell ref="T64:W65"/>
    <mergeCell ref="X64:AF65"/>
    <mergeCell ref="E65:O65"/>
    <mergeCell ref="P65:S65"/>
    <mergeCell ref="P62:S62"/>
    <mergeCell ref="A63:D63"/>
    <mergeCell ref="E63:O63"/>
    <mergeCell ref="P63:S63"/>
    <mergeCell ref="T63:W63"/>
    <mergeCell ref="X63:AF63"/>
    <mergeCell ref="A59:D62"/>
    <mergeCell ref="E59:O59"/>
    <mergeCell ref="P59:S59"/>
    <mergeCell ref="T59:W62"/>
    <mergeCell ref="X59:AF62"/>
    <mergeCell ref="E60:O60"/>
    <mergeCell ref="P60:S60"/>
    <mergeCell ref="E61:O61"/>
    <mergeCell ref="P61:S61"/>
    <mergeCell ref="E62:O62"/>
    <mergeCell ref="AF45:AF46"/>
    <mergeCell ref="A53:AF53"/>
    <mergeCell ref="A54:D54"/>
    <mergeCell ref="E54:O54"/>
    <mergeCell ref="P54:S54"/>
    <mergeCell ref="T54:W54"/>
    <mergeCell ref="X54:AF54"/>
    <mergeCell ref="A57:D58"/>
    <mergeCell ref="E57:O57"/>
    <mergeCell ref="P57:S57"/>
    <mergeCell ref="T57:W58"/>
    <mergeCell ref="X57:AF58"/>
    <mergeCell ref="E58:O58"/>
    <mergeCell ref="P58:S58"/>
    <mergeCell ref="A55:D55"/>
    <mergeCell ref="E55:O55"/>
    <mergeCell ref="P55:S55"/>
    <mergeCell ref="T55:W55"/>
    <mergeCell ref="X55:AF55"/>
    <mergeCell ref="A56:D56"/>
    <mergeCell ref="E56:O56"/>
    <mergeCell ref="P56:S56"/>
    <mergeCell ref="T56:W56"/>
    <mergeCell ref="X56:AF56"/>
    <mergeCell ref="A1:AF1"/>
    <mergeCell ref="A3:AF3"/>
    <mergeCell ref="B5:AF5"/>
    <mergeCell ref="A7:AF7"/>
    <mergeCell ref="B10:AF10"/>
    <mergeCell ref="B13:AF13"/>
    <mergeCell ref="B19:AF19"/>
    <mergeCell ref="B22:AF22"/>
    <mergeCell ref="A25:AF25"/>
  </mergeCells>
  <hyperlinks>
    <hyperlink ref="A2" location="TOC!A1" display="Return to TOC" xr:uid="{29AE356D-D07E-4292-A1F1-F39E80E25D34}"/>
  </hyperlinks>
  <pageMargins left="0.7" right="0.7" top="0.75" bottom="0.75" header="0.3" footer="0.3"/>
  <ignoredErrors>
    <ignoredError sqref="AF29:AF50" numberStoredAsText="1"/>
  </ignoredErrors>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7">
    <tabColor theme="4" tint="0.79998168889431442"/>
    <pageSetUpPr autoPageBreaks="0"/>
  </sheetPr>
  <dimension ref="A1:AF48"/>
  <sheetViews>
    <sheetView workbookViewId="0">
      <selection sqref="A1:AF1"/>
    </sheetView>
  </sheetViews>
  <sheetFormatPr defaultColWidth="2.6640625" defaultRowHeight="14.4" x14ac:dyDescent="0.3"/>
  <cols>
    <col min="1" max="16384" width="2.6640625" style="1"/>
  </cols>
  <sheetData>
    <row r="1" spans="1:32" ht="18" x14ac:dyDescent="0.3">
      <c r="A1" s="1131" t="s">
        <v>898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B5" s="1144" t="s">
        <v>3</v>
      </c>
      <c r="C5" s="1144"/>
      <c r="D5" s="1144"/>
      <c r="E5" s="1144"/>
      <c r="F5" s="1144"/>
      <c r="G5" s="1144"/>
      <c r="H5" s="1144"/>
      <c r="I5" s="1144"/>
    </row>
    <row r="6" spans="1:32" x14ac:dyDescent="0.3">
      <c r="B6" s="1142" t="s">
        <v>398</v>
      </c>
      <c r="C6" s="1142"/>
      <c r="D6" s="1142"/>
      <c r="E6" s="1142"/>
      <c r="F6" s="1142"/>
      <c r="G6" s="1142"/>
      <c r="H6" s="1142"/>
      <c r="I6" s="1142"/>
      <c r="J6" s="1142"/>
      <c r="K6" s="1142"/>
      <c r="L6" s="1142"/>
      <c r="M6" s="1142"/>
      <c r="N6" s="1142"/>
      <c r="O6" s="1142"/>
      <c r="P6" s="1142"/>
      <c r="Q6" s="1142"/>
      <c r="R6" s="1142"/>
      <c r="S6" s="1142"/>
      <c r="T6" s="1142"/>
      <c r="U6" s="1142"/>
      <c r="V6" s="1142"/>
      <c r="W6" s="1142"/>
      <c r="X6" s="1142"/>
      <c r="Y6" s="1142"/>
      <c r="Z6" s="1142"/>
      <c r="AA6" s="1142"/>
      <c r="AB6" s="1142"/>
      <c r="AC6" s="1142"/>
      <c r="AD6" s="1142"/>
      <c r="AE6" s="1142"/>
      <c r="AF6" s="1142"/>
    </row>
    <row r="8" spans="1:32" x14ac:dyDescent="0.3">
      <c r="B8" s="1144" t="s">
        <v>4</v>
      </c>
      <c r="C8" s="1144"/>
      <c r="D8" s="1144"/>
      <c r="E8" s="1144"/>
      <c r="F8" s="1144"/>
      <c r="G8" s="1144"/>
      <c r="H8" s="1144"/>
      <c r="I8" s="1144"/>
    </row>
    <row r="9" spans="1:32" x14ac:dyDescent="0.3">
      <c r="B9" s="1142" t="s">
        <v>368</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32" x14ac:dyDescent="0.3">
      <c r="B11" s="1144" t="s">
        <v>5</v>
      </c>
      <c r="C11" s="1144"/>
      <c r="D11" s="1144"/>
      <c r="E11" s="1144"/>
      <c r="F11" s="1144"/>
      <c r="G11" s="1144"/>
      <c r="H11" s="1144"/>
      <c r="I11" s="1144"/>
    </row>
    <row r="12" spans="1:32" x14ac:dyDescent="0.3">
      <c r="B12" s="1142" t="s">
        <v>399</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1144" t="s">
        <v>6</v>
      </c>
      <c r="C14" s="1144"/>
      <c r="D14" s="1144"/>
      <c r="E14" s="1144"/>
      <c r="F14" s="1144"/>
      <c r="G14" s="1144"/>
      <c r="H14" s="1144"/>
      <c r="I14" s="1144"/>
    </row>
    <row r="15" spans="1:32" s="4" customFormat="1" ht="31.5" customHeight="1" x14ac:dyDescent="0.3">
      <c r="B15" s="872" t="s">
        <v>400</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17" spans="1:32" x14ac:dyDescent="0.3">
      <c r="B17" s="51" t="s">
        <v>13</v>
      </c>
      <c r="C17" s="51"/>
      <c r="D17" s="51"/>
      <c r="E17" s="51"/>
      <c r="F17" s="51"/>
      <c r="G17" s="51"/>
      <c r="H17" s="51"/>
      <c r="I17" s="51"/>
    </row>
    <row r="18" spans="1:32" ht="17.25" customHeight="1" x14ac:dyDescent="0.3">
      <c r="B18" s="872" t="s">
        <v>2010</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ht="14.4" customHeight="1" x14ac:dyDescent="0.3">
      <c r="A23" s="1422" t="s">
        <v>32</v>
      </c>
      <c r="B23" s="1255"/>
      <c r="C23" s="1255"/>
      <c r="D23" s="1255"/>
      <c r="E23" s="1255"/>
      <c r="F23" s="1255"/>
      <c r="G23" s="1255"/>
      <c r="H23" s="2688" t="s">
        <v>538</v>
      </c>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row>
    <row r="24" spans="1:32" x14ac:dyDescent="0.3">
      <c r="A24" s="1422" t="s">
        <v>33</v>
      </c>
      <c r="B24" s="1255"/>
      <c r="C24" s="1255"/>
      <c r="D24" s="1255"/>
      <c r="E24" s="1255"/>
      <c r="F24" s="1255"/>
      <c r="G24" s="1255"/>
      <c r="H24" s="1256" t="s">
        <v>536</v>
      </c>
      <c r="I24" s="1423"/>
      <c r="J24" s="1423"/>
      <c r="K24" s="1423"/>
      <c r="L24" s="1423"/>
      <c r="M24" s="1423"/>
      <c r="N24" s="1423"/>
      <c r="O24" s="1423"/>
      <c r="P24" s="1423"/>
      <c r="Q24" s="1423"/>
      <c r="R24" s="1423"/>
      <c r="S24" s="1423"/>
      <c r="T24" s="1423"/>
      <c r="U24" s="1423"/>
      <c r="V24" s="1423"/>
      <c r="W24" s="1423"/>
      <c r="X24" s="1423"/>
      <c r="Y24" s="1423"/>
      <c r="Z24" s="1423"/>
      <c r="AA24" s="1423"/>
      <c r="AB24" s="1423"/>
      <c r="AC24" s="1423"/>
      <c r="AD24" s="1423"/>
      <c r="AE24" s="1423"/>
      <c r="AF24" s="1423"/>
    </row>
    <row r="25" spans="1:32" x14ac:dyDescent="0.3">
      <c r="A25" s="1422" t="s">
        <v>369</v>
      </c>
      <c r="B25" s="1255"/>
      <c r="C25" s="1255"/>
      <c r="D25" s="1255"/>
      <c r="E25" s="1255"/>
      <c r="F25" s="1255"/>
      <c r="G25" s="1255"/>
      <c r="H25" s="1256" t="s">
        <v>537</v>
      </c>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1423"/>
      <c r="AE25" s="1423"/>
      <c r="AF25" s="1423"/>
    </row>
    <row r="28" spans="1:32" x14ac:dyDescent="0.3">
      <c r="A28" s="1141" t="s">
        <v>8</v>
      </c>
      <c r="B28" s="1141"/>
      <c r="C28" s="1141"/>
      <c r="D28" s="1141"/>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row>
    <row r="29" spans="1:32" x14ac:dyDescent="0.3">
      <c r="A29" s="1143" t="s">
        <v>9</v>
      </c>
      <c r="B29" s="1143"/>
      <c r="C29" s="1143"/>
      <c r="D29" s="1143"/>
      <c r="E29" s="1143" t="s">
        <v>3</v>
      </c>
      <c r="F29" s="1143"/>
      <c r="G29" s="1143"/>
      <c r="H29" s="1143"/>
      <c r="I29" s="1143"/>
      <c r="J29" s="1143"/>
      <c r="K29" s="1143"/>
      <c r="L29" s="1143"/>
      <c r="M29" s="1143"/>
      <c r="N29" s="1143"/>
      <c r="O29" s="1143"/>
      <c r="P29" s="1143"/>
      <c r="Q29" s="1143" t="s">
        <v>10</v>
      </c>
      <c r="R29" s="1143"/>
      <c r="S29" s="1143"/>
      <c r="T29" s="1143"/>
      <c r="U29" s="1143" t="s">
        <v>11</v>
      </c>
      <c r="V29" s="1143"/>
      <c r="W29" s="1143" t="s">
        <v>12</v>
      </c>
      <c r="X29" s="1143"/>
      <c r="Y29" s="1143"/>
      <c r="Z29" s="1143"/>
      <c r="AA29" s="1143"/>
      <c r="AB29" s="1143"/>
      <c r="AC29" s="1143"/>
      <c r="AD29" s="1143"/>
      <c r="AE29" s="1143"/>
      <c r="AF29" s="1143"/>
    </row>
    <row r="30" spans="1:32" x14ac:dyDescent="0.3">
      <c r="A30" s="1154" t="s">
        <v>32</v>
      </c>
      <c r="B30" s="1155"/>
      <c r="C30" s="1155"/>
      <c r="D30" s="1156"/>
      <c r="E30" s="1148" t="s">
        <v>152</v>
      </c>
      <c r="F30" s="1149"/>
      <c r="G30" s="1149"/>
      <c r="H30" s="1149"/>
      <c r="I30" s="1149"/>
      <c r="J30" s="1149"/>
      <c r="K30" s="1149"/>
      <c r="L30" s="1149"/>
      <c r="M30" s="1149"/>
      <c r="N30" s="1149"/>
      <c r="O30" s="1149"/>
      <c r="P30" s="1150"/>
      <c r="Q30" s="1151" t="s">
        <v>35</v>
      </c>
      <c r="R30" s="1152"/>
      <c r="S30" s="1152"/>
      <c r="T30" s="1153"/>
      <c r="U30" s="1151" t="s">
        <v>36</v>
      </c>
      <c r="V30" s="1153"/>
      <c r="W30" s="1148"/>
      <c r="X30" s="1149"/>
      <c r="Y30" s="1149"/>
      <c r="Z30" s="1149"/>
      <c r="AA30" s="1149"/>
      <c r="AB30" s="1149"/>
      <c r="AC30" s="1149"/>
      <c r="AD30" s="1149"/>
      <c r="AE30" s="1149"/>
      <c r="AF30" s="1150"/>
    </row>
    <row r="31" spans="1:32" x14ac:dyDescent="0.3">
      <c r="A31" s="1154" t="s">
        <v>33</v>
      </c>
      <c r="B31" s="1155"/>
      <c r="C31" s="1155"/>
      <c r="D31" s="1156"/>
      <c r="E31" s="1148" t="s">
        <v>153</v>
      </c>
      <c r="F31" s="1149"/>
      <c r="G31" s="1149"/>
      <c r="H31" s="1149"/>
      <c r="I31" s="1149"/>
      <c r="J31" s="1149"/>
      <c r="K31" s="1149"/>
      <c r="L31" s="1149"/>
      <c r="M31" s="1149"/>
      <c r="N31" s="1149"/>
      <c r="O31" s="1149"/>
      <c r="P31" s="1150"/>
      <c r="Q31" s="1151" t="s">
        <v>35</v>
      </c>
      <c r="R31" s="1152"/>
      <c r="S31" s="1152"/>
      <c r="T31" s="1153"/>
      <c r="U31" s="1151" t="s">
        <v>18</v>
      </c>
      <c r="V31" s="1153"/>
      <c r="W31" s="1148"/>
      <c r="X31" s="1149"/>
      <c r="Y31" s="1149"/>
      <c r="Z31" s="1149"/>
      <c r="AA31" s="1149"/>
      <c r="AB31" s="1149"/>
      <c r="AC31" s="1149"/>
      <c r="AD31" s="1149"/>
      <c r="AE31" s="1149"/>
      <c r="AF31" s="1150"/>
    </row>
    <row r="32" spans="1:32" ht="28.95" customHeight="1" x14ac:dyDescent="0.3">
      <c r="A32" s="1154" t="s">
        <v>401</v>
      </c>
      <c r="B32" s="1155"/>
      <c r="C32" s="1155"/>
      <c r="D32" s="1156"/>
      <c r="E32" s="1148" t="s">
        <v>402</v>
      </c>
      <c r="F32" s="1149"/>
      <c r="G32" s="1149"/>
      <c r="H32" s="1149"/>
      <c r="I32" s="1149"/>
      <c r="J32" s="1149"/>
      <c r="K32" s="1149"/>
      <c r="L32" s="1149"/>
      <c r="M32" s="1149"/>
      <c r="N32" s="1149"/>
      <c r="O32" s="1149"/>
      <c r="P32" s="1150"/>
      <c r="Q32" s="1151">
        <v>8.4499999999999993</v>
      </c>
      <c r="R32" s="1152"/>
      <c r="S32" s="1152"/>
      <c r="T32" s="1153"/>
      <c r="U32" s="1151" t="s">
        <v>409</v>
      </c>
      <c r="V32" s="1153"/>
      <c r="W32" s="1148" t="s">
        <v>1432</v>
      </c>
      <c r="X32" s="1149"/>
      <c r="Y32" s="1149"/>
      <c r="Z32" s="1149"/>
      <c r="AA32" s="1149"/>
      <c r="AB32" s="1149"/>
      <c r="AC32" s="1149"/>
      <c r="AD32" s="1149"/>
      <c r="AE32" s="1149"/>
      <c r="AF32" s="1150"/>
    </row>
    <row r="33" spans="1:32" ht="129.6" customHeight="1" x14ac:dyDescent="0.3">
      <c r="A33" s="1154" t="s">
        <v>404</v>
      </c>
      <c r="B33" s="1155"/>
      <c r="C33" s="1155"/>
      <c r="D33" s="1156"/>
      <c r="E33" s="1148" t="s">
        <v>403</v>
      </c>
      <c r="F33" s="1149"/>
      <c r="G33" s="1149"/>
      <c r="H33" s="1149"/>
      <c r="I33" s="1149"/>
      <c r="J33" s="1149"/>
      <c r="K33" s="1149"/>
      <c r="L33" s="1149"/>
      <c r="M33" s="1149"/>
      <c r="N33" s="1149"/>
      <c r="O33" s="1149"/>
      <c r="P33" s="1150"/>
      <c r="Q33" s="1151">
        <v>3.15</v>
      </c>
      <c r="R33" s="1152"/>
      <c r="S33" s="1152"/>
      <c r="T33" s="1153"/>
      <c r="U33" s="1151" t="s">
        <v>20</v>
      </c>
      <c r="V33" s="1153"/>
      <c r="W33" s="1148" t="s">
        <v>410</v>
      </c>
      <c r="X33" s="1149"/>
      <c r="Y33" s="1149"/>
      <c r="Z33" s="1149"/>
      <c r="AA33" s="1149"/>
      <c r="AB33" s="1149"/>
      <c r="AC33" s="1149"/>
      <c r="AD33" s="1149"/>
      <c r="AE33" s="1149"/>
      <c r="AF33" s="1150"/>
    </row>
    <row r="34" spans="1:32" ht="28.95" customHeight="1" x14ac:dyDescent="0.3">
      <c r="A34" s="1154" t="s">
        <v>405</v>
      </c>
      <c r="B34" s="1155"/>
      <c r="C34" s="1155"/>
      <c r="D34" s="1156"/>
      <c r="E34" s="1148" t="s">
        <v>406</v>
      </c>
      <c r="F34" s="1149"/>
      <c r="G34" s="1149"/>
      <c r="H34" s="1149"/>
      <c r="I34" s="1149"/>
      <c r="J34" s="1149"/>
      <c r="K34" s="1149"/>
      <c r="L34" s="1149"/>
      <c r="M34" s="1149"/>
      <c r="N34" s="1149"/>
      <c r="O34" s="1149"/>
      <c r="P34" s="1150"/>
      <c r="Q34" s="1151">
        <v>3.93</v>
      </c>
      <c r="R34" s="1152"/>
      <c r="S34" s="1152"/>
      <c r="T34" s="1153"/>
      <c r="U34" s="1151" t="s">
        <v>20</v>
      </c>
      <c r="V34" s="1153"/>
      <c r="W34" s="1148" t="s">
        <v>411</v>
      </c>
      <c r="X34" s="1149"/>
      <c r="Y34" s="1149"/>
      <c r="Z34" s="1149"/>
      <c r="AA34" s="1149"/>
      <c r="AB34" s="1149"/>
      <c r="AC34" s="1149"/>
      <c r="AD34" s="1149"/>
      <c r="AE34" s="1149"/>
      <c r="AF34" s="1150"/>
    </row>
    <row r="35" spans="1:32" x14ac:dyDescent="0.3">
      <c r="A35" s="1154" t="s">
        <v>372</v>
      </c>
      <c r="B35" s="1155"/>
      <c r="C35" s="1155"/>
      <c r="D35" s="1156"/>
      <c r="E35" s="1148" t="s">
        <v>407</v>
      </c>
      <c r="F35" s="1149"/>
      <c r="G35" s="1149"/>
      <c r="H35" s="1149"/>
      <c r="I35" s="1149"/>
      <c r="J35" s="1149"/>
      <c r="K35" s="1149"/>
      <c r="L35" s="1149"/>
      <c r="M35" s="1149"/>
      <c r="N35" s="1149"/>
      <c r="O35" s="1149"/>
      <c r="P35" s="1150"/>
      <c r="Q35" s="1151">
        <v>311</v>
      </c>
      <c r="R35" s="1152"/>
      <c r="S35" s="1152"/>
      <c r="T35" s="1153"/>
      <c r="U35" s="1151" t="s">
        <v>20</v>
      </c>
      <c r="V35" s="1153"/>
      <c r="W35" s="1148" t="s">
        <v>1433</v>
      </c>
      <c r="X35" s="1149"/>
      <c r="Y35" s="1149"/>
      <c r="Z35" s="1149"/>
      <c r="AA35" s="1149"/>
      <c r="AB35" s="1149"/>
      <c r="AC35" s="1149"/>
      <c r="AD35" s="1149"/>
      <c r="AE35" s="1149"/>
      <c r="AF35" s="1150"/>
    </row>
    <row r="36" spans="1:32" ht="28.95" customHeight="1" x14ac:dyDescent="0.3">
      <c r="A36" s="1154" t="s">
        <v>24</v>
      </c>
      <c r="B36" s="1155"/>
      <c r="C36" s="1155"/>
      <c r="D36" s="1156"/>
      <c r="E36" s="1148" t="s">
        <v>408</v>
      </c>
      <c r="F36" s="1149"/>
      <c r="G36" s="1149"/>
      <c r="H36" s="1149"/>
      <c r="I36" s="1149"/>
      <c r="J36" s="1149"/>
      <c r="K36" s="1149"/>
      <c r="L36" s="1149"/>
      <c r="M36" s="1149"/>
      <c r="N36" s="1149"/>
      <c r="O36" s="1149"/>
      <c r="P36" s="1150"/>
      <c r="Q36" s="1151">
        <v>290</v>
      </c>
      <c r="R36" s="1152"/>
      <c r="S36" s="1152"/>
      <c r="T36" s="1153"/>
      <c r="U36" s="1151" t="s">
        <v>37</v>
      </c>
      <c r="V36" s="1153"/>
      <c r="W36" s="1148" t="s">
        <v>1434</v>
      </c>
      <c r="X36" s="1149"/>
      <c r="Y36" s="1149"/>
      <c r="Z36" s="1149"/>
      <c r="AA36" s="1149"/>
      <c r="AB36" s="1149"/>
      <c r="AC36" s="1149"/>
      <c r="AD36" s="1149"/>
      <c r="AE36" s="1149"/>
      <c r="AF36" s="1150"/>
    </row>
    <row r="37" spans="1:32" ht="57.6" customHeight="1" x14ac:dyDescent="0.3">
      <c r="A37" s="1154" t="s">
        <v>21</v>
      </c>
      <c r="B37" s="1155"/>
      <c r="C37" s="1155"/>
      <c r="D37" s="1156"/>
      <c r="E37" s="1148" t="s">
        <v>96</v>
      </c>
      <c r="F37" s="1149"/>
      <c r="G37" s="1149"/>
      <c r="H37" s="1149"/>
      <c r="I37" s="1149"/>
      <c r="J37" s="1149"/>
      <c r="K37" s="1149"/>
      <c r="L37" s="1149"/>
      <c r="M37" s="1149"/>
      <c r="N37" s="1149"/>
      <c r="O37" s="1149"/>
      <c r="P37" s="1150"/>
      <c r="Q37" s="2689">
        <v>5.7000000000000002E-2</v>
      </c>
      <c r="R37" s="2690"/>
      <c r="S37" s="2690"/>
      <c r="T37" s="2691"/>
      <c r="U37" s="1151" t="s">
        <v>20</v>
      </c>
      <c r="V37" s="1153"/>
      <c r="W37" s="1148" t="s">
        <v>2118</v>
      </c>
      <c r="X37" s="1149"/>
      <c r="Y37" s="1149"/>
      <c r="Z37" s="1149"/>
      <c r="AA37" s="1149"/>
      <c r="AB37" s="1149"/>
      <c r="AC37" s="1149"/>
      <c r="AD37" s="1149"/>
      <c r="AE37" s="1149"/>
      <c r="AF37" s="1150"/>
    </row>
    <row r="38" spans="1:32" ht="28.95" customHeight="1" x14ac:dyDescent="0.3">
      <c r="A38" s="1154" t="s">
        <v>26</v>
      </c>
      <c r="B38" s="1155"/>
      <c r="C38" s="1155"/>
      <c r="D38" s="1156"/>
      <c r="E38" s="1148" t="s">
        <v>268</v>
      </c>
      <c r="F38" s="1149"/>
      <c r="G38" s="1149"/>
      <c r="H38" s="1149"/>
      <c r="I38" s="1149"/>
      <c r="J38" s="1149"/>
      <c r="K38" s="1149"/>
      <c r="L38" s="1149"/>
      <c r="M38" s="1149"/>
      <c r="N38" s="1149"/>
      <c r="O38" s="1149"/>
      <c r="P38" s="1150"/>
      <c r="Q38" s="1151">
        <f>'Master EUL'!X34</f>
        <v>14</v>
      </c>
      <c r="R38" s="1152"/>
      <c r="S38" s="1152"/>
      <c r="T38" s="1153"/>
      <c r="U38" s="1151" t="s">
        <v>38</v>
      </c>
      <c r="V38" s="1153"/>
      <c r="W38" s="1148" t="s">
        <v>1435</v>
      </c>
      <c r="X38" s="1149"/>
      <c r="Y38" s="1149"/>
      <c r="Z38" s="1149"/>
      <c r="AA38" s="1149"/>
      <c r="AB38" s="1149"/>
      <c r="AC38" s="1149"/>
      <c r="AD38" s="1149"/>
      <c r="AE38" s="1149"/>
      <c r="AF38" s="1150"/>
    </row>
    <row r="39" spans="1:32" x14ac:dyDescent="0.2">
      <c r="A39" s="38" t="s">
        <v>412</v>
      </c>
    </row>
    <row r="40" spans="1:32" x14ac:dyDescent="0.2">
      <c r="A40" s="38" t="s">
        <v>413</v>
      </c>
    </row>
    <row r="41" spans="1:32" x14ac:dyDescent="0.2">
      <c r="A41" s="38" t="s">
        <v>414</v>
      </c>
    </row>
    <row r="42" spans="1:32" x14ac:dyDescent="0.2">
      <c r="A42" s="38" t="s">
        <v>415</v>
      </c>
    </row>
    <row r="45" spans="1:32" x14ac:dyDescent="0.3">
      <c r="A45" s="1141" t="s">
        <v>14</v>
      </c>
      <c r="B45" s="1141"/>
      <c r="C45" s="1141"/>
      <c r="D45" s="1141"/>
      <c r="E45" s="1141"/>
      <c r="F45" s="1141"/>
      <c r="G45" s="1141"/>
      <c r="H45" s="1141"/>
      <c r="I45" s="1141"/>
      <c r="J45" s="1141"/>
      <c r="K45" s="1141"/>
      <c r="L45" s="1141"/>
      <c r="M45" s="1141"/>
      <c r="N45" s="1141"/>
      <c r="O45" s="1141"/>
      <c r="P45" s="1141"/>
      <c r="Q45" s="1141"/>
      <c r="R45" s="1141"/>
      <c r="S45" s="1141"/>
      <c r="T45" s="1141"/>
      <c r="U45" s="1141"/>
      <c r="V45" s="1141"/>
      <c r="W45" s="1141"/>
      <c r="X45" s="1141"/>
      <c r="Y45" s="1141"/>
      <c r="Z45" s="1141"/>
      <c r="AA45" s="1141"/>
      <c r="AB45" s="1141"/>
      <c r="AC45" s="1141"/>
      <c r="AD45" s="1141"/>
      <c r="AE45" s="1141"/>
      <c r="AF45" s="1141"/>
    </row>
    <row r="46" spans="1:32" ht="15" thickBot="1" x14ac:dyDescent="0.35"/>
    <row r="47" spans="1:32" x14ac:dyDescent="0.3">
      <c r="A47" s="1252" t="s">
        <v>15</v>
      </c>
      <c r="B47" s="1253"/>
      <c r="C47" s="1253"/>
      <c r="D47" s="1253"/>
      <c r="E47" s="1253"/>
      <c r="F47" s="1253"/>
      <c r="G47" s="1253"/>
      <c r="H47" s="1253"/>
      <c r="I47" s="1253" t="s">
        <v>16</v>
      </c>
      <c r="J47" s="1253"/>
      <c r="K47" s="1253"/>
      <c r="L47" s="1253"/>
      <c r="M47" s="1253"/>
      <c r="N47" s="1253"/>
      <c r="O47" s="1253"/>
      <c r="P47" s="1253"/>
      <c r="Q47" s="1253" t="s">
        <v>17</v>
      </c>
      <c r="R47" s="1253"/>
      <c r="S47" s="1253"/>
      <c r="T47" s="1253"/>
      <c r="U47" s="1253"/>
      <c r="V47" s="1253"/>
      <c r="W47" s="1253"/>
      <c r="X47" s="1254"/>
    </row>
    <row r="48" spans="1:32" ht="15" thickBot="1" x14ac:dyDescent="0.35">
      <c r="A48" s="1247" t="s">
        <v>397</v>
      </c>
      <c r="B48" s="1248"/>
      <c r="C48" s="1248"/>
      <c r="D48" s="1248"/>
      <c r="E48" s="1248"/>
      <c r="F48" s="1248"/>
      <c r="G48" s="1248"/>
      <c r="H48" s="1248"/>
      <c r="I48" s="1414">
        <f>ROUND((Q48/Q36)*Q37,3)</f>
        <v>3.3000000000000002E-2</v>
      </c>
      <c r="J48" s="1414"/>
      <c r="K48" s="1414"/>
      <c r="L48" s="1414"/>
      <c r="M48" s="1414"/>
      <c r="N48" s="1414"/>
      <c r="O48" s="1414"/>
      <c r="P48" s="1414"/>
      <c r="Q48" s="1415">
        <f>ROUND((Q32/Q33-Q32/Q34)*Q35,2)</f>
        <v>165.58</v>
      </c>
      <c r="R48" s="1415"/>
      <c r="S48" s="1415"/>
      <c r="T48" s="1415"/>
      <c r="U48" s="1415"/>
      <c r="V48" s="1415"/>
      <c r="W48" s="1415"/>
      <c r="X48" s="1416"/>
    </row>
  </sheetData>
  <sheetProtection algorithmName="SHA-512" hashValue="hP2WYDL5b/pQhWiFOD4j3UylNlLAe8fQ+h+oDtr4rnckE3hRb5oq7QyalvQLj1pQOfqH+cuvaOBgNdSVGRa3Hg==" saltValue="qdlZpByB3Z4g3r2qFNiphQ==" spinCount="100000" sheet="1" objects="1" scenarios="1"/>
  <mergeCells count="76">
    <mergeCell ref="A1:AF1"/>
    <mergeCell ref="W38:AF38"/>
    <mergeCell ref="A33:D33"/>
    <mergeCell ref="E33:P33"/>
    <mergeCell ref="Q33:T33"/>
    <mergeCell ref="U33:V33"/>
    <mergeCell ref="W33:AF33"/>
    <mergeCell ref="A34:D34"/>
    <mergeCell ref="E34:P34"/>
    <mergeCell ref="Q36:T36"/>
    <mergeCell ref="U36:V36"/>
    <mergeCell ref="W36:AF36"/>
    <mergeCell ref="A37:D37"/>
    <mergeCell ref="E37:P37"/>
    <mergeCell ref="Q37:T37"/>
    <mergeCell ref="A35:D35"/>
    <mergeCell ref="W37:AF37"/>
    <mergeCell ref="W31:AF31"/>
    <mergeCell ref="A32:D32"/>
    <mergeCell ref="E32:P32"/>
    <mergeCell ref="Q32:T32"/>
    <mergeCell ref="U32:V32"/>
    <mergeCell ref="W32:AF32"/>
    <mergeCell ref="Q34:T34"/>
    <mergeCell ref="U34:V34"/>
    <mergeCell ref="W34:AF34"/>
    <mergeCell ref="A36:D36"/>
    <mergeCell ref="E36:P36"/>
    <mergeCell ref="Q35:T35"/>
    <mergeCell ref="U35:V35"/>
    <mergeCell ref="W35:AF35"/>
    <mergeCell ref="A31:D31"/>
    <mergeCell ref="E31:P31"/>
    <mergeCell ref="Q31:T31"/>
    <mergeCell ref="U31:V31"/>
    <mergeCell ref="A38:D38"/>
    <mergeCell ref="E38:P38"/>
    <mergeCell ref="U37:V37"/>
    <mergeCell ref="Q38:T38"/>
    <mergeCell ref="U38:V38"/>
    <mergeCell ref="E35:P35"/>
    <mergeCell ref="A48:H48"/>
    <mergeCell ref="I48:P48"/>
    <mergeCell ref="Q48:X48"/>
    <mergeCell ref="A45:AF45"/>
    <mergeCell ref="A47:H47"/>
    <mergeCell ref="I47:P47"/>
    <mergeCell ref="Q47:X47"/>
    <mergeCell ref="E30:P30"/>
    <mergeCell ref="Q30:T30"/>
    <mergeCell ref="U30:V30"/>
    <mergeCell ref="W30:AF30"/>
    <mergeCell ref="A25:G25"/>
    <mergeCell ref="H25:AF25"/>
    <mergeCell ref="A28:AF28"/>
    <mergeCell ref="A30:D30"/>
    <mergeCell ref="A29:D29"/>
    <mergeCell ref="E29:P29"/>
    <mergeCell ref="Q29:T29"/>
    <mergeCell ref="U29:V29"/>
    <mergeCell ref="W29:AF29"/>
    <mergeCell ref="B18:AF18"/>
    <mergeCell ref="A21:AF21"/>
    <mergeCell ref="A23:G23"/>
    <mergeCell ref="H23:AF23"/>
    <mergeCell ref="A24:G24"/>
    <mergeCell ref="H24:AF24"/>
    <mergeCell ref="B11:I11"/>
    <mergeCell ref="B12:AF12"/>
    <mergeCell ref="B14:I14"/>
    <mergeCell ref="B15:AF15"/>
    <mergeCell ref="A3:AF3"/>
    <mergeCell ref="B5:I5"/>
    <mergeCell ref="B6:AF6"/>
    <mergeCell ref="B8:I8"/>
    <mergeCell ref="B9:AF9"/>
  </mergeCells>
  <hyperlinks>
    <hyperlink ref="A2" location="TOC!A1" display="Return to TOC" xr:uid="{00000000-0004-0000-4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8">
    <tabColor theme="4" tint="0.79998168889431442"/>
    <pageSetUpPr autoPageBreaks="0"/>
  </sheetPr>
  <dimension ref="A1:AF260"/>
  <sheetViews>
    <sheetView workbookViewId="0">
      <selection activeCell="A2" sqref="A2"/>
    </sheetView>
  </sheetViews>
  <sheetFormatPr defaultColWidth="2.6640625" defaultRowHeight="14.4" x14ac:dyDescent="0.3"/>
  <cols>
    <col min="1" max="16384" width="2.6640625" style="1"/>
  </cols>
  <sheetData>
    <row r="1" spans="1:32" ht="18" x14ac:dyDescent="0.3">
      <c r="A1" s="1131" t="s">
        <v>2253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8"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4634</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228"/>
      <c r="B6"/>
      <c r="C6"/>
      <c r="D6"/>
      <c r="E6"/>
      <c r="F6"/>
      <c r="G6"/>
      <c r="H6"/>
      <c r="I6"/>
      <c r="J6"/>
      <c r="K6"/>
      <c r="L6"/>
      <c r="M6"/>
      <c r="N6"/>
      <c r="O6"/>
      <c r="P6"/>
      <c r="Q6"/>
      <c r="R6"/>
      <c r="S6"/>
      <c r="T6"/>
      <c r="U6"/>
      <c r="V6"/>
      <c r="W6"/>
      <c r="X6"/>
      <c r="Y6"/>
      <c r="Z6"/>
      <c r="AA6"/>
      <c r="AB6"/>
      <c r="AC6"/>
      <c r="AD6"/>
      <c r="AE6"/>
      <c r="AF6"/>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B9" s="1144" t="s">
        <v>3</v>
      </c>
      <c r="C9" s="1144"/>
      <c r="D9" s="1144"/>
      <c r="E9" s="1144"/>
      <c r="F9" s="1144"/>
      <c r="G9" s="1144"/>
      <c r="H9" s="1144"/>
      <c r="I9" s="1144"/>
    </row>
    <row r="10" spans="1:32" ht="47.25" customHeight="1" x14ac:dyDescent="0.3">
      <c r="A10" s="4"/>
      <c r="B10" s="872" t="s">
        <v>2907</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2" spans="1:32" x14ac:dyDescent="0.3">
      <c r="B12" s="1144" t="s">
        <v>4</v>
      </c>
      <c r="C12" s="1144"/>
      <c r="D12" s="1144"/>
      <c r="E12" s="1144"/>
      <c r="F12" s="1144"/>
      <c r="G12" s="1144"/>
      <c r="H12" s="1144"/>
      <c r="I12" s="1144"/>
    </row>
    <row r="13" spans="1:32" x14ac:dyDescent="0.3">
      <c r="B13" s="1142" t="s">
        <v>3108</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5" spans="1:32" x14ac:dyDescent="0.3">
      <c r="B15" s="1144" t="s">
        <v>5</v>
      </c>
      <c r="C15" s="1144"/>
      <c r="D15" s="1144"/>
      <c r="E15" s="1144"/>
      <c r="F15" s="1144"/>
      <c r="G15" s="1144"/>
      <c r="H15" s="1144"/>
      <c r="I15" s="1144"/>
    </row>
    <row r="16" spans="1:32" x14ac:dyDescent="0.3">
      <c r="B16" s="1142" t="s">
        <v>3109</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2" x14ac:dyDescent="0.3">
      <c r="B18" s="1144" t="s">
        <v>6</v>
      </c>
      <c r="C18" s="1144"/>
      <c r="D18" s="1144"/>
      <c r="E18" s="1144"/>
      <c r="F18" s="1144"/>
      <c r="G18" s="1144"/>
      <c r="H18" s="1144"/>
      <c r="I18" s="1144"/>
    </row>
    <row r="19" spans="1:32" ht="47.25" customHeight="1" x14ac:dyDescent="0.3">
      <c r="A19" s="4"/>
      <c r="B19" s="953" t="s">
        <v>3024</v>
      </c>
      <c r="C19" s="953"/>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13</v>
      </c>
      <c r="C21" s="51"/>
      <c r="D21" s="51"/>
      <c r="E21" s="51"/>
      <c r="F21" s="51"/>
      <c r="G21" s="51"/>
      <c r="H21" s="51"/>
      <c r="I21" s="51"/>
    </row>
    <row r="22" spans="1:32" ht="46.5" customHeight="1" x14ac:dyDescent="0.3">
      <c r="B22" s="953" t="s">
        <v>3025</v>
      </c>
      <c r="C22" s="1145"/>
      <c r="D22" s="1145"/>
      <c r="E22" s="1145"/>
      <c r="F22" s="1145"/>
      <c r="G22" s="1145"/>
      <c r="H22" s="1145"/>
      <c r="I22" s="1145"/>
      <c r="J22" s="1145"/>
      <c r="K22" s="1145"/>
      <c r="L22" s="1145"/>
      <c r="M22" s="1145"/>
      <c r="N22" s="1145"/>
      <c r="O22" s="1145"/>
      <c r="P22" s="1145"/>
      <c r="Q22" s="1145"/>
      <c r="R22" s="1145"/>
      <c r="S22" s="1145"/>
      <c r="T22" s="1145"/>
      <c r="U22" s="1145"/>
      <c r="V22" s="1145"/>
      <c r="W22" s="1145"/>
      <c r="X22" s="1145"/>
      <c r="Y22" s="1145"/>
      <c r="Z22" s="1145"/>
      <c r="AA22" s="1145"/>
      <c r="AB22" s="1145"/>
      <c r="AC22" s="1145"/>
      <c r="AD22" s="1145"/>
      <c r="AE22" s="1145"/>
      <c r="AF22" s="1145"/>
    </row>
    <row r="24" spans="1:32"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6" spans="1:32" ht="47.25" customHeight="1" x14ac:dyDescent="0.3">
      <c r="B26" s="953" t="s">
        <v>3026</v>
      </c>
      <c r="C26" s="953"/>
      <c r="D26" s="953"/>
      <c r="E26" s="953"/>
      <c r="F26" s="953"/>
      <c r="G26" s="953"/>
      <c r="H26" s="953"/>
      <c r="I26" s="953"/>
      <c r="J26" s="953"/>
      <c r="K26" s="953"/>
      <c r="L26" s="953"/>
      <c r="M26" s="953"/>
      <c r="N26" s="953"/>
      <c r="O26" s="953"/>
      <c r="P26" s="953"/>
      <c r="Q26" s="953"/>
      <c r="R26" s="953"/>
      <c r="S26" s="953"/>
      <c r="T26" s="953"/>
      <c r="U26" s="953"/>
      <c r="V26" s="953"/>
      <c r="W26" s="953"/>
      <c r="X26" s="953"/>
      <c r="Y26" s="953"/>
      <c r="Z26" s="953"/>
      <c r="AA26" s="953"/>
      <c r="AB26" s="953"/>
      <c r="AC26" s="953"/>
      <c r="AD26" s="953"/>
      <c r="AE26" s="953"/>
      <c r="AF26" s="953"/>
    </row>
    <row r="28" spans="1:32" x14ac:dyDescent="0.3">
      <c r="B28" s="51" t="s">
        <v>2540</v>
      </c>
    </row>
    <row r="30" spans="1:32" x14ac:dyDescent="0.3">
      <c r="AF30" s="324" t="s">
        <v>1463</v>
      </c>
    </row>
    <row r="31" spans="1:32" x14ac:dyDescent="0.3">
      <c r="AF31" s="55"/>
    </row>
    <row r="32" spans="1:32" x14ac:dyDescent="0.3">
      <c r="B32" s="51" t="s">
        <v>2541</v>
      </c>
      <c r="AF32" s="55"/>
    </row>
    <row r="33" spans="2:32" x14ac:dyDescent="0.3">
      <c r="AF33" s="55"/>
    </row>
    <row r="34" spans="2:32" x14ac:dyDescent="0.3">
      <c r="AF34" s="324" t="s">
        <v>1464</v>
      </c>
    </row>
    <row r="35" spans="2:32" x14ac:dyDescent="0.3">
      <c r="AF35" s="55"/>
    </row>
    <row r="36" spans="2:32" x14ac:dyDescent="0.3">
      <c r="B36" s="51" t="s">
        <v>2254</v>
      </c>
      <c r="AF36" s="55"/>
    </row>
    <row r="37" spans="2:32" x14ac:dyDescent="0.3">
      <c r="AF37" s="55"/>
    </row>
    <row r="38" spans="2:32" x14ac:dyDescent="0.3">
      <c r="AF38" s="324" t="s">
        <v>1465</v>
      </c>
    </row>
    <row r="39" spans="2:32" x14ac:dyDescent="0.3">
      <c r="AF39" s="55"/>
    </row>
    <row r="40" spans="2:32" x14ac:dyDescent="0.3">
      <c r="B40" s="51" t="s">
        <v>2255</v>
      </c>
      <c r="AF40" s="55"/>
    </row>
    <row r="41" spans="2:32" x14ac:dyDescent="0.3">
      <c r="AF41" s="55"/>
    </row>
    <row r="42" spans="2:32" x14ac:dyDescent="0.3">
      <c r="AF42" s="324" t="s">
        <v>1517</v>
      </c>
    </row>
    <row r="43" spans="2:32" x14ac:dyDescent="0.3">
      <c r="AF43" s="55"/>
    </row>
    <row r="44" spans="2:32" x14ac:dyDescent="0.3">
      <c r="B44" s="51" t="s">
        <v>2258</v>
      </c>
      <c r="AF44" s="55"/>
    </row>
    <row r="45" spans="2:32" x14ac:dyDescent="0.3">
      <c r="AF45" s="55"/>
    </row>
    <row r="46" spans="2:32" x14ac:dyDescent="0.3">
      <c r="AF46" s="324" t="s">
        <v>1556</v>
      </c>
    </row>
    <row r="47" spans="2:32" x14ac:dyDescent="0.3">
      <c r="AF47" s="55"/>
    </row>
    <row r="48" spans="2:32" x14ac:dyDescent="0.3">
      <c r="B48" s="51" t="s">
        <v>3663</v>
      </c>
      <c r="AF48" s="55"/>
    </row>
    <row r="49" spans="2:32" x14ac:dyDescent="0.3">
      <c r="AF49" s="55"/>
    </row>
    <row r="50" spans="2:32" x14ac:dyDescent="0.3">
      <c r="AF50" s="324" t="s">
        <v>1558</v>
      </c>
    </row>
    <row r="51" spans="2:32" x14ac:dyDescent="0.3">
      <c r="AF51" s="55"/>
    </row>
    <row r="52" spans="2:32" x14ac:dyDescent="0.3">
      <c r="B52" s="51" t="s">
        <v>2256</v>
      </c>
      <c r="AF52" s="55"/>
    </row>
    <row r="53" spans="2:32" x14ac:dyDescent="0.3">
      <c r="AF53" s="55"/>
    </row>
    <row r="54" spans="2:32" x14ac:dyDescent="0.3">
      <c r="AF54" s="324" t="s">
        <v>1607</v>
      </c>
    </row>
    <row r="55" spans="2:32" x14ac:dyDescent="0.3">
      <c r="AF55" s="55"/>
    </row>
    <row r="56" spans="2:32" x14ac:dyDescent="0.3">
      <c r="B56" s="51" t="s">
        <v>2259</v>
      </c>
      <c r="AF56" s="55"/>
    </row>
    <row r="57" spans="2:32" x14ac:dyDescent="0.3">
      <c r="AF57" s="55"/>
    </row>
    <row r="58" spans="2:32" x14ac:dyDescent="0.3">
      <c r="AF58" s="324" t="s">
        <v>1608</v>
      </c>
    </row>
    <row r="59" spans="2:32" x14ac:dyDescent="0.3">
      <c r="AF59" s="55"/>
    </row>
    <row r="60" spans="2:32" x14ac:dyDescent="0.3">
      <c r="B60" s="51" t="s">
        <v>3664</v>
      </c>
      <c r="AF60" s="55"/>
    </row>
    <row r="61" spans="2:32" x14ac:dyDescent="0.3">
      <c r="AF61" s="55"/>
    </row>
    <row r="62" spans="2:32" x14ac:dyDescent="0.3">
      <c r="AF62" s="324" t="s">
        <v>1946</v>
      </c>
    </row>
    <row r="63" spans="2:32" x14ac:dyDescent="0.3">
      <c r="AF63" s="55"/>
    </row>
    <row r="64" spans="2:32" x14ac:dyDescent="0.3">
      <c r="B64" s="51" t="s">
        <v>2257</v>
      </c>
      <c r="AF64" s="55"/>
    </row>
    <row r="65" spans="1:32" x14ac:dyDescent="0.3">
      <c r="AF65" s="55"/>
    </row>
    <row r="66" spans="1:32" x14ac:dyDescent="0.3">
      <c r="AF66" s="324" t="s">
        <v>1948</v>
      </c>
    </row>
    <row r="67" spans="1:32" x14ac:dyDescent="0.3">
      <c r="AF67" s="55"/>
    </row>
    <row r="68" spans="1:32" x14ac:dyDescent="0.3">
      <c r="A68" s="121"/>
      <c r="B68" s="51" t="s">
        <v>2260</v>
      </c>
      <c r="AF68" s="55"/>
    </row>
    <row r="69" spans="1:32" x14ac:dyDescent="0.3">
      <c r="A69" s="121"/>
      <c r="B69" s="121"/>
      <c r="AF69" s="55"/>
    </row>
    <row r="70" spans="1:32" x14ac:dyDescent="0.3">
      <c r="A70" s="121"/>
      <c r="B70" s="121"/>
      <c r="AF70" s="324" t="s">
        <v>1949</v>
      </c>
    </row>
    <row r="72" spans="1:32" x14ac:dyDescent="0.3">
      <c r="A72" s="1141" t="s">
        <v>8</v>
      </c>
      <c r="B72" s="1141"/>
      <c r="C72" s="1141"/>
      <c r="D72" s="1141"/>
      <c r="E72" s="1141"/>
      <c r="F72" s="1141"/>
      <c r="G72" s="1141"/>
      <c r="H72" s="1141"/>
      <c r="I72" s="1141"/>
      <c r="J72" s="1141"/>
      <c r="K72" s="1141"/>
      <c r="L72" s="1141"/>
      <c r="M72" s="1141"/>
      <c r="N72" s="1141"/>
      <c r="O72" s="1141"/>
      <c r="P72" s="1141"/>
      <c r="Q72" s="1141"/>
      <c r="R72" s="1141"/>
      <c r="S72" s="1141"/>
      <c r="T72" s="1141"/>
      <c r="U72" s="1141"/>
      <c r="V72" s="1141"/>
      <c r="W72" s="1141"/>
      <c r="X72" s="1141"/>
      <c r="Y72" s="1141"/>
      <c r="Z72" s="1141"/>
      <c r="AA72" s="1141"/>
      <c r="AB72" s="1141"/>
      <c r="AC72" s="1141"/>
      <c r="AD72" s="1141"/>
      <c r="AE72" s="1141"/>
      <c r="AF72" s="1141"/>
    </row>
    <row r="73" spans="1:32" x14ac:dyDescent="0.3">
      <c r="A73" s="1143" t="s">
        <v>9</v>
      </c>
      <c r="B73" s="1143"/>
      <c r="C73" s="1143"/>
      <c r="D73" s="1143"/>
      <c r="E73" s="1143" t="s">
        <v>3</v>
      </c>
      <c r="F73" s="1143"/>
      <c r="G73" s="1143"/>
      <c r="H73" s="1143"/>
      <c r="I73" s="1143"/>
      <c r="J73" s="1143"/>
      <c r="K73" s="1143"/>
      <c r="L73" s="1143"/>
      <c r="M73" s="1143"/>
      <c r="N73" s="1143"/>
      <c r="O73" s="1143"/>
      <c r="P73" s="1143"/>
      <c r="Q73" s="1143" t="s">
        <v>10</v>
      </c>
      <c r="R73" s="1143"/>
      <c r="S73" s="1143"/>
      <c r="T73" s="1143"/>
      <c r="U73" s="1143" t="s">
        <v>11</v>
      </c>
      <c r="V73" s="1143"/>
      <c r="W73" s="1143" t="s">
        <v>1466</v>
      </c>
      <c r="X73" s="1143"/>
      <c r="Y73" s="1143"/>
      <c r="Z73" s="1143"/>
      <c r="AA73" s="1143"/>
      <c r="AB73" s="1143"/>
      <c r="AC73" s="1143"/>
      <c r="AD73" s="1143"/>
      <c r="AE73" s="1143"/>
      <c r="AF73" s="1143"/>
    </row>
    <row r="74" spans="1:32" ht="30" customHeight="1" x14ac:dyDescent="0.3">
      <c r="A74" s="1148" t="s">
        <v>2277</v>
      </c>
      <c r="B74" s="1149"/>
      <c r="C74" s="1149"/>
      <c r="D74" s="1150"/>
      <c r="E74" s="1148" t="s">
        <v>2702</v>
      </c>
      <c r="F74" s="1149"/>
      <c r="G74" s="1149"/>
      <c r="H74" s="1149"/>
      <c r="I74" s="1149"/>
      <c r="J74" s="1149"/>
      <c r="K74" s="1149"/>
      <c r="L74" s="1149"/>
      <c r="M74" s="1149"/>
      <c r="N74" s="1149"/>
      <c r="O74" s="1149"/>
      <c r="P74" s="1150"/>
      <c r="Q74" s="1151" t="s">
        <v>2695</v>
      </c>
      <c r="R74" s="1152"/>
      <c r="S74" s="1152"/>
      <c r="T74" s="1153"/>
      <c r="U74" s="1151" t="s">
        <v>2271</v>
      </c>
      <c r="V74" s="1153"/>
      <c r="W74" s="1148" t="s">
        <v>2281</v>
      </c>
      <c r="X74" s="1149"/>
      <c r="Y74" s="1149"/>
      <c r="Z74" s="1149"/>
      <c r="AA74" s="1149"/>
      <c r="AB74" s="1149"/>
      <c r="AC74" s="1149"/>
      <c r="AD74" s="1149"/>
      <c r="AE74" s="1149"/>
      <c r="AF74" s="1150"/>
    </row>
    <row r="75" spans="1:32" ht="30" customHeight="1" x14ac:dyDescent="0.3">
      <c r="A75" s="1148" t="s">
        <v>2276</v>
      </c>
      <c r="B75" s="1149"/>
      <c r="C75" s="1149"/>
      <c r="D75" s="1150"/>
      <c r="E75" s="1148" t="s">
        <v>2703</v>
      </c>
      <c r="F75" s="1149"/>
      <c r="G75" s="1149"/>
      <c r="H75" s="1149"/>
      <c r="I75" s="1149"/>
      <c r="J75" s="1149"/>
      <c r="K75" s="1149"/>
      <c r="L75" s="1149"/>
      <c r="M75" s="1149"/>
      <c r="N75" s="1149"/>
      <c r="O75" s="1149"/>
      <c r="P75" s="1150"/>
      <c r="Q75" s="1151" t="s">
        <v>2275</v>
      </c>
      <c r="R75" s="1152"/>
      <c r="S75" s="1152"/>
      <c r="T75" s="1153"/>
      <c r="U75" s="1151" t="s">
        <v>2271</v>
      </c>
      <c r="V75" s="1153"/>
      <c r="W75" s="1148" t="s">
        <v>2696</v>
      </c>
      <c r="X75" s="1149"/>
      <c r="Y75" s="1149"/>
      <c r="Z75" s="1149"/>
      <c r="AA75" s="1149"/>
      <c r="AB75" s="1149"/>
      <c r="AC75" s="1149"/>
      <c r="AD75" s="1149"/>
      <c r="AE75" s="1149"/>
      <c r="AF75" s="1150"/>
    </row>
    <row r="76" spans="1:32" ht="30" customHeight="1" x14ac:dyDescent="0.3">
      <c r="A76" s="1148" t="s">
        <v>2269</v>
      </c>
      <c r="B76" s="1149"/>
      <c r="C76" s="1149"/>
      <c r="D76" s="1150"/>
      <c r="E76" s="1148" t="s">
        <v>2272</v>
      </c>
      <c r="F76" s="1149"/>
      <c r="G76" s="1149"/>
      <c r="H76" s="1149"/>
      <c r="I76" s="1149"/>
      <c r="J76" s="1149"/>
      <c r="K76" s="1149"/>
      <c r="L76" s="1149"/>
      <c r="M76" s="1149"/>
      <c r="N76" s="1149"/>
      <c r="O76" s="1149"/>
      <c r="P76" s="1150"/>
      <c r="Q76" s="1151" t="s">
        <v>2274</v>
      </c>
      <c r="R76" s="1152"/>
      <c r="S76" s="1152"/>
      <c r="T76" s="1153"/>
      <c r="U76" s="1151" t="s">
        <v>2271</v>
      </c>
      <c r="V76" s="1153"/>
      <c r="W76" s="1148" t="s">
        <v>2279</v>
      </c>
      <c r="X76" s="1149"/>
      <c r="Y76" s="1149"/>
      <c r="Z76" s="1149"/>
      <c r="AA76" s="1149"/>
      <c r="AB76" s="1149"/>
      <c r="AC76" s="1149"/>
      <c r="AD76" s="1149"/>
      <c r="AE76" s="1149"/>
      <c r="AF76" s="1150"/>
    </row>
    <row r="77" spans="1:32" ht="30" customHeight="1" x14ac:dyDescent="0.3">
      <c r="A77" s="1148" t="s">
        <v>2270</v>
      </c>
      <c r="B77" s="1149"/>
      <c r="C77" s="1149"/>
      <c r="D77" s="1150"/>
      <c r="E77" s="1148" t="s">
        <v>2273</v>
      </c>
      <c r="F77" s="1149"/>
      <c r="G77" s="1149"/>
      <c r="H77" s="1149"/>
      <c r="I77" s="1149"/>
      <c r="J77" s="1149"/>
      <c r="K77" s="1149"/>
      <c r="L77" s="1149"/>
      <c r="M77" s="1149"/>
      <c r="N77" s="1149"/>
      <c r="O77" s="1149"/>
      <c r="P77" s="1150"/>
      <c r="Q77" s="1151" t="s">
        <v>2274</v>
      </c>
      <c r="R77" s="1152"/>
      <c r="S77" s="1152"/>
      <c r="T77" s="1153"/>
      <c r="U77" s="1151" t="s">
        <v>2271</v>
      </c>
      <c r="V77" s="1153"/>
      <c r="W77" s="1148" t="s">
        <v>2278</v>
      </c>
      <c r="X77" s="1149"/>
      <c r="Y77" s="1149"/>
      <c r="Z77" s="1149"/>
      <c r="AA77" s="1149"/>
      <c r="AB77" s="1149"/>
      <c r="AC77" s="1149"/>
      <c r="AD77" s="1149"/>
      <c r="AE77" s="1149"/>
      <c r="AF77" s="1150"/>
    </row>
    <row r="78" spans="1:32" ht="30" customHeight="1" x14ac:dyDescent="0.3">
      <c r="A78" s="1154" t="s">
        <v>2266</v>
      </c>
      <c r="B78" s="1155"/>
      <c r="C78" s="1155"/>
      <c r="D78" s="1156"/>
      <c r="E78" s="1148" t="s">
        <v>2282</v>
      </c>
      <c r="F78" s="1149"/>
      <c r="G78" s="1149"/>
      <c r="H78" s="1149"/>
      <c r="I78" s="1149"/>
      <c r="J78" s="1149"/>
      <c r="K78" s="1149"/>
      <c r="L78" s="1149"/>
      <c r="M78" s="1149"/>
      <c r="N78" s="1149"/>
      <c r="O78" s="1149"/>
      <c r="P78" s="1150"/>
      <c r="Q78" s="1151" t="s">
        <v>2267</v>
      </c>
      <c r="R78" s="1152"/>
      <c r="S78" s="1152"/>
      <c r="T78" s="1153"/>
      <c r="U78" s="1151" t="s">
        <v>36</v>
      </c>
      <c r="V78" s="1153"/>
      <c r="W78" s="1148" t="s">
        <v>3028</v>
      </c>
      <c r="X78" s="1149"/>
      <c r="Y78" s="1149"/>
      <c r="Z78" s="1149"/>
      <c r="AA78" s="1149"/>
      <c r="AB78" s="1149"/>
      <c r="AC78" s="1149"/>
      <c r="AD78" s="1149"/>
      <c r="AE78" s="1149"/>
      <c r="AF78" s="1150"/>
    </row>
    <row r="79" spans="1:32" ht="30" customHeight="1" x14ac:dyDescent="0.3">
      <c r="A79" s="1154" t="s">
        <v>2265</v>
      </c>
      <c r="B79" s="1155"/>
      <c r="C79" s="1155"/>
      <c r="D79" s="1156"/>
      <c r="E79" s="1148" t="s">
        <v>2283</v>
      </c>
      <c r="F79" s="1149"/>
      <c r="G79" s="1149"/>
      <c r="H79" s="1149"/>
      <c r="I79" s="1149"/>
      <c r="J79" s="1149"/>
      <c r="K79" s="1149"/>
      <c r="L79" s="1149"/>
      <c r="M79" s="1149"/>
      <c r="N79" s="1149"/>
      <c r="O79" s="1149"/>
      <c r="P79" s="1150"/>
      <c r="Q79" s="1151" t="s">
        <v>2267</v>
      </c>
      <c r="R79" s="1152"/>
      <c r="S79" s="1152"/>
      <c r="T79" s="1153"/>
      <c r="U79" s="1151" t="s">
        <v>36</v>
      </c>
      <c r="V79" s="1153"/>
      <c r="W79" s="1148" t="s">
        <v>2280</v>
      </c>
      <c r="X79" s="1149"/>
      <c r="Y79" s="1149"/>
      <c r="Z79" s="1149"/>
      <c r="AA79" s="1149"/>
      <c r="AB79" s="1149"/>
      <c r="AC79" s="1149"/>
      <c r="AD79" s="1149"/>
      <c r="AE79" s="1149"/>
      <c r="AF79" s="1150"/>
    </row>
    <row r="80" spans="1:32" ht="30" customHeight="1" x14ac:dyDescent="0.3">
      <c r="A80" s="1157" t="s">
        <v>3788</v>
      </c>
      <c r="B80" s="1158"/>
      <c r="C80" s="1158"/>
      <c r="D80" s="1159"/>
      <c r="E80" s="1163" t="s">
        <v>3781</v>
      </c>
      <c r="F80" s="1164"/>
      <c r="G80" s="1164"/>
      <c r="H80" s="1164"/>
      <c r="I80" s="1164"/>
      <c r="J80" s="1164"/>
      <c r="K80" s="1164"/>
      <c r="L80" s="1164"/>
      <c r="M80" s="1164"/>
      <c r="N80" s="1164"/>
      <c r="O80" s="1164"/>
      <c r="P80" s="1165"/>
      <c r="Q80" s="1166">
        <v>758</v>
      </c>
      <c r="R80" s="1167"/>
      <c r="S80" s="1167"/>
      <c r="T80" s="1168"/>
      <c r="U80" s="1166" t="s">
        <v>36</v>
      </c>
      <c r="V80" s="1168"/>
      <c r="W80" s="1163" t="s">
        <v>3789</v>
      </c>
      <c r="X80" s="1164"/>
      <c r="Y80" s="1164"/>
      <c r="Z80" s="1164"/>
      <c r="AA80" s="1164"/>
      <c r="AB80" s="1164"/>
      <c r="AC80" s="1164"/>
      <c r="AD80" s="1164"/>
      <c r="AE80" s="1164"/>
      <c r="AF80" s="1165"/>
    </row>
    <row r="81" spans="1:32" ht="30" customHeight="1" x14ac:dyDescent="0.3">
      <c r="A81" s="1160"/>
      <c r="B81" s="1161"/>
      <c r="C81" s="1161"/>
      <c r="D81" s="1162"/>
      <c r="E81" s="1163" t="s">
        <v>3782</v>
      </c>
      <c r="F81" s="1164"/>
      <c r="G81" s="1164"/>
      <c r="H81" s="1164"/>
      <c r="I81" s="1164"/>
      <c r="J81" s="1164"/>
      <c r="K81" s="1164"/>
      <c r="L81" s="1164"/>
      <c r="M81" s="1164"/>
      <c r="N81" s="1164"/>
      <c r="O81" s="1164"/>
      <c r="P81" s="1165"/>
      <c r="Q81" s="1166">
        <v>574</v>
      </c>
      <c r="R81" s="1167"/>
      <c r="S81" s="1167"/>
      <c r="T81" s="1168"/>
      <c r="U81" s="1166" t="s">
        <v>36</v>
      </c>
      <c r="V81" s="1168"/>
      <c r="W81" s="1163" t="s">
        <v>3789</v>
      </c>
      <c r="X81" s="1164"/>
      <c r="Y81" s="1164"/>
      <c r="Z81" s="1164"/>
      <c r="AA81" s="1164"/>
      <c r="AB81" s="1164"/>
      <c r="AC81" s="1164"/>
      <c r="AD81" s="1164"/>
      <c r="AE81" s="1164"/>
      <c r="AF81" s="1165"/>
    </row>
    <row r="82" spans="1:32" ht="30" customHeight="1" x14ac:dyDescent="0.3">
      <c r="A82" s="1154" t="s">
        <v>34</v>
      </c>
      <c r="B82" s="1155"/>
      <c r="C82" s="1155"/>
      <c r="D82" s="1156"/>
      <c r="E82" s="1148" t="s">
        <v>644</v>
      </c>
      <c r="F82" s="1149"/>
      <c r="G82" s="1149"/>
      <c r="H82" s="1149"/>
      <c r="I82" s="1149"/>
      <c r="J82" s="1149"/>
      <c r="K82" s="1149"/>
      <c r="L82" s="1149"/>
      <c r="M82" s="1149"/>
      <c r="N82" s="1149"/>
      <c r="O82" s="1149"/>
      <c r="P82" s="1150"/>
      <c r="Q82" s="1169">
        <v>1</v>
      </c>
      <c r="R82" s="1170"/>
      <c r="S82" s="1170"/>
      <c r="T82" s="1171"/>
      <c r="U82" s="1151" t="s">
        <v>20</v>
      </c>
      <c r="V82" s="1153"/>
      <c r="W82" s="1148" t="s">
        <v>2697</v>
      </c>
      <c r="X82" s="1149"/>
      <c r="Y82" s="1149"/>
      <c r="Z82" s="1149"/>
      <c r="AA82" s="1149"/>
      <c r="AB82" s="1149"/>
      <c r="AC82" s="1149"/>
      <c r="AD82" s="1149"/>
      <c r="AE82" s="1149"/>
      <c r="AF82" s="1150"/>
    </row>
    <row r="83" spans="1:32" ht="30" customHeight="1" x14ac:dyDescent="0.3">
      <c r="A83" s="1154" t="s">
        <v>24</v>
      </c>
      <c r="B83" s="1155"/>
      <c r="C83" s="1155"/>
      <c r="D83" s="1156"/>
      <c r="E83" s="1148" t="s">
        <v>155</v>
      </c>
      <c r="F83" s="1149"/>
      <c r="G83" s="1149"/>
      <c r="H83" s="1149"/>
      <c r="I83" s="1149"/>
      <c r="J83" s="1149"/>
      <c r="K83" s="1149"/>
      <c r="L83" s="1149"/>
      <c r="M83" s="1149"/>
      <c r="N83" s="1149"/>
      <c r="O83" s="1149"/>
      <c r="P83" s="1150"/>
      <c r="Q83" s="1151">
        <v>8760</v>
      </c>
      <c r="R83" s="1152"/>
      <c r="S83" s="1152"/>
      <c r="T83" s="1153"/>
      <c r="U83" s="1151" t="s">
        <v>37</v>
      </c>
      <c r="V83" s="1153"/>
      <c r="W83" s="1172" t="s">
        <v>2268</v>
      </c>
      <c r="X83" s="1173"/>
      <c r="Y83" s="1173"/>
      <c r="Z83" s="1173"/>
      <c r="AA83" s="1173"/>
      <c r="AB83" s="1173"/>
      <c r="AC83" s="1173"/>
      <c r="AD83" s="1173"/>
      <c r="AE83" s="1173"/>
      <c r="AF83" s="1174"/>
    </row>
    <row r="84" spans="1:32" ht="30" customHeight="1" x14ac:dyDescent="0.3">
      <c r="A84" s="1154" t="s">
        <v>21</v>
      </c>
      <c r="B84" s="1155"/>
      <c r="C84" s="1155"/>
      <c r="D84" s="1156"/>
      <c r="E84" s="1148" t="s">
        <v>96</v>
      </c>
      <c r="F84" s="1149"/>
      <c r="G84" s="1149"/>
      <c r="H84" s="1149"/>
      <c r="I84" s="1149"/>
      <c r="J84" s="1149"/>
      <c r="K84" s="1149"/>
      <c r="L84" s="1149"/>
      <c r="M84" s="1149"/>
      <c r="N84" s="1149"/>
      <c r="O84" s="1149"/>
      <c r="P84" s="1150"/>
      <c r="Q84" s="1169">
        <v>1</v>
      </c>
      <c r="R84" s="1170"/>
      <c r="S84" s="1170"/>
      <c r="T84" s="1171"/>
      <c r="U84" s="1151" t="s">
        <v>20</v>
      </c>
      <c r="V84" s="1153"/>
      <c r="W84" s="1148" t="s">
        <v>2689</v>
      </c>
      <c r="X84" s="1149"/>
      <c r="Y84" s="1149"/>
      <c r="Z84" s="1149"/>
      <c r="AA84" s="1149"/>
      <c r="AB84" s="1149"/>
      <c r="AC84" s="1149"/>
      <c r="AD84" s="1149"/>
      <c r="AE84" s="1149"/>
      <c r="AF84" s="1150"/>
    </row>
    <row r="85" spans="1:32" ht="30" customHeight="1" x14ac:dyDescent="0.3">
      <c r="A85" s="1154" t="s">
        <v>2692</v>
      </c>
      <c r="B85" s="1155"/>
      <c r="C85" s="1155"/>
      <c r="D85" s="1156"/>
      <c r="E85" s="1148" t="s">
        <v>2261</v>
      </c>
      <c r="F85" s="1149"/>
      <c r="G85" s="1149"/>
      <c r="H85" s="1149"/>
      <c r="I85" s="1149"/>
      <c r="J85" s="1149"/>
      <c r="K85" s="1149"/>
      <c r="L85" s="1149"/>
      <c r="M85" s="1149"/>
      <c r="N85" s="1149"/>
      <c r="O85" s="1149"/>
      <c r="P85" s="1150"/>
      <c r="Q85" s="1151">
        <f>'Master EUL'!X26</f>
        <v>14</v>
      </c>
      <c r="R85" s="1152"/>
      <c r="S85" s="1152"/>
      <c r="T85" s="1153"/>
      <c r="U85" s="1151" t="s">
        <v>38</v>
      </c>
      <c r="V85" s="1153"/>
      <c r="W85" s="1148" t="s">
        <v>2698</v>
      </c>
      <c r="X85" s="1149"/>
      <c r="Y85" s="1149"/>
      <c r="Z85" s="1149"/>
      <c r="AA85" s="1149"/>
      <c r="AB85" s="1149"/>
      <c r="AC85" s="1149"/>
      <c r="AD85" s="1149"/>
      <c r="AE85" s="1149"/>
      <c r="AF85" s="1150"/>
    </row>
    <row r="86" spans="1:32" ht="30" customHeight="1" x14ac:dyDescent="0.3">
      <c r="A86" s="1154" t="s">
        <v>2693</v>
      </c>
      <c r="B86" s="1155"/>
      <c r="C86" s="1155"/>
      <c r="D86" s="1156"/>
      <c r="E86" s="1148" t="s">
        <v>2262</v>
      </c>
      <c r="F86" s="1149"/>
      <c r="G86" s="1149"/>
      <c r="H86" s="1149"/>
      <c r="I86" s="1149"/>
      <c r="J86" s="1149"/>
      <c r="K86" s="1149"/>
      <c r="L86" s="1149"/>
      <c r="M86" s="1149"/>
      <c r="N86" s="1149"/>
      <c r="O86" s="1149"/>
      <c r="P86" s="1150"/>
      <c r="Q86" s="1151">
        <f>'Master EUL'!X27</f>
        <v>17</v>
      </c>
      <c r="R86" s="1152"/>
      <c r="S86" s="1152"/>
      <c r="T86" s="1153"/>
      <c r="U86" s="1151" t="s">
        <v>38</v>
      </c>
      <c r="V86" s="1153"/>
      <c r="W86" s="1148" t="s">
        <v>1518</v>
      </c>
      <c r="X86" s="1149"/>
      <c r="Y86" s="1149"/>
      <c r="Z86" s="1149"/>
      <c r="AA86" s="1149"/>
      <c r="AB86" s="1149"/>
      <c r="AC86" s="1149"/>
      <c r="AD86" s="1149"/>
      <c r="AE86" s="1149"/>
      <c r="AF86" s="1150"/>
    </row>
    <row r="87" spans="1:32" ht="30" customHeight="1" x14ac:dyDescent="0.3">
      <c r="A87" s="1154" t="s">
        <v>2690</v>
      </c>
      <c r="B87" s="1155"/>
      <c r="C87" s="1155"/>
      <c r="D87" s="1156"/>
      <c r="E87" s="1148" t="s">
        <v>2263</v>
      </c>
      <c r="F87" s="1149"/>
      <c r="G87" s="1149"/>
      <c r="H87" s="1149"/>
      <c r="I87" s="1149"/>
      <c r="J87" s="1149"/>
      <c r="K87" s="1149"/>
      <c r="L87" s="1149"/>
      <c r="M87" s="1149"/>
      <c r="N87" s="1149"/>
      <c r="O87" s="1149"/>
      <c r="P87" s="1150"/>
      <c r="Q87" s="1151">
        <f>'Master EUL'!X28</f>
        <v>8</v>
      </c>
      <c r="R87" s="1152"/>
      <c r="S87" s="1152"/>
      <c r="T87" s="1153"/>
      <c r="U87" s="1151" t="s">
        <v>38</v>
      </c>
      <c r="V87" s="1153"/>
      <c r="W87" s="1148" t="s">
        <v>1518</v>
      </c>
      <c r="X87" s="1149"/>
      <c r="Y87" s="1149"/>
      <c r="Z87" s="1149"/>
      <c r="AA87" s="1149"/>
      <c r="AB87" s="1149"/>
      <c r="AC87" s="1149"/>
      <c r="AD87" s="1149"/>
      <c r="AE87" s="1149"/>
      <c r="AF87" s="1150"/>
    </row>
    <row r="88" spans="1:32" ht="30" customHeight="1" x14ac:dyDescent="0.3">
      <c r="A88" s="1154" t="s">
        <v>2691</v>
      </c>
      <c r="B88" s="1155"/>
      <c r="C88" s="1155"/>
      <c r="D88" s="1156"/>
      <c r="E88" s="1148" t="s">
        <v>2264</v>
      </c>
      <c r="F88" s="1149"/>
      <c r="G88" s="1149"/>
      <c r="H88" s="1149"/>
      <c r="I88" s="1149"/>
      <c r="J88" s="1149"/>
      <c r="K88" s="1149"/>
      <c r="L88" s="1149"/>
      <c r="M88" s="1149"/>
      <c r="N88" s="1149"/>
      <c r="O88" s="1149"/>
      <c r="P88" s="1150"/>
      <c r="Q88" s="1151">
        <f>'Master EUL'!X29</f>
        <v>7</v>
      </c>
      <c r="R88" s="1152"/>
      <c r="S88" s="1152"/>
      <c r="T88" s="1153"/>
      <c r="U88" s="1151" t="s">
        <v>38</v>
      </c>
      <c r="V88" s="1153"/>
      <c r="W88" s="1148" t="s">
        <v>1518</v>
      </c>
      <c r="X88" s="1149"/>
      <c r="Y88" s="1149"/>
      <c r="Z88" s="1149"/>
      <c r="AA88" s="1149"/>
      <c r="AB88" s="1149"/>
      <c r="AC88" s="1149"/>
      <c r="AD88" s="1149"/>
      <c r="AE88" s="1149"/>
      <c r="AF88" s="1150"/>
    </row>
    <row r="89" spans="1:32" ht="42.75" customHeight="1" x14ac:dyDescent="0.3">
      <c r="A89" s="998" t="s">
        <v>2701</v>
      </c>
      <c r="B89" s="998"/>
      <c r="C89" s="998"/>
      <c r="D89" s="998"/>
      <c r="E89" s="998"/>
      <c r="F89" s="998"/>
      <c r="G89" s="998"/>
      <c r="H89" s="998"/>
      <c r="I89" s="998"/>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row>
    <row r="90" spans="1:32" ht="56.25" customHeight="1" x14ac:dyDescent="0.3">
      <c r="A90" s="998" t="s">
        <v>2902</v>
      </c>
      <c r="B90" s="998"/>
      <c r="C90" s="998"/>
      <c r="D90" s="998"/>
      <c r="E90" s="998"/>
      <c r="F90" s="998"/>
      <c r="G90" s="998"/>
      <c r="H90" s="998"/>
      <c r="I90" s="998"/>
      <c r="J90" s="998"/>
      <c r="K90" s="998"/>
      <c r="L90" s="998"/>
      <c r="M90" s="998"/>
      <c r="N90" s="998"/>
      <c r="O90" s="998"/>
      <c r="P90" s="998"/>
      <c r="Q90" s="998"/>
      <c r="R90" s="998"/>
      <c r="S90" s="998"/>
      <c r="T90" s="998"/>
      <c r="U90" s="998"/>
      <c r="V90" s="998"/>
      <c r="W90" s="998"/>
      <c r="X90" s="998"/>
      <c r="Y90" s="998"/>
      <c r="Z90" s="998"/>
      <c r="AA90" s="998"/>
      <c r="AB90" s="998"/>
      <c r="AC90" s="998"/>
      <c r="AD90" s="998"/>
      <c r="AE90" s="998"/>
      <c r="AF90" s="998"/>
    </row>
    <row r="91" spans="1:32" ht="42" customHeight="1" x14ac:dyDescent="0.3">
      <c r="A91" s="998" t="s">
        <v>2903</v>
      </c>
      <c r="B91" s="998"/>
      <c r="C91" s="998"/>
      <c r="D91" s="998"/>
      <c r="E91" s="998"/>
      <c r="F91" s="998"/>
      <c r="G91" s="998"/>
      <c r="H91" s="998"/>
      <c r="I91" s="998"/>
      <c r="J91" s="998"/>
      <c r="K91" s="998"/>
      <c r="L91" s="998"/>
      <c r="M91" s="998"/>
      <c r="N91" s="998"/>
      <c r="O91" s="998"/>
      <c r="P91" s="998"/>
      <c r="Q91" s="998"/>
      <c r="R91" s="998"/>
      <c r="S91" s="998"/>
      <c r="T91" s="998"/>
      <c r="U91" s="998"/>
      <c r="V91" s="998"/>
      <c r="W91" s="998"/>
      <c r="X91" s="998"/>
      <c r="Y91" s="998"/>
      <c r="Z91" s="998"/>
      <c r="AA91" s="998"/>
      <c r="AB91" s="998"/>
      <c r="AC91" s="998"/>
      <c r="AD91" s="998"/>
      <c r="AE91" s="998"/>
      <c r="AF91" s="998"/>
    </row>
    <row r="92" spans="1:32" ht="72" customHeight="1" x14ac:dyDescent="0.3">
      <c r="A92" s="998" t="s">
        <v>3790</v>
      </c>
      <c r="B92" s="998"/>
      <c r="C92" s="998"/>
      <c r="D92" s="998"/>
      <c r="E92" s="998"/>
      <c r="F92" s="998"/>
      <c r="G92" s="998"/>
      <c r="H92" s="998"/>
      <c r="I92" s="998"/>
      <c r="J92" s="998"/>
      <c r="K92" s="998"/>
      <c r="L92" s="998"/>
      <c r="M92" s="998"/>
      <c r="N92" s="998"/>
      <c r="O92" s="998"/>
      <c r="P92" s="998"/>
      <c r="Q92" s="998"/>
      <c r="R92" s="998"/>
      <c r="S92" s="998"/>
      <c r="T92" s="998"/>
      <c r="U92" s="998"/>
      <c r="V92" s="998"/>
      <c r="W92" s="998"/>
      <c r="X92" s="998"/>
      <c r="Y92" s="998"/>
      <c r="Z92" s="998"/>
      <c r="AA92" s="998"/>
      <c r="AB92" s="998"/>
      <c r="AC92" s="998"/>
      <c r="AD92" s="998"/>
      <c r="AE92" s="998"/>
      <c r="AF92" s="998"/>
    </row>
    <row r="93" spans="1:32" ht="31.5" customHeight="1" x14ac:dyDescent="0.3">
      <c r="A93" s="998" t="s">
        <v>2699</v>
      </c>
      <c r="B93" s="998"/>
      <c r="C93" s="998"/>
      <c r="D93" s="998"/>
      <c r="E93" s="998"/>
      <c r="F93" s="998"/>
      <c r="G93" s="998"/>
      <c r="H93" s="998"/>
      <c r="I93" s="998"/>
      <c r="J93" s="998"/>
      <c r="K93" s="998"/>
      <c r="L93" s="998"/>
      <c r="M93" s="998"/>
      <c r="N93" s="998"/>
      <c r="O93" s="998"/>
      <c r="P93" s="998"/>
      <c r="Q93" s="998"/>
      <c r="R93" s="998"/>
      <c r="S93" s="998"/>
      <c r="T93" s="998"/>
      <c r="U93" s="998"/>
      <c r="V93" s="998"/>
      <c r="W93" s="998"/>
      <c r="X93" s="998"/>
      <c r="Y93" s="998"/>
      <c r="Z93" s="998"/>
      <c r="AA93" s="998"/>
      <c r="AB93" s="998"/>
      <c r="AC93" s="998"/>
      <c r="AD93" s="998"/>
      <c r="AE93" s="998"/>
      <c r="AF93" s="998"/>
    </row>
    <row r="94" spans="1:32" x14ac:dyDescent="0.3">
      <c r="A94" s="323" t="s">
        <v>2700</v>
      </c>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row>
    <row r="95" spans="1:32" x14ac:dyDescent="0.2">
      <c r="A95" s="38"/>
    </row>
    <row r="96" spans="1:32" ht="34.5" customHeight="1" x14ac:dyDescent="0.3">
      <c r="A96" s="883" t="s">
        <v>2318</v>
      </c>
      <c r="B96" s="883"/>
      <c r="C96" s="883"/>
      <c r="D96" s="883"/>
      <c r="E96" s="883"/>
      <c r="F96" s="883"/>
      <c r="G96" s="883"/>
      <c r="H96" s="883"/>
      <c r="I96" s="883"/>
      <c r="J96" s="883"/>
      <c r="K96" s="883"/>
      <c r="L96" s="883"/>
      <c r="M96" s="883"/>
      <c r="N96" s="883"/>
      <c r="O96" s="883"/>
      <c r="P96" s="883"/>
      <c r="Q96" s="883"/>
      <c r="R96" s="883"/>
      <c r="S96" s="883"/>
      <c r="T96" s="883"/>
      <c r="U96" s="883"/>
      <c r="V96" s="883"/>
      <c r="W96" s="883"/>
      <c r="X96" s="883"/>
      <c r="Y96" s="883"/>
      <c r="Z96" s="883"/>
      <c r="AA96" s="883"/>
      <c r="AB96" s="883"/>
      <c r="AC96" s="883"/>
      <c r="AD96" s="883"/>
      <c r="AE96" s="883"/>
      <c r="AF96" s="883"/>
    </row>
    <row r="97" spans="1:32" ht="39" customHeight="1" x14ac:dyDescent="0.3">
      <c r="A97" s="1175" t="s">
        <v>2284</v>
      </c>
      <c r="B97" s="1175"/>
      <c r="C97" s="1175"/>
      <c r="D97" s="1175"/>
      <c r="E97" s="1175"/>
      <c r="F97" s="1175"/>
      <c r="G97" s="1175"/>
      <c r="H97" s="1175"/>
      <c r="I97" s="1175"/>
      <c r="J97" s="1175"/>
      <c r="K97" s="1175"/>
      <c r="L97" s="1175"/>
      <c r="M97" s="1175"/>
      <c r="N97" s="1175"/>
      <c r="O97" s="1175"/>
      <c r="P97" s="1175"/>
      <c r="Q97" s="1019" t="s">
        <v>2319</v>
      </c>
      <c r="R97" s="1019"/>
      <c r="S97" s="1019"/>
      <c r="T97" s="1019"/>
      <c r="U97" s="1019"/>
      <c r="V97" s="1019"/>
      <c r="W97" s="1019"/>
      <c r="X97" s="1019"/>
      <c r="Y97" s="1019" t="s">
        <v>2320</v>
      </c>
      <c r="Z97" s="1019"/>
      <c r="AA97" s="1019"/>
      <c r="AB97" s="1019"/>
      <c r="AC97" s="1019"/>
      <c r="AD97" s="1019"/>
      <c r="AE97" s="1019"/>
      <c r="AF97" s="1019"/>
    </row>
    <row r="98" spans="1:32" x14ac:dyDescent="0.3">
      <c r="A98" s="1176" t="s">
        <v>2285</v>
      </c>
      <c r="B98" s="1176"/>
      <c r="C98" s="1176"/>
      <c r="D98" s="1176"/>
      <c r="E98" s="1176"/>
      <c r="F98" s="1176"/>
      <c r="G98" s="1176"/>
      <c r="H98" s="1176"/>
      <c r="I98" s="1176"/>
      <c r="J98" s="1176"/>
      <c r="K98" s="1176"/>
      <c r="L98" s="1176"/>
      <c r="M98" s="1176"/>
      <c r="N98" s="1176"/>
      <c r="O98" s="1176"/>
      <c r="P98" s="1176"/>
      <c r="Q98" s="1019" t="s">
        <v>2293</v>
      </c>
      <c r="R98" s="1019"/>
      <c r="S98" s="1019"/>
      <c r="T98" s="1019"/>
      <c r="U98" s="1019" t="s">
        <v>2294</v>
      </c>
      <c r="V98" s="1019"/>
      <c r="W98" s="1019"/>
      <c r="X98" s="1019"/>
      <c r="Y98" s="1019" t="s">
        <v>2293</v>
      </c>
      <c r="Z98" s="1019"/>
      <c r="AA98" s="1019"/>
      <c r="AB98" s="1019"/>
      <c r="AC98" s="1019" t="s">
        <v>2294</v>
      </c>
      <c r="AD98" s="1019"/>
      <c r="AE98" s="1019"/>
      <c r="AF98" s="1019"/>
    </row>
    <row r="99" spans="1:32" ht="30" customHeight="1" x14ac:dyDescent="0.3">
      <c r="A99" s="1177" t="s">
        <v>2286</v>
      </c>
      <c r="B99" s="1177"/>
      <c r="C99" s="1177"/>
      <c r="D99" s="1177"/>
      <c r="E99" s="1177"/>
      <c r="F99" s="1177"/>
      <c r="G99" s="1177"/>
      <c r="H99" s="1177"/>
      <c r="I99" s="1177"/>
      <c r="J99" s="1177"/>
      <c r="K99" s="1177"/>
      <c r="L99" s="1177"/>
      <c r="M99" s="1177"/>
      <c r="N99" s="1177"/>
      <c r="O99" s="1177"/>
      <c r="P99" s="1177"/>
      <c r="Q99" s="1178">
        <v>6.79</v>
      </c>
      <c r="R99" s="1178"/>
      <c r="S99" s="1178"/>
      <c r="T99" s="1178"/>
      <c r="U99" s="1179">
        <v>193.6</v>
      </c>
      <c r="V99" s="1179"/>
      <c r="W99" s="1179"/>
      <c r="X99" s="1179"/>
      <c r="Y99" s="1178">
        <v>6.11</v>
      </c>
      <c r="Z99" s="1178"/>
      <c r="AA99" s="1178"/>
      <c r="AB99" s="1178"/>
      <c r="AC99" s="1179">
        <v>174.2</v>
      </c>
      <c r="AD99" s="1179"/>
      <c r="AE99" s="1179"/>
      <c r="AF99" s="1179"/>
    </row>
    <row r="100" spans="1:32" ht="30" customHeight="1" x14ac:dyDescent="0.3">
      <c r="A100" s="1177" t="s">
        <v>2287</v>
      </c>
      <c r="B100" s="1177"/>
      <c r="C100" s="1177"/>
      <c r="D100" s="1177"/>
      <c r="E100" s="1177"/>
      <c r="F100" s="1177"/>
      <c r="G100" s="1177"/>
      <c r="H100" s="1177"/>
      <c r="I100" s="1177"/>
      <c r="J100" s="1177"/>
      <c r="K100" s="1177"/>
      <c r="L100" s="1177"/>
      <c r="M100" s="1177"/>
      <c r="N100" s="1177"/>
      <c r="O100" s="1177"/>
      <c r="P100" s="1177"/>
      <c r="Q100" s="1178">
        <v>8.07</v>
      </c>
      <c r="R100" s="1178"/>
      <c r="S100" s="1178"/>
      <c r="T100" s="1178"/>
      <c r="U100" s="1179">
        <v>233.7</v>
      </c>
      <c r="V100" s="1179"/>
      <c r="W100" s="1179"/>
      <c r="X100" s="1179"/>
      <c r="Y100" s="1178">
        <v>7.26</v>
      </c>
      <c r="Z100" s="1178"/>
      <c r="AA100" s="1178"/>
      <c r="AB100" s="1178"/>
      <c r="AC100" s="1179">
        <v>210.3</v>
      </c>
      <c r="AD100" s="1179"/>
      <c r="AE100" s="1179"/>
      <c r="AF100" s="1179"/>
    </row>
    <row r="101" spans="1:32" ht="30" customHeight="1" x14ac:dyDescent="0.3">
      <c r="A101" s="1177" t="s">
        <v>2288</v>
      </c>
      <c r="B101" s="1177"/>
      <c r="C101" s="1177"/>
      <c r="D101" s="1177"/>
      <c r="E101" s="1177"/>
      <c r="F101" s="1177"/>
      <c r="G101" s="1177"/>
      <c r="H101" s="1177"/>
      <c r="I101" s="1177"/>
      <c r="J101" s="1177"/>
      <c r="K101" s="1177"/>
      <c r="L101" s="1177"/>
      <c r="M101" s="1177"/>
      <c r="N101" s="1177"/>
      <c r="O101" s="1177"/>
      <c r="P101" s="1177"/>
      <c r="Q101" s="1178">
        <v>8.51</v>
      </c>
      <c r="R101" s="1178"/>
      <c r="S101" s="1178"/>
      <c r="T101" s="1178"/>
      <c r="U101" s="1179">
        <v>297.8</v>
      </c>
      <c r="V101" s="1179"/>
      <c r="W101" s="1179"/>
      <c r="X101" s="1179"/>
      <c r="Y101" s="1178">
        <v>7.66</v>
      </c>
      <c r="Z101" s="1178"/>
      <c r="AA101" s="1178"/>
      <c r="AB101" s="1178"/>
      <c r="AC101" s="1179">
        <v>268</v>
      </c>
      <c r="AD101" s="1179"/>
      <c r="AE101" s="1179"/>
      <c r="AF101" s="1179"/>
    </row>
    <row r="102" spans="1:32" ht="30" customHeight="1" x14ac:dyDescent="0.3">
      <c r="A102" s="1177" t="s">
        <v>2289</v>
      </c>
      <c r="B102" s="1177"/>
      <c r="C102" s="1177"/>
      <c r="D102" s="1177"/>
      <c r="E102" s="1177"/>
      <c r="F102" s="1177"/>
      <c r="G102" s="1177"/>
      <c r="H102" s="1177"/>
      <c r="I102" s="1177"/>
      <c r="J102" s="1177"/>
      <c r="K102" s="1177"/>
      <c r="L102" s="1177"/>
      <c r="M102" s="1177"/>
      <c r="N102" s="1177"/>
      <c r="O102" s="1177"/>
      <c r="P102" s="1177"/>
      <c r="Q102" s="1178">
        <v>8.85</v>
      </c>
      <c r="R102" s="1178"/>
      <c r="S102" s="1178"/>
      <c r="T102" s="1178"/>
      <c r="U102" s="1179">
        <v>317</v>
      </c>
      <c r="V102" s="1179"/>
      <c r="W102" s="1179"/>
      <c r="X102" s="1179"/>
      <c r="Y102" s="1178">
        <v>7.97</v>
      </c>
      <c r="Z102" s="1178"/>
      <c r="AA102" s="1178"/>
      <c r="AB102" s="1178"/>
      <c r="AC102" s="1179">
        <v>285.3</v>
      </c>
      <c r="AD102" s="1179"/>
      <c r="AE102" s="1179"/>
      <c r="AF102" s="1179"/>
    </row>
    <row r="103" spans="1:32" ht="30" customHeight="1" x14ac:dyDescent="0.3">
      <c r="A103" s="1177" t="s">
        <v>2290</v>
      </c>
      <c r="B103" s="1177"/>
      <c r="C103" s="1177"/>
      <c r="D103" s="1177"/>
      <c r="E103" s="1177"/>
      <c r="F103" s="1177"/>
      <c r="G103" s="1177"/>
      <c r="H103" s="1177"/>
      <c r="I103" s="1177"/>
      <c r="J103" s="1177"/>
      <c r="K103" s="1177"/>
      <c r="L103" s="1177"/>
      <c r="M103" s="1177"/>
      <c r="N103" s="1177"/>
      <c r="O103" s="1177"/>
      <c r="P103" s="1177"/>
      <c r="Q103" s="1178">
        <v>9.25</v>
      </c>
      <c r="R103" s="1178"/>
      <c r="S103" s="1178"/>
      <c r="T103" s="1178"/>
      <c r="U103" s="1179">
        <v>475.4</v>
      </c>
      <c r="V103" s="1179"/>
      <c r="W103" s="1179"/>
      <c r="X103" s="1179"/>
      <c r="Y103" s="1178">
        <v>8.33</v>
      </c>
      <c r="Z103" s="1178"/>
      <c r="AA103" s="1178"/>
      <c r="AB103" s="1178"/>
      <c r="AC103" s="1179">
        <v>436.3</v>
      </c>
      <c r="AD103" s="1179"/>
      <c r="AE103" s="1179"/>
      <c r="AF103" s="1179"/>
    </row>
    <row r="104" spans="1:32" ht="30" customHeight="1" x14ac:dyDescent="0.3">
      <c r="A104" s="1177" t="s">
        <v>2291</v>
      </c>
      <c r="B104" s="1177"/>
      <c r="C104" s="1177"/>
      <c r="D104" s="1177"/>
      <c r="E104" s="1177"/>
      <c r="F104" s="1177"/>
      <c r="G104" s="1177"/>
      <c r="H104" s="1177"/>
      <c r="I104" s="1177"/>
      <c r="J104" s="1177"/>
      <c r="K104" s="1177"/>
      <c r="L104" s="1177"/>
      <c r="M104" s="1177"/>
      <c r="N104" s="1177"/>
      <c r="O104" s="1177"/>
      <c r="P104" s="1177"/>
      <c r="Q104" s="1178">
        <v>8.4</v>
      </c>
      <c r="R104" s="1178"/>
      <c r="S104" s="1178"/>
      <c r="T104" s="1178"/>
      <c r="U104" s="1179">
        <v>385.4</v>
      </c>
      <c r="V104" s="1179"/>
      <c r="W104" s="1179"/>
      <c r="X104" s="1179"/>
      <c r="Y104" s="1178">
        <v>7.56</v>
      </c>
      <c r="Z104" s="1178"/>
      <c r="AA104" s="1178"/>
      <c r="AB104" s="1178"/>
      <c r="AC104" s="1179">
        <v>355.3</v>
      </c>
      <c r="AD104" s="1179"/>
      <c r="AE104" s="1179"/>
      <c r="AF104" s="1179"/>
    </row>
    <row r="105" spans="1:32" ht="30" customHeight="1" x14ac:dyDescent="0.3">
      <c r="A105" s="1177" t="s">
        <v>2338</v>
      </c>
      <c r="B105" s="1177"/>
      <c r="C105" s="1177"/>
      <c r="D105" s="1177"/>
      <c r="E105" s="1177"/>
      <c r="F105" s="1177"/>
      <c r="G105" s="1177"/>
      <c r="H105" s="1177"/>
      <c r="I105" s="1177"/>
      <c r="J105" s="1177"/>
      <c r="K105" s="1177"/>
      <c r="L105" s="1177"/>
      <c r="M105" s="1177"/>
      <c r="N105" s="1177"/>
      <c r="O105" s="1177"/>
      <c r="P105" s="1177"/>
      <c r="Q105" s="1178">
        <v>8.5399999999999991</v>
      </c>
      <c r="R105" s="1178"/>
      <c r="S105" s="1178"/>
      <c r="T105" s="1178"/>
      <c r="U105" s="1179">
        <v>432.8</v>
      </c>
      <c r="V105" s="1179"/>
      <c r="W105" s="1179"/>
      <c r="X105" s="1179"/>
      <c r="Y105" s="1178">
        <v>7.69</v>
      </c>
      <c r="Z105" s="1178"/>
      <c r="AA105" s="1178"/>
      <c r="AB105" s="1178"/>
      <c r="AC105" s="1179">
        <v>397.9</v>
      </c>
      <c r="AD105" s="1179"/>
      <c r="AE105" s="1179"/>
      <c r="AF105" s="1179"/>
    </row>
    <row r="106" spans="1:32" ht="30" customHeight="1" x14ac:dyDescent="0.3">
      <c r="A106" s="1177" t="s">
        <v>2310</v>
      </c>
      <c r="B106" s="1177"/>
      <c r="C106" s="1177"/>
      <c r="D106" s="1177"/>
      <c r="E106" s="1177"/>
      <c r="F106" s="1177"/>
      <c r="G106" s="1177"/>
      <c r="H106" s="1177"/>
      <c r="I106" s="1177"/>
      <c r="J106" s="1177"/>
      <c r="K106" s="1177"/>
      <c r="L106" s="1177"/>
      <c r="M106" s="1177"/>
      <c r="N106" s="1177"/>
      <c r="O106" s="1177"/>
      <c r="P106" s="1177"/>
      <c r="Q106" s="1178">
        <f>AVERAGE(Q99:Q105)</f>
        <v>8.3442857142857143</v>
      </c>
      <c r="R106" s="1178"/>
      <c r="S106" s="1178"/>
      <c r="T106" s="1178"/>
      <c r="U106" s="1179">
        <f>AVERAGE(U99:U105)</f>
        <v>333.67142857142863</v>
      </c>
      <c r="V106" s="1179"/>
      <c r="W106" s="1179"/>
      <c r="X106" s="1179"/>
      <c r="Y106" s="1178">
        <f t="shared" ref="Y106" si="0">AVERAGE(Y99:Y105)</f>
        <v>7.5114285714285716</v>
      </c>
      <c r="Z106" s="1178"/>
      <c r="AA106" s="1178"/>
      <c r="AB106" s="1178"/>
      <c r="AC106" s="1179">
        <f t="shared" ref="AC106" si="1">AVERAGE(AC99:AC105)</f>
        <v>303.89999999999998</v>
      </c>
      <c r="AD106" s="1179"/>
      <c r="AE106" s="1179"/>
      <c r="AF106" s="1179"/>
    </row>
    <row r="107" spans="1:32" ht="52.5" customHeight="1" x14ac:dyDescent="0.3">
      <c r="A107" s="998" t="s">
        <v>2304</v>
      </c>
      <c r="B107" s="998"/>
      <c r="C107" s="998"/>
      <c r="D107" s="998"/>
      <c r="E107" s="998"/>
      <c r="F107" s="998"/>
      <c r="G107" s="998"/>
      <c r="H107" s="998"/>
      <c r="I107" s="998"/>
      <c r="J107" s="998"/>
      <c r="K107" s="998"/>
      <c r="L107" s="998"/>
      <c r="M107" s="998"/>
      <c r="N107" s="998"/>
      <c r="O107" s="998"/>
      <c r="P107" s="998"/>
      <c r="Q107" s="998"/>
      <c r="R107" s="998"/>
      <c r="S107" s="998"/>
      <c r="T107" s="998"/>
      <c r="U107" s="998"/>
      <c r="V107" s="998"/>
      <c r="W107" s="998"/>
      <c r="X107" s="998"/>
      <c r="Y107" s="998"/>
      <c r="Z107" s="998"/>
      <c r="AA107" s="998"/>
      <c r="AB107" s="998"/>
      <c r="AC107" s="998"/>
      <c r="AD107" s="998"/>
      <c r="AE107" s="998"/>
      <c r="AF107" s="998"/>
    </row>
    <row r="108" spans="1:32" ht="41.25" customHeight="1" x14ac:dyDescent="0.3">
      <c r="A108" s="998" t="s">
        <v>2303</v>
      </c>
      <c r="B108" s="998"/>
      <c r="C108" s="998"/>
      <c r="D108" s="998"/>
      <c r="E108" s="998"/>
      <c r="F108" s="998"/>
      <c r="G108" s="998"/>
      <c r="H108" s="998"/>
      <c r="I108" s="998"/>
      <c r="J108" s="998"/>
      <c r="K108" s="998"/>
      <c r="L108" s="998"/>
      <c r="M108" s="998"/>
      <c r="N108" s="998"/>
      <c r="O108" s="998"/>
      <c r="P108" s="998"/>
      <c r="Q108" s="998"/>
      <c r="R108" s="998"/>
      <c r="S108" s="998"/>
      <c r="T108" s="998"/>
      <c r="U108" s="998"/>
      <c r="V108" s="998"/>
      <c r="W108" s="998"/>
      <c r="X108" s="998"/>
      <c r="Y108" s="998"/>
      <c r="Z108" s="998"/>
      <c r="AA108" s="998"/>
      <c r="AB108" s="998"/>
      <c r="AC108" s="998"/>
      <c r="AD108" s="998"/>
      <c r="AE108" s="998"/>
      <c r="AF108" s="998"/>
    </row>
    <row r="109" spans="1:32" ht="30" customHeight="1" x14ac:dyDescent="0.3">
      <c r="A109" s="998" t="s">
        <v>2306</v>
      </c>
      <c r="B109" s="998"/>
      <c r="C109" s="998"/>
      <c r="D109" s="998"/>
      <c r="E109" s="998"/>
      <c r="F109" s="998"/>
      <c r="G109" s="998"/>
      <c r="H109" s="998"/>
      <c r="I109" s="998"/>
      <c r="J109" s="998"/>
      <c r="K109" s="998"/>
      <c r="L109" s="998"/>
      <c r="M109" s="998"/>
      <c r="N109" s="998"/>
      <c r="O109" s="998"/>
      <c r="P109" s="998"/>
      <c r="Q109" s="998"/>
      <c r="R109" s="998"/>
      <c r="S109" s="998"/>
      <c r="T109" s="998"/>
      <c r="U109" s="998"/>
      <c r="V109" s="998"/>
      <c r="W109" s="998"/>
      <c r="X109" s="998"/>
      <c r="Y109" s="998"/>
      <c r="Z109" s="998"/>
      <c r="AA109" s="998"/>
      <c r="AB109" s="998"/>
      <c r="AC109" s="998"/>
      <c r="AD109" s="998"/>
      <c r="AE109" s="998"/>
      <c r="AF109" s="998"/>
    </row>
    <row r="110" spans="1:32" x14ac:dyDescent="0.2">
      <c r="A110" s="38"/>
    </row>
    <row r="111" spans="1:32" ht="32.25" customHeight="1" x14ac:dyDescent="0.3">
      <c r="A111" s="1180" t="s">
        <v>2317</v>
      </c>
      <c r="B111" s="1180"/>
      <c r="C111" s="1180"/>
      <c r="D111" s="1180"/>
      <c r="E111" s="1180"/>
      <c r="F111" s="1180"/>
      <c r="G111" s="1180"/>
      <c r="H111" s="1180"/>
      <c r="I111" s="1180"/>
      <c r="J111" s="1180"/>
      <c r="K111" s="1180"/>
      <c r="L111" s="1180"/>
      <c r="M111" s="1180"/>
      <c r="N111" s="1180"/>
      <c r="O111" s="1180"/>
      <c r="P111" s="1180"/>
      <c r="Q111" s="1180"/>
      <c r="R111" s="1180"/>
      <c r="S111" s="1180"/>
      <c r="T111" s="1180"/>
      <c r="U111" s="1180"/>
      <c r="V111" s="1180"/>
      <c r="W111" s="1180"/>
      <c r="X111" s="1180"/>
      <c r="Y111" s="1180"/>
      <c r="Z111" s="1180"/>
      <c r="AA111" s="1180"/>
      <c r="AB111" s="1180"/>
      <c r="AC111" s="1180"/>
      <c r="AD111" s="1180"/>
      <c r="AE111" s="1180"/>
      <c r="AF111" s="1180"/>
    </row>
    <row r="112" spans="1:32" ht="41.25" customHeight="1" x14ac:dyDescent="0.3">
      <c r="A112" s="1175" t="s">
        <v>2284</v>
      </c>
      <c r="B112" s="1175"/>
      <c r="C112" s="1175"/>
      <c r="D112" s="1175"/>
      <c r="E112" s="1175"/>
      <c r="F112" s="1175"/>
      <c r="G112" s="1175"/>
      <c r="H112" s="1175"/>
      <c r="I112" s="1175"/>
      <c r="J112" s="1175"/>
      <c r="K112" s="1175"/>
      <c r="L112" s="1175"/>
      <c r="M112" s="1175"/>
      <c r="N112" s="1175"/>
      <c r="O112" s="1175"/>
      <c r="P112" s="1175"/>
      <c r="Q112" s="1019" t="s">
        <v>2319</v>
      </c>
      <c r="R112" s="1019"/>
      <c r="S112" s="1019"/>
      <c r="T112" s="1019"/>
      <c r="U112" s="1019"/>
      <c r="V112" s="1019"/>
      <c r="W112" s="1019"/>
      <c r="X112" s="1019"/>
      <c r="Y112" s="1019" t="s">
        <v>2320</v>
      </c>
      <c r="Z112" s="1019"/>
      <c r="AA112" s="1019"/>
      <c r="AB112" s="1019"/>
      <c r="AC112" s="1019"/>
      <c r="AD112" s="1019"/>
      <c r="AE112" s="1019"/>
      <c r="AF112" s="1019"/>
    </row>
    <row r="113" spans="1:32" x14ac:dyDescent="0.3">
      <c r="A113" s="1176" t="s">
        <v>2285</v>
      </c>
      <c r="B113" s="1176"/>
      <c r="C113" s="1176"/>
      <c r="D113" s="1176"/>
      <c r="E113" s="1176"/>
      <c r="F113" s="1176"/>
      <c r="G113" s="1176"/>
      <c r="H113" s="1176"/>
      <c r="I113" s="1176"/>
      <c r="J113" s="1176"/>
      <c r="K113" s="1176"/>
      <c r="L113" s="1176"/>
      <c r="M113" s="1176"/>
      <c r="N113" s="1176"/>
      <c r="O113" s="1176"/>
      <c r="P113" s="1176"/>
      <c r="Q113" s="1019" t="s">
        <v>2293</v>
      </c>
      <c r="R113" s="1019"/>
      <c r="S113" s="1019"/>
      <c r="T113" s="1019"/>
      <c r="U113" s="1019" t="s">
        <v>2294</v>
      </c>
      <c r="V113" s="1019"/>
      <c r="W113" s="1019"/>
      <c r="X113" s="1019"/>
      <c r="Y113" s="1019" t="s">
        <v>2293</v>
      </c>
      <c r="Z113" s="1019"/>
      <c r="AA113" s="1019"/>
      <c r="AB113" s="1019"/>
      <c r="AC113" s="1019" t="s">
        <v>2294</v>
      </c>
      <c r="AD113" s="1019"/>
      <c r="AE113" s="1019"/>
      <c r="AF113" s="1019"/>
    </row>
    <row r="114" spans="1:32" ht="30" customHeight="1" x14ac:dyDescent="0.3">
      <c r="A114" s="1177" t="s">
        <v>2295</v>
      </c>
      <c r="B114" s="1177"/>
      <c r="C114" s="1177"/>
      <c r="D114" s="1177"/>
      <c r="E114" s="1177"/>
      <c r="F114" s="1177"/>
      <c r="G114" s="1177"/>
      <c r="H114" s="1177"/>
      <c r="I114" s="1177"/>
      <c r="J114" s="1177"/>
      <c r="K114" s="1177"/>
      <c r="L114" s="1177"/>
      <c r="M114" s="1177"/>
      <c r="N114" s="1177"/>
      <c r="O114" s="1177"/>
      <c r="P114" s="1177"/>
      <c r="Q114" s="1178">
        <v>5.57</v>
      </c>
      <c r="R114" s="1178"/>
      <c r="S114" s="1178"/>
      <c r="T114" s="1178"/>
      <c r="U114" s="1179">
        <v>193.7</v>
      </c>
      <c r="V114" s="1179"/>
      <c r="W114" s="1179"/>
      <c r="X114" s="1179"/>
      <c r="Y114" s="1178">
        <v>5.01</v>
      </c>
      <c r="Z114" s="1178"/>
      <c r="AA114" s="1178"/>
      <c r="AB114" s="1178"/>
      <c r="AC114" s="1179">
        <v>174.3</v>
      </c>
      <c r="AD114" s="1179"/>
      <c r="AE114" s="1179"/>
      <c r="AF114" s="1179"/>
    </row>
    <row r="115" spans="1:32" ht="30" customHeight="1" x14ac:dyDescent="0.3">
      <c r="A115" s="1177" t="s">
        <v>2296</v>
      </c>
      <c r="B115" s="1177"/>
      <c r="C115" s="1177"/>
      <c r="D115" s="1177"/>
      <c r="E115" s="1177"/>
      <c r="F115" s="1177"/>
      <c r="G115" s="1177"/>
      <c r="H115" s="1177"/>
      <c r="I115" s="1177"/>
      <c r="J115" s="1177"/>
      <c r="K115" s="1177"/>
      <c r="L115" s="1177"/>
      <c r="M115" s="1177"/>
      <c r="N115" s="1177"/>
      <c r="O115" s="1177"/>
      <c r="P115" s="1177"/>
      <c r="Q115" s="1178">
        <v>8.6199999999999992</v>
      </c>
      <c r="R115" s="1178"/>
      <c r="S115" s="1178"/>
      <c r="T115" s="1178"/>
      <c r="U115" s="1179">
        <v>228.3</v>
      </c>
      <c r="V115" s="1179"/>
      <c r="W115" s="1179"/>
      <c r="X115" s="1179"/>
      <c r="Y115" s="1178">
        <v>7.76</v>
      </c>
      <c r="Z115" s="1178"/>
      <c r="AA115" s="1178"/>
      <c r="AB115" s="1178"/>
      <c r="AC115" s="1179">
        <v>205.5</v>
      </c>
      <c r="AD115" s="1179"/>
      <c r="AE115" s="1179"/>
      <c r="AF115" s="1179"/>
    </row>
    <row r="116" spans="1:32" ht="30" customHeight="1" x14ac:dyDescent="0.3">
      <c r="A116" s="1177" t="s">
        <v>2297</v>
      </c>
      <c r="B116" s="1177"/>
      <c r="C116" s="1177"/>
      <c r="D116" s="1177"/>
      <c r="E116" s="1177"/>
      <c r="F116" s="1177"/>
      <c r="G116" s="1177"/>
      <c r="H116" s="1177"/>
      <c r="I116" s="1177"/>
      <c r="J116" s="1177"/>
      <c r="K116" s="1177"/>
      <c r="L116" s="1177"/>
      <c r="M116" s="1177"/>
      <c r="N116" s="1177"/>
      <c r="O116" s="1177"/>
      <c r="P116" s="1177"/>
      <c r="Q116" s="1178">
        <v>8.6199999999999992</v>
      </c>
      <c r="R116" s="1178"/>
      <c r="S116" s="1178"/>
      <c r="T116" s="1178"/>
      <c r="U116" s="1179">
        <v>312.3</v>
      </c>
      <c r="V116" s="1179"/>
      <c r="W116" s="1179"/>
      <c r="X116" s="1179"/>
      <c r="Y116" s="1178">
        <v>7.76</v>
      </c>
      <c r="Z116" s="1178"/>
      <c r="AA116" s="1178"/>
      <c r="AB116" s="1178"/>
      <c r="AC116" s="1179">
        <v>289.5</v>
      </c>
      <c r="AD116" s="1179"/>
      <c r="AE116" s="1179"/>
      <c r="AF116" s="1179"/>
    </row>
    <row r="117" spans="1:32" ht="30" customHeight="1" x14ac:dyDescent="0.3">
      <c r="A117" s="1177" t="s">
        <v>2298</v>
      </c>
      <c r="B117" s="1177"/>
      <c r="C117" s="1177"/>
      <c r="D117" s="1177"/>
      <c r="E117" s="1177"/>
      <c r="F117" s="1177"/>
      <c r="G117" s="1177"/>
      <c r="H117" s="1177"/>
      <c r="I117" s="1177"/>
      <c r="J117" s="1177"/>
      <c r="K117" s="1177"/>
      <c r="L117" s="1177"/>
      <c r="M117" s="1177"/>
      <c r="N117" s="1177"/>
      <c r="O117" s="1177"/>
      <c r="P117" s="1177"/>
      <c r="Q117" s="1178">
        <v>9.86</v>
      </c>
      <c r="R117" s="1178"/>
      <c r="S117" s="1178"/>
      <c r="T117" s="1178"/>
      <c r="U117" s="1179">
        <v>260.89999999999998</v>
      </c>
      <c r="V117" s="1179"/>
      <c r="W117" s="1179"/>
      <c r="X117" s="1179"/>
      <c r="Y117" s="1178">
        <v>8.8699999999999992</v>
      </c>
      <c r="Z117" s="1178"/>
      <c r="AA117" s="1178"/>
      <c r="AB117" s="1178"/>
      <c r="AC117" s="1179">
        <v>234.8</v>
      </c>
      <c r="AD117" s="1179"/>
      <c r="AE117" s="1179"/>
      <c r="AF117" s="1179"/>
    </row>
    <row r="118" spans="1:32" ht="30" customHeight="1" x14ac:dyDescent="0.3">
      <c r="A118" s="1177" t="s">
        <v>2299</v>
      </c>
      <c r="B118" s="1177"/>
      <c r="C118" s="1177"/>
      <c r="D118" s="1177"/>
      <c r="E118" s="1177"/>
      <c r="F118" s="1177"/>
      <c r="G118" s="1177"/>
      <c r="H118" s="1177"/>
      <c r="I118" s="1177"/>
      <c r="J118" s="1177"/>
      <c r="K118" s="1177"/>
      <c r="L118" s="1177"/>
      <c r="M118" s="1177"/>
      <c r="N118" s="1177"/>
      <c r="O118" s="1177"/>
      <c r="P118" s="1177"/>
      <c r="Q118" s="1178">
        <v>9.86</v>
      </c>
      <c r="R118" s="1178"/>
      <c r="S118" s="1178"/>
      <c r="T118" s="1178"/>
      <c r="U118" s="1179">
        <v>344.9</v>
      </c>
      <c r="V118" s="1179"/>
      <c r="W118" s="1179"/>
      <c r="X118" s="1179"/>
      <c r="Y118" s="1178">
        <v>8.8699999999999992</v>
      </c>
      <c r="Z118" s="1178"/>
      <c r="AA118" s="1178"/>
      <c r="AB118" s="1178"/>
      <c r="AC118" s="1179">
        <v>318.8</v>
      </c>
      <c r="AD118" s="1179"/>
      <c r="AE118" s="1179"/>
      <c r="AF118" s="1179"/>
    </row>
    <row r="119" spans="1:32" ht="30" customHeight="1" x14ac:dyDescent="0.3">
      <c r="A119" s="1177" t="s">
        <v>2300</v>
      </c>
      <c r="B119" s="1177"/>
      <c r="C119" s="1177"/>
      <c r="D119" s="1177"/>
      <c r="E119" s="1177"/>
      <c r="F119" s="1177"/>
      <c r="G119" s="1177"/>
      <c r="H119" s="1177"/>
      <c r="I119" s="1177"/>
      <c r="J119" s="1177"/>
      <c r="K119" s="1177"/>
      <c r="L119" s="1177"/>
      <c r="M119" s="1177"/>
      <c r="N119" s="1177"/>
      <c r="O119" s="1177"/>
      <c r="P119" s="1177"/>
      <c r="Q119" s="1178">
        <v>7.29</v>
      </c>
      <c r="R119" s="1178"/>
      <c r="S119" s="1178"/>
      <c r="T119" s="1178"/>
      <c r="U119" s="1179">
        <v>107.8</v>
      </c>
      <c r="V119" s="1179"/>
      <c r="W119" s="1179"/>
      <c r="X119" s="1179"/>
      <c r="Y119" s="1178">
        <v>6.56</v>
      </c>
      <c r="Z119" s="1178"/>
      <c r="AA119" s="1178"/>
      <c r="AB119" s="1178"/>
      <c r="AC119" s="1179">
        <v>97</v>
      </c>
      <c r="AD119" s="1179"/>
      <c r="AE119" s="1179"/>
      <c r="AF119" s="1179"/>
    </row>
    <row r="120" spans="1:32" ht="30" customHeight="1" x14ac:dyDescent="0.3">
      <c r="A120" s="1177" t="s">
        <v>2301</v>
      </c>
      <c r="B120" s="1177"/>
      <c r="C120" s="1177"/>
      <c r="D120" s="1177"/>
      <c r="E120" s="1177"/>
      <c r="F120" s="1177"/>
      <c r="G120" s="1177"/>
      <c r="H120" s="1177"/>
      <c r="I120" s="1177"/>
      <c r="J120" s="1177"/>
      <c r="K120" s="1177"/>
      <c r="L120" s="1177"/>
      <c r="M120" s="1177"/>
      <c r="N120" s="1177"/>
      <c r="O120" s="1177"/>
      <c r="P120" s="1177"/>
      <c r="Q120" s="1178">
        <v>10.24</v>
      </c>
      <c r="R120" s="1178"/>
      <c r="S120" s="1178"/>
      <c r="T120" s="1178"/>
      <c r="U120" s="1179">
        <v>148.1</v>
      </c>
      <c r="V120" s="1179"/>
      <c r="W120" s="1179"/>
      <c r="X120" s="1179"/>
      <c r="Y120" s="1178">
        <v>9.2200000000000006</v>
      </c>
      <c r="Z120" s="1178"/>
      <c r="AA120" s="1178"/>
      <c r="AB120" s="1178"/>
      <c r="AC120" s="1179">
        <v>133.30000000000001</v>
      </c>
      <c r="AD120" s="1179"/>
      <c r="AE120" s="1179"/>
      <c r="AF120" s="1179"/>
    </row>
    <row r="121" spans="1:32" ht="30" customHeight="1" x14ac:dyDescent="0.3">
      <c r="A121" s="1177" t="s">
        <v>2305</v>
      </c>
      <c r="B121" s="1177"/>
      <c r="C121" s="1177"/>
      <c r="D121" s="1177"/>
      <c r="E121" s="1177"/>
      <c r="F121" s="1177"/>
      <c r="G121" s="1177"/>
      <c r="H121" s="1177"/>
      <c r="I121" s="1177"/>
      <c r="J121" s="1177"/>
      <c r="K121" s="1177"/>
      <c r="L121" s="1177"/>
      <c r="M121" s="1177"/>
      <c r="N121" s="1177"/>
      <c r="O121" s="1177"/>
      <c r="P121" s="1177"/>
      <c r="Q121" s="1178">
        <f>AVERAGE(Q114:Q120)</f>
        <v>8.58</v>
      </c>
      <c r="R121" s="1178"/>
      <c r="S121" s="1178"/>
      <c r="T121" s="1178"/>
      <c r="U121" s="1179">
        <f>AVERAGE(U114:U120)</f>
        <v>227.99999999999997</v>
      </c>
      <c r="V121" s="1179"/>
      <c r="W121" s="1179"/>
      <c r="X121" s="1179"/>
      <c r="Y121" s="1178">
        <f t="shared" ref="Y121" si="2">AVERAGE(Y114:Y120)</f>
        <v>7.7214285714285706</v>
      </c>
      <c r="Z121" s="1178"/>
      <c r="AA121" s="1178"/>
      <c r="AB121" s="1178"/>
      <c r="AC121" s="1179">
        <f t="shared" ref="AC121" si="3">AVERAGE(AC114:AC120)</f>
        <v>207.59999999999997</v>
      </c>
      <c r="AD121" s="1179"/>
      <c r="AE121" s="1179"/>
      <c r="AF121" s="1179"/>
    </row>
    <row r="122" spans="1:32" ht="54.75" customHeight="1" x14ac:dyDescent="0.3">
      <c r="A122" s="998" t="s">
        <v>2304</v>
      </c>
      <c r="B122" s="998"/>
      <c r="C122" s="998"/>
      <c r="D122" s="998"/>
      <c r="E122" s="998"/>
      <c r="F122" s="998"/>
      <c r="G122" s="998"/>
      <c r="H122" s="998"/>
      <c r="I122" s="998"/>
      <c r="J122" s="998"/>
      <c r="K122" s="998"/>
      <c r="L122" s="998"/>
      <c r="M122" s="998"/>
      <c r="N122" s="998"/>
      <c r="O122" s="998"/>
      <c r="P122" s="998"/>
      <c r="Q122" s="998"/>
      <c r="R122" s="998"/>
      <c r="S122" s="998"/>
      <c r="T122" s="998"/>
      <c r="U122" s="998"/>
      <c r="V122" s="998"/>
      <c r="W122" s="998"/>
      <c r="X122" s="998"/>
      <c r="Y122" s="998"/>
      <c r="Z122" s="998"/>
      <c r="AA122" s="998"/>
      <c r="AB122" s="998"/>
      <c r="AC122" s="998"/>
      <c r="AD122" s="998"/>
      <c r="AE122" s="998"/>
      <c r="AF122" s="998"/>
    </row>
    <row r="123" spans="1:32" ht="43.5" customHeight="1" x14ac:dyDescent="0.3">
      <c r="A123" s="998" t="s">
        <v>2303</v>
      </c>
      <c r="B123" s="998"/>
      <c r="C123" s="998"/>
      <c r="D123" s="998"/>
      <c r="E123" s="998"/>
      <c r="F123" s="998"/>
      <c r="G123" s="998"/>
      <c r="H123" s="998"/>
      <c r="I123" s="998"/>
      <c r="J123" s="998"/>
      <c r="K123" s="998"/>
      <c r="L123" s="998"/>
      <c r="M123" s="998"/>
      <c r="N123" s="998"/>
      <c r="O123" s="998"/>
      <c r="P123" s="998"/>
      <c r="Q123" s="998"/>
      <c r="R123" s="998"/>
      <c r="S123" s="998"/>
      <c r="T123" s="998"/>
      <c r="U123" s="998"/>
      <c r="V123" s="998"/>
      <c r="W123" s="998"/>
      <c r="X123" s="998"/>
      <c r="Y123" s="998"/>
      <c r="Z123" s="998"/>
      <c r="AA123" s="998"/>
      <c r="AB123" s="998"/>
      <c r="AC123" s="998"/>
      <c r="AD123" s="998"/>
      <c r="AE123" s="998"/>
      <c r="AF123" s="998"/>
    </row>
    <row r="124" spans="1:32" ht="31.5" customHeight="1" x14ac:dyDescent="0.3">
      <c r="A124" s="998" t="s">
        <v>2306</v>
      </c>
      <c r="B124" s="998"/>
      <c r="C124" s="998"/>
      <c r="D124" s="998"/>
      <c r="E124" s="998"/>
      <c r="F124" s="998"/>
      <c r="G124" s="998"/>
      <c r="H124" s="998"/>
      <c r="I124" s="998"/>
      <c r="J124" s="998"/>
      <c r="K124" s="998"/>
      <c r="L124" s="998"/>
      <c r="M124" s="998"/>
      <c r="N124" s="998"/>
      <c r="O124" s="998"/>
      <c r="P124" s="998"/>
      <c r="Q124" s="998"/>
      <c r="R124" s="998"/>
      <c r="S124" s="998"/>
      <c r="T124" s="998"/>
      <c r="U124" s="998"/>
      <c r="V124" s="998"/>
      <c r="W124" s="998"/>
      <c r="X124" s="998"/>
      <c r="Y124" s="998"/>
      <c r="Z124" s="998"/>
      <c r="AA124" s="998"/>
      <c r="AB124" s="998"/>
      <c r="AC124" s="998"/>
      <c r="AD124" s="998"/>
      <c r="AE124" s="998"/>
      <c r="AF124" s="998"/>
    </row>
    <row r="125" spans="1:32" x14ac:dyDescent="0.2">
      <c r="A125" s="38"/>
    </row>
    <row r="126" spans="1:32" x14ac:dyDescent="0.3">
      <c r="A126" s="1141" t="s">
        <v>2325</v>
      </c>
      <c r="B126" s="1141"/>
      <c r="C126" s="1141"/>
      <c r="D126" s="1141"/>
      <c r="E126" s="1141"/>
      <c r="F126" s="1141"/>
      <c r="G126" s="1141"/>
      <c r="H126" s="1141"/>
      <c r="I126" s="1141"/>
      <c r="J126" s="1141"/>
      <c r="K126" s="1141"/>
      <c r="L126" s="1141"/>
      <c r="M126" s="1141"/>
      <c r="N126" s="1141"/>
      <c r="O126" s="1141"/>
      <c r="P126" s="1141"/>
      <c r="Q126" s="1141"/>
      <c r="R126" s="1141"/>
      <c r="S126" s="1141"/>
      <c r="T126" s="1141"/>
      <c r="U126" s="1141"/>
      <c r="V126" s="1141"/>
      <c r="W126" s="1141"/>
      <c r="X126" s="1141"/>
      <c r="Y126" s="1141"/>
      <c r="Z126" s="1141"/>
      <c r="AA126" s="1141"/>
      <c r="AB126" s="1141"/>
      <c r="AC126" s="1141"/>
      <c r="AD126" s="1141"/>
      <c r="AE126" s="1141"/>
      <c r="AF126" s="1141"/>
    </row>
    <row r="128" spans="1:32" x14ac:dyDescent="0.3">
      <c r="B128" s="51" t="s">
        <v>2307</v>
      </c>
    </row>
    <row r="130" spans="2:32" ht="34.5" customHeight="1" x14ac:dyDescent="0.3">
      <c r="B130" s="1181" t="s">
        <v>2704</v>
      </c>
      <c r="C130" s="1182"/>
      <c r="D130" s="1182"/>
      <c r="E130" s="1182"/>
      <c r="F130" s="1182"/>
      <c r="G130" s="1182"/>
      <c r="H130" s="1182"/>
      <c r="I130" s="1182"/>
      <c r="J130" s="1182"/>
      <c r="K130" s="1182"/>
      <c r="L130" s="1182"/>
      <c r="M130" s="1182"/>
      <c r="N130" s="1182"/>
      <c r="O130" s="1182"/>
      <c r="P130" s="1182"/>
      <c r="Q130" s="1182"/>
      <c r="R130" s="1183" t="s">
        <v>2782</v>
      </c>
      <c r="S130" s="1184"/>
      <c r="T130" s="1184"/>
      <c r="U130" s="1184"/>
      <c r="V130" s="1185"/>
      <c r="W130" s="1183" t="s">
        <v>17</v>
      </c>
      <c r="X130" s="1184"/>
      <c r="Y130" s="1184"/>
      <c r="Z130" s="1184"/>
      <c r="AA130" s="1185"/>
      <c r="AB130" s="1183" t="s">
        <v>1826</v>
      </c>
      <c r="AC130" s="1184"/>
      <c r="AD130" s="1184"/>
      <c r="AE130" s="1184"/>
      <c r="AF130" s="1185"/>
    </row>
    <row r="131" spans="2:32" ht="30" customHeight="1" x14ac:dyDescent="0.3">
      <c r="B131" s="1186" t="s">
        <v>2286</v>
      </c>
      <c r="C131" s="1186"/>
      <c r="D131" s="1186"/>
      <c r="E131" s="1186"/>
      <c r="F131" s="1186"/>
      <c r="G131" s="1186"/>
      <c r="H131" s="1186"/>
      <c r="I131" s="1186"/>
      <c r="J131" s="1186"/>
      <c r="K131" s="1186"/>
      <c r="L131" s="1186"/>
      <c r="M131" s="1186"/>
      <c r="N131" s="1186"/>
      <c r="O131" s="1186"/>
      <c r="P131" s="1186"/>
      <c r="Q131" s="1186"/>
      <c r="R131" s="1187">
        <f>ROUND(W131*$Q$84/$Q$83,3)</f>
        <v>4.0000000000000001E-3</v>
      </c>
      <c r="S131" s="1188"/>
      <c r="T131" s="1188"/>
      <c r="U131" s="1188"/>
      <c r="V131" s="1189"/>
      <c r="W131" s="1190">
        <f t="shared" ref="W131:W137" si="4">ROUND(((Q99*25.4+U99)-(Y99*25.4+AC99))*$Q$82,2)</f>
        <v>36.67</v>
      </c>
      <c r="X131" s="1191"/>
      <c r="Y131" s="1191"/>
      <c r="Z131" s="1191"/>
      <c r="AA131" s="1192"/>
      <c r="AB131" s="1193">
        <f>ROUND(W131*$Q$85,3)</f>
        <v>513.38</v>
      </c>
      <c r="AC131" s="1194"/>
      <c r="AD131" s="1194"/>
      <c r="AE131" s="1194"/>
      <c r="AF131" s="1195"/>
    </row>
    <row r="132" spans="2:32" ht="30" customHeight="1" x14ac:dyDescent="0.3">
      <c r="B132" s="1186" t="s">
        <v>2287</v>
      </c>
      <c r="C132" s="1186"/>
      <c r="D132" s="1186"/>
      <c r="E132" s="1186"/>
      <c r="F132" s="1186"/>
      <c r="G132" s="1186"/>
      <c r="H132" s="1186"/>
      <c r="I132" s="1186"/>
      <c r="J132" s="1186"/>
      <c r="K132" s="1186"/>
      <c r="L132" s="1186"/>
      <c r="M132" s="1186"/>
      <c r="N132" s="1186"/>
      <c r="O132" s="1186"/>
      <c r="P132" s="1186"/>
      <c r="Q132" s="1186"/>
      <c r="R132" s="1187">
        <f t="shared" ref="R132:R136" si="5">ROUND(W132*$Q$84/$Q$83,3)</f>
        <v>5.0000000000000001E-3</v>
      </c>
      <c r="S132" s="1188"/>
      <c r="T132" s="1188"/>
      <c r="U132" s="1188"/>
      <c r="V132" s="1189"/>
      <c r="W132" s="1190">
        <f>ROUND(((Q100*25.4+U100)-(Y100*25.4+AC100))*$Q$82,2)</f>
        <v>43.97</v>
      </c>
      <c r="X132" s="1191"/>
      <c r="Y132" s="1191"/>
      <c r="Z132" s="1191"/>
      <c r="AA132" s="1192"/>
      <c r="AB132" s="1193">
        <f t="shared" ref="AB132:AB138" si="6">ROUND(W132*$Q$85,3)</f>
        <v>615.58000000000004</v>
      </c>
      <c r="AC132" s="1194"/>
      <c r="AD132" s="1194"/>
      <c r="AE132" s="1194"/>
      <c r="AF132" s="1195"/>
    </row>
    <row r="133" spans="2:32" ht="30" customHeight="1" x14ac:dyDescent="0.3">
      <c r="B133" s="1186" t="s">
        <v>2288</v>
      </c>
      <c r="C133" s="1186"/>
      <c r="D133" s="1186"/>
      <c r="E133" s="1186"/>
      <c r="F133" s="1186"/>
      <c r="G133" s="1186"/>
      <c r="H133" s="1186"/>
      <c r="I133" s="1186"/>
      <c r="J133" s="1186"/>
      <c r="K133" s="1186"/>
      <c r="L133" s="1186"/>
      <c r="M133" s="1186"/>
      <c r="N133" s="1186"/>
      <c r="O133" s="1186"/>
      <c r="P133" s="1186"/>
      <c r="Q133" s="1186"/>
      <c r="R133" s="1187">
        <f t="shared" si="5"/>
        <v>6.0000000000000001E-3</v>
      </c>
      <c r="S133" s="1188"/>
      <c r="T133" s="1188"/>
      <c r="U133" s="1188"/>
      <c r="V133" s="1189"/>
      <c r="W133" s="1190">
        <f t="shared" si="4"/>
        <v>51.39</v>
      </c>
      <c r="X133" s="1191"/>
      <c r="Y133" s="1191"/>
      <c r="Z133" s="1191"/>
      <c r="AA133" s="1192"/>
      <c r="AB133" s="1193">
        <f t="shared" si="6"/>
        <v>719.46</v>
      </c>
      <c r="AC133" s="1194"/>
      <c r="AD133" s="1194"/>
      <c r="AE133" s="1194"/>
      <c r="AF133" s="1195"/>
    </row>
    <row r="134" spans="2:32" ht="30" customHeight="1" x14ac:dyDescent="0.3">
      <c r="B134" s="1186" t="s">
        <v>2289</v>
      </c>
      <c r="C134" s="1186"/>
      <c r="D134" s="1186"/>
      <c r="E134" s="1186"/>
      <c r="F134" s="1186"/>
      <c r="G134" s="1186"/>
      <c r="H134" s="1186"/>
      <c r="I134" s="1186"/>
      <c r="J134" s="1186"/>
      <c r="K134" s="1186"/>
      <c r="L134" s="1186"/>
      <c r="M134" s="1186"/>
      <c r="N134" s="1186"/>
      <c r="O134" s="1186"/>
      <c r="P134" s="1186"/>
      <c r="Q134" s="1186"/>
      <c r="R134" s="1187">
        <f t="shared" si="5"/>
        <v>6.0000000000000001E-3</v>
      </c>
      <c r="S134" s="1188"/>
      <c r="T134" s="1188"/>
      <c r="U134" s="1188"/>
      <c r="V134" s="1189"/>
      <c r="W134" s="1190">
        <f t="shared" si="4"/>
        <v>54.05</v>
      </c>
      <c r="X134" s="1191"/>
      <c r="Y134" s="1191"/>
      <c r="Z134" s="1191"/>
      <c r="AA134" s="1192"/>
      <c r="AB134" s="1193">
        <f t="shared" si="6"/>
        <v>756.7</v>
      </c>
      <c r="AC134" s="1194"/>
      <c r="AD134" s="1194"/>
      <c r="AE134" s="1194"/>
      <c r="AF134" s="1195"/>
    </row>
    <row r="135" spans="2:32" ht="30" customHeight="1" x14ac:dyDescent="0.3">
      <c r="B135" s="1186" t="s">
        <v>2290</v>
      </c>
      <c r="C135" s="1186"/>
      <c r="D135" s="1186"/>
      <c r="E135" s="1186"/>
      <c r="F135" s="1186"/>
      <c r="G135" s="1186"/>
      <c r="H135" s="1186"/>
      <c r="I135" s="1186"/>
      <c r="J135" s="1186"/>
      <c r="K135" s="1186"/>
      <c r="L135" s="1186"/>
      <c r="M135" s="1186"/>
      <c r="N135" s="1186"/>
      <c r="O135" s="1186"/>
      <c r="P135" s="1186"/>
      <c r="Q135" s="1186"/>
      <c r="R135" s="1187">
        <f t="shared" si="5"/>
        <v>7.0000000000000001E-3</v>
      </c>
      <c r="S135" s="1188"/>
      <c r="T135" s="1188"/>
      <c r="U135" s="1188"/>
      <c r="V135" s="1189"/>
      <c r="W135" s="1190">
        <f t="shared" si="4"/>
        <v>62.47</v>
      </c>
      <c r="X135" s="1191"/>
      <c r="Y135" s="1191"/>
      <c r="Z135" s="1191"/>
      <c r="AA135" s="1192"/>
      <c r="AB135" s="1193">
        <f t="shared" si="6"/>
        <v>874.58</v>
      </c>
      <c r="AC135" s="1194"/>
      <c r="AD135" s="1194"/>
      <c r="AE135" s="1194"/>
      <c r="AF135" s="1195"/>
    </row>
    <row r="136" spans="2:32" ht="30" customHeight="1" x14ac:dyDescent="0.3">
      <c r="B136" s="1186" t="s">
        <v>2291</v>
      </c>
      <c r="C136" s="1186"/>
      <c r="D136" s="1186"/>
      <c r="E136" s="1186"/>
      <c r="F136" s="1186"/>
      <c r="G136" s="1186"/>
      <c r="H136" s="1186"/>
      <c r="I136" s="1186"/>
      <c r="J136" s="1186"/>
      <c r="K136" s="1186"/>
      <c r="L136" s="1186"/>
      <c r="M136" s="1186"/>
      <c r="N136" s="1186"/>
      <c r="O136" s="1186"/>
      <c r="P136" s="1186"/>
      <c r="Q136" s="1186"/>
      <c r="R136" s="1187">
        <f t="shared" si="5"/>
        <v>6.0000000000000001E-3</v>
      </c>
      <c r="S136" s="1188"/>
      <c r="T136" s="1188"/>
      <c r="U136" s="1188"/>
      <c r="V136" s="1189"/>
      <c r="W136" s="1190">
        <f t="shared" si="4"/>
        <v>51.44</v>
      </c>
      <c r="X136" s="1191"/>
      <c r="Y136" s="1191"/>
      <c r="Z136" s="1191"/>
      <c r="AA136" s="1192"/>
      <c r="AB136" s="1193">
        <f t="shared" si="6"/>
        <v>720.16</v>
      </c>
      <c r="AC136" s="1194"/>
      <c r="AD136" s="1194"/>
      <c r="AE136" s="1194"/>
      <c r="AF136" s="1195"/>
    </row>
    <row r="137" spans="2:32" ht="30" customHeight="1" x14ac:dyDescent="0.3">
      <c r="B137" s="1186" t="s">
        <v>2338</v>
      </c>
      <c r="C137" s="1186"/>
      <c r="D137" s="1186"/>
      <c r="E137" s="1186"/>
      <c r="F137" s="1186"/>
      <c r="G137" s="1186"/>
      <c r="H137" s="1186"/>
      <c r="I137" s="1186"/>
      <c r="J137" s="1186"/>
      <c r="K137" s="1186"/>
      <c r="L137" s="1186"/>
      <c r="M137" s="1186"/>
      <c r="N137" s="1186"/>
      <c r="O137" s="1186"/>
      <c r="P137" s="1186"/>
      <c r="Q137" s="1186"/>
      <c r="R137" s="1187">
        <f>ROUND(W137*$Q$84/$Q$83,3)</f>
        <v>6.0000000000000001E-3</v>
      </c>
      <c r="S137" s="1188"/>
      <c r="T137" s="1188"/>
      <c r="U137" s="1188"/>
      <c r="V137" s="1189"/>
      <c r="W137" s="1190">
        <f t="shared" si="4"/>
        <v>56.49</v>
      </c>
      <c r="X137" s="1191"/>
      <c r="Y137" s="1191"/>
      <c r="Z137" s="1191"/>
      <c r="AA137" s="1192"/>
      <c r="AB137" s="1193">
        <f>ROUND(W137*$Q$85,3)</f>
        <v>790.86</v>
      </c>
      <c r="AC137" s="1194"/>
      <c r="AD137" s="1194"/>
      <c r="AE137" s="1194"/>
      <c r="AF137" s="1195"/>
    </row>
    <row r="138" spans="2:32" ht="30" customHeight="1" x14ac:dyDescent="0.3">
      <c r="B138" s="1186" t="s">
        <v>2292</v>
      </c>
      <c r="C138" s="1186"/>
      <c r="D138" s="1186"/>
      <c r="E138" s="1186"/>
      <c r="F138" s="1186"/>
      <c r="G138" s="1186"/>
      <c r="H138" s="1186"/>
      <c r="I138" s="1186"/>
      <c r="J138" s="1186"/>
      <c r="K138" s="1186"/>
      <c r="L138" s="1186"/>
      <c r="M138" s="1186"/>
      <c r="N138" s="1186"/>
      <c r="O138" s="1186"/>
      <c r="P138" s="1186"/>
      <c r="Q138" s="1186"/>
      <c r="R138" s="1187">
        <f>ROUND(W138*$Q$84/$Q$83,3)</f>
        <v>6.0000000000000001E-3</v>
      </c>
      <c r="S138" s="1188"/>
      <c r="T138" s="1188"/>
      <c r="U138" s="1188"/>
      <c r="V138" s="1189"/>
      <c r="W138" s="1190">
        <f>ROUND(((Q106*25.4+U106)-(Y106*25.4+AC106))*$Q$82,2)</f>
        <v>50.93</v>
      </c>
      <c r="X138" s="1191"/>
      <c r="Y138" s="1191"/>
      <c r="Z138" s="1191"/>
      <c r="AA138" s="1192"/>
      <c r="AB138" s="1193">
        <f t="shared" si="6"/>
        <v>713.02</v>
      </c>
      <c r="AC138" s="1194"/>
      <c r="AD138" s="1194"/>
      <c r="AE138" s="1194"/>
      <c r="AF138" s="1195"/>
    </row>
    <row r="140" spans="2:32" x14ac:dyDescent="0.3">
      <c r="B140" s="51" t="s">
        <v>2311</v>
      </c>
    </row>
    <row r="142" spans="2:32" ht="34.5" customHeight="1" x14ac:dyDescent="0.3">
      <c r="B142" s="1181" t="s">
        <v>2326</v>
      </c>
      <c r="C142" s="1182"/>
      <c r="D142" s="1182"/>
      <c r="E142" s="1182"/>
      <c r="F142" s="1182"/>
      <c r="G142" s="1182"/>
      <c r="H142" s="1182"/>
      <c r="I142" s="1182"/>
      <c r="J142" s="1182"/>
      <c r="K142" s="1182"/>
      <c r="L142" s="1182"/>
      <c r="M142" s="1182"/>
      <c r="N142" s="1182"/>
      <c r="O142" s="1182"/>
      <c r="P142" s="1182"/>
      <c r="Q142" s="1182"/>
      <c r="R142" s="1183" t="s">
        <v>2782</v>
      </c>
      <c r="S142" s="1184"/>
      <c r="T142" s="1184"/>
      <c r="U142" s="1184"/>
      <c r="V142" s="1185"/>
      <c r="W142" s="1183" t="s">
        <v>17</v>
      </c>
      <c r="X142" s="1184"/>
      <c r="Y142" s="1184"/>
      <c r="Z142" s="1184"/>
      <c r="AA142" s="1185"/>
      <c r="AB142" s="1183" t="s">
        <v>1826</v>
      </c>
      <c r="AC142" s="1184"/>
      <c r="AD142" s="1184"/>
      <c r="AE142" s="1184"/>
      <c r="AF142" s="1185"/>
    </row>
    <row r="143" spans="2:32" ht="30" customHeight="1" x14ac:dyDescent="0.3">
      <c r="B143" s="1186" t="s">
        <v>2295</v>
      </c>
      <c r="C143" s="1186"/>
      <c r="D143" s="1186"/>
      <c r="E143" s="1186"/>
      <c r="F143" s="1186"/>
      <c r="G143" s="1186"/>
      <c r="H143" s="1186"/>
      <c r="I143" s="1186"/>
      <c r="J143" s="1186"/>
      <c r="K143" s="1186"/>
      <c r="L143" s="1186"/>
      <c r="M143" s="1186"/>
      <c r="N143" s="1186"/>
      <c r="O143" s="1186"/>
      <c r="P143" s="1186"/>
      <c r="Q143" s="1186"/>
      <c r="R143" s="1187">
        <f>ROUND(W143*$Q$84/$Q$83,3)</f>
        <v>4.0000000000000001E-3</v>
      </c>
      <c r="S143" s="1188"/>
      <c r="T143" s="1188"/>
      <c r="U143" s="1188"/>
      <c r="V143" s="1189"/>
      <c r="W143" s="1190">
        <f t="shared" ref="W143:W149" si="7">ROUND(((Q114*26+U114)-(Y114*26+AC114))*$Q$82,2)</f>
        <v>33.96</v>
      </c>
      <c r="X143" s="1191"/>
      <c r="Y143" s="1191"/>
      <c r="Z143" s="1191"/>
      <c r="AA143" s="1192"/>
      <c r="AB143" s="1193">
        <f>ROUND(W143*$Q$86,3)</f>
        <v>577.32000000000005</v>
      </c>
      <c r="AC143" s="1194"/>
      <c r="AD143" s="1194"/>
      <c r="AE143" s="1194"/>
      <c r="AF143" s="1195"/>
    </row>
    <row r="144" spans="2:32" ht="30" customHeight="1" x14ac:dyDescent="0.3">
      <c r="B144" s="1186" t="s">
        <v>2296</v>
      </c>
      <c r="C144" s="1186"/>
      <c r="D144" s="1186"/>
      <c r="E144" s="1186"/>
      <c r="F144" s="1186"/>
      <c r="G144" s="1186"/>
      <c r="H144" s="1186"/>
      <c r="I144" s="1186"/>
      <c r="J144" s="1186"/>
      <c r="K144" s="1186"/>
      <c r="L144" s="1186"/>
      <c r="M144" s="1186"/>
      <c r="N144" s="1186"/>
      <c r="O144" s="1186"/>
      <c r="P144" s="1186"/>
      <c r="Q144" s="1186"/>
      <c r="R144" s="1187">
        <f t="shared" ref="R144:R147" si="8">ROUND(W144*$Q$84/$Q$83,3)</f>
        <v>5.0000000000000001E-3</v>
      </c>
      <c r="S144" s="1188"/>
      <c r="T144" s="1188"/>
      <c r="U144" s="1188"/>
      <c r="V144" s="1189"/>
      <c r="W144" s="1190">
        <f t="shared" si="7"/>
        <v>45.16</v>
      </c>
      <c r="X144" s="1191"/>
      <c r="Y144" s="1191"/>
      <c r="Z144" s="1191"/>
      <c r="AA144" s="1192"/>
      <c r="AB144" s="1193">
        <f t="shared" ref="AB144:AB149" si="9">ROUND(W144*$Q$86,3)</f>
        <v>767.72</v>
      </c>
      <c r="AC144" s="1194"/>
      <c r="AD144" s="1194"/>
      <c r="AE144" s="1194"/>
      <c r="AF144" s="1195"/>
    </row>
    <row r="145" spans="2:32" ht="30" customHeight="1" x14ac:dyDescent="0.3">
      <c r="B145" s="1186" t="s">
        <v>2297</v>
      </c>
      <c r="C145" s="1186"/>
      <c r="D145" s="1186"/>
      <c r="E145" s="1186"/>
      <c r="F145" s="1186"/>
      <c r="G145" s="1186"/>
      <c r="H145" s="1186"/>
      <c r="I145" s="1186"/>
      <c r="J145" s="1186"/>
      <c r="K145" s="1186"/>
      <c r="L145" s="1186"/>
      <c r="M145" s="1186"/>
      <c r="N145" s="1186"/>
      <c r="O145" s="1186"/>
      <c r="P145" s="1186"/>
      <c r="Q145" s="1186"/>
      <c r="R145" s="1187">
        <f t="shared" si="8"/>
        <v>5.0000000000000001E-3</v>
      </c>
      <c r="S145" s="1188"/>
      <c r="T145" s="1188"/>
      <c r="U145" s="1188"/>
      <c r="V145" s="1189"/>
      <c r="W145" s="1190">
        <f t="shared" si="7"/>
        <v>45.16</v>
      </c>
      <c r="X145" s="1191"/>
      <c r="Y145" s="1191"/>
      <c r="Z145" s="1191"/>
      <c r="AA145" s="1192"/>
      <c r="AB145" s="1193">
        <f>ROUND(W145*$Q$86,3)</f>
        <v>767.72</v>
      </c>
      <c r="AC145" s="1194"/>
      <c r="AD145" s="1194"/>
      <c r="AE145" s="1194"/>
      <c r="AF145" s="1195"/>
    </row>
    <row r="146" spans="2:32" ht="30" customHeight="1" x14ac:dyDescent="0.3">
      <c r="B146" s="1186" t="s">
        <v>2298</v>
      </c>
      <c r="C146" s="1186"/>
      <c r="D146" s="1186"/>
      <c r="E146" s="1186"/>
      <c r="F146" s="1186"/>
      <c r="G146" s="1186"/>
      <c r="H146" s="1186"/>
      <c r="I146" s="1186"/>
      <c r="J146" s="1186"/>
      <c r="K146" s="1186"/>
      <c r="L146" s="1186"/>
      <c r="M146" s="1186"/>
      <c r="N146" s="1186"/>
      <c r="O146" s="1186"/>
      <c r="P146" s="1186"/>
      <c r="Q146" s="1186"/>
      <c r="R146" s="1187">
        <f t="shared" si="8"/>
        <v>6.0000000000000001E-3</v>
      </c>
      <c r="S146" s="1188"/>
      <c r="T146" s="1188"/>
      <c r="U146" s="1188"/>
      <c r="V146" s="1189"/>
      <c r="W146" s="1190">
        <f t="shared" si="7"/>
        <v>51.84</v>
      </c>
      <c r="X146" s="1191"/>
      <c r="Y146" s="1191"/>
      <c r="Z146" s="1191"/>
      <c r="AA146" s="1192"/>
      <c r="AB146" s="1193">
        <f t="shared" si="9"/>
        <v>881.28</v>
      </c>
      <c r="AC146" s="1194"/>
      <c r="AD146" s="1194"/>
      <c r="AE146" s="1194"/>
      <c r="AF146" s="1195"/>
    </row>
    <row r="147" spans="2:32" ht="30" customHeight="1" x14ac:dyDescent="0.3">
      <c r="B147" s="1186" t="s">
        <v>2299</v>
      </c>
      <c r="C147" s="1186"/>
      <c r="D147" s="1186"/>
      <c r="E147" s="1186"/>
      <c r="F147" s="1186"/>
      <c r="G147" s="1186"/>
      <c r="H147" s="1186"/>
      <c r="I147" s="1186"/>
      <c r="J147" s="1186"/>
      <c r="K147" s="1186"/>
      <c r="L147" s="1186"/>
      <c r="M147" s="1186"/>
      <c r="N147" s="1186"/>
      <c r="O147" s="1186"/>
      <c r="P147" s="1186"/>
      <c r="Q147" s="1186"/>
      <c r="R147" s="1187">
        <f t="shared" si="8"/>
        <v>6.0000000000000001E-3</v>
      </c>
      <c r="S147" s="1188"/>
      <c r="T147" s="1188"/>
      <c r="U147" s="1188"/>
      <c r="V147" s="1189"/>
      <c r="W147" s="1190">
        <f t="shared" si="7"/>
        <v>51.84</v>
      </c>
      <c r="X147" s="1191"/>
      <c r="Y147" s="1191"/>
      <c r="Z147" s="1191"/>
      <c r="AA147" s="1192"/>
      <c r="AB147" s="1193">
        <f t="shared" si="9"/>
        <v>881.28</v>
      </c>
      <c r="AC147" s="1194"/>
      <c r="AD147" s="1194"/>
      <c r="AE147" s="1194"/>
      <c r="AF147" s="1195"/>
    </row>
    <row r="148" spans="2:32" ht="30" customHeight="1" x14ac:dyDescent="0.3">
      <c r="B148" s="1186" t="s">
        <v>2300</v>
      </c>
      <c r="C148" s="1186"/>
      <c r="D148" s="1186"/>
      <c r="E148" s="1186"/>
      <c r="F148" s="1186"/>
      <c r="G148" s="1186"/>
      <c r="H148" s="1186"/>
      <c r="I148" s="1186"/>
      <c r="J148" s="1186"/>
      <c r="K148" s="1186"/>
      <c r="L148" s="1186"/>
      <c r="M148" s="1186"/>
      <c r="N148" s="1186"/>
      <c r="O148" s="1186"/>
      <c r="P148" s="1186"/>
      <c r="Q148" s="1186"/>
      <c r="R148" s="1187">
        <f>ROUND(W148*$Q$84/$Q$83,3)</f>
        <v>3.0000000000000001E-3</v>
      </c>
      <c r="S148" s="1188"/>
      <c r="T148" s="1188"/>
      <c r="U148" s="1188"/>
      <c r="V148" s="1189"/>
      <c r="W148" s="1190">
        <f t="shared" si="7"/>
        <v>29.78</v>
      </c>
      <c r="X148" s="1191"/>
      <c r="Y148" s="1191"/>
      <c r="Z148" s="1191"/>
      <c r="AA148" s="1192"/>
      <c r="AB148" s="1193">
        <f t="shared" si="9"/>
        <v>506.26</v>
      </c>
      <c r="AC148" s="1194"/>
      <c r="AD148" s="1194"/>
      <c r="AE148" s="1194"/>
      <c r="AF148" s="1195"/>
    </row>
    <row r="149" spans="2:32" ht="30" customHeight="1" x14ac:dyDescent="0.3">
      <c r="B149" s="1186" t="s">
        <v>2301</v>
      </c>
      <c r="C149" s="1186"/>
      <c r="D149" s="1186"/>
      <c r="E149" s="1186"/>
      <c r="F149" s="1186"/>
      <c r="G149" s="1186"/>
      <c r="H149" s="1186"/>
      <c r="I149" s="1186"/>
      <c r="J149" s="1186"/>
      <c r="K149" s="1186"/>
      <c r="L149" s="1186"/>
      <c r="M149" s="1186"/>
      <c r="N149" s="1186"/>
      <c r="O149" s="1186"/>
      <c r="P149" s="1186"/>
      <c r="Q149" s="1186"/>
      <c r="R149" s="1187">
        <f>ROUND(W149*$Q$84/$Q$83,3)</f>
        <v>5.0000000000000001E-3</v>
      </c>
      <c r="S149" s="1188"/>
      <c r="T149" s="1188"/>
      <c r="U149" s="1188"/>
      <c r="V149" s="1189"/>
      <c r="W149" s="1190">
        <f t="shared" si="7"/>
        <v>41.32</v>
      </c>
      <c r="X149" s="1191"/>
      <c r="Y149" s="1191"/>
      <c r="Z149" s="1191"/>
      <c r="AA149" s="1192"/>
      <c r="AB149" s="1193">
        <f t="shared" si="9"/>
        <v>702.44</v>
      </c>
      <c r="AC149" s="1194"/>
      <c r="AD149" s="1194"/>
      <c r="AE149" s="1194"/>
      <c r="AF149" s="1195"/>
    </row>
    <row r="150" spans="2:32" ht="30" customHeight="1" x14ac:dyDescent="0.3">
      <c r="B150" s="1186" t="s">
        <v>2302</v>
      </c>
      <c r="C150" s="1186"/>
      <c r="D150" s="1186"/>
      <c r="E150" s="1186"/>
      <c r="F150" s="1186"/>
      <c r="G150" s="1186"/>
      <c r="H150" s="1186"/>
      <c r="I150" s="1186"/>
      <c r="J150" s="1186"/>
      <c r="K150" s="1186"/>
      <c r="L150" s="1186"/>
      <c r="M150" s="1186"/>
      <c r="N150" s="1186"/>
      <c r="O150" s="1186"/>
      <c r="P150" s="1186"/>
      <c r="Q150" s="1186"/>
      <c r="R150" s="1187">
        <f>ROUND(W150*$Q$84/$Q$83,3)</f>
        <v>5.0000000000000001E-3</v>
      </c>
      <c r="S150" s="1188"/>
      <c r="T150" s="1188"/>
      <c r="U150" s="1188"/>
      <c r="V150" s="1189"/>
      <c r="W150" s="1190">
        <f>ROUND(((Q121*26+U121)-(Y121*26+AC121))*$Q$82,2)</f>
        <v>42.72</v>
      </c>
      <c r="X150" s="1191"/>
      <c r="Y150" s="1191"/>
      <c r="Z150" s="1191"/>
      <c r="AA150" s="1192"/>
      <c r="AB150" s="1193">
        <f>ROUND(W150*$Q$86,3)</f>
        <v>726.24</v>
      </c>
      <c r="AC150" s="1194"/>
      <c r="AD150" s="1194"/>
      <c r="AE150" s="1194"/>
      <c r="AF150" s="1195"/>
    </row>
    <row r="152" spans="2:32" x14ac:dyDescent="0.3">
      <c r="B152" s="51" t="s">
        <v>2312</v>
      </c>
    </row>
    <row r="153" spans="2:32" ht="35.25" customHeight="1" x14ac:dyDescent="0.3">
      <c r="B153" s="1196" t="s">
        <v>3783</v>
      </c>
      <c r="C153" s="1196"/>
      <c r="D153" s="1196"/>
      <c r="E153" s="1196"/>
      <c r="F153" s="1196"/>
      <c r="G153" s="1196"/>
      <c r="H153" s="1196"/>
      <c r="I153" s="1196"/>
      <c r="J153" s="1196"/>
      <c r="K153" s="1196"/>
      <c r="L153" s="1196"/>
      <c r="M153" s="1196"/>
      <c r="N153" s="1196"/>
      <c r="O153" s="1196"/>
      <c r="P153" s="1196"/>
      <c r="Q153" s="1196"/>
      <c r="R153" s="1196"/>
      <c r="S153" s="1196"/>
      <c r="T153" s="1196"/>
      <c r="U153" s="1196"/>
      <c r="V153" s="1196"/>
      <c r="W153" s="1196"/>
      <c r="X153" s="1196"/>
      <c r="Y153" s="1196"/>
      <c r="Z153" s="1196"/>
      <c r="AA153" s="1196"/>
      <c r="AB153" s="1196"/>
      <c r="AC153" s="1196"/>
      <c r="AD153" s="1196"/>
      <c r="AE153" s="1196"/>
      <c r="AF153" s="1196"/>
    </row>
    <row r="154" spans="2:32" ht="33" customHeight="1" x14ac:dyDescent="0.3">
      <c r="B154" s="1197" t="s">
        <v>2705</v>
      </c>
      <c r="C154" s="1198"/>
      <c r="D154" s="1198"/>
      <c r="E154" s="1198"/>
      <c r="F154" s="1198"/>
      <c r="G154" s="1198"/>
      <c r="H154" s="1198"/>
      <c r="I154" s="1198"/>
      <c r="J154" s="1198"/>
      <c r="K154" s="1198"/>
      <c r="L154" s="1198"/>
      <c r="M154" s="1198"/>
      <c r="N154" s="1198"/>
      <c r="O154" s="1199"/>
      <c r="P154" s="1203" t="s">
        <v>3784</v>
      </c>
      <c r="Q154" s="1204"/>
      <c r="R154" s="1204"/>
      <c r="S154" s="1204"/>
      <c r="T154" s="1204"/>
      <c r="U154" s="1205"/>
      <c r="V154" s="1203" t="s">
        <v>2027</v>
      </c>
      <c r="W154" s="1204"/>
      <c r="X154" s="1204"/>
      <c r="Y154" s="1204"/>
      <c r="Z154" s="1204"/>
      <c r="AA154" s="1205"/>
      <c r="AB154" s="1197" t="s">
        <v>1826</v>
      </c>
      <c r="AC154" s="1198"/>
      <c r="AD154" s="1198"/>
      <c r="AE154" s="1198"/>
      <c r="AF154" s="1199"/>
    </row>
    <row r="155" spans="2:32" ht="56.25" customHeight="1" x14ac:dyDescent="0.3">
      <c r="B155" s="1200"/>
      <c r="C155" s="1201"/>
      <c r="D155" s="1201"/>
      <c r="E155" s="1201"/>
      <c r="F155" s="1201"/>
      <c r="G155" s="1201"/>
      <c r="H155" s="1201"/>
      <c r="I155" s="1201"/>
      <c r="J155" s="1201"/>
      <c r="K155" s="1201"/>
      <c r="L155" s="1201"/>
      <c r="M155" s="1201"/>
      <c r="N155" s="1201"/>
      <c r="O155" s="1202"/>
      <c r="P155" s="1206" t="s">
        <v>3791</v>
      </c>
      <c r="Q155" s="1206"/>
      <c r="R155" s="1206"/>
      <c r="S155" s="1203" t="s">
        <v>3792</v>
      </c>
      <c r="T155" s="1204"/>
      <c r="U155" s="1205"/>
      <c r="V155" s="1206" t="s">
        <v>3791</v>
      </c>
      <c r="W155" s="1206"/>
      <c r="X155" s="1206"/>
      <c r="Y155" s="1203" t="s">
        <v>3792</v>
      </c>
      <c r="Z155" s="1204"/>
      <c r="AA155" s="1205"/>
      <c r="AB155" s="1200"/>
      <c r="AC155" s="1201"/>
      <c r="AD155" s="1201"/>
      <c r="AE155" s="1201"/>
      <c r="AF155" s="1202"/>
    </row>
    <row r="156" spans="2:32" ht="30" customHeight="1" x14ac:dyDescent="0.3">
      <c r="B156" s="1207" t="s">
        <v>2286</v>
      </c>
      <c r="C156" s="1208"/>
      <c r="D156" s="1208"/>
      <c r="E156" s="1208"/>
      <c r="F156" s="1208"/>
      <c r="G156" s="1208"/>
      <c r="H156" s="1208"/>
      <c r="I156" s="1208"/>
      <c r="J156" s="1208"/>
      <c r="K156" s="1208"/>
      <c r="L156" s="1208"/>
      <c r="M156" s="1208"/>
      <c r="N156" s="1208"/>
      <c r="O156" s="1209"/>
      <c r="P156" s="1210">
        <f t="shared" ref="P156:P163" si="10">ROUND(V156*$Q$84/$Q$83,3)</f>
        <v>9.0999999999999998E-2</v>
      </c>
      <c r="Q156" s="1211"/>
      <c r="R156" s="1211"/>
      <c r="S156" s="1210">
        <f>ROUND(Y156*$Q$84/$Q$83,3)</f>
        <v>4.0000000000000001E-3</v>
      </c>
      <c r="T156" s="1211"/>
      <c r="U156" s="1211"/>
      <c r="V156" s="1212">
        <f>ROUND((W131+$W$185),2)</f>
        <v>794.67</v>
      </c>
      <c r="W156" s="1213"/>
      <c r="X156" s="1213"/>
      <c r="Y156" s="1212">
        <f>W131</f>
        <v>36.67</v>
      </c>
      <c r="Z156" s="1213"/>
      <c r="AA156" s="1213"/>
      <c r="AB156" s="1214">
        <f>ROUND((AB131+$AB$185),2)</f>
        <v>6577.38</v>
      </c>
      <c r="AC156" s="1215"/>
      <c r="AD156" s="1215"/>
      <c r="AE156" s="1215"/>
      <c r="AF156" s="1216"/>
    </row>
    <row r="157" spans="2:32" ht="30" customHeight="1" x14ac:dyDescent="0.3">
      <c r="B157" s="1207" t="s">
        <v>2287</v>
      </c>
      <c r="C157" s="1208"/>
      <c r="D157" s="1208"/>
      <c r="E157" s="1208"/>
      <c r="F157" s="1208"/>
      <c r="G157" s="1208"/>
      <c r="H157" s="1208"/>
      <c r="I157" s="1208"/>
      <c r="J157" s="1208"/>
      <c r="K157" s="1208"/>
      <c r="L157" s="1208"/>
      <c r="M157" s="1208"/>
      <c r="N157" s="1208"/>
      <c r="O157" s="1209"/>
      <c r="P157" s="1210">
        <f t="shared" si="10"/>
        <v>9.1999999999999998E-2</v>
      </c>
      <c r="Q157" s="1211"/>
      <c r="R157" s="1211"/>
      <c r="S157" s="1210">
        <f t="shared" ref="S157:S163" si="11">ROUND(Y157*$Q$84/$Q$83,3)</f>
        <v>5.0000000000000001E-3</v>
      </c>
      <c r="T157" s="1211"/>
      <c r="U157" s="1211"/>
      <c r="V157" s="1212">
        <f t="shared" ref="V157:V163" si="12">ROUND((W132+$W$185),2)</f>
        <v>801.97</v>
      </c>
      <c r="W157" s="1213"/>
      <c r="X157" s="1213"/>
      <c r="Y157" s="1212">
        <f t="shared" ref="Y157:Y162" si="13">W132</f>
        <v>43.97</v>
      </c>
      <c r="Z157" s="1213"/>
      <c r="AA157" s="1213"/>
      <c r="AB157" s="1214">
        <f t="shared" ref="AB157:AB162" si="14">ROUND((AB132+$AB$185),2)</f>
        <v>6679.58</v>
      </c>
      <c r="AC157" s="1215"/>
      <c r="AD157" s="1215"/>
      <c r="AE157" s="1215"/>
      <c r="AF157" s="1216"/>
    </row>
    <row r="158" spans="2:32" ht="30" customHeight="1" x14ac:dyDescent="0.3">
      <c r="B158" s="1207" t="s">
        <v>2288</v>
      </c>
      <c r="C158" s="1208"/>
      <c r="D158" s="1208"/>
      <c r="E158" s="1208"/>
      <c r="F158" s="1208"/>
      <c r="G158" s="1208"/>
      <c r="H158" s="1208"/>
      <c r="I158" s="1208"/>
      <c r="J158" s="1208"/>
      <c r="K158" s="1208"/>
      <c r="L158" s="1208"/>
      <c r="M158" s="1208"/>
      <c r="N158" s="1208"/>
      <c r="O158" s="1209"/>
      <c r="P158" s="1210">
        <f t="shared" si="10"/>
        <v>9.1999999999999998E-2</v>
      </c>
      <c r="Q158" s="1211"/>
      <c r="R158" s="1211"/>
      <c r="S158" s="1210">
        <f t="shared" si="11"/>
        <v>6.0000000000000001E-3</v>
      </c>
      <c r="T158" s="1211"/>
      <c r="U158" s="1211"/>
      <c r="V158" s="1212">
        <f t="shared" si="12"/>
        <v>809.39</v>
      </c>
      <c r="W158" s="1213"/>
      <c r="X158" s="1213"/>
      <c r="Y158" s="1212">
        <f t="shared" si="13"/>
        <v>51.39</v>
      </c>
      <c r="Z158" s="1213"/>
      <c r="AA158" s="1213"/>
      <c r="AB158" s="1214">
        <f t="shared" si="14"/>
        <v>6783.46</v>
      </c>
      <c r="AC158" s="1215"/>
      <c r="AD158" s="1215"/>
      <c r="AE158" s="1215"/>
      <c r="AF158" s="1216"/>
    </row>
    <row r="159" spans="2:32" ht="30" customHeight="1" x14ac:dyDescent="0.3">
      <c r="B159" s="1207" t="s">
        <v>2289</v>
      </c>
      <c r="C159" s="1208"/>
      <c r="D159" s="1208"/>
      <c r="E159" s="1208"/>
      <c r="F159" s="1208"/>
      <c r="G159" s="1208"/>
      <c r="H159" s="1208"/>
      <c r="I159" s="1208"/>
      <c r="J159" s="1208"/>
      <c r="K159" s="1208"/>
      <c r="L159" s="1208"/>
      <c r="M159" s="1208"/>
      <c r="N159" s="1208"/>
      <c r="O159" s="1209"/>
      <c r="P159" s="1210">
        <f t="shared" si="10"/>
        <v>9.2999999999999999E-2</v>
      </c>
      <c r="Q159" s="1211"/>
      <c r="R159" s="1211"/>
      <c r="S159" s="1210">
        <f t="shared" si="11"/>
        <v>6.0000000000000001E-3</v>
      </c>
      <c r="T159" s="1211"/>
      <c r="U159" s="1211"/>
      <c r="V159" s="1212">
        <f t="shared" si="12"/>
        <v>812.05</v>
      </c>
      <c r="W159" s="1213"/>
      <c r="X159" s="1213"/>
      <c r="Y159" s="1212">
        <f t="shared" si="13"/>
        <v>54.05</v>
      </c>
      <c r="Z159" s="1213"/>
      <c r="AA159" s="1213"/>
      <c r="AB159" s="1214">
        <f t="shared" si="14"/>
        <v>6820.7</v>
      </c>
      <c r="AC159" s="1215"/>
      <c r="AD159" s="1215"/>
      <c r="AE159" s="1215"/>
      <c r="AF159" s="1216"/>
    </row>
    <row r="160" spans="2:32" ht="30" customHeight="1" x14ac:dyDescent="0.3">
      <c r="B160" s="1207" t="s">
        <v>2290</v>
      </c>
      <c r="C160" s="1208"/>
      <c r="D160" s="1208"/>
      <c r="E160" s="1208"/>
      <c r="F160" s="1208"/>
      <c r="G160" s="1208"/>
      <c r="H160" s="1208"/>
      <c r="I160" s="1208"/>
      <c r="J160" s="1208"/>
      <c r="K160" s="1208"/>
      <c r="L160" s="1208"/>
      <c r="M160" s="1208"/>
      <c r="N160" s="1208"/>
      <c r="O160" s="1209"/>
      <c r="P160" s="1210">
        <f t="shared" si="10"/>
        <v>9.4E-2</v>
      </c>
      <c r="Q160" s="1211"/>
      <c r="R160" s="1211"/>
      <c r="S160" s="1210">
        <f t="shared" si="11"/>
        <v>7.0000000000000001E-3</v>
      </c>
      <c r="T160" s="1211"/>
      <c r="U160" s="1211"/>
      <c r="V160" s="1212">
        <f t="shared" si="12"/>
        <v>820.47</v>
      </c>
      <c r="W160" s="1213"/>
      <c r="X160" s="1213"/>
      <c r="Y160" s="1212">
        <f t="shared" si="13"/>
        <v>62.47</v>
      </c>
      <c r="Z160" s="1213"/>
      <c r="AA160" s="1213"/>
      <c r="AB160" s="1214">
        <f t="shared" si="14"/>
        <v>6938.58</v>
      </c>
      <c r="AC160" s="1215"/>
      <c r="AD160" s="1215"/>
      <c r="AE160" s="1215"/>
      <c r="AF160" s="1216"/>
    </row>
    <row r="161" spans="2:32" ht="30" customHeight="1" x14ac:dyDescent="0.3">
      <c r="B161" s="1207" t="s">
        <v>2291</v>
      </c>
      <c r="C161" s="1208"/>
      <c r="D161" s="1208"/>
      <c r="E161" s="1208"/>
      <c r="F161" s="1208"/>
      <c r="G161" s="1208"/>
      <c r="H161" s="1208"/>
      <c r="I161" s="1208"/>
      <c r="J161" s="1208"/>
      <c r="K161" s="1208"/>
      <c r="L161" s="1208"/>
      <c r="M161" s="1208"/>
      <c r="N161" s="1208"/>
      <c r="O161" s="1209"/>
      <c r="P161" s="1210">
        <f t="shared" si="10"/>
        <v>9.1999999999999998E-2</v>
      </c>
      <c r="Q161" s="1211"/>
      <c r="R161" s="1211"/>
      <c r="S161" s="1210">
        <f t="shared" si="11"/>
        <v>6.0000000000000001E-3</v>
      </c>
      <c r="T161" s="1211"/>
      <c r="U161" s="1211"/>
      <c r="V161" s="1212">
        <f t="shared" si="12"/>
        <v>809.44</v>
      </c>
      <c r="W161" s="1213"/>
      <c r="X161" s="1213"/>
      <c r="Y161" s="1212">
        <f t="shared" si="13"/>
        <v>51.44</v>
      </c>
      <c r="Z161" s="1213"/>
      <c r="AA161" s="1213"/>
      <c r="AB161" s="1214">
        <f t="shared" si="14"/>
        <v>6784.16</v>
      </c>
      <c r="AC161" s="1215"/>
      <c r="AD161" s="1215"/>
      <c r="AE161" s="1215"/>
      <c r="AF161" s="1216"/>
    </row>
    <row r="162" spans="2:32" ht="30" customHeight="1" x14ac:dyDescent="0.3">
      <c r="B162" s="1207" t="s">
        <v>2338</v>
      </c>
      <c r="C162" s="1208"/>
      <c r="D162" s="1208"/>
      <c r="E162" s="1208"/>
      <c r="F162" s="1208"/>
      <c r="G162" s="1208"/>
      <c r="H162" s="1208"/>
      <c r="I162" s="1208"/>
      <c r="J162" s="1208"/>
      <c r="K162" s="1208"/>
      <c r="L162" s="1208"/>
      <c r="M162" s="1208"/>
      <c r="N162" s="1208"/>
      <c r="O162" s="1209"/>
      <c r="P162" s="1210">
        <f t="shared" si="10"/>
        <v>9.2999999999999999E-2</v>
      </c>
      <c r="Q162" s="1211"/>
      <c r="R162" s="1211"/>
      <c r="S162" s="1210">
        <f t="shared" si="11"/>
        <v>6.0000000000000001E-3</v>
      </c>
      <c r="T162" s="1211"/>
      <c r="U162" s="1211"/>
      <c r="V162" s="1212">
        <f t="shared" si="12"/>
        <v>814.49</v>
      </c>
      <c r="W162" s="1213"/>
      <c r="X162" s="1213"/>
      <c r="Y162" s="1212">
        <f t="shared" si="13"/>
        <v>56.49</v>
      </c>
      <c r="Z162" s="1213"/>
      <c r="AA162" s="1213"/>
      <c r="AB162" s="1214">
        <f t="shared" si="14"/>
        <v>6854.86</v>
      </c>
      <c r="AC162" s="1215"/>
      <c r="AD162" s="1215"/>
      <c r="AE162" s="1215"/>
      <c r="AF162" s="1216"/>
    </row>
    <row r="163" spans="2:32" ht="30" customHeight="1" x14ac:dyDescent="0.3">
      <c r="B163" s="1207" t="s">
        <v>2292</v>
      </c>
      <c r="C163" s="1208"/>
      <c r="D163" s="1208"/>
      <c r="E163" s="1208"/>
      <c r="F163" s="1208"/>
      <c r="G163" s="1208"/>
      <c r="H163" s="1208"/>
      <c r="I163" s="1208"/>
      <c r="J163" s="1208"/>
      <c r="K163" s="1208"/>
      <c r="L163" s="1208"/>
      <c r="M163" s="1208"/>
      <c r="N163" s="1208"/>
      <c r="O163" s="1209"/>
      <c r="P163" s="1210">
        <f t="shared" si="10"/>
        <v>9.1999999999999998E-2</v>
      </c>
      <c r="Q163" s="1211"/>
      <c r="R163" s="1211"/>
      <c r="S163" s="1210">
        <f t="shared" si="11"/>
        <v>6.0000000000000001E-3</v>
      </c>
      <c r="T163" s="1211"/>
      <c r="U163" s="1211"/>
      <c r="V163" s="1212">
        <f t="shared" si="12"/>
        <v>808.93</v>
      </c>
      <c r="W163" s="1213"/>
      <c r="X163" s="1213"/>
      <c r="Y163" s="1212">
        <f>W138</f>
        <v>50.93</v>
      </c>
      <c r="Z163" s="1213"/>
      <c r="AA163" s="1213"/>
      <c r="AB163" s="1214">
        <f>ROUND((AB138+$AB$185),2)</f>
        <v>6777.02</v>
      </c>
      <c r="AC163" s="1215"/>
      <c r="AD163" s="1215"/>
      <c r="AE163" s="1215"/>
      <c r="AF163" s="1216"/>
    </row>
    <row r="164" spans="2:32" x14ac:dyDescent="0.3">
      <c r="B164" s="532" t="s">
        <v>3793</v>
      </c>
      <c r="C164" s="350"/>
      <c r="D164" s="350"/>
      <c r="E164" s="350"/>
      <c r="F164" s="350"/>
      <c r="G164" s="350"/>
      <c r="H164" s="350"/>
      <c r="I164" s="350"/>
      <c r="J164" s="350"/>
      <c r="K164" s="350"/>
      <c r="L164" s="350"/>
      <c r="M164" s="350"/>
      <c r="N164" s="350"/>
      <c r="O164" s="350"/>
      <c r="P164" s="529"/>
      <c r="Q164" s="529"/>
      <c r="R164" s="529"/>
      <c r="S164" s="529"/>
      <c r="T164" s="529"/>
      <c r="U164" s="529"/>
      <c r="V164" s="530"/>
      <c r="W164" s="530"/>
      <c r="X164" s="530"/>
      <c r="Y164" s="530"/>
      <c r="Z164" s="530"/>
      <c r="AA164" s="530"/>
      <c r="AB164" s="531"/>
      <c r="AC164" s="531"/>
      <c r="AD164" s="531"/>
      <c r="AE164" s="531"/>
      <c r="AF164" s="531"/>
    </row>
    <row r="165" spans="2:32" x14ac:dyDescent="0.3">
      <c r="B165" s="532" t="s">
        <v>3794</v>
      </c>
      <c r="C165" s="350"/>
      <c r="D165" s="350"/>
      <c r="E165" s="350"/>
      <c r="F165" s="350"/>
      <c r="G165" s="350"/>
      <c r="H165" s="350"/>
      <c r="I165" s="350"/>
      <c r="J165" s="350"/>
      <c r="K165" s="350"/>
      <c r="L165" s="350"/>
      <c r="M165" s="350"/>
      <c r="N165" s="350"/>
      <c r="O165" s="350"/>
      <c r="P165" s="529"/>
      <c r="Q165" s="529"/>
      <c r="R165" s="529"/>
      <c r="S165" s="529"/>
      <c r="T165" s="529"/>
      <c r="U165" s="529"/>
      <c r="V165" s="530"/>
      <c r="W165" s="530"/>
      <c r="X165" s="530"/>
      <c r="Y165" s="530"/>
      <c r="Z165" s="530"/>
      <c r="AA165" s="530"/>
      <c r="AB165" s="531"/>
      <c r="AC165" s="531"/>
      <c r="AD165" s="531"/>
      <c r="AE165" s="531"/>
      <c r="AF165" s="531"/>
    </row>
    <row r="167" spans="2:32" x14ac:dyDescent="0.3">
      <c r="B167" s="51" t="s">
        <v>2313</v>
      </c>
    </row>
    <row r="168" spans="2:32" ht="31.5" customHeight="1" x14ac:dyDescent="0.3">
      <c r="B168" s="1196" t="s">
        <v>3785</v>
      </c>
      <c r="C168" s="1196"/>
      <c r="D168" s="1196"/>
      <c r="E168" s="1196"/>
      <c r="F168" s="1196"/>
      <c r="G168" s="1196"/>
      <c r="H168" s="1196"/>
      <c r="I168" s="1196"/>
      <c r="J168" s="1196"/>
      <c r="K168" s="1196"/>
      <c r="L168" s="1196"/>
      <c r="M168" s="1196"/>
      <c r="N168" s="1196"/>
      <c r="O168" s="1196"/>
      <c r="P168" s="1196"/>
      <c r="Q168" s="1196"/>
      <c r="R168" s="1196"/>
      <c r="S168" s="1196"/>
      <c r="T168" s="1196"/>
      <c r="U168" s="1196"/>
      <c r="V168" s="1196"/>
      <c r="W168" s="1196"/>
      <c r="X168" s="1196"/>
      <c r="Y168" s="1196"/>
      <c r="Z168" s="1196"/>
      <c r="AA168" s="1196"/>
      <c r="AB168" s="1196"/>
      <c r="AC168" s="1196"/>
      <c r="AD168" s="1196"/>
      <c r="AE168" s="1196"/>
      <c r="AF168" s="1196"/>
    </row>
    <row r="169" spans="2:32" ht="37.5" customHeight="1" x14ac:dyDescent="0.3">
      <c r="B169" s="1197" t="s">
        <v>2327</v>
      </c>
      <c r="C169" s="1198"/>
      <c r="D169" s="1198"/>
      <c r="E169" s="1198"/>
      <c r="F169" s="1198"/>
      <c r="G169" s="1198"/>
      <c r="H169" s="1198"/>
      <c r="I169" s="1198"/>
      <c r="J169" s="1198"/>
      <c r="K169" s="1198"/>
      <c r="L169" s="1198"/>
      <c r="M169" s="1198"/>
      <c r="N169" s="1198"/>
      <c r="O169" s="1199"/>
      <c r="P169" s="1203" t="s">
        <v>3784</v>
      </c>
      <c r="Q169" s="1204"/>
      <c r="R169" s="1204"/>
      <c r="S169" s="1204"/>
      <c r="T169" s="1204"/>
      <c r="U169" s="1205"/>
      <c r="V169" s="1203" t="s">
        <v>2027</v>
      </c>
      <c r="W169" s="1204"/>
      <c r="X169" s="1204"/>
      <c r="Y169" s="1204"/>
      <c r="Z169" s="1204"/>
      <c r="AA169" s="1205"/>
      <c r="AB169" s="1197" t="s">
        <v>1826</v>
      </c>
      <c r="AC169" s="1198"/>
      <c r="AD169" s="1198"/>
      <c r="AE169" s="1198"/>
      <c r="AF169" s="1199"/>
    </row>
    <row r="170" spans="2:32" ht="54.75" customHeight="1" x14ac:dyDescent="0.3">
      <c r="B170" s="1200"/>
      <c r="C170" s="1201"/>
      <c r="D170" s="1201"/>
      <c r="E170" s="1201"/>
      <c r="F170" s="1201"/>
      <c r="G170" s="1201"/>
      <c r="H170" s="1201"/>
      <c r="I170" s="1201"/>
      <c r="J170" s="1201"/>
      <c r="K170" s="1201"/>
      <c r="L170" s="1201"/>
      <c r="M170" s="1201"/>
      <c r="N170" s="1201"/>
      <c r="O170" s="1202"/>
      <c r="P170" s="1206" t="s">
        <v>3791</v>
      </c>
      <c r="Q170" s="1206"/>
      <c r="R170" s="1206"/>
      <c r="S170" s="1203" t="s">
        <v>3792</v>
      </c>
      <c r="T170" s="1204"/>
      <c r="U170" s="1205"/>
      <c r="V170" s="1206" t="s">
        <v>3791</v>
      </c>
      <c r="W170" s="1206"/>
      <c r="X170" s="1206"/>
      <c r="Y170" s="1203" t="s">
        <v>3792</v>
      </c>
      <c r="Z170" s="1204"/>
      <c r="AA170" s="1205"/>
      <c r="AB170" s="1200"/>
      <c r="AC170" s="1201"/>
      <c r="AD170" s="1201"/>
      <c r="AE170" s="1201"/>
      <c r="AF170" s="1202"/>
    </row>
    <row r="171" spans="2:32" ht="30" customHeight="1" x14ac:dyDescent="0.3">
      <c r="B171" s="1207" t="s">
        <v>2295</v>
      </c>
      <c r="C171" s="1208"/>
      <c r="D171" s="1208"/>
      <c r="E171" s="1208"/>
      <c r="F171" s="1208"/>
      <c r="G171" s="1208"/>
      <c r="H171" s="1208"/>
      <c r="I171" s="1208"/>
      <c r="J171" s="1208"/>
      <c r="K171" s="1208"/>
      <c r="L171" s="1208"/>
      <c r="M171" s="1208"/>
      <c r="N171" s="1208"/>
      <c r="O171" s="1209"/>
      <c r="P171" s="1210">
        <f t="shared" ref="P171:P178" si="15">ROUND(V171*$Q$84/$Q$83,3)</f>
        <v>6.9000000000000006E-2</v>
      </c>
      <c r="Q171" s="1211"/>
      <c r="R171" s="1211"/>
      <c r="S171" s="1210">
        <f>ROUND(Y171*$Q$84/$Q$83,3)</f>
        <v>4.0000000000000001E-3</v>
      </c>
      <c r="T171" s="1211"/>
      <c r="U171" s="1211"/>
      <c r="V171" s="1212">
        <f t="shared" ref="V171:V178" si="16">ROUND((W143+$W$186),2)</f>
        <v>607.96</v>
      </c>
      <c r="W171" s="1213"/>
      <c r="X171" s="1213"/>
      <c r="Y171" s="1212">
        <f>W143</f>
        <v>33.96</v>
      </c>
      <c r="Z171" s="1213"/>
      <c r="AA171" s="1213"/>
      <c r="AB171" s="1214">
        <f>ROUND((AB143+$AB$186),2)</f>
        <v>4595.32</v>
      </c>
      <c r="AC171" s="1215"/>
      <c r="AD171" s="1215"/>
      <c r="AE171" s="1215"/>
      <c r="AF171" s="1216"/>
    </row>
    <row r="172" spans="2:32" ht="30" customHeight="1" x14ac:dyDescent="0.3">
      <c r="B172" s="1207" t="s">
        <v>2296</v>
      </c>
      <c r="C172" s="1208"/>
      <c r="D172" s="1208"/>
      <c r="E172" s="1208"/>
      <c r="F172" s="1208"/>
      <c r="G172" s="1208"/>
      <c r="H172" s="1208"/>
      <c r="I172" s="1208"/>
      <c r="J172" s="1208"/>
      <c r="K172" s="1208"/>
      <c r="L172" s="1208"/>
      <c r="M172" s="1208"/>
      <c r="N172" s="1208"/>
      <c r="O172" s="1209"/>
      <c r="P172" s="1210">
        <f t="shared" si="15"/>
        <v>7.0999999999999994E-2</v>
      </c>
      <c r="Q172" s="1211"/>
      <c r="R172" s="1211"/>
      <c r="S172" s="1210">
        <f t="shared" ref="S172:S177" si="17">ROUND(Y172*$Q$84/$Q$83,3)</f>
        <v>5.0000000000000001E-3</v>
      </c>
      <c r="T172" s="1211"/>
      <c r="U172" s="1211"/>
      <c r="V172" s="1212">
        <f t="shared" si="16"/>
        <v>619.16</v>
      </c>
      <c r="W172" s="1213"/>
      <c r="X172" s="1213"/>
      <c r="Y172" s="1212">
        <f t="shared" ref="Y172:Y178" si="18">W144</f>
        <v>45.16</v>
      </c>
      <c r="Z172" s="1213"/>
      <c r="AA172" s="1213"/>
      <c r="AB172" s="1214">
        <f t="shared" ref="AB172:AB178" si="19">ROUND((AB144+$AB$186),2)</f>
        <v>4785.72</v>
      </c>
      <c r="AC172" s="1215"/>
      <c r="AD172" s="1215"/>
      <c r="AE172" s="1215"/>
      <c r="AF172" s="1216"/>
    </row>
    <row r="173" spans="2:32" ht="30" customHeight="1" x14ac:dyDescent="0.3">
      <c r="B173" s="1207" t="s">
        <v>2297</v>
      </c>
      <c r="C173" s="1208"/>
      <c r="D173" s="1208"/>
      <c r="E173" s="1208"/>
      <c r="F173" s="1208"/>
      <c r="G173" s="1208"/>
      <c r="H173" s="1208"/>
      <c r="I173" s="1208"/>
      <c r="J173" s="1208"/>
      <c r="K173" s="1208"/>
      <c r="L173" s="1208"/>
      <c r="M173" s="1208"/>
      <c r="N173" s="1208"/>
      <c r="O173" s="1209"/>
      <c r="P173" s="1210">
        <f t="shared" si="15"/>
        <v>7.0999999999999994E-2</v>
      </c>
      <c r="Q173" s="1211"/>
      <c r="R173" s="1211"/>
      <c r="S173" s="1210">
        <f t="shared" si="17"/>
        <v>5.0000000000000001E-3</v>
      </c>
      <c r="T173" s="1211"/>
      <c r="U173" s="1211"/>
      <c r="V173" s="1212">
        <f t="shared" si="16"/>
        <v>619.16</v>
      </c>
      <c r="W173" s="1213"/>
      <c r="X173" s="1213"/>
      <c r="Y173" s="1212">
        <f t="shared" si="18"/>
        <v>45.16</v>
      </c>
      <c r="Z173" s="1213"/>
      <c r="AA173" s="1213"/>
      <c r="AB173" s="1214">
        <f t="shared" si="19"/>
        <v>4785.72</v>
      </c>
      <c r="AC173" s="1215"/>
      <c r="AD173" s="1215"/>
      <c r="AE173" s="1215"/>
      <c r="AF173" s="1216"/>
    </row>
    <row r="174" spans="2:32" ht="30" customHeight="1" x14ac:dyDescent="0.3">
      <c r="B174" s="1207" t="s">
        <v>2298</v>
      </c>
      <c r="C174" s="1208"/>
      <c r="D174" s="1208"/>
      <c r="E174" s="1208"/>
      <c r="F174" s="1208"/>
      <c r="G174" s="1208"/>
      <c r="H174" s="1208"/>
      <c r="I174" s="1208"/>
      <c r="J174" s="1208"/>
      <c r="K174" s="1208"/>
      <c r="L174" s="1208"/>
      <c r="M174" s="1208"/>
      <c r="N174" s="1208"/>
      <c r="O174" s="1209"/>
      <c r="P174" s="1210">
        <f t="shared" si="15"/>
        <v>7.0999999999999994E-2</v>
      </c>
      <c r="Q174" s="1211"/>
      <c r="R174" s="1211"/>
      <c r="S174" s="1210">
        <f t="shared" si="17"/>
        <v>6.0000000000000001E-3</v>
      </c>
      <c r="T174" s="1211"/>
      <c r="U174" s="1211"/>
      <c r="V174" s="1212">
        <f t="shared" si="16"/>
        <v>625.84</v>
      </c>
      <c r="W174" s="1213"/>
      <c r="X174" s="1213"/>
      <c r="Y174" s="1212">
        <f t="shared" si="18"/>
        <v>51.84</v>
      </c>
      <c r="Z174" s="1213"/>
      <c r="AA174" s="1213"/>
      <c r="AB174" s="1214">
        <f t="shared" si="19"/>
        <v>4899.28</v>
      </c>
      <c r="AC174" s="1215"/>
      <c r="AD174" s="1215"/>
      <c r="AE174" s="1215"/>
      <c r="AF174" s="1216"/>
    </row>
    <row r="175" spans="2:32" ht="30" customHeight="1" x14ac:dyDescent="0.3">
      <c r="B175" s="1207" t="s">
        <v>2299</v>
      </c>
      <c r="C175" s="1208"/>
      <c r="D175" s="1208"/>
      <c r="E175" s="1208"/>
      <c r="F175" s="1208"/>
      <c r="G175" s="1208"/>
      <c r="H175" s="1208"/>
      <c r="I175" s="1208"/>
      <c r="J175" s="1208"/>
      <c r="K175" s="1208"/>
      <c r="L175" s="1208"/>
      <c r="M175" s="1208"/>
      <c r="N175" s="1208"/>
      <c r="O175" s="1209"/>
      <c r="P175" s="1210">
        <f t="shared" si="15"/>
        <v>7.0999999999999994E-2</v>
      </c>
      <c r="Q175" s="1211"/>
      <c r="R175" s="1211"/>
      <c r="S175" s="1210">
        <f t="shared" si="17"/>
        <v>6.0000000000000001E-3</v>
      </c>
      <c r="T175" s="1211"/>
      <c r="U175" s="1211"/>
      <c r="V175" s="1212">
        <f t="shared" si="16"/>
        <v>625.84</v>
      </c>
      <c r="W175" s="1213"/>
      <c r="X175" s="1213"/>
      <c r="Y175" s="1212">
        <f t="shared" si="18"/>
        <v>51.84</v>
      </c>
      <c r="Z175" s="1213"/>
      <c r="AA175" s="1213"/>
      <c r="AB175" s="1214">
        <f t="shared" si="19"/>
        <v>4899.28</v>
      </c>
      <c r="AC175" s="1215"/>
      <c r="AD175" s="1215"/>
      <c r="AE175" s="1215"/>
      <c r="AF175" s="1216"/>
    </row>
    <row r="176" spans="2:32" ht="30" customHeight="1" x14ac:dyDescent="0.3">
      <c r="B176" s="1207" t="s">
        <v>2300</v>
      </c>
      <c r="C176" s="1208"/>
      <c r="D176" s="1208"/>
      <c r="E176" s="1208"/>
      <c r="F176" s="1208"/>
      <c r="G176" s="1208"/>
      <c r="H176" s="1208"/>
      <c r="I176" s="1208"/>
      <c r="J176" s="1208"/>
      <c r="K176" s="1208"/>
      <c r="L176" s="1208"/>
      <c r="M176" s="1208"/>
      <c r="N176" s="1208"/>
      <c r="O176" s="1209"/>
      <c r="P176" s="1210">
        <f t="shared" si="15"/>
        <v>6.9000000000000006E-2</v>
      </c>
      <c r="Q176" s="1211"/>
      <c r="R176" s="1211"/>
      <c r="S176" s="1210">
        <f t="shared" si="17"/>
        <v>3.0000000000000001E-3</v>
      </c>
      <c r="T176" s="1211"/>
      <c r="U176" s="1211"/>
      <c r="V176" s="1212">
        <f t="shared" si="16"/>
        <v>603.78</v>
      </c>
      <c r="W176" s="1213"/>
      <c r="X176" s="1213"/>
      <c r="Y176" s="1212">
        <f t="shared" si="18"/>
        <v>29.78</v>
      </c>
      <c r="Z176" s="1213"/>
      <c r="AA176" s="1213"/>
      <c r="AB176" s="1214">
        <f t="shared" si="19"/>
        <v>4524.26</v>
      </c>
      <c r="AC176" s="1215"/>
      <c r="AD176" s="1215"/>
      <c r="AE176" s="1215"/>
      <c r="AF176" s="1216"/>
    </row>
    <row r="177" spans="1:32" ht="30" customHeight="1" x14ac:dyDescent="0.3">
      <c r="B177" s="1207" t="s">
        <v>2301</v>
      </c>
      <c r="C177" s="1208"/>
      <c r="D177" s="1208"/>
      <c r="E177" s="1208"/>
      <c r="F177" s="1208"/>
      <c r="G177" s="1208"/>
      <c r="H177" s="1208"/>
      <c r="I177" s="1208"/>
      <c r="J177" s="1208"/>
      <c r="K177" s="1208"/>
      <c r="L177" s="1208"/>
      <c r="M177" s="1208"/>
      <c r="N177" s="1208"/>
      <c r="O177" s="1209"/>
      <c r="P177" s="1210">
        <f t="shared" si="15"/>
        <v>7.0000000000000007E-2</v>
      </c>
      <c r="Q177" s="1211"/>
      <c r="R177" s="1211"/>
      <c r="S177" s="1210">
        <f t="shared" si="17"/>
        <v>5.0000000000000001E-3</v>
      </c>
      <c r="T177" s="1211"/>
      <c r="U177" s="1211"/>
      <c r="V177" s="1212">
        <f t="shared" si="16"/>
        <v>615.32000000000005</v>
      </c>
      <c r="W177" s="1213"/>
      <c r="X177" s="1213"/>
      <c r="Y177" s="1212">
        <f t="shared" si="18"/>
        <v>41.32</v>
      </c>
      <c r="Z177" s="1213"/>
      <c r="AA177" s="1213"/>
      <c r="AB177" s="1214">
        <f t="shared" si="19"/>
        <v>4720.4399999999996</v>
      </c>
      <c r="AC177" s="1215"/>
      <c r="AD177" s="1215"/>
      <c r="AE177" s="1215"/>
      <c r="AF177" s="1216"/>
    </row>
    <row r="178" spans="1:32" ht="30" customHeight="1" x14ac:dyDescent="0.3">
      <c r="B178" s="1207" t="s">
        <v>2302</v>
      </c>
      <c r="C178" s="1208"/>
      <c r="D178" s="1208"/>
      <c r="E178" s="1208"/>
      <c r="F178" s="1208"/>
      <c r="G178" s="1208"/>
      <c r="H178" s="1208"/>
      <c r="I178" s="1208"/>
      <c r="J178" s="1208"/>
      <c r="K178" s="1208"/>
      <c r="L178" s="1208"/>
      <c r="M178" s="1208"/>
      <c r="N178" s="1208"/>
      <c r="O178" s="1209"/>
      <c r="P178" s="1210">
        <f t="shared" si="15"/>
        <v>7.0000000000000007E-2</v>
      </c>
      <c r="Q178" s="1211"/>
      <c r="R178" s="1211"/>
      <c r="S178" s="1210">
        <f>ROUND(Y178*$Q$84/$Q$83,3)</f>
        <v>5.0000000000000001E-3</v>
      </c>
      <c r="T178" s="1211"/>
      <c r="U178" s="1211"/>
      <c r="V178" s="1212">
        <f t="shared" si="16"/>
        <v>616.72</v>
      </c>
      <c r="W178" s="1213"/>
      <c r="X178" s="1213"/>
      <c r="Y178" s="1212">
        <f t="shared" si="18"/>
        <v>42.72</v>
      </c>
      <c r="Z178" s="1213"/>
      <c r="AA178" s="1213"/>
      <c r="AB178" s="1214">
        <f t="shared" si="19"/>
        <v>4744.24</v>
      </c>
      <c r="AC178" s="1215"/>
      <c r="AD178" s="1215"/>
      <c r="AE178" s="1215"/>
      <c r="AF178" s="1216"/>
    </row>
    <row r="179" spans="1:32" x14ac:dyDescent="0.3">
      <c r="B179" s="532" t="s">
        <v>3795</v>
      </c>
      <c r="C179" s="350"/>
      <c r="D179" s="350"/>
      <c r="E179" s="350"/>
      <c r="F179" s="350"/>
      <c r="G179" s="350"/>
      <c r="H179" s="350"/>
      <c r="I179" s="350"/>
      <c r="J179" s="350"/>
      <c r="K179" s="350"/>
      <c r="L179" s="350"/>
      <c r="M179" s="350"/>
      <c r="N179" s="350"/>
      <c r="O179" s="350"/>
      <c r="P179" s="529"/>
      <c r="Q179" s="529"/>
      <c r="R179" s="529"/>
      <c r="S179" s="529"/>
      <c r="T179" s="529"/>
      <c r="U179" s="529"/>
      <c r="V179" s="530"/>
      <c r="W179" s="530"/>
      <c r="X179" s="530"/>
      <c r="Y179" s="530"/>
      <c r="Z179" s="530"/>
      <c r="AA179" s="530"/>
      <c r="AB179" s="531"/>
      <c r="AC179" s="531"/>
      <c r="AD179" s="531"/>
      <c r="AE179" s="531"/>
      <c r="AF179" s="531"/>
    </row>
    <row r="180" spans="1:32" x14ac:dyDescent="0.3">
      <c r="B180" s="532" t="s">
        <v>3796</v>
      </c>
      <c r="C180" s="350"/>
      <c r="D180" s="350"/>
      <c r="E180" s="350"/>
      <c r="F180" s="350"/>
      <c r="G180" s="350"/>
      <c r="H180" s="350"/>
      <c r="I180" s="350"/>
      <c r="J180" s="350"/>
      <c r="K180" s="350"/>
      <c r="L180" s="350"/>
      <c r="M180" s="350"/>
      <c r="N180" s="350"/>
      <c r="O180" s="350"/>
      <c r="P180" s="529"/>
      <c r="Q180" s="529"/>
      <c r="R180" s="529"/>
      <c r="S180" s="529"/>
      <c r="T180" s="529"/>
      <c r="U180" s="529"/>
      <c r="V180" s="530"/>
      <c r="W180" s="530"/>
      <c r="X180" s="530"/>
      <c r="Y180" s="530"/>
      <c r="Z180" s="530"/>
      <c r="AA180" s="530"/>
      <c r="AB180" s="531"/>
      <c r="AC180" s="531"/>
      <c r="AD180" s="531"/>
      <c r="AE180" s="531"/>
      <c r="AF180" s="531"/>
    </row>
    <row r="182" spans="1:32" x14ac:dyDescent="0.3">
      <c r="B182" s="51" t="s">
        <v>2314</v>
      </c>
    </row>
    <row r="184" spans="1:32" ht="33" customHeight="1" x14ac:dyDescent="0.3">
      <c r="B184" s="1181" t="s">
        <v>15</v>
      </c>
      <c r="C184" s="1182"/>
      <c r="D184" s="1182"/>
      <c r="E184" s="1182"/>
      <c r="F184" s="1182"/>
      <c r="G184" s="1182"/>
      <c r="H184" s="1182"/>
      <c r="I184" s="1182"/>
      <c r="J184" s="1182"/>
      <c r="K184" s="1182"/>
      <c r="L184" s="1182"/>
      <c r="M184" s="1182"/>
      <c r="N184" s="1182"/>
      <c r="O184" s="1182"/>
      <c r="P184" s="1182"/>
      <c r="Q184" s="1182"/>
      <c r="R184" s="1183" t="s">
        <v>2782</v>
      </c>
      <c r="S184" s="1184"/>
      <c r="T184" s="1184"/>
      <c r="U184" s="1184"/>
      <c r="V184" s="1185"/>
      <c r="W184" s="1183" t="s">
        <v>17</v>
      </c>
      <c r="X184" s="1184"/>
      <c r="Y184" s="1184"/>
      <c r="Z184" s="1184"/>
      <c r="AA184" s="1185"/>
      <c r="AB184" s="1183" t="s">
        <v>1826</v>
      </c>
      <c r="AC184" s="1184"/>
      <c r="AD184" s="1184"/>
      <c r="AE184" s="1184"/>
      <c r="AF184" s="1185"/>
    </row>
    <row r="185" spans="1:32" x14ac:dyDescent="0.3">
      <c r="B185" s="1186" t="s">
        <v>2706</v>
      </c>
      <c r="C185" s="1217"/>
      <c r="D185" s="1217"/>
      <c r="E185" s="1217"/>
      <c r="F185" s="1217"/>
      <c r="G185" s="1217"/>
      <c r="H185" s="1217"/>
      <c r="I185" s="1217"/>
      <c r="J185" s="1217"/>
      <c r="K185" s="1217"/>
      <c r="L185" s="1217"/>
      <c r="M185" s="1217"/>
      <c r="N185" s="1217"/>
      <c r="O185" s="1217"/>
      <c r="P185" s="1217"/>
      <c r="Q185" s="1217"/>
      <c r="R185" s="1218">
        <f>ROUND(W185*$Q$84/$Q$83,3)</f>
        <v>8.6999999999999994E-2</v>
      </c>
      <c r="S185" s="1219"/>
      <c r="T185" s="1219"/>
      <c r="U185" s="1219"/>
      <c r="V185" s="1220"/>
      <c r="W185" s="1221">
        <f>ROUND(Q80*Q82,2)</f>
        <v>758</v>
      </c>
      <c r="X185" s="1222"/>
      <c r="Y185" s="1222"/>
      <c r="Z185" s="1222"/>
      <c r="AA185" s="1223"/>
      <c r="AB185" s="1214">
        <f>ROUND(W185*Q87,2)</f>
        <v>6064</v>
      </c>
      <c r="AC185" s="1215"/>
      <c r="AD185" s="1215"/>
      <c r="AE185" s="1215"/>
      <c r="AF185" s="1216"/>
    </row>
    <row r="186" spans="1:32" x14ac:dyDescent="0.3">
      <c r="B186" s="1186" t="s">
        <v>2328</v>
      </c>
      <c r="C186" s="1217"/>
      <c r="D186" s="1217"/>
      <c r="E186" s="1217"/>
      <c r="F186" s="1217"/>
      <c r="G186" s="1217"/>
      <c r="H186" s="1217"/>
      <c r="I186" s="1217"/>
      <c r="J186" s="1217"/>
      <c r="K186" s="1217"/>
      <c r="L186" s="1217"/>
      <c r="M186" s="1217"/>
      <c r="N186" s="1217"/>
      <c r="O186" s="1217"/>
      <c r="P186" s="1217"/>
      <c r="Q186" s="1217"/>
      <c r="R186" s="1218">
        <f>ROUND(W186*$Q$84/$Q$83,3)</f>
        <v>6.6000000000000003E-2</v>
      </c>
      <c r="S186" s="1219"/>
      <c r="T186" s="1219"/>
      <c r="U186" s="1219"/>
      <c r="V186" s="1220"/>
      <c r="W186" s="1221">
        <f>ROUND(Q81*Q82,2)</f>
        <v>574</v>
      </c>
      <c r="X186" s="1222"/>
      <c r="Y186" s="1222"/>
      <c r="Z186" s="1222"/>
      <c r="AA186" s="1223"/>
      <c r="AB186" s="1214">
        <f>ROUND(W186*Q88,2)</f>
        <v>4018</v>
      </c>
      <c r="AC186" s="1215"/>
      <c r="AD186" s="1215"/>
      <c r="AE186" s="1215"/>
      <c r="AF186" s="1216"/>
    </row>
    <row r="189" spans="1:32" x14ac:dyDescent="0.3">
      <c r="A189" s="1141" t="s">
        <v>2333</v>
      </c>
      <c r="B189" s="1141"/>
      <c r="C189" s="1141"/>
      <c r="D189" s="1141"/>
      <c r="E189" s="1141"/>
      <c r="F189" s="1141"/>
      <c r="G189" s="1141"/>
      <c r="H189" s="1141"/>
      <c r="I189" s="1141"/>
      <c r="J189" s="1141"/>
      <c r="K189" s="1141"/>
      <c r="L189" s="1141"/>
      <c r="M189" s="1141"/>
      <c r="N189" s="1141"/>
      <c r="O189" s="1141"/>
      <c r="P189" s="1141"/>
      <c r="Q189" s="1141"/>
      <c r="R189" s="1141"/>
      <c r="S189" s="1141"/>
      <c r="T189" s="1141"/>
      <c r="U189" s="1141"/>
      <c r="V189" s="1141"/>
      <c r="W189" s="1141"/>
      <c r="X189" s="1141"/>
      <c r="Y189" s="1141"/>
      <c r="Z189" s="1141"/>
      <c r="AA189" s="1141"/>
      <c r="AB189" s="1141"/>
      <c r="AC189" s="1141"/>
      <c r="AD189" s="1141"/>
      <c r="AE189" s="1141"/>
      <c r="AF189" s="1141"/>
    </row>
    <row r="191" spans="1:32" x14ac:dyDescent="0.3">
      <c r="B191" s="51" t="s">
        <v>30</v>
      </c>
      <c r="Q191" s="51" t="s">
        <v>1068</v>
      </c>
    </row>
    <row r="192" spans="1:32" x14ac:dyDescent="0.3">
      <c r="B192" s="1" t="s">
        <v>2329</v>
      </c>
      <c r="J192" s="1224">
        <v>22</v>
      </c>
      <c r="K192" s="1225"/>
      <c r="L192" s="1225"/>
      <c r="M192" s="1226"/>
      <c r="Q192" s="1" t="s">
        <v>2330</v>
      </c>
      <c r="Y192" s="1224">
        <v>12</v>
      </c>
      <c r="Z192" s="1225"/>
      <c r="AA192" s="1225"/>
      <c r="AB192" s="1226"/>
    </row>
    <row r="193" spans="2:32" x14ac:dyDescent="0.3">
      <c r="J193" s="9"/>
      <c r="K193" s="9"/>
      <c r="L193" s="9"/>
      <c r="M193" s="9"/>
    </row>
    <row r="194" spans="2:32" x14ac:dyDescent="0.3">
      <c r="B194" s="1" t="s">
        <v>2330</v>
      </c>
      <c r="J194" s="1224">
        <v>8</v>
      </c>
      <c r="K194" s="1225"/>
      <c r="L194" s="1225"/>
      <c r="M194" s="1226"/>
    </row>
    <row r="196" spans="2:32" ht="15.6" x14ac:dyDescent="0.3">
      <c r="C196" s="55" t="s">
        <v>2331</v>
      </c>
      <c r="D196" s="1227">
        <f>ROUND((J192+J194*1.76),1)</f>
        <v>36.1</v>
      </c>
      <c r="E196" s="1228"/>
      <c r="F196" s="1228"/>
      <c r="G196" s="1229"/>
      <c r="H196" s="1" t="s">
        <v>2334</v>
      </c>
      <c r="R196" s="55" t="s">
        <v>2332</v>
      </c>
      <c r="S196" s="1227">
        <f>ROUND(Y192*1.73,1)</f>
        <v>20.8</v>
      </c>
      <c r="T196" s="1228"/>
      <c r="U196" s="1228"/>
      <c r="V196" s="1229"/>
      <c r="W196" s="1" t="s">
        <v>2335</v>
      </c>
    </row>
    <row r="198" spans="2:32" x14ac:dyDescent="0.3">
      <c r="B198" s="51" t="s">
        <v>2321</v>
      </c>
    </row>
    <row r="200" spans="2:32" ht="30" customHeight="1" x14ac:dyDescent="0.3">
      <c r="B200" s="1181" t="s">
        <v>2308</v>
      </c>
      <c r="C200" s="1182"/>
      <c r="D200" s="1182"/>
      <c r="E200" s="1182"/>
      <c r="F200" s="1182"/>
      <c r="G200" s="1182"/>
      <c r="H200" s="1182"/>
      <c r="I200" s="1182"/>
      <c r="J200" s="1182"/>
      <c r="K200" s="1182"/>
      <c r="L200" s="1182"/>
      <c r="M200" s="1182"/>
      <c r="N200" s="1182"/>
      <c r="O200" s="1182"/>
      <c r="P200" s="1182"/>
      <c r="Q200" s="1182"/>
      <c r="R200" s="1183" t="s">
        <v>2782</v>
      </c>
      <c r="S200" s="1184"/>
      <c r="T200" s="1184"/>
      <c r="U200" s="1184"/>
      <c r="V200" s="1185"/>
      <c r="W200" s="1183" t="s">
        <v>17</v>
      </c>
      <c r="X200" s="1184"/>
      <c r="Y200" s="1184"/>
      <c r="Z200" s="1184"/>
      <c r="AA200" s="1185"/>
      <c r="AB200" s="1183" t="s">
        <v>1826</v>
      </c>
      <c r="AC200" s="1184"/>
      <c r="AD200" s="1184"/>
      <c r="AE200" s="1184"/>
      <c r="AF200" s="1185"/>
    </row>
    <row r="201" spans="2:32" ht="30" customHeight="1" x14ac:dyDescent="0.3">
      <c r="B201" s="1186" t="s">
        <v>2286</v>
      </c>
      <c r="C201" s="1186"/>
      <c r="D201" s="1186"/>
      <c r="E201" s="1186"/>
      <c r="F201" s="1186"/>
      <c r="G201" s="1186"/>
      <c r="H201" s="1186"/>
      <c r="I201" s="1186"/>
      <c r="J201" s="1186"/>
      <c r="K201" s="1186"/>
      <c r="L201" s="1186"/>
      <c r="M201" s="1186"/>
      <c r="N201" s="1186"/>
      <c r="O201" s="1186"/>
      <c r="P201" s="1186"/>
      <c r="Q201" s="1186"/>
      <c r="R201" s="1230">
        <f>ROUND(W201*$Q$84/$Q$83,3)</f>
        <v>5.0000000000000001E-3</v>
      </c>
      <c r="S201" s="1231"/>
      <c r="T201" s="1231"/>
      <c r="U201" s="1231"/>
      <c r="V201" s="1232"/>
      <c r="W201" s="1233">
        <f t="shared" ref="W201:W208" si="20">ROUND(((Q99*$D$196+U99)-(Y99*$D$196+AC99))*$Q$82,2)</f>
        <v>43.95</v>
      </c>
      <c r="X201" s="1234"/>
      <c r="Y201" s="1234"/>
      <c r="Z201" s="1234"/>
      <c r="AA201" s="1235"/>
      <c r="AB201" s="1236">
        <f>ROUND(W201*$Q$85,3)</f>
        <v>615.29999999999995</v>
      </c>
      <c r="AC201" s="1237"/>
      <c r="AD201" s="1237"/>
      <c r="AE201" s="1237"/>
      <c r="AF201" s="1238"/>
    </row>
    <row r="202" spans="2:32" ht="30" customHeight="1" x14ac:dyDescent="0.3">
      <c r="B202" s="1186" t="s">
        <v>2287</v>
      </c>
      <c r="C202" s="1186"/>
      <c r="D202" s="1186"/>
      <c r="E202" s="1186"/>
      <c r="F202" s="1186"/>
      <c r="G202" s="1186"/>
      <c r="H202" s="1186"/>
      <c r="I202" s="1186"/>
      <c r="J202" s="1186"/>
      <c r="K202" s="1186"/>
      <c r="L202" s="1186"/>
      <c r="M202" s="1186"/>
      <c r="N202" s="1186"/>
      <c r="O202" s="1186"/>
      <c r="P202" s="1186"/>
      <c r="Q202" s="1186"/>
      <c r="R202" s="1230">
        <f t="shared" ref="R202:R208" si="21">ROUND(W202*$Q$84/$Q$83,3)</f>
        <v>6.0000000000000001E-3</v>
      </c>
      <c r="S202" s="1231"/>
      <c r="T202" s="1231"/>
      <c r="U202" s="1231"/>
      <c r="V202" s="1232"/>
      <c r="W202" s="1233">
        <f t="shared" si="20"/>
        <v>52.64</v>
      </c>
      <c r="X202" s="1234"/>
      <c r="Y202" s="1234"/>
      <c r="Z202" s="1234"/>
      <c r="AA202" s="1235"/>
      <c r="AB202" s="1236">
        <f t="shared" ref="AB202:AB208" si="22">ROUND(W202*$Q$85,3)</f>
        <v>736.96</v>
      </c>
      <c r="AC202" s="1237"/>
      <c r="AD202" s="1237"/>
      <c r="AE202" s="1237"/>
      <c r="AF202" s="1238"/>
    </row>
    <row r="203" spans="2:32" ht="30" customHeight="1" x14ac:dyDescent="0.3">
      <c r="B203" s="1186" t="s">
        <v>2288</v>
      </c>
      <c r="C203" s="1186"/>
      <c r="D203" s="1186"/>
      <c r="E203" s="1186"/>
      <c r="F203" s="1186"/>
      <c r="G203" s="1186"/>
      <c r="H203" s="1186"/>
      <c r="I203" s="1186"/>
      <c r="J203" s="1186"/>
      <c r="K203" s="1186"/>
      <c r="L203" s="1186"/>
      <c r="M203" s="1186"/>
      <c r="N203" s="1186"/>
      <c r="O203" s="1186"/>
      <c r="P203" s="1186"/>
      <c r="Q203" s="1186"/>
      <c r="R203" s="1230">
        <f t="shared" si="21"/>
        <v>7.0000000000000001E-3</v>
      </c>
      <c r="S203" s="1231"/>
      <c r="T203" s="1231"/>
      <c r="U203" s="1231"/>
      <c r="V203" s="1232"/>
      <c r="W203" s="1233">
        <f t="shared" si="20"/>
        <v>60.48</v>
      </c>
      <c r="X203" s="1234"/>
      <c r="Y203" s="1234"/>
      <c r="Z203" s="1234"/>
      <c r="AA203" s="1235"/>
      <c r="AB203" s="1236">
        <f t="shared" si="22"/>
        <v>846.72</v>
      </c>
      <c r="AC203" s="1237"/>
      <c r="AD203" s="1237"/>
      <c r="AE203" s="1237"/>
      <c r="AF203" s="1238"/>
    </row>
    <row r="204" spans="2:32" ht="30" customHeight="1" x14ac:dyDescent="0.3">
      <c r="B204" s="1186" t="s">
        <v>2289</v>
      </c>
      <c r="C204" s="1186"/>
      <c r="D204" s="1186"/>
      <c r="E204" s="1186"/>
      <c r="F204" s="1186"/>
      <c r="G204" s="1186"/>
      <c r="H204" s="1186"/>
      <c r="I204" s="1186"/>
      <c r="J204" s="1186"/>
      <c r="K204" s="1186"/>
      <c r="L204" s="1186"/>
      <c r="M204" s="1186"/>
      <c r="N204" s="1186"/>
      <c r="O204" s="1186"/>
      <c r="P204" s="1186"/>
      <c r="Q204" s="1186"/>
      <c r="R204" s="1230">
        <f t="shared" si="21"/>
        <v>7.0000000000000001E-3</v>
      </c>
      <c r="S204" s="1231"/>
      <c r="T204" s="1231"/>
      <c r="U204" s="1231"/>
      <c r="V204" s="1232"/>
      <c r="W204" s="1233">
        <f t="shared" si="20"/>
        <v>63.47</v>
      </c>
      <c r="X204" s="1234"/>
      <c r="Y204" s="1234"/>
      <c r="Z204" s="1234"/>
      <c r="AA204" s="1235"/>
      <c r="AB204" s="1236">
        <f t="shared" si="22"/>
        <v>888.58</v>
      </c>
      <c r="AC204" s="1237"/>
      <c r="AD204" s="1237"/>
      <c r="AE204" s="1237"/>
      <c r="AF204" s="1238"/>
    </row>
    <row r="205" spans="2:32" ht="30" customHeight="1" x14ac:dyDescent="0.3">
      <c r="B205" s="1186" t="s">
        <v>2290</v>
      </c>
      <c r="C205" s="1186"/>
      <c r="D205" s="1186"/>
      <c r="E205" s="1186"/>
      <c r="F205" s="1186"/>
      <c r="G205" s="1186"/>
      <c r="H205" s="1186"/>
      <c r="I205" s="1186"/>
      <c r="J205" s="1186"/>
      <c r="K205" s="1186"/>
      <c r="L205" s="1186"/>
      <c r="M205" s="1186"/>
      <c r="N205" s="1186"/>
      <c r="O205" s="1186"/>
      <c r="P205" s="1186"/>
      <c r="Q205" s="1186"/>
      <c r="R205" s="1230">
        <f t="shared" si="21"/>
        <v>8.0000000000000002E-3</v>
      </c>
      <c r="S205" s="1231"/>
      <c r="T205" s="1231"/>
      <c r="U205" s="1231"/>
      <c r="V205" s="1232"/>
      <c r="W205" s="1233">
        <f t="shared" si="20"/>
        <v>72.31</v>
      </c>
      <c r="X205" s="1234"/>
      <c r="Y205" s="1234"/>
      <c r="Z205" s="1234"/>
      <c r="AA205" s="1235"/>
      <c r="AB205" s="1236">
        <f t="shared" si="22"/>
        <v>1012.34</v>
      </c>
      <c r="AC205" s="1237"/>
      <c r="AD205" s="1237"/>
      <c r="AE205" s="1237"/>
      <c r="AF205" s="1238"/>
    </row>
    <row r="206" spans="2:32" ht="30" customHeight="1" x14ac:dyDescent="0.3">
      <c r="B206" s="1186" t="s">
        <v>2291</v>
      </c>
      <c r="C206" s="1186"/>
      <c r="D206" s="1186"/>
      <c r="E206" s="1186"/>
      <c r="F206" s="1186"/>
      <c r="G206" s="1186"/>
      <c r="H206" s="1186"/>
      <c r="I206" s="1186"/>
      <c r="J206" s="1186"/>
      <c r="K206" s="1186"/>
      <c r="L206" s="1186"/>
      <c r="M206" s="1186"/>
      <c r="N206" s="1186"/>
      <c r="O206" s="1186"/>
      <c r="P206" s="1186"/>
      <c r="Q206" s="1186"/>
      <c r="R206" s="1230">
        <f t="shared" si="21"/>
        <v>7.0000000000000001E-3</v>
      </c>
      <c r="S206" s="1231"/>
      <c r="T206" s="1231"/>
      <c r="U206" s="1231"/>
      <c r="V206" s="1232"/>
      <c r="W206" s="1233">
        <f t="shared" si="20"/>
        <v>60.42</v>
      </c>
      <c r="X206" s="1234"/>
      <c r="Y206" s="1234"/>
      <c r="Z206" s="1234"/>
      <c r="AA206" s="1235"/>
      <c r="AB206" s="1236">
        <f t="shared" si="22"/>
        <v>845.88</v>
      </c>
      <c r="AC206" s="1237"/>
      <c r="AD206" s="1237"/>
      <c r="AE206" s="1237"/>
      <c r="AF206" s="1238"/>
    </row>
    <row r="207" spans="2:32" ht="30" customHeight="1" x14ac:dyDescent="0.3">
      <c r="B207" s="1186" t="s">
        <v>2338</v>
      </c>
      <c r="C207" s="1186"/>
      <c r="D207" s="1186"/>
      <c r="E207" s="1186"/>
      <c r="F207" s="1186"/>
      <c r="G207" s="1186"/>
      <c r="H207" s="1186"/>
      <c r="I207" s="1186"/>
      <c r="J207" s="1186"/>
      <c r="K207" s="1186"/>
      <c r="L207" s="1186"/>
      <c r="M207" s="1186"/>
      <c r="N207" s="1186"/>
      <c r="O207" s="1186"/>
      <c r="P207" s="1186"/>
      <c r="Q207" s="1186"/>
      <c r="R207" s="1230">
        <f t="shared" si="21"/>
        <v>7.0000000000000001E-3</v>
      </c>
      <c r="S207" s="1231"/>
      <c r="T207" s="1231"/>
      <c r="U207" s="1231"/>
      <c r="V207" s="1232"/>
      <c r="W207" s="1233">
        <f t="shared" si="20"/>
        <v>65.59</v>
      </c>
      <c r="X207" s="1234"/>
      <c r="Y207" s="1234"/>
      <c r="Z207" s="1234"/>
      <c r="AA207" s="1235"/>
      <c r="AB207" s="1236">
        <f t="shared" si="22"/>
        <v>918.26</v>
      </c>
      <c r="AC207" s="1237"/>
      <c r="AD207" s="1237"/>
      <c r="AE207" s="1237"/>
      <c r="AF207" s="1238"/>
    </row>
    <row r="208" spans="2:32" ht="30" customHeight="1" x14ac:dyDescent="0.3">
      <c r="B208" s="1186" t="s">
        <v>2292</v>
      </c>
      <c r="C208" s="1186"/>
      <c r="D208" s="1186"/>
      <c r="E208" s="1186"/>
      <c r="F208" s="1186"/>
      <c r="G208" s="1186"/>
      <c r="H208" s="1186"/>
      <c r="I208" s="1186"/>
      <c r="J208" s="1186"/>
      <c r="K208" s="1186"/>
      <c r="L208" s="1186"/>
      <c r="M208" s="1186"/>
      <c r="N208" s="1186"/>
      <c r="O208" s="1186"/>
      <c r="P208" s="1186"/>
      <c r="Q208" s="1186"/>
      <c r="R208" s="1230">
        <f t="shared" si="21"/>
        <v>7.0000000000000001E-3</v>
      </c>
      <c r="S208" s="1231"/>
      <c r="T208" s="1231"/>
      <c r="U208" s="1231"/>
      <c r="V208" s="1232"/>
      <c r="W208" s="1233">
        <f t="shared" si="20"/>
        <v>59.84</v>
      </c>
      <c r="X208" s="1234"/>
      <c r="Y208" s="1234"/>
      <c r="Z208" s="1234"/>
      <c r="AA208" s="1235"/>
      <c r="AB208" s="1236">
        <f t="shared" si="22"/>
        <v>837.76</v>
      </c>
      <c r="AC208" s="1237"/>
      <c r="AD208" s="1237"/>
      <c r="AE208" s="1237"/>
      <c r="AF208" s="1238"/>
    </row>
    <row r="210" spans="2:32" x14ac:dyDescent="0.3">
      <c r="B210" s="51" t="s">
        <v>2322</v>
      </c>
    </row>
    <row r="212" spans="2:32" ht="30" customHeight="1" x14ac:dyDescent="0.3">
      <c r="B212" s="1181" t="s">
        <v>2309</v>
      </c>
      <c r="C212" s="1182"/>
      <c r="D212" s="1182"/>
      <c r="E212" s="1182"/>
      <c r="F212" s="1182"/>
      <c r="G212" s="1182"/>
      <c r="H212" s="1182"/>
      <c r="I212" s="1182"/>
      <c r="J212" s="1182"/>
      <c r="K212" s="1182"/>
      <c r="L212" s="1182"/>
      <c r="M212" s="1182"/>
      <c r="N212" s="1182"/>
      <c r="O212" s="1182"/>
      <c r="P212" s="1182"/>
      <c r="Q212" s="1182"/>
      <c r="R212" s="1183" t="s">
        <v>2782</v>
      </c>
      <c r="S212" s="1184"/>
      <c r="T212" s="1184"/>
      <c r="U212" s="1184"/>
      <c r="V212" s="1185"/>
      <c r="W212" s="1183" t="s">
        <v>17</v>
      </c>
      <c r="X212" s="1184"/>
      <c r="Y212" s="1184"/>
      <c r="Z212" s="1184"/>
      <c r="AA212" s="1185"/>
      <c r="AB212" s="1183" t="s">
        <v>1826</v>
      </c>
      <c r="AC212" s="1184"/>
      <c r="AD212" s="1184"/>
      <c r="AE212" s="1184"/>
      <c r="AF212" s="1185"/>
    </row>
    <row r="213" spans="2:32" ht="30" customHeight="1" x14ac:dyDescent="0.3">
      <c r="B213" s="1186" t="s">
        <v>2295</v>
      </c>
      <c r="C213" s="1186"/>
      <c r="D213" s="1186"/>
      <c r="E213" s="1186"/>
      <c r="F213" s="1186"/>
      <c r="G213" s="1186"/>
      <c r="H213" s="1186"/>
      <c r="I213" s="1186"/>
      <c r="J213" s="1186"/>
      <c r="K213" s="1186"/>
      <c r="L213" s="1186"/>
      <c r="M213" s="1186"/>
      <c r="N213" s="1186"/>
      <c r="O213" s="1186"/>
      <c r="P213" s="1186"/>
      <c r="Q213" s="1186"/>
      <c r="R213" s="1230">
        <f>ROUND(W213*$Q$84/$Q$83,3)</f>
        <v>4.0000000000000001E-3</v>
      </c>
      <c r="S213" s="1231"/>
      <c r="T213" s="1231"/>
      <c r="U213" s="1231"/>
      <c r="V213" s="1232"/>
      <c r="W213" s="1233">
        <f t="shared" ref="W213:W220" si="23">ROUND(((Q114*$S$196+U114)-(Y114*$S$196+AC114))*$Q$82,2)</f>
        <v>31.05</v>
      </c>
      <c r="X213" s="1234"/>
      <c r="Y213" s="1234"/>
      <c r="Z213" s="1234"/>
      <c r="AA213" s="1235"/>
      <c r="AB213" s="1236">
        <f>ROUND(W213*$Q$86,3)</f>
        <v>527.85</v>
      </c>
      <c r="AC213" s="1237"/>
      <c r="AD213" s="1237"/>
      <c r="AE213" s="1237"/>
      <c r="AF213" s="1238"/>
    </row>
    <row r="214" spans="2:32" ht="30" customHeight="1" x14ac:dyDescent="0.3">
      <c r="B214" s="1186" t="s">
        <v>2296</v>
      </c>
      <c r="C214" s="1186"/>
      <c r="D214" s="1186"/>
      <c r="E214" s="1186"/>
      <c r="F214" s="1186"/>
      <c r="G214" s="1186"/>
      <c r="H214" s="1186"/>
      <c r="I214" s="1186"/>
      <c r="J214" s="1186"/>
      <c r="K214" s="1186"/>
      <c r="L214" s="1186"/>
      <c r="M214" s="1186"/>
      <c r="N214" s="1186"/>
      <c r="O214" s="1186"/>
      <c r="P214" s="1186"/>
      <c r="Q214" s="1186"/>
      <c r="R214" s="1230">
        <f t="shared" ref="R214:R220" si="24">ROUND(W214*$Q$84/$Q$83,3)</f>
        <v>5.0000000000000001E-3</v>
      </c>
      <c r="S214" s="1231"/>
      <c r="T214" s="1231"/>
      <c r="U214" s="1231"/>
      <c r="V214" s="1232"/>
      <c r="W214" s="1233">
        <f t="shared" si="23"/>
        <v>40.69</v>
      </c>
      <c r="X214" s="1234"/>
      <c r="Y214" s="1234"/>
      <c r="Z214" s="1234"/>
      <c r="AA214" s="1235"/>
      <c r="AB214" s="1236">
        <f t="shared" ref="AB214:AB220" si="25">ROUND(W214*$Q$86,3)</f>
        <v>691.73</v>
      </c>
      <c r="AC214" s="1237"/>
      <c r="AD214" s="1237"/>
      <c r="AE214" s="1237"/>
      <c r="AF214" s="1238"/>
    </row>
    <row r="215" spans="2:32" ht="30" customHeight="1" x14ac:dyDescent="0.3">
      <c r="B215" s="1186" t="s">
        <v>2297</v>
      </c>
      <c r="C215" s="1186"/>
      <c r="D215" s="1186"/>
      <c r="E215" s="1186"/>
      <c r="F215" s="1186"/>
      <c r="G215" s="1186"/>
      <c r="H215" s="1186"/>
      <c r="I215" s="1186"/>
      <c r="J215" s="1186"/>
      <c r="K215" s="1186"/>
      <c r="L215" s="1186"/>
      <c r="M215" s="1186"/>
      <c r="N215" s="1186"/>
      <c r="O215" s="1186"/>
      <c r="P215" s="1186"/>
      <c r="Q215" s="1186"/>
      <c r="R215" s="1230">
        <f t="shared" si="24"/>
        <v>5.0000000000000001E-3</v>
      </c>
      <c r="S215" s="1231"/>
      <c r="T215" s="1231"/>
      <c r="U215" s="1231"/>
      <c r="V215" s="1232"/>
      <c r="W215" s="1233">
        <f t="shared" si="23"/>
        <v>40.69</v>
      </c>
      <c r="X215" s="1234"/>
      <c r="Y215" s="1234"/>
      <c r="Z215" s="1234"/>
      <c r="AA215" s="1235"/>
      <c r="AB215" s="1236">
        <f t="shared" si="25"/>
        <v>691.73</v>
      </c>
      <c r="AC215" s="1237"/>
      <c r="AD215" s="1237"/>
      <c r="AE215" s="1237"/>
      <c r="AF215" s="1238"/>
    </row>
    <row r="216" spans="2:32" ht="30" customHeight="1" x14ac:dyDescent="0.3">
      <c r="B216" s="1186" t="s">
        <v>2298</v>
      </c>
      <c r="C216" s="1186"/>
      <c r="D216" s="1186"/>
      <c r="E216" s="1186"/>
      <c r="F216" s="1186"/>
      <c r="G216" s="1186"/>
      <c r="H216" s="1186"/>
      <c r="I216" s="1186"/>
      <c r="J216" s="1186"/>
      <c r="K216" s="1186"/>
      <c r="L216" s="1186"/>
      <c r="M216" s="1186"/>
      <c r="N216" s="1186"/>
      <c r="O216" s="1186"/>
      <c r="P216" s="1186"/>
      <c r="Q216" s="1186"/>
      <c r="R216" s="1230">
        <f t="shared" si="24"/>
        <v>5.0000000000000001E-3</v>
      </c>
      <c r="S216" s="1231"/>
      <c r="T216" s="1231"/>
      <c r="U216" s="1231"/>
      <c r="V216" s="1232"/>
      <c r="W216" s="1233">
        <f t="shared" si="23"/>
        <v>46.69</v>
      </c>
      <c r="X216" s="1234"/>
      <c r="Y216" s="1234"/>
      <c r="Z216" s="1234"/>
      <c r="AA216" s="1235"/>
      <c r="AB216" s="1236">
        <f t="shared" si="25"/>
        <v>793.73</v>
      </c>
      <c r="AC216" s="1237"/>
      <c r="AD216" s="1237"/>
      <c r="AE216" s="1237"/>
      <c r="AF216" s="1238"/>
    </row>
    <row r="217" spans="2:32" ht="30" customHeight="1" x14ac:dyDescent="0.3">
      <c r="B217" s="1186" t="s">
        <v>2299</v>
      </c>
      <c r="C217" s="1186"/>
      <c r="D217" s="1186"/>
      <c r="E217" s="1186"/>
      <c r="F217" s="1186"/>
      <c r="G217" s="1186"/>
      <c r="H217" s="1186"/>
      <c r="I217" s="1186"/>
      <c r="J217" s="1186"/>
      <c r="K217" s="1186"/>
      <c r="L217" s="1186"/>
      <c r="M217" s="1186"/>
      <c r="N217" s="1186"/>
      <c r="O217" s="1186"/>
      <c r="P217" s="1186"/>
      <c r="Q217" s="1186"/>
      <c r="R217" s="1230">
        <f t="shared" si="24"/>
        <v>5.0000000000000001E-3</v>
      </c>
      <c r="S217" s="1231"/>
      <c r="T217" s="1231"/>
      <c r="U217" s="1231"/>
      <c r="V217" s="1232"/>
      <c r="W217" s="1233">
        <f t="shared" si="23"/>
        <v>46.69</v>
      </c>
      <c r="X217" s="1234"/>
      <c r="Y217" s="1234"/>
      <c r="Z217" s="1234"/>
      <c r="AA217" s="1235"/>
      <c r="AB217" s="1236">
        <f t="shared" si="25"/>
        <v>793.73</v>
      </c>
      <c r="AC217" s="1237"/>
      <c r="AD217" s="1237"/>
      <c r="AE217" s="1237"/>
      <c r="AF217" s="1238"/>
    </row>
    <row r="218" spans="2:32" ht="30" customHeight="1" x14ac:dyDescent="0.3">
      <c r="B218" s="1186" t="s">
        <v>2300</v>
      </c>
      <c r="C218" s="1186"/>
      <c r="D218" s="1186"/>
      <c r="E218" s="1186"/>
      <c r="F218" s="1186"/>
      <c r="G218" s="1186"/>
      <c r="H218" s="1186"/>
      <c r="I218" s="1186"/>
      <c r="J218" s="1186"/>
      <c r="K218" s="1186"/>
      <c r="L218" s="1186"/>
      <c r="M218" s="1186"/>
      <c r="N218" s="1186"/>
      <c r="O218" s="1186"/>
      <c r="P218" s="1186"/>
      <c r="Q218" s="1186"/>
      <c r="R218" s="1230">
        <f t="shared" si="24"/>
        <v>3.0000000000000001E-3</v>
      </c>
      <c r="S218" s="1231"/>
      <c r="T218" s="1231"/>
      <c r="U218" s="1231"/>
      <c r="V218" s="1232"/>
      <c r="W218" s="1233">
        <f t="shared" si="23"/>
        <v>25.98</v>
      </c>
      <c r="X218" s="1234"/>
      <c r="Y218" s="1234"/>
      <c r="Z218" s="1234"/>
      <c r="AA218" s="1235"/>
      <c r="AB218" s="1236">
        <f t="shared" si="25"/>
        <v>441.66</v>
      </c>
      <c r="AC218" s="1237"/>
      <c r="AD218" s="1237"/>
      <c r="AE218" s="1237"/>
      <c r="AF218" s="1238"/>
    </row>
    <row r="219" spans="2:32" ht="30" customHeight="1" x14ac:dyDescent="0.3">
      <c r="B219" s="1186" t="s">
        <v>2301</v>
      </c>
      <c r="C219" s="1186"/>
      <c r="D219" s="1186"/>
      <c r="E219" s="1186"/>
      <c r="F219" s="1186"/>
      <c r="G219" s="1186"/>
      <c r="H219" s="1186"/>
      <c r="I219" s="1186"/>
      <c r="J219" s="1186"/>
      <c r="K219" s="1186"/>
      <c r="L219" s="1186"/>
      <c r="M219" s="1186"/>
      <c r="N219" s="1186"/>
      <c r="O219" s="1186"/>
      <c r="P219" s="1186"/>
      <c r="Q219" s="1186"/>
      <c r="R219" s="1230">
        <f t="shared" si="24"/>
        <v>4.0000000000000001E-3</v>
      </c>
      <c r="S219" s="1231"/>
      <c r="T219" s="1231"/>
      <c r="U219" s="1231"/>
      <c r="V219" s="1232"/>
      <c r="W219" s="1233">
        <f t="shared" si="23"/>
        <v>36.020000000000003</v>
      </c>
      <c r="X219" s="1234"/>
      <c r="Y219" s="1234"/>
      <c r="Z219" s="1234"/>
      <c r="AA219" s="1235"/>
      <c r="AB219" s="1236">
        <f t="shared" si="25"/>
        <v>612.34</v>
      </c>
      <c r="AC219" s="1237"/>
      <c r="AD219" s="1237"/>
      <c r="AE219" s="1237"/>
      <c r="AF219" s="1238"/>
    </row>
    <row r="220" spans="2:32" ht="30" customHeight="1" x14ac:dyDescent="0.3">
      <c r="B220" s="1186" t="s">
        <v>2302</v>
      </c>
      <c r="C220" s="1186"/>
      <c r="D220" s="1186"/>
      <c r="E220" s="1186"/>
      <c r="F220" s="1186"/>
      <c r="G220" s="1186"/>
      <c r="H220" s="1186"/>
      <c r="I220" s="1186"/>
      <c r="J220" s="1186"/>
      <c r="K220" s="1186"/>
      <c r="L220" s="1186"/>
      <c r="M220" s="1186"/>
      <c r="N220" s="1186"/>
      <c r="O220" s="1186"/>
      <c r="P220" s="1186"/>
      <c r="Q220" s="1186"/>
      <c r="R220" s="1230">
        <f t="shared" si="24"/>
        <v>4.0000000000000001E-3</v>
      </c>
      <c r="S220" s="1231"/>
      <c r="T220" s="1231"/>
      <c r="U220" s="1231"/>
      <c r="V220" s="1232"/>
      <c r="W220" s="1233">
        <f t="shared" si="23"/>
        <v>38.26</v>
      </c>
      <c r="X220" s="1234"/>
      <c r="Y220" s="1234"/>
      <c r="Z220" s="1234"/>
      <c r="AA220" s="1235"/>
      <c r="AB220" s="1236">
        <f t="shared" si="25"/>
        <v>650.41999999999996</v>
      </c>
      <c r="AC220" s="1237"/>
      <c r="AD220" s="1237"/>
      <c r="AE220" s="1237"/>
      <c r="AF220" s="1238"/>
    </row>
    <row r="222" spans="2:32" x14ac:dyDescent="0.3">
      <c r="B222" s="51" t="s">
        <v>2323</v>
      </c>
    </row>
    <row r="223" spans="2:32" ht="30" customHeight="1" x14ac:dyDescent="0.3">
      <c r="B223" s="1196" t="s">
        <v>3783</v>
      </c>
      <c r="C223" s="1196"/>
      <c r="D223" s="1196"/>
      <c r="E223" s="1196"/>
      <c r="F223" s="1196"/>
      <c r="G223" s="1196"/>
      <c r="H223" s="1196"/>
      <c r="I223" s="1196"/>
      <c r="J223" s="1196"/>
      <c r="K223" s="1196"/>
      <c r="L223" s="1196"/>
      <c r="M223" s="1196"/>
      <c r="N223" s="1196"/>
      <c r="O223" s="1196"/>
      <c r="P223" s="1196"/>
      <c r="Q223" s="1196"/>
      <c r="R223" s="1196"/>
      <c r="S223" s="1196"/>
      <c r="T223" s="1196"/>
      <c r="U223" s="1196"/>
      <c r="V223" s="1196"/>
      <c r="W223" s="1196"/>
      <c r="X223" s="1196"/>
      <c r="Y223" s="1196"/>
      <c r="Z223" s="1196"/>
      <c r="AA223" s="1196"/>
      <c r="AB223" s="1196"/>
      <c r="AC223" s="1196"/>
      <c r="AD223" s="1196"/>
      <c r="AE223" s="1196"/>
      <c r="AF223" s="1196"/>
    </row>
    <row r="224" spans="2:32" ht="30" customHeight="1" x14ac:dyDescent="0.3">
      <c r="B224" s="1197" t="s">
        <v>2315</v>
      </c>
      <c r="C224" s="1198"/>
      <c r="D224" s="1198"/>
      <c r="E224" s="1198"/>
      <c r="F224" s="1198"/>
      <c r="G224" s="1198"/>
      <c r="H224" s="1198"/>
      <c r="I224" s="1198"/>
      <c r="J224" s="1198"/>
      <c r="K224" s="1198"/>
      <c r="L224" s="1198"/>
      <c r="M224" s="1198"/>
      <c r="N224" s="1198"/>
      <c r="O224" s="1199"/>
      <c r="P224" s="1203" t="s">
        <v>3784</v>
      </c>
      <c r="Q224" s="1204"/>
      <c r="R224" s="1204"/>
      <c r="S224" s="1204"/>
      <c r="T224" s="1204"/>
      <c r="U224" s="1205"/>
      <c r="V224" s="1203" t="s">
        <v>2027</v>
      </c>
      <c r="W224" s="1204"/>
      <c r="X224" s="1204"/>
      <c r="Y224" s="1204"/>
      <c r="Z224" s="1204"/>
      <c r="AA224" s="1205"/>
      <c r="AB224" s="1197" t="s">
        <v>1826</v>
      </c>
      <c r="AC224" s="1198"/>
      <c r="AD224" s="1198"/>
      <c r="AE224" s="1198"/>
      <c r="AF224" s="1199"/>
    </row>
    <row r="225" spans="2:32" ht="53.25" customHeight="1" x14ac:dyDescent="0.3">
      <c r="B225" s="1200"/>
      <c r="C225" s="1201"/>
      <c r="D225" s="1201"/>
      <c r="E225" s="1201"/>
      <c r="F225" s="1201"/>
      <c r="G225" s="1201"/>
      <c r="H225" s="1201"/>
      <c r="I225" s="1201"/>
      <c r="J225" s="1201"/>
      <c r="K225" s="1201"/>
      <c r="L225" s="1201"/>
      <c r="M225" s="1201"/>
      <c r="N225" s="1201"/>
      <c r="O225" s="1202"/>
      <c r="P225" s="1206" t="s">
        <v>3791</v>
      </c>
      <c r="Q225" s="1206"/>
      <c r="R225" s="1206"/>
      <c r="S225" s="1203" t="s">
        <v>3792</v>
      </c>
      <c r="T225" s="1204"/>
      <c r="U225" s="1205"/>
      <c r="V225" s="1206" t="s">
        <v>3791</v>
      </c>
      <c r="W225" s="1206"/>
      <c r="X225" s="1206"/>
      <c r="Y225" s="1203" t="s">
        <v>3792</v>
      </c>
      <c r="Z225" s="1204"/>
      <c r="AA225" s="1205"/>
      <c r="AB225" s="1200"/>
      <c r="AC225" s="1201"/>
      <c r="AD225" s="1201"/>
      <c r="AE225" s="1201"/>
      <c r="AF225" s="1202"/>
    </row>
    <row r="226" spans="2:32" ht="30" customHeight="1" x14ac:dyDescent="0.3">
      <c r="B226" s="1207" t="s">
        <v>2286</v>
      </c>
      <c r="C226" s="1208"/>
      <c r="D226" s="1208"/>
      <c r="E226" s="1208"/>
      <c r="F226" s="1208"/>
      <c r="G226" s="1208"/>
      <c r="H226" s="1208"/>
      <c r="I226" s="1208"/>
      <c r="J226" s="1208"/>
      <c r="K226" s="1208"/>
      <c r="L226" s="1208"/>
      <c r="M226" s="1208"/>
      <c r="N226" s="1208"/>
      <c r="O226" s="1209"/>
      <c r="P226" s="1239">
        <f t="shared" ref="P226:P233" si="26">ROUND(V226*$Q$84/$Q$83,3)</f>
        <v>9.1999999999999998E-2</v>
      </c>
      <c r="Q226" s="1240"/>
      <c r="R226" s="1240"/>
      <c r="S226" s="1239">
        <f t="shared" ref="S226:S233" si="27">ROUND(Y226*$Q$84/$Q$83,3)</f>
        <v>5.0000000000000001E-3</v>
      </c>
      <c r="T226" s="1240"/>
      <c r="U226" s="1240"/>
      <c r="V226" s="1241">
        <f>ROUND((W201+$W$185),2)</f>
        <v>801.95</v>
      </c>
      <c r="W226" s="1242"/>
      <c r="X226" s="1242"/>
      <c r="Y226" s="1241">
        <f>W201</f>
        <v>43.95</v>
      </c>
      <c r="Z226" s="1242"/>
      <c r="AA226" s="1242"/>
      <c r="AB226" s="1236">
        <f>ROUND((AB201+$AB$185),2)</f>
        <v>6679.3</v>
      </c>
      <c r="AC226" s="1237"/>
      <c r="AD226" s="1237"/>
      <c r="AE226" s="1237"/>
      <c r="AF226" s="1238"/>
    </row>
    <row r="227" spans="2:32" ht="30" customHeight="1" x14ac:dyDescent="0.3">
      <c r="B227" s="1207" t="s">
        <v>2287</v>
      </c>
      <c r="C227" s="1208"/>
      <c r="D227" s="1208"/>
      <c r="E227" s="1208"/>
      <c r="F227" s="1208"/>
      <c r="G227" s="1208"/>
      <c r="H227" s="1208"/>
      <c r="I227" s="1208"/>
      <c r="J227" s="1208"/>
      <c r="K227" s="1208"/>
      <c r="L227" s="1208"/>
      <c r="M227" s="1208"/>
      <c r="N227" s="1208"/>
      <c r="O227" s="1209"/>
      <c r="P227" s="1239">
        <f t="shared" si="26"/>
        <v>9.2999999999999999E-2</v>
      </c>
      <c r="Q227" s="1240"/>
      <c r="R227" s="1240"/>
      <c r="S227" s="1239">
        <f t="shared" si="27"/>
        <v>6.0000000000000001E-3</v>
      </c>
      <c r="T227" s="1240"/>
      <c r="U227" s="1240"/>
      <c r="V227" s="1241">
        <f t="shared" ref="V227:V232" si="28">ROUND((W202+$W$185),2)</f>
        <v>810.64</v>
      </c>
      <c r="W227" s="1242"/>
      <c r="X227" s="1242"/>
      <c r="Y227" s="1241">
        <f t="shared" ref="Y227:Y233" si="29">W202</f>
        <v>52.64</v>
      </c>
      <c r="Z227" s="1242"/>
      <c r="AA227" s="1242"/>
      <c r="AB227" s="1236">
        <f t="shared" ref="AB227:AB233" si="30">ROUND((AB202+$AB$185),2)</f>
        <v>6800.96</v>
      </c>
      <c r="AC227" s="1237"/>
      <c r="AD227" s="1237"/>
      <c r="AE227" s="1237"/>
      <c r="AF227" s="1238"/>
    </row>
    <row r="228" spans="2:32" ht="30" customHeight="1" x14ac:dyDescent="0.3">
      <c r="B228" s="1207" t="s">
        <v>2288</v>
      </c>
      <c r="C228" s="1208"/>
      <c r="D228" s="1208"/>
      <c r="E228" s="1208"/>
      <c r="F228" s="1208"/>
      <c r="G228" s="1208"/>
      <c r="H228" s="1208"/>
      <c r="I228" s="1208"/>
      <c r="J228" s="1208"/>
      <c r="K228" s="1208"/>
      <c r="L228" s="1208"/>
      <c r="M228" s="1208"/>
      <c r="N228" s="1208"/>
      <c r="O228" s="1209"/>
      <c r="P228" s="1239">
        <f t="shared" si="26"/>
        <v>9.2999999999999999E-2</v>
      </c>
      <c r="Q228" s="1240"/>
      <c r="R228" s="1240"/>
      <c r="S228" s="1239">
        <f t="shared" si="27"/>
        <v>7.0000000000000001E-3</v>
      </c>
      <c r="T228" s="1240"/>
      <c r="U228" s="1240"/>
      <c r="V228" s="1241">
        <f t="shared" si="28"/>
        <v>818.48</v>
      </c>
      <c r="W228" s="1242"/>
      <c r="X228" s="1242"/>
      <c r="Y228" s="1241">
        <f t="shared" si="29"/>
        <v>60.48</v>
      </c>
      <c r="Z228" s="1242"/>
      <c r="AA228" s="1242"/>
      <c r="AB228" s="1236">
        <f t="shared" si="30"/>
        <v>6910.72</v>
      </c>
      <c r="AC228" s="1237"/>
      <c r="AD228" s="1237"/>
      <c r="AE228" s="1237"/>
      <c r="AF228" s="1238"/>
    </row>
    <row r="229" spans="2:32" ht="30" customHeight="1" x14ac:dyDescent="0.3">
      <c r="B229" s="1207" t="s">
        <v>2289</v>
      </c>
      <c r="C229" s="1208"/>
      <c r="D229" s="1208"/>
      <c r="E229" s="1208"/>
      <c r="F229" s="1208"/>
      <c r="G229" s="1208"/>
      <c r="H229" s="1208"/>
      <c r="I229" s="1208"/>
      <c r="J229" s="1208"/>
      <c r="K229" s="1208"/>
      <c r="L229" s="1208"/>
      <c r="M229" s="1208"/>
      <c r="N229" s="1208"/>
      <c r="O229" s="1209"/>
      <c r="P229" s="1239">
        <f t="shared" si="26"/>
        <v>9.4E-2</v>
      </c>
      <c r="Q229" s="1240"/>
      <c r="R229" s="1240"/>
      <c r="S229" s="1239">
        <f t="shared" si="27"/>
        <v>7.0000000000000001E-3</v>
      </c>
      <c r="T229" s="1240"/>
      <c r="U229" s="1240"/>
      <c r="V229" s="1241">
        <f t="shared" si="28"/>
        <v>821.47</v>
      </c>
      <c r="W229" s="1242"/>
      <c r="X229" s="1242"/>
      <c r="Y229" s="1241">
        <f t="shared" si="29"/>
        <v>63.47</v>
      </c>
      <c r="Z229" s="1242"/>
      <c r="AA229" s="1242"/>
      <c r="AB229" s="1236">
        <f t="shared" si="30"/>
        <v>6952.58</v>
      </c>
      <c r="AC229" s="1237"/>
      <c r="AD229" s="1237"/>
      <c r="AE229" s="1237"/>
      <c r="AF229" s="1238"/>
    </row>
    <row r="230" spans="2:32" ht="30" customHeight="1" x14ac:dyDescent="0.3">
      <c r="B230" s="1207" t="s">
        <v>2290</v>
      </c>
      <c r="C230" s="1208"/>
      <c r="D230" s="1208"/>
      <c r="E230" s="1208"/>
      <c r="F230" s="1208"/>
      <c r="G230" s="1208"/>
      <c r="H230" s="1208"/>
      <c r="I230" s="1208"/>
      <c r="J230" s="1208"/>
      <c r="K230" s="1208"/>
      <c r="L230" s="1208"/>
      <c r="M230" s="1208"/>
      <c r="N230" s="1208"/>
      <c r="O230" s="1209"/>
      <c r="P230" s="1239">
        <f t="shared" si="26"/>
        <v>9.5000000000000001E-2</v>
      </c>
      <c r="Q230" s="1240"/>
      <c r="R230" s="1240"/>
      <c r="S230" s="1239">
        <f t="shared" si="27"/>
        <v>8.0000000000000002E-3</v>
      </c>
      <c r="T230" s="1240"/>
      <c r="U230" s="1240"/>
      <c r="V230" s="1241">
        <f t="shared" si="28"/>
        <v>830.31</v>
      </c>
      <c r="W230" s="1242"/>
      <c r="X230" s="1242"/>
      <c r="Y230" s="1241">
        <f t="shared" si="29"/>
        <v>72.31</v>
      </c>
      <c r="Z230" s="1242"/>
      <c r="AA230" s="1242"/>
      <c r="AB230" s="1236">
        <f t="shared" si="30"/>
        <v>7076.34</v>
      </c>
      <c r="AC230" s="1237"/>
      <c r="AD230" s="1237"/>
      <c r="AE230" s="1237"/>
      <c r="AF230" s="1238"/>
    </row>
    <row r="231" spans="2:32" ht="30" customHeight="1" x14ac:dyDescent="0.3">
      <c r="B231" s="1207" t="s">
        <v>2291</v>
      </c>
      <c r="C231" s="1208"/>
      <c r="D231" s="1208"/>
      <c r="E231" s="1208"/>
      <c r="F231" s="1208"/>
      <c r="G231" s="1208"/>
      <c r="H231" s="1208"/>
      <c r="I231" s="1208"/>
      <c r="J231" s="1208"/>
      <c r="K231" s="1208"/>
      <c r="L231" s="1208"/>
      <c r="M231" s="1208"/>
      <c r="N231" s="1208"/>
      <c r="O231" s="1209"/>
      <c r="P231" s="1239">
        <f t="shared" si="26"/>
        <v>9.2999999999999999E-2</v>
      </c>
      <c r="Q231" s="1240"/>
      <c r="R231" s="1240"/>
      <c r="S231" s="1239">
        <f t="shared" si="27"/>
        <v>7.0000000000000001E-3</v>
      </c>
      <c r="T231" s="1240"/>
      <c r="U231" s="1240"/>
      <c r="V231" s="1241">
        <f t="shared" si="28"/>
        <v>818.42</v>
      </c>
      <c r="W231" s="1242"/>
      <c r="X231" s="1242"/>
      <c r="Y231" s="1241">
        <f t="shared" si="29"/>
        <v>60.42</v>
      </c>
      <c r="Z231" s="1242"/>
      <c r="AA231" s="1242"/>
      <c r="AB231" s="1236">
        <f t="shared" si="30"/>
        <v>6909.88</v>
      </c>
      <c r="AC231" s="1237"/>
      <c r="AD231" s="1237"/>
      <c r="AE231" s="1237"/>
      <c r="AF231" s="1238"/>
    </row>
    <row r="232" spans="2:32" ht="30" customHeight="1" x14ac:dyDescent="0.3">
      <c r="B232" s="1207" t="s">
        <v>2338</v>
      </c>
      <c r="C232" s="1208"/>
      <c r="D232" s="1208"/>
      <c r="E232" s="1208"/>
      <c r="F232" s="1208"/>
      <c r="G232" s="1208"/>
      <c r="H232" s="1208"/>
      <c r="I232" s="1208"/>
      <c r="J232" s="1208"/>
      <c r="K232" s="1208"/>
      <c r="L232" s="1208"/>
      <c r="M232" s="1208"/>
      <c r="N232" s="1208"/>
      <c r="O232" s="1209"/>
      <c r="P232" s="1239">
        <f t="shared" si="26"/>
        <v>9.4E-2</v>
      </c>
      <c r="Q232" s="1240"/>
      <c r="R232" s="1240"/>
      <c r="S232" s="1239">
        <f t="shared" si="27"/>
        <v>7.0000000000000001E-3</v>
      </c>
      <c r="T232" s="1240"/>
      <c r="U232" s="1240"/>
      <c r="V232" s="1241">
        <f t="shared" si="28"/>
        <v>823.59</v>
      </c>
      <c r="W232" s="1242"/>
      <c r="X232" s="1242"/>
      <c r="Y232" s="1241">
        <f t="shared" si="29"/>
        <v>65.59</v>
      </c>
      <c r="Z232" s="1242"/>
      <c r="AA232" s="1242"/>
      <c r="AB232" s="1236">
        <f t="shared" si="30"/>
        <v>6982.26</v>
      </c>
      <c r="AC232" s="1237"/>
      <c r="AD232" s="1237"/>
      <c r="AE232" s="1237"/>
      <c r="AF232" s="1238"/>
    </row>
    <row r="233" spans="2:32" ht="30" customHeight="1" x14ac:dyDescent="0.3">
      <c r="B233" s="1207" t="s">
        <v>2292</v>
      </c>
      <c r="C233" s="1208"/>
      <c r="D233" s="1208"/>
      <c r="E233" s="1208"/>
      <c r="F233" s="1208"/>
      <c r="G233" s="1208"/>
      <c r="H233" s="1208"/>
      <c r="I233" s="1208"/>
      <c r="J233" s="1208"/>
      <c r="K233" s="1208"/>
      <c r="L233" s="1208"/>
      <c r="M233" s="1208"/>
      <c r="N233" s="1208"/>
      <c r="O233" s="1209"/>
      <c r="P233" s="1239">
        <f t="shared" si="26"/>
        <v>9.2999999999999999E-2</v>
      </c>
      <c r="Q233" s="1240"/>
      <c r="R233" s="1240"/>
      <c r="S233" s="1239">
        <f t="shared" si="27"/>
        <v>7.0000000000000001E-3</v>
      </c>
      <c r="T233" s="1240"/>
      <c r="U233" s="1240"/>
      <c r="V233" s="1241">
        <f>ROUND((W208+$W$185),2)</f>
        <v>817.84</v>
      </c>
      <c r="W233" s="1242"/>
      <c r="X233" s="1242"/>
      <c r="Y233" s="1241">
        <f t="shared" si="29"/>
        <v>59.84</v>
      </c>
      <c r="Z233" s="1242"/>
      <c r="AA233" s="1242"/>
      <c r="AB233" s="1236">
        <f t="shared" si="30"/>
        <v>6901.76</v>
      </c>
      <c r="AC233" s="1237"/>
      <c r="AD233" s="1237"/>
      <c r="AE233" s="1237"/>
      <c r="AF233" s="1238"/>
    </row>
    <row r="234" spans="2:32" x14ac:dyDescent="0.3">
      <c r="B234" s="532" t="s">
        <v>3793</v>
      </c>
      <c r="C234" s="350"/>
      <c r="D234" s="350"/>
      <c r="E234" s="350"/>
      <c r="F234" s="350"/>
      <c r="G234" s="350"/>
      <c r="H234" s="350"/>
      <c r="I234" s="350"/>
      <c r="J234" s="350"/>
      <c r="K234" s="350"/>
      <c r="L234" s="350"/>
      <c r="M234" s="350"/>
      <c r="N234" s="350"/>
      <c r="O234" s="350"/>
      <c r="P234" s="529"/>
      <c r="Q234" s="529"/>
      <c r="R234" s="529"/>
      <c r="S234" s="529"/>
      <c r="T234" s="529"/>
      <c r="U234" s="529"/>
      <c r="V234" s="530"/>
      <c r="W234" s="530"/>
      <c r="X234" s="530"/>
      <c r="Y234" s="530"/>
      <c r="Z234" s="530"/>
      <c r="AA234" s="530"/>
      <c r="AB234" s="531"/>
      <c r="AC234" s="531"/>
      <c r="AD234" s="531"/>
      <c r="AE234" s="531"/>
      <c r="AF234" s="531"/>
    </row>
    <row r="235" spans="2:32" x14ac:dyDescent="0.3">
      <c r="B235" s="532" t="s">
        <v>3794</v>
      </c>
      <c r="C235" s="350"/>
      <c r="D235" s="350"/>
      <c r="E235" s="350"/>
      <c r="F235" s="350"/>
      <c r="G235" s="350"/>
      <c r="H235" s="350"/>
      <c r="I235" s="350"/>
      <c r="J235" s="350"/>
      <c r="K235" s="350"/>
      <c r="L235" s="350"/>
      <c r="M235" s="350"/>
      <c r="N235" s="350"/>
      <c r="O235" s="350"/>
      <c r="P235" s="529"/>
      <c r="Q235" s="529"/>
      <c r="R235" s="529"/>
      <c r="S235" s="529"/>
      <c r="T235" s="529"/>
      <c r="U235" s="529"/>
      <c r="V235" s="530"/>
      <c r="W235" s="530"/>
      <c r="X235" s="530"/>
      <c r="Y235" s="530"/>
      <c r="Z235" s="530"/>
      <c r="AA235" s="530"/>
      <c r="AB235" s="531"/>
      <c r="AC235" s="531"/>
      <c r="AD235" s="531"/>
      <c r="AE235" s="531"/>
      <c r="AF235" s="531"/>
    </row>
    <row r="237" spans="2:32" x14ac:dyDescent="0.3">
      <c r="B237" s="51" t="s">
        <v>2324</v>
      </c>
    </row>
    <row r="238" spans="2:32" ht="30" customHeight="1" x14ac:dyDescent="0.3">
      <c r="B238" s="1196" t="s">
        <v>3785</v>
      </c>
      <c r="C238" s="1196"/>
      <c r="D238" s="1196"/>
      <c r="E238" s="1196"/>
      <c r="F238" s="1196"/>
      <c r="G238" s="1196"/>
      <c r="H238" s="1196"/>
      <c r="I238" s="1196"/>
      <c r="J238" s="1196"/>
      <c r="K238" s="1196"/>
      <c r="L238" s="1196"/>
      <c r="M238" s="1196"/>
      <c r="N238" s="1196"/>
      <c r="O238" s="1196"/>
      <c r="P238" s="1196"/>
      <c r="Q238" s="1196"/>
      <c r="R238" s="1196"/>
      <c r="S238" s="1196"/>
      <c r="T238" s="1196"/>
      <c r="U238" s="1196"/>
      <c r="V238" s="1196"/>
      <c r="W238" s="1196"/>
      <c r="X238" s="1196"/>
      <c r="Y238" s="1196"/>
      <c r="Z238" s="1196"/>
      <c r="AA238" s="1196"/>
      <c r="AB238" s="1196"/>
      <c r="AC238" s="1196"/>
      <c r="AD238" s="1196"/>
      <c r="AE238" s="1196"/>
      <c r="AF238" s="1196"/>
    </row>
    <row r="239" spans="2:32" ht="30" customHeight="1" x14ac:dyDescent="0.3">
      <c r="B239" s="1197" t="s">
        <v>2316</v>
      </c>
      <c r="C239" s="1198"/>
      <c r="D239" s="1198"/>
      <c r="E239" s="1198"/>
      <c r="F239" s="1198"/>
      <c r="G239" s="1198"/>
      <c r="H239" s="1198"/>
      <c r="I239" s="1198"/>
      <c r="J239" s="1198"/>
      <c r="K239" s="1198"/>
      <c r="L239" s="1198"/>
      <c r="M239" s="1198"/>
      <c r="N239" s="1198"/>
      <c r="O239" s="1199"/>
      <c r="P239" s="1203" t="s">
        <v>3784</v>
      </c>
      <c r="Q239" s="1204"/>
      <c r="R239" s="1204"/>
      <c r="S239" s="1204"/>
      <c r="T239" s="1204"/>
      <c r="U239" s="1205"/>
      <c r="V239" s="1203" t="s">
        <v>2027</v>
      </c>
      <c r="W239" s="1204"/>
      <c r="X239" s="1204"/>
      <c r="Y239" s="1204"/>
      <c r="Z239" s="1204"/>
      <c r="AA239" s="1205"/>
      <c r="AB239" s="1197" t="s">
        <v>1826</v>
      </c>
      <c r="AC239" s="1198"/>
      <c r="AD239" s="1198"/>
      <c r="AE239" s="1198"/>
      <c r="AF239" s="1199"/>
    </row>
    <row r="240" spans="2:32" ht="50.25" customHeight="1" x14ac:dyDescent="0.3">
      <c r="B240" s="1200"/>
      <c r="C240" s="1201"/>
      <c r="D240" s="1201"/>
      <c r="E240" s="1201"/>
      <c r="F240" s="1201"/>
      <c r="G240" s="1201"/>
      <c r="H240" s="1201"/>
      <c r="I240" s="1201"/>
      <c r="J240" s="1201"/>
      <c r="K240" s="1201"/>
      <c r="L240" s="1201"/>
      <c r="M240" s="1201"/>
      <c r="N240" s="1201"/>
      <c r="O240" s="1202"/>
      <c r="P240" s="1206" t="s">
        <v>3791</v>
      </c>
      <c r="Q240" s="1206"/>
      <c r="R240" s="1206"/>
      <c r="S240" s="1203" t="s">
        <v>3792</v>
      </c>
      <c r="T240" s="1204"/>
      <c r="U240" s="1205"/>
      <c r="V240" s="1206" t="s">
        <v>3791</v>
      </c>
      <c r="W240" s="1206"/>
      <c r="X240" s="1206"/>
      <c r="Y240" s="1203" t="s">
        <v>3792</v>
      </c>
      <c r="Z240" s="1204"/>
      <c r="AA240" s="1205"/>
      <c r="AB240" s="1200"/>
      <c r="AC240" s="1201"/>
      <c r="AD240" s="1201"/>
      <c r="AE240" s="1201"/>
      <c r="AF240" s="1202"/>
    </row>
    <row r="241" spans="1:32" ht="30" customHeight="1" x14ac:dyDescent="0.3">
      <c r="B241" s="1207" t="s">
        <v>2295</v>
      </c>
      <c r="C241" s="1208"/>
      <c r="D241" s="1208"/>
      <c r="E241" s="1208"/>
      <c r="F241" s="1208"/>
      <c r="G241" s="1208"/>
      <c r="H241" s="1208"/>
      <c r="I241" s="1208"/>
      <c r="J241" s="1208"/>
      <c r="K241" s="1208"/>
      <c r="L241" s="1208"/>
      <c r="M241" s="1208"/>
      <c r="N241" s="1208"/>
      <c r="O241" s="1209"/>
      <c r="P241" s="1239">
        <f>ROUND(V241*$Q$84/$Q$83,3)</f>
        <v>6.9000000000000006E-2</v>
      </c>
      <c r="Q241" s="1240"/>
      <c r="R241" s="1240"/>
      <c r="S241" s="1239">
        <f>ROUND(Y241*$Q$84/$Q$83,3)</f>
        <v>4.0000000000000001E-3</v>
      </c>
      <c r="T241" s="1240"/>
      <c r="U241" s="1240"/>
      <c r="V241" s="1241">
        <f>ROUND((W213+$W$186),2)</f>
        <v>605.04999999999995</v>
      </c>
      <c r="W241" s="1242"/>
      <c r="X241" s="1242"/>
      <c r="Y241" s="1241">
        <f>W213</f>
        <v>31.05</v>
      </c>
      <c r="Z241" s="1242"/>
      <c r="AA241" s="1242"/>
      <c r="AB241" s="1236">
        <f>ROUND((AB213+$AB$186),2)</f>
        <v>4545.8500000000004</v>
      </c>
      <c r="AC241" s="1237"/>
      <c r="AD241" s="1237"/>
      <c r="AE241" s="1237"/>
      <c r="AF241" s="1238"/>
    </row>
    <row r="242" spans="1:32" ht="30" customHeight="1" x14ac:dyDescent="0.3">
      <c r="B242" s="1207" t="s">
        <v>2296</v>
      </c>
      <c r="C242" s="1208"/>
      <c r="D242" s="1208"/>
      <c r="E242" s="1208"/>
      <c r="F242" s="1208"/>
      <c r="G242" s="1208"/>
      <c r="H242" s="1208"/>
      <c r="I242" s="1208"/>
      <c r="J242" s="1208"/>
      <c r="K242" s="1208"/>
      <c r="L242" s="1208"/>
      <c r="M242" s="1208"/>
      <c r="N242" s="1208"/>
      <c r="O242" s="1209"/>
      <c r="P242" s="1239">
        <f t="shared" ref="P242:P248" si="31">ROUND(V242*$Q$84/$Q$83,3)</f>
        <v>7.0000000000000007E-2</v>
      </c>
      <c r="Q242" s="1240"/>
      <c r="R242" s="1240"/>
      <c r="S242" s="1239">
        <f t="shared" ref="S242:S248" si="32">ROUND(Y242*$Q$84/$Q$83,3)</f>
        <v>5.0000000000000001E-3</v>
      </c>
      <c r="T242" s="1240"/>
      <c r="U242" s="1240"/>
      <c r="V242" s="1241">
        <f t="shared" ref="V242:V247" si="33">ROUND((W214+$W$186),2)</f>
        <v>614.69000000000005</v>
      </c>
      <c r="W242" s="1242"/>
      <c r="X242" s="1242"/>
      <c r="Y242" s="1241">
        <f t="shared" ref="Y242:Y248" si="34">W214</f>
        <v>40.69</v>
      </c>
      <c r="Z242" s="1242"/>
      <c r="AA242" s="1242"/>
      <c r="AB242" s="1236">
        <f t="shared" ref="AB242:AB247" si="35">ROUND((AB214+$AB$186),2)</f>
        <v>4709.7299999999996</v>
      </c>
      <c r="AC242" s="1237"/>
      <c r="AD242" s="1237"/>
      <c r="AE242" s="1237"/>
      <c r="AF242" s="1238"/>
    </row>
    <row r="243" spans="1:32" ht="30" customHeight="1" x14ac:dyDescent="0.3">
      <c r="B243" s="1207" t="s">
        <v>2297</v>
      </c>
      <c r="C243" s="1208"/>
      <c r="D243" s="1208"/>
      <c r="E243" s="1208"/>
      <c r="F243" s="1208"/>
      <c r="G243" s="1208"/>
      <c r="H243" s="1208"/>
      <c r="I243" s="1208"/>
      <c r="J243" s="1208"/>
      <c r="K243" s="1208"/>
      <c r="L243" s="1208"/>
      <c r="M243" s="1208"/>
      <c r="N243" s="1208"/>
      <c r="O243" s="1209"/>
      <c r="P243" s="1239">
        <f t="shared" si="31"/>
        <v>7.0000000000000007E-2</v>
      </c>
      <c r="Q243" s="1240"/>
      <c r="R243" s="1240"/>
      <c r="S243" s="1239">
        <f t="shared" si="32"/>
        <v>5.0000000000000001E-3</v>
      </c>
      <c r="T243" s="1240"/>
      <c r="U243" s="1240"/>
      <c r="V243" s="1241">
        <f t="shared" si="33"/>
        <v>614.69000000000005</v>
      </c>
      <c r="W243" s="1242"/>
      <c r="X243" s="1242"/>
      <c r="Y243" s="1241">
        <f t="shared" si="34"/>
        <v>40.69</v>
      </c>
      <c r="Z243" s="1242"/>
      <c r="AA243" s="1242"/>
      <c r="AB243" s="1236">
        <f t="shared" si="35"/>
        <v>4709.7299999999996</v>
      </c>
      <c r="AC243" s="1237"/>
      <c r="AD243" s="1237"/>
      <c r="AE243" s="1237"/>
      <c r="AF243" s="1238"/>
    </row>
    <row r="244" spans="1:32" ht="30" customHeight="1" x14ac:dyDescent="0.3">
      <c r="B244" s="1207" t="s">
        <v>2298</v>
      </c>
      <c r="C244" s="1208"/>
      <c r="D244" s="1208"/>
      <c r="E244" s="1208"/>
      <c r="F244" s="1208"/>
      <c r="G244" s="1208"/>
      <c r="H244" s="1208"/>
      <c r="I244" s="1208"/>
      <c r="J244" s="1208"/>
      <c r="K244" s="1208"/>
      <c r="L244" s="1208"/>
      <c r="M244" s="1208"/>
      <c r="N244" s="1208"/>
      <c r="O244" s="1209"/>
      <c r="P244" s="1239">
        <f t="shared" si="31"/>
        <v>7.0999999999999994E-2</v>
      </c>
      <c r="Q244" s="1240"/>
      <c r="R244" s="1240"/>
      <c r="S244" s="1239">
        <f t="shared" si="32"/>
        <v>5.0000000000000001E-3</v>
      </c>
      <c r="T244" s="1240"/>
      <c r="U244" s="1240"/>
      <c r="V244" s="1241">
        <f t="shared" si="33"/>
        <v>620.69000000000005</v>
      </c>
      <c r="W244" s="1242"/>
      <c r="X244" s="1242"/>
      <c r="Y244" s="1241">
        <f t="shared" si="34"/>
        <v>46.69</v>
      </c>
      <c r="Z244" s="1242"/>
      <c r="AA244" s="1242"/>
      <c r="AB244" s="1236">
        <f t="shared" si="35"/>
        <v>4811.7299999999996</v>
      </c>
      <c r="AC244" s="1237"/>
      <c r="AD244" s="1237"/>
      <c r="AE244" s="1237"/>
      <c r="AF244" s="1238"/>
    </row>
    <row r="245" spans="1:32" ht="30" customHeight="1" x14ac:dyDescent="0.3">
      <c r="B245" s="1207" t="s">
        <v>2299</v>
      </c>
      <c r="C245" s="1208"/>
      <c r="D245" s="1208"/>
      <c r="E245" s="1208"/>
      <c r="F245" s="1208"/>
      <c r="G245" s="1208"/>
      <c r="H245" s="1208"/>
      <c r="I245" s="1208"/>
      <c r="J245" s="1208"/>
      <c r="K245" s="1208"/>
      <c r="L245" s="1208"/>
      <c r="M245" s="1208"/>
      <c r="N245" s="1208"/>
      <c r="O245" s="1209"/>
      <c r="P245" s="1239">
        <f t="shared" si="31"/>
        <v>7.0999999999999994E-2</v>
      </c>
      <c r="Q245" s="1240"/>
      <c r="R245" s="1240"/>
      <c r="S245" s="1239">
        <f t="shared" si="32"/>
        <v>5.0000000000000001E-3</v>
      </c>
      <c r="T245" s="1240"/>
      <c r="U245" s="1240"/>
      <c r="V245" s="1241">
        <f t="shared" si="33"/>
        <v>620.69000000000005</v>
      </c>
      <c r="W245" s="1242"/>
      <c r="X245" s="1242"/>
      <c r="Y245" s="1241">
        <f t="shared" si="34"/>
        <v>46.69</v>
      </c>
      <c r="Z245" s="1242"/>
      <c r="AA245" s="1242"/>
      <c r="AB245" s="1236">
        <f t="shared" si="35"/>
        <v>4811.7299999999996</v>
      </c>
      <c r="AC245" s="1237"/>
      <c r="AD245" s="1237"/>
      <c r="AE245" s="1237"/>
      <c r="AF245" s="1238"/>
    </row>
    <row r="246" spans="1:32" ht="30" customHeight="1" x14ac:dyDescent="0.3">
      <c r="B246" s="1207" t="s">
        <v>2300</v>
      </c>
      <c r="C246" s="1208"/>
      <c r="D246" s="1208"/>
      <c r="E246" s="1208"/>
      <c r="F246" s="1208"/>
      <c r="G246" s="1208"/>
      <c r="H246" s="1208"/>
      <c r="I246" s="1208"/>
      <c r="J246" s="1208"/>
      <c r="K246" s="1208"/>
      <c r="L246" s="1208"/>
      <c r="M246" s="1208"/>
      <c r="N246" s="1208"/>
      <c r="O246" s="1209"/>
      <c r="P246" s="1239">
        <f t="shared" si="31"/>
        <v>6.8000000000000005E-2</v>
      </c>
      <c r="Q246" s="1240"/>
      <c r="R246" s="1240"/>
      <c r="S246" s="1239">
        <f t="shared" si="32"/>
        <v>3.0000000000000001E-3</v>
      </c>
      <c r="T246" s="1240"/>
      <c r="U246" s="1240"/>
      <c r="V246" s="1241">
        <f t="shared" si="33"/>
        <v>599.98</v>
      </c>
      <c r="W246" s="1242"/>
      <c r="X246" s="1242"/>
      <c r="Y246" s="1241">
        <f t="shared" si="34"/>
        <v>25.98</v>
      </c>
      <c r="Z246" s="1242"/>
      <c r="AA246" s="1242"/>
      <c r="AB246" s="1236">
        <f t="shared" si="35"/>
        <v>4459.66</v>
      </c>
      <c r="AC246" s="1237"/>
      <c r="AD246" s="1237"/>
      <c r="AE246" s="1237"/>
      <c r="AF246" s="1238"/>
    </row>
    <row r="247" spans="1:32" ht="30" customHeight="1" x14ac:dyDescent="0.3">
      <c r="B247" s="1207" t="s">
        <v>2301</v>
      </c>
      <c r="C247" s="1208"/>
      <c r="D247" s="1208"/>
      <c r="E247" s="1208"/>
      <c r="F247" s="1208"/>
      <c r="G247" s="1208"/>
      <c r="H247" s="1208"/>
      <c r="I247" s="1208"/>
      <c r="J247" s="1208"/>
      <c r="K247" s="1208"/>
      <c r="L247" s="1208"/>
      <c r="M247" s="1208"/>
      <c r="N247" s="1208"/>
      <c r="O247" s="1209"/>
      <c r="P247" s="1239">
        <f t="shared" si="31"/>
        <v>7.0000000000000007E-2</v>
      </c>
      <c r="Q247" s="1240"/>
      <c r="R247" s="1240"/>
      <c r="S247" s="1239">
        <f t="shared" si="32"/>
        <v>4.0000000000000001E-3</v>
      </c>
      <c r="T247" s="1240"/>
      <c r="U247" s="1240"/>
      <c r="V247" s="1241">
        <f t="shared" si="33"/>
        <v>610.02</v>
      </c>
      <c r="W247" s="1242"/>
      <c r="X247" s="1242"/>
      <c r="Y247" s="1241">
        <f t="shared" si="34"/>
        <v>36.020000000000003</v>
      </c>
      <c r="Z247" s="1242"/>
      <c r="AA247" s="1242"/>
      <c r="AB247" s="1236">
        <f t="shared" si="35"/>
        <v>4630.34</v>
      </c>
      <c r="AC247" s="1237"/>
      <c r="AD247" s="1237"/>
      <c r="AE247" s="1237"/>
      <c r="AF247" s="1238"/>
    </row>
    <row r="248" spans="1:32" ht="30" customHeight="1" x14ac:dyDescent="0.3">
      <c r="B248" s="1207" t="s">
        <v>2302</v>
      </c>
      <c r="C248" s="1208"/>
      <c r="D248" s="1208"/>
      <c r="E248" s="1208"/>
      <c r="F248" s="1208"/>
      <c r="G248" s="1208"/>
      <c r="H248" s="1208"/>
      <c r="I248" s="1208"/>
      <c r="J248" s="1208"/>
      <c r="K248" s="1208"/>
      <c r="L248" s="1208"/>
      <c r="M248" s="1208"/>
      <c r="N248" s="1208"/>
      <c r="O248" s="1209"/>
      <c r="P248" s="1239">
        <f t="shared" si="31"/>
        <v>7.0000000000000007E-2</v>
      </c>
      <c r="Q248" s="1240"/>
      <c r="R248" s="1240"/>
      <c r="S248" s="1239">
        <f t="shared" si="32"/>
        <v>4.0000000000000001E-3</v>
      </c>
      <c r="T248" s="1240"/>
      <c r="U248" s="1240"/>
      <c r="V248" s="1241">
        <f>ROUND((W220+$W$186),2)</f>
        <v>612.26</v>
      </c>
      <c r="W248" s="1242"/>
      <c r="X248" s="1242"/>
      <c r="Y248" s="1241">
        <f t="shared" si="34"/>
        <v>38.26</v>
      </c>
      <c r="Z248" s="1242"/>
      <c r="AA248" s="1242"/>
      <c r="AB248" s="1236">
        <f>ROUND((AB220+$AB$186),2)</f>
        <v>4668.42</v>
      </c>
      <c r="AC248" s="1237"/>
      <c r="AD248" s="1237"/>
      <c r="AE248" s="1237"/>
      <c r="AF248" s="1238"/>
    </row>
    <row r="249" spans="1:32" x14ac:dyDescent="0.3">
      <c r="B249" s="532" t="s">
        <v>3795</v>
      </c>
      <c r="C249" s="533"/>
      <c r="D249" s="533"/>
      <c r="E249" s="533"/>
      <c r="F249" s="533"/>
      <c r="G249" s="533"/>
      <c r="H249" s="533"/>
      <c r="I249" s="533"/>
      <c r="J249" s="533"/>
      <c r="K249" s="533"/>
      <c r="L249" s="533"/>
      <c r="M249" s="533"/>
      <c r="N249" s="533"/>
      <c r="O249" s="533"/>
      <c r="P249" s="534"/>
      <c r="Q249" s="534"/>
      <c r="R249" s="534"/>
      <c r="S249" s="534"/>
      <c r="T249" s="534"/>
      <c r="U249" s="534"/>
      <c r="V249" s="535"/>
      <c r="W249" s="535"/>
      <c r="X249" s="535"/>
      <c r="Y249" s="535"/>
      <c r="Z249" s="535"/>
      <c r="AA249" s="535"/>
      <c r="AB249" s="536"/>
      <c r="AC249" s="536"/>
      <c r="AD249" s="536"/>
      <c r="AE249" s="536"/>
      <c r="AF249" s="536"/>
    </row>
    <row r="250" spans="1:32" x14ac:dyDescent="0.3">
      <c r="B250" s="532" t="s">
        <v>3796</v>
      </c>
      <c r="C250" s="533"/>
      <c r="D250" s="533"/>
      <c r="E250" s="533"/>
      <c r="F250" s="533"/>
      <c r="G250" s="533"/>
      <c r="H250" s="533"/>
      <c r="I250" s="533"/>
      <c r="J250" s="533"/>
      <c r="K250" s="533"/>
      <c r="L250" s="533"/>
      <c r="M250" s="533"/>
      <c r="N250" s="533"/>
      <c r="O250" s="533"/>
      <c r="P250" s="534"/>
      <c r="Q250" s="534"/>
      <c r="R250" s="534"/>
      <c r="S250" s="534"/>
      <c r="T250" s="534"/>
      <c r="U250" s="534"/>
      <c r="V250" s="535"/>
      <c r="W250" s="535"/>
      <c r="X250" s="535"/>
      <c r="Y250" s="535"/>
      <c r="Z250" s="535"/>
      <c r="AA250" s="535"/>
      <c r="AB250" s="536"/>
      <c r="AC250" s="536"/>
      <c r="AD250" s="536"/>
      <c r="AE250" s="536"/>
      <c r="AF250" s="536"/>
    </row>
    <row r="252" spans="1:32" x14ac:dyDescent="0.3">
      <c r="A252" s="1141" t="s">
        <v>1514</v>
      </c>
      <c r="B252" s="1141"/>
      <c r="C252" s="1141"/>
      <c r="D252" s="1141"/>
      <c r="E252" s="1141"/>
      <c r="F252" s="1141"/>
      <c r="G252" s="1141"/>
      <c r="H252" s="1141"/>
      <c r="I252" s="1141"/>
      <c r="J252" s="1141"/>
      <c r="K252" s="1141"/>
      <c r="L252" s="1141"/>
      <c r="M252" s="1141"/>
      <c r="N252" s="1141"/>
      <c r="O252" s="1141"/>
      <c r="P252" s="1141"/>
      <c r="Q252" s="1141"/>
      <c r="R252" s="1141"/>
      <c r="S252" s="1141"/>
      <c r="T252" s="1141"/>
      <c r="U252" s="1141"/>
      <c r="V252" s="1141"/>
      <c r="W252" s="1141"/>
      <c r="X252" s="1141"/>
      <c r="Y252" s="1141"/>
      <c r="Z252" s="1141"/>
      <c r="AA252" s="1141"/>
      <c r="AB252" s="1141"/>
      <c r="AC252" s="1141"/>
      <c r="AD252" s="1141"/>
      <c r="AE252" s="1141"/>
      <c r="AF252" s="1141"/>
    </row>
    <row r="254" spans="1:32" ht="30" customHeight="1" x14ac:dyDescent="0.3">
      <c r="A254" s="368" t="s">
        <v>803</v>
      </c>
      <c r="B254" s="889" t="s">
        <v>3786</v>
      </c>
      <c r="C254" s="889"/>
      <c r="D254" s="889"/>
      <c r="E254" s="889"/>
      <c r="F254" s="889"/>
      <c r="G254" s="889"/>
      <c r="H254" s="889"/>
      <c r="I254" s="889"/>
      <c r="J254" s="889"/>
      <c r="K254" s="889"/>
      <c r="L254" s="889"/>
      <c r="M254" s="889"/>
      <c r="N254" s="889"/>
      <c r="O254" s="889"/>
      <c r="P254" s="889"/>
      <c r="Q254" s="889"/>
      <c r="R254" s="889"/>
      <c r="S254" s="889"/>
      <c r="T254" s="889"/>
      <c r="U254" s="889"/>
      <c r="V254" s="889"/>
      <c r="W254" s="889"/>
      <c r="X254" s="889"/>
      <c r="Y254" s="889"/>
      <c r="Z254" s="889"/>
      <c r="AA254" s="889"/>
      <c r="AB254" s="889"/>
      <c r="AC254" s="889"/>
      <c r="AD254" s="889"/>
      <c r="AE254" s="889"/>
      <c r="AF254" s="889"/>
    </row>
    <row r="255" spans="1:32" ht="63.75" customHeight="1" x14ac:dyDescent="0.3">
      <c r="A255" s="368" t="s">
        <v>803</v>
      </c>
      <c r="B255" s="889" t="s">
        <v>2336</v>
      </c>
      <c r="C255" s="889"/>
      <c r="D255" s="889"/>
      <c r="E255" s="889"/>
      <c r="F255" s="889"/>
      <c r="G255" s="889"/>
      <c r="H255" s="889"/>
      <c r="I255" s="889"/>
      <c r="J255" s="889"/>
      <c r="K255" s="889"/>
      <c r="L255" s="889"/>
      <c r="M255" s="889"/>
      <c r="N255" s="889"/>
      <c r="O255" s="889"/>
      <c r="P255" s="889"/>
      <c r="Q255" s="889"/>
      <c r="R255" s="889"/>
      <c r="S255" s="889"/>
      <c r="T255" s="889"/>
      <c r="U255" s="889"/>
      <c r="V255" s="889"/>
      <c r="W255" s="889"/>
      <c r="X255" s="889"/>
      <c r="Y255" s="889"/>
      <c r="Z255" s="889"/>
      <c r="AA255" s="889"/>
      <c r="AB255" s="889"/>
      <c r="AC255" s="889"/>
      <c r="AD255" s="889"/>
      <c r="AE255" s="889"/>
      <c r="AF255" s="889"/>
    </row>
    <row r="256" spans="1:32" ht="62.25" customHeight="1" x14ac:dyDescent="0.3">
      <c r="A256" s="368" t="s">
        <v>803</v>
      </c>
      <c r="B256" s="889" t="s">
        <v>2340</v>
      </c>
      <c r="C256" s="889"/>
      <c r="D256" s="889"/>
      <c r="E256" s="889"/>
      <c r="F256" s="889"/>
      <c r="G256" s="889"/>
      <c r="H256" s="889"/>
      <c r="I256" s="889"/>
      <c r="J256" s="889"/>
      <c r="K256" s="889"/>
      <c r="L256" s="889"/>
      <c r="M256" s="889"/>
      <c r="N256" s="889"/>
      <c r="O256" s="889"/>
      <c r="P256" s="889"/>
      <c r="Q256" s="889"/>
      <c r="R256" s="889"/>
      <c r="S256" s="889"/>
      <c r="T256" s="889"/>
      <c r="U256" s="889"/>
      <c r="V256" s="889"/>
      <c r="W256" s="889"/>
      <c r="X256" s="889"/>
      <c r="Y256" s="889"/>
      <c r="Z256" s="889"/>
      <c r="AA256" s="889"/>
      <c r="AB256" s="889"/>
      <c r="AC256" s="889"/>
      <c r="AD256" s="889"/>
      <c r="AE256" s="889"/>
      <c r="AF256" s="889"/>
    </row>
    <row r="257" spans="1:32" ht="51.75" customHeight="1" x14ac:dyDescent="0.3">
      <c r="A257" s="368" t="s">
        <v>803</v>
      </c>
      <c r="B257" s="889" t="s">
        <v>3787</v>
      </c>
      <c r="C257" s="889"/>
      <c r="D257" s="889"/>
      <c r="E257" s="889"/>
      <c r="F257" s="889"/>
      <c r="G257" s="889"/>
      <c r="H257" s="889"/>
      <c r="I257" s="889"/>
      <c r="J257" s="889"/>
      <c r="K257" s="889"/>
      <c r="L257" s="889"/>
      <c r="M257" s="889"/>
      <c r="N257" s="889"/>
      <c r="O257" s="889"/>
      <c r="P257" s="889"/>
      <c r="Q257" s="889"/>
      <c r="R257" s="889"/>
      <c r="S257" s="889"/>
      <c r="T257" s="889"/>
      <c r="U257" s="889"/>
      <c r="V257" s="889"/>
      <c r="W257" s="889"/>
      <c r="X257" s="889"/>
      <c r="Y257" s="889"/>
      <c r="Z257" s="889"/>
      <c r="AA257" s="889"/>
      <c r="AB257" s="889"/>
      <c r="AC257" s="889"/>
      <c r="AD257" s="889"/>
      <c r="AE257" s="889"/>
      <c r="AF257" s="889"/>
    </row>
    <row r="258" spans="1:32" ht="38.25" customHeight="1" x14ac:dyDescent="0.3">
      <c r="A258" s="368" t="s">
        <v>803</v>
      </c>
      <c r="B258" s="889" t="s">
        <v>2339</v>
      </c>
      <c r="C258" s="889"/>
      <c r="D258" s="889"/>
      <c r="E258" s="889"/>
      <c r="F258" s="889"/>
      <c r="G258" s="889"/>
      <c r="H258" s="889"/>
      <c r="I258" s="889"/>
      <c r="J258" s="889"/>
      <c r="K258" s="889"/>
      <c r="L258" s="889"/>
      <c r="M258" s="889"/>
      <c r="N258" s="889"/>
      <c r="O258" s="889"/>
      <c r="P258" s="889"/>
      <c r="Q258" s="889"/>
      <c r="R258" s="889"/>
      <c r="S258" s="889"/>
      <c r="T258" s="889"/>
      <c r="U258" s="889"/>
      <c r="V258" s="889"/>
      <c r="W258" s="889"/>
      <c r="X258" s="889"/>
      <c r="Y258" s="889"/>
      <c r="Z258" s="889"/>
      <c r="AA258" s="889"/>
      <c r="AB258" s="889"/>
      <c r="AC258" s="889"/>
      <c r="AD258" s="889"/>
      <c r="AE258" s="889"/>
      <c r="AF258" s="889"/>
    </row>
    <row r="259" spans="1:32" ht="53.25" customHeight="1" x14ac:dyDescent="0.3">
      <c r="A259" s="368" t="s">
        <v>803</v>
      </c>
      <c r="B259" s="889" t="s">
        <v>2337</v>
      </c>
      <c r="C259" s="889"/>
      <c r="D259" s="889"/>
      <c r="E259" s="889"/>
      <c r="F259" s="889"/>
      <c r="G259" s="889"/>
      <c r="H259" s="889"/>
      <c r="I259" s="889"/>
      <c r="J259" s="889"/>
      <c r="K259" s="889"/>
      <c r="L259" s="889"/>
      <c r="M259" s="889"/>
      <c r="N259" s="889"/>
      <c r="O259" s="889"/>
      <c r="P259" s="889"/>
      <c r="Q259" s="889"/>
      <c r="R259" s="889"/>
      <c r="S259" s="889"/>
      <c r="T259" s="889"/>
      <c r="U259" s="889"/>
      <c r="V259" s="889"/>
      <c r="W259" s="889"/>
      <c r="X259" s="889"/>
      <c r="Y259" s="889"/>
      <c r="Z259" s="889"/>
      <c r="AA259" s="889"/>
      <c r="AB259" s="889"/>
      <c r="AC259" s="889"/>
      <c r="AD259" s="889"/>
      <c r="AE259" s="889"/>
      <c r="AF259" s="889"/>
    </row>
    <row r="260" spans="1:32" ht="49.5" customHeight="1" x14ac:dyDescent="0.3">
      <c r="A260" s="368" t="s">
        <v>803</v>
      </c>
      <c r="B260" s="889" t="s">
        <v>2694</v>
      </c>
      <c r="C260" s="889"/>
      <c r="D260" s="889"/>
      <c r="E260" s="889"/>
      <c r="F260" s="889"/>
      <c r="G260" s="889"/>
      <c r="H260" s="889"/>
      <c r="I260" s="889"/>
      <c r="J260" s="889"/>
      <c r="K260" s="889"/>
      <c r="L260" s="889"/>
      <c r="M260" s="889"/>
      <c r="N260" s="889"/>
      <c r="O260" s="889"/>
      <c r="P260" s="889"/>
      <c r="Q260" s="889"/>
      <c r="R260" s="889"/>
      <c r="S260" s="889"/>
      <c r="T260" s="889"/>
      <c r="U260" s="889"/>
      <c r="V260" s="889"/>
      <c r="W260" s="889"/>
      <c r="X260" s="889"/>
      <c r="Y260" s="889"/>
      <c r="Z260" s="889"/>
      <c r="AA260" s="889"/>
      <c r="AB260" s="889"/>
      <c r="AC260" s="889"/>
      <c r="AD260" s="889"/>
      <c r="AE260" s="889"/>
      <c r="AF260" s="889"/>
    </row>
  </sheetData>
  <sheetProtection algorithmName="SHA-512" hashValue="ZKBrbWFNgm8eE+Mhw5OUqFsgwAPX1C4j/3ALWYgYY7mYiUTMgNBUt15fNidZg439JjiVOGdzyjEJ368hmeR9fw==" saltValue="fpziDX9qJUYm19SEH7fJ5A==" spinCount="100000" sheet="1" objects="1" scenarios="1"/>
  <mergeCells count="603">
    <mergeCell ref="B259:AF259"/>
    <mergeCell ref="B260:AF260"/>
    <mergeCell ref="B248:O248"/>
    <mergeCell ref="P248:R248"/>
    <mergeCell ref="S248:U248"/>
    <mergeCell ref="V248:X248"/>
    <mergeCell ref="Y248:AA248"/>
    <mergeCell ref="AB248:AF248"/>
    <mergeCell ref="A252:AF252"/>
    <mergeCell ref="B254:AF254"/>
    <mergeCell ref="B255:AF255"/>
    <mergeCell ref="B247:O247"/>
    <mergeCell ref="P247:R247"/>
    <mergeCell ref="S247:U247"/>
    <mergeCell ref="V247:X247"/>
    <mergeCell ref="Y247:AA247"/>
    <mergeCell ref="AB247:AF247"/>
    <mergeCell ref="B256:AF256"/>
    <mergeCell ref="B257:AF257"/>
    <mergeCell ref="B258:AF258"/>
    <mergeCell ref="B245:O245"/>
    <mergeCell ref="P245:R245"/>
    <mergeCell ref="S245:U245"/>
    <mergeCell ref="V245:X245"/>
    <mergeCell ref="Y245:AA245"/>
    <mergeCell ref="AB245:AF245"/>
    <mergeCell ref="B246:O246"/>
    <mergeCell ref="P246:R246"/>
    <mergeCell ref="S246:U246"/>
    <mergeCell ref="V246:X246"/>
    <mergeCell ref="Y246:AA246"/>
    <mergeCell ref="AB246:AF246"/>
    <mergeCell ref="B243:O243"/>
    <mergeCell ref="P243:R243"/>
    <mergeCell ref="S243:U243"/>
    <mergeCell ref="V243:X243"/>
    <mergeCell ref="Y243:AA243"/>
    <mergeCell ref="AB243:AF243"/>
    <mergeCell ref="B244:O244"/>
    <mergeCell ref="P244:R244"/>
    <mergeCell ref="S244:U244"/>
    <mergeCell ref="V244:X244"/>
    <mergeCell ref="Y244:AA244"/>
    <mergeCell ref="AB244:AF244"/>
    <mergeCell ref="B241:O241"/>
    <mergeCell ref="P241:R241"/>
    <mergeCell ref="S241:U241"/>
    <mergeCell ref="V241:X241"/>
    <mergeCell ref="Y241:AA241"/>
    <mergeCell ref="AB241:AF241"/>
    <mergeCell ref="B242:O242"/>
    <mergeCell ref="P242:R242"/>
    <mergeCell ref="S242:U242"/>
    <mergeCell ref="V242:X242"/>
    <mergeCell ref="Y242:AA242"/>
    <mergeCell ref="AB242:AF242"/>
    <mergeCell ref="B238:AF238"/>
    <mergeCell ref="B239:O240"/>
    <mergeCell ref="P239:U239"/>
    <mergeCell ref="V239:AA239"/>
    <mergeCell ref="AB239:AF240"/>
    <mergeCell ref="P240:R240"/>
    <mergeCell ref="S240:U240"/>
    <mergeCell ref="V240:X240"/>
    <mergeCell ref="Y240:AA240"/>
    <mergeCell ref="B230:O230"/>
    <mergeCell ref="P230:R230"/>
    <mergeCell ref="S230:U230"/>
    <mergeCell ref="V230:X230"/>
    <mergeCell ref="Y230:AA230"/>
    <mergeCell ref="S232:U232"/>
    <mergeCell ref="V232:X232"/>
    <mergeCell ref="Y232:AA232"/>
    <mergeCell ref="B233:O233"/>
    <mergeCell ref="P233:R233"/>
    <mergeCell ref="S233:U233"/>
    <mergeCell ref="V233:X233"/>
    <mergeCell ref="Y233:AA233"/>
    <mergeCell ref="V228:X228"/>
    <mergeCell ref="Y228:AA228"/>
    <mergeCell ref="AB228:AF228"/>
    <mergeCell ref="B229:O229"/>
    <mergeCell ref="P229:R229"/>
    <mergeCell ref="S229:U229"/>
    <mergeCell ref="V229:X229"/>
    <mergeCell ref="Y229:AA229"/>
    <mergeCell ref="AB229:AF229"/>
    <mergeCell ref="A189:AF189"/>
    <mergeCell ref="J192:M192"/>
    <mergeCell ref="Y192:AB192"/>
    <mergeCell ref="J194:M194"/>
    <mergeCell ref="D196:G196"/>
    <mergeCell ref="S196:V196"/>
    <mergeCell ref="B202:Q202"/>
    <mergeCell ref="R202:V202"/>
    <mergeCell ref="W202:AA202"/>
    <mergeCell ref="AB202:AF202"/>
    <mergeCell ref="B201:Q201"/>
    <mergeCell ref="R201:V201"/>
    <mergeCell ref="W201:AA201"/>
    <mergeCell ref="AB201:AF201"/>
    <mergeCell ref="B200:Q200"/>
    <mergeCell ref="R200:V200"/>
    <mergeCell ref="W200:AA200"/>
    <mergeCell ref="AB200:AF200"/>
    <mergeCell ref="Y176:AA176"/>
    <mergeCell ref="AB176:AF176"/>
    <mergeCell ref="B177:O177"/>
    <mergeCell ref="P177:R177"/>
    <mergeCell ref="S177:U177"/>
    <mergeCell ref="V177:X177"/>
    <mergeCell ref="Y177:AA177"/>
    <mergeCell ref="B178:O178"/>
    <mergeCell ref="P178:R178"/>
    <mergeCell ref="S178:U178"/>
    <mergeCell ref="V178:X178"/>
    <mergeCell ref="Y178:AA178"/>
    <mergeCell ref="P163:R163"/>
    <mergeCell ref="S163:U163"/>
    <mergeCell ref="V163:X163"/>
    <mergeCell ref="Y163:AA163"/>
    <mergeCell ref="AB163:AF163"/>
    <mergeCell ref="B168:AF168"/>
    <mergeCell ref="B169:O170"/>
    <mergeCell ref="P169:U169"/>
    <mergeCell ref="V169:AA169"/>
    <mergeCell ref="AB169:AF170"/>
    <mergeCell ref="P170:R170"/>
    <mergeCell ref="S170:U170"/>
    <mergeCell ref="V170:X170"/>
    <mergeCell ref="Y170:AA170"/>
    <mergeCell ref="B163:O163"/>
    <mergeCell ref="A121:P121"/>
    <mergeCell ref="Q121:T121"/>
    <mergeCell ref="U121:X121"/>
    <mergeCell ref="Y121:AB121"/>
    <mergeCell ref="AC121:AF121"/>
    <mergeCell ref="A124:AF124"/>
    <mergeCell ref="A126:AF126"/>
    <mergeCell ref="B138:Q138"/>
    <mergeCell ref="R138:V138"/>
    <mergeCell ref="W138:AA138"/>
    <mergeCell ref="AB138:AF138"/>
    <mergeCell ref="B133:Q133"/>
    <mergeCell ref="B134:Q134"/>
    <mergeCell ref="AB132:AF132"/>
    <mergeCell ref="R133:V133"/>
    <mergeCell ref="W133:AA133"/>
    <mergeCell ref="AB133:AF133"/>
    <mergeCell ref="R134:V134"/>
    <mergeCell ref="W134:AA134"/>
    <mergeCell ref="AB134:AF134"/>
    <mergeCell ref="R135:V135"/>
    <mergeCell ref="B135:Q135"/>
    <mergeCell ref="B136:Q136"/>
    <mergeCell ref="A122:AF122"/>
    <mergeCell ref="A106:P106"/>
    <mergeCell ref="Q106:T106"/>
    <mergeCell ref="U106:X106"/>
    <mergeCell ref="Y106:AB106"/>
    <mergeCell ref="AC106:AF106"/>
    <mergeCell ref="A109:AF109"/>
    <mergeCell ref="A111:AF111"/>
    <mergeCell ref="Q112:X112"/>
    <mergeCell ref="Y112:AF112"/>
    <mergeCell ref="A112:P112"/>
    <mergeCell ref="AB231:AF231"/>
    <mergeCell ref="AB232:AF232"/>
    <mergeCell ref="AB233:AF233"/>
    <mergeCell ref="B231:O231"/>
    <mergeCell ref="P231:R231"/>
    <mergeCell ref="S231:U231"/>
    <mergeCell ref="V231:X231"/>
    <mergeCell ref="Y231:AA231"/>
    <mergeCell ref="B232:O232"/>
    <mergeCell ref="P232:R232"/>
    <mergeCell ref="AB230:AF230"/>
    <mergeCell ref="B224:O225"/>
    <mergeCell ref="P224:U224"/>
    <mergeCell ref="V224:AA224"/>
    <mergeCell ref="AB224:AF225"/>
    <mergeCell ref="P225:R225"/>
    <mergeCell ref="S225:U225"/>
    <mergeCell ref="V225:X225"/>
    <mergeCell ref="Y225:AA225"/>
    <mergeCell ref="B226:O226"/>
    <mergeCell ref="P226:R226"/>
    <mergeCell ref="S226:U226"/>
    <mergeCell ref="V226:X226"/>
    <mergeCell ref="Y226:AA226"/>
    <mergeCell ref="AB226:AF226"/>
    <mergeCell ref="B227:O227"/>
    <mergeCell ref="P227:R227"/>
    <mergeCell ref="S227:U227"/>
    <mergeCell ref="V227:X227"/>
    <mergeCell ref="Y227:AA227"/>
    <mergeCell ref="AB227:AF227"/>
    <mergeCell ref="B228:O228"/>
    <mergeCell ref="P228:R228"/>
    <mergeCell ref="S228:U228"/>
    <mergeCell ref="B223:AF223"/>
    <mergeCell ref="B219:Q219"/>
    <mergeCell ref="R219:V219"/>
    <mergeCell ref="W219:AA219"/>
    <mergeCell ref="AB219:AF219"/>
    <mergeCell ref="B220:Q220"/>
    <mergeCell ref="R220:V220"/>
    <mergeCell ref="W220:AA220"/>
    <mergeCell ref="AB220:AF220"/>
    <mergeCell ref="B213:Q213"/>
    <mergeCell ref="R213:V213"/>
    <mergeCell ref="W213:AA213"/>
    <mergeCell ref="AB213:AF213"/>
    <mergeCell ref="B217:Q217"/>
    <mergeCell ref="R217:V217"/>
    <mergeCell ref="W217:AA217"/>
    <mergeCell ref="AB217:AF217"/>
    <mergeCell ref="B218:Q218"/>
    <mergeCell ref="R218:V218"/>
    <mergeCell ref="W218:AA218"/>
    <mergeCell ref="AB218:AF218"/>
    <mergeCell ref="B214:Q214"/>
    <mergeCell ref="R214:V214"/>
    <mergeCell ref="W214:AA214"/>
    <mergeCell ref="AB214:AF214"/>
    <mergeCell ref="B215:Q215"/>
    <mergeCell ref="R215:V215"/>
    <mergeCell ref="W215:AA215"/>
    <mergeCell ref="AB215:AF215"/>
    <mergeCell ref="B216:Q216"/>
    <mergeCell ref="R216:V216"/>
    <mergeCell ref="W216:AA216"/>
    <mergeCell ref="AB216:AF216"/>
    <mergeCell ref="B212:Q212"/>
    <mergeCell ref="R212:V212"/>
    <mergeCell ref="W212:AA212"/>
    <mergeCell ref="AB212:AF212"/>
    <mergeCell ref="B207:Q207"/>
    <mergeCell ref="R207:V207"/>
    <mergeCell ref="W207:AA207"/>
    <mergeCell ref="AB207:AF207"/>
    <mergeCell ref="B208:Q208"/>
    <mergeCell ref="R208:V208"/>
    <mergeCell ref="W208:AA208"/>
    <mergeCell ref="AB208:AF208"/>
    <mergeCell ref="B205:Q205"/>
    <mergeCell ref="R205:V205"/>
    <mergeCell ref="W205:AA205"/>
    <mergeCell ref="AB205:AF205"/>
    <mergeCell ref="B206:Q206"/>
    <mergeCell ref="R206:V206"/>
    <mergeCell ref="W206:AA206"/>
    <mergeCell ref="AB206:AF206"/>
    <mergeCell ref="B203:Q203"/>
    <mergeCell ref="R203:V203"/>
    <mergeCell ref="W203:AA203"/>
    <mergeCell ref="AB203:AF203"/>
    <mergeCell ref="B204:Q204"/>
    <mergeCell ref="R204:V204"/>
    <mergeCell ref="W204:AA204"/>
    <mergeCell ref="AB204:AF204"/>
    <mergeCell ref="B184:Q184"/>
    <mergeCell ref="R184:V184"/>
    <mergeCell ref="W184:AA184"/>
    <mergeCell ref="AB184:AF184"/>
    <mergeCell ref="B185:Q185"/>
    <mergeCell ref="R185:V185"/>
    <mergeCell ref="W185:AA185"/>
    <mergeCell ref="AB185:AF185"/>
    <mergeCell ref="B186:Q186"/>
    <mergeCell ref="R186:V186"/>
    <mergeCell ref="W186:AA186"/>
    <mergeCell ref="AB186:AF186"/>
    <mergeCell ref="AB173:AF173"/>
    <mergeCell ref="AB177:AF177"/>
    <mergeCell ref="AB178:AF178"/>
    <mergeCell ref="B173:O173"/>
    <mergeCell ref="P173:R173"/>
    <mergeCell ref="S173:U173"/>
    <mergeCell ref="V173:X173"/>
    <mergeCell ref="Y173:AA173"/>
    <mergeCell ref="B174:O174"/>
    <mergeCell ref="P174:R174"/>
    <mergeCell ref="S174:U174"/>
    <mergeCell ref="V174:X174"/>
    <mergeCell ref="Y174:AA174"/>
    <mergeCell ref="AB174:AF174"/>
    <mergeCell ref="B175:O175"/>
    <mergeCell ref="P175:R175"/>
    <mergeCell ref="S175:U175"/>
    <mergeCell ref="V175:X175"/>
    <mergeCell ref="Y175:AA175"/>
    <mergeCell ref="AB175:AF175"/>
    <mergeCell ref="B176:O176"/>
    <mergeCell ref="P176:R176"/>
    <mergeCell ref="S176:U176"/>
    <mergeCell ref="V176:X176"/>
    <mergeCell ref="AB171:AF171"/>
    <mergeCell ref="AB172:AF172"/>
    <mergeCell ref="B171:O171"/>
    <mergeCell ref="P171:R171"/>
    <mergeCell ref="S171:U171"/>
    <mergeCell ref="V171:X171"/>
    <mergeCell ref="Y171:AA171"/>
    <mergeCell ref="B172:O172"/>
    <mergeCell ref="P172:R172"/>
    <mergeCell ref="S172:U172"/>
    <mergeCell ref="V172:X172"/>
    <mergeCell ref="Y172:AA172"/>
    <mergeCell ref="AB161:AF161"/>
    <mergeCell ref="B161:O161"/>
    <mergeCell ref="P161:R161"/>
    <mergeCell ref="S161:U161"/>
    <mergeCell ref="V161:X161"/>
    <mergeCell ref="Y161:AA161"/>
    <mergeCell ref="B162:O162"/>
    <mergeCell ref="P162:R162"/>
    <mergeCell ref="S162:U162"/>
    <mergeCell ref="V162:X162"/>
    <mergeCell ref="Y162:AA162"/>
    <mergeCell ref="AB162:AF162"/>
    <mergeCell ref="AB158:AF158"/>
    <mergeCell ref="AB159:AF159"/>
    <mergeCell ref="AB160:AF160"/>
    <mergeCell ref="B159:O159"/>
    <mergeCell ref="P159:R159"/>
    <mergeCell ref="S159:U159"/>
    <mergeCell ref="V159:X159"/>
    <mergeCell ref="Y159:AA159"/>
    <mergeCell ref="B160:O160"/>
    <mergeCell ref="P160:R160"/>
    <mergeCell ref="S160:U160"/>
    <mergeCell ref="V160:X160"/>
    <mergeCell ref="Y160:AA160"/>
    <mergeCell ref="B158:O158"/>
    <mergeCell ref="P158:R158"/>
    <mergeCell ref="S158:U158"/>
    <mergeCell ref="V158:X158"/>
    <mergeCell ref="Y158:AA158"/>
    <mergeCell ref="AB156:AF156"/>
    <mergeCell ref="AB157:AF157"/>
    <mergeCell ref="B154:O155"/>
    <mergeCell ref="P154:U154"/>
    <mergeCell ref="V154:AA154"/>
    <mergeCell ref="AB154:AF155"/>
    <mergeCell ref="P155:R155"/>
    <mergeCell ref="S155:U155"/>
    <mergeCell ref="V155:X155"/>
    <mergeCell ref="Y155:AA155"/>
    <mergeCell ref="B156:O156"/>
    <mergeCell ref="P156:R156"/>
    <mergeCell ref="S156:U156"/>
    <mergeCell ref="V156:X156"/>
    <mergeCell ref="Y156:AA156"/>
    <mergeCell ref="B157:O157"/>
    <mergeCell ref="P157:R157"/>
    <mergeCell ref="S157:U157"/>
    <mergeCell ref="V157:X157"/>
    <mergeCell ref="Y157:AA157"/>
    <mergeCell ref="B149:Q149"/>
    <mergeCell ref="R149:V149"/>
    <mergeCell ref="W149:AA149"/>
    <mergeCell ref="AB149:AF149"/>
    <mergeCell ref="B150:Q150"/>
    <mergeCell ref="R150:V150"/>
    <mergeCell ref="W150:AA150"/>
    <mergeCell ref="AB150:AF150"/>
    <mergeCell ref="B153:AF153"/>
    <mergeCell ref="B146:Q146"/>
    <mergeCell ref="R146:V146"/>
    <mergeCell ref="W146:AA146"/>
    <mergeCell ref="AB146:AF146"/>
    <mergeCell ref="B147:Q147"/>
    <mergeCell ref="R147:V147"/>
    <mergeCell ref="W147:AA147"/>
    <mergeCell ref="AB147:AF147"/>
    <mergeCell ref="B148:Q148"/>
    <mergeCell ref="R148:V148"/>
    <mergeCell ref="W148:AA148"/>
    <mergeCell ref="AB148:AF148"/>
    <mergeCell ref="B143:Q143"/>
    <mergeCell ref="R143:V143"/>
    <mergeCell ref="W143:AA143"/>
    <mergeCell ref="AB143:AF143"/>
    <mergeCell ref="B144:Q144"/>
    <mergeCell ref="R144:V144"/>
    <mergeCell ref="W144:AA144"/>
    <mergeCell ref="AB144:AF144"/>
    <mergeCell ref="B145:Q145"/>
    <mergeCell ref="R145:V145"/>
    <mergeCell ref="W145:AA145"/>
    <mergeCell ref="AB145:AF145"/>
    <mergeCell ref="B142:Q142"/>
    <mergeCell ref="R142:V142"/>
    <mergeCell ref="W142:AA142"/>
    <mergeCell ref="AB142:AF142"/>
    <mergeCell ref="R130:V130"/>
    <mergeCell ref="W130:AA130"/>
    <mergeCell ref="AB130:AF130"/>
    <mergeCell ref="R131:V131"/>
    <mergeCell ref="W131:AA131"/>
    <mergeCell ref="AB131:AF131"/>
    <mergeCell ref="B131:Q131"/>
    <mergeCell ref="B132:Q132"/>
    <mergeCell ref="B130:Q130"/>
    <mergeCell ref="W135:AA135"/>
    <mergeCell ref="AB135:AF135"/>
    <mergeCell ref="R136:V136"/>
    <mergeCell ref="W136:AA136"/>
    <mergeCell ref="AB136:AF136"/>
    <mergeCell ref="R137:V137"/>
    <mergeCell ref="W137:AA137"/>
    <mergeCell ref="AB137:AF137"/>
    <mergeCell ref="B137:Q137"/>
    <mergeCell ref="R132:V132"/>
    <mergeCell ref="W132:AA132"/>
    <mergeCell ref="A123:AF123"/>
    <mergeCell ref="A107:AF107"/>
    <mergeCell ref="A108:AF108"/>
    <mergeCell ref="Y120:AB120"/>
    <mergeCell ref="AC113:AF113"/>
    <mergeCell ref="AC114:AF114"/>
    <mergeCell ref="AC115:AF115"/>
    <mergeCell ref="AC116:AF116"/>
    <mergeCell ref="AC117:AF117"/>
    <mergeCell ref="AC118:AF118"/>
    <mergeCell ref="AC119:AF119"/>
    <mergeCell ref="AC120:AF120"/>
    <mergeCell ref="Y113:AB113"/>
    <mergeCell ref="Y114:AB114"/>
    <mergeCell ref="Y115:AB115"/>
    <mergeCell ref="Y116:AB116"/>
    <mergeCell ref="Y117:AB117"/>
    <mergeCell ref="Y118:AB118"/>
    <mergeCell ref="Y119:AB119"/>
    <mergeCell ref="U113:X113"/>
    <mergeCell ref="U114:X114"/>
    <mergeCell ref="U115:X115"/>
    <mergeCell ref="U116:X116"/>
    <mergeCell ref="U117:X117"/>
    <mergeCell ref="U118:X118"/>
    <mergeCell ref="U119:X119"/>
    <mergeCell ref="U120:X120"/>
    <mergeCell ref="A120:P120"/>
    <mergeCell ref="Q113:T113"/>
    <mergeCell ref="Q114:T114"/>
    <mergeCell ref="Q115:T115"/>
    <mergeCell ref="Q116:T116"/>
    <mergeCell ref="Q117:T117"/>
    <mergeCell ref="Q118:T118"/>
    <mergeCell ref="Q119:T119"/>
    <mergeCell ref="Q120:T120"/>
    <mergeCell ref="A113:P113"/>
    <mergeCell ref="A114:P114"/>
    <mergeCell ref="A115:P115"/>
    <mergeCell ref="A116:P116"/>
    <mergeCell ref="A117:P117"/>
    <mergeCell ref="A118:P118"/>
    <mergeCell ref="A119:P119"/>
    <mergeCell ref="AC100:AF100"/>
    <mergeCell ref="AC101:AF101"/>
    <mergeCell ref="AC102:AF102"/>
    <mergeCell ref="AC103:AF103"/>
    <mergeCell ref="AC104:AF104"/>
    <mergeCell ref="AC105:AF105"/>
    <mergeCell ref="Y98:AB98"/>
    <mergeCell ref="Y99:AB99"/>
    <mergeCell ref="Y100:AB100"/>
    <mergeCell ref="Y101:AB101"/>
    <mergeCell ref="Y102:AB102"/>
    <mergeCell ref="Y103:AB103"/>
    <mergeCell ref="Y104:AB104"/>
    <mergeCell ref="Y105:AB105"/>
    <mergeCell ref="A100:P100"/>
    <mergeCell ref="A101:P101"/>
    <mergeCell ref="A102:P102"/>
    <mergeCell ref="A103:P103"/>
    <mergeCell ref="A104:P104"/>
    <mergeCell ref="A105:P105"/>
    <mergeCell ref="A97:P97"/>
    <mergeCell ref="U98:X98"/>
    <mergeCell ref="U99:X99"/>
    <mergeCell ref="U100:X100"/>
    <mergeCell ref="U101:X101"/>
    <mergeCell ref="U102:X102"/>
    <mergeCell ref="U103:X103"/>
    <mergeCell ref="U104:X104"/>
    <mergeCell ref="U105:X105"/>
    <mergeCell ref="Q98:T98"/>
    <mergeCell ref="Q99:T99"/>
    <mergeCell ref="Q100:T100"/>
    <mergeCell ref="Q101:T101"/>
    <mergeCell ref="Q102:T102"/>
    <mergeCell ref="Q103:T103"/>
    <mergeCell ref="Q104:T104"/>
    <mergeCell ref="Q105:T105"/>
    <mergeCell ref="Q97:X97"/>
    <mergeCell ref="U81:V81"/>
    <mergeCell ref="W81:AF81"/>
    <mergeCell ref="A80:D81"/>
    <mergeCell ref="A98:P98"/>
    <mergeCell ref="A99:P99"/>
    <mergeCell ref="AC98:AF98"/>
    <mergeCell ref="AC99:AF99"/>
    <mergeCell ref="A88:D88"/>
    <mergeCell ref="E88:P88"/>
    <mergeCell ref="Q88:T88"/>
    <mergeCell ref="U88:V88"/>
    <mergeCell ref="W88:AF88"/>
    <mergeCell ref="A93:AF93"/>
    <mergeCell ref="A96:AF96"/>
    <mergeCell ref="Y97:AF97"/>
    <mergeCell ref="A92:AF92"/>
    <mergeCell ref="A91:AF91"/>
    <mergeCell ref="A89:AF89"/>
    <mergeCell ref="A90:AF90"/>
    <mergeCell ref="A82:D82"/>
    <mergeCell ref="E82:P82"/>
    <mergeCell ref="Q82:T82"/>
    <mergeCell ref="U82:V82"/>
    <mergeCell ref="W82:AF82"/>
    <mergeCell ref="A3:AF3"/>
    <mergeCell ref="B5:AF5"/>
    <mergeCell ref="B26:AF26"/>
    <mergeCell ref="A84:D84"/>
    <mergeCell ref="E84:P84"/>
    <mergeCell ref="Q84:T84"/>
    <mergeCell ref="U84:V84"/>
    <mergeCell ref="W84:AF84"/>
    <mergeCell ref="A85:D85"/>
    <mergeCell ref="E85:P85"/>
    <mergeCell ref="Q85:T85"/>
    <mergeCell ref="U85:V85"/>
    <mergeCell ref="W85:AF85"/>
    <mergeCell ref="A75:D75"/>
    <mergeCell ref="E75:P75"/>
    <mergeCell ref="Q75:T75"/>
    <mergeCell ref="U75:V75"/>
    <mergeCell ref="W75:AF75"/>
    <mergeCell ref="A74:D74"/>
    <mergeCell ref="E74:P74"/>
    <mergeCell ref="Q74:T74"/>
    <mergeCell ref="U74:V74"/>
    <mergeCell ref="W74:AF74"/>
    <mergeCell ref="W77:AF77"/>
    <mergeCell ref="A1:AF1"/>
    <mergeCell ref="A83:D83"/>
    <mergeCell ref="E83:P83"/>
    <mergeCell ref="Q83:T83"/>
    <mergeCell ref="U83:V83"/>
    <mergeCell ref="W83:AF83"/>
    <mergeCell ref="A87:D87"/>
    <mergeCell ref="E87:P87"/>
    <mergeCell ref="Q87:T87"/>
    <mergeCell ref="U87:V87"/>
    <mergeCell ref="W87:AF87"/>
    <mergeCell ref="A86:D86"/>
    <mergeCell ref="E86:P86"/>
    <mergeCell ref="Q86:T86"/>
    <mergeCell ref="U86:V86"/>
    <mergeCell ref="W86:AF86"/>
    <mergeCell ref="W78:AF78"/>
    <mergeCell ref="A79:D79"/>
    <mergeCell ref="E79:P79"/>
    <mergeCell ref="Q79:T79"/>
    <mergeCell ref="U79:V79"/>
    <mergeCell ref="W79:AF79"/>
    <mergeCell ref="U78:V78"/>
    <mergeCell ref="A72:AF72"/>
    <mergeCell ref="W73:AF73"/>
    <mergeCell ref="A76:D76"/>
    <mergeCell ref="E76:P76"/>
    <mergeCell ref="Q76:T76"/>
    <mergeCell ref="U76:V76"/>
    <mergeCell ref="W76:AF76"/>
    <mergeCell ref="A77:D77"/>
    <mergeCell ref="E77:P77"/>
    <mergeCell ref="Q77:T77"/>
    <mergeCell ref="U77:V77"/>
    <mergeCell ref="E80:P80"/>
    <mergeCell ref="Q80:T80"/>
    <mergeCell ref="U80:V80"/>
    <mergeCell ref="W80:AF80"/>
    <mergeCell ref="E81:P81"/>
    <mergeCell ref="Q81:T81"/>
    <mergeCell ref="B22:AF22"/>
    <mergeCell ref="A24:AF24"/>
    <mergeCell ref="A7:AF7"/>
    <mergeCell ref="B9:I9"/>
    <mergeCell ref="B10:AF10"/>
    <mergeCell ref="B12:I12"/>
    <mergeCell ref="B13:AF13"/>
    <mergeCell ref="B15:I15"/>
    <mergeCell ref="B16:AF16"/>
    <mergeCell ref="B18:I18"/>
    <mergeCell ref="B19:AF19"/>
    <mergeCell ref="A78:D78"/>
    <mergeCell ref="E78:P78"/>
    <mergeCell ref="Q78:T78"/>
    <mergeCell ref="A73:D73"/>
    <mergeCell ref="E73:P73"/>
    <mergeCell ref="Q73:T73"/>
    <mergeCell ref="U73:V73"/>
  </mergeCells>
  <hyperlinks>
    <hyperlink ref="A2" location="TOC!A1" display="Return to TOC" xr:uid="{00000000-0004-0000-4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0:AF66 AF70" numberStoredAsText="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4" tint="0.79998168889431442"/>
    <pageSetUpPr autoPageBreaks="0"/>
  </sheetPr>
  <dimension ref="A1:AF59"/>
  <sheetViews>
    <sheetView workbookViewId="0">
      <selection sqref="A1:AF1"/>
    </sheetView>
  </sheetViews>
  <sheetFormatPr defaultColWidth="2.6640625" defaultRowHeight="14.4" x14ac:dyDescent="0.3"/>
  <sheetData>
    <row r="1" spans="1:32" ht="18.600000000000001" thickBot="1" x14ac:dyDescent="0.35">
      <c r="A1" s="979" t="s">
        <v>3267</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ht="15" customHeight="1" x14ac:dyDescent="0.3">
      <c r="A2" s="228" t="s">
        <v>1456</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75" customHeight="1" x14ac:dyDescent="0.3">
      <c r="A5" s="121"/>
      <c r="B5" s="872" t="s">
        <v>4635</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A9" s="1"/>
      <c r="B9" s="1144" t="s">
        <v>3</v>
      </c>
      <c r="C9" s="1144"/>
      <c r="D9" s="1144"/>
      <c r="E9" s="1144"/>
      <c r="F9" s="1144"/>
      <c r="G9" s="1144"/>
      <c r="H9" s="1144"/>
      <c r="I9" s="1144"/>
      <c r="J9" s="1"/>
      <c r="K9" s="1"/>
      <c r="L9" s="1"/>
      <c r="M9" s="1"/>
      <c r="N9" s="1"/>
      <c r="O9" s="1"/>
      <c r="P9" s="1"/>
      <c r="Q9" s="1"/>
      <c r="R9" s="1"/>
      <c r="S9" s="1"/>
      <c r="T9" s="1"/>
      <c r="U9" s="1"/>
      <c r="V9" s="1"/>
      <c r="W9" s="1"/>
      <c r="X9" s="1"/>
      <c r="Y9" s="1"/>
      <c r="Z9" s="1"/>
      <c r="AA9" s="1"/>
      <c r="AB9" s="1"/>
      <c r="AC9" s="1"/>
      <c r="AD9" s="1"/>
      <c r="AE9" s="1"/>
      <c r="AF9" s="1"/>
    </row>
    <row r="10" spans="1:32" x14ac:dyDescent="0.3">
      <c r="A10" s="4"/>
      <c r="B10" s="953" t="s">
        <v>3268</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
      <c r="B12" s="1144" t="s">
        <v>4</v>
      </c>
      <c r="C12" s="1144"/>
      <c r="D12" s="1144"/>
      <c r="E12" s="1144"/>
      <c r="F12" s="1144"/>
      <c r="G12" s="1144"/>
      <c r="H12" s="1144"/>
      <c r="I12" s="1144"/>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
      <c r="B13" s="1142" t="s">
        <v>3269</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
      <c r="B15" s="1144" t="s">
        <v>5</v>
      </c>
      <c r="C15" s="1144"/>
      <c r="D15" s="1144"/>
      <c r="E15" s="1144"/>
      <c r="F15" s="1144"/>
      <c r="G15" s="1144"/>
      <c r="H15" s="1144"/>
      <c r="I15" s="114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142" t="s">
        <v>3078</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144" t="s">
        <v>6</v>
      </c>
      <c r="C18" s="1144"/>
      <c r="D18" s="1144"/>
      <c r="E18" s="1144"/>
      <c r="F18" s="1144"/>
      <c r="G18" s="1144"/>
      <c r="H18" s="1144"/>
      <c r="I18" s="1144"/>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872" t="s">
        <v>3270</v>
      </c>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1"/>
      <c r="B22" s="872" t="s">
        <v>3271</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5.6" x14ac:dyDescent="0.35">
      <c r="A27" s="2705" t="s">
        <v>312</v>
      </c>
      <c r="B27" s="2705"/>
      <c r="C27" s="2705"/>
      <c r="D27" s="2705"/>
      <c r="E27" s="2705"/>
      <c r="F27" s="2705"/>
      <c r="G27" s="2705"/>
      <c r="H27" s="2705"/>
      <c r="I27" s="2705"/>
      <c r="J27" s="2705"/>
      <c r="K27" s="2706" t="s">
        <v>3281</v>
      </c>
      <c r="L27" s="2706"/>
      <c r="M27" s="2706"/>
      <c r="N27" s="2706"/>
      <c r="O27" s="2706"/>
      <c r="P27" s="2706"/>
      <c r="Q27" s="2706"/>
      <c r="R27" s="2706"/>
      <c r="S27" s="2706"/>
      <c r="T27" s="2706"/>
      <c r="U27" s="2706"/>
      <c r="V27" s="2706"/>
      <c r="W27" s="2706"/>
      <c r="X27" s="2706"/>
      <c r="Y27" s="2706"/>
      <c r="Z27" s="2706"/>
      <c r="AA27" s="2706"/>
      <c r="AB27" s="2706"/>
      <c r="AC27" s="2706"/>
      <c r="AD27" s="2706"/>
      <c r="AE27" s="2706"/>
      <c r="AF27" s="2706"/>
    </row>
    <row r="28" spans="1:32" ht="15.6" x14ac:dyDescent="0.35">
      <c r="A28" s="2705" t="s">
        <v>3282</v>
      </c>
      <c r="B28" s="2705"/>
      <c r="C28" s="2705"/>
      <c r="D28" s="2705"/>
      <c r="E28" s="2705"/>
      <c r="F28" s="2705"/>
      <c r="G28" s="2705"/>
      <c r="H28" s="2705"/>
      <c r="I28" s="2705"/>
      <c r="J28" s="2705"/>
      <c r="K28" s="2706" t="s">
        <v>3283</v>
      </c>
      <c r="L28" s="2706"/>
      <c r="M28" s="2706"/>
      <c r="N28" s="2706"/>
      <c r="O28" s="2706"/>
      <c r="P28" s="2706"/>
      <c r="Q28" s="2706"/>
      <c r="R28" s="2706"/>
      <c r="S28" s="2706"/>
      <c r="T28" s="2706"/>
      <c r="U28" s="2706"/>
      <c r="V28" s="2706"/>
      <c r="W28" s="2706"/>
      <c r="X28" s="2706"/>
      <c r="Y28" s="2706"/>
      <c r="Z28" s="2706"/>
      <c r="AA28" s="2706"/>
      <c r="AB28" s="2706"/>
      <c r="AC28" s="2706"/>
      <c r="AD28" s="2706"/>
      <c r="AE28" s="2706"/>
      <c r="AF28" s="2706"/>
    </row>
    <row r="29" spans="1:32" x14ac:dyDescent="0.3">
      <c r="A29" s="2705" t="s">
        <v>3258</v>
      </c>
      <c r="B29" s="2705"/>
      <c r="C29" s="2705"/>
      <c r="D29" s="2705"/>
      <c r="E29" s="2705"/>
      <c r="F29" s="2705"/>
      <c r="G29" s="2705"/>
      <c r="H29" s="2705"/>
      <c r="I29" s="2705"/>
      <c r="J29" s="2705"/>
      <c r="K29" s="2706" t="s">
        <v>3284</v>
      </c>
      <c r="L29" s="2706"/>
      <c r="M29" s="2706"/>
      <c r="N29" s="2706"/>
      <c r="O29" s="2706"/>
      <c r="P29" s="2706"/>
      <c r="Q29" s="2706"/>
      <c r="R29" s="2706"/>
      <c r="S29" s="2706"/>
      <c r="T29" s="2706"/>
      <c r="U29" s="2706"/>
      <c r="V29" s="2706"/>
      <c r="W29" s="2706"/>
      <c r="X29" s="2706"/>
      <c r="Y29" s="2706"/>
      <c r="Z29" s="2706"/>
      <c r="AA29" s="2706"/>
      <c r="AB29" s="2706"/>
      <c r="AC29" s="2706"/>
      <c r="AD29" s="2706"/>
      <c r="AE29" s="2706"/>
      <c r="AF29" s="2706"/>
    </row>
    <row r="30" spans="1:32"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1141" t="s">
        <v>8</v>
      </c>
      <c r="B31" s="1141"/>
      <c r="C31" s="1141"/>
      <c r="D31" s="114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row>
    <row r="32" spans="1:32" x14ac:dyDescent="0.3">
      <c r="A32" s="1011" t="s">
        <v>9</v>
      </c>
      <c r="B32" s="1011"/>
      <c r="C32" s="1011"/>
      <c r="D32" s="1011"/>
      <c r="E32" s="1011" t="s">
        <v>3</v>
      </c>
      <c r="F32" s="1011"/>
      <c r="G32" s="1011"/>
      <c r="H32" s="1011"/>
      <c r="I32" s="1011"/>
      <c r="J32" s="1011"/>
      <c r="K32" s="1011"/>
      <c r="L32" s="1011"/>
      <c r="M32" s="1011"/>
      <c r="N32" s="1011"/>
      <c r="O32" s="1011"/>
      <c r="P32" s="1011" t="s">
        <v>10</v>
      </c>
      <c r="Q32" s="1011"/>
      <c r="R32" s="1011"/>
      <c r="S32" s="1011"/>
      <c r="T32" s="1011" t="s">
        <v>11</v>
      </c>
      <c r="U32" s="1011"/>
      <c r="V32" s="1011"/>
      <c r="W32" s="1011"/>
      <c r="X32" s="1011" t="s">
        <v>12</v>
      </c>
      <c r="Y32" s="1011"/>
      <c r="Z32" s="1011"/>
      <c r="AA32" s="1011"/>
      <c r="AB32" s="1011"/>
      <c r="AC32" s="1011"/>
      <c r="AD32" s="1011"/>
      <c r="AE32" s="1011"/>
      <c r="AF32" s="1011"/>
    </row>
    <row r="33" spans="1:32" ht="32.25" customHeight="1" x14ac:dyDescent="0.3">
      <c r="A33" s="855" t="s">
        <v>3285</v>
      </c>
      <c r="B33" s="855"/>
      <c r="C33" s="855"/>
      <c r="D33" s="855"/>
      <c r="E33" s="856" t="s">
        <v>3272</v>
      </c>
      <c r="F33" s="856"/>
      <c r="G33" s="856"/>
      <c r="H33" s="856"/>
      <c r="I33" s="856"/>
      <c r="J33" s="856"/>
      <c r="K33" s="856"/>
      <c r="L33" s="856"/>
      <c r="M33" s="856"/>
      <c r="N33" s="856"/>
      <c r="O33" s="856"/>
      <c r="P33" s="2696">
        <v>307</v>
      </c>
      <c r="Q33" s="2697"/>
      <c r="R33" s="2697"/>
      <c r="S33" s="2698"/>
      <c r="T33" s="1275" t="s">
        <v>41</v>
      </c>
      <c r="U33" s="1275"/>
      <c r="V33" s="1275"/>
      <c r="W33" s="1275"/>
      <c r="X33" s="1385" t="s">
        <v>3273</v>
      </c>
      <c r="Y33" s="2695"/>
      <c r="Z33" s="2695"/>
      <c r="AA33" s="2695"/>
      <c r="AB33" s="2695"/>
      <c r="AC33" s="2695"/>
      <c r="AD33" s="2695"/>
      <c r="AE33" s="2695"/>
      <c r="AF33" s="2695"/>
    </row>
    <row r="34" spans="1:32" ht="45" customHeight="1" x14ac:dyDescent="0.3">
      <c r="A34" s="855" t="s">
        <v>3286</v>
      </c>
      <c r="B34" s="855"/>
      <c r="C34" s="855"/>
      <c r="D34" s="855"/>
      <c r="E34" s="856" t="s">
        <v>3274</v>
      </c>
      <c r="F34" s="856"/>
      <c r="G34" s="856"/>
      <c r="H34" s="856"/>
      <c r="I34" s="856"/>
      <c r="J34" s="856"/>
      <c r="K34" s="856"/>
      <c r="L34" s="856"/>
      <c r="M34" s="856"/>
      <c r="N34" s="856"/>
      <c r="O34" s="856"/>
      <c r="P34" s="2696">
        <v>270</v>
      </c>
      <c r="Q34" s="2697"/>
      <c r="R34" s="2697"/>
      <c r="S34" s="2698"/>
      <c r="T34" s="1275" t="s">
        <v>41</v>
      </c>
      <c r="U34" s="1275"/>
      <c r="V34" s="1275"/>
      <c r="W34" s="1275"/>
      <c r="X34" s="1385" t="s">
        <v>3288</v>
      </c>
      <c r="Y34" s="2695"/>
      <c r="Z34" s="2695"/>
      <c r="AA34" s="2695"/>
      <c r="AB34" s="2695"/>
      <c r="AC34" s="2695"/>
      <c r="AD34" s="2695"/>
      <c r="AE34" s="2695"/>
      <c r="AF34" s="2695"/>
    </row>
    <row r="35" spans="1:32" ht="45" customHeight="1" x14ac:dyDescent="0.3">
      <c r="A35" s="855" t="s">
        <v>3292</v>
      </c>
      <c r="B35" s="855"/>
      <c r="C35" s="855"/>
      <c r="D35" s="855"/>
      <c r="E35" s="856" t="s">
        <v>3295</v>
      </c>
      <c r="F35" s="856"/>
      <c r="G35" s="856"/>
      <c r="H35" s="856"/>
      <c r="I35" s="856"/>
      <c r="J35" s="856"/>
      <c r="K35" s="856"/>
      <c r="L35" s="856"/>
      <c r="M35" s="856"/>
      <c r="N35" s="856"/>
      <c r="O35" s="856"/>
      <c r="P35" s="2692">
        <v>0.44</v>
      </c>
      <c r="Q35" s="2693"/>
      <c r="R35" s="2693"/>
      <c r="S35" s="2694"/>
      <c r="T35" s="1275" t="s">
        <v>22</v>
      </c>
      <c r="U35" s="1275"/>
      <c r="V35" s="1275"/>
      <c r="W35" s="1275"/>
      <c r="X35" s="1385" t="s">
        <v>3296</v>
      </c>
      <c r="Y35" s="2695"/>
      <c r="Z35" s="2695"/>
      <c r="AA35" s="2695"/>
      <c r="AB35" s="2695"/>
      <c r="AC35" s="2695"/>
      <c r="AD35" s="2695"/>
      <c r="AE35" s="2695"/>
      <c r="AF35" s="2695"/>
    </row>
    <row r="36" spans="1:32" ht="45" customHeight="1" x14ac:dyDescent="0.3">
      <c r="A36" s="855" t="s">
        <v>3293</v>
      </c>
      <c r="B36" s="855"/>
      <c r="C36" s="855"/>
      <c r="D36" s="855"/>
      <c r="E36" s="856" t="s">
        <v>3297</v>
      </c>
      <c r="F36" s="856"/>
      <c r="G36" s="856"/>
      <c r="H36" s="856"/>
      <c r="I36" s="856"/>
      <c r="J36" s="856"/>
      <c r="K36" s="856"/>
      <c r="L36" s="856"/>
      <c r="M36" s="856"/>
      <c r="N36" s="856"/>
      <c r="O36" s="856"/>
      <c r="P36" s="2692">
        <v>0.56000000000000005</v>
      </c>
      <c r="Q36" s="2693"/>
      <c r="R36" s="2693"/>
      <c r="S36" s="2694"/>
      <c r="T36" s="1275" t="s">
        <v>22</v>
      </c>
      <c r="U36" s="1275"/>
      <c r="V36" s="1275"/>
      <c r="W36" s="1275"/>
      <c r="X36" s="1385" t="s">
        <v>3298</v>
      </c>
      <c r="Y36" s="2695"/>
      <c r="Z36" s="2695"/>
      <c r="AA36" s="2695"/>
      <c r="AB36" s="2695"/>
      <c r="AC36" s="2695"/>
      <c r="AD36" s="2695"/>
      <c r="AE36" s="2695"/>
      <c r="AF36" s="2695"/>
    </row>
    <row r="37" spans="1:32" ht="129.75" customHeight="1" x14ac:dyDescent="0.3">
      <c r="A37" s="855" t="s">
        <v>3294</v>
      </c>
      <c r="B37" s="855"/>
      <c r="C37" s="855"/>
      <c r="D37" s="855"/>
      <c r="E37" s="856" t="s">
        <v>3299</v>
      </c>
      <c r="F37" s="856"/>
      <c r="G37" s="856"/>
      <c r="H37" s="856"/>
      <c r="I37" s="856"/>
      <c r="J37" s="856"/>
      <c r="K37" s="856"/>
      <c r="L37" s="856"/>
      <c r="M37" s="856"/>
      <c r="N37" s="856"/>
      <c r="O37" s="856"/>
      <c r="P37" s="2692">
        <v>0.59</v>
      </c>
      <c r="Q37" s="2693"/>
      <c r="R37" s="2693"/>
      <c r="S37" s="2694"/>
      <c r="T37" s="1275" t="s">
        <v>22</v>
      </c>
      <c r="U37" s="1275"/>
      <c r="V37" s="1275"/>
      <c r="W37" s="1275"/>
      <c r="X37" s="1385" t="s">
        <v>3901</v>
      </c>
      <c r="Y37" s="2695"/>
      <c r="Z37" s="2695"/>
      <c r="AA37" s="2695"/>
      <c r="AB37" s="2695"/>
      <c r="AC37" s="2695"/>
      <c r="AD37" s="2695"/>
      <c r="AE37" s="2695"/>
      <c r="AF37" s="2695"/>
    </row>
    <row r="38" spans="1:32" ht="97.5" customHeight="1" x14ac:dyDescent="0.3">
      <c r="A38" s="855" t="s">
        <v>3275</v>
      </c>
      <c r="B38" s="855" t="s">
        <v>795</v>
      </c>
      <c r="C38" s="855" t="s">
        <v>795</v>
      </c>
      <c r="D38" s="855" t="s">
        <v>795</v>
      </c>
      <c r="E38" s="856" t="s">
        <v>3276</v>
      </c>
      <c r="F38" s="856"/>
      <c r="G38" s="856"/>
      <c r="H38" s="856"/>
      <c r="I38" s="856"/>
      <c r="J38" s="856"/>
      <c r="K38" s="856"/>
      <c r="L38" s="856"/>
      <c r="M38" s="856"/>
      <c r="N38" s="856"/>
      <c r="O38" s="856"/>
      <c r="P38" s="2525">
        <v>215</v>
      </c>
      <c r="Q38" s="2525"/>
      <c r="R38" s="2525"/>
      <c r="S38" s="2525"/>
      <c r="T38" s="1275" t="s">
        <v>3277</v>
      </c>
      <c r="U38" s="1275"/>
      <c r="V38" s="1275"/>
      <c r="W38" s="1275"/>
      <c r="X38" s="1186" t="s">
        <v>3289</v>
      </c>
      <c r="Y38" s="1186"/>
      <c r="Z38" s="1186"/>
      <c r="AA38" s="1186"/>
      <c r="AB38" s="1186"/>
      <c r="AC38" s="1186"/>
      <c r="AD38" s="1186"/>
      <c r="AE38" s="1186"/>
      <c r="AF38" s="1186"/>
    </row>
    <row r="39" spans="1:32" ht="29.1" customHeight="1" x14ac:dyDescent="0.3">
      <c r="A39" s="855" t="s">
        <v>3287</v>
      </c>
      <c r="B39" s="855" t="s">
        <v>795</v>
      </c>
      <c r="C39" s="855" t="s">
        <v>795</v>
      </c>
      <c r="D39" s="855" t="s">
        <v>795</v>
      </c>
      <c r="E39" s="856" t="s">
        <v>3278</v>
      </c>
      <c r="F39" s="856"/>
      <c r="G39" s="856"/>
      <c r="H39" s="856"/>
      <c r="I39" s="856"/>
      <c r="J39" s="856"/>
      <c r="K39" s="856"/>
      <c r="L39" s="856"/>
      <c r="M39" s="856"/>
      <c r="N39" s="856"/>
      <c r="O39" s="856"/>
      <c r="P39" s="2525">
        <v>1.5</v>
      </c>
      <c r="Q39" s="2525"/>
      <c r="R39" s="2525"/>
      <c r="S39" s="2525"/>
      <c r="T39" s="1275" t="s">
        <v>3279</v>
      </c>
      <c r="U39" s="1275"/>
      <c r="V39" s="1275"/>
      <c r="W39" s="1275"/>
      <c r="X39" s="1186" t="s">
        <v>3280</v>
      </c>
      <c r="Y39" s="1186"/>
      <c r="Z39" s="1186"/>
      <c r="AA39" s="1186"/>
      <c r="AB39" s="1186"/>
      <c r="AC39" s="1186"/>
      <c r="AD39" s="1186"/>
      <c r="AE39" s="1186"/>
      <c r="AF39" s="1186"/>
    </row>
    <row r="40" spans="1:32" ht="105.75" customHeight="1" x14ac:dyDescent="0.3">
      <c r="A40" s="855" t="s">
        <v>21</v>
      </c>
      <c r="B40" s="855" t="s">
        <v>795</v>
      </c>
      <c r="C40" s="855" t="s">
        <v>795</v>
      </c>
      <c r="D40" s="855" t="s">
        <v>795</v>
      </c>
      <c r="E40" s="856" t="s">
        <v>96</v>
      </c>
      <c r="F40" s="856"/>
      <c r="G40" s="856"/>
      <c r="H40" s="856"/>
      <c r="I40" s="856"/>
      <c r="J40" s="856"/>
      <c r="K40" s="856"/>
      <c r="L40" s="856"/>
      <c r="M40" s="856"/>
      <c r="N40" s="856"/>
      <c r="O40" s="856"/>
      <c r="P40" s="2704">
        <f>$P$38*$P$39/8760</f>
        <v>3.6815068493150686E-2</v>
      </c>
      <c r="Q40" s="2704"/>
      <c r="R40" s="2704"/>
      <c r="S40" s="2704"/>
      <c r="T40" s="1275" t="s">
        <v>20</v>
      </c>
      <c r="U40" s="1275"/>
      <c r="V40" s="1275"/>
      <c r="W40" s="1275"/>
      <c r="X40" s="1186" t="s">
        <v>3290</v>
      </c>
      <c r="Y40" s="1186"/>
      <c r="Z40" s="1186"/>
      <c r="AA40" s="1186"/>
      <c r="AB40" s="1186"/>
      <c r="AC40" s="1186"/>
      <c r="AD40" s="1186"/>
      <c r="AE40" s="1186"/>
      <c r="AF40" s="1186"/>
    </row>
    <row r="41" spans="1:32" ht="29.1" customHeight="1" x14ac:dyDescent="0.3">
      <c r="A41" s="855" t="s">
        <v>2562</v>
      </c>
      <c r="B41" s="855" t="s">
        <v>794</v>
      </c>
      <c r="C41" s="855" t="s">
        <v>794</v>
      </c>
      <c r="D41" s="855" t="s">
        <v>794</v>
      </c>
      <c r="E41" s="856" t="s">
        <v>2050</v>
      </c>
      <c r="F41" s="856"/>
      <c r="G41" s="856"/>
      <c r="H41" s="856"/>
      <c r="I41" s="856"/>
      <c r="J41" s="856"/>
      <c r="K41" s="856"/>
      <c r="L41" s="856"/>
      <c r="M41" s="856"/>
      <c r="N41" s="856"/>
      <c r="O41" s="856"/>
      <c r="P41" s="1586">
        <f>'Master EUL'!X31</f>
        <v>11</v>
      </c>
      <c r="Q41" s="1586"/>
      <c r="R41" s="1586"/>
      <c r="S41" s="1586"/>
      <c r="T41" s="1275" t="s">
        <v>38</v>
      </c>
      <c r="U41" s="1275"/>
      <c r="V41" s="1275"/>
      <c r="W41" s="1275"/>
      <c r="X41" s="1217" t="s">
        <v>3291</v>
      </c>
      <c r="Y41" s="1217"/>
      <c r="Z41" s="1217"/>
      <c r="AA41" s="1217"/>
      <c r="AB41" s="1217"/>
      <c r="AC41" s="1217"/>
      <c r="AD41" s="1217"/>
      <c r="AE41" s="1217"/>
      <c r="AF41" s="1217"/>
    </row>
    <row r="44" spans="1:32" x14ac:dyDescent="0.3">
      <c r="A44" s="1141" t="s">
        <v>14</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ht="15" thickBot="1" x14ac:dyDescent="0.35"/>
    <row r="46" spans="1:32" x14ac:dyDescent="0.3">
      <c r="A46" s="1252" t="s">
        <v>15</v>
      </c>
      <c r="B46" s="1253"/>
      <c r="C46" s="1253"/>
      <c r="D46" s="1253"/>
      <c r="E46" s="1253"/>
      <c r="F46" s="1253"/>
      <c r="G46" s="1253"/>
      <c r="H46" s="1253"/>
      <c r="I46" s="1253" t="s">
        <v>16</v>
      </c>
      <c r="J46" s="1253"/>
      <c r="K46" s="1253"/>
      <c r="L46" s="1253"/>
      <c r="M46" s="1253"/>
      <c r="N46" s="1253"/>
      <c r="O46" s="1253"/>
      <c r="P46" s="1253"/>
      <c r="Q46" s="1253" t="s">
        <v>17</v>
      </c>
      <c r="R46" s="1253"/>
      <c r="S46" s="1253"/>
      <c r="T46" s="1253"/>
      <c r="U46" s="1253"/>
      <c r="V46" s="1253"/>
      <c r="W46" s="1253"/>
      <c r="X46" s="1279"/>
      <c r="Y46" s="1253" t="s">
        <v>1826</v>
      </c>
      <c r="Z46" s="1253"/>
      <c r="AA46" s="1253"/>
      <c r="AB46" s="1253"/>
      <c r="AC46" s="1253"/>
      <c r="AD46" s="1253"/>
      <c r="AE46" s="1253"/>
      <c r="AF46" s="1254"/>
    </row>
    <row r="47" spans="1:32" ht="15" thickBot="1" x14ac:dyDescent="0.35">
      <c r="A47" s="1247" t="s">
        <v>3126</v>
      </c>
      <c r="B47" s="1248"/>
      <c r="C47" s="1248"/>
      <c r="D47" s="1248"/>
      <c r="E47" s="1248"/>
      <c r="F47" s="1248"/>
      <c r="G47" s="1248"/>
      <c r="H47" s="1248"/>
      <c r="I47" s="2699">
        <f>ROUND(($Q$47/($P$38*$P$39))*$P$40,3)</f>
        <v>3.0000000000000001E-3</v>
      </c>
      <c r="J47" s="2699"/>
      <c r="K47" s="2699"/>
      <c r="L47" s="2699"/>
      <c r="M47" s="2699"/>
      <c r="N47" s="2699"/>
      <c r="O47" s="2699"/>
      <c r="P47" s="2699"/>
      <c r="Q47" s="2700">
        <f>ROUND(($P$33-$P$34)*($P$35+$P$36*$P$37),2)</f>
        <v>28.5</v>
      </c>
      <c r="R47" s="2700"/>
      <c r="S47" s="2700"/>
      <c r="T47" s="2700"/>
      <c r="U47" s="2700"/>
      <c r="V47" s="2700"/>
      <c r="W47" s="2700"/>
      <c r="X47" s="2701"/>
      <c r="Y47" s="2702">
        <f>ROUND($Q$47*$P$41,2)</f>
        <v>313.5</v>
      </c>
      <c r="Z47" s="2702"/>
      <c r="AA47" s="2702"/>
      <c r="AB47" s="2702"/>
      <c r="AC47" s="2702"/>
      <c r="AD47" s="2702"/>
      <c r="AE47" s="2702"/>
      <c r="AF47" s="2703"/>
    </row>
    <row r="50" spans="1:32" x14ac:dyDescent="0.3">
      <c r="A50" s="1141" t="s">
        <v>1514</v>
      </c>
      <c r="B50" s="1141"/>
      <c r="C50" s="1141"/>
      <c r="D50" s="1141"/>
      <c r="E50" s="1141"/>
      <c r="F50" s="1141"/>
      <c r="G50" s="1141"/>
      <c r="H50" s="1141"/>
      <c r="I50" s="1141"/>
      <c r="J50" s="1141"/>
      <c r="K50" s="1141"/>
      <c r="L50" s="1141"/>
      <c r="M50" s="1141"/>
      <c r="N50" s="1141"/>
      <c r="O50" s="1141"/>
      <c r="P50" s="1141"/>
      <c r="Q50" s="1141"/>
      <c r="R50" s="1141"/>
      <c r="S50" s="1141"/>
      <c r="T50" s="1141"/>
      <c r="U50" s="1141"/>
      <c r="V50" s="1141"/>
      <c r="W50" s="1141"/>
      <c r="X50" s="1141"/>
      <c r="Y50" s="1141"/>
      <c r="Z50" s="1141"/>
      <c r="AA50" s="1141"/>
      <c r="AB50" s="1141"/>
      <c r="AC50" s="1141"/>
      <c r="AD50" s="1141"/>
      <c r="AE50" s="1141"/>
      <c r="AF50" s="1141"/>
    </row>
    <row r="51" spans="1:32"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s="1" customFormat="1" ht="34.5" customHeight="1" x14ac:dyDescent="0.3">
      <c r="A52" s="368" t="s">
        <v>803</v>
      </c>
      <c r="B52" s="953" t="s">
        <v>3909</v>
      </c>
      <c r="C52" s="953"/>
      <c r="D52" s="953"/>
      <c r="E52" s="953"/>
      <c r="F52" s="953"/>
      <c r="G52" s="953"/>
      <c r="H52" s="953"/>
      <c r="I52" s="953"/>
      <c r="J52" s="953"/>
      <c r="K52" s="953"/>
      <c r="L52" s="953"/>
      <c r="M52" s="953"/>
      <c r="N52" s="953"/>
      <c r="O52" s="953"/>
      <c r="P52" s="953"/>
      <c r="Q52" s="953"/>
      <c r="R52" s="953"/>
      <c r="S52" s="953"/>
      <c r="T52" s="953"/>
      <c r="U52" s="953"/>
      <c r="V52" s="953"/>
      <c r="W52" s="953"/>
      <c r="X52" s="953"/>
      <c r="Y52" s="953"/>
      <c r="Z52" s="953"/>
      <c r="AA52" s="953"/>
      <c r="AB52" s="953"/>
      <c r="AC52" s="953"/>
      <c r="AD52" s="953"/>
      <c r="AE52" s="953"/>
      <c r="AF52" s="953"/>
    </row>
    <row r="53" spans="1:32" s="1" customFormat="1" ht="34.5" customHeight="1" x14ac:dyDescent="0.3">
      <c r="A53" s="368" t="s">
        <v>803</v>
      </c>
      <c r="B53" s="953" t="s">
        <v>3908</v>
      </c>
      <c r="C53" s="953"/>
      <c r="D53" s="953"/>
      <c r="E53" s="953"/>
      <c r="F53" s="953"/>
      <c r="G53" s="953"/>
      <c r="H53" s="953"/>
      <c r="I53" s="953"/>
      <c r="J53" s="953"/>
      <c r="K53" s="953"/>
      <c r="L53" s="953"/>
      <c r="M53" s="953"/>
      <c r="N53" s="953"/>
      <c r="O53" s="953"/>
      <c r="P53" s="953"/>
      <c r="Q53" s="953"/>
      <c r="R53" s="953"/>
      <c r="S53" s="953"/>
      <c r="T53" s="953"/>
      <c r="U53" s="953"/>
      <c r="V53" s="953"/>
      <c r="W53" s="953"/>
      <c r="X53" s="953"/>
      <c r="Y53" s="953"/>
      <c r="Z53" s="953"/>
      <c r="AA53" s="953"/>
      <c r="AB53" s="953"/>
      <c r="AC53" s="953"/>
      <c r="AD53" s="953"/>
      <c r="AE53" s="953"/>
      <c r="AF53" s="953"/>
    </row>
    <row r="54" spans="1:32" ht="50.25" customHeight="1" x14ac:dyDescent="0.3">
      <c r="A54" s="368" t="s">
        <v>803</v>
      </c>
      <c r="B54" s="889" t="s">
        <v>1913</v>
      </c>
      <c r="C54" s="889"/>
      <c r="D54" s="889"/>
      <c r="E54" s="889"/>
      <c r="F54" s="889"/>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row>
    <row r="55" spans="1:32" ht="35.25" customHeight="1" x14ac:dyDescent="0.3">
      <c r="A55" s="368" t="s">
        <v>803</v>
      </c>
      <c r="B55" s="953" t="s">
        <v>3301</v>
      </c>
      <c r="C55" s="953"/>
      <c r="D55" s="953"/>
      <c r="E55" s="953"/>
      <c r="F55" s="953"/>
      <c r="G55" s="953"/>
      <c r="H55" s="953"/>
      <c r="I55" s="953"/>
      <c r="J55" s="953"/>
      <c r="K55" s="953"/>
      <c r="L55" s="953"/>
      <c r="M55" s="953"/>
      <c r="N55" s="953"/>
      <c r="O55" s="953"/>
      <c r="P55" s="953"/>
      <c r="Q55" s="953"/>
      <c r="R55" s="953"/>
      <c r="S55" s="953"/>
      <c r="T55" s="953"/>
      <c r="U55" s="953"/>
      <c r="V55" s="953"/>
      <c r="W55" s="953"/>
      <c r="X55" s="953"/>
      <c r="Y55" s="953"/>
      <c r="Z55" s="953"/>
      <c r="AA55" s="953"/>
      <c r="AB55" s="953"/>
      <c r="AC55" s="953"/>
      <c r="AD55" s="953"/>
      <c r="AE55" s="953"/>
      <c r="AF55" s="953"/>
    </row>
    <row r="56" spans="1:32" ht="35.25" customHeight="1" x14ac:dyDescent="0.3">
      <c r="A56" s="368" t="s">
        <v>803</v>
      </c>
      <c r="B56" s="884" t="s">
        <v>1827</v>
      </c>
      <c r="C56" s="884"/>
      <c r="D56" s="884"/>
      <c r="E56" s="884"/>
      <c r="F56" s="884"/>
      <c r="G56" s="884"/>
      <c r="H56" s="884"/>
      <c r="I56" s="884"/>
      <c r="J56" s="884"/>
      <c r="K56" s="884"/>
      <c r="L56" s="884"/>
      <c r="M56" s="884"/>
      <c r="N56" s="884"/>
      <c r="O56" s="884"/>
      <c r="P56" s="884"/>
      <c r="Q56" s="884"/>
      <c r="R56" s="884"/>
      <c r="S56" s="884"/>
      <c r="T56" s="884"/>
      <c r="U56" s="884"/>
      <c r="V56" s="884"/>
      <c r="W56" s="884"/>
      <c r="X56" s="884"/>
      <c r="Y56" s="884"/>
      <c r="Z56" s="884"/>
      <c r="AA56" s="884"/>
      <c r="AB56" s="884"/>
      <c r="AC56" s="884"/>
      <c r="AD56" s="884"/>
      <c r="AE56" s="884"/>
      <c r="AF56" s="884"/>
    </row>
    <row r="57" spans="1:32" ht="34.5" customHeight="1" x14ac:dyDescent="0.3">
      <c r="A57" s="368" t="s">
        <v>803</v>
      </c>
      <c r="B57" s="953" t="s">
        <v>3098</v>
      </c>
      <c r="C57" s="953"/>
      <c r="D57" s="953"/>
      <c r="E57" s="953"/>
      <c r="F57" s="953"/>
      <c r="G57" s="953"/>
      <c r="H57" s="953"/>
      <c r="I57" s="953"/>
      <c r="J57" s="953"/>
      <c r="K57" s="953"/>
      <c r="L57" s="953"/>
      <c r="M57" s="953"/>
      <c r="N57" s="953"/>
      <c r="O57" s="953"/>
      <c r="P57" s="953"/>
      <c r="Q57" s="953"/>
      <c r="R57" s="953"/>
      <c r="S57" s="953"/>
      <c r="T57" s="953"/>
      <c r="U57" s="953"/>
      <c r="V57" s="953"/>
      <c r="W57" s="953"/>
      <c r="X57" s="953"/>
      <c r="Y57" s="953"/>
      <c r="Z57" s="953"/>
      <c r="AA57" s="953"/>
      <c r="AB57" s="953"/>
      <c r="AC57" s="953"/>
      <c r="AD57" s="953"/>
      <c r="AE57" s="953"/>
      <c r="AF57" s="953"/>
    </row>
    <row r="58" spans="1:32" ht="31.5" customHeight="1" x14ac:dyDescent="0.3">
      <c r="A58" s="368" t="s">
        <v>803</v>
      </c>
      <c r="B58" s="953" t="s">
        <v>3300</v>
      </c>
      <c r="C58" s="953"/>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row>
    <row r="59" spans="1:32" ht="50.25" customHeight="1" x14ac:dyDescent="0.3">
      <c r="A59" s="368" t="s">
        <v>803</v>
      </c>
      <c r="B59" s="953" t="s">
        <v>3302</v>
      </c>
      <c r="C59" s="953"/>
      <c r="D59" s="953"/>
      <c r="E59" s="953"/>
      <c r="F59" s="953"/>
      <c r="G59" s="953"/>
      <c r="H59" s="953"/>
      <c r="I59" s="953"/>
      <c r="J59" s="953"/>
      <c r="K59" s="953"/>
      <c r="L59" s="953"/>
      <c r="M59" s="953"/>
      <c r="N59" s="953"/>
      <c r="O59" s="953"/>
      <c r="P59" s="953"/>
      <c r="Q59" s="953"/>
      <c r="R59" s="953"/>
      <c r="S59" s="953"/>
      <c r="T59" s="953"/>
      <c r="U59" s="953"/>
      <c r="V59" s="953"/>
      <c r="W59" s="953"/>
      <c r="X59" s="953"/>
      <c r="Y59" s="953"/>
      <c r="Z59" s="953"/>
      <c r="AA59" s="953"/>
      <c r="AB59" s="953"/>
      <c r="AC59" s="953"/>
      <c r="AD59" s="953"/>
      <c r="AE59" s="953"/>
      <c r="AF59" s="953"/>
    </row>
  </sheetData>
  <sheetProtection algorithmName="SHA-512" hashValue="2W2qTs0v4+BUKW11De6rT7ay1WhvNeZHITZxm53mNqqnvr8EOfufNgkKs1olmiTJGK5+pr96QwCgJxgQ+jnwSQ==" saltValue="BEsM5+DQxBzVdtlT0EQDig==" spinCount="100000" sheet="1" objects="1" scenarios="1"/>
  <mergeCells count="89">
    <mergeCell ref="A25:AF25"/>
    <mergeCell ref="A1:AF1"/>
    <mergeCell ref="A7:AF7"/>
    <mergeCell ref="B9:I9"/>
    <mergeCell ref="B10:AF10"/>
    <mergeCell ref="B12:I12"/>
    <mergeCell ref="B13:AF13"/>
    <mergeCell ref="B15:I15"/>
    <mergeCell ref="B16:AF16"/>
    <mergeCell ref="B18:I18"/>
    <mergeCell ref="B19:AF19"/>
    <mergeCell ref="B22:AF22"/>
    <mergeCell ref="A3:AF3"/>
    <mergeCell ref="B5:AF5"/>
    <mergeCell ref="X34:AF34"/>
    <mergeCell ref="A27:J27"/>
    <mergeCell ref="K27:AF27"/>
    <mergeCell ref="A28:J28"/>
    <mergeCell ref="K28:AF28"/>
    <mergeCell ref="A31:AF31"/>
    <mergeCell ref="A32:D32"/>
    <mergeCell ref="E32:O32"/>
    <mergeCell ref="P32:S32"/>
    <mergeCell ref="T32:W32"/>
    <mergeCell ref="X32:AF32"/>
    <mergeCell ref="A29:J29"/>
    <mergeCell ref="K29:AF29"/>
    <mergeCell ref="X33:AF33"/>
    <mergeCell ref="A33:D33"/>
    <mergeCell ref="E33:O33"/>
    <mergeCell ref="A47:H47"/>
    <mergeCell ref="I47:P47"/>
    <mergeCell ref="Q47:X47"/>
    <mergeCell ref="Y47:AF47"/>
    <mergeCell ref="A40:D40"/>
    <mergeCell ref="E40:O40"/>
    <mergeCell ref="P40:S40"/>
    <mergeCell ref="T40:W40"/>
    <mergeCell ref="X40:AF40"/>
    <mergeCell ref="A41:D41"/>
    <mergeCell ref="E41:O41"/>
    <mergeCell ref="P41:S41"/>
    <mergeCell ref="T41:W41"/>
    <mergeCell ref="X41:AF41"/>
    <mergeCell ref="Y46:AF46"/>
    <mergeCell ref="A44:AF44"/>
    <mergeCell ref="P33:S33"/>
    <mergeCell ref="T33:W33"/>
    <mergeCell ref="A34:D34"/>
    <mergeCell ref="E34:O34"/>
    <mergeCell ref="P34:S34"/>
    <mergeCell ref="T34:W34"/>
    <mergeCell ref="X35:AF35"/>
    <mergeCell ref="A36:D36"/>
    <mergeCell ref="E36:O36"/>
    <mergeCell ref="P36:S36"/>
    <mergeCell ref="T36:W36"/>
    <mergeCell ref="X36:AF36"/>
    <mergeCell ref="A35:D35"/>
    <mergeCell ref="E35:O35"/>
    <mergeCell ref="P35:S35"/>
    <mergeCell ref="T35:W35"/>
    <mergeCell ref="A46:H46"/>
    <mergeCell ref="I46:P46"/>
    <mergeCell ref="Q46:X46"/>
    <mergeCell ref="A38:D38"/>
    <mergeCell ref="E38:O38"/>
    <mergeCell ref="P38:S38"/>
    <mergeCell ref="T38:W38"/>
    <mergeCell ref="X38:AF38"/>
    <mergeCell ref="A39:D39"/>
    <mergeCell ref="E39:O39"/>
    <mergeCell ref="P39:S39"/>
    <mergeCell ref="T39:W39"/>
    <mergeCell ref="X39:AF39"/>
    <mergeCell ref="A37:D37"/>
    <mergeCell ref="E37:O37"/>
    <mergeCell ref="P37:S37"/>
    <mergeCell ref="T37:W37"/>
    <mergeCell ref="X37:AF37"/>
    <mergeCell ref="B59:AF59"/>
    <mergeCell ref="B56:AF56"/>
    <mergeCell ref="A50:AF50"/>
    <mergeCell ref="B54:AF54"/>
    <mergeCell ref="B57:AF57"/>
    <mergeCell ref="B58:AF58"/>
    <mergeCell ref="B55:AF55"/>
    <mergeCell ref="B52:AF52"/>
    <mergeCell ref="B53:AF53"/>
  </mergeCells>
  <hyperlinks>
    <hyperlink ref="A2" location="TOC!A1" display="Return to TOC" xr:uid="{00000000-0004-0000-4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4" tint="0.79998168889431442"/>
    <pageSetUpPr autoPageBreaks="0"/>
  </sheetPr>
  <dimension ref="A1:AF61"/>
  <sheetViews>
    <sheetView workbookViewId="0">
      <selection activeCell="A2" sqref="A2"/>
    </sheetView>
  </sheetViews>
  <sheetFormatPr defaultColWidth="2.6640625" defaultRowHeight="14.4" x14ac:dyDescent="0.3"/>
  <cols>
    <col min="1" max="1" width="2.6640625" style="418"/>
    <col min="2" max="3" width="2.6640625" style="419"/>
    <col min="4" max="4" width="2.6640625" style="420"/>
    <col min="5" max="32" width="2.6640625" style="415"/>
  </cols>
  <sheetData>
    <row r="1" spans="1:32" ht="18" x14ac:dyDescent="0.3">
      <c r="A1" s="2722" t="s">
        <v>3035</v>
      </c>
      <c r="B1" s="2722"/>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row>
    <row r="2" spans="1:32" ht="15" customHeight="1" x14ac:dyDescent="0.3">
      <c r="A2" s="228" t="s">
        <v>1456</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25" customHeight="1" x14ac:dyDescent="0.3">
      <c r="A5" s="121"/>
      <c r="B5" s="872" t="s">
        <v>3079</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c r="B6"/>
      <c r="C6"/>
      <c r="D6"/>
      <c r="E6"/>
      <c r="F6"/>
      <c r="G6"/>
      <c r="H6"/>
      <c r="I6"/>
      <c r="J6"/>
      <c r="K6"/>
      <c r="L6"/>
      <c r="M6"/>
      <c r="N6"/>
      <c r="O6"/>
      <c r="P6"/>
      <c r="Q6"/>
      <c r="R6"/>
      <c r="S6"/>
      <c r="T6"/>
      <c r="U6"/>
      <c r="V6"/>
      <c r="W6"/>
      <c r="X6"/>
      <c r="Y6"/>
      <c r="Z6"/>
      <c r="AA6"/>
      <c r="AB6"/>
      <c r="AC6"/>
      <c r="AD6"/>
      <c r="AE6"/>
      <c r="AF6"/>
    </row>
    <row r="7" spans="1:32" x14ac:dyDescent="0.3">
      <c r="A7" s="2719" t="s">
        <v>2</v>
      </c>
      <c r="B7" s="2720"/>
      <c r="C7" s="2720"/>
      <c r="D7" s="2720"/>
      <c r="E7" s="2720"/>
      <c r="F7" s="2720"/>
      <c r="G7" s="2720"/>
      <c r="H7" s="2720"/>
      <c r="I7" s="2720"/>
      <c r="J7" s="2720"/>
      <c r="K7" s="2720"/>
      <c r="L7" s="2720"/>
      <c r="M7" s="2720"/>
      <c r="N7" s="2720"/>
      <c r="O7" s="2720"/>
      <c r="P7" s="2720"/>
      <c r="Q7" s="2720"/>
      <c r="R7" s="2720"/>
      <c r="S7" s="2720"/>
      <c r="T7" s="2720"/>
      <c r="U7" s="2720"/>
      <c r="V7" s="2720"/>
      <c r="W7" s="2720"/>
      <c r="X7" s="2720"/>
      <c r="Y7" s="2720"/>
      <c r="Z7" s="2720"/>
      <c r="AA7" s="2720"/>
      <c r="AB7" s="2720"/>
      <c r="AC7" s="2720"/>
      <c r="AD7" s="2720"/>
      <c r="AE7" s="2720"/>
      <c r="AF7" s="2721"/>
    </row>
    <row r="8" spans="1:32" x14ac:dyDescent="0.3">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row>
    <row r="9" spans="1:32" x14ac:dyDescent="0.3">
      <c r="A9" s="405"/>
      <c r="B9" s="406" t="s">
        <v>3</v>
      </c>
      <c r="C9" s="406"/>
      <c r="D9" s="406"/>
      <c r="E9" s="406"/>
      <c r="F9" s="406"/>
      <c r="G9" s="406"/>
      <c r="H9" s="406"/>
      <c r="I9" s="406"/>
      <c r="J9" s="405"/>
      <c r="K9" s="405"/>
      <c r="L9" s="405"/>
      <c r="M9" s="405"/>
      <c r="N9" s="405"/>
      <c r="O9" s="405"/>
      <c r="P9" s="405"/>
      <c r="Q9" s="405"/>
      <c r="R9" s="405"/>
      <c r="S9" s="405"/>
      <c r="T9" s="405"/>
      <c r="U9" s="405"/>
      <c r="V9" s="405"/>
      <c r="W9" s="405"/>
      <c r="X9" s="405"/>
      <c r="Y9" s="405"/>
      <c r="Z9" s="405"/>
      <c r="AA9" s="405"/>
      <c r="AB9" s="405"/>
      <c r="AC9" s="405"/>
      <c r="AD9" s="405"/>
      <c r="AE9" s="405"/>
      <c r="AF9" s="405"/>
    </row>
    <row r="10" spans="1:32" x14ac:dyDescent="0.3">
      <c r="A10" s="407"/>
      <c r="B10" s="2723" t="s">
        <v>3036</v>
      </c>
      <c r="C10" s="2723"/>
      <c r="D10" s="2723"/>
      <c r="E10" s="2723"/>
      <c r="F10" s="2723"/>
      <c r="G10" s="2723"/>
      <c r="H10" s="2723"/>
      <c r="I10" s="2723"/>
      <c r="J10" s="2723"/>
      <c r="K10" s="2723"/>
      <c r="L10" s="2723"/>
      <c r="M10" s="2723"/>
      <c r="N10" s="2723"/>
      <c r="O10" s="2723"/>
      <c r="P10" s="2723"/>
      <c r="Q10" s="2723"/>
      <c r="R10" s="2723"/>
      <c r="S10" s="2723"/>
      <c r="T10" s="2723"/>
      <c r="U10" s="2723"/>
      <c r="V10" s="2723"/>
      <c r="W10" s="2723"/>
      <c r="X10" s="2723"/>
      <c r="Y10" s="2723"/>
      <c r="Z10" s="2723"/>
      <c r="AA10" s="2723"/>
      <c r="AB10" s="2723"/>
      <c r="AC10" s="2723"/>
      <c r="AD10" s="2723"/>
      <c r="AE10" s="2723"/>
      <c r="AF10" s="2723"/>
    </row>
    <row r="11" spans="1:32" x14ac:dyDescent="0.3">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row>
    <row r="12" spans="1:32" x14ac:dyDescent="0.3">
      <c r="A12" s="405"/>
      <c r="B12" s="406" t="s">
        <v>4</v>
      </c>
      <c r="C12" s="406"/>
      <c r="D12" s="406"/>
      <c r="E12" s="406"/>
      <c r="F12" s="406"/>
      <c r="G12" s="406"/>
      <c r="H12" s="406"/>
      <c r="I12" s="406"/>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row>
    <row r="13" spans="1:32" ht="15" customHeight="1" x14ac:dyDescent="0.3">
      <c r="A13" s="405"/>
      <c r="B13" s="2723" t="s">
        <v>3037</v>
      </c>
      <c r="C13" s="2723"/>
      <c r="D13" s="2723"/>
      <c r="E13" s="2723"/>
      <c r="F13" s="2723"/>
      <c r="G13" s="2723"/>
      <c r="H13" s="2723"/>
      <c r="I13" s="2723"/>
      <c r="J13" s="2723"/>
      <c r="K13" s="2723"/>
      <c r="L13" s="2723"/>
      <c r="M13" s="2723"/>
      <c r="N13" s="2723"/>
      <c r="O13" s="2723"/>
      <c r="P13" s="2723"/>
      <c r="Q13" s="2723"/>
      <c r="R13" s="2723"/>
      <c r="S13" s="2723"/>
      <c r="T13" s="2723"/>
      <c r="U13" s="2723"/>
      <c r="V13" s="2723"/>
      <c r="W13" s="2723"/>
      <c r="X13" s="2723"/>
      <c r="Y13" s="2723"/>
      <c r="Z13" s="2723"/>
      <c r="AA13" s="2723"/>
      <c r="AB13" s="2723"/>
      <c r="AC13" s="2723"/>
      <c r="AD13" s="2723"/>
      <c r="AE13" s="2723"/>
      <c r="AF13" s="2723"/>
    </row>
    <row r="14" spans="1:32" x14ac:dyDescent="0.3">
      <c r="A14" s="405"/>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row>
    <row r="15" spans="1:32" x14ac:dyDescent="0.3">
      <c r="A15" s="405"/>
      <c r="B15" s="406" t="s">
        <v>5</v>
      </c>
      <c r="C15" s="406"/>
      <c r="D15" s="406"/>
      <c r="E15" s="406"/>
      <c r="F15" s="406"/>
      <c r="G15" s="406"/>
      <c r="H15" s="406"/>
      <c r="I15" s="406"/>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row>
    <row r="16" spans="1:32" x14ac:dyDescent="0.3">
      <c r="A16" s="405"/>
      <c r="B16" s="2723" t="s">
        <v>3101</v>
      </c>
      <c r="C16" s="2723"/>
      <c r="D16" s="2723"/>
      <c r="E16" s="2723"/>
      <c r="F16" s="2723"/>
      <c r="G16" s="2723"/>
      <c r="H16" s="2723"/>
      <c r="I16" s="2723"/>
      <c r="J16" s="2723"/>
      <c r="K16" s="2723"/>
      <c r="L16" s="2723"/>
      <c r="M16" s="2723"/>
      <c r="N16" s="2723"/>
      <c r="O16" s="2723"/>
      <c r="P16" s="2723"/>
      <c r="Q16" s="2723"/>
      <c r="R16" s="2723"/>
      <c r="S16" s="2723"/>
      <c r="T16" s="2723"/>
      <c r="U16" s="2723"/>
      <c r="V16" s="2723"/>
      <c r="W16" s="2723"/>
      <c r="X16" s="2723"/>
      <c r="Y16" s="2723"/>
      <c r="Z16" s="2723"/>
      <c r="AA16" s="2723"/>
      <c r="AB16" s="2723"/>
      <c r="AC16" s="2723"/>
      <c r="AD16" s="2723"/>
      <c r="AE16" s="2723"/>
      <c r="AF16" s="2723"/>
    </row>
    <row r="17" spans="1:32" x14ac:dyDescent="0.3">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row>
    <row r="18" spans="1:32" x14ac:dyDescent="0.3">
      <c r="A18" s="405"/>
      <c r="B18" s="406" t="s">
        <v>6</v>
      </c>
      <c r="C18" s="406"/>
      <c r="D18" s="406"/>
      <c r="E18" s="406"/>
      <c r="F18" s="406"/>
      <c r="G18" s="406"/>
      <c r="H18" s="406"/>
      <c r="I18" s="406"/>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x14ac:dyDescent="0.3">
      <c r="A19" s="405"/>
      <c r="B19" s="2723" t="s">
        <v>3102</v>
      </c>
      <c r="C19" s="2723"/>
      <c r="D19" s="2723"/>
      <c r="E19" s="2723"/>
      <c r="F19" s="2723"/>
      <c r="G19" s="2723"/>
      <c r="H19" s="2723"/>
      <c r="I19" s="2723"/>
      <c r="J19" s="2723"/>
      <c r="K19" s="2723"/>
      <c r="L19" s="2723"/>
      <c r="M19" s="2723"/>
      <c r="N19" s="2723"/>
      <c r="O19" s="2723"/>
      <c r="P19" s="2723"/>
      <c r="Q19" s="2723"/>
      <c r="R19" s="2723"/>
      <c r="S19" s="2723"/>
      <c r="T19" s="2723"/>
      <c r="U19" s="2723"/>
      <c r="V19" s="2723"/>
      <c r="W19" s="2723"/>
      <c r="X19" s="2723"/>
      <c r="Y19" s="2723"/>
      <c r="Z19" s="2723"/>
      <c r="AA19" s="2723"/>
      <c r="AB19" s="2723"/>
      <c r="AC19" s="2723"/>
      <c r="AD19" s="2723"/>
      <c r="AE19" s="2723"/>
      <c r="AF19" s="2723"/>
    </row>
    <row r="20" spans="1:32" x14ac:dyDescent="0.3">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x14ac:dyDescent="0.3">
      <c r="A21" s="405"/>
      <c r="B21" s="406" t="s">
        <v>13</v>
      </c>
      <c r="C21" s="406"/>
      <c r="D21" s="406"/>
      <c r="E21" s="406"/>
      <c r="F21" s="406"/>
      <c r="G21" s="406"/>
      <c r="H21" s="406"/>
      <c r="I21" s="406"/>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x14ac:dyDescent="0.3">
      <c r="A22" s="405"/>
      <c r="B22" s="2723" t="s">
        <v>3103</v>
      </c>
      <c r="C22" s="2723"/>
      <c r="D22" s="2723"/>
      <c r="E22" s="2723"/>
      <c r="F22" s="2723"/>
      <c r="G22" s="2723"/>
      <c r="H22" s="2723"/>
      <c r="I22" s="2723"/>
      <c r="J22" s="2723"/>
      <c r="K22" s="2723"/>
      <c r="L22" s="2723"/>
      <c r="M22" s="2723"/>
      <c r="N22" s="2723"/>
      <c r="O22" s="2723"/>
      <c r="P22" s="2723"/>
      <c r="Q22" s="2723"/>
      <c r="R22" s="2723"/>
      <c r="S22" s="2723"/>
      <c r="T22" s="2723"/>
      <c r="U22" s="2723"/>
      <c r="V22" s="2723"/>
      <c r="W22" s="2723"/>
      <c r="X22" s="2723"/>
      <c r="Y22" s="2723"/>
      <c r="Z22" s="2723"/>
      <c r="AA22" s="2723"/>
      <c r="AB22" s="2723"/>
      <c r="AC22" s="2723"/>
      <c r="AD22" s="2723"/>
      <c r="AE22" s="2723"/>
      <c r="AF22" s="2723"/>
    </row>
    <row r="23" spans="1:32" x14ac:dyDescent="0.3">
      <c r="A23" s="405"/>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row>
    <row r="24" spans="1:32" x14ac:dyDescent="0.3">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row>
    <row r="25" spans="1:32" x14ac:dyDescent="0.3">
      <c r="A25" s="2719" t="s">
        <v>7</v>
      </c>
      <c r="B25" s="2720"/>
      <c r="C25" s="2720"/>
      <c r="D25" s="2720"/>
      <c r="E25" s="2720"/>
      <c r="F25" s="2720"/>
      <c r="G25" s="2720"/>
      <c r="H25" s="2720"/>
      <c r="I25" s="2720"/>
      <c r="J25" s="2720"/>
      <c r="K25" s="2720"/>
      <c r="L25" s="2720"/>
      <c r="M25" s="2720"/>
      <c r="N25" s="2720"/>
      <c r="O25" s="2720"/>
      <c r="P25" s="2720"/>
      <c r="Q25" s="2720"/>
      <c r="R25" s="2720"/>
      <c r="S25" s="2720"/>
      <c r="T25" s="2720"/>
      <c r="U25" s="2720"/>
      <c r="V25" s="2720"/>
      <c r="W25" s="2720"/>
      <c r="X25" s="2720"/>
      <c r="Y25" s="2720"/>
      <c r="Z25" s="2720"/>
      <c r="AA25" s="2720"/>
      <c r="AB25" s="2720"/>
      <c r="AC25" s="2720"/>
      <c r="AD25" s="2720"/>
      <c r="AE25" s="2720"/>
      <c r="AF25" s="2721"/>
    </row>
    <row r="26" spans="1:32" x14ac:dyDescent="0.3">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row>
    <row r="27" spans="1:32" ht="15.6" x14ac:dyDescent="0.3">
      <c r="A27" s="2707" t="s">
        <v>3083</v>
      </c>
      <c r="B27" s="2707"/>
      <c r="C27" s="2707"/>
      <c r="D27" s="2707"/>
      <c r="E27" s="2707"/>
      <c r="F27" s="2707"/>
      <c r="G27" s="421" t="s">
        <v>3104</v>
      </c>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1:32" ht="15.6" x14ac:dyDescent="0.3">
      <c r="A28" s="2707" t="s">
        <v>3085</v>
      </c>
      <c r="B28" s="2707"/>
      <c r="C28" s="2707"/>
      <c r="D28" s="2707"/>
      <c r="E28" s="2707"/>
      <c r="F28" s="2707"/>
      <c r="G28" s="421" t="s">
        <v>3105</v>
      </c>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5.6" x14ac:dyDescent="0.3">
      <c r="A29" s="2707" t="s">
        <v>3087</v>
      </c>
      <c r="B29" s="2707"/>
      <c r="C29" s="2707"/>
      <c r="D29" s="2707"/>
      <c r="E29" s="2707"/>
      <c r="F29" s="2707"/>
      <c r="G29" s="421" t="s">
        <v>3117</v>
      </c>
      <c r="H29" s="421"/>
      <c r="I29" s="421"/>
      <c r="J29" s="421"/>
      <c r="K29" s="405"/>
      <c r="L29" s="405"/>
      <c r="M29" s="405"/>
      <c r="N29" s="405"/>
      <c r="O29" s="405"/>
      <c r="P29" s="405"/>
      <c r="Q29" s="405"/>
      <c r="R29" s="405"/>
      <c r="S29" s="405"/>
      <c r="T29" s="405"/>
      <c r="U29" s="405"/>
      <c r="V29" s="405"/>
      <c r="W29" s="405"/>
      <c r="X29" s="405"/>
      <c r="Y29" s="405"/>
      <c r="Z29" s="405"/>
      <c r="AA29" s="405"/>
      <c r="AB29" s="405"/>
      <c r="AC29" s="405"/>
      <c r="AD29" s="405"/>
      <c r="AE29" s="405"/>
      <c r="AF29" s="405"/>
    </row>
    <row r="30" spans="1:32" x14ac:dyDescent="0.3">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row>
    <row r="31" spans="1:32" x14ac:dyDescent="0.3">
      <c r="A31" s="2724" t="s">
        <v>8</v>
      </c>
      <c r="B31" s="2724"/>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2724"/>
      <c r="AB31" s="2724"/>
      <c r="AC31" s="2724"/>
      <c r="AD31" s="2724"/>
      <c r="AE31" s="2724"/>
      <c r="AF31" s="2724"/>
    </row>
    <row r="32" spans="1:32" x14ac:dyDescent="0.3">
      <c r="A32" s="2725" t="s">
        <v>9</v>
      </c>
      <c r="B32" s="2725"/>
      <c r="C32" s="2725"/>
      <c r="D32" s="2725"/>
      <c r="E32" s="2725" t="s">
        <v>3</v>
      </c>
      <c r="F32" s="2725"/>
      <c r="G32" s="2725"/>
      <c r="H32" s="2725"/>
      <c r="I32" s="2725"/>
      <c r="J32" s="2725"/>
      <c r="K32" s="2725"/>
      <c r="L32" s="2725"/>
      <c r="M32" s="2725"/>
      <c r="N32" s="2725"/>
      <c r="O32" s="2725"/>
      <c r="P32" s="2725"/>
      <c r="Q32" s="2725" t="s">
        <v>10</v>
      </c>
      <c r="R32" s="2725"/>
      <c r="S32" s="2725"/>
      <c r="T32" s="2725"/>
      <c r="U32" s="2726" t="s">
        <v>11</v>
      </c>
      <c r="V32" s="2727"/>
      <c r="W32" s="2728"/>
      <c r="X32" s="2726" t="s">
        <v>1466</v>
      </c>
      <c r="Y32" s="2727"/>
      <c r="Z32" s="2727"/>
      <c r="AA32" s="2727"/>
      <c r="AB32" s="2727"/>
      <c r="AC32" s="2727"/>
      <c r="AD32" s="2727"/>
      <c r="AE32" s="2727"/>
      <c r="AF32" s="2728"/>
    </row>
    <row r="33" spans="1:32" ht="32.25" customHeight="1" x14ac:dyDescent="0.3">
      <c r="A33" s="1316" t="s">
        <v>70</v>
      </c>
      <c r="B33" s="1317"/>
      <c r="C33" s="1317"/>
      <c r="D33" s="1318"/>
      <c r="E33" s="1316" t="s">
        <v>2720</v>
      </c>
      <c r="F33" s="1317"/>
      <c r="G33" s="1317"/>
      <c r="H33" s="1317"/>
      <c r="I33" s="1317"/>
      <c r="J33" s="1317"/>
      <c r="K33" s="1317"/>
      <c r="L33" s="1317"/>
      <c r="M33" s="1317"/>
      <c r="N33" s="1317"/>
      <c r="O33" s="1317"/>
      <c r="P33" s="1318"/>
      <c r="Q33" s="2713">
        <v>100</v>
      </c>
      <c r="R33" s="2714"/>
      <c r="S33" s="2714"/>
      <c r="T33" s="2715"/>
      <c r="U33" s="2713" t="s">
        <v>3038</v>
      </c>
      <c r="V33" s="2714"/>
      <c r="W33" s="2715"/>
      <c r="X33" s="2716" t="s">
        <v>3115</v>
      </c>
      <c r="Y33" s="2717"/>
      <c r="Z33" s="2717"/>
      <c r="AA33" s="2717"/>
      <c r="AB33" s="2717"/>
      <c r="AC33" s="2717"/>
      <c r="AD33" s="2717"/>
      <c r="AE33" s="2717"/>
      <c r="AF33" s="2718"/>
    </row>
    <row r="34" spans="1:32" ht="48" customHeight="1" x14ac:dyDescent="0.3">
      <c r="A34" s="1316" t="s">
        <v>3081</v>
      </c>
      <c r="B34" s="1317"/>
      <c r="C34" s="1317"/>
      <c r="D34" s="1318"/>
      <c r="E34" s="1316" t="s">
        <v>3039</v>
      </c>
      <c r="F34" s="1317"/>
      <c r="G34" s="1317"/>
      <c r="H34" s="1317"/>
      <c r="I34" s="1317"/>
      <c r="J34" s="1317"/>
      <c r="K34" s="1317"/>
      <c r="L34" s="1317"/>
      <c r="M34" s="1317"/>
      <c r="N34" s="1317"/>
      <c r="O34" s="1317"/>
      <c r="P34" s="1318"/>
      <c r="Q34" s="2710">
        <v>1</v>
      </c>
      <c r="R34" s="2711"/>
      <c r="S34" s="2711"/>
      <c r="T34" s="2712"/>
      <c r="U34" s="2713" t="s">
        <v>3040</v>
      </c>
      <c r="V34" s="2714"/>
      <c r="W34" s="2715"/>
      <c r="X34" s="2716" t="s">
        <v>3111</v>
      </c>
      <c r="Y34" s="2717"/>
      <c r="Z34" s="2717"/>
      <c r="AA34" s="2717"/>
      <c r="AB34" s="2717"/>
      <c r="AC34" s="2717"/>
      <c r="AD34" s="2717"/>
      <c r="AE34" s="2717"/>
      <c r="AF34" s="2718"/>
    </row>
    <row r="35" spans="1:32" ht="48" customHeight="1" x14ac:dyDescent="0.3">
      <c r="A35" s="1316" t="s">
        <v>3082</v>
      </c>
      <c r="B35" s="1317"/>
      <c r="C35" s="1317"/>
      <c r="D35" s="1318"/>
      <c r="E35" s="1316" t="s">
        <v>3042</v>
      </c>
      <c r="F35" s="1317"/>
      <c r="G35" s="1317"/>
      <c r="H35" s="1317"/>
      <c r="I35" s="1317"/>
      <c r="J35" s="1317"/>
      <c r="K35" s="1317"/>
      <c r="L35" s="1317"/>
      <c r="M35" s="1317"/>
      <c r="N35" s="1317"/>
      <c r="O35" s="1317"/>
      <c r="P35" s="1318"/>
      <c r="Q35" s="2710">
        <v>3</v>
      </c>
      <c r="R35" s="2711"/>
      <c r="S35" s="2711"/>
      <c r="T35" s="2712"/>
      <c r="U35" s="2713" t="s">
        <v>3040</v>
      </c>
      <c r="V35" s="2714"/>
      <c r="W35" s="2715"/>
      <c r="X35" s="2716" t="s">
        <v>3111</v>
      </c>
      <c r="Y35" s="2717"/>
      <c r="Z35" s="2717"/>
      <c r="AA35" s="2717"/>
      <c r="AB35" s="2717"/>
      <c r="AC35" s="2717"/>
      <c r="AD35" s="2717"/>
      <c r="AE35" s="2717"/>
      <c r="AF35" s="2718"/>
    </row>
    <row r="36" spans="1:32" ht="27.75" customHeight="1" x14ac:dyDescent="0.3">
      <c r="A36" s="1316" t="s">
        <v>3106</v>
      </c>
      <c r="B36" s="1317"/>
      <c r="C36" s="1317"/>
      <c r="D36" s="1318"/>
      <c r="E36" s="1316" t="s">
        <v>3043</v>
      </c>
      <c r="F36" s="1317"/>
      <c r="G36" s="1317"/>
      <c r="H36" s="1317"/>
      <c r="I36" s="1317"/>
      <c r="J36" s="1317"/>
      <c r="K36" s="1317"/>
      <c r="L36" s="1317"/>
      <c r="M36" s="1317"/>
      <c r="N36" s="1317"/>
      <c r="O36" s="1317"/>
      <c r="P36" s="1318"/>
      <c r="Q36" s="2710">
        <v>1</v>
      </c>
      <c r="R36" s="2711"/>
      <c r="S36" s="2711"/>
      <c r="T36" s="2712"/>
      <c r="U36" s="2713" t="s">
        <v>269</v>
      </c>
      <c r="V36" s="2714"/>
      <c r="W36" s="2715"/>
      <c r="X36" s="2716" t="s">
        <v>3110</v>
      </c>
      <c r="Y36" s="2717"/>
      <c r="Z36" s="2717"/>
      <c r="AA36" s="2717"/>
      <c r="AB36" s="2717"/>
      <c r="AC36" s="2717"/>
      <c r="AD36" s="2717"/>
      <c r="AE36" s="2717"/>
      <c r="AF36" s="2718"/>
    </row>
    <row r="37" spans="1:32" ht="28.5" customHeight="1" x14ac:dyDescent="0.3">
      <c r="A37" s="1316" t="s">
        <v>3107</v>
      </c>
      <c r="B37" s="1317"/>
      <c r="C37" s="1317"/>
      <c r="D37" s="1318"/>
      <c r="E37" s="1316" t="s">
        <v>3044</v>
      </c>
      <c r="F37" s="1317"/>
      <c r="G37" s="1317"/>
      <c r="H37" s="1317"/>
      <c r="I37" s="1317"/>
      <c r="J37" s="1317"/>
      <c r="K37" s="1317"/>
      <c r="L37" s="1317"/>
      <c r="M37" s="1317"/>
      <c r="N37" s="1317"/>
      <c r="O37" s="1317"/>
      <c r="P37" s="1318"/>
      <c r="Q37" s="2710">
        <v>0.6</v>
      </c>
      <c r="R37" s="2711"/>
      <c r="S37" s="2711"/>
      <c r="T37" s="2712"/>
      <c r="U37" s="2713" t="s">
        <v>269</v>
      </c>
      <c r="V37" s="2714"/>
      <c r="W37" s="2715"/>
      <c r="X37" s="2716" t="s">
        <v>3110</v>
      </c>
      <c r="Y37" s="2717"/>
      <c r="Z37" s="2717"/>
      <c r="AA37" s="2717"/>
      <c r="AB37" s="2717"/>
      <c r="AC37" s="2717"/>
      <c r="AD37" s="2717"/>
      <c r="AE37" s="2717"/>
      <c r="AF37" s="2718"/>
    </row>
    <row r="38" spans="1:32" ht="44.25" customHeight="1" x14ac:dyDescent="0.3">
      <c r="A38" s="1316" t="s">
        <v>21</v>
      </c>
      <c r="B38" s="1317"/>
      <c r="C38" s="1317"/>
      <c r="D38" s="1318"/>
      <c r="E38" s="1322" t="s">
        <v>39</v>
      </c>
      <c r="F38" s="1323"/>
      <c r="G38" s="1323"/>
      <c r="H38" s="1323"/>
      <c r="I38" s="1323"/>
      <c r="J38" s="1323"/>
      <c r="K38" s="1323"/>
      <c r="L38" s="1323"/>
      <c r="M38" s="1323"/>
      <c r="N38" s="1323"/>
      <c r="O38" s="1323"/>
      <c r="P38" s="1324"/>
      <c r="Q38" s="2729">
        <f>ROUND(16/24,2)</f>
        <v>0.67</v>
      </c>
      <c r="R38" s="2730"/>
      <c r="S38" s="2730"/>
      <c r="T38" s="2731"/>
      <c r="U38" s="2713" t="s">
        <v>20</v>
      </c>
      <c r="V38" s="2714"/>
      <c r="W38" s="2715"/>
      <c r="X38" s="2732" t="s">
        <v>3113</v>
      </c>
      <c r="Y38" s="2733"/>
      <c r="Z38" s="2733"/>
      <c r="AA38" s="2733"/>
      <c r="AB38" s="2733"/>
      <c r="AC38" s="2733"/>
      <c r="AD38" s="2733"/>
      <c r="AE38" s="2733"/>
      <c r="AF38" s="2734"/>
    </row>
    <row r="39" spans="1:32" ht="46.5" customHeight="1" x14ac:dyDescent="0.3">
      <c r="A39" s="1316" t="s">
        <v>24</v>
      </c>
      <c r="B39" s="1317"/>
      <c r="C39" s="1317"/>
      <c r="D39" s="1318"/>
      <c r="E39" s="1384" t="s">
        <v>3045</v>
      </c>
      <c r="F39" s="1384"/>
      <c r="G39" s="1384"/>
      <c r="H39" s="1384"/>
      <c r="I39" s="1384"/>
      <c r="J39" s="1384"/>
      <c r="K39" s="1384"/>
      <c r="L39" s="1384"/>
      <c r="M39" s="1384"/>
      <c r="N39" s="1384"/>
      <c r="O39" s="1384"/>
      <c r="P39" s="1384"/>
      <c r="Q39" s="2737">
        <f>16*365</f>
        <v>5840</v>
      </c>
      <c r="R39" s="2738"/>
      <c r="S39" s="2738"/>
      <c r="T39" s="2739"/>
      <c r="U39" s="2713" t="s">
        <v>790</v>
      </c>
      <c r="V39" s="2714"/>
      <c r="W39" s="2714"/>
      <c r="X39" s="2740" t="s">
        <v>3112</v>
      </c>
      <c r="Y39" s="2741"/>
      <c r="Z39" s="2741"/>
      <c r="AA39" s="2741"/>
      <c r="AB39" s="2741"/>
      <c r="AC39" s="2741"/>
      <c r="AD39" s="2741"/>
      <c r="AE39" s="2741"/>
      <c r="AF39" s="2742"/>
    </row>
    <row r="40" spans="1:32" ht="20.25" customHeight="1" x14ac:dyDescent="0.3">
      <c r="A40" s="1316" t="s">
        <v>159</v>
      </c>
      <c r="B40" s="1317"/>
      <c r="C40" s="1317"/>
      <c r="D40" s="1318"/>
      <c r="E40" s="1322" t="s">
        <v>3052</v>
      </c>
      <c r="F40" s="1323"/>
      <c r="G40" s="1323"/>
      <c r="H40" s="1323"/>
      <c r="I40" s="1323"/>
      <c r="J40" s="1323"/>
      <c r="K40" s="1323"/>
      <c r="L40" s="1323"/>
      <c r="M40" s="1323"/>
      <c r="N40" s="1323"/>
      <c r="O40" s="1323"/>
      <c r="P40" s="1324"/>
      <c r="Q40" s="2737">
        <v>1000</v>
      </c>
      <c r="R40" s="2738"/>
      <c r="S40" s="2738"/>
      <c r="T40" s="2739"/>
      <c r="U40" s="2713" t="s">
        <v>271</v>
      </c>
      <c r="V40" s="2714"/>
      <c r="W40" s="2715"/>
      <c r="X40" s="2743"/>
      <c r="Y40" s="2744"/>
      <c r="Z40" s="2744"/>
      <c r="AA40" s="2744"/>
      <c r="AB40" s="2744"/>
      <c r="AC40" s="2744"/>
      <c r="AD40" s="2744"/>
      <c r="AE40" s="2744"/>
      <c r="AF40" s="2745"/>
    </row>
    <row r="41" spans="1:32" ht="50.25" customHeight="1" x14ac:dyDescent="0.3">
      <c r="A41" s="1316" t="s">
        <v>2562</v>
      </c>
      <c r="B41" s="1317"/>
      <c r="C41" s="1317"/>
      <c r="D41" s="1318"/>
      <c r="E41" s="1316" t="s">
        <v>2050</v>
      </c>
      <c r="F41" s="1317"/>
      <c r="G41" s="1317"/>
      <c r="H41" s="1317"/>
      <c r="I41" s="1317"/>
      <c r="J41" s="1317"/>
      <c r="K41" s="1317"/>
      <c r="L41" s="1317"/>
      <c r="M41" s="1317"/>
      <c r="N41" s="1317"/>
      <c r="O41" s="1317"/>
      <c r="P41" s="1318"/>
      <c r="Q41" s="2713">
        <f>'Master EUL'!X35</f>
        <v>9</v>
      </c>
      <c r="R41" s="2714"/>
      <c r="S41" s="2714"/>
      <c r="T41" s="2715"/>
      <c r="U41" s="2713" t="s">
        <v>38</v>
      </c>
      <c r="V41" s="2714"/>
      <c r="W41" s="2714"/>
      <c r="X41" s="2716" t="s">
        <v>3114</v>
      </c>
      <c r="Y41" s="2735"/>
      <c r="Z41" s="2735"/>
      <c r="AA41" s="2735"/>
      <c r="AB41" s="2735"/>
      <c r="AC41" s="2735"/>
      <c r="AD41" s="2735"/>
      <c r="AE41" s="2735"/>
      <c r="AF41" s="2736"/>
    </row>
    <row r="42" spans="1:32" x14ac:dyDescent="0.3">
      <c r="A42" s="405"/>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row>
    <row r="43" spans="1:32" x14ac:dyDescent="0.3">
      <c r="A43" s="405"/>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row>
    <row r="44" spans="1:32" x14ac:dyDescent="0.3">
      <c r="A44" s="2719" t="s">
        <v>14</v>
      </c>
      <c r="B44" s="2720"/>
      <c r="C44" s="2720"/>
      <c r="D44" s="2720"/>
      <c r="E44" s="2720"/>
      <c r="F44" s="2720"/>
      <c r="G44" s="2720"/>
      <c r="H44" s="2720"/>
      <c r="I44" s="2720"/>
      <c r="J44" s="2720"/>
      <c r="K44" s="2720"/>
      <c r="L44" s="2720"/>
      <c r="M44" s="2720"/>
      <c r="N44" s="2720"/>
      <c r="O44" s="2720"/>
      <c r="P44" s="2720"/>
      <c r="Q44" s="2720"/>
      <c r="R44" s="2720"/>
      <c r="S44" s="2720"/>
      <c r="T44" s="2720"/>
      <c r="U44" s="2720"/>
      <c r="V44" s="2720"/>
      <c r="W44" s="2720"/>
      <c r="X44" s="2720"/>
      <c r="Y44" s="2720"/>
      <c r="Z44" s="2720"/>
      <c r="AA44" s="2720"/>
      <c r="AB44" s="2720"/>
      <c r="AC44" s="2720"/>
      <c r="AD44" s="2720"/>
      <c r="AE44" s="2720"/>
      <c r="AF44" s="2721"/>
    </row>
    <row r="45" spans="1:32" x14ac:dyDescent="0.3">
      <c r="A45" s="66"/>
      <c r="B45" s="409"/>
      <c r="C45" s="409"/>
      <c r="D45" s="409"/>
      <c r="E45" s="409"/>
      <c r="F45" s="409"/>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row>
    <row r="46" spans="1:32" x14ac:dyDescent="0.3">
      <c r="A46" s="410"/>
      <c r="B46" s="422"/>
      <c r="C46" s="422"/>
      <c r="D46" s="423"/>
      <c r="E46" s="423"/>
      <c r="F46" s="423"/>
      <c r="G46" s="423"/>
      <c r="H46" s="2748" t="s">
        <v>121</v>
      </c>
      <c r="I46" s="2748"/>
      <c r="J46" s="2748"/>
      <c r="K46" s="2748" t="s">
        <v>3046</v>
      </c>
      <c r="L46" s="2748"/>
      <c r="M46" s="2748"/>
      <c r="N46" s="424"/>
      <c r="O46" s="423"/>
      <c r="P46" s="423"/>
      <c r="Q46" s="410"/>
      <c r="R46" s="410"/>
      <c r="S46" s="410"/>
      <c r="T46" s="410"/>
      <c r="U46" s="410"/>
      <c r="V46" s="410"/>
      <c r="W46" s="410"/>
      <c r="X46" s="410"/>
      <c r="Y46" s="410"/>
      <c r="Z46" s="410"/>
      <c r="AA46" s="410"/>
      <c r="AB46" s="410"/>
      <c r="AC46" s="410"/>
      <c r="AD46" s="410"/>
      <c r="AE46" s="410"/>
      <c r="AF46" s="410"/>
    </row>
    <row r="47" spans="1:32" x14ac:dyDescent="0.3">
      <c r="A47" s="412"/>
      <c r="B47" s="2749" t="s">
        <v>3047</v>
      </c>
      <c r="C47" s="2749"/>
      <c r="D47" s="2749"/>
      <c r="E47" s="2749"/>
      <c r="F47" s="2749"/>
      <c r="G47" s="2750"/>
      <c r="H47" s="2751">
        <f>Q33/Q34/1000</f>
        <v>0.1</v>
      </c>
      <c r="I47" s="2751"/>
      <c r="J47" s="2751"/>
      <c r="K47" s="2751">
        <f>Q33/Q35/1000</f>
        <v>3.3333333333333333E-2</v>
      </c>
      <c r="L47" s="2751"/>
      <c r="M47" s="2751"/>
      <c r="N47" s="2746" t="s">
        <v>18</v>
      </c>
      <c r="O47" s="2747"/>
      <c r="P47" s="2747"/>
      <c r="Q47" s="410"/>
      <c r="R47" s="411"/>
      <c r="S47" s="411"/>
      <c r="T47" s="410"/>
      <c r="U47" s="410"/>
      <c r="V47" s="410"/>
      <c r="W47" s="410"/>
      <c r="X47" s="410"/>
      <c r="Y47" s="410"/>
      <c r="Z47" s="410"/>
      <c r="AA47" s="410"/>
      <c r="AB47" s="410"/>
      <c r="AC47" s="410"/>
      <c r="AD47" s="410"/>
      <c r="AE47" s="410"/>
      <c r="AF47" s="410"/>
    </row>
    <row r="48" spans="1:32" x14ac:dyDescent="0.3">
      <c r="A48" s="412"/>
      <c r="B48" s="2749" t="s">
        <v>3048</v>
      </c>
      <c r="C48" s="2749"/>
      <c r="D48" s="2749"/>
      <c r="E48" s="2749"/>
      <c r="F48" s="2749"/>
      <c r="G48" s="2750"/>
      <c r="H48" s="2752">
        <f>H47*Q39</f>
        <v>584</v>
      </c>
      <c r="I48" s="2752"/>
      <c r="J48" s="2752"/>
      <c r="K48" s="2752">
        <f>K47*Q39</f>
        <v>194.66666666666666</v>
      </c>
      <c r="L48" s="2752"/>
      <c r="M48" s="2752"/>
      <c r="N48" s="2746" t="s">
        <v>41</v>
      </c>
      <c r="O48" s="2747"/>
      <c r="P48" s="2747"/>
      <c r="Q48" s="410"/>
      <c r="R48" s="411"/>
      <c r="S48" s="411"/>
      <c r="T48" s="410"/>
      <c r="U48" s="410"/>
      <c r="V48" s="410"/>
      <c r="W48" s="410"/>
      <c r="X48" s="410"/>
      <c r="Y48" s="410"/>
      <c r="Z48" s="410"/>
      <c r="AA48" s="410"/>
      <c r="AB48" s="410"/>
      <c r="AC48" s="410"/>
      <c r="AD48" s="410"/>
      <c r="AE48" s="410"/>
      <c r="AF48" s="410"/>
    </row>
    <row r="49" spans="1:32" x14ac:dyDescent="0.3">
      <c r="A49" s="412"/>
      <c r="B49" s="2749" t="s">
        <v>3049</v>
      </c>
      <c r="C49" s="2749"/>
      <c r="D49" s="2749"/>
      <c r="E49" s="2749"/>
      <c r="F49" s="2749"/>
      <c r="G49" s="2750"/>
      <c r="H49" s="2752">
        <f>(8760-Q39)*Q36/1000</f>
        <v>2.92</v>
      </c>
      <c r="I49" s="2752"/>
      <c r="J49" s="2752"/>
      <c r="K49" s="2752">
        <f>(8760-Q39)*Q37/1000</f>
        <v>1.752</v>
      </c>
      <c r="L49" s="2752"/>
      <c r="M49" s="2752"/>
      <c r="N49" s="2746" t="s">
        <v>41</v>
      </c>
      <c r="O49" s="2747"/>
      <c r="P49" s="2747"/>
      <c r="Q49" s="410"/>
      <c r="R49" s="411"/>
      <c r="S49" s="411"/>
      <c r="T49" s="410"/>
      <c r="U49" s="410"/>
      <c r="V49" s="410"/>
      <c r="W49" s="410"/>
      <c r="X49" s="410"/>
      <c r="Y49" s="410"/>
      <c r="Z49" s="410"/>
      <c r="AA49" s="410"/>
      <c r="AB49" s="410"/>
      <c r="AC49" s="410"/>
      <c r="AD49" s="410"/>
      <c r="AE49" s="410"/>
      <c r="AF49" s="410"/>
    </row>
    <row r="50" spans="1:32" x14ac:dyDescent="0.3">
      <c r="A50" s="412"/>
      <c r="B50" s="2749" t="s">
        <v>3050</v>
      </c>
      <c r="C50" s="2749"/>
      <c r="D50" s="2749"/>
      <c r="E50" s="2749"/>
      <c r="F50" s="2749"/>
      <c r="G50" s="2750"/>
      <c r="H50" s="2752">
        <f>SUM(H48:J49)</f>
        <v>586.91999999999996</v>
      </c>
      <c r="I50" s="2752"/>
      <c r="J50" s="2752"/>
      <c r="K50" s="2752">
        <f>SUM(K48:M49)</f>
        <v>196.41866666666667</v>
      </c>
      <c r="L50" s="2752"/>
      <c r="M50" s="2752"/>
      <c r="N50" s="2746" t="s">
        <v>41</v>
      </c>
      <c r="O50" s="2747"/>
      <c r="P50" s="2747"/>
      <c r="Q50" s="410"/>
      <c r="R50" s="411"/>
      <c r="S50" s="411"/>
      <c r="T50" s="410"/>
      <c r="U50" s="410"/>
      <c r="V50" s="410"/>
      <c r="W50" s="410"/>
      <c r="X50" s="410"/>
      <c r="Y50" s="410"/>
      <c r="Z50" s="410"/>
      <c r="AA50" s="410"/>
      <c r="AB50" s="410"/>
      <c r="AC50" s="410"/>
      <c r="AD50" s="410"/>
      <c r="AE50" s="410"/>
      <c r="AF50" s="410"/>
    </row>
    <row r="51" spans="1:32" ht="15" thickBot="1" x14ac:dyDescent="0.35">
      <c r="A51" s="413"/>
      <c r="B51" s="414"/>
      <c r="C51" s="414"/>
      <c r="D51" s="415"/>
      <c r="H51" s="416"/>
      <c r="K51" s="416"/>
      <c r="L51" s="416"/>
      <c r="M51" s="417"/>
      <c r="N51" s="411"/>
    </row>
    <row r="52" spans="1:32" x14ac:dyDescent="0.3">
      <c r="A52" s="2759" t="s">
        <v>15</v>
      </c>
      <c r="B52" s="2708"/>
      <c r="C52" s="2708"/>
      <c r="D52" s="2708"/>
      <c r="E52" s="2708"/>
      <c r="F52" s="2708"/>
      <c r="G52" s="2708"/>
      <c r="H52" s="2708"/>
      <c r="I52" s="2708" t="s">
        <v>16</v>
      </c>
      <c r="J52" s="2708"/>
      <c r="K52" s="2708"/>
      <c r="L52" s="2708"/>
      <c r="M52" s="2708"/>
      <c r="N52" s="2708"/>
      <c r="O52" s="2708"/>
      <c r="P52" s="2708"/>
      <c r="Q52" s="2708" t="s">
        <v>17</v>
      </c>
      <c r="R52" s="2708"/>
      <c r="S52" s="2708"/>
      <c r="T52" s="2708"/>
      <c r="U52" s="2708"/>
      <c r="V52" s="2708"/>
      <c r="W52" s="2708"/>
      <c r="X52" s="2753"/>
      <c r="Y52" s="2708" t="s">
        <v>1826</v>
      </c>
      <c r="Z52" s="2708"/>
      <c r="AA52" s="2708"/>
      <c r="AB52" s="2708"/>
      <c r="AC52" s="2708"/>
      <c r="AD52" s="2708"/>
      <c r="AE52" s="2708"/>
      <c r="AF52" s="2709"/>
    </row>
    <row r="53" spans="1:32" ht="15" thickBot="1" x14ac:dyDescent="0.35">
      <c r="A53" s="2754" t="s">
        <v>3051</v>
      </c>
      <c r="B53" s="2755"/>
      <c r="C53" s="2755"/>
      <c r="D53" s="2755"/>
      <c r="E53" s="2755"/>
      <c r="F53" s="2755"/>
      <c r="G53" s="2755"/>
      <c r="H53" s="2755"/>
      <c r="I53" s="2756">
        <f>ROUND((H47-K47)*$Q$38,3)</f>
        <v>4.4999999999999998E-2</v>
      </c>
      <c r="J53" s="2756"/>
      <c r="K53" s="2756"/>
      <c r="L53" s="2756"/>
      <c r="M53" s="2756"/>
      <c r="N53" s="2756"/>
      <c r="O53" s="2756"/>
      <c r="P53" s="2756"/>
      <c r="Q53" s="2757">
        <f>ROUND(H50-K50,2)</f>
        <v>390.5</v>
      </c>
      <c r="R53" s="2757"/>
      <c r="S53" s="2757"/>
      <c r="T53" s="2757"/>
      <c r="U53" s="2757"/>
      <c r="V53" s="2757"/>
      <c r="W53" s="2757"/>
      <c r="X53" s="2758"/>
      <c r="Y53" s="1562">
        <f>ROUND($Q$53*$Q$41,2)</f>
        <v>3514.5</v>
      </c>
      <c r="Z53" s="1562"/>
      <c r="AA53" s="1562"/>
      <c r="AB53" s="1562"/>
      <c r="AC53" s="1562"/>
      <c r="AD53" s="1562"/>
      <c r="AE53" s="1562"/>
      <c r="AF53" s="1563"/>
    </row>
    <row r="56" spans="1:32" x14ac:dyDescent="0.3">
      <c r="A56" s="1141" t="s">
        <v>1514</v>
      </c>
      <c r="B56" s="1141"/>
      <c r="C56" s="1141"/>
      <c r="D56" s="1141"/>
      <c r="E56" s="1141"/>
      <c r="F56" s="1141"/>
      <c r="G56" s="1141"/>
      <c r="H56" s="1141"/>
      <c r="I56" s="1141"/>
      <c r="J56" s="1141"/>
      <c r="K56" s="1141"/>
      <c r="L56" s="1141"/>
      <c r="M56" s="1141"/>
      <c r="N56" s="1141"/>
      <c r="O56" s="1141"/>
      <c r="P56" s="1141"/>
      <c r="Q56" s="1141"/>
      <c r="R56" s="1141"/>
      <c r="S56" s="1141"/>
      <c r="T56" s="1141"/>
      <c r="U56" s="1141"/>
      <c r="V56" s="1141"/>
      <c r="W56" s="1141"/>
      <c r="X56" s="1141"/>
      <c r="Y56" s="1141"/>
      <c r="Z56" s="1141"/>
      <c r="AA56" s="1141"/>
      <c r="AB56" s="1141"/>
      <c r="AC56" s="1141"/>
      <c r="AD56" s="1141"/>
      <c r="AE56" s="1141"/>
      <c r="AF56" s="1141"/>
    </row>
    <row r="57" spans="1:32"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row>
    <row r="58" spans="1:32" ht="15" customHeight="1" x14ac:dyDescent="0.3">
      <c r="A58" s="368" t="s">
        <v>803</v>
      </c>
      <c r="B58" s="953" t="s">
        <v>3095</v>
      </c>
      <c r="C58" s="953"/>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row>
    <row r="59" spans="1:32" ht="50.25" customHeight="1" x14ac:dyDescent="0.3">
      <c r="A59" s="368" t="s">
        <v>803</v>
      </c>
      <c r="B59" s="889" t="s">
        <v>1913</v>
      </c>
      <c r="C59" s="889"/>
      <c r="D59" s="889"/>
      <c r="E59" s="889"/>
      <c r="F59" s="889"/>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row>
    <row r="60" spans="1:32" ht="34.5" customHeight="1" x14ac:dyDescent="0.3">
      <c r="A60" s="368" t="s">
        <v>803</v>
      </c>
      <c r="B60" s="953" t="s">
        <v>3098</v>
      </c>
      <c r="C60" s="953"/>
      <c r="D60" s="953"/>
      <c r="E60" s="953"/>
      <c r="F60" s="953"/>
      <c r="G60" s="953"/>
      <c r="H60" s="953"/>
      <c r="I60" s="953"/>
      <c r="J60" s="953"/>
      <c r="K60" s="953"/>
      <c r="L60" s="953"/>
      <c r="M60" s="953"/>
      <c r="N60" s="953"/>
      <c r="O60" s="953"/>
      <c r="P60" s="953"/>
      <c r="Q60" s="953"/>
      <c r="R60" s="953"/>
      <c r="S60" s="953"/>
      <c r="T60" s="953"/>
      <c r="U60" s="953"/>
      <c r="V60" s="953"/>
      <c r="W60" s="953"/>
      <c r="X60" s="953"/>
      <c r="Y60" s="953"/>
      <c r="Z60" s="953"/>
      <c r="AA60" s="953"/>
      <c r="AB60" s="953"/>
      <c r="AC60" s="953"/>
      <c r="AD60" s="953"/>
      <c r="AE60" s="953"/>
      <c r="AF60" s="953"/>
    </row>
    <row r="61" spans="1:32" ht="31.5" customHeight="1" x14ac:dyDescent="0.3">
      <c r="A61" s="368" t="s">
        <v>803</v>
      </c>
      <c r="B61" s="953" t="s">
        <v>3116</v>
      </c>
      <c r="C61" s="953"/>
      <c r="D61" s="953"/>
      <c r="E61" s="953"/>
      <c r="F61" s="953"/>
      <c r="G61" s="953"/>
      <c r="H61" s="953"/>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row>
  </sheetData>
  <sheetProtection algorithmName="SHA-512" hashValue="SGc6OQN8ZdtN/EUMt4NHyDQYWoPYPUQNoKKYMp2NLeQLPmgTkAoZVqLyq94O1oAZC/PpA1pxx+O4cXU9nEVuaA==" saltValue="TYDr2neLstVOOO+7AbReiw==" spinCount="100000" sheet="1" objects="1" scenarios="1"/>
  <mergeCells count="96">
    <mergeCell ref="Q52:X52"/>
    <mergeCell ref="A53:H53"/>
    <mergeCell ref="I53:P53"/>
    <mergeCell ref="Q53:X53"/>
    <mergeCell ref="B50:G50"/>
    <mergeCell ref="H50:J50"/>
    <mergeCell ref="K50:M50"/>
    <mergeCell ref="N50:P50"/>
    <mergeCell ref="A52:H52"/>
    <mergeCell ref="I52:P52"/>
    <mergeCell ref="B48:G48"/>
    <mergeCell ref="H48:J48"/>
    <mergeCell ref="K48:M48"/>
    <mergeCell ref="N48:P48"/>
    <mergeCell ref="B49:G49"/>
    <mergeCell ref="H49:J49"/>
    <mergeCell ref="K49:M49"/>
    <mergeCell ref="N49:P49"/>
    <mergeCell ref="N47:P47"/>
    <mergeCell ref="A41:D41"/>
    <mergeCell ref="E41:P41"/>
    <mergeCell ref="Q41:T41"/>
    <mergeCell ref="U41:W41"/>
    <mergeCell ref="H46:J46"/>
    <mergeCell ref="K46:M46"/>
    <mergeCell ref="B47:G47"/>
    <mergeCell ref="H47:J47"/>
    <mergeCell ref="K47:M47"/>
    <mergeCell ref="X41:AF41"/>
    <mergeCell ref="A44:AF44"/>
    <mergeCell ref="A39:D39"/>
    <mergeCell ref="E39:P39"/>
    <mergeCell ref="Q39:T39"/>
    <mergeCell ref="U39:W39"/>
    <mergeCell ref="X39:AF39"/>
    <mergeCell ref="A40:D40"/>
    <mergeCell ref="E40:P40"/>
    <mergeCell ref="Q40:T40"/>
    <mergeCell ref="U40:W40"/>
    <mergeCell ref="X40:AF40"/>
    <mergeCell ref="A37:D37"/>
    <mergeCell ref="E37:P37"/>
    <mergeCell ref="Q37:T37"/>
    <mergeCell ref="U37:W37"/>
    <mergeCell ref="X37:AF37"/>
    <mergeCell ref="A38:D38"/>
    <mergeCell ref="E38:P38"/>
    <mergeCell ref="Q38:T38"/>
    <mergeCell ref="U38:W38"/>
    <mergeCell ref="X38:AF38"/>
    <mergeCell ref="U33:W33"/>
    <mergeCell ref="X33:AF33"/>
    <mergeCell ref="A36:D36"/>
    <mergeCell ref="E36:P36"/>
    <mergeCell ref="Q36:T36"/>
    <mergeCell ref="U36:W36"/>
    <mergeCell ref="X36:AF36"/>
    <mergeCell ref="A35:D35"/>
    <mergeCell ref="E35:P35"/>
    <mergeCell ref="Q35:T35"/>
    <mergeCell ref="U35:W35"/>
    <mergeCell ref="X35:AF35"/>
    <mergeCell ref="A27:F27"/>
    <mergeCell ref="A28:F28"/>
    <mergeCell ref="A31:AF31"/>
    <mergeCell ref="A32:D32"/>
    <mergeCell ref="E32:P32"/>
    <mergeCell ref="Q32:T32"/>
    <mergeCell ref="U32:W32"/>
    <mergeCell ref="X32:AF32"/>
    <mergeCell ref="A25:AF25"/>
    <mergeCell ref="A1:AF1"/>
    <mergeCell ref="A7:AF7"/>
    <mergeCell ref="B10:AF10"/>
    <mergeCell ref="B13:AF13"/>
    <mergeCell ref="B16:AF16"/>
    <mergeCell ref="A3:AF3"/>
    <mergeCell ref="B5:AF5"/>
    <mergeCell ref="B19:AF19"/>
    <mergeCell ref="B22:AF22"/>
    <mergeCell ref="B60:AF60"/>
    <mergeCell ref="B61:AF61"/>
    <mergeCell ref="B59:AF59"/>
    <mergeCell ref="A29:F29"/>
    <mergeCell ref="Y52:AF52"/>
    <mergeCell ref="Y53:AF53"/>
    <mergeCell ref="A56:AF56"/>
    <mergeCell ref="B58:AF58"/>
    <mergeCell ref="A34:D34"/>
    <mergeCell ref="E34:P34"/>
    <mergeCell ref="Q34:T34"/>
    <mergeCell ref="U34:W34"/>
    <mergeCell ref="X34:AF34"/>
    <mergeCell ref="A33:D33"/>
    <mergeCell ref="E33:P33"/>
    <mergeCell ref="Q33:T33"/>
  </mergeCells>
  <hyperlinks>
    <hyperlink ref="A2" location="TOC!A1" display="Return to TOC" xr:uid="{00000000-0004-0000-4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B0BB-BB2C-44DE-91E6-10EEF88EC7AE}">
  <sheetPr>
    <tabColor theme="4" tint="0.79998168889431442"/>
  </sheetPr>
  <dimension ref="A1:AF74"/>
  <sheetViews>
    <sheetView workbookViewId="0">
      <selection activeCell="A2" sqref="A2"/>
    </sheetView>
  </sheetViews>
  <sheetFormatPr defaultColWidth="2.6640625" defaultRowHeight="14.4" x14ac:dyDescent="0.3"/>
  <sheetData>
    <row r="1" spans="1:32" ht="18.600000000000001" thickBot="1" x14ac:dyDescent="0.35">
      <c r="A1" s="979" t="s">
        <v>6520</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ht="15" customHeight="1" x14ac:dyDescent="0.3">
      <c r="A2" s="228" t="s">
        <v>1456</v>
      </c>
      <c r="B2" s="404"/>
      <c r="C2" s="404"/>
      <c r="D2" s="404"/>
      <c r="E2" s="404"/>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58" t="s">
        <v>6465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row>
    <row r="9" spans="1:32" x14ac:dyDescent="0.3">
      <c r="B9" s="51" t="s">
        <v>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row>
    <row r="10" spans="1:32" ht="45" customHeight="1" x14ac:dyDescent="0.3">
      <c r="B10" s="889" t="s">
        <v>6521</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B12" s="51" t="s">
        <v>4</v>
      </c>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row>
    <row r="13" spans="1:32" ht="45" customHeight="1" x14ac:dyDescent="0.3">
      <c r="B13" s="889" t="s">
        <v>6522</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B15" s="51" t="s">
        <v>5</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3">
      <c r="B16" s="121" t="s">
        <v>6523</v>
      </c>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row>
    <row r="17" spans="1:32" x14ac:dyDescent="0.3">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B18" s="51" t="s">
        <v>6</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ht="30" customHeight="1" x14ac:dyDescent="0.3">
      <c r="B19" s="889" t="s">
        <v>6524</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B21" s="51" t="s">
        <v>13</v>
      </c>
      <c r="C21" s="544"/>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row>
    <row r="22" spans="1:32" ht="30" customHeight="1" x14ac:dyDescent="0.3">
      <c r="B22" s="889" t="s">
        <v>6525</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row>
    <row r="27" spans="1:32" x14ac:dyDescent="0.3">
      <c r="B27" s="231" t="s">
        <v>5342</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3">
      <c r="B28" s="3"/>
      <c r="C28" s="1"/>
      <c r="D28" s="10"/>
      <c r="E28" s="1"/>
      <c r="F28" s="1"/>
      <c r="G28" s="1"/>
      <c r="H28" s="1"/>
      <c r="I28" s="1"/>
      <c r="J28" s="1"/>
      <c r="K28" s="1"/>
      <c r="L28" s="1"/>
      <c r="M28" s="1"/>
      <c r="N28" s="1"/>
      <c r="O28" s="1"/>
      <c r="P28" s="1"/>
      <c r="Q28" s="1"/>
      <c r="R28" s="1"/>
      <c r="S28" s="1"/>
      <c r="T28" s="1"/>
      <c r="U28" s="1"/>
      <c r="V28" s="1"/>
      <c r="W28" s="1"/>
      <c r="X28" s="1"/>
      <c r="Y28" s="1"/>
      <c r="Z28" s="1"/>
      <c r="AA28" s="1"/>
      <c r="AB28" s="1"/>
      <c r="AC28" s="1"/>
      <c r="AD28" s="1"/>
      <c r="AE28" s="1"/>
    </row>
    <row r="29" spans="1:32" x14ac:dyDescent="0.3">
      <c r="B29" s="3"/>
      <c r="D29" s="1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71" t="s">
        <v>1463</v>
      </c>
    </row>
    <row r="30" spans="1:32" x14ac:dyDescent="0.3">
      <c r="B30" s="3"/>
      <c r="D30" s="1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71"/>
    </row>
    <row r="31" spans="1:32" x14ac:dyDescent="0.3">
      <c r="B31" s="1"/>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x14ac:dyDescent="0.3">
      <c r="B32" s="231" t="s">
        <v>2027</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x14ac:dyDescent="0.3">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x14ac:dyDescent="0.3">
      <c r="B34" s="40"/>
      <c r="C34" s="40"/>
      <c r="D34" s="717"/>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71" t="s">
        <v>1464</v>
      </c>
    </row>
    <row r="35" spans="1:32" x14ac:dyDescent="0.3">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x14ac:dyDescent="0.3">
      <c r="B36" s="231" t="s">
        <v>2137</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row>
    <row r="37" spans="1:32" x14ac:dyDescent="0.3">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x14ac:dyDescent="0.3">
      <c r="B38" s="40"/>
      <c r="C38" s="40"/>
      <c r="D38" s="715"/>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2760" t="s">
        <v>1465</v>
      </c>
    </row>
    <row r="39" spans="1:32" x14ac:dyDescent="0.3">
      <c r="B39" s="40"/>
      <c r="C39" s="40"/>
      <c r="D39" s="1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2760"/>
    </row>
    <row r="40" spans="1:32" x14ac:dyDescent="0.3">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x14ac:dyDescent="0.3">
      <c r="B41" s="231" t="s">
        <v>1811</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row>
    <row r="42" spans="1:32"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3">
      <c r="A43" s="40"/>
      <c r="B43" s="162"/>
      <c r="C43" s="40"/>
      <c r="D43" s="71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71" t="s">
        <v>1517</v>
      </c>
    </row>
    <row r="44" spans="1:32" x14ac:dyDescent="0.3">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row>
    <row r="45" spans="1:32" x14ac:dyDescent="0.3">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row>
    <row r="46" spans="1:32" x14ac:dyDescent="0.3">
      <c r="A46" s="1141" t="s">
        <v>8</v>
      </c>
      <c r="B46" s="1141"/>
      <c r="C46" s="1141"/>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c r="AE46" s="1141"/>
      <c r="AF46" s="1141"/>
    </row>
    <row r="47" spans="1:32" x14ac:dyDescent="0.3">
      <c r="A47" s="1143" t="s">
        <v>9</v>
      </c>
      <c r="B47" s="1143"/>
      <c r="C47" s="1143"/>
      <c r="D47" s="1143"/>
      <c r="E47" s="1143" t="s">
        <v>3</v>
      </c>
      <c r="F47" s="1143"/>
      <c r="G47" s="1143"/>
      <c r="H47" s="1143"/>
      <c r="I47" s="1143"/>
      <c r="J47" s="1143"/>
      <c r="K47" s="1143"/>
      <c r="L47" s="1143"/>
      <c r="M47" s="1143"/>
      <c r="N47" s="1143"/>
      <c r="O47" s="1143"/>
      <c r="P47" s="1143" t="s">
        <v>10</v>
      </c>
      <c r="Q47" s="1143"/>
      <c r="R47" s="1143"/>
      <c r="S47" s="1143"/>
      <c r="T47" s="1143" t="s">
        <v>11</v>
      </c>
      <c r="U47" s="1143"/>
      <c r="V47" s="1143"/>
      <c r="W47" s="1143"/>
      <c r="X47" s="1143" t="s">
        <v>1466</v>
      </c>
      <c r="Y47" s="1143"/>
      <c r="Z47" s="1143"/>
      <c r="AA47" s="1143"/>
      <c r="AB47" s="1143"/>
      <c r="AC47" s="1143"/>
      <c r="AD47" s="1143"/>
      <c r="AE47" s="1143"/>
      <c r="AF47" s="1143"/>
    </row>
    <row r="48" spans="1:32" ht="30" customHeight="1" x14ac:dyDescent="0.3">
      <c r="A48" s="856" t="s">
        <v>6472</v>
      </c>
      <c r="B48" s="856"/>
      <c r="C48" s="856"/>
      <c r="D48" s="856"/>
      <c r="E48" s="854" t="s">
        <v>6526</v>
      </c>
      <c r="F48" s="854"/>
      <c r="G48" s="854"/>
      <c r="H48" s="854"/>
      <c r="I48" s="854"/>
      <c r="J48" s="854"/>
      <c r="K48" s="854"/>
      <c r="L48" s="854"/>
      <c r="M48" s="854"/>
      <c r="N48" s="854"/>
      <c r="O48" s="854"/>
      <c r="P48" s="1586" t="s">
        <v>6474</v>
      </c>
      <c r="Q48" s="1586"/>
      <c r="R48" s="1586"/>
      <c r="S48" s="1586"/>
      <c r="T48" s="2146" t="s">
        <v>36</v>
      </c>
      <c r="U48" s="1275"/>
      <c r="V48" s="1275"/>
      <c r="W48" s="1275"/>
      <c r="X48" s="1385"/>
      <c r="Y48" s="1385"/>
      <c r="Z48" s="1385"/>
      <c r="AA48" s="1385"/>
      <c r="AB48" s="1385"/>
      <c r="AC48" s="1385"/>
      <c r="AD48" s="1385"/>
      <c r="AE48" s="1385"/>
      <c r="AF48" s="1385"/>
    </row>
    <row r="49" spans="1:32" ht="105.75" customHeight="1" x14ac:dyDescent="0.3">
      <c r="A49" s="856" t="s">
        <v>6475</v>
      </c>
      <c r="B49" s="856"/>
      <c r="C49" s="856"/>
      <c r="D49" s="856"/>
      <c r="E49" s="854" t="s">
        <v>6527</v>
      </c>
      <c r="F49" s="854"/>
      <c r="G49" s="854"/>
      <c r="H49" s="854"/>
      <c r="I49" s="854"/>
      <c r="J49" s="854"/>
      <c r="K49" s="854"/>
      <c r="L49" s="854"/>
      <c r="M49" s="854"/>
      <c r="N49" s="854"/>
      <c r="O49" s="854"/>
      <c r="P49" s="1151">
        <v>109.82</v>
      </c>
      <c r="Q49" s="1152"/>
      <c r="R49" s="1152"/>
      <c r="S49" s="1153"/>
      <c r="T49" s="1261" t="s">
        <v>36</v>
      </c>
      <c r="U49" s="1244"/>
      <c r="V49" s="1244"/>
      <c r="W49" s="1245"/>
      <c r="X49" s="1385" t="s">
        <v>6528</v>
      </c>
      <c r="Y49" s="1385"/>
      <c r="Z49" s="1385"/>
      <c r="AA49" s="1385"/>
      <c r="AB49" s="1385"/>
      <c r="AC49" s="1385"/>
      <c r="AD49" s="1385"/>
      <c r="AE49" s="1385"/>
      <c r="AF49" s="1385"/>
    </row>
    <row r="50" spans="1:32" ht="30" customHeight="1" x14ac:dyDescent="0.3">
      <c r="A50" s="855" t="s">
        <v>6529</v>
      </c>
      <c r="B50" s="855"/>
      <c r="C50" s="855"/>
      <c r="D50" s="855"/>
      <c r="E50" s="854" t="s">
        <v>6530</v>
      </c>
      <c r="F50" s="854"/>
      <c r="G50" s="854"/>
      <c r="H50" s="854"/>
      <c r="I50" s="854"/>
      <c r="J50" s="854"/>
      <c r="K50" s="854"/>
      <c r="L50" s="854"/>
      <c r="M50" s="854"/>
      <c r="N50" s="854"/>
      <c r="O50" s="854"/>
      <c r="P50" s="1586">
        <v>0.74</v>
      </c>
      <c r="Q50" s="1586"/>
      <c r="R50" s="1586"/>
      <c r="S50" s="1586"/>
      <c r="T50" s="1586"/>
      <c r="U50" s="1586"/>
      <c r="V50" s="1586"/>
      <c r="W50" s="1586"/>
      <c r="X50" s="1186" t="s">
        <v>6531</v>
      </c>
      <c r="Y50" s="1186"/>
      <c r="Z50" s="1186"/>
      <c r="AA50" s="1186"/>
      <c r="AB50" s="1186"/>
      <c r="AC50" s="1186"/>
      <c r="AD50" s="1186"/>
      <c r="AE50" s="1186"/>
      <c r="AF50" s="1186"/>
    </row>
    <row r="51" spans="1:32" ht="30" customHeight="1" x14ac:dyDescent="0.3">
      <c r="A51" s="853" t="s">
        <v>6532</v>
      </c>
      <c r="B51" s="853"/>
      <c r="C51" s="853"/>
      <c r="D51" s="853"/>
      <c r="E51" s="854" t="s">
        <v>6533</v>
      </c>
      <c r="F51" s="854"/>
      <c r="G51" s="854"/>
      <c r="H51" s="854"/>
      <c r="I51" s="854"/>
      <c r="J51" s="854"/>
      <c r="K51" s="854"/>
      <c r="L51" s="854"/>
      <c r="M51" s="854"/>
      <c r="N51" s="854"/>
      <c r="O51" s="854"/>
      <c r="P51" s="1586">
        <v>0.84</v>
      </c>
      <c r="Q51" s="1586"/>
      <c r="R51" s="1586"/>
      <c r="S51" s="1586"/>
      <c r="T51" s="2146"/>
      <c r="U51" s="1275"/>
      <c r="V51" s="1275"/>
      <c r="W51" s="1275"/>
      <c r="X51" s="1207" t="s">
        <v>6493</v>
      </c>
      <c r="Y51" s="1208"/>
      <c r="Z51" s="1208"/>
      <c r="AA51" s="1208"/>
      <c r="AB51" s="1208"/>
      <c r="AC51" s="1208"/>
      <c r="AD51" s="1208"/>
      <c r="AE51" s="1208"/>
      <c r="AF51" s="1209"/>
    </row>
    <row r="52" spans="1:32" ht="30" customHeight="1" x14ac:dyDescent="0.3">
      <c r="A52" s="856" t="s">
        <v>1253</v>
      </c>
      <c r="B52" s="856"/>
      <c r="C52" s="856"/>
      <c r="D52" s="856"/>
      <c r="E52" s="854" t="s">
        <v>791</v>
      </c>
      <c r="F52" s="854"/>
      <c r="G52" s="854"/>
      <c r="H52" s="854"/>
      <c r="I52" s="854"/>
      <c r="J52" s="854"/>
      <c r="K52" s="854"/>
      <c r="L52" s="854"/>
      <c r="M52" s="854"/>
      <c r="N52" s="854"/>
      <c r="O52" s="854"/>
      <c r="P52" s="2557" t="s">
        <v>6477</v>
      </c>
      <c r="Q52" s="2557"/>
      <c r="R52" s="2557"/>
      <c r="S52" s="2557"/>
      <c r="T52" s="2146" t="s">
        <v>36</v>
      </c>
      <c r="U52" s="1275"/>
      <c r="V52" s="1275"/>
      <c r="W52" s="1275"/>
      <c r="X52" s="1385"/>
      <c r="Y52" s="1385"/>
      <c r="Z52" s="1385"/>
      <c r="AA52" s="1385"/>
      <c r="AB52" s="1385"/>
      <c r="AC52" s="1385"/>
      <c r="AD52" s="1385"/>
      <c r="AE52" s="1385"/>
      <c r="AF52" s="1385"/>
    </row>
    <row r="53" spans="1:32" ht="30" customHeight="1" x14ac:dyDescent="0.3">
      <c r="A53" s="856" t="s">
        <v>1254</v>
      </c>
      <c r="B53" s="856"/>
      <c r="C53" s="856"/>
      <c r="D53" s="856"/>
      <c r="E53" s="854" t="s">
        <v>2613</v>
      </c>
      <c r="F53" s="854"/>
      <c r="G53" s="854"/>
      <c r="H53" s="854"/>
      <c r="I53" s="854"/>
      <c r="J53" s="854"/>
      <c r="K53" s="854"/>
      <c r="L53" s="854"/>
      <c r="M53" s="854"/>
      <c r="N53" s="854"/>
      <c r="O53" s="854"/>
      <c r="P53" s="2557" t="s">
        <v>6495</v>
      </c>
      <c r="Q53" s="2557"/>
      <c r="R53" s="2557"/>
      <c r="S53" s="2557"/>
      <c r="T53" s="2146" t="s">
        <v>18</v>
      </c>
      <c r="U53" s="1275"/>
      <c r="V53" s="1275"/>
      <c r="W53" s="1275"/>
      <c r="X53" s="1385"/>
      <c r="Y53" s="1385"/>
      <c r="Z53" s="1385"/>
      <c r="AA53" s="1385"/>
      <c r="AB53" s="1385"/>
      <c r="AC53" s="1385"/>
      <c r="AD53" s="1385"/>
      <c r="AE53" s="1385"/>
      <c r="AF53" s="1385"/>
    </row>
    <row r="54" spans="1:32" ht="91.5" customHeight="1" x14ac:dyDescent="0.3">
      <c r="A54" s="855" t="s">
        <v>235</v>
      </c>
      <c r="B54" s="855" t="s">
        <v>206</v>
      </c>
      <c r="C54" s="855" t="s">
        <v>206</v>
      </c>
      <c r="D54" s="855" t="s">
        <v>206</v>
      </c>
      <c r="E54" s="854" t="s">
        <v>6534</v>
      </c>
      <c r="F54" s="854" t="s">
        <v>523</v>
      </c>
      <c r="G54" s="854" t="s">
        <v>523</v>
      </c>
      <c r="H54" s="854" t="s">
        <v>523</v>
      </c>
      <c r="I54" s="854" t="s">
        <v>523</v>
      </c>
      <c r="J54" s="854" t="s">
        <v>523</v>
      </c>
      <c r="K54" s="854" t="s">
        <v>523</v>
      </c>
      <c r="L54" s="854" t="s">
        <v>523</v>
      </c>
      <c r="M54" s="854" t="s">
        <v>523</v>
      </c>
      <c r="N54" s="854" t="s">
        <v>523</v>
      </c>
      <c r="O54" s="854" t="s">
        <v>523</v>
      </c>
      <c r="P54" s="1586">
        <v>2588</v>
      </c>
      <c r="Q54" s="1586"/>
      <c r="R54" s="1586"/>
      <c r="S54" s="1586"/>
      <c r="T54" s="1275" t="s">
        <v>37</v>
      </c>
      <c r="U54" s="1275"/>
      <c r="V54" s="1275"/>
      <c r="W54" s="1275"/>
      <c r="X54" s="1186" t="s">
        <v>6535</v>
      </c>
      <c r="Y54" s="1186"/>
      <c r="Z54" s="1186"/>
      <c r="AA54" s="1186"/>
      <c r="AB54" s="1186"/>
      <c r="AC54" s="1186"/>
      <c r="AD54" s="1186"/>
      <c r="AE54" s="1186"/>
      <c r="AF54" s="1186"/>
    </row>
    <row r="55" spans="1:32" ht="129.75" customHeight="1" x14ac:dyDescent="0.3">
      <c r="A55" s="855" t="s">
        <v>443</v>
      </c>
      <c r="B55" s="855" t="s">
        <v>443</v>
      </c>
      <c r="C55" s="855" t="s">
        <v>443</v>
      </c>
      <c r="D55" s="855" t="s">
        <v>443</v>
      </c>
      <c r="E55" s="854" t="s">
        <v>6536</v>
      </c>
      <c r="F55" s="854" t="s">
        <v>444</v>
      </c>
      <c r="G55" s="854" t="s">
        <v>444</v>
      </c>
      <c r="H55" s="854" t="s">
        <v>444</v>
      </c>
      <c r="I55" s="854" t="s">
        <v>444</v>
      </c>
      <c r="J55" s="854" t="s">
        <v>444</v>
      </c>
      <c r="K55" s="854" t="s">
        <v>444</v>
      </c>
      <c r="L55" s="854" t="s">
        <v>444</v>
      </c>
      <c r="M55" s="854" t="s">
        <v>444</v>
      </c>
      <c r="N55" s="854" t="s">
        <v>444</v>
      </c>
      <c r="O55" s="854" t="s">
        <v>444</v>
      </c>
      <c r="P55" s="1586">
        <v>0.6</v>
      </c>
      <c r="Q55" s="1586"/>
      <c r="R55" s="1586"/>
      <c r="S55" s="1586"/>
      <c r="T55" s="1275" t="s">
        <v>20</v>
      </c>
      <c r="U55" s="1275"/>
      <c r="V55" s="1275"/>
      <c r="W55" s="1275"/>
      <c r="X55" s="1186" t="s">
        <v>6537</v>
      </c>
      <c r="Y55" s="1186"/>
      <c r="Z55" s="1186"/>
      <c r="AA55" s="1186"/>
      <c r="AB55" s="1186"/>
      <c r="AC55" s="1186"/>
      <c r="AD55" s="1186"/>
      <c r="AE55" s="1186"/>
      <c r="AF55" s="1186"/>
    </row>
    <row r="56" spans="1:32" ht="30" customHeight="1" x14ac:dyDescent="0.3">
      <c r="A56" s="856" t="s">
        <v>6501</v>
      </c>
      <c r="B56" s="856"/>
      <c r="C56" s="856"/>
      <c r="D56" s="856"/>
      <c r="E56" s="856" t="s">
        <v>6502</v>
      </c>
      <c r="F56" s="856"/>
      <c r="G56" s="856"/>
      <c r="H56" s="856"/>
      <c r="I56" s="856"/>
      <c r="J56" s="856"/>
      <c r="K56" s="856"/>
      <c r="L56" s="856"/>
      <c r="M56" s="856"/>
      <c r="N56" s="856"/>
      <c r="O56" s="856"/>
      <c r="P56" s="2557" t="s">
        <v>6496</v>
      </c>
      <c r="Q56" s="2557"/>
      <c r="R56" s="2557"/>
      <c r="S56" s="2557"/>
      <c r="T56" s="2146" t="s">
        <v>36</v>
      </c>
      <c r="U56" s="1275"/>
      <c r="V56" s="1275"/>
      <c r="W56" s="1275"/>
      <c r="X56" s="1385"/>
      <c r="Y56" s="1385"/>
      <c r="Z56" s="1385"/>
      <c r="AA56" s="1385"/>
      <c r="AB56" s="1385"/>
      <c r="AC56" s="1385"/>
      <c r="AD56" s="1385"/>
      <c r="AE56" s="1385"/>
      <c r="AF56" s="1385"/>
    </row>
    <row r="57" spans="1:32" ht="30" customHeight="1" x14ac:dyDescent="0.3">
      <c r="A57" s="1154" t="s">
        <v>6503</v>
      </c>
      <c r="B57" s="1155" t="s">
        <v>26</v>
      </c>
      <c r="C57" s="1155" t="s">
        <v>26</v>
      </c>
      <c r="D57" s="1156" t="s">
        <v>26</v>
      </c>
      <c r="E57" s="856" t="s">
        <v>2050</v>
      </c>
      <c r="F57" s="856" t="s">
        <v>208</v>
      </c>
      <c r="G57" s="856" t="s">
        <v>208</v>
      </c>
      <c r="H57" s="856" t="s">
        <v>208</v>
      </c>
      <c r="I57" s="856" t="s">
        <v>208</v>
      </c>
      <c r="J57" s="856" t="s">
        <v>208</v>
      </c>
      <c r="K57" s="856" t="s">
        <v>208</v>
      </c>
      <c r="L57" s="856" t="s">
        <v>208</v>
      </c>
      <c r="M57" s="856" t="s">
        <v>208</v>
      </c>
      <c r="N57" s="856" t="s">
        <v>208</v>
      </c>
      <c r="O57" s="856" t="s">
        <v>208</v>
      </c>
      <c r="P57" s="1586">
        <f>'Master EUL'!X36</f>
        <v>16</v>
      </c>
      <c r="Q57" s="1586"/>
      <c r="R57" s="1586"/>
      <c r="S57" s="1586"/>
      <c r="T57" s="1275" t="s">
        <v>38</v>
      </c>
      <c r="U57" s="1275"/>
      <c r="V57" s="1275"/>
      <c r="W57" s="1275"/>
      <c r="X57" s="1385" t="s">
        <v>6493</v>
      </c>
      <c r="Y57" s="1385"/>
      <c r="Z57" s="1385"/>
      <c r="AA57" s="1385"/>
      <c r="AB57" s="1385"/>
      <c r="AC57" s="1385"/>
      <c r="AD57" s="1385"/>
      <c r="AE57" s="1385"/>
      <c r="AF57" s="1385"/>
    </row>
    <row r="58" spans="1:32" ht="77.25" customHeight="1" x14ac:dyDescent="0.3">
      <c r="A58" s="1270" t="s">
        <v>6538</v>
      </c>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row>
    <row r="59" spans="1:32" ht="28.5" customHeight="1" x14ac:dyDescent="0.3">
      <c r="A59" s="1355" t="s">
        <v>6539</v>
      </c>
      <c r="B59" s="1355"/>
      <c r="C59" s="1355"/>
      <c r="D59" s="1355"/>
      <c r="E59" s="1355"/>
      <c r="F59" s="1355"/>
      <c r="G59" s="1355"/>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c r="AF59" s="1355"/>
    </row>
    <row r="60" spans="1:32" ht="114" customHeight="1" x14ac:dyDescent="0.3">
      <c r="A60" s="1355" t="s">
        <v>6540</v>
      </c>
      <c r="B60" s="1355"/>
      <c r="C60" s="1355"/>
      <c r="D60" s="1355"/>
      <c r="E60" s="1355"/>
      <c r="F60" s="1355"/>
      <c r="G60" s="1355"/>
      <c r="H60" s="1355"/>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row>
    <row r="61" spans="1:32" x14ac:dyDescent="0.3">
      <c r="A61" s="260"/>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row>
    <row r="62" spans="1:32" x14ac:dyDescent="0.3">
      <c r="M62" s="319"/>
      <c r="N62" s="319"/>
      <c r="O62" s="319"/>
      <c r="P62" s="319"/>
      <c r="Q62" s="319"/>
      <c r="R62" s="319"/>
      <c r="S62" s="319"/>
      <c r="T62" s="319"/>
      <c r="U62" s="319"/>
      <c r="V62" s="319"/>
      <c r="W62" s="319"/>
      <c r="X62" s="319"/>
    </row>
    <row r="63" spans="1:32" x14ac:dyDescent="0.3">
      <c r="A63" s="1141" t="s">
        <v>14</v>
      </c>
      <c r="B63" s="1141"/>
      <c r="C63" s="1141"/>
      <c r="D63" s="1141"/>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c r="AE63" s="1141"/>
      <c r="AF63" s="1141"/>
    </row>
    <row r="64" spans="1:32" ht="15" thickBot="1" x14ac:dyDescent="0.35"/>
    <row r="65" spans="1:32" ht="30" customHeight="1" x14ac:dyDescent="0.3">
      <c r="A65" s="1252" t="s">
        <v>15</v>
      </c>
      <c r="B65" s="1253"/>
      <c r="C65" s="1253"/>
      <c r="D65" s="1253"/>
      <c r="E65" s="1253"/>
      <c r="F65" s="1253"/>
      <c r="G65" s="1253"/>
      <c r="H65" s="1253"/>
      <c r="I65" s="1278" t="s">
        <v>2780</v>
      </c>
      <c r="J65" s="1253"/>
      <c r="K65" s="1253"/>
      <c r="L65" s="1253"/>
      <c r="M65" s="1253"/>
      <c r="N65" s="1253"/>
      <c r="O65" s="1253"/>
      <c r="P65" s="1253"/>
      <c r="Q65" s="1278" t="s">
        <v>2776</v>
      </c>
      <c r="R65" s="1253"/>
      <c r="S65" s="1253"/>
      <c r="T65" s="1253"/>
      <c r="U65" s="1253"/>
      <c r="V65" s="1253"/>
      <c r="W65" s="1253"/>
      <c r="X65" s="1253"/>
      <c r="Y65" s="1278" t="s">
        <v>1554</v>
      </c>
      <c r="Z65" s="1253"/>
      <c r="AA65" s="1253"/>
      <c r="AB65" s="1253"/>
      <c r="AC65" s="1253"/>
      <c r="AD65" s="1253"/>
      <c r="AE65" s="1253"/>
      <c r="AF65" s="1254"/>
    </row>
    <row r="66" spans="1:32" ht="30" customHeight="1" thickBot="1" x14ac:dyDescent="0.35">
      <c r="A66" s="1408" t="s">
        <v>6541</v>
      </c>
      <c r="B66" s="1409"/>
      <c r="C66" s="1409"/>
      <c r="D66" s="1409"/>
      <c r="E66" s="1409"/>
      <c r="F66" s="1409"/>
      <c r="G66" s="1409"/>
      <c r="H66" s="1409"/>
      <c r="I66" s="2761">
        <f>ROUND(Q66*$P$55/$P$54,3)</f>
        <v>3.0000000000000001E-3</v>
      </c>
      <c r="J66" s="2761"/>
      <c r="K66" s="2761"/>
      <c r="L66" s="2761"/>
      <c r="M66" s="2761"/>
      <c r="N66" s="2761"/>
      <c r="O66" s="2761"/>
      <c r="P66" s="2761"/>
      <c r="Q66" s="2623">
        <f>ROUND((($P$49*$P$51/$P$50)-$P$49),2)</f>
        <v>14.84</v>
      </c>
      <c r="R66" s="2624"/>
      <c r="S66" s="2624"/>
      <c r="T66" s="2624"/>
      <c r="U66" s="2624"/>
      <c r="V66" s="2624"/>
      <c r="W66" s="2624"/>
      <c r="X66" s="2625"/>
      <c r="Y66" s="2626">
        <f>ROUND(Q66*$P$57,2)</f>
        <v>237.44</v>
      </c>
      <c r="Z66" s="2626"/>
      <c r="AA66" s="2626"/>
      <c r="AB66" s="2626"/>
      <c r="AC66" s="2626"/>
      <c r="AD66" s="2626"/>
      <c r="AE66" s="2626"/>
      <c r="AF66" s="2627"/>
    </row>
    <row r="68" spans="1:32" x14ac:dyDescent="0.3">
      <c r="B68" s="269"/>
    </row>
    <row r="69" spans="1:32" x14ac:dyDescent="0.3">
      <c r="A69" s="1141" t="s">
        <v>1514</v>
      </c>
      <c r="B69" s="1141"/>
      <c r="C69" s="1141"/>
      <c r="D69" s="1141"/>
      <c r="E69" s="1141"/>
      <c r="F69" s="1141"/>
      <c r="G69" s="1141"/>
      <c r="H69" s="1141"/>
      <c r="I69" s="1141"/>
      <c r="J69" s="1141"/>
      <c r="K69" s="1141"/>
      <c r="L69" s="1141"/>
      <c r="M69" s="1141"/>
      <c r="N69" s="1141"/>
      <c r="O69" s="1141"/>
      <c r="P69" s="1141"/>
      <c r="Q69" s="1141"/>
      <c r="R69" s="1141"/>
      <c r="S69" s="1141"/>
      <c r="T69" s="1141"/>
      <c r="U69" s="1141"/>
      <c r="V69" s="1141"/>
      <c r="W69" s="1141"/>
      <c r="X69" s="1141"/>
      <c r="Y69" s="1141"/>
      <c r="Z69" s="1141"/>
      <c r="AA69" s="1141"/>
      <c r="AB69" s="1141"/>
      <c r="AC69" s="1141"/>
      <c r="AD69" s="1141"/>
      <c r="AE69" s="1141"/>
      <c r="AF69" s="1141"/>
    </row>
    <row r="71" spans="1:32" ht="30" customHeight="1" x14ac:dyDescent="0.3">
      <c r="A71" s="368" t="s">
        <v>803</v>
      </c>
      <c r="B71" s="889" t="s">
        <v>6542</v>
      </c>
      <c r="C71" s="889"/>
      <c r="D71" s="88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row>
    <row r="72" spans="1:32" x14ac:dyDescent="0.3">
      <c r="A72" s="368" t="s">
        <v>803</v>
      </c>
      <c r="B72" s="889" t="s">
        <v>6543</v>
      </c>
      <c r="C72" s="889"/>
      <c r="D72" s="889"/>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row>
    <row r="73" spans="1:32" ht="30" customHeight="1" x14ac:dyDescent="0.3">
      <c r="A73" s="368" t="s">
        <v>803</v>
      </c>
      <c r="B73" s="889" t="s">
        <v>6544</v>
      </c>
      <c r="C73" s="889"/>
      <c r="D73" s="88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row>
    <row r="74" spans="1:32" ht="63.75" customHeight="1" x14ac:dyDescent="0.3">
      <c r="A74" s="368" t="s">
        <v>803</v>
      </c>
      <c r="B74" s="889" t="s">
        <v>6545</v>
      </c>
      <c r="C74" s="889"/>
      <c r="D74" s="889"/>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c r="AE74" s="889"/>
      <c r="AF74" s="889"/>
    </row>
  </sheetData>
  <sheetProtection algorithmName="SHA-512" hashValue="SnxAp0QoWvUntwYPBwgdwV94Q70bi9tLV0OzMTg6Pc1/92nxORWD06AithwlxN8mr1FrGMCJR7ri9Oc5nstMvw==" saltValue="JP1kKuB70d/KHEH0nUhMFQ==" spinCount="100000" sheet="1" objects="1" scenarios="1"/>
  <mergeCells count="83">
    <mergeCell ref="B72:AF72"/>
    <mergeCell ref="B73:AF73"/>
    <mergeCell ref="B74:AF74"/>
    <mergeCell ref="A66:H66"/>
    <mergeCell ref="I66:P66"/>
    <mergeCell ref="Q66:X66"/>
    <mergeCell ref="Y66:AF66"/>
    <mergeCell ref="A69:AF69"/>
    <mergeCell ref="B71:AF71"/>
    <mergeCell ref="A58:AF58"/>
    <mergeCell ref="A59:AF59"/>
    <mergeCell ref="A60:AF60"/>
    <mergeCell ref="A63:AF63"/>
    <mergeCell ref="A65:H65"/>
    <mergeCell ref="I65:P65"/>
    <mergeCell ref="Q65:X65"/>
    <mergeCell ref="Y65:AF65"/>
    <mergeCell ref="A56:D56"/>
    <mergeCell ref="E56:O56"/>
    <mergeCell ref="P56:S56"/>
    <mergeCell ref="T56:W56"/>
    <mergeCell ref="X56:AF56"/>
    <mergeCell ref="A57:D57"/>
    <mergeCell ref="E57:O57"/>
    <mergeCell ref="P57:S57"/>
    <mergeCell ref="T57:W57"/>
    <mergeCell ref="X57:AF57"/>
    <mergeCell ref="A54:D54"/>
    <mergeCell ref="E54:O54"/>
    <mergeCell ref="P54:S54"/>
    <mergeCell ref="T54:W54"/>
    <mergeCell ref="X54:AF54"/>
    <mergeCell ref="A55:D55"/>
    <mergeCell ref="E55:O55"/>
    <mergeCell ref="P55:S55"/>
    <mergeCell ref="T55:W55"/>
    <mergeCell ref="X55:AF55"/>
    <mergeCell ref="A52:D52"/>
    <mergeCell ref="E52:O52"/>
    <mergeCell ref="P52:S52"/>
    <mergeCell ref="T52:W52"/>
    <mergeCell ref="X52:AF52"/>
    <mergeCell ref="A53:D53"/>
    <mergeCell ref="E53:O53"/>
    <mergeCell ref="P53:S53"/>
    <mergeCell ref="T53:W53"/>
    <mergeCell ref="X53:AF53"/>
    <mergeCell ref="A50:D50"/>
    <mergeCell ref="E50:O50"/>
    <mergeCell ref="P50:S50"/>
    <mergeCell ref="T50:W50"/>
    <mergeCell ref="X50:AF50"/>
    <mergeCell ref="A51:D51"/>
    <mergeCell ref="E51:O51"/>
    <mergeCell ref="P51:S51"/>
    <mergeCell ref="T51:W51"/>
    <mergeCell ref="X51:AF51"/>
    <mergeCell ref="A48:D48"/>
    <mergeCell ref="E48:O48"/>
    <mergeCell ref="P48:S48"/>
    <mergeCell ref="T48:W48"/>
    <mergeCell ref="X48:AF48"/>
    <mergeCell ref="A49:D49"/>
    <mergeCell ref="E49:O49"/>
    <mergeCell ref="P49:S49"/>
    <mergeCell ref="T49:W49"/>
    <mergeCell ref="X49:AF49"/>
    <mergeCell ref="B19:AF19"/>
    <mergeCell ref="B22:AF22"/>
    <mergeCell ref="A25:AF25"/>
    <mergeCell ref="AF38:AF39"/>
    <mergeCell ref="A46:AF46"/>
    <mergeCell ref="A47:D47"/>
    <mergeCell ref="E47:O47"/>
    <mergeCell ref="P47:S47"/>
    <mergeCell ref="T47:W47"/>
    <mergeCell ref="X47:AF47"/>
    <mergeCell ref="B13:AF13"/>
    <mergeCell ref="A1:AF1"/>
    <mergeCell ref="A3:AF3"/>
    <mergeCell ref="B5:AF5"/>
    <mergeCell ref="A7:AF7"/>
    <mergeCell ref="B10:AF10"/>
  </mergeCells>
  <hyperlinks>
    <hyperlink ref="A2" location="TOC!A1" display="Return to TOC" xr:uid="{0326DB6B-8CCC-43F9-9499-8E7172BF78C9}"/>
  </hyperlinks>
  <pageMargins left="0.7" right="0.7" top="0.75" bottom="0.75" header="0.3" footer="0.3"/>
  <ignoredErrors>
    <ignoredError sqref="AF29:AF43" numberStoredAsText="1"/>
  </ignoredErrors>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7" tint="0.79998168889431442"/>
    <pageSetUpPr autoPageBreaks="0"/>
  </sheetPr>
  <dimension ref="A1:AF104"/>
  <sheetViews>
    <sheetView workbookViewId="0">
      <selection activeCell="A2" sqref="A2"/>
    </sheetView>
  </sheetViews>
  <sheetFormatPr defaultColWidth="2.6640625" defaultRowHeight="14.4" x14ac:dyDescent="0.3"/>
  <sheetData>
    <row r="1" spans="1:32" ht="18" x14ac:dyDescent="0.3">
      <c r="A1" s="1131" t="s">
        <v>4791</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512"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4792</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9" spans="1:32" x14ac:dyDescent="0.3">
      <c r="B9" s="51" t="s">
        <v>3</v>
      </c>
      <c r="C9" s="51"/>
      <c r="D9" s="51"/>
      <c r="E9" s="51"/>
      <c r="F9" s="51"/>
      <c r="G9" s="51"/>
      <c r="H9" s="51"/>
      <c r="I9" s="51"/>
      <c r="J9" s="1"/>
      <c r="K9" s="1"/>
      <c r="L9" s="1"/>
      <c r="M9" s="1"/>
      <c r="N9" s="1"/>
      <c r="O9" s="1"/>
      <c r="P9" s="1"/>
      <c r="Q9" s="1"/>
      <c r="R9" s="1"/>
      <c r="S9" s="1"/>
      <c r="T9" s="1"/>
      <c r="U9" s="1"/>
      <c r="V9" s="1"/>
      <c r="W9" s="1"/>
      <c r="X9" s="1"/>
      <c r="Y9" s="1"/>
      <c r="Z9" s="1"/>
      <c r="AA9" s="1"/>
      <c r="AB9" s="1"/>
      <c r="AC9" s="1"/>
      <c r="AD9" s="1"/>
      <c r="AE9" s="1"/>
      <c r="AF9" s="1"/>
    </row>
    <row r="10" spans="1:32" ht="140.25" customHeight="1" x14ac:dyDescent="0.3">
      <c r="B10" s="889" t="s">
        <v>4793</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B11" s="503"/>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row>
    <row r="12" spans="1:32" ht="87.75" customHeight="1" x14ac:dyDescent="0.3">
      <c r="B12" s="889" t="s">
        <v>4794</v>
      </c>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row>
    <row r="14" spans="1:32" x14ac:dyDescent="0.3">
      <c r="B14" s="51" t="s">
        <v>4</v>
      </c>
      <c r="C14" s="51"/>
      <c r="D14" s="51"/>
      <c r="E14" s="51"/>
      <c r="F14" s="51"/>
      <c r="G14" s="51"/>
      <c r="H14" s="51"/>
      <c r="I14" s="51"/>
      <c r="J14" s="1"/>
      <c r="K14" s="1"/>
      <c r="L14" s="1"/>
      <c r="M14" s="1"/>
      <c r="N14" s="1"/>
      <c r="O14" s="1"/>
      <c r="P14" s="1"/>
      <c r="Q14" s="1"/>
      <c r="R14" s="1"/>
      <c r="S14" s="1"/>
      <c r="T14" s="1"/>
      <c r="U14" s="1"/>
      <c r="V14" s="1"/>
      <c r="W14" s="1"/>
      <c r="X14" s="1"/>
      <c r="Y14" s="1"/>
      <c r="Z14" s="1"/>
      <c r="AA14" s="1"/>
      <c r="AB14" s="1"/>
      <c r="AC14" s="1"/>
      <c r="AD14" s="1"/>
      <c r="AE14" s="1"/>
      <c r="AF14" s="1"/>
    </row>
    <row r="15" spans="1:32" x14ac:dyDescent="0.3">
      <c r="B15" s="184" t="s">
        <v>1190</v>
      </c>
      <c r="C15" s="953" t="s">
        <v>4795</v>
      </c>
      <c r="D15" s="953"/>
      <c r="E15" s="953"/>
      <c r="F15" s="953"/>
      <c r="G15" s="953"/>
      <c r="H15" s="953"/>
      <c r="I15" s="953"/>
      <c r="J15" s="953"/>
      <c r="K15" s="953"/>
      <c r="L15" s="953"/>
      <c r="M15" s="953"/>
      <c r="N15" s="953"/>
      <c r="O15" s="953"/>
      <c r="P15" s="953"/>
      <c r="Q15" s="953"/>
      <c r="R15" s="953"/>
      <c r="S15" s="953"/>
      <c r="T15" s="953"/>
      <c r="U15" s="953"/>
      <c r="V15" s="953"/>
      <c r="W15" s="953"/>
      <c r="X15" s="953"/>
      <c r="Y15" s="953"/>
      <c r="Z15" s="953"/>
      <c r="AA15" s="953"/>
      <c r="AB15" s="953"/>
      <c r="AC15" s="953"/>
      <c r="AD15" s="953"/>
      <c r="AE15" s="953"/>
      <c r="AF15" s="953"/>
    </row>
    <row r="16" spans="1:32" x14ac:dyDescent="0.3">
      <c r="B16" s="184" t="s">
        <v>1191</v>
      </c>
      <c r="C16" s="953" t="s">
        <v>4796</v>
      </c>
      <c r="D16" s="953"/>
      <c r="E16" s="953"/>
      <c r="F16" s="953"/>
      <c r="G16" s="953"/>
      <c r="H16" s="953"/>
      <c r="I16" s="953"/>
      <c r="J16" s="953"/>
      <c r="K16" s="953"/>
      <c r="L16" s="953"/>
      <c r="M16" s="953"/>
      <c r="N16" s="953"/>
      <c r="O16" s="953"/>
      <c r="P16" s="953"/>
      <c r="Q16" s="953"/>
      <c r="R16" s="953"/>
      <c r="S16" s="953"/>
      <c r="T16" s="953"/>
      <c r="U16" s="953"/>
      <c r="V16" s="953"/>
      <c r="W16" s="953"/>
      <c r="X16" s="953"/>
      <c r="Y16" s="953"/>
      <c r="Z16" s="953"/>
      <c r="AA16" s="953"/>
      <c r="AB16" s="953"/>
      <c r="AC16" s="953"/>
      <c r="AD16" s="953"/>
      <c r="AE16" s="953"/>
      <c r="AF16" s="953"/>
    </row>
    <row r="17" spans="1:32" x14ac:dyDescent="0.3">
      <c r="B17" s="184" t="s">
        <v>2878</v>
      </c>
      <c r="C17" s="953" t="s">
        <v>4797</v>
      </c>
      <c r="D17" s="953"/>
      <c r="E17" s="953"/>
      <c r="F17" s="953"/>
      <c r="G17" s="953"/>
      <c r="H17" s="953"/>
      <c r="I17" s="953"/>
      <c r="J17" s="953"/>
      <c r="K17" s="953"/>
      <c r="L17" s="953"/>
      <c r="M17" s="953"/>
      <c r="N17" s="953"/>
      <c r="O17" s="953"/>
      <c r="P17" s="953"/>
      <c r="Q17" s="953"/>
      <c r="R17" s="953"/>
      <c r="S17" s="953"/>
      <c r="T17" s="953"/>
      <c r="U17" s="953"/>
      <c r="V17" s="953"/>
      <c r="W17" s="953"/>
      <c r="X17" s="953"/>
      <c r="Y17" s="953"/>
      <c r="Z17" s="953"/>
      <c r="AA17" s="953"/>
      <c r="AB17" s="953"/>
      <c r="AC17" s="953"/>
      <c r="AD17" s="953"/>
      <c r="AE17" s="953"/>
      <c r="AF17" s="953"/>
    </row>
    <row r="18" spans="1:32" ht="76.5" customHeight="1" x14ac:dyDescent="0.3">
      <c r="B18" s="184" t="s">
        <v>4798</v>
      </c>
      <c r="C18" s="953" t="s">
        <v>4799</v>
      </c>
      <c r="D18" s="953"/>
      <c r="E18" s="953"/>
      <c r="F18" s="953"/>
      <c r="G18" s="953"/>
      <c r="H18" s="953"/>
      <c r="I18" s="953"/>
      <c r="J18" s="953"/>
      <c r="K18" s="953"/>
      <c r="L18" s="953"/>
      <c r="M18" s="953"/>
      <c r="N18" s="953"/>
      <c r="O18" s="953"/>
      <c r="P18" s="953"/>
      <c r="Q18" s="953"/>
      <c r="R18" s="953"/>
      <c r="S18" s="953"/>
      <c r="T18" s="953"/>
      <c r="U18" s="953"/>
      <c r="V18" s="953"/>
      <c r="W18" s="953"/>
      <c r="X18" s="953"/>
      <c r="Y18" s="953"/>
      <c r="Z18" s="953"/>
      <c r="AA18" s="953"/>
      <c r="AB18" s="953"/>
      <c r="AC18" s="953"/>
      <c r="AD18" s="953"/>
      <c r="AE18" s="953"/>
      <c r="AF18" s="953"/>
    </row>
    <row r="19" spans="1:32" ht="35.25" customHeight="1" x14ac:dyDescent="0.3">
      <c r="B19" s="184" t="s">
        <v>4800</v>
      </c>
      <c r="C19" s="953" t="s">
        <v>4801</v>
      </c>
      <c r="D19" s="953"/>
      <c r="E19" s="953"/>
      <c r="F19" s="953"/>
      <c r="G19" s="953"/>
      <c r="H19" s="953"/>
      <c r="I19" s="953"/>
      <c r="J19" s="953"/>
      <c r="K19" s="953"/>
      <c r="L19" s="953"/>
      <c r="M19" s="953"/>
      <c r="N19" s="953"/>
      <c r="O19" s="953"/>
      <c r="P19" s="953"/>
      <c r="Q19" s="953"/>
      <c r="R19" s="953"/>
      <c r="S19" s="953"/>
      <c r="T19" s="953"/>
      <c r="U19" s="953"/>
      <c r="V19" s="953"/>
      <c r="W19" s="953"/>
      <c r="X19" s="953"/>
      <c r="Y19" s="953"/>
      <c r="Z19" s="953"/>
      <c r="AA19" s="953"/>
      <c r="AB19" s="953"/>
      <c r="AC19" s="953"/>
      <c r="AD19" s="953"/>
      <c r="AE19" s="953"/>
      <c r="AF19" s="953"/>
    </row>
    <row r="21" spans="1:32" x14ac:dyDescent="0.3">
      <c r="B21" s="51" t="s">
        <v>5</v>
      </c>
      <c r="C21" s="51"/>
      <c r="D21" s="51"/>
      <c r="E21" s="51"/>
      <c r="F21" s="51"/>
      <c r="G21" s="51"/>
    </row>
    <row r="22" spans="1:32" ht="32.25" customHeight="1" x14ac:dyDescent="0.3">
      <c r="B22" s="953" t="s">
        <v>4802</v>
      </c>
      <c r="C22" s="953"/>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row>
    <row r="24" spans="1:32" x14ac:dyDescent="0.3">
      <c r="B24" s="51" t="s">
        <v>6</v>
      </c>
      <c r="C24" s="51"/>
      <c r="D24" s="51"/>
      <c r="E24" s="51"/>
      <c r="F24" s="51"/>
      <c r="G24" s="51"/>
      <c r="H24" s="51"/>
      <c r="I24" s="51"/>
      <c r="J24" s="1"/>
      <c r="K24" s="1"/>
      <c r="L24" s="1"/>
      <c r="M24" s="1"/>
    </row>
    <row r="25" spans="1:32" ht="63.75" customHeight="1" x14ac:dyDescent="0.3">
      <c r="B25" s="953" t="s">
        <v>4803</v>
      </c>
      <c r="C25" s="953"/>
      <c r="D25" s="953"/>
      <c r="E25" s="953"/>
      <c r="F25" s="953"/>
      <c r="G25" s="953"/>
      <c r="H25" s="953"/>
      <c r="I25" s="953"/>
      <c r="J25" s="953"/>
      <c r="K25" s="953"/>
      <c r="L25" s="953"/>
      <c r="M25" s="953"/>
      <c r="N25" s="953"/>
      <c r="O25" s="953"/>
      <c r="P25" s="953"/>
      <c r="Q25" s="953"/>
      <c r="R25" s="953"/>
      <c r="S25" s="953"/>
      <c r="T25" s="953"/>
      <c r="U25" s="953"/>
      <c r="V25" s="953"/>
      <c r="W25" s="953"/>
      <c r="X25" s="953"/>
      <c r="Y25" s="953"/>
      <c r="Z25" s="953"/>
      <c r="AA25" s="953"/>
      <c r="AB25" s="953"/>
      <c r="AC25" s="953"/>
      <c r="AD25" s="953"/>
      <c r="AE25" s="953"/>
      <c r="AF25" s="953"/>
    </row>
    <row r="27" spans="1:32" x14ac:dyDescent="0.3">
      <c r="B27" s="51" t="s">
        <v>13</v>
      </c>
      <c r="C27" s="51"/>
      <c r="D27" s="51"/>
      <c r="E27" s="51"/>
      <c r="F27" s="51"/>
      <c r="G27" s="51"/>
      <c r="H27" s="51"/>
      <c r="I27" s="51"/>
      <c r="J27" s="1"/>
      <c r="K27" s="1"/>
      <c r="L27" s="1"/>
      <c r="M27" s="1"/>
      <c r="N27" s="1"/>
    </row>
    <row r="28" spans="1:32" ht="112.5" customHeight="1" x14ac:dyDescent="0.3">
      <c r="B28" s="953" t="s">
        <v>4804</v>
      </c>
      <c r="C28" s="953"/>
      <c r="D28" s="953"/>
      <c r="E28" s="953"/>
      <c r="F28" s="953"/>
      <c r="G28" s="953"/>
      <c r="H28" s="953"/>
      <c r="I28" s="953"/>
      <c r="J28" s="953"/>
      <c r="K28" s="953"/>
      <c r="L28" s="953"/>
      <c r="M28" s="953"/>
      <c r="N28" s="953"/>
      <c r="O28" s="953"/>
      <c r="P28" s="953"/>
      <c r="Q28" s="953"/>
      <c r="R28" s="953"/>
      <c r="S28" s="953"/>
      <c r="T28" s="953"/>
      <c r="U28" s="953"/>
      <c r="V28" s="953"/>
      <c r="W28" s="953"/>
      <c r="X28" s="953"/>
      <c r="Y28" s="953"/>
      <c r="Z28" s="953"/>
      <c r="AA28" s="953"/>
      <c r="AB28" s="953"/>
      <c r="AC28" s="953"/>
      <c r="AD28" s="953"/>
      <c r="AE28" s="953"/>
      <c r="AF28" s="953"/>
    </row>
    <row r="30" spans="1:32" x14ac:dyDescent="0.3">
      <c r="A30" s="1141" t="s">
        <v>7</v>
      </c>
      <c r="B30" s="1141"/>
      <c r="C30" s="1141"/>
      <c r="D30" s="1141"/>
      <c r="E30" s="1141"/>
      <c r="F30" s="1141"/>
      <c r="G30" s="1141"/>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row>
    <row r="32" spans="1:32" x14ac:dyDescent="0.3">
      <c r="B32" s="372" t="s">
        <v>2137</v>
      </c>
    </row>
    <row r="34" spans="1:32" x14ac:dyDescent="0.3">
      <c r="L34" s="1"/>
      <c r="M34" s="1"/>
      <c r="N34" s="1"/>
      <c r="O34" s="1"/>
      <c r="P34" s="1"/>
      <c r="Q34" s="1"/>
      <c r="R34" s="1"/>
      <c r="S34" s="1"/>
      <c r="T34" s="1"/>
      <c r="U34" s="1"/>
      <c r="V34" s="1"/>
      <c r="W34" s="1"/>
      <c r="X34" s="1"/>
      <c r="Y34" s="1"/>
      <c r="Z34" s="1"/>
      <c r="AA34" s="1"/>
      <c r="AB34" s="1"/>
      <c r="AC34" s="1"/>
      <c r="AD34" s="1"/>
      <c r="AE34" s="1"/>
    </row>
    <row r="35" spans="1:32" x14ac:dyDescent="0.3">
      <c r="L35" s="1"/>
      <c r="M35" s="1"/>
      <c r="N35" s="1"/>
      <c r="O35" s="1"/>
      <c r="P35" s="1"/>
      <c r="Q35" s="1"/>
      <c r="R35" s="1"/>
      <c r="S35" s="1"/>
      <c r="T35" s="1"/>
      <c r="U35" s="1"/>
      <c r="V35" s="1"/>
      <c r="W35" s="1"/>
      <c r="X35" s="1"/>
      <c r="Y35" s="1"/>
      <c r="Z35" s="1"/>
      <c r="AA35" s="1"/>
      <c r="AB35" s="1"/>
      <c r="AC35" s="1"/>
      <c r="AD35" s="1"/>
      <c r="AE35" s="1"/>
      <c r="AF35" s="71" t="s">
        <v>1463</v>
      </c>
    </row>
    <row r="36" spans="1:32" x14ac:dyDescent="0.3">
      <c r="L36" s="1"/>
      <c r="M36" s="1"/>
      <c r="N36" s="1"/>
      <c r="O36" s="1"/>
      <c r="P36" s="1"/>
      <c r="Q36" s="1"/>
      <c r="R36" s="1"/>
      <c r="S36" s="1"/>
      <c r="T36" s="1"/>
      <c r="U36" s="1"/>
      <c r="V36" s="1"/>
      <c r="W36" s="1"/>
      <c r="X36" s="1"/>
      <c r="Y36" s="1"/>
      <c r="Z36" s="1"/>
      <c r="AA36" s="1"/>
      <c r="AB36" s="1"/>
      <c r="AC36" s="1"/>
      <c r="AD36" s="1"/>
      <c r="AE36" s="1"/>
      <c r="AF36" s="71"/>
    </row>
    <row r="37" spans="1:32" x14ac:dyDescent="0.3">
      <c r="L37" s="1"/>
      <c r="M37" s="1"/>
      <c r="N37" s="1"/>
      <c r="O37" s="1"/>
      <c r="P37" s="1"/>
      <c r="Q37" s="1"/>
      <c r="R37" s="1"/>
      <c r="S37" s="1"/>
      <c r="T37" s="1"/>
      <c r="U37" s="1"/>
      <c r="V37" s="1"/>
      <c r="W37" s="1"/>
      <c r="X37" s="1"/>
      <c r="Y37" s="1"/>
      <c r="Z37" s="1"/>
      <c r="AA37" s="1"/>
      <c r="AB37" s="1"/>
      <c r="AC37" s="1"/>
      <c r="AD37" s="1"/>
      <c r="AE37" s="1"/>
      <c r="AF37" s="1"/>
    </row>
    <row r="38" spans="1:32" x14ac:dyDescent="0.3">
      <c r="B38" s="372" t="s">
        <v>2027</v>
      </c>
      <c r="L38" s="1"/>
      <c r="M38" s="1"/>
      <c r="N38" s="1"/>
      <c r="O38" s="1"/>
      <c r="P38" s="1"/>
      <c r="Q38" s="1"/>
      <c r="R38" s="1"/>
      <c r="S38" s="1"/>
      <c r="T38" s="1"/>
      <c r="U38" s="1"/>
      <c r="V38" s="1"/>
      <c r="W38" s="1"/>
      <c r="X38" s="1"/>
      <c r="Y38" s="1"/>
      <c r="Z38" s="1"/>
      <c r="AA38" s="1"/>
      <c r="AB38" s="1"/>
      <c r="AC38" s="1"/>
      <c r="AD38" s="1"/>
      <c r="AE38" s="1"/>
      <c r="AF38" s="1"/>
    </row>
    <row r="40" spans="1:32" x14ac:dyDescent="0.3">
      <c r="A40" s="268"/>
      <c r="B40" s="268"/>
      <c r="C40" s="268"/>
      <c r="D40" s="268"/>
      <c r="E40" s="268"/>
      <c r="F40" s="268"/>
      <c r="G40" s="268"/>
      <c r="H40" s="268"/>
      <c r="I40" s="268"/>
      <c r="J40" s="268"/>
      <c r="K40" s="19"/>
      <c r="AF40" s="19" t="s">
        <v>1464</v>
      </c>
    </row>
    <row r="41" spans="1:32" x14ac:dyDescent="0.3">
      <c r="A41" s="268"/>
      <c r="B41" s="268"/>
      <c r="C41" s="268"/>
      <c r="D41" s="268"/>
      <c r="E41" s="268"/>
      <c r="F41" s="268"/>
      <c r="G41" s="268"/>
      <c r="H41" s="268"/>
      <c r="I41" s="268"/>
      <c r="J41" s="268"/>
      <c r="K41" s="19"/>
    </row>
    <row r="42" spans="1:32" x14ac:dyDescent="0.3">
      <c r="A42" s="268"/>
      <c r="B42" s="372" t="s">
        <v>1811</v>
      </c>
      <c r="C42" s="268"/>
      <c r="D42" s="268"/>
      <c r="E42" s="268"/>
      <c r="F42" s="268"/>
      <c r="G42" s="268"/>
      <c r="H42" s="268"/>
      <c r="I42" s="268"/>
      <c r="J42" s="268"/>
      <c r="K42" s="19"/>
    </row>
    <row r="43" spans="1:32" x14ac:dyDescent="0.3">
      <c r="A43" s="268"/>
      <c r="B43" s="372"/>
      <c r="C43" s="268"/>
      <c r="D43" s="268"/>
      <c r="E43" s="268"/>
      <c r="F43" s="268"/>
      <c r="G43" s="268"/>
      <c r="H43" s="268"/>
      <c r="I43" s="268"/>
      <c r="J43" s="268"/>
      <c r="K43" s="19"/>
    </row>
    <row r="44" spans="1:32" x14ac:dyDescent="0.3">
      <c r="AF44" s="19" t="s">
        <v>1465</v>
      </c>
    </row>
    <row r="46" spans="1:32" x14ac:dyDescent="0.3">
      <c r="A46" s="869" t="s">
        <v>8</v>
      </c>
      <c r="B46" s="870"/>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1"/>
    </row>
    <row r="47" spans="1:32" x14ac:dyDescent="0.3">
      <c r="A47" s="1143" t="s">
        <v>9</v>
      </c>
      <c r="B47" s="1143"/>
      <c r="C47" s="1143"/>
      <c r="D47" s="1143"/>
      <c r="E47" s="1183" t="s">
        <v>3</v>
      </c>
      <c r="F47" s="1184"/>
      <c r="G47" s="1184"/>
      <c r="H47" s="1184"/>
      <c r="I47" s="1184"/>
      <c r="J47" s="1184"/>
      <c r="K47" s="1184"/>
      <c r="L47" s="1184"/>
      <c r="M47" s="1185"/>
      <c r="N47" s="2762" t="s">
        <v>10</v>
      </c>
      <c r="O47" s="2763"/>
      <c r="P47" s="2763"/>
      <c r="Q47" s="2763"/>
      <c r="R47" s="2763"/>
      <c r="S47" s="2764"/>
      <c r="T47" s="1143" t="s">
        <v>11</v>
      </c>
      <c r="U47" s="1143"/>
      <c r="V47" s="1143"/>
      <c r="W47" s="1272" t="s">
        <v>1466</v>
      </c>
      <c r="X47" s="1272"/>
      <c r="Y47" s="1272"/>
      <c r="Z47" s="1272"/>
      <c r="AA47" s="1272"/>
      <c r="AB47" s="1272"/>
      <c r="AC47" s="1272"/>
      <c r="AD47" s="1272"/>
      <c r="AE47" s="1272"/>
      <c r="AF47" s="1272"/>
    </row>
    <row r="48" spans="1:32" ht="52.5" customHeight="1" x14ac:dyDescent="0.3">
      <c r="A48" s="855" t="s">
        <v>4805</v>
      </c>
      <c r="B48" s="855"/>
      <c r="C48" s="855"/>
      <c r="D48" s="855"/>
      <c r="E48" s="1148" t="s">
        <v>4806</v>
      </c>
      <c r="F48" s="1149"/>
      <c r="G48" s="1149"/>
      <c r="H48" s="1149"/>
      <c r="I48" s="1149"/>
      <c r="J48" s="1149"/>
      <c r="K48" s="1149"/>
      <c r="L48" s="1149"/>
      <c r="M48" s="1150"/>
      <c r="N48" s="1800" t="s">
        <v>516</v>
      </c>
      <c r="O48" s="1801"/>
      <c r="P48" s="1801"/>
      <c r="Q48" s="1801"/>
      <c r="R48" s="1801"/>
      <c r="S48" s="1802"/>
      <c r="T48" s="1275" t="s">
        <v>4807</v>
      </c>
      <c r="U48" s="1275"/>
      <c r="V48" s="1275"/>
      <c r="W48" s="2458" t="s">
        <v>4808</v>
      </c>
      <c r="X48" s="2459"/>
      <c r="Y48" s="2459"/>
      <c r="Z48" s="2459"/>
      <c r="AA48" s="2459"/>
      <c r="AB48" s="2459"/>
      <c r="AC48" s="2459"/>
      <c r="AD48" s="2459"/>
      <c r="AE48" s="2459"/>
      <c r="AF48" s="2460"/>
    </row>
    <row r="49" spans="1:32" ht="42" customHeight="1" x14ac:dyDescent="0.3">
      <c r="A49" s="855" t="s">
        <v>4809</v>
      </c>
      <c r="B49" s="855"/>
      <c r="C49" s="855"/>
      <c r="D49" s="855"/>
      <c r="E49" s="1148" t="s">
        <v>4810</v>
      </c>
      <c r="F49" s="1149"/>
      <c r="G49" s="1149"/>
      <c r="H49" s="1149"/>
      <c r="I49" s="1149"/>
      <c r="J49" s="1149"/>
      <c r="K49" s="1149"/>
      <c r="L49" s="1149"/>
      <c r="M49" s="1150"/>
      <c r="N49" s="1800" t="s">
        <v>516</v>
      </c>
      <c r="O49" s="1801"/>
      <c r="P49" s="1801"/>
      <c r="Q49" s="1801"/>
      <c r="R49" s="1801"/>
      <c r="S49" s="1802"/>
      <c r="T49" s="1275" t="s">
        <v>4811</v>
      </c>
      <c r="U49" s="1275"/>
      <c r="V49" s="1275"/>
      <c r="W49" s="2467"/>
      <c r="X49" s="2468"/>
      <c r="Y49" s="2468"/>
      <c r="Z49" s="2468"/>
      <c r="AA49" s="2468"/>
      <c r="AB49" s="2468"/>
      <c r="AC49" s="2468"/>
      <c r="AD49" s="2468"/>
      <c r="AE49" s="2468"/>
      <c r="AF49" s="2469"/>
    </row>
    <row r="50" spans="1:32" ht="40.5" customHeight="1" x14ac:dyDescent="0.3">
      <c r="A50" s="855" t="s">
        <v>4812</v>
      </c>
      <c r="B50" s="855"/>
      <c r="C50" s="855"/>
      <c r="D50" s="855"/>
      <c r="E50" s="1148" t="s">
        <v>4813</v>
      </c>
      <c r="F50" s="1149"/>
      <c r="G50" s="1149"/>
      <c r="H50" s="1149"/>
      <c r="I50" s="1149"/>
      <c r="J50" s="1149"/>
      <c r="K50" s="1149"/>
      <c r="L50" s="1149"/>
      <c r="M50" s="1150"/>
      <c r="N50" s="1800" t="s">
        <v>516</v>
      </c>
      <c r="O50" s="1801"/>
      <c r="P50" s="1801"/>
      <c r="Q50" s="1801"/>
      <c r="R50" s="1801"/>
      <c r="S50" s="1802"/>
      <c r="T50" s="1275" t="s">
        <v>4811</v>
      </c>
      <c r="U50" s="1275"/>
      <c r="V50" s="1275"/>
      <c r="W50" s="2470"/>
      <c r="X50" s="2471"/>
      <c r="Y50" s="2471"/>
      <c r="Z50" s="2471"/>
      <c r="AA50" s="2471"/>
      <c r="AB50" s="2471"/>
      <c r="AC50" s="2471"/>
      <c r="AD50" s="2471"/>
      <c r="AE50" s="2471"/>
      <c r="AF50" s="2472"/>
    </row>
    <row r="51" spans="1:32" ht="79.5" customHeight="1" x14ac:dyDescent="0.3">
      <c r="A51" s="855" t="s">
        <v>4814</v>
      </c>
      <c r="B51" s="855"/>
      <c r="C51" s="855"/>
      <c r="D51" s="855"/>
      <c r="E51" s="1148" t="s">
        <v>4815</v>
      </c>
      <c r="F51" s="1149"/>
      <c r="G51" s="1149"/>
      <c r="H51" s="1149"/>
      <c r="I51" s="1149"/>
      <c r="J51" s="1149"/>
      <c r="K51" s="1149"/>
      <c r="L51" s="1149"/>
      <c r="M51" s="1150"/>
      <c r="N51" s="1403" t="s">
        <v>2274</v>
      </c>
      <c r="O51" s="1590"/>
      <c r="P51" s="1590"/>
      <c r="Q51" s="1590"/>
      <c r="R51" s="1590"/>
      <c r="S51" s="1591"/>
      <c r="T51" s="2772" t="s">
        <v>4816</v>
      </c>
      <c r="U51" s="1275"/>
      <c r="V51" s="1275"/>
      <c r="W51" s="856" t="s">
        <v>4817</v>
      </c>
      <c r="X51" s="856"/>
      <c r="Y51" s="856"/>
      <c r="Z51" s="856"/>
      <c r="AA51" s="856"/>
      <c r="AB51" s="856"/>
      <c r="AC51" s="856"/>
      <c r="AD51" s="856"/>
      <c r="AE51" s="856"/>
      <c r="AF51" s="856"/>
    </row>
    <row r="52" spans="1:32" ht="108" customHeight="1" x14ac:dyDescent="0.3">
      <c r="A52" s="855" t="s">
        <v>4818</v>
      </c>
      <c r="B52" s="855"/>
      <c r="C52" s="855"/>
      <c r="D52" s="855"/>
      <c r="E52" s="1148" t="s">
        <v>4819</v>
      </c>
      <c r="F52" s="1149"/>
      <c r="G52" s="1149"/>
      <c r="H52" s="1149"/>
      <c r="I52" s="1149"/>
      <c r="J52" s="1149"/>
      <c r="K52" s="1149"/>
      <c r="L52" s="1149"/>
      <c r="M52" s="1150"/>
      <c r="N52" s="1403" t="s">
        <v>864</v>
      </c>
      <c r="O52" s="1590"/>
      <c r="P52" s="1590"/>
      <c r="Q52" s="1590"/>
      <c r="R52" s="1590"/>
      <c r="S52" s="1591"/>
      <c r="T52" s="2146" t="s">
        <v>20</v>
      </c>
      <c r="U52" s="1275"/>
      <c r="V52" s="1275"/>
      <c r="W52" s="856" t="s">
        <v>4820</v>
      </c>
      <c r="X52" s="856"/>
      <c r="Y52" s="856"/>
      <c r="Z52" s="856"/>
      <c r="AA52" s="856"/>
      <c r="AB52" s="856"/>
      <c r="AC52" s="856"/>
      <c r="AD52" s="856"/>
      <c r="AE52" s="856"/>
      <c r="AF52" s="856"/>
    </row>
    <row r="53" spans="1:32" ht="54" customHeight="1" x14ac:dyDescent="0.3">
      <c r="A53" s="2506" t="s">
        <v>21</v>
      </c>
      <c r="B53" s="2507"/>
      <c r="C53" s="2507"/>
      <c r="D53" s="2508"/>
      <c r="E53" s="2458" t="s">
        <v>96</v>
      </c>
      <c r="F53" s="2459"/>
      <c r="G53" s="2459"/>
      <c r="H53" s="2459"/>
      <c r="I53" s="2459"/>
      <c r="J53" s="2459"/>
      <c r="K53" s="2459"/>
      <c r="L53" s="2459"/>
      <c r="M53" s="2460"/>
      <c r="N53" s="1269" t="s">
        <v>3965</v>
      </c>
      <c r="O53" s="1269"/>
      <c r="P53" s="1269"/>
      <c r="Q53" s="1269"/>
      <c r="R53" s="2765">
        <v>0.36</v>
      </c>
      <c r="S53" s="2765"/>
      <c r="T53" s="2766" t="s">
        <v>20</v>
      </c>
      <c r="U53" s="2767"/>
      <c r="V53" s="2768"/>
      <c r="W53" s="2458" t="s">
        <v>4821</v>
      </c>
      <c r="X53" s="2459"/>
      <c r="Y53" s="2459"/>
      <c r="Z53" s="2459"/>
      <c r="AA53" s="2459"/>
      <c r="AB53" s="2459"/>
      <c r="AC53" s="2459"/>
      <c r="AD53" s="2459"/>
      <c r="AE53" s="2459"/>
      <c r="AF53" s="2460"/>
    </row>
    <row r="54" spans="1:32" ht="50.25" customHeight="1" x14ac:dyDescent="0.3">
      <c r="A54" s="2509"/>
      <c r="B54" s="2510"/>
      <c r="C54" s="2510"/>
      <c r="D54" s="2511"/>
      <c r="E54" s="2470"/>
      <c r="F54" s="2471"/>
      <c r="G54" s="2471"/>
      <c r="H54" s="2471"/>
      <c r="I54" s="2471"/>
      <c r="J54" s="2471"/>
      <c r="K54" s="2471"/>
      <c r="L54" s="2471"/>
      <c r="M54" s="2472"/>
      <c r="N54" s="1269" t="s">
        <v>3964</v>
      </c>
      <c r="O54" s="1269"/>
      <c r="P54" s="1269"/>
      <c r="Q54" s="1269"/>
      <c r="R54" s="2765">
        <v>0.27</v>
      </c>
      <c r="S54" s="2765"/>
      <c r="T54" s="2769"/>
      <c r="U54" s="2770"/>
      <c r="V54" s="2771"/>
      <c r="W54" s="2470"/>
      <c r="X54" s="2471"/>
      <c r="Y54" s="2471"/>
      <c r="Z54" s="2471"/>
      <c r="AA54" s="2471"/>
      <c r="AB54" s="2471"/>
      <c r="AC54" s="2471"/>
      <c r="AD54" s="2471"/>
      <c r="AE54" s="2471"/>
      <c r="AF54" s="2472"/>
    </row>
    <row r="55" spans="1:32" ht="112.5" customHeight="1" x14ac:dyDescent="0.3">
      <c r="A55" s="855" t="s">
        <v>34</v>
      </c>
      <c r="B55" s="855"/>
      <c r="C55" s="855"/>
      <c r="D55" s="855"/>
      <c r="E55" s="1148" t="s">
        <v>644</v>
      </c>
      <c r="F55" s="1149"/>
      <c r="G55" s="1149"/>
      <c r="H55" s="1149"/>
      <c r="I55" s="1149"/>
      <c r="J55" s="1149"/>
      <c r="K55" s="1149"/>
      <c r="L55" s="1149"/>
      <c r="M55" s="1150"/>
      <c r="N55" s="1243">
        <f>ROUND(1-0.02/0.6,2)</f>
        <v>0.97</v>
      </c>
      <c r="O55" s="1244"/>
      <c r="P55" s="1244"/>
      <c r="Q55" s="1244"/>
      <c r="R55" s="1244"/>
      <c r="S55" s="1245"/>
      <c r="T55" s="1275" t="s">
        <v>20</v>
      </c>
      <c r="U55" s="1275"/>
      <c r="V55" s="1275"/>
      <c r="W55" s="856" t="s">
        <v>4822</v>
      </c>
      <c r="X55" s="856"/>
      <c r="Y55" s="856"/>
      <c r="Z55" s="856"/>
      <c r="AA55" s="856"/>
      <c r="AB55" s="856"/>
      <c r="AC55" s="856"/>
      <c r="AD55" s="856"/>
      <c r="AE55" s="856"/>
      <c r="AF55" s="856"/>
    </row>
    <row r="56" spans="1:32" ht="63" customHeight="1" x14ac:dyDescent="0.3">
      <c r="A56" s="855" t="s">
        <v>1869</v>
      </c>
      <c r="B56" s="855"/>
      <c r="C56" s="855"/>
      <c r="D56" s="855"/>
      <c r="E56" s="1148" t="s">
        <v>2050</v>
      </c>
      <c r="F56" s="1149"/>
      <c r="G56" s="1149"/>
      <c r="H56" s="1149"/>
      <c r="I56" s="1149"/>
      <c r="J56" s="1149"/>
      <c r="K56" s="1149"/>
      <c r="L56" s="1149"/>
      <c r="M56" s="1150"/>
      <c r="N56" s="1243">
        <f>'Master EUL'!X48</f>
        <v>10</v>
      </c>
      <c r="O56" s="1244"/>
      <c r="P56" s="1244"/>
      <c r="Q56" s="1244"/>
      <c r="R56" s="1244"/>
      <c r="S56" s="1245"/>
      <c r="T56" s="1275" t="s">
        <v>38</v>
      </c>
      <c r="U56" s="1275"/>
      <c r="V56" s="1275"/>
      <c r="W56" s="856" t="s">
        <v>4823</v>
      </c>
      <c r="X56" s="856"/>
      <c r="Y56" s="856"/>
      <c r="Z56" s="856"/>
      <c r="AA56" s="856"/>
      <c r="AB56" s="856"/>
      <c r="AC56" s="856"/>
      <c r="AD56" s="856"/>
      <c r="AE56" s="856"/>
      <c r="AF56" s="856"/>
    </row>
    <row r="57" spans="1:32" ht="77.25" customHeight="1" x14ac:dyDescent="0.3">
      <c r="A57" s="1270" t="s">
        <v>4824</v>
      </c>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row>
    <row r="58" spans="1:32" ht="33" customHeight="1" x14ac:dyDescent="0.3">
      <c r="A58" s="1082" t="s">
        <v>4825</v>
      </c>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row>
    <row r="59" spans="1:32" ht="15.6" x14ac:dyDescent="0.3">
      <c r="A59" s="5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row>
    <row r="60" spans="1:32" x14ac:dyDescent="0.3">
      <c r="A60" s="3" t="s">
        <v>4826</v>
      </c>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row>
    <row r="61" spans="1:32" ht="66.75" customHeight="1" x14ac:dyDescent="0.3">
      <c r="A61" s="2773" t="s">
        <v>4827</v>
      </c>
      <c r="B61" s="2774"/>
      <c r="C61" s="2774"/>
      <c r="D61" s="2774"/>
      <c r="E61" s="2774"/>
      <c r="F61" s="2774"/>
      <c r="G61" s="2774"/>
      <c r="H61" s="2775"/>
      <c r="I61" s="2776" t="s">
        <v>4828</v>
      </c>
      <c r="J61" s="2776"/>
      <c r="K61" s="2776"/>
      <c r="L61" s="2776"/>
      <c r="M61" s="2776"/>
      <c r="N61" s="2776"/>
      <c r="O61" s="2776"/>
      <c r="P61" s="2776"/>
      <c r="Q61" s="2776" t="s">
        <v>4829</v>
      </c>
      <c r="R61" s="2776"/>
      <c r="S61" s="2776"/>
      <c r="T61" s="2776"/>
      <c r="U61" s="2776"/>
      <c r="V61" s="2776"/>
      <c r="W61" s="2776"/>
      <c r="X61" s="2776"/>
      <c r="Y61" s="2776" t="s">
        <v>4830</v>
      </c>
      <c r="Z61" s="2776"/>
      <c r="AA61" s="2776"/>
      <c r="AB61" s="2776"/>
      <c r="AC61" s="2776"/>
      <c r="AD61" s="2776"/>
      <c r="AE61" s="2776"/>
      <c r="AF61" s="2776"/>
    </row>
    <row r="62" spans="1:32" x14ac:dyDescent="0.3">
      <c r="A62" s="2777" t="s">
        <v>4831</v>
      </c>
      <c r="B62" s="2778"/>
      <c r="C62" s="2778"/>
      <c r="D62" s="2778"/>
      <c r="E62" s="2778"/>
      <c r="F62" s="2778"/>
      <c r="G62" s="2778"/>
      <c r="H62" s="2779"/>
      <c r="I62" s="2780">
        <f>3.08699999999999/10.7639</f>
        <v>0.28679196202119955</v>
      </c>
      <c r="J62" s="2780"/>
      <c r="K62" s="2780"/>
      <c r="L62" s="2780"/>
      <c r="M62" s="2780"/>
      <c r="N62" s="2780"/>
      <c r="O62" s="2780"/>
      <c r="P62" s="2780"/>
      <c r="Q62" s="2780">
        <f>0.777/10.7639</f>
        <v>7.218573193730897E-2</v>
      </c>
      <c r="R62" s="2780"/>
      <c r="S62" s="2780"/>
      <c r="T62" s="2780"/>
      <c r="U62" s="2780"/>
      <c r="V62" s="2780"/>
      <c r="W62" s="2780"/>
      <c r="X62" s="2780"/>
      <c r="Y62" s="2780">
        <f>0.865/10.7639</f>
        <v>8.036120736907626E-2</v>
      </c>
      <c r="Z62" s="2780"/>
      <c r="AA62" s="2780"/>
      <c r="AB62" s="2780"/>
      <c r="AC62" s="2780"/>
      <c r="AD62" s="2780"/>
      <c r="AE62" s="2780"/>
      <c r="AF62" s="2780"/>
    </row>
    <row r="63" spans="1:32" x14ac:dyDescent="0.3">
      <c r="A63" s="2777" t="s">
        <v>4832</v>
      </c>
      <c r="B63" s="2778"/>
      <c r="C63" s="2778"/>
      <c r="D63" s="2778"/>
      <c r="E63" s="2778"/>
      <c r="F63" s="2778"/>
      <c r="G63" s="2778"/>
      <c r="H63" s="2779"/>
      <c r="I63" s="2780">
        <f>3.208/10.7639</f>
        <v>0.29803324073988058</v>
      </c>
      <c r="J63" s="2780"/>
      <c r="K63" s="2780"/>
      <c r="L63" s="2780"/>
      <c r="M63" s="2780"/>
      <c r="N63" s="2780"/>
      <c r="O63" s="2780"/>
      <c r="P63" s="2780"/>
      <c r="Q63" s="2780">
        <f>0.813/10.7639</f>
        <v>7.5530244613941047E-2</v>
      </c>
      <c r="R63" s="2780"/>
      <c r="S63" s="2780"/>
      <c r="T63" s="2780"/>
      <c r="U63" s="2780"/>
      <c r="V63" s="2780"/>
      <c r="W63" s="2780"/>
      <c r="X63" s="2780"/>
      <c r="Y63" s="2780">
        <f>0.912999999999999/10.7639</f>
        <v>8.4820557604585609E-2</v>
      </c>
      <c r="Z63" s="2780"/>
      <c r="AA63" s="2780"/>
      <c r="AB63" s="2780"/>
      <c r="AC63" s="2780"/>
      <c r="AD63" s="2780"/>
      <c r="AE63" s="2780"/>
      <c r="AF63" s="2780"/>
    </row>
    <row r="64" spans="1:32" x14ac:dyDescent="0.3">
      <c r="A64" s="2777" t="s">
        <v>4833</v>
      </c>
      <c r="B64" s="2778"/>
      <c r="C64" s="2778"/>
      <c r="D64" s="2778"/>
      <c r="E64" s="2778"/>
      <c r="F64" s="2778"/>
      <c r="G64" s="2778"/>
      <c r="H64" s="2779"/>
      <c r="I64" s="2780">
        <f>3.148/10.7639</f>
        <v>0.29245905294549374</v>
      </c>
      <c r="J64" s="2780"/>
      <c r="K64" s="2780"/>
      <c r="L64" s="2780"/>
      <c r="M64" s="2780"/>
      <c r="N64" s="2780"/>
      <c r="O64" s="2780"/>
      <c r="P64" s="2780"/>
      <c r="Q64" s="2780">
        <f>0.795999999999999/10.7639</f>
        <v>7.3950891405531363E-2</v>
      </c>
      <c r="R64" s="2780"/>
      <c r="S64" s="2780"/>
      <c r="T64" s="2780"/>
      <c r="U64" s="2780"/>
      <c r="V64" s="2780"/>
      <c r="W64" s="2780"/>
      <c r="X64" s="2780"/>
      <c r="Y64" s="2780">
        <f>0.889/10.7639</f>
        <v>8.2590882486830983E-2</v>
      </c>
      <c r="Z64" s="2780"/>
      <c r="AA64" s="2780"/>
      <c r="AB64" s="2780"/>
      <c r="AC64" s="2780"/>
      <c r="AD64" s="2780"/>
      <c r="AE64" s="2780"/>
      <c r="AF64" s="2780"/>
    </row>
    <row r="65" spans="1:32" ht="70.5" customHeight="1" x14ac:dyDescent="0.3">
      <c r="A65" s="1270" t="s">
        <v>4834</v>
      </c>
      <c r="B65" s="1270"/>
      <c r="C65" s="1270"/>
      <c r="D65" s="1270"/>
      <c r="E65" s="1270"/>
      <c r="F65" s="1270"/>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row>
    <row r="66" spans="1:32" x14ac:dyDescent="0.3">
      <c r="A66" s="3"/>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x14ac:dyDescent="0.3">
      <c r="A67" s="3" t="s">
        <v>4835</v>
      </c>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x14ac:dyDescent="0.3">
      <c r="A68" s="2781" t="s">
        <v>4836</v>
      </c>
      <c r="B68" s="2781"/>
      <c r="C68" s="2781"/>
      <c r="D68" s="2781"/>
      <c r="E68" s="2781"/>
      <c r="F68" s="2781"/>
      <c r="G68" s="2781"/>
      <c r="H68" s="2781"/>
      <c r="I68" s="2781"/>
      <c r="J68" s="2781"/>
      <c r="K68" s="2781" t="s">
        <v>4818</v>
      </c>
      <c r="L68" s="2781"/>
      <c r="M68" s="2781"/>
      <c r="N68" s="2781"/>
      <c r="O68" s="2429" t="s">
        <v>4837</v>
      </c>
      <c r="P68" s="2429"/>
      <c r="Q68" s="2429"/>
      <c r="R68" s="2429"/>
      <c r="S68" s="2429"/>
      <c r="T68" s="2429"/>
      <c r="U68" s="2429"/>
      <c r="V68" s="2429"/>
      <c r="W68" s="2429"/>
      <c r="X68" s="2429"/>
      <c r="Y68" s="2429"/>
      <c r="Z68" s="2429"/>
      <c r="AA68" s="2429"/>
      <c r="AB68" s="2429"/>
      <c r="AC68" s="2429"/>
      <c r="AD68" s="2429"/>
      <c r="AE68" s="2429"/>
      <c r="AF68" s="2429"/>
    </row>
    <row r="69" spans="1:32" ht="32.25" customHeight="1" x14ac:dyDescent="0.3">
      <c r="A69" s="2782" t="s">
        <v>4838</v>
      </c>
      <c r="B69" s="2782"/>
      <c r="C69" s="2782"/>
      <c r="D69" s="2782"/>
      <c r="E69" s="2782"/>
      <c r="F69" s="2782"/>
      <c r="G69" s="2782"/>
      <c r="H69" s="2782"/>
      <c r="I69" s="2782"/>
      <c r="J69" s="2782"/>
      <c r="K69" s="2784">
        <v>1</v>
      </c>
      <c r="L69" s="2784"/>
      <c r="M69" s="2784"/>
      <c r="N69" s="2784"/>
      <c r="O69" s="2785" t="s">
        <v>4839</v>
      </c>
      <c r="P69" s="2785"/>
      <c r="Q69" s="2785"/>
      <c r="R69" s="2785"/>
      <c r="S69" s="2785"/>
      <c r="T69" s="2785"/>
      <c r="U69" s="2785"/>
      <c r="V69" s="2785"/>
      <c r="W69" s="2785"/>
      <c r="X69" s="2785"/>
      <c r="Y69" s="2785"/>
      <c r="Z69" s="2785"/>
      <c r="AA69" s="2785"/>
      <c r="AB69" s="2785"/>
      <c r="AC69" s="2785"/>
      <c r="AD69" s="2785"/>
      <c r="AE69" s="2785"/>
      <c r="AF69" s="2785"/>
    </row>
    <row r="70" spans="1:32" x14ac:dyDescent="0.3">
      <c r="A70" s="2782" t="s">
        <v>4840</v>
      </c>
      <c r="B70" s="2782"/>
      <c r="C70" s="2782"/>
      <c r="D70" s="2782"/>
      <c r="E70" s="2782"/>
      <c r="F70" s="2782"/>
      <c r="G70" s="2782"/>
      <c r="H70" s="2782"/>
      <c r="I70" s="2782"/>
      <c r="J70" s="2782"/>
      <c r="K70" s="2782">
        <f>ROUND(AVERAGE(0.92,0.65,0.44,0.44),2)</f>
        <v>0.61</v>
      </c>
      <c r="L70" s="2782"/>
      <c r="M70" s="2782"/>
      <c r="N70" s="2782"/>
      <c r="O70" s="2782" t="s">
        <v>4841</v>
      </c>
      <c r="P70" s="2782"/>
      <c r="Q70" s="2782"/>
      <c r="R70" s="2782"/>
      <c r="S70" s="2782"/>
      <c r="T70" s="2782"/>
      <c r="U70" s="2782"/>
      <c r="V70" s="2782"/>
      <c r="W70" s="2782"/>
      <c r="X70" s="2782"/>
      <c r="Y70" s="2782"/>
      <c r="Z70" s="2782"/>
      <c r="AA70" s="2782"/>
      <c r="AB70" s="2782"/>
      <c r="AC70" s="2782"/>
      <c r="AD70" s="2782"/>
      <c r="AE70" s="2782"/>
      <c r="AF70" s="2782"/>
    </row>
    <row r="71" spans="1:32" x14ac:dyDescent="0.3">
      <c r="A71" s="2782" t="s">
        <v>49</v>
      </c>
      <c r="B71" s="2782"/>
      <c r="C71" s="2782"/>
      <c r="D71" s="2782"/>
      <c r="E71" s="2782"/>
      <c r="F71" s="2782"/>
      <c r="G71" s="2782"/>
      <c r="H71" s="2782"/>
      <c r="I71" s="2782"/>
      <c r="J71" s="2782"/>
      <c r="K71" s="2782">
        <f>ROUND(AVERAGE(K69:K70),2)</f>
        <v>0.81</v>
      </c>
      <c r="L71" s="2782"/>
      <c r="M71" s="2782"/>
      <c r="N71" s="2782"/>
      <c r="O71" s="2782" t="s">
        <v>4842</v>
      </c>
      <c r="P71" s="2782"/>
      <c r="Q71" s="2782"/>
      <c r="R71" s="2782"/>
      <c r="S71" s="2782"/>
      <c r="T71" s="2782"/>
      <c r="U71" s="2782"/>
      <c r="V71" s="2782"/>
      <c r="W71" s="2782"/>
      <c r="X71" s="2782"/>
      <c r="Y71" s="2782"/>
      <c r="Z71" s="2782"/>
      <c r="AA71" s="2782"/>
      <c r="AB71" s="2782"/>
      <c r="AC71" s="2782"/>
      <c r="AD71" s="2782"/>
      <c r="AE71" s="2782"/>
      <c r="AF71" s="2782"/>
    </row>
    <row r="72" spans="1:32" ht="54.75" customHeight="1" x14ac:dyDescent="0.3">
      <c r="A72" s="1270" t="s">
        <v>4843</v>
      </c>
      <c r="B72" s="1270"/>
      <c r="C72" s="1270"/>
      <c r="D72" s="1270"/>
      <c r="E72" s="1270"/>
      <c r="F72" s="1270"/>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row>
    <row r="73" spans="1:32" x14ac:dyDescent="0.3">
      <c r="A73" s="596"/>
      <c r="B73" s="596"/>
      <c r="C73" s="596"/>
      <c r="D73" s="596"/>
      <c r="E73" s="596"/>
      <c r="F73" s="596"/>
      <c r="G73" s="596"/>
      <c r="H73" s="596"/>
      <c r="I73" s="596"/>
      <c r="J73" s="596"/>
      <c r="K73" s="596"/>
      <c r="L73" s="596"/>
      <c r="M73" s="596"/>
      <c r="N73" s="596"/>
      <c r="O73" s="596"/>
      <c r="P73" s="596"/>
      <c r="Q73" s="596"/>
      <c r="R73" s="596"/>
      <c r="S73" s="596"/>
      <c r="T73" s="596"/>
      <c r="U73" s="596"/>
      <c r="V73" s="596"/>
      <c r="W73" s="596"/>
      <c r="X73" s="596"/>
      <c r="Y73" s="596"/>
      <c r="Z73" s="596"/>
      <c r="AA73" s="596"/>
      <c r="AB73" s="596"/>
      <c r="AC73" s="596"/>
      <c r="AD73" s="596"/>
      <c r="AE73" s="596"/>
      <c r="AF73" s="596"/>
    </row>
    <row r="74" spans="1:32" x14ac:dyDescent="0.3">
      <c r="A74" s="869" t="s">
        <v>14</v>
      </c>
      <c r="B74" s="870"/>
      <c r="C74" s="870"/>
      <c r="D74" s="870"/>
      <c r="E74" s="870"/>
      <c r="F74" s="870"/>
      <c r="G74" s="870"/>
      <c r="H74" s="870"/>
      <c r="I74" s="870"/>
      <c r="J74" s="870"/>
      <c r="K74" s="870"/>
      <c r="L74" s="870"/>
      <c r="M74" s="870"/>
      <c r="N74" s="870"/>
      <c r="O74" s="870"/>
      <c r="P74" s="870"/>
      <c r="Q74" s="870"/>
      <c r="R74" s="870"/>
      <c r="S74" s="870"/>
      <c r="T74" s="870"/>
      <c r="U74" s="870"/>
      <c r="V74" s="870"/>
      <c r="W74" s="870"/>
      <c r="X74" s="870"/>
      <c r="Y74" s="870"/>
      <c r="Z74" s="870"/>
      <c r="AA74" s="870"/>
      <c r="AB74" s="870"/>
      <c r="AC74" s="870"/>
      <c r="AD74" s="870"/>
      <c r="AE74" s="870"/>
      <c r="AF74" s="871"/>
    </row>
    <row r="76" spans="1:32" x14ac:dyDescent="0.3">
      <c r="A76" s="498" t="s">
        <v>4402</v>
      </c>
      <c r="B76" s="94"/>
      <c r="C76" s="94"/>
      <c r="D76" s="94"/>
      <c r="E76" s="94"/>
      <c r="F76" s="94"/>
      <c r="G76" s="94"/>
      <c r="H76" s="94"/>
      <c r="I76" s="94"/>
      <c r="J76" s="276"/>
      <c r="K76" s="276"/>
      <c r="L76" s="276"/>
      <c r="M76" s="276"/>
      <c r="N76" s="276"/>
      <c r="O76" s="276"/>
      <c r="P76" s="276"/>
      <c r="Q76" s="276"/>
      <c r="R76" s="276"/>
      <c r="S76" s="94"/>
      <c r="T76" s="94"/>
      <c r="U76" s="94"/>
      <c r="V76" s="94"/>
      <c r="W76" s="94"/>
      <c r="X76" s="94"/>
      <c r="Y76" s="94"/>
      <c r="Z76" s="94"/>
      <c r="AA76" s="94"/>
      <c r="AB76" s="94"/>
      <c r="AC76" s="94"/>
      <c r="AD76" s="94"/>
      <c r="AE76" s="94"/>
      <c r="AF76" s="94"/>
    </row>
    <row r="77" spans="1:32" x14ac:dyDescent="0.3">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row>
    <row r="78" spans="1:32" ht="16.2" x14ac:dyDescent="0.3">
      <c r="A78" s="94"/>
      <c r="B78" s="94" t="s">
        <v>4844</v>
      </c>
      <c r="D78" s="94"/>
      <c r="E78" s="94"/>
      <c r="F78" s="94"/>
      <c r="G78" s="94"/>
      <c r="H78" s="94"/>
      <c r="I78" s="94"/>
      <c r="J78" s="94"/>
      <c r="K78" s="94"/>
      <c r="L78" s="94"/>
      <c r="M78" s="94"/>
      <c r="N78" s="94"/>
      <c r="O78" s="94"/>
      <c r="P78" s="94"/>
      <c r="Q78" s="94"/>
      <c r="R78" s="94"/>
      <c r="S78" s="94"/>
      <c r="T78" s="94"/>
      <c r="U78" s="94"/>
      <c r="W78" s="94"/>
      <c r="X78" s="94"/>
      <c r="Y78" s="94"/>
      <c r="Z78" s="94"/>
      <c r="AA78" s="94"/>
      <c r="AB78" s="94"/>
      <c r="AC78" s="94"/>
      <c r="AD78" s="94"/>
      <c r="AE78" s="94"/>
      <c r="AF78" s="94"/>
    </row>
    <row r="79" spans="1:32" ht="38.25" customHeight="1" x14ac:dyDescent="0.3">
      <c r="A79" s="94"/>
      <c r="B79" s="94"/>
      <c r="C79" s="2783" t="s">
        <v>4845</v>
      </c>
      <c r="D79" s="2783"/>
      <c r="E79" s="2783"/>
      <c r="F79" s="2783"/>
      <c r="G79" s="2783"/>
      <c r="H79" s="2783"/>
      <c r="I79" s="2783"/>
      <c r="J79" s="2783"/>
      <c r="K79" s="2783"/>
      <c r="L79" s="2783"/>
      <c r="M79" s="2783"/>
      <c r="N79" s="2783"/>
      <c r="O79" s="2783"/>
      <c r="P79" s="2783"/>
      <c r="Q79" s="2783"/>
      <c r="R79" s="2783"/>
      <c r="S79" s="2783"/>
      <c r="T79" s="2783"/>
      <c r="U79" s="2783"/>
      <c r="V79" s="2783"/>
      <c r="W79" s="2783"/>
      <c r="X79" s="2783"/>
      <c r="Y79" s="2783"/>
      <c r="Z79" s="2783"/>
      <c r="AA79" s="2783"/>
      <c r="AB79" s="2783"/>
      <c r="AC79" s="2783"/>
      <c r="AD79" s="2783"/>
      <c r="AE79" s="2783"/>
      <c r="AF79" s="2783"/>
    </row>
    <row r="80" spans="1:32" x14ac:dyDescent="0.3">
      <c r="A80" s="94"/>
      <c r="B80" s="94"/>
      <c r="C80" s="94"/>
      <c r="D80" s="94"/>
      <c r="E80" s="94"/>
      <c r="F80" s="1276">
        <v>1000</v>
      </c>
      <c r="G80" s="1276"/>
      <c r="H80" s="1276"/>
      <c r="I80" s="1276"/>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125"/>
      <c r="AD81" s="94"/>
      <c r="AE81" s="94"/>
      <c r="AF81" s="94"/>
    </row>
    <row r="82" spans="1:32" x14ac:dyDescent="0.3">
      <c r="A82" s="94"/>
      <c r="B82" s="94" t="s">
        <v>4846</v>
      </c>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row>
    <row r="83" spans="1:32" ht="48" customHeight="1" x14ac:dyDescent="0.3">
      <c r="A83" s="94"/>
      <c r="B83" s="94"/>
      <c r="C83" s="1146" t="s">
        <v>4847</v>
      </c>
      <c r="D83" s="1146"/>
      <c r="E83" s="1146"/>
      <c r="F83" s="1146"/>
      <c r="G83" s="1146"/>
      <c r="H83" s="1146"/>
      <c r="I83" s="1146"/>
      <c r="J83" s="1146"/>
      <c r="K83" s="1146"/>
      <c r="L83" s="1146"/>
      <c r="M83" s="1146"/>
      <c r="N83" s="1146"/>
      <c r="O83" s="1146"/>
      <c r="P83" s="1146"/>
      <c r="Q83" s="1146"/>
      <c r="R83" s="1146"/>
      <c r="S83" s="1146"/>
      <c r="T83" s="1146"/>
      <c r="U83" s="1146"/>
      <c r="V83" s="1146"/>
      <c r="W83" s="1146"/>
      <c r="X83" s="1146"/>
      <c r="Y83" s="1146"/>
      <c r="Z83" s="1146"/>
      <c r="AA83" s="1146"/>
      <c r="AB83" s="1146"/>
      <c r="AC83" s="1146"/>
      <c r="AD83" s="1146"/>
      <c r="AE83" s="1146"/>
      <c r="AF83" s="1146"/>
    </row>
    <row r="84" spans="1:32" x14ac:dyDescent="0.3">
      <c r="A84" s="94"/>
      <c r="B84" s="94"/>
      <c r="C84" s="94"/>
      <c r="D84" s="94"/>
      <c r="E84" s="94"/>
      <c r="F84" s="1276" t="s">
        <v>4831</v>
      </c>
      <c r="G84" s="1276"/>
      <c r="H84" s="1276"/>
      <c r="I84" s="1276"/>
      <c r="J84" s="94"/>
      <c r="K84" s="94"/>
      <c r="L84" s="94"/>
      <c r="M84" s="94"/>
      <c r="N84" s="94"/>
      <c r="O84" s="94"/>
      <c r="P84" s="94"/>
      <c r="Q84" s="94"/>
      <c r="S84" s="94"/>
      <c r="T84" s="94"/>
      <c r="U84" s="94"/>
      <c r="V84" s="94"/>
      <c r="W84" s="94"/>
      <c r="X84" s="94"/>
      <c r="Y84" s="94"/>
      <c r="Z84" s="94"/>
      <c r="AA84" s="94"/>
      <c r="AB84" s="94"/>
      <c r="AC84" s="94"/>
      <c r="AD84" s="94"/>
      <c r="AE84" s="94"/>
      <c r="AF84" s="94"/>
    </row>
    <row r="85" spans="1:32"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3">
      <c r="A86" s="94"/>
      <c r="B86" s="94" t="s">
        <v>4848</v>
      </c>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ht="63.75" customHeight="1" x14ac:dyDescent="0.3">
      <c r="A87" s="94"/>
      <c r="B87" s="94"/>
      <c r="C87" s="2783" t="s">
        <v>4849</v>
      </c>
      <c r="D87" s="2783"/>
      <c r="E87" s="2783"/>
      <c r="F87" s="2783"/>
      <c r="G87" s="2783"/>
      <c r="H87" s="2783"/>
      <c r="I87" s="2783"/>
      <c r="J87" s="2783"/>
      <c r="K87" s="2783"/>
      <c r="L87" s="2783"/>
      <c r="M87" s="2783"/>
      <c r="N87" s="2783"/>
      <c r="O87" s="2783"/>
      <c r="P87" s="2783"/>
      <c r="Q87" s="2783"/>
      <c r="R87" s="2783"/>
      <c r="S87" s="2783"/>
      <c r="T87" s="2783"/>
      <c r="U87" s="2783"/>
      <c r="V87" s="2783"/>
      <c r="W87" s="2783"/>
      <c r="X87" s="2783"/>
      <c r="Y87" s="2783"/>
      <c r="Z87" s="2783"/>
      <c r="AA87" s="2783"/>
      <c r="AB87" s="2783"/>
      <c r="AC87" s="2783"/>
      <c r="AD87" s="2783"/>
      <c r="AE87" s="2783"/>
      <c r="AF87" s="2783"/>
    </row>
    <row r="88" spans="1:32" x14ac:dyDescent="0.3">
      <c r="A88" s="94"/>
      <c r="B88" s="94"/>
      <c r="C88" s="94"/>
      <c r="D88" s="94"/>
      <c r="E88" s="94"/>
      <c r="F88" s="1276" t="s">
        <v>4840</v>
      </c>
      <c r="G88" s="1276"/>
      <c r="H88" s="1276"/>
      <c r="I88" s="1276"/>
      <c r="J88" s="94"/>
      <c r="L88" s="94"/>
      <c r="M88" s="94"/>
      <c r="O88" s="94"/>
      <c r="P88" s="94"/>
      <c r="Q88" s="94"/>
      <c r="R88" s="94"/>
      <c r="S88" s="623" t="s">
        <v>4850</v>
      </c>
      <c r="T88" s="94"/>
      <c r="U88" s="2787">
        <f>VLOOKUP(F88,A69:N71,11,FALSE)</f>
        <v>0.61</v>
      </c>
      <c r="V88" s="2788"/>
      <c r="W88" s="2789"/>
      <c r="X88" s="94"/>
      <c r="Y88" s="94"/>
      <c r="Z88" s="94"/>
      <c r="AA88" s="94"/>
      <c r="AB88" s="94"/>
      <c r="AC88" s="94"/>
      <c r="AD88" s="94"/>
      <c r="AE88" s="94"/>
      <c r="AF88" s="94"/>
    </row>
    <row r="89" spans="1:32"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3">
      <c r="A90" s="94"/>
      <c r="B90" s="94" t="s">
        <v>4851</v>
      </c>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3">
      <c r="A91" s="94"/>
      <c r="B91" s="94"/>
      <c r="C91" s="94"/>
      <c r="D91" s="94"/>
      <c r="E91" s="94"/>
      <c r="F91" s="2786" t="s">
        <v>3964</v>
      </c>
      <c r="G91" s="2786"/>
      <c r="H91" s="2786"/>
      <c r="I91" s="2786"/>
      <c r="J91" s="94"/>
      <c r="K91" s="94"/>
      <c r="L91" s="94"/>
      <c r="M91" s="94"/>
      <c r="N91" s="94"/>
      <c r="O91" s="94"/>
      <c r="P91" s="94"/>
      <c r="Q91" s="94"/>
      <c r="R91" s="94"/>
      <c r="S91" s="623" t="s">
        <v>4852</v>
      </c>
      <c r="T91" s="94"/>
      <c r="U91" s="2787">
        <f>VLOOKUP(F91,N53:S54,5,FALSE)</f>
        <v>0.27</v>
      </c>
      <c r="V91" s="2788"/>
      <c r="W91" s="2789"/>
      <c r="X91" s="94"/>
      <c r="Y91" s="94"/>
      <c r="Z91" s="94"/>
      <c r="AA91" s="94"/>
      <c r="AB91" s="94"/>
      <c r="AC91" s="94"/>
      <c r="AD91" s="94"/>
      <c r="AE91" s="94"/>
      <c r="AF91" s="94"/>
    </row>
    <row r="92" spans="1:32" ht="15" thickBot="1" x14ac:dyDescent="0.35">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ht="37.5" customHeight="1" x14ac:dyDescent="0.3">
      <c r="A93" s="2790" t="s">
        <v>15</v>
      </c>
      <c r="B93" s="2791"/>
      <c r="C93" s="2791"/>
      <c r="D93" s="2791"/>
      <c r="E93" s="2791"/>
      <c r="F93" s="2791"/>
      <c r="G93" s="2791"/>
      <c r="H93" s="2654"/>
      <c r="I93" s="1311" t="s">
        <v>2780</v>
      </c>
      <c r="J93" s="1312"/>
      <c r="K93" s="1312"/>
      <c r="L93" s="1312"/>
      <c r="M93" s="1312"/>
      <c r="N93" s="1312"/>
      <c r="O93" s="1312"/>
      <c r="P93" s="1312"/>
      <c r="Q93" s="1311" t="s">
        <v>2776</v>
      </c>
      <c r="R93" s="1312"/>
      <c r="S93" s="1312"/>
      <c r="T93" s="1312"/>
      <c r="U93" s="1312"/>
      <c r="V93" s="1312"/>
      <c r="W93" s="1312"/>
      <c r="X93" s="1312"/>
      <c r="Y93" s="1311" t="s">
        <v>1554</v>
      </c>
      <c r="Z93" s="1312"/>
      <c r="AA93" s="1312"/>
      <c r="AB93" s="1312"/>
      <c r="AC93" s="1312"/>
      <c r="AD93" s="1312"/>
      <c r="AE93" s="1312"/>
      <c r="AF93" s="1313"/>
    </row>
    <row r="94" spans="1:32" ht="30" customHeight="1" thickBot="1" x14ac:dyDescent="0.35">
      <c r="A94" s="2792" t="s">
        <v>4853</v>
      </c>
      <c r="B94" s="2793"/>
      <c r="C94" s="2793"/>
      <c r="D94" s="2793"/>
      <c r="E94" s="2793"/>
      <c r="F94" s="2793"/>
      <c r="G94" s="2793"/>
      <c r="H94" s="2794"/>
      <c r="I94" s="2491">
        <f>ROUND(VLOOKUP(F84,A62:AF64,25,FALSE)*F80*U88*U91/1000,3)</f>
        <v>1.2999999999999999E-2</v>
      </c>
      <c r="J94" s="2491"/>
      <c r="K94" s="2491"/>
      <c r="L94" s="2491"/>
      <c r="M94" s="2491"/>
      <c r="N94" s="2491"/>
      <c r="O94" s="2491"/>
      <c r="P94" s="2491"/>
      <c r="Q94" s="2795">
        <f>ROUND((VLOOKUP(F84,A62:AF64,9,FALSE)+VLOOKUP(F84,A62:AF64,17,FALSE))*F80*U88,2)</f>
        <v>218.98</v>
      </c>
      <c r="R94" s="2795"/>
      <c r="S94" s="2795"/>
      <c r="T94" s="2795"/>
      <c r="U94" s="2795"/>
      <c r="V94" s="2795"/>
      <c r="W94" s="2795"/>
      <c r="X94" s="2795"/>
      <c r="Y94" s="2493">
        <f>ROUND(Q94*N55*N56,2)</f>
        <v>2124.11</v>
      </c>
      <c r="Z94" s="2493"/>
      <c r="AA94" s="2493"/>
      <c r="AB94" s="2493"/>
      <c r="AC94" s="2493"/>
      <c r="AD94" s="2493"/>
      <c r="AE94" s="2493"/>
      <c r="AF94" s="2494"/>
    </row>
    <row r="95" spans="1:32"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3">
      <c r="A96" s="1053" t="s">
        <v>1514</v>
      </c>
      <c r="B96" s="1054"/>
      <c r="C96" s="1054"/>
      <c r="D96" s="1054"/>
      <c r="E96" s="1054"/>
      <c r="F96" s="1054"/>
      <c r="G96" s="1054"/>
      <c r="H96" s="1054"/>
      <c r="I96" s="1054"/>
      <c r="J96" s="1054"/>
      <c r="K96" s="1054"/>
      <c r="L96" s="1054"/>
      <c r="M96" s="1054"/>
      <c r="N96" s="1054"/>
      <c r="O96" s="1054"/>
      <c r="P96" s="1054"/>
      <c r="Q96" s="1054"/>
      <c r="R96" s="1054"/>
      <c r="S96" s="1054"/>
      <c r="T96" s="1054"/>
      <c r="U96" s="1054"/>
      <c r="V96" s="1054"/>
      <c r="W96" s="1054"/>
      <c r="X96" s="1054"/>
      <c r="Y96" s="1054"/>
      <c r="Z96" s="1054"/>
      <c r="AA96" s="1054"/>
      <c r="AB96" s="1054"/>
      <c r="AC96" s="1054"/>
      <c r="AD96" s="1054"/>
      <c r="AE96" s="1054"/>
      <c r="AF96" s="1055"/>
    </row>
    <row r="98" spans="1:32" ht="64.5" customHeight="1" x14ac:dyDescent="0.3">
      <c r="A98" s="370" t="s">
        <v>803</v>
      </c>
      <c r="B98" s="884" t="s">
        <v>4854</v>
      </c>
      <c r="C98" s="884"/>
      <c r="D98" s="884"/>
      <c r="E98" s="884"/>
      <c r="F98" s="884"/>
      <c r="G98" s="884"/>
      <c r="H98" s="884"/>
      <c r="I98" s="884"/>
      <c r="J98" s="884"/>
      <c r="K98" s="884"/>
      <c r="L98" s="884"/>
      <c r="M98" s="884"/>
      <c r="N98" s="884"/>
      <c r="O98" s="884"/>
      <c r="P98" s="884"/>
      <c r="Q98" s="884"/>
      <c r="R98" s="884"/>
      <c r="S98" s="884"/>
      <c r="T98" s="884"/>
      <c r="U98" s="884"/>
      <c r="V98" s="884"/>
      <c r="W98" s="884"/>
      <c r="X98" s="884"/>
      <c r="Y98" s="884"/>
      <c r="Z98" s="884"/>
      <c r="AA98" s="884"/>
      <c r="AB98" s="884"/>
      <c r="AC98" s="884"/>
      <c r="AD98" s="884"/>
      <c r="AE98" s="884"/>
      <c r="AF98" s="884"/>
    </row>
    <row r="99" spans="1:32" ht="50.25" customHeight="1" x14ac:dyDescent="0.3">
      <c r="A99" s="370" t="s">
        <v>803</v>
      </c>
      <c r="B99" s="889" t="s">
        <v>4855</v>
      </c>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row>
    <row r="100" spans="1:32" ht="168" customHeight="1" x14ac:dyDescent="0.3">
      <c r="A100" s="370" t="s">
        <v>803</v>
      </c>
      <c r="B100" s="889" t="s">
        <v>4856</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row>
    <row r="101" spans="1:32" ht="51" customHeight="1" x14ac:dyDescent="0.3">
      <c r="A101" s="370" t="s">
        <v>803</v>
      </c>
      <c r="B101" s="889" t="s">
        <v>4857</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row>
    <row r="102" spans="1:32" ht="36.75" customHeight="1" x14ac:dyDescent="0.3">
      <c r="A102" s="370" t="s">
        <v>803</v>
      </c>
      <c r="B102" s="889" t="s">
        <v>4858</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row>
    <row r="104" spans="1:32" x14ac:dyDescent="0.3">
      <c r="L104" s="94"/>
    </row>
  </sheetData>
  <sheetProtection algorithmName="SHA-512" hashValue="ngXiUxGRXBQreR55yjySP8p57UIMZq2hpZ+O71RXfDdYbZOXs36uy0lEPhXCWo8ssT0+0FFHTW9QPrXIOdBn2g==" saltValue="MAwMB3mqPs9Bj0DqOX819w==" spinCount="100000" sheet="1" objects="1" scenarios="1"/>
  <mergeCells count="118">
    <mergeCell ref="B99:AF99"/>
    <mergeCell ref="B100:AF100"/>
    <mergeCell ref="B101:AF101"/>
    <mergeCell ref="B102:AF102"/>
    <mergeCell ref="A94:H94"/>
    <mergeCell ref="I94:P94"/>
    <mergeCell ref="Q94:X94"/>
    <mergeCell ref="Y94:AF94"/>
    <mergeCell ref="A96:AF96"/>
    <mergeCell ref="B98:AF98"/>
    <mergeCell ref="F91:I91"/>
    <mergeCell ref="U91:W91"/>
    <mergeCell ref="A93:H93"/>
    <mergeCell ref="I93:P93"/>
    <mergeCell ref="Q93:X93"/>
    <mergeCell ref="Y93:AF93"/>
    <mergeCell ref="F80:I80"/>
    <mergeCell ref="C83:AF83"/>
    <mergeCell ref="F84:I84"/>
    <mergeCell ref="C87:AF87"/>
    <mergeCell ref="F88:I88"/>
    <mergeCell ref="U88:W88"/>
    <mergeCell ref="A71:J71"/>
    <mergeCell ref="K71:N71"/>
    <mergeCell ref="O71:AF71"/>
    <mergeCell ref="A72:AF72"/>
    <mergeCell ref="A74:AF74"/>
    <mergeCell ref="C79:AF79"/>
    <mergeCell ref="A69:J69"/>
    <mergeCell ref="K69:N69"/>
    <mergeCell ref="O69:AF69"/>
    <mergeCell ref="A70:J70"/>
    <mergeCell ref="K70:N70"/>
    <mergeCell ref="O70:AF70"/>
    <mergeCell ref="A64:H64"/>
    <mergeCell ref="I64:P64"/>
    <mergeCell ref="Q64:X64"/>
    <mergeCell ref="Y64:AF64"/>
    <mergeCell ref="A65:AF65"/>
    <mergeCell ref="A68:J68"/>
    <mergeCell ref="K68:N68"/>
    <mergeCell ref="O68:AF68"/>
    <mergeCell ref="A62:H62"/>
    <mergeCell ref="I62:P62"/>
    <mergeCell ref="Q62:X62"/>
    <mergeCell ref="Y62:AF62"/>
    <mergeCell ref="A63:H63"/>
    <mergeCell ref="I63:P63"/>
    <mergeCell ref="Q63:X63"/>
    <mergeCell ref="Y63:AF63"/>
    <mergeCell ref="A57:AF57"/>
    <mergeCell ref="A58:AF58"/>
    <mergeCell ref="A61:H61"/>
    <mergeCell ref="I61:P61"/>
    <mergeCell ref="Q61:X61"/>
    <mergeCell ref="Y61:AF61"/>
    <mergeCell ref="A55:D55"/>
    <mergeCell ref="E55:M55"/>
    <mergeCell ref="N55:S55"/>
    <mergeCell ref="T55:V55"/>
    <mergeCell ref="W55:AF55"/>
    <mergeCell ref="A56:D56"/>
    <mergeCell ref="E56:M56"/>
    <mergeCell ref="N56:S56"/>
    <mergeCell ref="T56:V56"/>
    <mergeCell ref="W56:AF56"/>
    <mergeCell ref="A53:D54"/>
    <mergeCell ref="E53:M54"/>
    <mergeCell ref="N53:Q53"/>
    <mergeCell ref="R53:S53"/>
    <mergeCell ref="T53:V54"/>
    <mergeCell ref="W53:AF54"/>
    <mergeCell ref="N54:Q54"/>
    <mergeCell ref="R54:S54"/>
    <mergeCell ref="W51:AF51"/>
    <mergeCell ref="A52:D52"/>
    <mergeCell ref="E52:M52"/>
    <mergeCell ref="N52:S52"/>
    <mergeCell ref="T52:V52"/>
    <mergeCell ref="W52:AF52"/>
    <mergeCell ref="A51:D51"/>
    <mergeCell ref="E51:M51"/>
    <mergeCell ref="N51:S51"/>
    <mergeCell ref="T51:V51"/>
    <mergeCell ref="W48:AF50"/>
    <mergeCell ref="A49:D49"/>
    <mergeCell ref="E49:M49"/>
    <mergeCell ref="N49:S49"/>
    <mergeCell ref="T49:V49"/>
    <mergeCell ref="A50:D50"/>
    <mergeCell ref="B25:AF25"/>
    <mergeCell ref="B28:AF28"/>
    <mergeCell ref="A30:AF30"/>
    <mergeCell ref="A46:AF46"/>
    <mergeCell ref="A47:D47"/>
    <mergeCell ref="E47:M47"/>
    <mergeCell ref="N47:S47"/>
    <mergeCell ref="T47:V47"/>
    <mergeCell ref="W47:AF47"/>
    <mergeCell ref="E50:M50"/>
    <mergeCell ref="N50:S50"/>
    <mergeCell ref="T50:V50"/>
    <mergeCell ref="A48:D48"/>
    <mergeCell ref="E48:M48"/>
    <mergeCell ref="N48:S48"/>
    <mergeCell ref="T48:V48"/>
    <mergeCell ref="C15:AF15"/>
    <mergeCell ref="C16:AF16"/>
    <mergeCell ref="C17:AF17"/>
    <mergeCell ref="C18:AF18"/>
    <mergeCell ref="C19:AF19"/>
    <mergeCell ref="B22:AF22"/>
    <mergeCell ref="A1:AF1"/>
    <mergeCell ref="A3:AF3"/>
    <mergeCell ref="B5:AF5"/>
    <mergeCell ref="A7:AF7"/>
    <mergeCell ref="B10:AF10"/>
    <mergeCell ref="B12:AF12"/>
  </mergeCells>
  <dataValidations count="3">
    <dataValidation type="list" allowBlank="1" showInputMessage="1" showErrorMessage="1" sqref="F84" xr:uid="{00000000-0002-0000-4900-000000000000}">
      <formula1>"East-West,North-South,Mean"</formula1>
    </dataValidation>
    <dataValidation type="list" allowBlank="1" showInputMessage="1" showErrorMessage="1" sqref="F91:I91" xr:uid="{00000000-0002-0000-4900-000001000000}">
      <formula1>"Room AC,Central AC"</formula1>
    </dataValidation>
    <dataValidation type="list" allowBlank="1" showInputMessage="1" showErrorMessage="1" sqref="F88" xr:uid="{00000000-0002-0000-4900-000002000000}">
      <formula1>"Isolated,Close,Average"</formula1>
    </dataValidation>
  </dataValidations>
  <hyperlinks>
    <hyperlink ref="A2" location="TOC!A1" display="Return to TOC" xr:uid="{00000000-0004-0000-4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B15:B19 AF35:AF44" numberStoredAsText="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0">
    <tabColor theme="5" tint="0.79998168889431442"/>
    <pageSetUpPr autoPageBreaks="0"/>
  </sheetPr>
  <dimension ref="A1:AF179"/>
  <sheetViews>
    <sheetView workbookViewId="0">
      <selection activeCell="A2" sqref="A2"/>
    </sheetView>
  </sheetViews>
  <sheetFormatPr defaultColWidth="2.6640625" defaultRowHeight="14.4" x14ac:dyDescent="0.3"/>
  <cols>
    <col min="1" max="4" width="3.109375" customWidth="1"/>
    <col min="7" max="7" width="2.5546875" customWidth="1"/>
  </cols>
  <sheetData>
    <row r="1" spans="1:32" s="1" customFormat="1" ht="18" x14ac:dyDescent="0.3">
      <c r="A1" s="1131" t="s">
        <v>900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3">
      <c r="A5" s="121"/>
      <c r="B5" s="872" t="s">
        <v>4664</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s="4" customForma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3">
      <c r="B9" s="1144" t="s">
        <v>3</v>
      </c>
      <c r="C9" s="1144"/>
      <c r="D9" s="1144"/>
      <c r="E9" s="1144"/>
      <c r="F9" s="1144"/>
      <c r="G9" s="1144"/>
      <c r="H9" s="1144"/>
      <c r="I9" s="1144"/>
    </row>
    <row r="10" spans="1:32" s="1" customFormat="1" ht="33" customHeight="1" x14ac:dyDescent="0.3">
      <c r="A10" s="4"/>
      <c r="B10" s="953" t="s">
        <v>4943</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s="1" customFormat="1" x14ac:dyDescent="0.3"/>
    <row r="12" spans="1:32" s="1" customFormat="1" x14ac:dyDescent="0.3">
      <c r="B12" s="1144" t="s">
        <v>4</v>
      </c>
      <c r="C12" s="1144"/>
      <c r="D12" s="1144"/>
      <c r="E12" s="1144"/>
      <c r="F12" s="1144"/>
      <c r="G12" s="1144"/>
      <c r="H12" s="1144"/>
      <c r="I12" s="1144"/>
    </row>
    <row r="13" spans="1:32" s="1" customFormat="1" x14ac:dyDescent="0.3">
      <c r="B13" s="1142" t="s">
        <v>4944</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s="1" customFormat="1" x14ac:dyDescent="0.3"/>
    <row r="15" spans="1:32" s="4" customFormat="1" ht="14.4" customHeight="1" x14ac:dyDescent="0.3">
      <c r="A15" s="1"/>
      <c r="B15" s="1144" t="s">
        <v>5</v>
      </c>
      <c r="C15" s="1144"/>
      <c r="D15" s="1144"/>
      <c r="E15" s="1144"/>
      <c r="F15" s="1144"/>
      <c r="G15" s="1144"/>
      <c r="H15" s="1144"/>
      <c r="I15" s="1144"/>
      <c r="J15" s="1"/>
      <c r="K15" s="1"/>
      <c r="L15" s="1"/>
      <c r="M15" s="1"/>
      <c r="N15" s="1"/>
      <c r="O15" s="1"/>
      <c r="P15" s="1"/>
      <c r="Q15" s="1"/>
      <c r="R15" s="1"/>
      <c r="S15" s="1"/>
      <c r="T15" s="1"/>
      <c r="U15" s="1"/>
      <c r="V15" s="1"/>
      <c r="W15" s="1"/>
      <c r="X15" s="1"/>
      <c r="Y15" s="1"/>
      <c r="Z15" s="1"/>
      <c r="AA15" s="1"/>
      <c r="AB15" s="1"/>
      <c r="AC15" s="1"/>
      <c r="AD15" s="1"/>
      <c r="AE15" s="1"/>
      <c r="AF15" s="1"/>
    </row>
    <row r="16" spans="1:32" s="1" customFormat="1" x14ac:dyDescent="0.3">
      <c r="B16" s="1142" t="s">
        <v>4945</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s="1" customFormat="1" x14ac:dyDescent="0.3"/>
    <row r="18" spans="1:32" s="1" customFormat="1" ht="14.4" customHeight="1" x14ac:dyDescent="0.3">
      <c r="B18" s="1144" t="s">
        <v>6</v>
      </c>
      <c r="C18" s="1144"/>
      <c r="D18" s="1144"/>
      <c r="E18" s="1144"/>
      <c r="F18" s="1144"/>
      <c r="G18" s="1144"/>
      <c r="H18" s="1144"/>
      <c r="I18" s="1144"/>
    </row>
    <row r="19" spans="1:32" s="1" customFormat="1" x14ac:dyDescent="0.3">
      <c r="A19" s="4"/>
      <c r="B19" s="872" t="s">
        <v>4946</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32" s="1" customFormat="1" x14ac:dyDescent="0.3"/>
    <row r="21" spans="1:32" s="1" customFormat="1" x14ac:dyDescent="0.3">
      <c r="B21" s="51" t="s">
        <v>13</v>
      </c>
      <c r="C21" s="51"/>
      <c r="D21" s="51"/>
      <c r="E21" s="51"/>
      <c r="F21" s="51"/>
      <c r="G21" s="51"/>
      <c r="H21" s="51"/>
      <c r="I21" s="51"/>
    </row>
    <row r="22" spans="1:32" s="1" customFormat="1" x14ac:dyDescent="0.3">
      <c r="B22" s="872" t="s">
        <v>4947</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s="1" customFormat="1" ht="14.4" customHeight="1" x14ac:dyDescent="0.3"/>
    <row r="24" spans="1:32" s="1" customFormat="1" ht="17.100000000000001" customHeight="1" x14ac:dyDescent="0.3"/>
    <row r="25" spans="1:32" s="1" customFormat="1"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s="1" customFormat="1" x14ac:dyDescent="0.3"/>
    <row r="27" spans="1:32" s="1" customFormat="1" x14ac:dyDescent="0.3">
      <c r="A27"/>
      <c r="B27" s="231" t="s">
        <v>2027</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s="1" customFormat="1" x14ac:dyDescent="0.3">
      <c r="A28"/>
      <c r="B28" s="23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s="1" customFormat="1" x14ac:dyDescent="0.3">
      <c r="A29"/>
      <c r="B29" s="231"/>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546" t="s">
        <v>1463</v>
      </c>
    </row>
    <row r="30" spans="1:32" s="1" customFormat="1" x14ac:dyDescent="0.3">
      <c r="A30"/>
      <c r="B30" s="231"/>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546"/>
    </row>
    <row r="31" spans="1:32" s="1" customFormat="1" x14ac:dyDescent="0.3">
      <c r="A31"/>
      <c r="B31" s="231"/>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546"/>
    </row>
    <row r="32" spans="1:32" s="1" customFormat="1" x14ac:dyDescent="0.3">
      <c r="A32"/>
      <c r="B32" s="231"/>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546"/>
    </row>
    <row r="33" spans="1:32" s="1" customFormat="1" x14ac:dyDescent="0.3">
      <c r="A33"/>
      <c r="B33" s="231"/>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row>
    <row r="34" spans="1:32" x14ac:dyDescent="0.3">
      <c r="B34" s="231" t="s">
        <v>2137</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row>
    <row r="35" spans="1:32" x14ac:dyDescent="0.3">
      <c r="B35" s="231"/>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row>
    <row r="36" spans="1:32" s="8" customFormat="1" x14ac:dyDescent="0.3">
      <c r="A36"/>
      <c r="B36" s="231"/>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546" t="s">
        <v>1464</v>
      </c>
    </row>
    <row r="37" spans="1:32" s="8" customFormat="1" x14ac:dyDescent="0.3">
      <c r="A37"/>
      <c r="B37" s="231"/>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row>
    <row r="38" spans="1:32" s="8" customFormat="1" ht="15" customHeight="1" x14ac:dyDescent="0.3">
      <c r="A38"/>
      <c r="B38" s="231"/>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row>
    <row r="39" spans="1:32" s="8" customFormat="1" x14ac:dyDescent="0.3">
      <c r="A39"/>
      <c r="B39" s="231"/>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row>
    <row r="40" spans="1:32" s="8" customFormat="1" x14ac:dyDescent="0.3">
      <c r="A40"/>
      <c r="B40" s="231" t="s">
        <v>4948</v>
      </c>
      <c r="C40" s="231"/>
      <c r="D40" s="231"/>
      <c r="E40" s="231"/>
      <c r="F40" s="231"/>
      <c r="G40" s="231"/>
      <c r="H40" s="231"/>
      <c r="I40" s="231"/>
      <c r="J40" s="40"/>
      <c r="K40" s="40"/>
      <c r="L40" s="40"/>
      <c r="M40" s="40"/>
      <c r="N40" s="40"/>
      <c r="O40" s="40"/>
      <c r="P40" s="40"/>
      <c r="Q40" s="40"/>
      <c r="R40" s="40"/>
      <c r="S40" s="40"/>
      <c r="T40" s="40"/>
      <c r="U40" s="40"/>
      <c r="V40" s="40"/>
      <c r="W40" s="40"/>
      <c r="X40" s="40"/>
      <c r="Y40" s="40"/>
      <c r="Z40" s="40"/>
      <c r="AA40" s="40"/>
      <c r="AB40" s="40"/>
      <c r="AC40" s="40"/>
      <c r="AD40" s="40"/>
      <c r="AE40" s="40"/>
      <c r="AF40" s="40"/>
    </row>
    <row r="41" spans="1:32" s="8" customFormat="1" x14ac:dyDescent="0.3">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c r="AA41" s="231"/>
      <c r="AB41" s="231"/>
      <c r="AC41" s="231"/>
      <c r="AD41" s="231"/>
      <c r="AE41" s="231"/>
      <c r="AF41" s="231"/>
    </row>
    <row r="42" spans="1:32" s="8" customFormat="1" x14ac:dyDescent="0.3">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1"/>
      <c r="AD42" s="231"/>
      <c r="AE42" s="231"/>
      <c r="AF42" s="188" t="s">
        <v>1465</v>
      </c>
    </row>
    <row r="43" spans="1:32" s="8" customFormat="1" x14ac:dyDescent="0.3">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231"/>
      <c r="AB43" s="231"/>
      <c r="AC43" s="231"/>
      <c r="AD43" s="231"/>
      <c r="AE43" s="231"/>
      <c r="AF43" s="231"/>
    </row>
    <row r="44" spans="1:32" s="8" customFormat="1" x14ac:dyDescent="0.3">
      <c r="A44"/>
      <c r="B44" s="231" t="s">
        <v>1811</v>
      </c>
      <c r="C44" s="40"/>
      <c r="D44"/>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169"/>
    </row>
    <row r="45" spans="1:32" s="8" customFormat="1" x14ac:dyDescent="0.3">
      <c r="A45" s="40"/>
      <c r="B45" s="40"/>
      <c r="C45" s="40"/>
      <c r="D45"/>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169"/>
    </row>
    <row r="46" spans="1:32" s="8" customFormat="1" x14ac:dyDescent="0.3">
      <c r="A46" s="40"/>
      <c r="B46" s="162"/>
      <c r="C46" s="40"/>
      <c r="D46"/>
      <c r="E46" s="40"/>
      <c r="F46" s="40"/>
      <c r="G46" s="71"/>
      <c r="H46" s="71"/>
      <c r="I46" s="71"/>
      <c r="J46" s="71"/>
      <c r="K46" s="71"/>
      <c r="L46" s="71"/>
      <c r="M46" s="71"/>
      <c r="N46" s="71"/>
      <c r="O46" s="71"/>
      <c r="P46" s="71"/>
      <c r="Q46" s="71"/>
      <c r="R46" s="71"/>
      <c r="S46" s="71"/>
      <c r="T46" s="71"/>
      <c r="U46" s="71"/>
      <c r="V46" s="71"/>
      <c r="W46" s="71"/>
      <c r="X46" s="71"/>
      <c r="Y46" s="71"/>
      <c r="Z46" s="71"/>
      <c r="AA46" s="71"/>
      <c r="AB46" s="71"/>
      <c r="AC46" s="71"/>
      <c r="AD46" s="71"/>
      <c r="AE46" s="40"/>
      <c r="AF46" s="188" t="s">
        <v>1517</v>
      </c>
    </row>
    <row r="47" spans="1:32" s="8" customForma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169"/>
    </row>
    <row r="48" spans="1:32" s="8" customFormat="1" x14ac:dyDescent="0.3">
      <c r="A48" s="231"/>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row>
    <row r="49" spans="1:32" s="8" customFormat="1" ht="15" customHeight="1" x14ac:dyDescent="0.3">
      <c r="A49" s="1141" t="s">
        <v>8</v>
      </c>
      <c r="B49" s="1141"/>
      <c r="C49" s="1141"/>
      <c r="D49" s="1141"/>
      <c r="E49" s="1141"/>
      <c r="F49" s="1141"/>
      <c r="G49" s="1141"/>
      <c r="H49" s="1141"/>
      <c r="I49" s="1141"/>
      <c r="J49" s="1141"/>
      <c r="K49" s="1141"/>
      <c r="L49" s="1141"/>
      <c r="M49" s="1141"/>
      <c r="N49" s="1141"/>
      <c r="O49" s="1141"/>
      <c r="P49" s="1141"/>
      <c r="Q49" s="1141"/>
      <c r="R49" s="1141"/>
      <c r="S49" s="1141"/>
      <c r="T49" s="1141"/>
      <c r="U49" s="1141"/>
      <c r="V49" s="1141"/>
      <c r="W49" s="1141"/>
      <c r="X49" s="1141"/>
      <c r="Y49" s="1141"/>
      <c r="Z49" s="1141"/>
      <c r="AA49" s="1141"/>
      <c r="AB49" s="1141"/>
      <c r="AC49" s="1141"/>
      <c r="AD49" s="1141"/>
      <c r="AE49" s="1141"/>
      <c r="AF49" s="1141"/>
    </row>
    <row r="50" spans="1:32" s="8" customFormat="1" x14ac:dyDescent="0.3">
      <c r="A50" s="1143" t="s">
        <v>9</v>
      </c>
      <c r="B50" s="1143"/>
      <c r="C50" s="1143"/>
      <c r="D50" s="1143"/>
      <c r="E50" s="1143" t="s">
        <v>3</v>
      </c>
      <c r="F50" s="1143"/>
      <c r="G50" s="1143"/>
      <c r="H50" s="1143"/>
      <c r="I50" s="1143"/>
      <c r="J50" s="1143"/>
      <c r="K50" s="1143"/>
      <c r="L50" s="1143"/>
      <c r="M50" s="1143"/>
      <c r="N50" s="1143"/>
      <c r="O50" s="1143"/>
      <c r="P50" s="1143"/>
      <c r="Q50" s="1143" t="s">
        <v>10</v>
      </c>
      <c r="R50" s="1143"/>
      <c r="S50" s="1143"/>
      <c r="T50" s="1143"/>
      <c r="U50" s="1143" t="s">
        <v>11</v>
      </c>
      <c r="V50" s="1143"/>
      <c r="W50" s="1405" t="s">
        <v>1466</v>
      </c>
      <c r="X50" s="1405"/>
      <c r="Y50" s="1405"/>
      <c r="Z50" s="1405"/>
      <c r="AA50" s="1405"/>
      <c r="AB50" s="1405"/>
      <c r="AC50" s="1405"/>
      <c r="AD50" s="1405"/>
      <c r="AE50" s="1405"/>
      <c r="AF50" s="1405"/>
    </row>
    <row r="51" spans="1:32" s="8" customFormat="1" ht="63.75" customHeight="1" x14ac:dyDescent="0.3">
      <c r="A51" s="856" t="s">
        <v>4949</v>
      </c>
      <c r="B51" s="856"/>
      <c r="C51" s="856"/>
      <c r="D51" s="856"/>
      <c r="E51" s="856" t="s">
        <v>430</v>
      </c>
      <c r="F51" s="856" t="s">
        <v>417</v>
      </c>
      <c r="G51" s="856" t="s">
        <v>417</v>
      </c>
      <c r="H51" s="856" t="s">
        <v>417</v>
      </c>
      <c r="I51" s="856" t="s">
        <v>417</v>
      </c>
      <c r="J51" s="856" t="s">
        <v>417</v>
      </c>
      <c r="K51" s="856" t="s">
        <v>417</v>
      </c>
      <c r="L51" s="856" t="s">
        <v>417</v>
      </c>
      <c r="M51" s="856" t="s">
        <v>417</v>
      </c>
      <c r="N51" s="856" t="s">
        <v>417</v>
      </c>
      <c r="O51" s="856" t="s">
        <v>417</v>
      </c>
      <c r="P51" s="856" t="s">
        <v>417</v>
      </c>
      <c r="Q51" s="1586" t="s">
        <v>646</v>
      </c>
      <c r="R51" s="1586"/>
      <c r="S51" s="1586"/>
      <c r="T51" s="1586"/>
      <c r="U51" s="1586" t="s">
        <v>269</v>
      </c>
      <c r="V51" s="1586"/>
      <c r="W51" s="856" t="s">
        <v>1431</v>
      </c>
      <c r="X51" s="856" t="s">
        <v>418</v>
      </c>
      <c r="Y51" s="856" t="s">
        <v>418</v>
      </c>
      <c r="Z51" s="856" t="s">
        <v>418</v>
      </c>
      <c r="AA51" s="856" t="s">
        <v>418</v>
      </c>
      <c r="AB51" s="856" t="s">
        <v>418</v>
      </c>
      <c r="AC51" s="856" t="s">
        <v>418</v>
      </c>
      <c r="AD51" s="856" t="s">
        <v>418</v>
      </c>
      <c r="AE51" s="856" t="s">
        <v>418</v>
      </c>
      <c r="AF51" s="856" t="s">
        <v>418</v>
      </c>
    </row>
    <row r="52" spans="1:32" s="8" customFormat="1" ht="46.5" customHeight="1" x14ac:dyDescent="0.3">
      <c r="A52" s="856" t="s">
        <v>4950</v>
      </c>
      <c r="B52" s="856" t="s">
        <v>419</v>
      </c>
      <c r="C52" s="856" t="s">
        <v>419</v>
      </c>
      <c r="D52" s="856" t="s">
        <v>419</v>
      </c>
      <c r="E52" s="856" t="s">
        <v>4951</v>
      </c>
      <c r="F52" s="856" t="s">
        <v>420</v>
      </c>
      <c r="G52" s="856" t="s">
        <v>420</v>
      </c>
      <c r="H52" s="856" t="s">
        <v>420</v>
      </c>
      <c r="I52" s="856" t="s">
        <v>420</v>
      </c>
      <c r="J52" s="856" t="s">
        <v>420</v>
      </c>
      <c r="K52" s="856" t="s">
        <v>420</v>
      </c>
      <c r="L52" s="856" t="s">
        <v>420</v>
      </c>
      <c r="M52" s="856" t="s">
        <v>420</v>
      </c>
      <c r="N52" s="856" t="s">
        <v>420</v>
      </c>
      <c r="O52" s="856" t="s">
        <v>420</v>
      </c>
      <c r="P52" s="856" t="s">
        <v>420</v>
      </c>
      <c r="Q52" s="1586" t="s">
        <v>646</v>
      </c>
      <c r="R52" s="1586"/>
      <c r="S52" s="1586"/>
      <c r="T52" s="1586"/>
      <c r="U52" s="1586" t="s">
        <v>269</v>
      </c>
      <c r="V52" s="1586"/>
      <c r="W52" s="856" t="s">
        <v>4952</v>
      </c>
      <c r="X52" s="856" t="s">
        <v>421</v>
      </c>
      <c r="Y52" s="856" t="s">
        <v>421</v>
      </c>
      <c r="Z52" s="856" t="s">
        <v>421</v>
      </c>
      <c r="AA52" s="856" t="s">
        <v>421</v>
      </c>
      <c r="AB52" s="856" t="s">
        <v>421</v>
      </c>
      <c r="AC52" s="856" t="s">
        <v>421</v>
      </c>
      <c r="AD52" s="856" t="s">
        <v>421</v>
      </c>
      <c r="AE52" s="856" t="s">
        <v>421</v>
      </c>
      <c r="AF52" s="856" t="s">
        <v>421</v>
      </c>
    </row>
    <row r="53" spans="1:32" s="8" customFormat="1" ht="69" customHeight="1" x14ac:dyDescent="0.3">
      <c r="A53" s="856" t="s">
        <v>4953</v>
      </c>
      <c r="B53" s="856"/>
      <c r="C53" s="856"/>
      <c r="D53" s="856"/>
      <c r="E53" s="856" t="s">
        <v>4954</v>
      </c>
      <c r="F53" s="856" t="s">
        <v>417</v>
      </c>
      <c r="G53" s="856" t="s">
        <v>417</v>
      </c>
      <c r="H53" s="856" t="s">
        <v>417</v>
      </c>
      <c r="I53" s="856" t="s">
        <v>417</v>
      </c>
      <c r="J53" s="856" t="s">
        <v>417</v>
      </c>
      <c r="K53" s="856" t="s">
        <v>417</v>
      </c>
      <c r="L53" s="856" t="s">
        <v>417</v>
      </c>
      <c r="M53" s="856" t="s">
        <v>417</v>
      </c>
      <c r="N53" s="856" t="s">
        <v>417</v>
      </c>
      <c r="O53" s="856" t="s">
        <v>417</v>
      </c>
      <c r="P53" s="856" t="s">
        <v>417</v>
      </c>
      <c r="Q53" s="1586" t="s">
        <v>646</v>
      </c>
      <c r="R53" s="1586"/>
      <c r="S53" s="1586"/>
      <c r="T53" s="1586"/>
      <c r="U53" s="1586" t="s">
        <v>269</v>
      </c>
      <c r="V53" s="1586"/>
      <c r="W53" s="856" t="s">
        <v>1431</v>
      </c>
      <c r="X53" s="856" t="s">
        <v>418</v>
      </c>
      <c r="Y53" s="856" t="s">
        <v>418</v>
      </c>
      <c r="Z53" s="856" t="s">
        <v>418</v>
      </c>
      <c r="AA53" s="856" t="s">
        <v>418</v>
      </c>
      <c r="AB53" s="856" t="s">
        <v>418</v>
      </c>
      <c r="AC53" s="856" t="s">
        <v>418</v>
      </c>
      <c r="AD53" s="856" t="s">
        <v>418</v>
      </c>
      <c r="AE53" s="856" t="s">
        <v>418</v>
      </c>
      <c r="AF53" s="856" t="s">
        <v>418</v>
      </c>
    </row>
    <row r="54" spans="1:32" s="8" customFormat="1" ht="64.5" customHeight="1" x14ac:dyDescent="0.3">
      <c r="A54" s="856" t="s">
        <v>4955</v>
      </c>
      <c r="B54" s="856" t="s">
        <v>419</v>
      </c>
      <c r="C54" s="856" t="s">
        <v>419</v>
      </c>
      <c r="D54" s="856" t="s">
        <v>419</v>
      </c>
      <c r="E54" s="856" t="s">
        <v>4956</v>
      </c>
      <c r="F54" s="856" t="s">
        <v>420</v>
      </c>
      <c r="G54" s="856" t="s">
        <v>420</v>
      </c>
      <c r="H54" s="856" t="s">
        <v>420</v>
      </c>
      <c r="I54" s="856" t="s">
        <v>420</v>
      </c>
      <c r="J54" s="856" t="s">
        <v>420</v>
      </c>
      <c r="K54" s="856" t="s">
        <v>420</v>
      </c>
      <c r="L54" s="856" t="s">
        <v>420</v>
      </c>
      <c r="M54" s="856" t="s">
        <v>420</v>
      </c>
      <c r="N54" s="856" t="s">
        <v>420</v>
      </c>
      <c r="O54" s="856" t="s">
        <v>420</v>
      </c>
      <c r="P54" s="856" t="s">
        <v>420</v>
      </c>
      <c r="Q54" s="1586" t="s">
        <v>646</v>
      </c>
      <c r="R54" s="1586"/>
      <c r="S54" s="1586"/>
      <c r="T54" s="1586"/>
      <c r="U54" s="1586" t="s">
        <v>269</v>
      </c>
      <c r="V54" s="1586"/>
      <c r="W54" s="856" t="s">
        <v>1431</v>
      </c>
      <c r="X54" s="856" t="s">
        <v>418</v>
      </c>
      <c r="Y54" s="856" t="s">
        <v>418</v>
      </c>
      <c r="Z54" s="856" t="s">
        <v>418</v>
      </c>
      <c r="AA54" s="856" t="s">
        <v>418</v>
      </c>
      <c r="AB54" s="856" t="s">
        <v>418</v>
      </c>
      <c r="AC54" s="856" t="s">
        <v>418</v>
      </c>
      <c r="AD54" s="856" t="s">
        <v>418</v>
      </c>
      <c r="AE54" s="856" t="s">
        <v>418</v>
      </c>
      <c r="AF54" s="856" t="s">
        <v>418</v>
      </c>
    </row>
    <row r="55" spans="1:32" s="8" customFormat="1" ht="78.75" customHeight="1" x14ac:dyDescent="0.3">
      <c r="A55" s="856" t="s">
        <v>4957</v>
      </c>
      <c r="B55" s="856"/>
      <c r="C55" s="856"/>
      <c r="D55" s="856"/>
      <c r="E55" s="856" t="s">
        <v>4958</v>
      </c>
      <c r="F55" s="856"/>
      <c r="G55" s="856"/>
      <c r="H55" s="856"/>
      <c r="I55" s="856"/>
      <c r="J55" s="856"/>
      <c r="K55" s="856"/>
      <c r="L55" s="856"/>
      <c r="M55" s="856"/>
      <c r="N55" s="856"/>
      <c r="O55" s="856"/>
      <c r="P55" s="856"/>
      <c r="Q55" s="1586">
        <v>1.5</v>
      </c>
      <c r="R55" s="1586"/>
      <c r="S55" s="1586"/>
      <c r="T55" s="1586"/>
      <c r="U55" s="1586" t="s">
        <v>20</v>
      </c>
      <c r="V55" s="1586"/>
      <c r="W55" s="856" t="s">
        <v>4959</v>
      </c>
      <c r="X55" s="856" t="s">
        <v>421</v>
      </c>
      <c r="Y55" s="856" t="s">
        <v>421</v>
      </c>
      <c r="Z55" s="856" t="s">
        <v>421</v>
      </c>
      <c r="AA55" s="856" t="s">
        <v>421</v>
      </c>
      <c r="AB55" s="856" t="s">
        <v>421</v>
      </c>
      <c r="AC55" s="856" t="s">
        <v>421</v>
      </c>
      <c r="AD55" s="856" t="s">
        <v>421</v>
      </c>
      <c r="AE55" s="856" t="s">
        <v>421</v>
      </c>
      <c r="AF55" s="856" t="s">
        <v>421</v>
      </c>
    </row>
    <row r="56" spans="1:32" s="8" customFormat="1" ht="39" customHeight="1" x14ac:dyDescent="0.3">
      <c r="A56" s="855" t="s">
        <v>21</v>
      </c>
      <c r="B56" s="855" t="s">
        <v>21</v>
      </c>
      <c r="C56" s="855" t="s">
        <v>21</v>
      </c>
      <c r="D56" s="855" t="s">
        <v>21</v>
      </c>
      <c r="E56" s="856" t="s">
        <v>393</v>
      </c>
      <c r="F56" s="856" t="s">
        <v>422</v>
      </c>
      <c r="G56" s="856" t="s">
        <v>422</v>
      </c>
      <c r="H56" s="856" t="s">
        <v>422</v>
      </c>
      <c r="I56" s="856" t="s">
        <v>422</v>
      </c>
      <c r="J56" s="856" t="s">
        <v>422</v>
      </c>
      <c r="K56" s="856" t="s">
        <v>422</v>
      </c>
      <c r="L56" s="856" t="s">
        <v>422</v>
      </c>
      <c r="M56" s="856" t="s">
        <v>422</v>
      </c>
      <c r="N56" s="856" t="s">
        <v>422</v>
      </c>
      <c r="O56" s="856" t="s">
        <v>422</v>
      </c>
      <c r="P56" s="856" t="s">
        <v>422</v>
      </c>
      <c r="Q56" s="2310">
        <f>[3]CF!$I$6</f>
        <v>0.55970548302982814</v>
      </c>
      <c r="R56" s="2310">
        <v>0.22</v>
      </c>
      <c r="S56" s="2310">
        <v>0.22</v>
      </c>
      <c r="T56" s="2310">
        <v>0.22</v>
      </c>
      <c r="U56" s="1586" t="s">
        <v>20</v>
      </c>
      <c r="V56" s="1586"/>
      <c r="W56" s="856" t="s">
        <v>4960</v>
      </c>
      <c r="X56" s="856" t="s">
        <v>423</v>
      </c>
      <c r="Y56" s="856" t="s">
        <v>423</v>
      </c>
      <c r="Z56" s="856" t="s">
        <v>423</v>
      </c>
      <c r="AA56" s="856" t="s">
        <v>423</v>
      </c>
      <c r="AB56" s="856" t="s">
        <v>423</v>
      </c>
      <c r="AC56" s="856" t="s">
        <v>423</v>
      </c>
      <c r="AD56" s="856" t="s">
        <v>423</v>
      </c>
      <c r="AE56" s="856" t="s">
        <v>423</v>
      </c>
      <c r="AF56" s="856" t="s">
        <v>423</v>
      </c>
    </row>
    <row r="57" spans="1:32" s="8" customFormat="1" ht="54.75" customHeight="1" x14ac:dyDescent="0.3">
      <c r="A57" s="855" t="s">
        <v>835</v>
      </c>
      <c r="B57" s="855" t="s">
        <v>424</v>
      </c>
      <c r="C57" s="855" t="s">
        <v>424</v>
      </c>
      <c r="D57" s="855" t="s">
        <v>424</v>
      </c>
      <c r="E57" s="856" t="s">
        <v>834</v>
      </c>
      <c r="F57" s="856" t="s">
        <v>425</v>
      </c>
      <c r="G57" s="856" t="s">
        <v>425</v>
      </c>
      <c r="H57" s="856" t="s">
        <v>425</v>
      </c>
      <c r="I57" s="856" t="s">
        <v>425</v>
      </c>
      <c r="J57" s="856" t="s">
        <v>425</v>
      </c>
      <c r="K57" s="856" t="s">
        <v>425</v>
      </c>
      <c r="L57" s="856" t="s">
        <v>425</v>
      </c>
      <c r="M57" s="856" t="s">
        <v>425</v>
      </c>
      <c r="N57" s="856" t="s">
        <v>425</v>
      </c>
      <c r="O57" s="856" t="s">
        <v>425</v>
      </c>
      <c r="P57" s="856" t="s">
        <v>425</v>
      </c>
      <c r="Q57" s="1586">
        <v>5</v>
      </c>
      <c r="R57" s="1586">
        <v>5</v>
      </c>
      <c r="S57" s="1586">
        <v>5</v>
      </c>
      <c r="T57" s="1586">
        <v>5</v>
      </c>
      <c r="U57" s="1586" t="s">
        <v>37</v>
      </c>
      <c r="V57" s="1586"/>
      <c r="W57" s="856" t="s">
        <v>4961</v>
      </c>
      <c r="X57" s="856" t="s">
        <v>418</v>
      </c>
      <c r="Y57" s="856" t="s">
        <v>418</v>
      </c>
      <c r="Z57" s="856" t="s">
        <v>418</v>
      </c>
      <c r="AA57" s="856" t="s">
        <v>418</v>
      </c>
      <c r="AB57" s="856" t="s">
        <v>418</v>
      </c>
      <c r="AC57" s="856" t="s">
        <v>418</v>
      </c>
      <c r="AD57" s="856" t="s">
        <v>418</v>
      </c>
      <c r="AE57" s="856" t="s">
        <v>418</v>
      </c>
      <c r="AF57" s="856" t="s">
        <v>418</v>
      </c>
    </row>
    <row r="58" spans="1:32" s="8" customFormat="1" ht="54" customHeight="1" x14ac:dyDescent="0.3">
      <c r="A58" s="855" t="s">
        <v>4962</v>
      </c>
      <c r="B58" s="855" t="s">
        <v>424</v>
      </c>
      <c r="C58" s="855" t="s">
        <v>424</v>
      </c>
      <c r="D58" s="855" t="s">
        <v>424</v>
      </c>
      <c r="E58" s="856" t="s">
        <v>4963</v>
      </c>
      <c r="F58" s="856" t="s">
        <v>425</v>
      </c>
      <c r="G58" s="856" t="s">
        <v>425</v>
      </c>
      <c r="H58" s="856" t="s">
        <v>425</v>
      </c>
      <c r="I58" s="856" t="s">
        <v>425</v>
      </c>
      <c r="J58" s="856" t="s">
        <v>425</v>
      </c>
      <c r="K58" s="856" t="s">
        <v>425</v>
      </c>
      <c r="L58" s="856" t="s">
        <v>425</v>
      </c>
      <c r="M58" s="856" t="s">
        <v>425</v>
      </c>
      <c r="N58" s="856" t="s">
        <v>425</v>
      </c>
      <c r="O58" s="856" t="s">
        <v>425</v>
      </c>
      <c r="P58" s="856" t="s">
        <v>425</v>
      </c>
      <c r="Q58" s="1586">
        <v>19</v>
      </c>
      <c r="R58" s="1586">
        <v>5</v>
      </c>
      <c r="S58" s="1586">
        <v>5</v>
      </c>
      <c r="T58" s="1586">
        <v>5</v>
      </c>
      <c r="U58" s="1586" t="s">
        <v>37</v>
      </c>
      <c r="V58" s="1586"/>
      <c r="W58" s="856" t="s">
        <v>4961</v>
      </c>
      <c r="X58" s="856" t="s">
        <v>418</v>
      </c>
      <c r="Y58" s="856" t="s">
        <v>418</v>
      </c>
      <c r="Z58" s="856" t="s">
        <v>418</v>
      </c>
      <c r="AA58" s="856" t="s">
        <v>418</v>
      </c>
      <c r="AB58" s="856" t="s">
        <v>418</v>
      </c>
      <c r="AC58" s="856" t="s">
        <v>418</v>
      </c>
      <c r="AD58" s="856" t="s">
        <v>418</v>
      </c>
      <c r="AE58" s="856" t="s">
        <v>418</v>
      </c>
      <c r="AF58" s="856" t="s">
        <v>418</v>
      </c>
    </row>
    <row r="59" spans="1:32" s="8" customFormat="1" ht="38.25" customHeight="1" x14ac:dyDescent="0.3">
      <c r="A59" s="1349" t="s">
        <v>3886</v>
      </c>
      <c r="B59" s="1350" t="s">
        <v>26</v>
      </c>
      <c r="C59" s="1350" t="s">
        <v>26</v>
      </c>
      <c r="D59" s="1351" t="s">
        <v>26</v>
      </c>
      <c r="E59" s="1163" t="s">
        <v>2050</v>
      </c>
      <c r="F59" s="1164" t="s">
        <v>208</v>
      </c>
      <c r="G59" s="1164" t="s">
        <v>208</v>
      </c>
      <c r="H59" s="1164" t="s">
        <v>208</v>
      </c>
      <c r="I59" s="1164" t="s">
        <v>208</v>
      </c>
      <c r="J59" s="1164" t="s">
        <v>208</v>
      </c>
      <c r="K59" s="1164" t="s">
        <v>208</v>
      </c>
      <c r="L59" s="1164" t="s">
        <v>208</v>
      </c>
      <c r="M59" s="1164" t="s">
        <v>208</v>
      </c>
      <c r="N59" s="1164" t="s">
        <v>208</v>
      </c>
      <c r="O59" s="1164" t="s">
        <v>208</v>
      </c>
      <c r="P59" s="1165" t="s">
        <v>208</v>
      </c>
      <c r="Q59" s="1586">
        <f>'Master EUL'!X37</f>
        <v>6</v>
      </c>
      <c r="R59" s="1586" t="s">
        <v>426</v>
      </c>
      <c r="S59" s="1586" t="s">
        <v>426</v>
      </c>
      <c r="T59" s="1586" t="s">
        <v>426</v>
      </c>
      <c r="U59" s="1586" t="s">
        <v>38</v>
      </c>
      <c r="V59" s="1586"/>
      <c r="W59" s="856" t="s">
        <v>4964</v>
      </c>
      <c r="X59" s="856"/>
      <c r="Y59" s="856"/>
      <c r="Z59" s="856"/>
      <c r="AA59" s="856"/>
      <c r="AB59" s="856"/>
      <c r="AC59" s="856"/>
      <c r="AD59" s="856"/>
      <c r="AE59" s="856"/>
      <c r="AF59" s="856"/>
    </row>
    <row r="60" spans="1:32" s="8" customFormat="1" ht="43.5" customHeight="1" x14ac:dyDescent="0.3">
      <c r="A60" s="1083" t="s">
        <v>3645</v>
      </c>
      <c r="B60" s="1083"/>
      <c r="C60" s="1270" t="s">
        <v>4965</v>
      </c>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row>
    <row r="61" spans="1:32" s="8" customFormat="1" x14ac:dyDescent="0.3">
      <c r="A61" s="618"/>
      <c r="B61" s="618"/>
      <c r="C61" s="619"/>
      <c r="D61" s="619"/>
      <c r="E61" s="619"/>
      <c r="F61" s="619"/>
      <c r="G61" s="619"/>
      <c r="H61" s="630"/>
      <c r="I61" s="630"/>
      <c r="J61" s="630"/>
      <c r="K61" s="630"/>
      <c r="L61" s="630"/>
      <c r="M61" s="630"/>
      <c r="N61" s="630"/>
      <c r="O61" s="630"/>
      <c r="P61" s="630"/>
      <c r="Q61" s="630"/>
      <c r="R61" s="630"/>
      <c r="S61" s="630"/>
      <c r="T61" s="630"/>
      <c r="U61" s="630"/>
      <c r="V61" s="619"/>
      <c r="W61" s="619"/>
      <c r="X61" s="619"/>
      <c r="Y61" s="619"/>
      <c r="Z61" s="619"/>
      <c r="AA61" s="619"/>
      <c r="AB61" s="619"/>
      <c r="AC61" s="619"/>
      <c r="AD61" s="619"/>
      <c r="AE61" s="619"/>
      <c r="AF61" s="619"/>
    </row>
    <row r="62" spans="1:32" s="8" customFormat="1" x14ac:dyDescent="0.3">
      <c r="A62" s="618"/>
      <c r="B62" s="618"/>
      <c r="C62" s="276" t="s">
        <v>304</v>
      </c>
      <c r="D62"/>
      <c r="E62"/>
      <c r="F62"/>
      <c r="G62"/>
      <c r="H62" s="1102" t="s">
        <v>4966</v>
      </c>
      <c r="I62" s="1102"/>
      <c r="J62" s="1102"/>
      <c r="K62" s="1102"/>
      <c r="L62" s="1102"/>
      <c r="M62" s="1102"/>
      <c r="N62" s="1102"/>
      <c r="O62" s="1102"/>
      <c r="P62" s="1102"/>
      <c r="Q62" s="1102"/>
      <c r="R62" s="1102"/>
      <c r="S62" s="1102"/>
      <c r="T62" s="1102"/>
      <c r="U62" s="1102"/>
      <c r="V62" s="619"/>
      <c r="W62" s="619"/>
      <c r="X62" s="619"/>
      <c r="Y62" s="619"/>
      <c r="Z62" s="619"/>
      <c r="AA62" s="619"/>
      <c r="AB62" s="619"/>
      <c r="AC62" s="619"/>
      <c r="AD62" s="619"/>
      <c r="AE62" s="619"/>
      <c r="AF62" s="619"/>
    </row>
    <row r="63" spans="1:32" s="8" customFormat="1" x14ac:dyDescent="0.3">
      <c r="A63" s="618"/>
      <c r="B63" s="618"/>
      <c r="C63" s="2558" t="s">
        <v>223</v>
      </c>
      <c r="D63" s="2558"/>
      <c r="E63" s="2558"/>
      <c r="F63" s="2558"/>
      <c r="G63" s="2558"/>
      <c r="H63" s="1124" t="s">
        <v>121</v>
      </c>
      <c r="I63" s="1125"/>
      <c r="J63" s="1125"/>
      <c r="K63" s="1125"/>
      <c r="L63" s="1125"/>
      <c r="M63" s="1125"/>
      <c r="N63" s="1126"/>
      <c r="O63" s="1124" t="s">
        <v>4967</v>
      </c>
      <c r="P63" s="1125"/>
      <c r="Q63" s="1125"/>
      <c r="R63" s="1125"/>
      <c r="S63" s="1125"/>
      <c r="T63" s="1125"/>
      <c r="U63" s="1126"/>
      <c r="V63" s="619"/>
      <c r="W63" s="619"/>
      <c r="X63" s="619"/>
      <c r="Y63" s="619"/>
      <c r="Z63" s="619"/>
      <c r="AA63" s="619"/>
      <c r="AB63" s="619"/>
      <c r="AC63" s="619"/>
      <c r="AD63" s="619"/>
      <c r="AE63" s="619"/>
      <c r="AF63" s="619"/>
    </row>
    <row r="64" spans="1:32" s="1" customFormat="1" x14ac:dyDescent="0.3">
      <c r="A64" s="618"/>
      <c r="B64" s="618"/>
      <c r="C64" s="951" t="s">
        <v>4968</v>
      </c>
      <c r="D64" s="951"/>
      <c r="E64" s="951"/>
      <c r="F64" s="951"/>
      <c r="G64" s="951"/>
      <c r="H64" s="2578">
        <v>0.39333333333333331</v>
      </c>
      <c r="I64" s="2579"/>
      <c r="J64" s="2579"/>
      <c r="K64" s="2579"/>
      <c r="L64" s="2579"/>
      <c r="M64" s="2579"/>
      <c r="N64" s="2580"/>
      <c r="O64" s="2578">
        <v>0.31896551724137973</v>
      </c>
      <c r="P64" s="2579"/>
      <c r="Q64" s="2579"/>
      <c r="R64" s="2579"/>
      <c r="S64" s="2579"/>
      <c r="T64" s="2579"/>
      <c r="U64" s="2580"/>
      <c r="V64" s="619"/>
      <c r="W64" s="619"/>
      <c r="X64" s="619"/>
      <c r="Y64" s="619"/>
      <c r="Z64" s="619"/>
      <c r="AA64" s="619"/>
      <c r="AB64" s="619"/>
      <c r="AC64" s="619"/>
      <c r="AD64" s="619"/>
      <c r="AE64" s="619"/>
      <c r="AF64" s="619"/>
    </row>
    <row r="65" spans="1:32" s="1" customFormat="1" x14ac:dyDescent="0.3">
      <c r="A65" s="618"/>
      <c r="B65" s="618"/>
      <c r="C65" s="951" t="s">
        <v>4969</v>
      </c>
      <c r="D65" s="951"/>
      <c r="E65" s="951"/>
      <c r="F65" s="951"/>
      <c r="G65" s="951"/>
      <c r="H65" s="2578">
        <v>0.35393258426966295</v>
      </c>
      <c r="I65" s="2579"/>
      <c r="J65" s="2579"/>
      <c r="K65" s="2579"/>
      <c r="L65" s="2579"/>
      <c r="M65" s="2579"/>
      <c r="N65" s="2580"/>
      <c r="O65" s="2578">
        <v>0.3227272727272727</v>
      </c>
      <c r="P65" s="2579"/>
      <c r="Q65" s="2579"/>
      <c r="R65" s="2579"/>
      <c r="S65" s="2579"/>
      <c r="T65" s="2579"/>
      <c r="U65" s="2580"/>
      <c r="V65" s="619"/>
      <c r="W65" s="619"/>
      <c r="X65" s="619"/>
      <c r="Y65" s="619"/>
      <c r="Z65" s="619"/>
      <c r="AA65" s="619"/>
      <c r="AB65" s="619"/>
      <c r="AC65" s="619"/>
      <c r="AD65" s="619"/>
      <c r="AE65" s="619"/>
      <c r="AF65" s="619"/>
    </row>
    <row r="66" spans="1:32" x14ac:dyDescent="0.3">
      <c r="A66" s="618"/>
      <c r="B66" s="618"/>
      <c r="C66" s="951" t="s">
        <v>4970</v>
      </c>
      <c r="D66" s="951"/>
      <c r="E66" s="951"/>
      <c r="F66" s="951"/>
      <c r="G66" s="951"/>
      <c r="H66" s="2578">
        <v>0.32905405405405364</v>
      </c>
      <c r="I66" s="2579"/>
      <c r="J66" s="2579"/>
      <c r="K66" s="2579"/>
      <c r="L66" s="2579"/>
      <c r="M66" s="2579"/>
      <c r="N66" s="2580"/>
      <c r="O66" s="2578">
        <v>0.31750000000000012</v>
      </c>
      <c r="P66" s="2579"/>
      <c r="Q66" s="2579"/>
      <c r="R66" s="2579"/>
      <c r="S66" s="2579"/>
      <c r="T66" s="2579"/>
      <c r="U66" s="2580"/>
      <c r="V66" s="619"/>
      <c r="W66" s="619"/>
      <c r="X66" s="619"/>
      <c r="Y66" s="619"/>
      <c r="Z66" s="619"/>
      <c r="AA66" s="619"/>
      <c r="AB66" s="619"/>
      <c r="AC66" s="619"/>
      <c r="AD66" s="619"/>
      <c r="AE66" s="619"/>
      <c r="AF66" s="619"/>
    </row>
    <row r="67" spans="1:32" x14ac:dyDescent="0.3">
      <c r="A67" s="618"/>
      <c r="B67" s="618"/>
      <c r="C67" s="951" t="s">
        <v>4971</v>
      </c>
      <c r="D67" s="951"/>
      <c r="E67" s="951"/>
      <c r="F67" s="951"/>
      <c r="G67" s="951"/>
      <c r="H67" s="2578">
        <v>0.32225913621262442</v>
      </c>
      <c r="I67" s="2579"/>
      <c r="J67" s="2579"/>
      <c r="K67" s="2579"/>
      <c r="L67" s="2579"/>
      <c r="M67" s="2579"/>
      <c r="N67" s="2580"/>
      <c r="O67" s="2578">
        <v>0.30454545454545473</v>
      </c>
      <c r="P67" s="2579"/>
      <c r="Q67" s="2579"/>
      <c r="R67" s="2579"/>
      <c r="S67" s="2579"/>
      <c r="T67" s="2579"/>
      <c r="U67" s="2580"/>
      <c r="V67" s="619"/>
      <c r="W67" s="619"/>
      <c r="X67" s="619"/>
      <c r="Y67" s="619"/>
      <c r="Z67" s="619"/>
      <c r="AA67" s="619"/>
      <c r="AB67" s="619"/>
      <c r="AC67" s="619"/>
      <c r="AD67" s="619"/>
      <c r="AE67" s="619"/>
      <c r="AF67" s="619"/>
    </row>
    <row r="68" spans="1:32" x14ac:dyDescent="0.3">
      <c r="A68" s="618"/>
      <c r="B68" s="618"/>
      <c r="C68" s="951" t="s">
        <v>4972</v>
      </c>
      <c r="D68" s="951"/>
      <c r="E68" s="951"/>
      <c r="F68" s="951"/>
      <c r="G68" s="951"/>
      <c r="H68" s="2578">
        <v>0.33795620437956125</v>
      </c>
      <c r="I68" s="2579"/>
      <c r="J68" s="2579"/>
      <c r="K68" s="2579"/>
      <c r="L68" s="2579"/>
      <c r="M68" s="2579"/>
      <c r="N68" s="2580"/>
      <c r="O68" s="2578">
        <v>0.3</v>
      </c>
      <c r="P68" s="2579"/>
      <c r="Q68" s="2579"/>
      <c r="R68" s="2579"/>
      <c r="S68" s="2579"/>
      <c r="T68" s="2579"/>
      <c r="U68" s="2580"/>
      <c r="V68" s="619"/>
      <c r="W68" s="619"/>
      <c r="X68" s="619"/>
      <c r="Y68" s="619"/>
      <c r="Z68" s="619"/>
      <c r="AA68" s="619"/>
      <c r="AB68" s="619"/>
      <c r="AC68" s="619"/>
      <c r="AD68" s="619"/>
      <c r="AE68" s="619"/>
      <c r="AF68" s="619"/>
    </row>
    <row r="69" spans="1:32" x14ac:dyDescent="0.3">
      <c r="A69" s="618"/>
      <c r="B69" s="618"/>
      <c r="C69" s="951" t="s">
        <v>4973</v>
      </c>
      <c r="D69" s="951"/>
      <c r="E69" s="951"/>
      <c r="F69" s="951"/>
      <c r="G69" s="951"/>
      <c r="H69" s="2578">
        <v>0.33186813186813091</v>
      </c>
      <c r="I69" s="2579"/>
      <c r="J69" s="2579"/>
      <c r="K69" s="2579"/>
      <c r="L69" s="2579"/>
      <c r="M69" s="2579"/>
      <c r="N69" s="2580"/>
      <c r="O69" s="2578">
        <v>0.32083333333333358</v>
      </c>
      <c r="P69" s="2579"/>
      <c r="Q69" s="2579"/>
      <c r="R69" s="2579"/>
      <c r="S69" s="2579"/>
      <c r="T69" s="2579"/>
      <c r="U69" s="2580"/>
      <c r="V69" s="619"/>
      <c r="W69" s="619"/>
      <c r="X69" s="619"/>
      <c r="Y69" s="619"/>
      <c r="Z69" s="619"/>
      <c r="AA69" s="619"/>
      <c r="AB69" s="619"/>
      <c r="AC69" s="619"/>
      <c r="AD69" s="619"/>
      <c r="AE69" s="619"/>
      <c r="AF69" s="619"/>
    </row>
    <row r="70" spans="1:32" x14ac:dyDescent="0.3">
      <c r="A70" s="618"/>
      <c r="B70" s="618"/>
      <c r="C70" s="951" t="s">
        <v>4974</v>
      </c>
      <c r="D70" s="951"/>
      <c r="E70" s="951"/>
      <c r="F70" s="951"/>
      <c r="G70" s="951"/>
      <c r="H70" s="2578">
        <v>0.30682730923694801</v>
      </c>
      <c r="I70" s="2579"/>
      <c r="J70" s="2579"/>
      <c r="K70" s="2579"/>
      <c r="L70" s="2579"/>
      <c r="M70" s="2579"/>
      <c r="N70" s="2580"/>
      <c r="O70" s="2578">
        <v>0.29870129870129902</v>
      </c>
      <c r="P70" s="2579"/>
      <c r="Q70" s="2579"/>
      <c r="R70" s="2579"/>
      <c r="S70" s="2579"/>
      <c r="T70" s="2579"/>
      <c r="U70" s="2580"/>
      <c r="V70" s="619"/>
      <c r="W70" s="619"/>
      <c r="X70" s="619"/>
      <c r="Y70" s="619"/>
      <c r="Z70" s="619"/>
      <c r="AA70" s="619"/>
      <c r="AB70" s="619"/>
      <c r="AC70" s="619"/>
      <c r="AD70" s="619"/>
      <c r="AE70" s="619"/>
      <c r="AF70" s="619"/>
    </row>
    <row r="71" spans="1:32" x14ac:dyDescent="0.3">
      <c r="A71" s="618"/>
      <c r="B71" s="618"/>
      <c r="C71" s="951" t="s">
        <v>4975</v>
      </c>
      <c r="D71" s="951"/>
      <c r="E71" s="951"/>
      <c r="F71" s="951"/>
      <c r="G71" s="951"/>
      <c r="H71" s="2578">
        <v>0.29863945578231332</v>
      </c>
      <c r="I71" s="2579"/>
      <c r="J71" s="2579"/>
      <c r="K71" s="2579"/>
      <c r="L71" s="2579"/>
      <c r="M71" s="2579"/>
      <c r="N71" s="2580"/>
      <c r="O71" s="2578">
        <v>0.30925925925925946</v>
      </c>
      <c r="P71" s="2579"/>
      <c r="Q71" s="2579"/>
      <c r="R71" s="2579"/>
      <c r="S71" s="2579"/>
      <c r="T71" s="2579"/>
      <c r="U71" s="2580"/>
      <c r="V71" s="619"/>
      <c r="W71" s="619"/>
      <c r="X71" s="619"/>
      <c r="Y71" s="619"/>
      <c r="Z71" s="619"/>
      <c r="AA71" s="619"/>
      <c r="AB71" s="619"/>
      <c r="AC71" s="619"/>
      <c r="AD71" s="619"/>
      <c r="AE71" s="619"/>
      <c r="AF71" s="619"/>
    </row>
    <row r="72" spans="1:32" x14ac:dyDescent="0.3">
      <c r="A72" s="618"/>
      <c r="B72" s="618"/>
      <c r="C72" s="951" t="s">
        <v>4976</v>
      </c>
      <c r="D72" s="951"/>
      <c r="E72" s="951"/>
      <c r="F72" s="951"/>
      <c r="G72" s="951"/>
      <c r="H72" s="2578">
        <v>0.29679487179487168</v>
      </c>
      <c r="I72" s="2579"/>
      <c r="J72" s="2579"/>
      <c r="K72" s="2579"/>
      <c r="L72" s="2579"/>
      <c r="M72" s="2579"/>
      <c r="N72" s="2580"/>
      <c r="O72" s="2578">
        <v>0.2491525423728814</v>
      </c>
      <c r="P72" s="2579"/>
      <c r="Q72" s="2579"/>
      <c r="R72" s="2579"/>
      <c r="S72" s="2579"/>
      <c r="T72" s="2579"/>
      <c r="U72" s="2580"/>
      <c r="V72" s="619"/>
      <c r="W72" s="619"/>
      <c r="X72" s="619"/>
      <c r="Y72" s="619"/>
      <c r="Z72" s="619"/>
      <c r="AA72" s="619"/>
      <c r="AB72" s="619"/>
      <c r="AC72" s="619"/>
      <c r="AD72" s="619"/>
      <c r="AE72" s="619"/>
      <c r="AF72" s="619"/>
    </row>
    <row r="73" spans="1:32" x14ac:dyDescent="0.3">
      <c r="A73" s="618"/>
      <c r="B73" s="618"/>
      <c r="C73" s="951" t="s">
        <v>4977</v>
      </c>
      <c r="D73" s="951"/>
      <c r="E73" s="951"/>
      <c r="F73" s="951"/>
      <c r="G73" s="951"/>
      <c r="H73" s="2578">
        <v>0.30517241379310328</v>
      </c>
      <c r="I73" s="2579"/>
      <c r="J73" s="2579"/>
      <c r="K73" s="2579"/>
      <c r="L73" s="2579"/>
      <c r="M73" s="2579"/>
      <c r="N73" s="2580"/>
      <c r="O73" s="2578">
        <v>0.28000000000000003</v>
      </c>
      <c r="P73" s="2579"/>
      <c r="Q73" s="2579"/>
      <c r="R73" s="2579"/>
      <c r="S73" s="2579"/>
      <c r="T73" s="2579"/>
      <c r="U73" s="2580"/>
      <c r="V73" s="619"/>
      <c r="W73" s="619"/>
      <c r="X73" s="619"/>
      <c r="Y73" s="619"/>
      <c r="Z73" s="619"/>
      <c r="AA73" s="619"/>
      <c r="AB73" s="619"/>
      <c r="AC73" s="619"/>
      <c r="AD73" s="619"/>
      <c r="AE73" s="619"/>
      <c r="AF73" s="619"/>
    </row>
    <row r="74" spans="1:32" x14ac:dyDescent="0.3">
      <c r="A74" s="618"/>
      <c r="B74" s="618"/>
      <c r="C74" s="951" t="s">
        <v>4978</v>
      </c>
      <c r="D74" s="951"/>
      <c r="E74" s="951"/>
      <c r="F74" s="951"/>
      <c r="G74" s="951"/>
      <c r="H74" s="2578">
        <v>0.33132530120481929</v>
      </c>
      <c r="I74" s="2579"/>
      <c r="J74" s="2579"/>
      <c r="K74" s="2579"/>
      <c r="L74" s="2579"/>
      <c r="M74" s="2579"/>
      <c r="N74" s="2580"/>
      <c r="O74" s="2578">
        <v>0.24411764705882349</v>
      </c>
      <c r="P74" s="2579"/>
      <c r="Q74" s="2579"/>
      <c r="R74" s="2579"/>
      <c r="S74" s="2579"/>
      <c r="T74" s="2579"/>
      <c r="U74" s="2580"/>
      <c r="V74" s="619"/>
      <c r="W74" s="619"/>
      <c r="X74" s="619"/>
      <c r="Y74" s="619"/>
      <c r="Z74" s="619"/>
      <c r="AA74" s="619"/>
      <c r="AB74" s="619"/>
      <c r="AC74" s="619"/>
      <c r="AD74" s="619"/>
      <c r="AE74" s="619"/>
      <c r="AF74" s="619"/>
    </row>
    <row r="75" spans="1:32" ht="43.5" customHeight="1" x14ac:dyDescent="0.3">
      <c r="A75" s="618"/>
      <c r="B75" s="618"/>
      <c r="C75" s="1082" t="s">
        <v>4979</v>
      </c>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1082"/>
      <c r="AD75" s="1082"/>
      <c r="AE75" s="1082"/>
      <c r="AF75" s="1082"/>
    </row>
    <row r="76" spans="1:32" x14ac:dyDescent="0.3">
      <c r="A76" s="618"/>
      <c r="B76" s="618"/>
      <c r="C76" s="31"/>
      <c r="D76" s="31"/>
      <c r="E76" s="31"/>
      <c r="F76" s="619"/>
      <c r="G76" s="619"/>
      <c r="H76" s="619"/>
      <c r="I76" s="619"/>
      <c r="J76" s="619"/>
      <c r="K76" s="619"/>
      <c r="L76" s="619"/>
      <c r="M76" s="619"/>
      <c r="N76" s="619"/>
      <c r="O76" s="619"/>
      <c r="P76" s="619"/>
      <c r="Q76" s="619"/>
      <c r="R76" s="619"/>
      <c r="S76" s="619"/>
      <c r="T76" s="619"/>
      <c r="U76" s="619"/>
      <c r="V76" s="619"/>
      <c r="W76" s="619"/>
      <c r="X76" s="619"/>
      <c r="Y76" s="619"/>
      <c r="Z76" s="619"/>
      <c r="AA76" s="619"/>
      <c r="AB76" s="619"/>
      <c r="AC76" s="619"/>
      <c r="AD76" s="619"/>
      <c r="AE76" s="619"/>
      <c r="AF76" s="619"/>
    </row>
    <row r="77" spans="1:32" x14ac:dyDescent="0.3">
      <c r="A77" s="618"/>
      <c r="B77" s="618"/>
      <c r="C77" s="276" t="s">
        <v>4370</v>
      </c>
      <c r="H77" s="1102" t="s">
        <v>4980</v>
      </c>
      <c r="I77" s="1102"/>
      <c r="J77" s="1102"/>
      <c r="K77" s="1102"/>
      <c r="L77" s="1102"/>
      <c r="M77" s="1102"/>
      <c r="N77" s="1102"/>
      <c r="O77" s="1102"/>
      <c r="P77" s="1102"/>
      <c r="Q77" s="1102"/>
      <c r="R77" s="1102"/>
      <c r="S77" s="1102"/>
      <c r="T77" s="1102"/>
      <c r="U77" s="1102"/>
      <c r="V77" s="619"/>
      <c r="W77" s="619"/>
      <c r="X77" s="619"/>
      <c r="Y77" s="619"/>
      <c r="Z77" s="619"/>
      <c r="AA77" s="619"/>
      <c r="AB77" s="619"/>
      <c r="AC77" s="619"/>
      <c r="AD77" s="619"/>
      <c r="AE77" s="619"/>
      <c r="AF77" s="619"/>
    </row>
    <row r="78" spans="1:32" x14ac:dyDescent="0.3">
      <c r="A78" s="618"/>
      <c r="B78" s="618"/>
      <c r="C78" s="2558" t="s">
        <v>223</v>
      </c>
      <c r="D78" s="2558"/>
      <c r="E78" s="2558"/>
      <c r="F78" s="2558"/>
      <c r="G78" s="2558"/>
      <c r="H78" s="1124" t="s">
        <v>121</v>
      </c>
      <c r="I78" s="1125"/>
      <c r="J78" s="1125"/>
      <c r="K78" s="1125"/>
      <c r="L78" s="1125"/>
      <c r="M78" s="1125"/>
      <c r="N78" s="1126"/>
      <c r="O78" s="1124" t="s">
        <v>4967</v>
      </c>
      <c r="P78" s="1125"/>
      <c r="Q78" s="1125"/>
      <c r="R78" s="1125"/>
      <c r="S78" s="1125"/>
      <c r="T78" s="1125"/>
      <c r="U78" s="1126"/>
      <c r="V78" s="619"/>
      <c r="W78" s="619"/>
      <c r="X78" s="619"/>
      <c r="Y78" s="619"/>
      <c r="Z78" s="619"/>
      <c r="AA78" s="619"/>
      <c r="AB78" s="619"/>
      <c r="AC78" s="619"/>
      <c r="AD78" s="619"/>
      <c r="AE78" s="619"/>
      <c r="AF78" s="619"/>
    </row>
    <row r="79" spans="1:32" x14ac:dyDescent="0.3">
      <c r="A79" s="618"/>
      <c r="B79" s="618"/>
      <c r="C79" s="951" t="s">
        <v>4968</v>
      </c>
      <c r="D79" s="951"/>
      <c r="E79" s="951"/>
      <c r="F79" s="951"/>
      <c r="G79" s="951"/>
      <c r="H79" s="2578">
        <v>22.953333333333333</v>
      </c>
      <c r="I79" s="2579"/>
      <c r="J79" s="2579"/>
      <c r="K79" s="2579"/>
      <c r="L79" s="2579"/>
      <c r="M79" s="2579"/>
      <c r="N79" s="2580"/>
      <c r="O79" s="2578">
        <v>18.192611988911537</v>
      </c>
      <c r="P79" s="2579"/>
      <c r="Q79" s="2579"/>
      <c r="R79" s="2579"/>
      <c r="S79" s="2579"/>
      <c r="T79" s="2579"/>
      <c r="U79" s="2580"/>
      <c r="V79" s="619"/>
      <c r="W79" s="619"/>
      <c r="X79" s="619"/>
      <c r="Y79" s="619"/>
      <c r="Z79" s="619"/>
      <c r="AA79" s="619"/>
      <c r="AB79" s="619"/>
      <c r="AC79" s="619"/>
      <c r="AD79" s="619"/>
      <c r="AE79" s="619"/>
      <c r="AF79" s="619"/>
    </row>
    <row r="80" spans="1:32" x14ac:dyDescent="0.3">
      <c r="A80" s="618"/>
      <c r="B80" s="618"/>
      <c r="C80" s="951" t="s">
        <v>4969</v>
      </c>
      <c r="D80" s="951"/>
      <c r="E80" s="951"/>
      <c r="F80" s="951"/>
      <c r="G80" s="951"/>
      <c r="H80" s="2578">
        <v>25.084269662921354</v>
      </c>
      <c r="I80" s="2579"/>
      <c r="J80" s="2579"/>
      <c r="K80" s="2579"/>
      <c r="L80" s="2579"/>
      <c r="M80" s="2579"/>
      <c r="N80" s="2580"/>
      <c r="O80" s="2578">
        <v>18.877944388515829</v>
      </c>
      <c r="P80" s="2579"/>
      <c r="Q80" s="2579"/>
      <c r="R80" s="2579"/>
      <c r="S80" s="2579"/>
      <c r="T80" s="2579"/>
      <c r="U80" s="2580"/>
      <c r="V80" s="619"/>
      <c r="W80" s="619"/>
      <c r="X80" s="619"/>
      <c r="Y80" s="619"/>
      <c r="Z80" s="619"/>
      <c r="AA80" s="619"/>
      <c r="AB80" s="619"/>
      <c r="AC80" s="619"/>
      <c r="AD80" s="619"/>
      <c r="AE80" s="619"/>
      <c r="AF80" s="619"/>
    </row>
    <row r="81" spans="1:32" x14ac:dyDescent="0.3">
      <c r="A81" s="618"/>
      <c r="B81" s="618"/>
      <c r="C81" s="951" t="s">
        <v>4970</v>
      </c>
      <c r="D81" s="951"/>
      <c r="E81" s="951"/>
      <c r="F81" s="951"/>
      <c r="G81" s="951"/>
      <c r="H81" s="2578">
        <v>28.63581081081081</v>
      </c>
      <c r="I81" s="2579"/>
      <c r="J81" s="2579"/>
      <c r="K81" s="2579"/>
      <c r="L81" s="2579"/>
      <c r="M81" s="2579"/>
      <c r="N81" s="2580"/>
      <c r="O81" s="2578">
        <v>21.128698034447918</v>
      </c>
      <c r="P81" s="2579"/>
      <c r="Q81" s="2579"/>
      <c r="R81" s="2579"/>
      <c r="S81" s="2579"/>
      <c r="T81" s="2579"/>
      <c r="U81" s="2580"/>
      <c r="V81" s="619"/>
      <c r="W81" s="619"/>
      <c r="X81" s="619"/>
      <c r="Y81" s="619"/>
      <c r="Z81" s="619"/>
      <c r="AA81" s="619"/>
      <c r="AB81" s="619"/>
      <c r="AC81" s="619"/>
      <c r="AD81" s="619"/>
      <c r="AE81" s="619"/>
      <c r="AF81" s="619"/>
    </row>
    <row r="82" spans="1:32" x14ac:dyDescent="0.3">
      <c r="A82" s="618"/>
      <c r="B82" s="618"/>
      <c r="C82" s="951" t="s">
        <v>4971</v>
      </c>
      <c r="D82" s="951"/>
      <c r="E82" s="951"/>
      <c r="F82" s="951"/>
      <c r="G82" s="951"/>
      <c r="H82" s="2578">
        <v>34.728239202657761</v>
      </c>
      <c r="I82" s="2579"/>
      <c r="J82" s="2579"/>
      <c r="K82" s="2579"/>
      <c r="L82" s="2579"/>
      <c r="M82" s="2579"/>
      <c r="N82" s="2580"/>
      <c r="O82" s="2578">
        <v>26.475705782022224</v>
      </c>
      <c r="P82" s="2579"/>
      <c r="Q82" s="2579"/>
      <c r="R82" s="2579"/>
      <c r="S82" s="2579"/>
      <c r="T82" s="2579"/>
      <c r="U82" s="2580"/>
      <c r="V82" s="619"/>
      <c r="W82" s="619"/>
      <c r="X82" s="619"/>
      <c r="Y82" s="619"/>
      <c r="Z82" s="619"/>
      <c r="AA82" s="619"/>
      <c r="AB82" s="619"/>
      <c r="AC82" s="619"/>
      <c r="AD82" s="619"/>
      <c r="AE82" s="619"/>
      <c r="AF82" s="619"/>
    </row>
    <row r="83" spans="1:32" x14ac:dyDescent="0.3">
      <c r="A83" s="618"/>
      <c r="B83" s="618"/>
      <c r="C83" s="951" t="s">
        <v>4972</v>
      </c>
      <c r="D83" s="951"/>
      <c r="E83" s="951"/>
      <c r="F83" s="951"/>
      <c r="G83" s="951"/>
      <c r="H83" s="2578">
        <v>45.561313868613063</v>
      </c>
      <c r="I83" s="2579"/>
      <c r="J83" s="2579"/>
      <c r="K83" s="2579"/>
      <c r="L83" s="2579"/>
      <c r="M83" s="2579"/>
      <c r="N83" s="2580"/>
      <c r="O83" s="2578">
        <v>31.72244684994341</v>
      </c>
      <c r="P83" s="2579"/>
      <c r="Q83" s="2579"/>
      <c r="R83" s="2579"/>
      <c r="S83" s="2579"/>
      <c r="T83" s="2579"/>
      <c r="U83" s="2580"/>
      <c r="V83" s="619"/>
      <c r="W83" s="619"/>
      <c r="X83" s="619"/>
      <c r="Y83" s="619"/>
      <c r="Z83" s="619"/>
      <c r="AA83" s="619"/>
      <c r="AB83" s="619"/>
      <c r="AC83" s="619"/>
      <c r="AD83" s="619"/>
      <c r="AE83" s="619"/>
      <c r="AF83" s="619"/>
    </row>
    <row r="84" spans="1:32" x14ac:dyDescent="0.3">
      <c r="A84" s="618"/>
      <c r="B84" s="618"/>
      <c r="C84" s="951" t="s">
        <v>4973</v>
      </c>
      <c r="D84" s="951"/>
      <c r="E84" s="951"/>
      <c r="F84" s="951"/>
      <c r="G84" s="951"/>
      <c r="H84" s="2578">
        <v>53.8175824175825</v>
      </c>
      <c r="I84" s="2579"/>
      <c r="J84" s="2579"/>
      <c r="K84" s="2579"/>
      <c r="L84" s="2579"/>
      <c r="M84" s="2579"/>
      <c r="N84" s="2580"/>
      <c r="O84" s="2578">
        <v>37.572868318660518</v>
      </c>
      <c r="P84" s="2579"/>
      <c r="Q84" s="2579"/>
      <c r="R84" s="2579"/>
      <c r="S84" s="2579"/>
      <c r="T84" s="2579"/>
      <c r="U84" s="2580"/>
      <c r="V84" s="619"/>
      <c r="W84" s="619"/>
      <c r="X84" s="619"/>
      <c r="Y84" s="619"/>
      <c r="Z84" s="619"/>
      <c r="AA84" s="619"/>
      <c r="AB84" s="619"/>
      <c r="AC84" s="619"/>
      <c r="AD84" s="619"/>
      <c r="AE84" s="619"/>
      <c r="AF84" s="619"/>
    </row>
    <row r="85" spans="1:32" x14ac:dyDescent="0.3">
      <c r="A85" s="618"/>
      <c r="B85" s="618"/>
      <c r="C85" s="951" t="s">
        <v>4974</v>
      </c>
      <c r="D85" s="951"/>
      <c r="E85" s="951"/>
      <c r="F85" s="951"/>
      <c r="G85" s="951"/>
      <c r="H85" s="2578">
        <v>68.936947791164656</v>
      </c>
      <c r="I85" s="2579"/>
      <c r="J85" s="2579"/>
      <c r="K85" s="2579"/>
      <c r="L85" s="2579"/>
      <c r="M85" s="2579"/>
      <c r="N85" s="2580"/>
      <c r="O85" s="2578">
        <v>43.869034121527292</v>
      </c>
      <c r="P85" s="2579"/>
      <c r="Q85" s="2579"/>
      <c r="R85" s="2579"/>
      <c r="S85" s="2579"/>
      <c r="T85" s="2579"/>
      <c r="U85" s="2580"/>
      <c r="V85" s="619"/>
      <c r="W85" s="619"/>
      <c r="X85" s="619"/>
      <c r="Y85" s="619"/>
      <c r="Z85" s="619"/>
      <c r="AA85" s="619"/>
      <c r="AB85" s="619"/>
      <c r="AC85" s="619"/>
      <c r="AD85" s="619"/>
      <c r="AE85" s="619"/>
      <c r="AF85" s="619"/>
    </row>
    <row r="86" spans="1:32" x14ac:dyDescent="0.3">
      <c r="A86" s="618"/>
      <c r="B86" s="618"/>
      <c r="C86" s="951" t="s">
        <v>4975</v>
      </c>
      <c r="D86" s="951"/>
      <c r="E86" s="951"/>
      <c r="F86" s="951"/>
      <c r="G86" s="951"/>
      <c r="H86" s="2578">
        <v>73.913605442176859</v>
      </c>
      <c r="I86" s="2579"/>
      <c r="J86" s="2579"/>
      <c r="K86" s="2579"/>
      <c r="L86" s="2579"/>
      <c r="M86" s="2579"/>
      <c r="N86" s="2580"/>
      <c r="O86" s="2578">
        <v>50.407234404745473</v>
      </c>
      <c r="P86" s="2579"/>
      <c r="Q86" s="2579"/>
      <c r="R86" s="2579"/>
      <c r="S86" s="2579"/>
      <c r="T86" s="2579"/>
      <c r="U86" s="2580"/>
      <c r="V86" s="619"/>
      <c r="W86" s="619"/>
      <c r="X86" s="619"/>
      <c r="Y86" s="619"/>
      <c r="Z86" s="619"/>
      <c r="AA86" s="619"/>
      <c r="AB86" s="619"/>
      <c r="AC86" s="619"/>
      <c r="AD86" s="619"/>
      <c r="AE86" s="619"/>
      <c r="AF86" s="619"/>
    </row>
    <row r="87" spans="1:32" x14ac:dyDescent="0.3">
      <c r="A87" s="618"/>
      <c r="B87" s="618"/>
      <c r="C87" s="951" t="s">
        <v>4976</v>
      </c>
      <c r="D87" s="951"/>
      <c r="E87" s="951"/>
      <c r="F87" s="951"/>
      <c r="G87" s="951"/>
      <c r="H87" s="2578">
        <v>87.362179487179446</v>
      </c>
      <c r="I87" s="2579"/>
      <c r="J87" s="2579"/>
      <c r="K87" s="2579"/>
      <c r="L87" s="2579"/>
      <c r="M87" s="2579"/>
      <c r="N87" s="2580"/>
      <c r="O87" s="2578">
        <v>56.950525340345465</v>
      </c>
      <c r="P87" s="2579"/>
      <c r="Q87" s="2579"/>
      <c r="R87" s="2579"/>
      <c r="S87" s="2579"/>
      <c r="T87" s="2579"/>
      <c r="U87" s="2580"/>
      <c r="V87" s="619"/>
      <c r="W87" s="619"/>
      <c r="X87" s="619"/>
      <c r="Y87" s="619"/>
      <c r="Z87" s="619"/>
      <c r="AA87" s="619"/>
      <c r="AB87" s="619"/>
      <c r="AC87" s="619"/>
      <c r="AD87" s="619"/>
      <c r="AE87" s="619"/>
      <c r="AF87" s="619"/>
    </row>
    <row r="88" spans="1:32" x14ac:dyDescent="0.3">
      <c r="A88" s="618"/>
      <c r="B88" s="618"/>
      <c r="C88" s="951" t="s">
        <v>4977</v>
      </c>
      <c r="D88" s="951"/>
      <c r="E88" s="951"/>
      <c r="F88" s="951"/>
      <c r="G88" s="951"/>
      <c r="H88" s="2578">
        <v>87.674137931034451</v>
      </c>
      <c r="I88" s="2579"/>
      <c r="J88" s="2579"/>
      <c r="K88" s="2579"/>
      <c r="L88" s="2579"/>
      <c r="M88" s="2579"/>
      <c r="N88" s="2580"/>
      <c r="O88" s="2578">
        <v>63.25198197164125</v>
      </c>
      <c r="P88" s="2579"/>
      <c r="Q88" s="2579"/>
      <c r="R88" s="2579"/>
      <c r="S88" s="2579"/>
      <c r="T88" s="2579"/>
      <c r="U88" s="2580"/>
      <c r="V88" s="619"/>
      <c r="W88" s="619"/>
      <c r="X88" s="619"/>
      <c r="Y88" s="619"/>
      <c r="Z88" s="619"/>
      <c r="AA88" s="619"/>
      <c r="AB88" s="619"/>
      <c r="AC88" s="619"/>
      <c r="AD88" s="619"/>
      <c r="AE88" s="619"/>
      <c r="AF88" s="619"/>
    </row>
    <row r="89" spans="1:32" x14ac:dyDescent="0.3">
      <c r="A89" s="618"/>
      <c r="B89" s="618"/>
      <c r="C89" s="951" t="s">
        <v>4978</v>
      </c>
      <c r="D89" s="951"/>
      <c r="E89" s="951"/>
      <c r="F89" s="951"/>
      <c r="G89" s="951"/>
      <c r="H89" s="2578">
        <v>160.34096385542168</v>
      </c>
      <c r="I89" s="2579"/>
      <c r="J89" s="2579"/>
      <c r="K89" s="2579"/>
      <c r="L89" s="2579"/>
      <c r="M89" s="2579"/>
      <c r="N89" s="2580"/>
      <c r="O89" s="2578">
        <v>69.084603722630504</v>
      </c>
      <c r="P89" s="2579"/>
      <c r="Q89" s="2579"/>
      <c r="R89" s="2579"/>
      <c r="S89" s="2579"/>
      <c r="T89" s="2579"/>
      <c r="U89" s="2580"/>
      <c r="V89" s="619"/>
      <c r="W89" s="619"/>
      <c r="X89" s="619"/>
      <c r="Y89" s="619"/>
      <c r="Z89" s="619"/>
      <c r="AA89" s="619"/>
      <c r="AB89" s="619"/>
      <c r="AC89" s="619"/>
      <c r="AD89" s="619"/>
      <c r="AE89" s="619"/>
      <c r="AF89" s="619"/>
    </row>
    <row r="90" spans="1:32" ht="78" customHeight="1" x14ac:dyDescent="0.3">
      <c r="A90" s="618"/>
      <c r="B90" s="618"/>
      <c r="C90" s="1082" t="s">
        <v>4981</v>
      </c>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c r="AA90" s="1082"/>
      <c r="AB90" s="1082"/>
      <c r="AC90" s="1082"/>
      <c r="AD90" s="1082"/>
      <c r="AE90" s="1082"/>
      <c r="AF90" s="1082"/>
    </row>
    <row r="91" spans="1:32" x14ac:dyDescent="0.3">
      <c r="A91" s="618"/>
      <c r="B91" s="618"/>
      <c r="C91" s="31"/>
      <c r="D91" s="31"/>
      <c r="E91" s="619"/>
      <c r="F91" s="619"/>
      <c r="G91" s="619"/>
      <c r="H91" s="619"/>
      <c r="I91" s="619"/>
      <c r="J91" s="619"/>
      <c r="K91" s="619"/>
      <c r="L91" s="619"/>
      <c r="M91" s="619"/>
      <c r="N91" s="619"/>
      <c r="O91" s="619"/>
      <c r="P91" s="619"/>
      <c r="Q91" s="619"/>
      <c r="R91" s="619"/>
      <c r="S91" s="619"/>
      <c r="T91" s="619"/>
      <c r="U91" s="619"/>
      <c r="V91" s="619"/>
      <c r="W91" s="619"/>
      <c r="X91" s="619"/>
      <c r="Y91" s="619"/>
      <c r="Z91" s="619"/>
      <c r="AA91" s="619"/>
      <c r="AB91" s="619"/>
      <c r="AC91" s="619"/>
      <c r="AD91" s="619"/>
      <c r="AE91" s="619"/>
      <c r="AF91" s="619"/>
    </row>
    <row r="92" spans="1:32" ht="18" x14ac:dyDescent="0.35">
      <c r="A92" s="24"/>
      <c r="C92" s="276" t="s">
        <v>4982</v>
      </c>
      <c r="H92" s="1102" t="s">
        <v>4393</v>
      </c>
      <c r="I92" s="1102"/>
      <c r="J92" s="1102"/>
      <c r="K92" s="1102"/>
      <c r="L92" s="1102"/>
      <c r="M92" s="1102"/>
      <c r="N92" s="1102"/>
      <c r="O92" s="1102"/>
      <c r="P92" s="1102"/>
      <c r="Q92" s="1102"/>
      <c r="R92" s="1102"/>
      <c r="S92" s="1102"/>
      <c r="T92" s="1102"/>
      <c r="U92" s="1102"/>
    </row>
    <row r="93" spans="1:32" x14ac:dyDescent="0.3">
      <c r="A93" s="143"/>
      <c r="B93" s="8"/>
      <c r="C93" s="2558" t="s">
        <v>223</v>
      </c>
      <c r="D93" s="2558"/>
      <c r="E93" s="2558"/>
      <c r="F93" s="2558"/>
      <c r="G93" s="2558"/>
      <c r="H93" s="631" t="s">
        <v>4983</v>
      </c>
      <c r="I93" s="616"/>
      <c r="J93" s="631"/>
      <c r="K93" s="616"/>
      <c r="L93" s="616"/>
      <c r="M93" s="615"/>
      <c r="N93" s="615"/>
      <c r="O93" s="1124" t="s">
        <v>4984</v>
      </c>
      <c r="P93" s="1125"/>
      <c r="Q93" s="1125"/>
      <c r="R93" s="1125"/>
      <c r="S93" s="1125"/>
      <c r="T93" s="1125"/>
      <c r="U93" s="1126"/>
      <c r="V93" s="8"/>
      <c r="W93" s="8"/>
      <c r="X93" s="8"/>
      <c r="Y93" s="8"/>
      <c r="Z93" s="8"/>
      <c r="AA93" s="8"/>
      <c r="AB93" s="8"/>
      <c r="AC93" s="8"/>
      <c r="AD93" s="8"/>
      <c r="AE93" s="8"/>
      <c r="AF93" s="8"/>
    </row>
    <row r="94" spans="1:32" x14ac:dyDescent="0.3">
      <c r="A94" s="8"/>
      <c r="B94" s="8"/>
      <c r="C94" s="951" t="s">
        <v>4968</v>
      </c>
      <c r="D94" s="951"/>
      <c r="E94" s="951"/>
      <c r="F94" s="951"/>
      <c r="G94" s="951"/>
      <c r="H94" s="2578">
        <f t="shared" ref="H94:H104" si="0">(H79-O79)/1000*$Q$57*365+(H64-O64)/1000*$Q$58*365</f>
        <v>9.2040572581674756</v>
      </c>
      <c r="I94" s="2579"/>
      <c r="J94" s="2579"/>
      <c r="K94" s="2579"/>
      <c r="L94" s="2579"/>
      <c r="M94" s="2579"/>
      <c r="N94" s="2580"/>
      <c r="O94" s="2578">
        <f t="shared" ref="O94:O104" si="1">(H79-O79)*1.5/1000*$Q$57*365+(H64-O64)*1.5/1000*$Q$58*365</f>
        <v>13.806085887251212</v>
      </c>
      <c r="P94" s="2579"/>
      <c r="Q94" s="2579"/>
      <c r="R94" s="2579"/>
      <c r="S94" s="2579"/>
      <c r="T94" s="2579"/>
      <c r="U94" s="2580"/>
      <c r="V94" s="8"/>
      <c r="W94" s="8"/>
      <c r="X94" s="8"/>
      <c r="Y94" s="8"/>
      <c r="Z94" s="8"/>
      <c r="AA94" s="8"/>
      <c r="AB94" s="8"/>
      <c r="AC94" s="8"/>
      <c r="AD94" s="8"/>
      <c r="AE94" s="8"/>
      <c r="AF94" s="8"/>
    </row>
    <row r="95" spans="1:32" x14ac:dyDescent="0.3">
      <c r="A95" s="8"/>
      <c r="B95" s="8"/>
      <c r="C95" s="951" t="s">
        <v>4969</v>
      </c>
      <c r="D95" s="951"/>
      <c r="E95" s="951"/>
      <c r="F95" s="951"/>
      <c r="G95" s="951"/>
      <c r="H95" s="2578">
        <f t="shared" si="0"/>
        <v>11.54295246133656</v>
      </c>
      <c r="I95" s="2579"/>
      <c r="J95" s="2579"/>
      <c r="K95" s="2579"/>
      <c r="L95" s="2579"/>
      <c r="M95" s="2579"/>
      <c r="N95" s="2580"/>
      <c r="O95" s="2578">
        <f t="shared" si="1"/>
        <v>17.314428692004842</v>
      </c>
      <c r="P95" s="2579"/>
      <c r="Q95" s="2579"/>
      <c r="R95" s="2579"/>
      <c r="S95" s="2579"/>
      <c r="T95" s="2579"/>
      <c r="U95" s="2580"/>
      <c r="V95" s="8"/>
      <c r="W95" s="8"/>
      <c r="X95" s="8"/>
      <c r="Y95" s="8"/>
      <c r="Z95" s="8"/>
      <c r="AA95" s="8"/>
      <c r="AB95" s="8"/>
      <c r="AC95" s="8"/>
      <c r="AD95" s="8"/>
      <c r="AE95" s="8"/>
      <c r="AF95" s="8"/>
    </row>
    <row r="96" spans="1:32" x14ac:dyDescent="0.3">
      <c r="A96" s="8"/>
      <c r="B96" s="8"/>
      <c r="C96" s="951" t="s">
        <v>4970</v>
      </c>
      <c r="D96" s="951"/>
      <c r="E96" s="951"/>
      <c r="F96" s="951"/>
      <c r="G96" s="951"/>
      <c r="H96" s="2578">
        <f t="shared" si="0"/>
        <v>13.780608181727137</v>
      </c>
      <c r="I96" s="2579"/>
      <c r="J96" s="2579"/>
      <c r="K96" s="2579"/>
      <c r="L96" s="2579"/>
      <c r="M96" s="2579"/>
      <c r="N96" s="2580"/>
      <c r="O96" s="2578">
        <f t="shared" si="1"/>
        <v>20.670912272590709</v>
      </c>
      <c r="P96" s="2579"/>
      <c r="Q96" s="2579"/>
      <c r="R96" s="2579"/>
      <c r="S96" s="2579"/>
      <c r="T96" s="2579"/>
      <c r="U96" s="2580"/>
      <c r="V96" s="8"/>
      <c r="W96" s="8"/>
      <c r="X96" s="8"/>
      <c r="Y96" s="8"/>
      <c r="Z96" s="8"/>
      <c r="AA96" s="8"/>
      <c r="AB96" s="8"/>
      <c r="AC96" s="8"/>
      <c r="AD96" s="8"/>
      <c r="AE96" s="8"/>
      <c r="AF96" s="8"/>
    </row>
    <row r="97" spans="1:32" x14ac:dyDescent="0.3">
      <c r="A97" s="8"/>
      <c r="B97" s="8"/>
      <c r="C97" s="951" t="s">
        <v>4971</v>
      </c>
      <c r="D97" s="951"/>
      <c r="E97" s="951"/>
      <c r="F97" s="951"/>
      <c r="G97" s="951"/>
      <c r="H97" s="2578">
        <f t="shared" si="0"/>
        <v>15.183717875021673</v>
      </c>
      <c r="I97" s="2579"/>
      <c r="J97" s="2579"/>
      <c r="K97" s="2579"/>
      <c r="L97" s="2579"/>
      <c r="M97" s="2579"/>
      <c r="N97" s="2580"/>
      <c r="O97" s="2578">
        <f t="shared" si="1"/>
        <v>22.775576812532513</v>
      </c>
      <c r="P97" s="2579"/>
      <c r="Q97" s="2579"/>
      <c r="R97" s="2579"/>
      <c r="S97" s="2579"/>
      <c r="T97" s="2579"/>
      <c r="U97" s="2580"/>
      <c r="V97" s="8"/>
      <c r="W97" s="8"/>
      <c r="X97" s="8"/>
      <c r="Y97" s="8"/>
      <c r="Z97" s="8"/>
      <c r="AA97" s="8"/>
      <c r="AB97" s="8"/>
      <c r="AC97" s="8"/>
      <c r="AD97" s="8"/>
      <c r="AE97" s="8"/>
      <c r="AF97" s="8"/>
    </row>
    <row r="98" spans="1:32" x14ac:dyDescent="0.3">
      <c r="A98" s="8"/>
      <c r="B98" s="8"/>
      <c r="C98" s="951" t="s">
        <v>4972</v>
      </c>
      <c r="D98" s="951"/>
      <c r="E98" s="951"/>
      <c r="F98" s="951"/>
      <c r="G98" s="951"/>
      <c r="H98" s="2578">
        <f t="shared" si="0"/>
        <v>25.51915858644437</v>
      </c>
      <c r="I98" s="2579"/>
      <c r="J98" s="2579"/>
      <c r="K98" s="2579"/>
      <c r="L98" s="2579"/>
      <c r="M98" s="2579"/>
      <c r="N98" s="2580"/>
      <c r="O98" s="2578">
        <f t="shared" si="1"/>
        <v>38.278737879666565</v>
      </c>
      <c r="P98" s="2579"/>
      <c r="Q98" s="2579"/>
      <c r="R98" s="2579"/>
      <c r="S98" s="2579"/>
      <c r="T98" s="2579"/>
      <c r="U98" s="2580"/>
      <c r="V98" s="8"/>
      <c r="W98" s="8"/>
      <c r="X98" s="8"/>
      <c r="Y98" s="8"/>
      <c r="Z98" s="8"/>
      <c r="AA98" s="8"/>
      <c r="AB98" s="8"/>
      <c r="AC98" s="8"/>
      <c r="AD98" s="8"/>
      <c r="AE98" s="8"/>
      <c r="AF98" s="8"/>
    </row>
    <row r="99" spans="1:32" x14ac:dyDescent="0.3">
      <c r="A99" s="8"/>
      <c r="B99" s="8"/>
      <c r="C99" s="951" t="s">
        <v>4973</v>
      </c>
      <c r="D99" s="951"/>
      <c r="E99" s="951"/>
      <c r="F99" s="951"/>
      <c r="G99" s="951"/>
      <c r="H99" s="2578">
        <f t="shared" si="0"/>
        <v>29.723129558371436</v>
      </c>
      <c r="I99" s="2579"/>
      <c r="J99" s="2579"/>
      <c r="K99" s="2579"/>
      <c r="L99" s="2579"/>
      <c r="M99" s="2579"/>
      <c r="N99" s="2580"/>
      <c r="O99" s="2578">
        <f t="shared" si="1"/>
        <v>44.58469433755716</v>
      </c>
      <c r="P99" s="2579"/>
      <c r="Q99" s="2579"/>
      <c r="R99" s="2579"/>
      <c r="S99" s="2579"/>
      <c r="T99" s="2579"/>
      <c r="U99" s="2580"/>
      <c r="V99" s="8"/>
      <c r="W99" s="8"/>
      <c r="X99" s="8"/>
      <c r="Y99" s="8"/>
      <c r="Z99" s="8"/>
      <c r="AA99" s="8"/>
      <c r="AB99" s="8"/>
      <c r="AC99" s="8"/>
      <c r="AD99" s="8"/>
      <c r="AE99" s="8"/>
      <c r="AF99" s="8"/>
    </row>
    <row r="100" spans="1:32" x14ac:dyDescent="0.3">
      <c r="A100" s="8"/>
      <c r="B100" s="8"/>
      <c r="C100" s="951" t="s">
        <v>4974</v>
      </c>
      <c r="D100" s="951"/>
      <c r="E100" s="951"/>
      <c r="F100" s="951"/>
      <c r="G100" s="951"/>
      <c r="H100" s="2578">
        <f t="shared" si="0"/>
        <v>45.805296330152913</v>
      </c>
      <c r="I100" s="2579"/>
      <c r="J100" s="2579"/>
      <c r="K100" s="2579"/>
      <c r="L100" s="2579"/>
      <c r="M100" s="2579"/>
      <c r="N100" s="2580"/>
      <c r="O100" s="2578">
        <f t="shared" si="1"/>
        <v>68.70794449522937</v>
      </c>
      <c r="P100" s="2579"/>
      <c r="Q100" s="2579"/>
      <c r="R100" s="2579"/>
      <c r="S100" s="2579"/>
      <c r="T100" s="2579"/>
      <c r="U100" s="2580"/>
      <c r="V100" s="8"/>
      <c r="W100" s="8"/>
      <c r="X100" s="8"/>
      <c r="Y100" s="8"/>
      <c r="Z100" s="8"/>
      <c r="AA100" s="8"/>
      <c r="AB100" s="8"/>
      <c r="AC100" s="8"/>
      <c r="AD100" s="8"/>
      <c r="AE100" s="8"/>
      <c r="AF100" s="8"/>
    </row>
    <row r="101" spans="1:32" x14ac:dyDescent="0.3">
      <c r="A101" s="8"/>
      <c r="B101" s="8"/>
      <c r="C101" s="951" t="s">
        <v>4975</v>
      </c>
      <c r="D101" s="951"/>
      <c r="E101" s="951"/>
      <c r="F101" s="951"/>
      <c r="G101" s="951"/>
      <c r="H101" s="2578">
        <f t="shared" si="0"/>
        <v>42.825478806199655</v>
      </c>
      <c r="I101" s="2579"/>
      <c r="J101" s="2579"/>
      <c r="K101" s="2579"/>
      <c r="L101" s="2579"/>
      <c r="M101" s="2579"/>
      <c r="N101" s="2580"/>
      <c r="O101" s="2578">
        <f t="shared" si="1"/>
        <v>64.238218209299475</v>
      </c>
      <c r="P101" s="2579"/>
      <c r="Q101" s="2579"/>
      <c r="R101" s="2579"/>
      <c r="S101" s="2579"/>
      <c r="T101" s="2579"/>
      <c r="U101" s="2580"/>
      <c r="V101" s="8"/>
      <c r="W101" s="8"/>
      <c r="X101" s="8"/>
      <c r="Y101" s="8"/>
      <c r="Z101" s="8"/>
      <c r="AA101" s="8"/>
      <c r="AB101" s="8"/>
      <c r="AC101" s="8"/>
      <c r="AD101" s="8"/>
      <c r="AE101" s="8"/>
      <c r="AF101" s="8"/>
    </row>
    <row r="102" spans="1:32" x14ac:dyDescent="0.3">
      <c r="A102" s="8"/>
      <c r="B102" s="8"/>
      <c r="C102" s="951" t="s">
        <v>4976</v>
      </c>
      <c r="D102" s="951"/>
      <c r="E102" s="951"/>
      <c r="F102" s="951"/>
      <c r="G102" s="951"/>
      <c r="H102" s="2578">
        <f t="shared" si="0"/>
        <v>55.831668372513519</v>
      </c>
      <c r="I102" s="2579"/>
      <c r="J102" s="2579"/>
      <c r="K102" s="2579"/>
      <c r="L102" s="2579"/>
      <c r="M102" s="2579"/>
      <c r="N102" s="2580"/>
      <c r="O102" s="2578">
        <f t="shared" si="1"/>
        <v>83.747502558770279</v>
      </c>
      <c r="P102" s="2579"/>
      <c r="Q102" s="2579"/>
      <c r="R102" s="2579"/>
      <c r="S102" s="2579"/>
      <c r="T102" s="2579"/>
      <c r="U102" s="2580"/>
      <c r="V102" s="8"/>
      <c r="W102" s="8"/>
      <c r="X102" s="8"/>
      <c r="Y102" s="8"/>
      <c r="Z102" s="8"/>
      <c r="AA102" s="8"/>
      <c r="AB102" s="8"/>
      <c r="AC102" s="8"/>
      <c r="AD102" s="8"/>
      <c r="AE102" s="8"/>
      <c r="AF102" s="8"/>
    </row>
    <row r="103" spans="1:32" x14ac:dyDescent="0.3">
      <c r="A103" s="8"/>
      <c r="B103" s="8"/>
      <c r="C103" s="951" t="s">
        <v>4977</v>
      </c>
      <c r="D103" s="951"/>
      <c r="E103" s="951"/>
      <c r="F103" s="951"/>
      <c r="G103" s="951"/>
      <c r="H103" s="2578">
        <f t="shared" si="0"/>
        <v>44.745005315547765</v>
      </c>
      <c r="I103" s="2579"/>
      <c r="J103" s="2579"/>
      <c r="K103" s="2579"/>
      <c r="L103" s="2579"/>
      <c r="M103" s="2579"/>
      <c r="N103" s="2580"/>
      <c r="O103" s="2578">
        <f t="shared" si="1"/>
        <v>67.117507973321651</v>
      </c>
      <c r="P103" s="2579"/>
      <c r="Q103" s="2579"/>
      <c r="R103" s="2579"/>
      <c r="S103" s="2579"/>
      <c r="T103" s="2579"/>
      <c r="U103" s="2580"/>
      <c r="V103" s="8"/>
      <c r="W103" s="8"/>
      <c r="X103" s="8"/>
      <c r="Y103" s="8"/>
      <c r="Z103" s="8"/>
      <c r="AA103" s="8"/>
      <c r="AB103" s="8"/>
      <c r="AC103" s="8"/>
      <c r="AD103" s="8"/>
      <c r="AE103" s="8"/>
      <c r="AF103" s="8"/>
    </row>
    <row r="104" spans="1:32" x14ac:dyDescent="0.3">
      <c r="A104" s="8"/>
      <c r="B104" s="8"/>
      <c r="C104" s="951" t="s">
        <v>4978</v>
      </c>
      <c r="D104" s="951"/>
      <c r="E104" s="951"/>
      <c r="F104" s="951"/>
      <c r="G104" s="951"/>
      <c r="H104" s="2578">
        <f t="shared" si="0"/>
        <v>167.14764232384638</v>
      </c>
      <c r="I104" s="2579"/>
      <c r="J104" s="2579"/>
      <c r="K104" s="2579"/>
      <c r="L104" s="2579"/>
      <c r="M104" s="2579"/>
      <c r="N104" s="2580"/>
      <c r="O104" s="2578">
        <f t="shared" si="1"/>
        <v>250.72146348576953</v>
      </c>
      <c r="P104" s="2579"/>
      <c r="Q104" s="2579"/>
      <c r="R104" s="2579"/>
      <c r="S104" s="2579"/>
      <c r="T104" s="2579"/>
      <c r="U104" s="2580"/>
      <c r="V104" s="8"/>
      <c r="W104" s="8"/>
      <c r="X104" s="8"/>
      <c r="Y104" s="8"/>
      <c r="Z104" s="8"/>
      <c r="AA104" s="8"/>
      <c r="AB104" s="8"/>
      <c r="AC104" s="8"/>
      <c r="AD104" s="8"/>
      <c r="AE104" s="8"/>
      <c r="AF104" s="8"/>
    </row>
    <row r="105" spans="1:32" x14ac:dyDescent="0.3">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x14ac:dyDescent="0.3">
      <c r="A106" s="8"/>
      <c r="B106" s="8"/>
      <c r="C106" s="276" t="s">
        <v>4985</v>
      </c>
      <c r="H106" s="1102" t="s">
        <v>4986</v>
      </c>
      <c r="I106" s="1102"/>
      <c r="J106" s="1102"/>
      <c r="K106" s="1102"/>
      <c r="L106" s="1102"/>
      <c r="M106" s="1102"/>
      <c r="N106" s="1102"/>
      <c r="O106" s="1102"/>
      <c r="P106" s="1102"/>
      <c r="Q106" s="1102"/>
      <c r="R106" s="1102"/>
      <c r="S106" s="1102"/>
      <c r="T106" s="1102"/>
      <c r="U106" s="1102"/>
      <c r="V106" s="8"/>
      <c r="W106" s="8"/>
      <c r="X106" s="8"/>
      <c r="Y106" s="8"/>
      <c r="Z106" s="8"/>
      <c r="AA106" s="8"/>
      <c r="AB106" s="8"/>
      <c r="AC106" s="8"/>
      <c r="AD106" s="8"/>
      <c r="AE106" s="8"/>
      <c r="AF106" s="8"/>
    </row>
    <row r="107" spans="1:32" x14ac:dyDescent="0.3">
      <c r="A107" s="8"/>
      <c r="B107" s="8"/>
      <c r="C107" s="2558" t="s">
        <v>223</v>
      </c>
      <c r="D107" s="2558"/>
      <c r="E107" s="2558"/>
      <c r="F107" s="2558"/>
      <c r="G107" s="2558"/>
      <c r="H107" s="631" t="s">
        <v>4983</v>
      </c>
      <c r="I107" s="616"/>
      <c r="J107" s="631"/>
      <c r="K107" s="616"/>
      <c r="L107" s="616"/>
      <c r="M107" s="615"/>
      <c r="N107" s="615"/>
      <c r="O107" s="1124" t="s">
        <v>4984</v>
      </c>
      <c r="P107" s="1125"/>
      <c r="Q107" s="1125"/>
      <c r="R107" s="1125"/>
      <c r="S107" s="1125"/>
      <c r="T107" s="1125"/>
      <c r="U107" s="1126"/>
      <c r="V107" s="8"/>
      <c r="W107" s="8"/>
      <c r="X107" s="8"/>
      <c r="Y107" s="8"/>
      <c r="Z107" s="8"/>
      <c r="AA107" s="8"/>
      <c r="AB107" s="8"/>
      <c r="AC107" s="8"/>
      <c r="AD107" s="8"/>
      <c r="AE107" s="8"/>
      <c r="AF107" s="8"/>
    </row>
    <row r="108" spans="1:32" x14ac:dyDescent="0.3">
      <c r="A108" s="8"/>
      <c r="B108" s="8"/>
      <c r="C108" s="951" t="s">
        <v>4968</v>
      </c>
      <c r="D108" s="951"/>
      <c r="E108" s="951"/>
      <c r="F108" s="951"/>
      <c r="G108" s="951"/>
      <c r="H108" s="2796">
        <f>((H79-O79)/1000)*$Q$56</f>
        <v>2.6646018396500144E-3</v>
      </c>
      <c r="I108" s="2797"/>
      <c r="J108" s="2797"/>
      <c r="K108" s="2797"/>
      <c r="L108" s="2797"/>
      <c r="M108" s="2797"/>
      <c r="N108" s="2798"/>
      <c r="O108" s="2796">
        <f>((H79-O79)*1.5/1000)*$Q$56</f>
        <v>3.9969027594750212E-3</v>
      </c>
      <c r="P108" s="2797"/>
      <c r="Q108" s="2797"/>
      <c r="R108" s="2797"/>
      <c r="S108" s="2797"/>
      <c r="T108" s="2797"/>
      <c r="U108" s="2798"/>
      <c r="V108" s="8"/>
      <c r="W108" s="8"/>
      <c r="X108" s="8"/>
      <c r="Y108" s="8"/>
      <c r="Z108" s="8"/>
      <c r="AA108" s="8"/>
      <c r="AB108" s="8"/>
      <c r="AC108" s="8"/>
      <c r="AD108" s="8"/>
      <c r="AE108" s="8"/>
      <c r="AF108" s="8"/>
    </row>
    <row r="109" spans="1:32" x14ac:dyDescent="0.3">
      <c r="A109" s="8"/>
      <c r="B109" s="8"/>
      <c r="C109" s="951" t="s">
        <v>4969</v>
      </c>
      <c r="D109" s="951"/>
      <c r="E109" s="951"/>
      <c r="F109" s="951"/>
      <c r="G109" s="951"/>
      <c r="H109" s="2796">
        <f t="shared" ref="H109:H117" si="2">((H80-O80)/1000)*$Q$56</f>
        <v>3.4737142855513752E-3</v>
      </c>
      <c r="I109" s="2797"/>
      <c r="J109" s="2797"/>
      <c r="K109" s="2797"/>
      <c r="L109" s="2797"/>
      <c r="M109" s="2797"/>
      <c r="N109" s="2798"/>
      <c r="O109" s="2796">
        <f t="shared" ref="O109:O117" si="3">((H80-O80)*1.5/1000)*$Q$56</f>
        <v>5.2105714283270637E-3</v>
      </c>
      <c r="P109" s="2797"/>
      <c r="Q109" s="2797"/>
      <c r="R109" s="2797"/>
      <c r="S109" s="2797"/>
      <c r="T109" s="2797"/>
      <c r="U109" s="2798"/>
      <c r="V109" s="8"/>
      <c r="W109" s="8"/>
      <c r="X109" s="8"/>
      <c r="Y109" s="8"/>
      <c r="Z109" s="8"/>
      <c r="AA109" s="8"/>
      <c r="AB109" s="8"/>
      <c r="AC109" s="8"/>
      <c r="AD109" s="8"/>
      <c r="AE109" s="8"/>
      <c r="AF109" s="8"/>
    </row>
    <row r="110" spans="1:32" x14ac:dyDescent="0.3">
      <c r="A110" s="8"/>
      <c r="B110" s="8"/>
      <c r="C110" s="951" t="s">
        <v>4970</v>
      </c>
      <c r="D110" s="951"/>
      <c r="E110" s="951"/>
      <c r="F110" s="951"/>
      <c r="G110" s="951"/>
      <c r="H110" s="2796">
        <f t="shared" si="2"/>
        <v>4.2017721826535862E-3</v>
      </c>
      <c r="I110" s="2797"/>
      <c r="J110" s="2797"/>
      <c r="K110" s="2797"/>
      <c r="L110" s="2797"/>
      <c r="M110" s="2797"/>
      <c r="N110" s="2798"/>
      <c r="O110" s="2796">
        <f t="shared" si="3"/>
        <v>6.3026582739803801E-3</v>
      </c>
      <c r="P110" s="2797"/>
      <c r="Q110" s="2797"/>
      <c r="R110" s="2797"/>
      <c r="S110" s="2797"/>
      <c r="T110" s="2797"/>
      <c r="U110" s="2798"/>
      <c r="V110" s="8"/>
      <c r="W110" s="8"/>
      <c r="X110" s="8"/>
      <c r="Y110" s="8"/>
      <c r="Z110" s="8"/>
      <c r="AA110" s="8"/>
      <c r="AB110" s="8"/>
      <c r="AC110" s="8"/>
      <c r="AD110" s="8"/>
      <c r="AE110" s="8"/>
      <c r="AF110" s="8"/>
    </row>
    <row r="111" spans="1:32" x14ac:dyDescent="0.3">
      <c r="A111" s="8"/>
      <c r="B111" s="8"/>
      <c r="C111" s="951" t="s">
        <v>4971</v>
      </c>
      <c r="D111" s="951"/>
      <c r="E111" s="951"/>
      <c r="F111" s="951"/>
      <c r="G111" s="951"/>
      <c r="H111" s="2796">
        <f t="shared" si="2"/>
        <v>4.6189882044166131E-3</v>
      </c>
      <c r="I111" s="2797"/>
      <c r="J111" s="2797"/>
      <c r="K111" s="2797"/>
      <c r="L111" s="2797"/>
      <c r="M111" s="2797"/>
      <c r="N111" s="2798"/>
      <c r="O111" s="2796">
        <f t="shared" si="3"/>
        <v>6.9284823066249187E-3</v>
      </c>
      <c r="P111" s="2797"/>
      <c r="Q111" s="2797"/>
      <c r="R111" s="2797"/>
      <c r="S111" s="2797"/>
      <c r="T111" s="2797"/>
      <c r="U111" s="2798"/>
      <c r="V111" s="8"/>
      <c r="W111" s="8"/>
      <c r="X111" s="8"/>
      <c r="Y111" s="8"/>
      <c r="Z111" s="8"/>
      <c r="AA111" s="8"/>
      <c r="AB111" s="8"/>
      <c r="AC111" s="8"/>
      <c r="AD111" s="8"/>
      <c r="AE111" s="8"/>
      <c r="AF111" s="8"/>
    </row>
    <row r="112" spans="1:32" x14ac:dyDescent="0.3">
      <c r="A112" s="8"/>
      <c r="B112" s="8"/>
      <c r="C112" s="951" t="s">
        <v>4972</v>
      </c>
      <c r="D112" s="951"/>
      <c r="E112" s="951"/>
      <c r="F112" s="951"/>
      <c r="G112" s="951"/>
      <c r="H112" s="2796">
        <f t="shared" si="2"/>
        <v>7.7456897492700558E-3</v>
      </c>
      <c r="I112" s="2797"/>
      <c r="J112" s="2797"/>
      <c r="K112" s="2797"/>
      <c r="L112" s="2797"/>
      <c r="M112" s="2797"/>
      <c r="N112" s="2798"/>
      <c r="O112" s="2796">
        <f t="shared" si="3"/>
        <v>1.1618534623905084E-2</v>
      </c>
      <c r="P112" s="2797"/>
      <c r="Q112" s="2797"/>
      <c r="R112" s="2797"/>
      <c r="S112" s="2797"/>
      <c r="T112" s="2797"/>
      <c r="U112" s="2798"/>
      <c r="V112" s="8"/>
      <c r="W112" s="8"/>
      <c r="X112" s="8"/>
      <c r="Y112" s="8"/>
      <c r="Z112" s="8"/>
      <c r="AA112" s="8"/>
      <c r="AB112" s="8"/>
      <c r="AC112" s="8"/>
      <c r="AD112" s="8"/>
      <c r="AE112" s="8"/>
      <c r="AF112" s="8"/>
    </row>
    <row r="113" spans="1:32" x14ac:dyDescent="0.3">
      <c r="A113" s="8"/>
      <c r="B113" s="8"/>
      <c r="C113" s="951" t="s">
        <v>4973</v>
      </c>
      <c r="D113" s="951"/>
      <c r="E113" s="951"/>
      <c r="F113" s="951"/>
      <c r="G113" s="951"/>
      <c r="H113" s="2796">
        <f t="shared" si="2"/>
        <v>9.0922555514185866E-3</v>
      </c>
      <c r="I113" s="2797"/>
      <c r="J113" s="2797"/>
      <c r="K113" s="2797"/>
      <c r="L113" s="2797"/>
      <c r="M113" s="2797"/>
      <c r="N113" s="2798"/>
      <c r="O113" s="2796">
        <f t="shared" si="3"/>
        <v>1.3638383327127881E-2</v>
      </c>
      <c r="P113" s="2797"/>
      <c r="Q113" s="2797"/>
      <c r="R113" s="2797"/>
      <c r="S113" s="2797"/>
      <c r="T113" s="2797"/>
      <c r="U113" s="2798"/>
      <c r="V113" s="8"/>
      <c r="W113" s="8"/>
      <c r="X113" s="8"/>
      <c r="Y113" s="8"/>
      <c r="Z113" s="8"/>
      <c r="AA113" s="8"/>
      <c r="AB113" s="8"/>
      <c r="AC113" s="8"/>
      <c r="AD113" s="8"/>
      <c r="AE113" s="8"/>
      <c r="AF113" s="8"/>
    </row>
    <row r="114" spans="1:32" x14ac:dyDescent="0.3">
      <c r="A114" s="8"/>
      <c r="B114" s="8"/>
      <c r="C114" s="951" t="s">
        <v>4974</v>
      </c>
      <c r="D114" s="951"/>
      <c r="E114" s="951"/>
      <c r="F114" s="951"/>
      <c r="G114" s="951"/>
      <c r="H114" s="2796">
        <f t="shared" si="2"/>
        <v>1.4030648729014413E-2</v>
      </c>
      <c r="I114" s="2797"/>
      <c r="J114" s="2797"/>
      <c r="K114" s="2797"/>
      <c r="L114" s="2797"/>
      <c r="M114" s="2797"/>
      <c r="N114" s="2798"/>
      <c r="O114" s="2796">
        <f t="shared" si="3"/>
        <v>2.1045973093521617E-2</v>
      </c>
      <c r="P114" s="2797"/>
      <c r="Q114" s="2797"/>
      <c r="R114" s="2797"/>
      <c r="S114" s="2797"/>
      <c r="T114" s="2797"/>
      <c r="U114" s="2798"/>
      <c r="V114" s="8"/>
      <c r="W114" s="8"/>
      <c r="X114" s="8"/>
      <c r="Y114" s="8"/>
      <c r="Z114" s="8"/>
      <c r="AA114" s="8"/>
      <c r="AB114" s="8"/>
      <c r="AC114" s="8"/>
      <c r="AD114" s="8"/>
      <c r="AE114" s="8"/>
      <c r="AF114" s="8"/>
    </row>
    <row r="115" spans="1:32" x14ac:dyDescent="0.3">
      <c r="A115" s="8"/>
      <c r="B115" s="8"/>
      <c r="C115" s="951" t="s">
        <v>4975</v>
      </c>
      <c r="D115" s="951"/>
      <c r="E115" s="951"/>
      <c r="F115" s="951"/>
      <c r="G115" s="951"/>
      <c r="H115" s="2796">
        <f t="shared" si="2"/>
        <v>1.3156644755783896E-2</v>
      </c>
      <c r="I115" s="2797"/>
      <c r="J115" s="2797"/>
      <c r="K115" s="2797"/>
      <c r="L115" s="2797"/>
      <c r="M115" s="2797"/>
      <c r="N115" s="2798"/>
      <c r="O115" s="2796">
        <f t="shared" si="3"/>
        <v>1.9734967133675844E-2</v>
      </c>
      <c r="P115" s="2797"/>
      <c r="Q115" s="2797"/>
      <c r="R115" s="2797"/>
      <c r="S115" s="2797"/>
      <c r="T115" s="2797"/>
      <c r="U115" s="2798"/>
      <c r="V115" s="8"/>
      <c r="W115" s="8"/>
      <c r="X115" s="8"/>
      <c r="Y115" s="8"/>
      <c r="Z115" s="8"/>
      <c r="AA115" s="8"/>
      <c r="AB115" s="8"/>
      <c r="AC115" s="8"/>
      <c r="AD115" s="8"/>
      <c r="AE115" s="8"/>
      <c r="AF115" s="8"/>
    </row>
    <row r="116" spans="1:32" x14ac:dyDescent="0.3">
      <c r="A116" s="8"/>
      <c r="B116" s="8"/>
      <c r="C116" s="951" t="s">
        <v>4976</v>
      </c>
      <c r="D116" s="951"/>
      <c r="E116" s="951"/>
      <c r="F116" s="951"/>
      <c r="G116" s="951"/>
      <c r="H116" s="2796">
        <f t="shared" si="2"/>
        <v>1.702156957398979E-2</v>
      </c>
      <c r="I116" s="2797"/>
      <c r="J116" s="2797"/>
      <c r="K116" s="2797"/>
      <c r="L116" s="2797"/>
      <c r="M116" s="2797"/>
      <c r="N116" s="2798"/>
      <c r="O116" s="2796">
        <f t="shared" si="3"/>
        <v>2.5532354360984683E-2</v>
      </c>
      <c r="P116" s="2797"/>
      <c r="Q116" s="2797"/>
      <c r="R116" s="2797"/>
      <c r="S116" s="2797"/>
      <c r="T116" s="2797"/>
      <c r="U116" s="2798"/>
      <c r="V116" s="8"/>
      <c r="W116" s="8"/>
      <c r="X116" s="8"/>
      <c r="Y116" s="8"/>
      <c r="Z116" s="8"/>
      <c r="AA116" s="8"/>
      <c r="AB116" s="8"/>
      <c r="AC116" s="8"/>
      <c r="AD116" s="8"/>
      <c r="AE116" s="8"/>
      <c r="AF116" s="8"/>
    </row>
    <row r="117" spans="1:32" x14ac:dyDescent="0.3">
      <c r="A117" s="8"/>
      <c r="B117" s="8"/>
      <c r="C117" s="951" t="s">
        <v>4977</v>
      </c>
      <c r="D117" s="951"/>
      <c r="E117" s="951"/>
      <c r="F117" s="951"/>
      <c r="G117" s="951"/>
      <c r="H117" s="2796">
        <f t="shared" si="2"/>
        <v>1.3669214597881967E-2</v>
      </c>
      <c r="I117" s="2797"/>
      <c r="J117" s="2797"/>
      <c r="K117" s="2797"/>
      <c r="L117" s="2797"/>
      <c r="M117" s="2797"/>
      <c r="N117" s="2798"/>
      <c r="O117" s="2796">
        <f t="shared" si="3"/>
        <v>2.0503821896822955E-2</v>
      </c>
      <c r="P117" s="2797"/>
      <c r="Q117" s="2797"/>
      <c r="R117" s="2797"/>
      <c r="S117" s="2797"/>
      <c r="T117" s="2797"/>
      <c r="U117" s="2798"/>
      <c r="V117" s="8"/>
      <c r="W117" s="8"/>
      <c r="X117" s="8"/>
      <c r="Y117" s="8"/>
      <c r="Z117" s="8"/>
      <c r="AA117" s="8"/>
      <c r="AB117" s="8"/>
      <c r="AC117" s="8"/>
      <c r="AD117" s="8"/>
      <c r="AE117" s="8"/>
      <c r="AF117" s="8"/>
    </row>
    <row r="118" spans="1:32" x14ac:dyDescent="0.3">
      <c r="A118" s="8"/>
      <c r="B118" s="8"/>
      <c r="C118" s="951" t="s">
        <v>4978</v>
      </c>
      <c r="D118" s="951"/>
      <c r="E118" s="951"/>
      <c r="F118" s="951"/>
      <c r="G118" s="951"/>
      <c r="H118" s="2796">
        <f>((H89-O89)/1000)*$Q$56</f>
        <v>5.1076685127667838E-2</v>
      </c>
      <c r="I118" s="2797"/>
      <c r="J118" s="2797"/>
      <c r="K118" s="2797"/>
      <c r="L118" s="2797"/>
      <c r="M118" s="2797"/>
      <c r="N118" s="2798"/>
      <c r="O118" s="2796">
        <f>((H89-O89)*1.5/1000)*$Q$56</f>
        <v>7.6615027691501747E-2</v>
      </c>
      <c r="P118" s="2797"/>
      <c r="Q118" s="2797"/>
      <c r="R118" s="2797"/>
      <c r="S118" s="2797"/>
      <c r="T118" s="2797"/>
      <c r="U118" s="2798"/>
      <c r="V118" s="8"/>
      <c r="W118" s="8"/>
      <c r="X118" s="8"/>
      <c r="Y118" s="8"/>
      <c r="Z118" s="8"/>
      <c r="AA118" s="8"/>
      <c r="AB118" s="8"/>
      <c r="AC118" s="8"/>
      <c r="AD118" s="8"/>
      <c r="AE118" s="8"/>
      <c r="AF118" s="8"/>
    </row>
    <row r="119" spans="1:32" x14ac:dyDescent="0.3">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x14ac:dyDescent="0.3">
      <c r="A120" s="8"/>
      <c r="B120" s="8"/>
      <c r="C120" s="276" t="s">
        <v>4987</v>
      </c>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x14ac:dyDescent="0.3">
      <c r="A121" s="8"/>
      <c r="B121" s="8"/>
      <c r="C121" s="2558" t="s">
        <v>223</v>
      </c>
      <c r="D121" s="2558"/>
      <c r="E121" s="2558"/>
      <c r="F121" s="2558"/>
      <c r="G121" s="2558"/>
      <c r="H121" s="1124" t="s">
        <v>4988</v>
      </c>
      <c r="I121" s="1125"/>
      <c r="J121" s="1125"/>
      <c r="K121" s="1125"/>
      <c r="L121" s="1125"/>
      <c r="M121" s="1125"/>
      <c r="N121" s="1126"/>
      <c r="O121" s="8"/>
      <c r="P121" s="8"/>
      <c r="Q121" s="8"/>
      <c r="R121" s="8"/>
      <c r="S121" s="8"/>
      <c r="T121" s="8"/>
      <c r="U121" s="8"/>
      <c r="V121" s="8"/>
      <c r="W121" s="8"/>
      <c r="X121" s="8"/>
      <c r="Y121" s="8"/>
      <c r="Z121" s="8"/>
      <c r="AA121" s="8"/>
      <c r="AB121" s="8"/>
      <c r="AC121" s="8"/>
      <c r="AD121" s="8"/>
      <c r="AE121" s="8"/>
      <c r="AF121" s="8"/>
    </row>
    <row r="122" spans="1:32" x14ac:dyDescent="0.3">
      <c r="A122" s="8"/>
      <c r="B122" s="8"/>
      <c r="C122" s="2570" t="s">
        <v>4989</v>
      </c>
      <c r="D122" s="1001"/>
      <c r="E122" s="1001"/>
      <c r="F122" s="1001"/>
      <c r="G122" s="2571"/>
      <c r="H122" s="2799">
        <f>(1.45)/(1.45+0.71)</f>
        <v>0.67129629629629628</v>
      </c>
      <c r="I122" s="2800"/>
      <c r="J122" s="2800"/>
      <c r="K122" s="2800"/>
      <c r="L122" s="2800"/>
      <c r="M122" s="2800"/>
      <c r="N122" s="2801"/>
      <c r="O122" s="8"/>
      <c r="P122" s="8"/>
      <c r="Q122" s="8"/>
      <c r="R122" s="8"/>
      <c r="S122" s="8"/>
      <c r="T122" s="8"/>
      <c r="U122" s="8"/>
      <c r="V122" s="8"/>
      <c r="W122" s="8"/>
      <c r="X122" s="8"/>
      <c r="Y122" s="8"/>
      <c r="Z122" s="8"/>
      <c r="AA122" s="8"/>
      <c r="AB122" s="8"/>
      <c r="AC122" s="8"/>
      <c r="AD122" s="8"/>
      <c r="AE122" s="8"/>
      <c r="AF122" s="8"/>
    </row>
    <row r="123" spans="1:32" x14ac:dyDescent="0.3">
      <c r="A123" s="8"/>
      <c r="B123" s="8"/>
      <c r="C123" s="951" t="s">
        <v>4990</v>
      </c>
      <c r="D123" s="951"/>
      <c r="E123" s="951"/>
      <c r="F123" s="951"/>
      <c r="G123" s="951"/>
      <c r="H123" s="2799">
        <f>(0.71)/(1.45+0.71)</f>
        <v>0.32870370370370366</v>
      </c>
      <c r="I123" s="2800"/>
      <c r="J123" s="2800"/>
      <c r="K123" s="2800"/>
      <c r="L123" s="2800"/>
      <c r="M123" s="2800"/>
      <c r="N123" s="2801"/>
      <c r="O123" s="8"/>
      <c r="P123" s="8"/>
      <c r="Q123" s="8"/>
      <c r="R123" s="8"/>
      <c r="S123" s="8"/>
      <c r="T123" s="8"/>
      <c r="U123" s="8"/>
      <c r="V123" s="8"/>
      <c r="W123" s="8"/>
      <c r="X123" s="8"/>
      <c r="Y123" s="8"/>
      <c r="Z123" s="8"/>
      <c r="AA123" s="8"/>
      <c r="AB123" s="8"/>
      <c r="AC123" s="8"/>
      <c r="AD123" s="8"/>
      <c r="AE123" s="8"/>
      <c r="AF123" s="8"/>
    </row>
    <row r="124" spans="1:32" ht="41.25" customHeight="1" x14ac:dyDescent="0.3">
      <c r="A124" s="8"/>
      <c r="B124" s="8"/>
      <c r="C124" s="1082" t="s">
        <v>4991</v>
      </c>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c r="AA124" s="1082"/>
      <c r="AB124" s="1082"/>
      <c r="AC124" s="1082"/>
      <c r="AD124" s="1082"/>
      <c r="AE124" s="1082"/>
      <c r="AF124" s="1082"/>
    </row>
    <row r="125" spans="1:32" x14ac:dyDescent="0.3">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x14ac:dyDescent="0.3">
      <c r="A126" s="8"/>
      <c r="B126" s="8"/>
      <c r="C126" s="276" t="s">
        <v>4992</v>
      </c>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x14ac:dyDescent="0.3">
      <c r="A127" s="8"/>
      <c r="B127" s="8"/>
      <c r="C127" s="2558" t="s">
        <v>223</v>
      </c>
      <c r="D127" s="2558"/>
      <c r="E127" s="2558"/>
      <c r="F127" s="2558"/>
      <c r="G127" s="2558"/>
      <c r="H127" s="1124" t="s">
        <v>4988</v>
      </c>
      <c r="I127" s="1125"/>
      <c r="J127" s="1125"/>
      <c r="K127" s="1125"/>
      <c r="L127" s="1125"/>
      <c r="M127" s="1125"/>
      <c r="N127" s="1126"/>
      <c r="O127" s="8"/>
      <c r="P127" s="8"/>
      <c r="Q127" s="8"/>
      <c r="R127" s="8"/>
      <c r="S127" s="8"/>
      <c r="T127" s="8"/>
      <c r="U127" s="8"/>
      <c r="V127" s="8"/>
      <c r="W127" s="8"/>
      <c r="X127" s="8"/>
      <c r="Y127" s="8"/>
      <c r="Z127" s="8"/>
      <c r="AA127" s="8"/>
      <c r="AB127" s="8"/>
      <c r="AC127" s="8"/>
      <c r="AD127" s="8"/>
      <c r="AE127" s="8"/>
      <c r="AF127" s="8"/>
    </row>
    <row r="128" spans="1:32" x14ac:dyDescent="0.3">
      <c r="A128" s="8"/>
      <c r="B128" s="8"/>
      <c r="C128" s="2570" t="s">
        <v>4993</v>
      </c>
      <c r="D128" s="1001"/>
      <c r="E128" s="1001"/>
      <c r="F128" s="1001"/>
      <c r="G128" s="2571"/>
      <c r="H128" s="2799">
        <v>0.1205357142857143</v>
      </c>
      <c r="I128" s="2800"/>
      <c r="J128" s="2800"/>
      <c r="K128" s="2800"/>
      <c r="L128" s="2800"/>
      <c r="M128" s="2800"/>
      <c r="N128" s="2801"/>
      <c r="O128" s="8"/>
      <c r="P128" s="8"/>
      <c r="Q128" s="8"/>
      <c r="R128" s="8"/>
      <c r="S128" s="8"/>
      <c r="T128" s="8"/>
      <c r="U128" s="8"/>
      <c r="V128" s="8"/>
      <c r="W128" s="8"/>
      <c r="X128" s="8"/>
      <c r="Y128" s="8"/>
      <c r="Z128" s="8"/>
      <c r="AA128" s="8"/>
      <c r="AB128" s="8"/>
      <c r="AC128" s="8"/>
      <c r="AD128" s="8"/>
      <c r="AE128" s="8"/>
      <c r="AF128" s="8"/>
    </row>
    <row r="129" spans="1:32" x14ac:dyDescent="0.3">
      <c r="A129" s="8"/>
      <c r="B129" s="8"/>
      <c r="C129" s="951" t="s">
        <v>4994</v>
      </c>
      <c r="D129" s="951">
        <v>32.799999999999997</v>
      </c>
      <c r="E129" s="951">
        <v>0</v>
      </c>
      <c r="F129" s="951">
        <v>0</v>
      </c>
      <c r="G129" s="951">
        <v>0</v>
      </c>
      <c r="H129" s="2799">
        <v>0.26339285714285715</v>
      </c>
      <c r="I129" s="2800"/>
      <c r="J129" s="2800"/>
      <c r="K129" s="2800"/>
      <c r="L129" s="2800"/>
      <c r="M129" s="2800"/>
      <c r="N129" s="2801"/>
      <c r="O129" s="8"/>
      <c r="P129" s="8"/>
      <c r="Q129" s="8"/>
      <c r="R129" s="8"/>
      <c r="S129" s="8"/>
      <c r="T129" s="8"/>
      <c r="U129" s="8"/>
      <c r="V129" s="8"/>
      <c r="W129" s="8"/>
      <c r="X129" s="8"/>
      <c r="Y129" s="8"/>
      <c r="Z129" s="8"/>
      <c r="AA129" s="8"/>
      <c r="AB129" s="8"/>
      <c r="AC129" s="8"/>
      <c r="AD129" s="8"/>
      <c r="AE129" s="8"/>
      <c r="AF129" s="8"/>
    </row>
    <row r="130" spans="1:32" x14ac:dyDescent="0.3">
      <c r="A130" s="8"/>
      <c r="B130" s="8"/>
      <c r="C130" s="951" t="s">
        <v>4995</v>
      </c>
      <c r="D130" s="951">
        <v>23</v>
      </c>
      <c r="E130" s="951">
        <v>0</v>
      </c>
      <c r="F130" s="951">
        <v>0</v>
      </c>
      <c r="G130" s="951">
        <v>0</v>
      </c>
      <c r="H130" s="2799">
        <v>0.25446428571428575</v>
      </c>
      <c r="I130" s="2800"/>
      <c r="J130" s="2800"/>
      <c r="K130" s="2800"/>
      <c r="L130" s="2800"/>
      <c r="M130" s="2800"/>
      <c r="N130" s="2801"/>
      <c r="O130" s="8"/>
      <c r="P130" s="8"/>
      <c r="Q130" s="8"/>
      <c r="R130" s="8"/>
      <c r="S130" s="8"/>
      <c r="T130" s="8"/>
      <c r="U130" s="8"/>
      <c r="V130" s="8"/>
      <c r="W130" s="8"/>
      <c r="X130" s="8"/>
      <c r="Y130" s="8"/>
      <c r="Z130" s="8"/>
      <c r="AA130" s="8"/>
      <c r="AB130" s="8"/>
      <c r="AC130" s="8"/>
      <c r="AD130" s="8"/>
      <c r="AE130" s="8"/>
      <c r="AF130" s="8"/>
    </row>
    <row r="131" spans="1:32" x14ac:dyDescent="0.3">
      <c r="A131" s="8"/>
      <c r="B131" s="8"/>
      <c r="C131" s="951" t="s">
        <v>4996</v>
      </c>
      <c r="D131" s="951">
        <v>23</v>
      </c>
      <c r="E131" s="951">
        <v>0</v>
      </c>
      <c r="F131" s="951">
        <v>0</v>
      </c>
      <c r="G131" s="951">
        <v>0</v>
      </c>
      <c r="H131" s="2799">
        <v>0.25446428571428575</v>
      </c>
      <c r="I131" s="2800"/>
      <c r="J131" s="2800"/>
      <c r="K131" s="2800"/>
      <c r="L131" s="2800"/>
      <c r="M131" s="2800"/>
      <c r="N131" s="2801"/>
      <c r="O131" s="8"/>
      <c r="P131" s="8"/>
      <c r="Q131" s="8"/>
      <c r="R131" s="8"/>
      <c r="S131" s="8"/>
      <c r="T131" s="8"/>
      <c r="U131" s="8"/>
      <c r="V131" s="8"/>
      <c r="W131" s="8"/>
      <c r="X131" s="8"/>
      <c r="Y131" s="8"/>
      <c r="Z131" s="8"/>
      <c r="AA131" s="8"/>
      <c r="AB131" s="8"/>
      <c r="AC131" s="8"/>
      <c r="AD131" s="8"/>
      <c r="AE131" s="8"/>
      <c r="AF131" s="8"/>
    </row>
    <row r="132" spans="1:32" x14ac:dyDescent="0.3">
      <c r="A132" s="8"/>
      <c r="B132" s="8"/>
      <c r="C132" s="951" t="s">
        <v>4997</v>
      </c>
      <c r="D132" s="951">
        <v>2.4</v>
      </c>
      <c r="E132" s="951">
        <v>0</v>
      </c>
      <c r="F132" s="951">
        <v>0</v>
      </c>
      <c r="G132" s="951">
        <v>0</v>
      </c>
      <c r="H132" s="2799">
        <v>0.10714285714285715</v>
      </c>
      <c r="I132" s="2800"/>
      <c r="J132" s="2800"/>
      <c r="K132" s="2800"/>
      <c r="L132" s="2800"/>
      <c r="M132" s="2800"/>
      <c r="N132" s="2801"/>
      <c r="O132" s="8"/>
      <c r="P132" s="8"/>
      <c r="Q132" s="8"/>
      <c r="R132" s="8"/>
      <c r="S132" s="8"/>
      <c r="T132" s="8"/>
      <c r="U132" s="8"/>
      <c r="V132" s="8"/>
      <c r="W132" s="8"/>
      <c r="X132" s="8"/>
      <c r="Y132" s="8"/>
      <c r="Z132" s="8"/>
      <c r="AA132" s="8"/>
      <c r="AB132" s="8"/>
      <c r="AC132" s="8"/>
      <c r="AD132" s="8"/>
      <c r="AE132" s="8"/>
      <c r="AF132" s="8"/>
    </row>
    <row r="133" spans="1:32" ht="30" customHeight="1" x14ac:dyDescent="0.3">
      <c r="A133" s="8"/>
      <c r="B133" s="8"/>
      <c r="C133" s="1082" t="s">
        <v>4998</v>
      </c>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c r="AA133" s="1082"/>
      <c r="AB133" s="1082"/>
      <c r="AC133" s="1082"/>
      <c r="AD133" s="1082"/>
      <c r="AE133" s="1082"/>
      <c r="AF133" s="1082"/>
    </row>
    <row r="134" spans="1:32" ht="54" customHeight="1" x14ac:dyDescent="0.3">
      <c r="A134" s="8"/>
      <c r="B134" s="8"/>
      <c r="C134" s="1082" t="s">
        <v>4999</v>
      </c>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c r="AA134" s="1082"/>
      <c r="AB134" s="1082"/>
      <c r="AC134" s="1082"/>
      <c r="AD134" s="1082"/>
      <c r="AE134" s="1082"/>
      <c r="AF134" s="1082"/>
    </row>
    <row r="135" spans="1:32" x14ac:dyDescent="0.3">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x14ac:dyDescent="0.3">
      <c r="A136" s="8"/>
      <c r="B136" s="8"/>
      <c r="C136" s="276" t="s">
        <v>5000</v>
      </c>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x14ac:dyDescent="0.3">
      <c r="A137" s="8"/>
      <c r="B137" s="8"/>
      <c r="C137" s="2558" t="s">
        <v>223</v>
      </c>
      <c r="D137" s="2558"/>
      <c r="E137" s="2558"/>
      <c r="F137" s="2558"/>
      <c r="G137" s="2558"/>
      <c r="H137" s="1124" t="s">
        <v>4988</v>
      </c>
      <c r="I137" s="1125"/>
      <c r="J137" s="1125"/>
      <c r="K137" s="1125"/>
      <c r="L137" s="1125"/>
      <c r="M137" s="1125"/>
      <c r="N137" s="1126"/>
      <c r="O137" s="8"/>
      <c r="P137" s="8"/>
      <c r="Q137" s="8"/>
      <c r="R137" s="8"/>
      <c r="S137" s="8"/>
      <c r="T137" s="8"/>
      <c r="U137" s="8"/>
      <c r="V137" s="8"/>
      <c r="W137" s="8"/>
      <c r="X137" s="8"/>
      <c r="Y137" s="8"/>
      <c r="Z137" s="8"/>
      <c r="AA137" s="8"/>
      <c r="AB137" s="8"/>
      <c r="AC137" s="8"/>
      <c r="AD137" s="8"/>
      <c r="AE137" s="8"/>
      <c r="AF137" s="8"/>
    </row>
    <row r="138" spans="1:32" x14ac:dyDescent="0.3">
      <c r="A138" s="8"/>
      <c r="B138" s="8"/>
      <c r="C138" s="951" t="s">
        <v>4968</v>
      </c>
      <c r="D138" s="951"/>
      <c r="E138" s="951"/>
      <c r="F138" s="951"/>
      <c r="G138" s="951"/>
      <c r="H138" s="2799">
        <f>(1/3)*$H$128*$H$122/SUM($H$128:$N$130)</f>
        <v>4.2249417249417248E-2</v>
      </c>
      <c r="I138" s="2800"/>
      <c r="J138" s="2800"/>
      <c r="K138" s="2800"/>
      <c r="L138" s="2800"/>
      <c r="M138" s="2800"/>
      <c r="N138" s="2801"/>
      <c r="O138" s="8"/>
      <c r="P138" s="8"/>
      <c r="Q138" s="8"/>
      <c r="R138" s="8"/>
      <c r="S138" s="8"/>
      <c r="T138" s="8"/>
      <c r="U138" s="8"/>
      <c r="V138" s="8"/>
      <c r="W138" s="8"/>
      <c r="X138" s="8"/>
      <c r="Y138" s="8"/>
      <c r="Z138" s="8"/>
      <c r="AA138" s="8"/>
      <c r="AB138" s="8"/>
      <c r="AC138" s="8"/>
      <c r="AD138" s="8"/>
      <c r="AE138" s="8"/>
      <c r="AF138" s="8"/>
    </row>
    <row r="139" spans="1:32" x14ac:dyDescent="0.3">
      <c r="A139" s="8"/>
      <c r="B139" s="8"/>
      <c r="C139" s="951" t="s">
        <v>4969</v>
      </c>
      <c r="D139" s="951"/>
      <c r="E139" s="951"/>
      <c r="F139" s="951"/>
      <c r="G139" s="951"/>
      <c r="H139" s="2799">
        <f>(1/3)*$H$128*$H$122/SUM($H$128:$N$130)</f>
        <v>4.2249417249417248E-2</v>
      </c>
      <c r="I139" s="2800"/>
      <c r="J139" s="2800"/>
      <c r="K139" s="2800"/>
      <c r="L139" s="2800"/>
      <c r="M139" s="2800"/>
      <c r="N139" s="2801"/>
      <c r="O139" s="8"/>
      <c r="P139" s="8"/>
      <c r="Q139" s="8"/>
      <c r="R139" s="8"/>
      <c r="S139" s="8"/>
      <c r="T139" s="8"/>
      <c r="U139" s="8"/>
      <c r="V139" s="8"/>
      <c r="W139" s="8"/>
      <c r="X139" s="8"/>
      <c r="Y139" s="8"/>
      <c r="Z139" s="8"/>
      <c r="AA139" s="8"/>
      <c r="AB139" s="8"/>
      <c r="AC139" s="8"/>
      <c r="AD139" s="8"/>
      <c r="AE139" s="8"/>
      <c r="AF139" s="8"/>
    </row>
    <row r="140" spans="1:32" x14ac:dyDescent="0.3">
      <c r="A140" s="8"/>
      <c r="B140" s="8"/>
      <c r="C140" s="951" t="s">
        <v>4970</v>
      </c>
      <c r="D140" s="951"/>
      <c r="E140" s="951"/>
      <c r="F140" s="951"/>
      <c r="G140" s="951"/>
      <c r="H140" s="2799">
        <f>(1/3)*$H$128*$H$122/SUM($H$128:$N$130)</f>
        <v>4.2249417249417248E-2</v>
      </c>
      <c r="I140" s="2800"/>
      <c r="J140" s="2800"/>
      <c r="K140" s="2800"/>
      <c r="L140" s="2800"/>
      <c r="M140" s="2800"/>
      <c r="N140" s="2801"/>
      <c r="O140" s="8"/>
      <c r="P140" s="8"/>
      <c r="Q140" s="8"/>
      <c r="R140" s="8"/>
      <c r="S140" s="8"/>
      <c r="T140" s="8"/>
      <c r="U140" s="8"/>
      <c r="V140" s="8"/>
      <c r="W140" s="8"/>
      <c r="X140" s="8"/>
      <c r="Y140" s="8"/>
      <c r="Z140" s="8"/>
      <c r="AA140" s="8"/>
      <c r="AB140" s="8"/>
      <c r="AC140" s="8"/>
      <c r="AD140" s="8"/>
      <c r="AE140" s="8"/>
      <c r="AF140" s="8"/>
    </row>
    <row r="141" spans="1:32" x14ac:dyDescent="0.3">
      <c r="A141" s="8"/>
      <c r="B141" s="8"/>
      <c r="C141" s="951" t="s">
        <v>4971</v>
      </c>
      <c r="D141" s="951"/>
      <c r="E141" s="951"/>
      <c r="F141" s="951"/>
      <c r="G141" s="951"/>
      <c r="H141" s="2799">
        <f>(1/2)*$H$129*$H$122/SUM($H$128:$N$130)</f>
        <v>0.13848420098420097</v>
      </c>
      <c r="I141" s="2800"/>
      <c r="J141" s="2800"/>
      <c r="K141" s="2800"/>
      <c r="L141" s="2800"/>
      <c r="M141" s="2800"/>
      <c r="N141" s="2801"/>
      <c r="O141" s="8"/>
      <c r="P141" s="8"/>
      <c r="Q141" s="8"/>
      <c r="R141" s="8"/>
      <c r="S141" s="8"/>
      <c r="T141" s="8"/>
      <c r="U141" s="8"/>
      <c r="V141" s="8"/>
      <c r="W141" s="8"/>
      <c r="X141" s="8"/>
      <c r="Y141" s="8"/>
      <c r="Z141" s="8"/>
      <c r="AA141" s="8"/>
      <c r="AB141" s="8"/>
      <c r="AC141" s="8"/>
      <c r="AD141" s="8"/>
      <c r="AE141" s="8"/>
      <c r="AF141" s="8"/>
    </row>
    <row r="142" spans="1:32" x14ac:dyDescent="0.3">
      <c r="A142" s="8"/>
      <c r="B142" s="8"/>
      <c r="C142" s="951" t="s">
        <v>4972</v>
      </c>
      <c r="D142" s="951"/>
      <c r="E142" s="951"/>
      <c r="F142" s="951"/>
      <c r="G142" s="951"/>
      <c r="H142" s="2799">
        <f>(1/2)*$H$129*$H$122/SUM($H$128:$N$130)</f>
        <v>0.13848420098420097</v>
      </c>
      <c r="I142" s="2800"/>
      <c r="J142" s="2800"/>
      <c r="K142" s="2800"/>
      <c r="L142" s="2800"/>
      <c r="M142" s="2800"/>
      <c r="N142" s="2801"/>
      <c r="O142" s="8"/>
      <c r="P142" s="8"/>
      <c r="Q142" s="8"/>
      <c r="R142" s="8"/>
      <c r="S142" s="8"/>
      <c r="T142" s="8"/>
      <c r="U142" s="8"/>
      <c r="V142" s="8"/>
      <c r="W142" s="8"/>
      <c r="X142" s="8"/>
      <c r="Y142" s="8"/>
      <c r="Z142" s="8"/>
      <c r="AA142" s="8"/>
      <c r="AB142" s="8"/>
      <c r="AC142" s="8"/>
      <c r="AD142" s="8"/>
      <c r="AE142" s="8"/>
      <c r="AF142" s="8"/>
    </row>
    <row r="143" spans="1:32" x14ac:dyDescent="0.3">
      <c r="A143" s="8"/>
      <c r="B143" s="8"/>
      <c r="C143" s="951" t="s">
        <v>4973</v>
      </c>
      <c r="D143" s="951"/>
      <c r="E143" s="951"/>
      <c r="F143" s="951"/>
      <c r="G143" s="951"/>
      <c r="H143" s="2799">
        <f>$H$122*$H$130*(1/2)/SUM($H$128:$N$130)</f>
        <v>0.13378982128982128</v>
      </c>
      <c r="I143" s="2800"/>
      <c r="J143" s="2800"/>
      <c r="K143" s="2800"/>
      <c r="L143" s="2800"/>
      <c r="M143" s="2800"/>
      <c r="N143" s="2801"/>
      <c r="O143" s="8"/>
      <c r="P143" s="8"/>
      <c r="Q143" s="8"/>
      <c r="R143" s="8"/>
      <c r="S143" s="8"/>
      <c r="T143" s="8"/>
      <c r="U143" s="8"/>
      <c r="V143" s="8"/>
      <c r="W143" s="8"/>
      <c r="X143" s="8"/>
      <c r="Y143" s="8"/>
      <c r="Z143" s="8"/>
      <c r="AA143" s="8"/>
      <c r="AB143" s="8"/>
      <c r="AC143" s="8"/>
      <c r="AD143" s="8"/>
      <c r="AE143" s="8"/>
      <c r="AF143" s="8"/>
    </row>
    <row r="144" spans="1:32" x14ac:dyDescent="0.3">
      <c r="A144" s="8"/>
      <c r="B144" s="8"/>
      <c r="C144" s="951" t="s">
        <v>4974</v>
      </c>
      <c r="D144" s="951"/>
      <c r="E144" s="951"/>
      <c r="F144" s="951"/>
      <c r="G144" s="951"/>
      <c r="H144" s="2799">
        <f>$H$122*$H$130*(1/2)/SUM($H$128:$N$130)</f>
        <v>0.13378982128982128</v>
      </c>
      <c r="I144" s="2800"/>
      <c r="J144" s="2800"/>
      <c r="K144" s="2800"/>
      <c r="L144" s="2800"/>
      <c r="M144" s="2800"/>
      <c r="N144" s="2801"/>
      <c r="O144" s="8"/>
      <c r="P144" s="8"/>
      <c r="Q144" s="8"/>
      <c r="R144" s="8"/>
      <c r="S144" s="8"/>
      <c r="T144" s="8"/>
      <c r="U144" s="8"/>
      <c r="V144" s="8"/>
      <c r="W144" s="8"/>
      <c r="X144" s="8"/>
      <c r="Y144" s="8"/>
      <c r="Z144" s="8"/>
      <c r="AA144" s="8"/>
      <c r="AB144" s="8"/>
      <c r="AC144" s="8"/>
      <c r="AD144" s="8"/>
      <c r="AE144" s="8"/>
      <c r="AF144" s="8"/>
    </row>
    <row r="145" spans="1:32" x14ac:dyDescent="0.3">
      <c r="A145" s="8"/>
      <c r="B145" s="8"/>
      <c r="C145" s="951" t="s">
        <v>4975</v>
      </c>
      <c r="D145" s="951"/>
      <c r="E145" s="951"/>
      <c r="F145" s="951"/>
      <c r="G145" s="951"/>
      <c r="H145" s="2799">
        <f>$H$123*$H$131*(1/2)/SUM($H$131:$N$132)</f>
        <v>0.11565500685871055</v>
      </c>
      <c r="I145" s="2800"/>
      <c r="J145" s="2800"/>
      <c r="K145" s="2800"/>
      <c r="L145" s="2800"/>
      <c r="M145" s="2800"/>
      <c r="N145" s="2801"/>
      <c r="O145" s="8"/>
      <c r="P145" s="8"/>
      <c r="Q145" s="8"/>
      <c r="R145" s="8"/>
      <c r="S145" s="8"/>
      <c r="T145" s="8"/>
      <c r="U145" s="8"/>
      <c r="V145" s="8"/>
      <c r="W145" s="8"/>
      <c r="X145" s="8"/>
      <c r="Y145" s="8"/>
      <c r="Z145" s="8"/>
      <c r="AA145" s="8"/>
      <c r="AB145" s="8"/>
      <c r="AC145" s="8"/>
      <c r="AD145" s="8"/>
      <c r="AE145" s="8"/>
      <c r="AF145" s="8"/>
    </row>
    <row r="146" spans="1:32" x14ac:dyDescent="0.3">
      <c r="A146" s="8"/>
      <c r="B146" s="8"/>
      <c r="C146" s="951" t="s">
        <v>4976</v>
      </c>
      <c r="D146" s="951"/>
      <c r="E146" s="951"/>
      <c r="F146" s="951"/>
      <c r="G146" s="951"/>
      <c r="H146" s="2799">
        <f>$H$123*$H$131*(1/2)/SUM($H$131:$N$132)</f>
        <v>0.11565500685871055</v>
      </c>
      <c r="I146" s="2800"/>
      <c r="J146" s="2800"/>
      <c r="K146" s="2800"/>
      <c r="L146" s="2800"/>
      <c r="M146" s="2800"/>
      <c r="N146" s="2801"/>
      <c r="O146" s="8"/>
      <c r="P146" s="8"/>
      <c r="Q146" s="8"/>
      <c r="R146" s="8"/>
      <c r="S146" s="8"/>
      <c r="T146" s="8"/>
      <c r="U146" s="8"/>
      <c r="V146" s="8"/>
      <c r="W146" s="8"/>
      <c r="X146" s="8"/>
      <c r="Y146" s="8"/>
      <c r="Z146" s="8"/>
      <c r="AA146" s="8"/>
      <c r="AB146" s="8"/>
      <c r="AC146" s="8"/>
      <c r="AD146" s="8"/>
      <c r="AE146" s="8"/>
      <c r="AF146" s="8"/>
    </row>
    <row r="147" spans="1:32" x14ac:dyDescent="0.3">
      <c r="A147" s="8"/>
      <c r="B147" s="8"/>
      <c r="C147" s="951" t="s">
        <v>4977</v>
      </c>
      <c r="D147" s="951"/>
      <c r="E147" s="951"/>
      <c r="F147" s="951"/>
      <c r="G147" s="951"/>
      <c r="H147" s="2799">
        <f>$H$123*$H$132*(1/2)/SUM($H$131:$N$132)</f>
        <v>4.8696844993141281E-2</v>
      </c>
      <c r="I147" s="2800"/>
      <c r="J147" s="2800"/>
      <c r="K147" s="2800"/>
      <c r="L147" s="2800"/>
      <c r="M147" s="2800"/>
      <c r="N147" s="2801"/>
      <c r="O147" s="8"/>
      <c r="P147" s="8"/>
      <c r="Q147" s="8"/>
      <c r="R147" s="8"/>
      <c r="S147" s="8"/>
      <c r="T147" s="8"/>
      <c r="U147" s="8"/>
      <c r="V147" s="8"/>
      <c r="W147" s="8"/>
      <c r="X147" s="8"/>
      <c r="Y147" s="8"/>
      <c r="Z147" s="8"/>
      <c r="AA147" s="8"/>
      <c r="AB147" s="8"/>
      <c r="AC147" s="8"/>
      <c r="AD147" s="8"/>
      <c r="AE147" s="8"/>
      <c r="AF147" s="8"/>
    </row>
    <row r="148" spans="1:32" x14ac:dyDescent="0.3">
      <c r="A148" s="8"/>
      <c r="B148" s="8"/>
      <c r="C148" s="951" t="s">
        <v>4978</v>
      </c>
      <c r="D148" s="951"/>
      <c r="E148" s="951"/>
      <c r="F148" s="951"/>
      <c r="G148" s="951"/>
      <c r="H148" s="2799">
        <f>$H$123*$H$132*(1/2)/SUM($H$131:$N$132)</f>
        <v>4.8696844993141281E-2</v>
      </c>
      <c r="I148" s="2800"/>
      <c r="J148" s="2800"/>
      <c r="K148" s="2800"/>
      <c r="L148" s="2800"/>
      <c r="M148" s="2800"/>
      <c r="N148" s="2801"/>
      <c r="O148" s="8"/>
      <c r="P148" s="8"/>
      <c r="Q148" s="8"/>
      <c r="R148" s="8"/>
      <c r="S148" s="8"/>
      <c r="T148" s="8"/>
      <c r="U148" s="8"/>
      <c r="V148" s="8"/>
      <c r="W148" s="8"/>
      <c r="X148" s="8"/>
      <c r="Y148" s="8"/>
      <c r="Z148" s="8"/>
      <c r="AA148" s="8"/>
      <c r="AB148" s="8"/>
      <c r="AC148" s="8"/>
      <c r="AD148" s="8"/>
      <c r="AE148" s="8"/>
      <c r="AF148" s="8"/>
    </row>
    <row r="149" spans="1:32" ht="40.5" customHeight="1" x14ac:dyDescent="0.3">
      <c r="A149" s="8"/>
      <c r="B149" s="8"/>
      <c r="C149" s="1082" t="s">
        <v>5001</v>
      </c>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c r="AA149" s="1082"/>
      <c r="AB149" s="1082"/>
      <c r="AC149" s="1082"/>
      <c r="AD149" s="1082"/>
      <c r="AE149" s="1082"/>
      <c r="AF149" s="1082"/>
    </row>
    <row r="150" spans="1:32" ht="29.25" customHeight="1" x14ac:dyDescent="0.3">
      <c r="A150" s="8"/>
      <c r="B150" s="8"/>
      <c r="C150" s="1082" t="s">
        <v>5002</v>
      </c>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c r="AA150" s="1082"/>
      <c r="AB150" s="1082"/>
      <c r="AC150" s="1082"/>
      <c r="AD150" s="1082"/>
      <c r="AE150" s="1082"/>
      <c r="AF150" s="1082"/>
    </row>
    <row r="151" spans="1:32" x14ac:dyDescent="0.3">
      <c r="A151" s="8"/>
      <c r="B151" s="8"/>
      <c r="C151" s="8"/>
      <c r="D151" s="8"/>
      <c r="E151" s="8"/>
      <c r="F151" s="8"/>
      <c r="G151" s="8"/>
      <c r="H151" s="8"/>
      <c r="I151" s="8"/>
      <c r="J151" s="8"/>
      <c r="K151" s="8"/>
      <c r="L151" s="8"/>
      <c r="M151" s="8"/>
      <c r="N151" s="8"/>
      <c r="O151" s="8"/>
      <c r="P151" s="59"/>
      <c r="Q151" s="8"/>
      <c r="R151" s="8"/>
      <c r="S151" s="8"/>
      <c r="T151" s="8"/>
      <c r="U151" s="8"/>
      <c r="V151" s="8"/>
      <c r="W151" s="8"/>
      <c r="X151" s="8"/>
      <c r="Y151" s="8"/>
      <c r="Z151" s="8"/>
      <c r="AA151" s="8"/>
      <c r="AB151" s="8"/>
      <c r="AC151" s="8"/>
      <c r="AD151" s="8"/>
      <c r="AE151" s="8"/>
      <c r="AF151" s="8"/>
    </row>
    <row r="152" spans="1:32" x14ac:dyDescent="0.3">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x14ac:dyDescent="0.3">
      <c r="A153" s="869" t="s">
        <v>14</v>
      </c>
      <c r="B153" s="870"/>
      <c r="C153" s="870"/>
      <c r="D153" s="870"/>
      <c r="E153" s="870"/>
      <c r="F153" s="870"/>
      <c r="G153" s="870"/>
      <c r="H153" s="870"/>
      <c r="I153" s="870"/>
      <c r="J153" s="870"/>
      <c r="K153" s="870"/>
      <c r="L153" s="870"/>
      <c r="M153" s="870"/>
      <c r="N153" s="870"/>
      <c r="O153" s="870"/>
      <c r="P153" s="870"/>
      <c r="Q153" s="870"/>
      <c r="R153" s="870"/>
      <c r="S153" s="870"/>
      <c r="T153" s="870"/>
      <c r="U153" s="870"/>
      <c r="V153" s="870"/>
      <c r="W153" s="870"/>
      <c r="X153" s="870"/>
      <c r="Y153" s="870"/>
      <c r="Z153" s="870"/>
      <c r="AA153" s="870"/>
      <c r="AB153" s="870"/>
      <c r="AC153" s="870"/>
      <c r="AD153" s="870"/>
      <c r="AE153" s="870"/>
      <c r="AF153" s="871"/>
    </row>
    <row r="154" spans="1:32" x14ac:dyDescent="0.3">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x14ac:dyDescent="0.3">
      <c r="A155" s="3"/>
      <c r="B155" s="498" t="s">
        <v>5003</v>
      </c>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 thickBot="1" x14ac:dyDescent="0.3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x14ac:dyDescent="0.3">
      <c r="A157" s="1252" t="s">
        <v>15</v>
      </c>
      <c r="B157" s="1253"/>
      <c r="C157" s="1253"/>
      <c r="D157" s="1253"/>
      <c r="E157" s="1253"/>
      <c r="F157" s="1253"/>
      <c r="G157" s="1253"/>
      <c r="H157" s="1253"/>
      <c r="I157" s="1253" t="s">
        <v>16</v>
      </c>
      <c r="J157" s="1253"/>
      <c r="K157" s="1253"/>
      <c r="L157" s="1253"/>
      <c r="M157" s="1253"/>
      <c r="N157" s="1253"/>
      <c r="O157" s="1253"/>
      <c r="P157" s="1253"/>
      <c r="Q157" s="1253" t="s">
        <v>17</v>
      </c>
      <c r="R157" s="1253"/>
      <c r="S157" s="1253"/>
      <c r="T157" s="1253"/>
      <c r="U157" s="1253"/>
      <c r="V157" s="1253"/>
      <c r="W157" s="1253"/>
      <c r="X157" s="1279"/>
      <c r="Y157" s="1552" t="s">
        <v>1826</v>
      </c>
      <c r="Z157" s="2791"/>
      <c r="AA157" s="2791"/>
      <c r="AB157" s="2791"/>
      <c r="AC157" s="2791"/>
      <c r="AD157" s="2791"/>
      <c r="AE157" s="2791"/>
      <c r="AF157" s="2802"/>
    </row>
    <row r="158" spans="1:32" x14ac:dyDescent="0.3">
      <c r="A158" s="1454" t="s">
        <v>5004</v>
      </c>
      <c r="B158" s="949"/>
      <c r="C158" s="949"/>
      <c r="D158" s="949"/>
      <c r="E158" s="949"/>
      <c r="F158" s="949"/>
      <c r="G158" s="949"/>
      <c r="H158" s="949"/>
      <c r="I158" s="2803">
        <f>ROUND(SUMPRODUCT($H$138:$N$148,$H$108:$N$118),3)</f>
        <v>1.2E-2</v>
      </c>
      <c r="J158" s="2803"/>
      <c r="K158" s="2803"/>
      <c r="L158" s="2803"/>
      <c r="M158" s="2803"/>
      <c r="N158" s="2803"/>
      <c r="O158" s="2803"/>
      <c r="P158" s="2803"/>
      <c r="Q158" s="2804">
        <f>ROUND(SUMPRODUCT($H$138:$N$148,$H$94:$N$104),2)</f>
        <v>38.93</v>
      </c>
      <c r="R158" s="2804"/>
      <c r="S158" s="2804"/>
      <c r="T158" s="2804"/>
      <c r="U158" s="2804"/>
      <c r="V158" s="2804"/>
      <c r="W158" s="2804"/>
      <c r="X158" s="2804"/>
      <c r="Y158" s="2805">
        <f>ROUND(Q158*$Q$59,2)</f>
        <v>233.58</v>
      </c>
      <c r="Z158" s="2806"/>
      <c r="AA158" s="2806"/>
      <c r="AB158" s="2806"/>
      <c r="AC158" s="2806"/>
      <c r="AD158" s="2806"/>
      <c r="AE158" s="2806"/>
      <c r="AF158" s="2807"/>
    </row>
    <row r="159" spans="1:32" ht="15" thickBot="1" x14ac:dyDescent="0.35">
      <c r="A159" s="2808" t="s">
        <v>5005</v>
      </c>
      <c r="B159" s="2809"/>
      <c r="C159" s="2809"/>
      <c r="D159" s="2809"/>
      <c r="E159" s="2809"/>
      <c r="F159" s="2809"/>
      <c r="G159" s="2809"/>
      <c r="H159" s="2809"/>
      <c r="I159" s="2810">
        <f>ROUND(SUMPRODUCT($H$138:$N$148,$O$108:$U$118),3)</f>
        <v>1.7999999999999999E-2</v>
      </c>
      <c r="J159" s="2810"/>
      <c r="K159" s="2810"/>
      <c r="L159" s="2810"/>
      <c r="M159" s="2810"/>
      <c r="N159" s="2810"/>
      <c r="O159" s="2810"/>
      <c r="P159" s="2810"/>
      <c r="Q159" s="2811">
        <f>ROUND(SUMPRODUCT($H$138:$N$148,$O$94:$U$104),2)</f>
        <v>58.39</v>
      </c>
      <c r="R159" s="2811"/>
      <c r="S159" s="2811"/>
      <c r="T159" s="2811"/>
      <c r="U159" s="2811"/>
      <c r="V159" s="2811"/>
      <c r="W159" s="2811"/>
      <c r="X159" s="2812"/>
      <c r="Y159" s="2813">
        <f>ROUND(Q159*$Q$59,2)</f>
        <v>350.34</v>
      </c>
      <c r="Z159" s="2814"/>
      <c r="AA159" s="2814"/>
      <c r="AB159" s="2814"/>
      <c r="AC159" s="2814"/>
      <c r="AD159" s="2814"/>
      <c r="AE159" s="2814"/>
      <c r="AF159" s="2815"/>
    </row>
    <row r="160" spans="1:32" x14ac:dyDescent="0.3">
      <c r="A160" s="7"/>
      <c r="B160" s="7"/>
      <c r="C160" s="7"/>
      <c r="D160" s="7"/>
      <c r="E160" s="7"/>
      <c r="F160" s="7"/>
      <c r="G160" s="7"/>
      <c r="H160" s="7"/>
      <c r="I160" s="632"/>
      <c r="J160" s="632"/>
      <c r="K160" s="632"/>
      <c r="L160" s="632"/>
      <c r="M160" s="632"/>
      <c r="N160" s="632"/>
      <c r="O160" s="632"/>
      <c r="P160" s="632"/>
      <c r="Q160" s="632"/>
      <c r="R160" s="632"/>
      <c r="S160" s="632"/>
      <c r="T160" s="632"/>
      <c r="U160" s="632"/>
      <c r="V160" s="632"/>
      <c r="W160" s="632"/>
      <c r="X160" s="632"/>
    </row>
    <row r="161" spans="1:32" x14ac:dyDescent="0.3">
      <c r="A161" s="7"/>
      <c r="B161" s="498" t="s">
        <v>5006</v>
      </c>
      <c r="C161" s="7"/>
      <c r="D161" s="7"/>
      <c r="E161" s="7"/>
      <c r="F161" s="7"/>
      <c r="G161" s="7"/>
      <c r="H161" s="7"/>
      <c r="I161" s="632"/>
      <c r="J161" s="632"/>
      <c r="K161" s="632"/>
      <c r="L161" s="632"/>
      <c r="M161" s="632"/>
      <c r="N161" s="632"/>
      <c r="O161" s="632"/>
      <c r="P161" s="632"/>
      <c r="Q161" s="632"/>
      <c r="R161" s="632"/>
      <c r="S161" s="632"/>
      <c r="T161" s="632"/>
      <c r="U161" s="632"/>
      <c r="V161" s="632"/>
      <c r="W161" s="632"/>
      <c r="X161" s="632"/>
    </row>
    <row r="162" spans="1:32" x14ac:dyDescent="0.3">
      <c r="A162" s="7"/>
      <c r="C162" s="7"/>
      <c r="D162" s="7"/>
      <c r="E162" s="7"/>
      <c r="F162" s="7"/>
      <c r="G162" s="7"/>
      <c r="H162" s="7"/>
      <c r="I162" s="632"/>
      <c r="J162" s="632"/>
      <c r="K162" s="632"/>
      <c r="L162" s="632"/>
      <c r="M162" s="632"/>
      <c r="N162" s="632"/>
      <c r="O162" s="632"/>
      <c r="P162" s="632"/>
      <c r="Q162" s="632"/>
      <c r="R162" s="632"/>
      <c r="S162" s="632"/>
      <c r="T162" s="632"/>
      <c r="U162" s="632"/>
      <c r="V162" s="632"/>
      <c r="W162" s="632"/>
      <c r="X162" s="632"/>
    </row>
    <row r="163" spans="1:32" x14ac:dyDescent="0.3">
      <c r="A163" s="7"/>
      <c r="B163" s="94" t="s">
        <v>5007</v>
      </c>
      <c r="C163" s="7"/>
      <c r="D163" s="7"/>
      <c r="E163" s="7"/>
      <c r="F163" s="2816" t="s">
        <v>4983</v>
      </c>
      <c r="G163" s="2817"/>
      <c r="H163" s="2817"/>
      <c r="I163" s="2817"/>
      <c r="J163" s="2817"/>
      <c r="K163" s="2817"/>
      <c r="L163" s="2817"/>
      <c r="M163" s="2818"/>
      <c r="N163" s="632"/>
      <c r="P163" s="632"/>
      <c r="Q163" s="633" t="s">
        <v>5008</v>
      </c>
      <c r="R163" s="2816" t="s">
        <v>4972</v>
      </c>
      <c r="S163" s="2817"/>
      <c r="T163" s="2817"/>
      <c r="U163" s="2817"/>
      <c r="V163" s="2818"/>
      <c r="W163" s="632"/>
      <c r="X163" s="632"/>
    </row>
    <row r="164" spans="1:32" ht="15" thickBot="1" x14ac:dyDescent="0.35">
      <c r="A164" s="7"/>
      <c r="B164" s="553"/>
      <c r="C164" s="7"/>
      <c r="D164" s="7"/>
      <c r="E164" s="7"/>
      <c r="F164" s="7"/>
      <c r="G164" s="7"/>
      <c r="H164" s="7"/>
      <c r="I164" s="632"/>
      <c r="J164" s="632"/>
      <c r="K164" s="632"/>
      <c r="L164" s="632"/>
      <c r="M164" s="632"/>
      <c r="N164" s="632"/>
      <c r="O164" s="632"/>
      <c r="P164" s="632"/>
      <c r="Q164" s="632"/>
      <c r="R164" s="632"/>
      <c r="S164" s="632"/>
      <c r="T164" s="632"/>
      <c r="U164" s="632"/>
      <c r="V164" s="632"/>
      <c r="W164" s="632"/>
      <c r="X164" s="632"/>
    </row>
    <row r="165" spans="1:32" x14ac:dyDescent="0.3">
      <c r="A165" s="1482" t="s">
        <v>15</v>
      </c>
      <c r="B165" s="1312"/>
      <c r="C165" s="1312"/>
      <c r="D165" s="1312"/>
      <c r="E165" s="1312"/>
      <c r="F165" s="1312"/>
      <c r="G165" s="1312"/>
      <c r="H165" s="1312"/>
      <c r="I165" s="1312" t="s">
        <v>16</v>
      </c>
      <c r="J165" s="1312"/>
      <c r="K165" s="1312"/>
      <c r="L165" s="1312"/>
      <c r="M165" s="1312"/>
      <c r="N165" s="1312"/>
      <c r="O165" s="1312"/>
      <c r="P165" s="1312"/>
      <c r="Q165" s="1312" t="s">
        <v>17</v>
      </c>
      <c r="R165" s="1312"/>
      <c r="S165" s="1312"/>
      <c r="T165" s="1312"/>
      <c r="U165" s="1312"/>
      <c r="V165" s="1312"/>
      <c r="W165" s="1312"/>
      <c r="X165" s="1312"/>
      <c r="Y165" s="1552" t="s">
        <v>1826</v>
      </c>
      <c r="Z165" s="2791"/>
      <c r="AA165" s="2791"/>
      <c r="AB165" s="2791"/>
      <c r="AC165" s="2791"/>
      <c r="AD165" s="2791"/>
      <c r="AE165" s="2791"/>
      <c r="AF165" s="2802"/>
    </row>
    <row r="166" spans="1:32" ht="31.5" customHeight="1" thickBot="1" x14ac:dyDescent="0.35">
      <c r="A166" s="2819" t="str">
        <f>$F$163&amp;" "&amp;$R$163</f>
        <v>ENERGY STAR non-4K 35" - 39"</v>
      </c>
      <c r="B166" s="2820"/>
      <c r="C166" s="2820"/>
      <c r="D166" s="2820"/>
      <c r="E166" s="2820"/>
      <c r="F166" s="2820"/>
      <c r="G166" s="2820"/>
      <c r="H166" s="2820"/>
      <c r="I166" s="2165">
        <f>ROUND(INDEX($H$108:$U$118,MATCH($R$163,$C$108:$C$118,0),MATCH($F$163,$H$107:$U$107,0)),3)</f>
        <v>8.0000000000000002E-3</v>
      </c>
      <c r="J166" s="2165"/>
      <c r="K166" s="2165"/>
      <c r="L166" s="2165"/>
      <c r="M166" s="2165"/>
      <c r="N166" s="2165"/>
      <c r="O166" s="2165"/>
      <c r="P166" s="2165"/>
      <c r="Q166" s="2166">
        <f>ROUND(INDEX($H$94:$U$104,MATCH($R$163,$C$94:$C$104,0),MATCH($F$163,$H$93:$U$93,0)),2)</f>
        <v>25.52</v>
      </c>
      <c r="R166" s="2166"/>
      <c r="S166" s="2166"/>
      <c r="T166" s="2166"/>
      <c r="U166" s="2166"/>
      <c r="V166" s="2166"/>
      <c r="W166" s="2166"/>
      <c r="X166" s="2166"/>
      <c r="Y166" s="2821">
        <f>ROUND(Q166*$Q$59,2)</f>
        <v>153.12</v>
      </c>
      <c r="Z166" s="2822"/>
      <c r="AA166" s="2822"/>
      <c r="AB166" s="2822"/>
      <c r="AC166" s="2822"/>
      <c r="AD166" s="2822"/>
      <c r="AE166" s="2822"/>
      <c r="AF166" s="2823"/>
    </row>
    <row r="167" spans="1:32" x14ac:dyDescent="0.3">
      <c r="A167" s="7"/>
      <c r="B167" s="7"/>
      <c r="C167" s="7"/>
      <c r="D167" s="7"/>
      <c r="E167" s="7"/>
      <c r="F167" s="7"/>
      <c r="G167" s="7"/>
      <c r="H167" s="7"/>
      <c r="I167" s="632"/>
      <c r="J167" s="632"/>
      <c r="K167" s="632"/>
      <c r="L167" s="632"/>
      <c r="M167" s="632"/>
      <c r="N167" s="632"/>
      <c r="O167" s="632"/>
      <c r="P167" s="632"/>
      <c r="Q167" s="632"/>
      <c r="R167" s="632"/>
      <c r="S167" s="632"/>
      <c r="T167" s="632"/>
      <c r="U167" s="632"/>
      <c r="V167" s="632"/>
      <c r="W167" s="632"/>
      <c r="X167" s="632"/>
    </row>
    <row r="169" spans="1:32" x14ac:dyDescent="0.3">
      <c r="A169" s="869" t="s">
        <v>1514</v>
      </c>
      <c r="B169" s="870"/>
      <c r="C169" s="870"/>
      <c r="D169" s="870"/>
      <c r="E169" s="870"/>
      <c r="F169" s="870"/>
      <c r="G169" s="870"/>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1"/>
    </row>
    <row r="171" spans="1:32" x14ac:dyDescent="0.3">
      <c r="A171" s="368" t="s">
        <v>803</v>
      </c>
      <c r="B171" s="2824" t="s">
        <v>5009</v>
      </c>
      <c r="C171" s="2824"/>
      <c r="D171" s="2824"/>
      <c r="E171" s="2824"/>
      <c r="F171" s="2824"/>
      <c r="G171" s="2824"/>
      <c r="H171" s="2824"/>
      <c r="I171" s="2824"/>
      <c r="J171" s="2824"/>
      <c r="K171" s="2824"/>
      <c r="L171" s="2824"/>
      <c r="M171" s="2824"/>
      <c r="N171" s="2824"/>
      <c r="O171" s="2824"/>
      <c r="P171" s="2824"/>
      <c r="Q171" s="2824"/>
      <c r="R171" s="2824"/>
      <c r="S171" s="2824"/>
      <c r="T171" s="2824"/>
      <c r="U171" s="2824"/>
      <c r="V171" s="2824"/>
      <c r="W171" s="2824"/>
      <c r="X171" s="2824"/>
      <c r="Y171" s="2824"/>
      <c r="Z171" s="2824"/>
      <c r="AA171" s="2824"/>
      <c r="AB171" s="2824"/>
      <c r="AC171" s="2824"/>
      <c r="AD171" s="2824"/>
      <c r="AE171" s="2824"/>
      <c r="AF171" s="2824"/>
    </row>
    <row r="172" spans="1:32" ht="51.75" customHeight="1" x14ac:dyDescent="0.3">
      <c r="A172" s="370" t="s">
        <v>803</v>
      </c>
      <c r="B172" s="889" t="s">
        <v>5010</v>
      </c>
      <c r="C172" s="889"/>
      <c r="D172" s="889"/>
      <c r="E172" s="889"/>
      <c r="F172" s="889"/>
      <c r="G172" s="889"/>
      <c r="H172" s="889"/>
      <c r="I172" s="889"/>
      <c r="J172" s="889"/>
      <c r="K172" s="889"/>
      <c r="L172" s="889"/>
      <c r="M172" s="889"/>
      <c r="N172" s="889"/>
      <c r="O172" s="889"/>
      <c r="P172" s="889"/>
      <c r="Q172" s="889"/>
      <c r="R172" s="889"/>
      <c r="S172" s="889"/>
      <c r="T172" s="889"/>
      <c r="U172" s="889"/>
      <c r="V172" s="889"/>
      <c r="W172" s="889"/>
      <c r="X172" s="889"/>
      <c r="Y172" s="889"/>
      <c r="Z172" s="889"/>
      <c r="AA172" s="889"/>
      <c r="AB172" s="889"/>
      <c r="AC172" s="889"/>
      <c r="AD172" s="889"/>
      <c r="AE172" s="889"/>
      <c r="AF172" s="889"/>
    </row>
    <row r="173" spans="1:32" ht="65.25" customHeight="1" x14ac:dyDescent="0.3">
      <c r="A173" s="370" t="s">
        <v>803</v>
      </c>
      <c r="B173" s="889" t="s">
        <v>5011</v>
      </c>
      <c r="C173" s="889"/>
      <c r="D173" s="889"/>
      <c r="E173" s="889"/>
      <c r="F173" s="889"/>
      <c r="G173" s="889"/>
      <c r="H173" s="889"/>
      <c r="I173" s="889"/>
      <c r="J173" s="889"/>
      <c r="K173" s="889"/>
      <c r="L173" s="889"/>
      <c r="M173" s="889"/>
      <c r="N173" s="889"/>
      <c r="O173" s="889"/>
      <c r="P173" s="889"/>
      <c r="Q173" s="889"/>
      <c r="R173" s="889"/>
      <c r="S173" s="889"/>
      <c r="T173" s="889"/>
      <c r="U173" s="889"/>
      <c r="V173" s="889"/>
      <c r="W173" s="889"/>
      <c r="X173" s="889"/>
      <c r="Y173" s="889"/>
      <c r="Z173" s="889"/>
      <c r="AA173" s="889"/>
      <c r="AB173" s="889"/>
      <c r="AC173" s="889"/>
      <c r="AD173" s="889"/>
      <c r="AE173" s="889"/>
      <c r="AF173" s="889"/>
    </row>
    <row r="174" spans="1:32" ht="64.5" customHeight="1" x14ac:dyDescent="0.3">
      <c r="A174" s="370" t="s">
        <v>803</v>
      </c>
      <c r="B174" s="889" t="s">
        <v>5012</v>
      </c>
      <c r="C174" s="889"/>
      <c r="D174" s="889"/>
      <c r="E174" s="889"/>
      <c r="F174" s="889"/>
      <c r="G174" s="889"/>
      <c r="H174" s="889"/>
      <c r="I174" s="889"/>
      <c r="J174" s="889"/>
      <c r="K174" s="889"/>
      <c r="L174" s="889"/>
      <c r="M174" s="889"/>
      <c r="N174" s="889"/>
      <c r="O174" s="889"/>
      <c r="P174" s="889"/>
      <c r="Q174" s="889"/>
      <c r="R174" s="889"/>
      <c r="S174" s="889"/>
      <c r="T174" s="889"/>
      <c r="U174" s="889"/>
      <c r="V174" s="889"/>
      <c r="W174" s="889"/>
      <c r="X174" s="889"/>
      <c r="Y174" s="889"/>
      <c r="Z174" s="889"/>
      <c r="AA174" s="889"/>
      <c r="AB174" s="889"/>
      <c r="AC174" s="889"/>
      <c r="AD174" s="889"/>
      <c r="AE174" s="889"/>
      <c r="AF174" s="889"/>
    </row>
    <row r="175" spans="1:32" x14ac:dyDescent="0.3">
      <c r="A175" s="368" t="s">
        <v>803</v>
      </c>
      <c r="B175" s="889" t="s">
        <v>5013</v>
      </c>
      <c r="C175" s="889"/>
      <c r="D175" s="889"/>
      <c r="E175" s="889"/>
      <c r="F175" s="889"/>
      <c r="G175" s="889"/>
      <c r="H175" s="889"/>
      <c r="I175" s="889"/>
      <c r="J175" s="889"/>
      <c r="K175" s="889"/>
      <c r="L175" s="889"/>
      <c r="M175" s="889"/>
      <c r="N175" s="889"/>
      <c r="O175" s="889"/>
      <c r="P175" s="889"/>
      <c r="Q175" s="889"/>
      <c r="R175" s="889"/>
      <c r="S175" s="889"/>
      <c r="T175" s="889"/>
      <c r="U175" s="889"/>
      <c r="V175" s="889"/>
      <c r="W175" s="889"/>
      <c r="X175" s="889"/>
      <c r="Y175" s="889"/>
      <c r="Z175" s="889"/>
      <c r="AA175" s="889"/>
      <c r="AB175" s="889"/>
      <c r="AC175" s="889"/>
      <c r="AD175" s="889"/>
      <c r="AE175" s="889"/>
      <c r="AF175" s="889"/>
    </row>
    <row r="176" spans="1:32" ht="49.5" customHeight="1" x14ac:dyDescent="0.3">
      <c r="A176" s="368" t="s">
        <v>803</v>
      </c>
      <c r="B176" s="889" t="s">
        <v>5014</v>
      </c>
      <c r="C176" s="889"/>
      <c r="D176" s="889"/>
      <c r="E176" s="889"/>
      <c r="F176" s="889"/>
      <c r="G176" s="889"/>
      <c r="H176" s="889"/>
      <c r="I176" s="889"/>
      <c r="J176" s="889"/>
      <c r="K176" s="889"/>
      <c r="L176" s="889"/>
      <c r="M176" s="889"/>
      <c r="N176" s="889"/>
      <c r="O176" s="889"/>
      <c r="P176" s="889"/>
      <c r="Q176" s="889"/>
      <c r="R176" s="889"/>
      <c r="S176" s="889"/>
      <c r="T176" s="889"/>
      <c r="U176" s="889"/>
      <c r="V176" s="889"/>
      <c r="W176" s="889"/>
      <c r="X176" s="889"/>
      <c r="Y176" s="889"/>
      <c r="Z176" s="889"/>
      <c r="AA176" s="889"/>
      <c r="AB176" s="889"/>
      <c r="AC176" s="889"/>
      <c r="AD176" s="889"/>
      <c r="AE176" s="889"/>
      <c r="AF176" s="889"/>
    </row>
    <row r="177" spans="1:32" ht="36.75" customHeight="1" x14ac:dyDescent="0.3">
      <c r="A177" s="368" t="s">
        <v>803</v>
      </c>
      <c r="B177" s="889" t="s">
        <v>5015</v>
      </c>
      <c r="C177" s="889"/>
      <c r="D177" s="889"/>
      <c r="E177" s="889"/>
      <c r="F177" s="889"/>
      <c r="G177" s="889"/>
      <c r="H177" s="889"/>
      <c r="I177" s="889"/>
      <c r="J177" s="889"/>
      <c r="K177" s="889"/>
      <c r="L177" s="889"/>
      <c r="M177" s="889"/>
      <c r="N177" s="889"/>
      <c r="O177" s="889"/>
      <c r="P177" s="889"/>
      <c r="Q177" s="889"/>
      <c r="R177" s="889"/>
      <c r="S177" s="889"/>
      <c r="T177" s="889"/>
      <c r="U177" s="889"/>
      <c r="V177" s="889"/>
      <c r="W177" s="889"/>
      <c r="X177" s="889"/>
      <c r="Y177" s="889"/>
      <c r="Z177" s="889"/>
      <c r="AA177" s="889"/>
      <c r="AB177" s="889"/>
      <c r="AC177" s="889"/>
      <c r="AD177" s="889"/>
      <c r="AE177" s="889"/>
      <c r="AF177" s="889"/>
    </row>
    <row r="178" spans="1:32" ht="36.75" customHeight="1" x14ac:dyDescent="0.3">
      <c r="A178" s="368" t="s">
        <v>803</v>
      </c>
      <c r="B178" s="889" t="s">
        <v>5016</v>
      </c>
      <c r="C178" s="889"/>
      <c r="D178" s="889"/>
      <c r="E178" s="889"/>
      <c r="F178" s="889"/>
      <c r="G178" s="889"/>
      <c r="H178" s="889"/>
      <c r="I178" s="889"/>
      <c r="J178" s="889"/>
      <c r="K178" s="889"/>
      <c r="L178" s="889"/>
      <c r="M178" s="889"/>
      <c r="N178" s="889"/>
      <c r="O178" s="889"/>
      <c r="P178" s="889"/>
      <c r="Q178" s="889"/>
      <c r="R178" s="889"/>
      <c r="S178" s="889"/>
      <c r="T178" s="889"/>
      <c r="U178" s="889"/>
      <c r="V178" s="889"/>
      <c r="W178" s="889"/>
      <c r="X178" s="889"/>
      <c r="Y178" s="889"/>
      <c r="Z178" s="889"/>
      <c r="AA178" s="889"/>
      <c r="AB178" s="889"/>
      <c r="AC178" s="889"/>
      <c r="AD178" s="889"/>
      <c r="AE178" s="889"/>
      <c r="AF178" s="889"/>
    </row>
    <row r="179" spans="1:32" x14ac:dyDescent="0.3">
      <c r="A179" s="368"/>
    </row>
  </sheetData>
  <sheetProtection algorithmName="SHA-512" hashValue="dx68tCyxRXLj5VwrsgYKnZEYpUghjgL2+DkIE+e3w0YB69iUvgz/g3uEzWQUhq7htgHbB2mepgAFqb3SXpIn8Q==" saltValue="b2XphM9NBYdaazjYB7v2IQ==" spinCount="100000" sheet="1" objects="1" scenarios="1"/>
  <mergeCells count="294">
    <mergeCell ref="B175:AF175"/>
    <mergeCell ref="B176:AF176"/>
    <mergeCell ref="B177:AF177"/>
    <mergeCell ref="B178:AF178"/>
    <mergeCell ref="A166:H166"/>
    <mergeCell ref="I166:P166"/>
    <mergeCell ref="Q166:X166"/>
    <mergeCell ref="Y166:AF166"/>
    <mergeCell ref="A169:AF169"/>
    <mergeCell ref="B171:AF171"/>
    <mergeCell ref="B172:AF172"/>
    <mergeCell ref="B173:AF173"/>
    <mergeCell ref="B174:AF174"/>
    <mergeCell ref="A159:H159"/>
    <mergeCell ref="I159:P159"/>
    <mergeCell ref="Q159:X159"/>
    <mergeCell ref="Y159:AF159"/>
    <mergeCell ref="F163:M163"/>
    <mergeCell ref="R163:V163"/>
    <mergeCell ref="A165:H165"/>
    <mergeCell ref="I165:P165"/>
    <mergeCell ref="Q165:X165"/>
    <mergeCell ref="Y165:AF165"/>
    <mergeCell ref="C149:AF149"/>
    <mergeCell ref="C150:AF150"/>
    <mergeCell ref="A153:AF153"/>
    <mergeCell ref="A157:H157"/>
    <mergeCell ref="I157:P157"/>
    <mergeCell ref="Q157:X157"/>
    <mergeCell ref="Y157:AF157"/>
    <mergeCell ref="A158:H158"/>
    <mergeCell ref="I158:P158"/>
    <mergeCell ref="Q158:X158"/>
    <mergeCell ref="Y158:AF158"/>
    <mergeCell ref="C144:G144"/>
    <mergeCell ref="H144:N144"/>
    <mergeCell ref="C145:G145"/>
    <mergeCell ref="H145:N145"/>
    <mergeCell ref="C146:G146"/>
    <mergeCell ref="H146:N146"/>
    <mergeCell ref="C147:G147"/>
    <mergeCell ref="H147:N147"/>
    <mergeCell ref="C148:G148"/>
    <mergeCell ref="H148:N148"/>
    <mergeCell ref="C139:G139"/>
    <mergeCell ref="H139:N139"/>
    <mergeCell ref="C140:G140"/>
    <mergeCell ref="H140:N140"/>
    <mergeCell ref="C141:G141"/>
    <mergeCell ref="H141:N141"/>
    <mergeCell ref="C142:G142"/>
    <mergeCell ref="H142:N142"/>
    <mergeCell ref="C143:G143"/>
    <mergeCell ref="H143:N143"/>
    <mergeCell ref="C131:G131"/>
    <mergeCell ref="H131:N131"/>
    <mergeCell ref="C132:G132"/>
    <mergeCell ref="H132:N132"/>
    <mergeCell ref="C133:AF133"/>
    <mergeCell ref="C134:AF134"/>
    <mergeCell ref="C137:G137"/>
    <mergeCell ref="H137:N137"/>
    <mergeCell ref="C138:G138"/>
    <mergeCell ref="H138:N138"/>
    <mergeCell ref="C124:AF124"/>
    <mergeCell ref="C127:G127"/>
    <mergeCell ref="H127:N127"/>
    <mergeCell ref="C128:G128"/>
    <mergeCell ref="H128:N128"/>
    <mergeCell ref="C129:G129"/>
    <mergeCell ref="H129:N129"/>
    <mergeCell ref="C130:G130"/>
    <mergeCell ref="H130:N130"/>
    <mergeCell ref="C118:G118"/>
    <mergeCell ref="H118:N118"/>
    <mergeCell ref="O118:U118"/>
    <mergeCell ref="C121:G121"/>
    <mergeCell ref="H121:N121"/>
    <mergeCell ref="C122:G122"/>
    <mergeCell ref="H122:N122"/>
    <mergeCell ref="C123:G123"/>
    <mergeCell ref="H123:N123"/>
    <mergeCell ref="C115:G115"/>
    <mergeCell ref="H115:N115"/>
    <mergeCell ref="O115:U115"/>
    <mergeCell ref="C116:G116"/>
    <mergeCell ref="H116:N116"/>
    <mergeCell ref="O116:U116"/>
    <mergeCell ref="C117:G117"/>
    <mergeCell ref="H117:N117"/>
    <mergeCell ref="O117:U117"/>
    <mergeCell ref="C112:G112"/>
    <mergeCell ref="H112:N112"/>
    <mergeCell ref="O112:U112"/>
    <mergeCell ref="C113:G113"/>
    <mergeCell ref="H113:N113"/>
    <mergeCell ref="O113:U113"/>
    <mergeCell ref="C114:G114"/>
    <mergeCell ref="H114:N114"/>
    <mergeCell ref="O114:U114"/>
    <mergeCell ref="C109:G109"/>
    <mergeCell ref="H109:N109"/>
    <mergeCell ref="O109:U109"/>
    <mergeCell ref="C110:G110"/>
    <mergeCell ref="H110:N110"/>
    <mergeCell ref="O110:U110"/>
    <mergeCell ref="C111:G111"/>
    <mergeCell ref="H111:N111"/>
    <mergeCell ref="O111:U111"/>
    <mergeCell ref="C104:G104"/>
    <mergeCell ref="H104:N104"/>
    <mergeCell ref="O104:U104"/>
    <mergeCell ref="H106:U106"/>
    <mergeCell ref="C107:G107"/>
    <mergeCell ref="O107:U107"/>
    <mergeCell ref="C108:G108"/>
    <mergeCell ref="H108:N108"/>
    <mergeCell ref="O108:U108"/>
    <mergeCell ref="C101:G101"/>
    <mergeCell ref="H101:N101"/>
    <mergeCell ref="O101:U101"/>
    <mergeCell ref="C102:G102"/>
    <mergeCell ref="H102:N102"/>
    <mergeCell ref="O102:U102"/>
    <mergeCell ref="C103:G103"/>
    <mergeCell ref="H103:N103"/>
    <mergeCell ref="O103:U103"/>
    <mergeCell ref="C98:G98"/>
    <mergeCell ref="H98:N98"/>
    <mergeCell ref="O98:U98"/>
    <mergeCell ref="C99:G99"/>
    <mergeCell ref="H99:N99"/>
    <mergeCell ref="O99:U99"/>
    <mergeCell ref="C100:G100"/>
    <mergeCell ref="H100:N100"/>
    <mergeCell ref="O100:U100"/>
    <mergeCell ref="C95:G95"/>
    <mergeCell ref="H95:N95"/>
    <mergeCell ref="O95:U95"/>
    <mergeCell ref="C96:G96"/>
    <mergeCell ref="H96:N96"/>
    <mergeCell ref="O96:U96"/>
    <mergeCell ref="C97:G97"/>
    <mergeCell ref="H97:N97"/>
    <mergeCell ref="O97:U97"/>
    <mergeCell ref="C89:G89"/>
    <mergeCell ref="H89:N89"/>
    <mergeCell ref="O89:U89"/>
    <mergeCell ref="C90:AF90"/>
    <mergeCell ref="H92:U92"/>
    <mergeCell ref="C93:G93"/>
    <mergeCell ref="O93:U93"/>
    <mergeCell ref="C94:G94"/>
    <mergeCell ref="H94:N94"/>
    <mergeCell ref="O94:U94"/>
    <mergeCell ref="C86:G86"/>
    <mergeCell ref="H86:N86"/>
    <mergeCell ref="O86:U86"/>
    <mergeCell ref="C87:G87"/>
    <mergeCell ref="H87:N87"/>
    <mergeCell ref="O87:U87"/>
    <mergeCell ref="C88:G88"/>
    <mergeCell ref="H88:N88"/>
    <mergeCell ref="O88:U88"/>
    <mergeCell ref="C83:G83"/>
    <mergeCell ref="H83:N83"/>
    <mergeCell ref="O83:U83"/>
    <mergeCell ref="C84:G84"/>
    <mergeCell ref="H84:N84"/>
    <mergeCell ref="O84:U84"/>
    <mergeCell ref="C85:G85"/>
    <mergeCell ref="H85:N85"/>
    <mergeCell ref="O85:U85"/>
    <mergeCell ref="C80:G80"/>
    <mergeCell ref="H80:N80"/>
    <mergeCell ref="O80:U80"/>
    <mergeCell ref="C81:G81"/>
    <mergeCell ref="H81:N81"/>
    <mergeCell ref="O81:U81"/>
    <mergeCell ref="C82:G82"/>
    <mergeCell ref="H82:N82"/>
    <mergeCell ref="O82:U82"/>
    <mergeCell ref="C74:G74"/>
    <mergeCell ref="H74:N74"/>
    <mergeCell ref="O74:U74"/>
    <mergeCell ref="C75:AF75"/>
    <mergeCell ref="H77:U77"/>
    <mergeCell ref="C78:G78"/>
    <mergeCell ref="H78:N78"/>
    <mergeCell ref="O78:U78"/>
    <mergeCell ref="C79:G79"/>
    <mergeCell ref="H79:N79"/>
    <mergeCell ref="O79:U79"/>
    <mergeCell ref="C71:G71"/>
    <mergeCell ref="H71:N71"/>
    <mergeCell ref="O71:U71"/>
    <mergeCell ref="C72:G72"/>
    <mergeCell ref="H72:N72"/>
    <mergeCell ref="O72:U72"/>
    <mergeCell ref="C73:G73"/>
    <mergeCell ref="H73:N73"/>
    <mergeCell ref="O73:U73"/>
    <mergeCell ref="C68:G68"/>
    <mergeCell ref="H68:N68"/>
    <mergeCell ref="O68:U68"/>
    <mergeCell ref="C69:G69"/>
    <mergeCell ref="H69:N69"/>
    <mergeCell ref="O69:U69"/>
    <mergeCell ref="C70:G70"/>
    <mergeCell ref="H70:N70"/>
    <mergeCell ref="O70:U70"/>
    <mergeCell ref="C65:G65"/>
    <mergeCell ref="H65:N65"/>
    <mergeCell ref="O65:U65"/>
    <mergeCell ref="C66:G66"/>
    <mergeCell ref="H66:N66"/>
    <mergeCell ref="O66:U66"/>
    <mergeCell ref="C67:G67"/>
    <mergeCell ref="H67:N67"/>
    <mergeCell ref="O67:U67"/>
    <mergeCell ref="A60:B60"/>
    <mergeCell ref="C60:AF60"/>
    <mergeCell ref="H62:U62"/>
    <mergeCell ref="C63:G63"/>
    <mergeCell ref="H63:N63"/>
    <mergeCell ref="O63:U63"/>
    <mergeCell ref="C64:G64"/>
    <mergeCell ref="H64:N64"/>
    <mergeCell ref="O64:U64"/>
    <mergeCell ref="A58:D58"/>
    <mergeCell ref="E58:P58"/>
    <mergeCell ref="Q58:T58"/>
    <mergeCell ref="U58:V58"/>
    <mergeCell ref="W58:AF58"/>
    <mergeCell ref="A59:D59"/>
    <mergeCell ref="E59:P59"/>
    <mergeCell ref="Q59:T59"/>
    <mergeCell ref="U59:V59"/>
    <mergeCell ref="W59:AF59"/>
    <mergeCell ref="W55:AF55"/>
    <mergeCell ref="E56:P56"/>
    <mergeCell ref="Q56:T56"/>
    <mergeCell ref="W56:AF56"/>
    <mergeCell ref="A57:D57"/>
    <mergeCell ref="E57:P57"/>
    <mergeCell ref="Q57:T57"/>
    <mergeCell ref="U57:V57"/>
    <mergeCell ref="W57:AF57"/>
    <mergeCell ref="A1:AF1"/>
    <mergeCell ref="U55:V55"/>
    <mergeCell ref="U56:V56"/>
    <mergeCell ref="A56:D56"/>
    <mergeCell ref="A55:D55"/>
    <mergeCell ref="E55:P55"/>
    <mergeCell ref="Q55:T55"/>
    <mergeCell ref="U54:V54"/>
    <mergeCell ref="A54:D54"/>
    <mergeCell ref="E54:P54"/>
    <mergeCell ref="Q54:T54"/>
    <mergeCell ref="W54:AF54"/>
    <mergeCell ref="U53:V53"/>
    <mergeCell ref="A53:D53"/>
    <mergeCell ref="E53:P53"/>
    <mergeCell ref="Q53:T53"/>
    <mergeCell ref="W53:AF53"/>
    <mergeCell ref="U52:V52"/>
    <mergeCell ref="A52:D52"/>
    <mergeCell ref="E52:P52"/>
    <mergeCell ref="Q52:T52"/>
    <mergeCell ref="W52:AF52"/>
    <mergeCell ref="U51:V51"/>
    <mergeCell ref="A51:D51"/>
    <mergeCell ref="B19:AF19"/>
    <mergeCell ref="B22:AF22"/>
    <mergeCell ref="A25:AF25"/>
    <mergeCell ref="A3:AF3"/>
    <mergeCell ref="E51:P51"/>
    <mergeCell ref="Q51:T51"/>
    <mergeCell ref="W51:AF51"/>
    <mergeCell ref="U50:V50"/>
    <mergeCell ref="A50:D50"/>
    <mergeCell ref="E50:P50"/>
    <mergeCell ref="Q50:T50"/>
    <mergeCell ref="W50:AF50"/>
    <mergeCell ref="A49:AF49"/>
    <mergeCell ref="B5:AF5"/>
    <mergeCell ref="A7:AF7"/>
    <mergeCell ref="B9:I9"/>
    <mergeCell ref="B10:AF10"/>
    <mergeCell ref="B12:I12"/>
    <mergeCell ref="B13:AF13"/>
    <mergeCell ref="B15:I15"/>
    <mergeCell ref="B16:AF16"/>
    <mergeCell ref="B18:I18"/>
  </mergeCells>
  <dataValidations count="2">
    <dataValidation type="list" allowBlank="1" showInputMessage="1" showErrorMessage="1" sqref="F163" xr:uid="{00000000-0002-0000-4A00-000000000000}">
      <formula1>"ENERGY STAR non-4K, ENERGY STAR 4K"</formula1>
    </dataValidation>
    <dataValidation type="list" allowBlank="1" showInputMessage="1" showErrorMessage="1" sqref="R163:V163" xr:uid="{00000000-0002-0000-4A00-000001000000}">
      <formula1>$C$94:$C$104</formula1>
    </dataValidation>
  </dataValidations>
  <hyperlinks>
    <hyperlink ref="A2" location="TOC!A1" display="Return to TOC" xr:uid="{00000000-0004-0000-4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46" numberStoredAsText="1"/>
  </ignoredError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1">
    <tabColor theme="5" tint="0.79998168889431442"/>
    <pageSetUpPr autoPageBreaks="0"/>
  </sheetPr>
  <dimension ref="A1:AF47"/>
  <sheetViews>
    <sheetView workbookViewId="0">
      <selection activeCell="A2" sqref="A2"/>
    </sheetView>
  </sheetViews>
  <sheetFormatPr defaultColWidth="2.6640625" defaultRowHeight="14.4" x14ac:dyDescent="0.3"/>
  <sheetData>
    <row r="1" spans="1:32" s="1" customFormat="1" ht="18" x14ac:dyDescent="0.3">
      <c r="A1" s="1131" t="s">
        <v>901</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s="1" customFormat="1"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s="1" customForma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3">
      <c r="B5" s="1144" t="s">
        <v>3</v>
      </c>
      <c r="C5" s="1144"/>
      <c r="D5" s="1144"/>
      <c r="E5" s="1144"/>
      <c r="F5" s="1144"/>
      <c r="G5" s="1144"/>
      <c r="H5" s="1144"/>
      <c r="I5" s="1144"/>
    </row>
    <row r="6" spans="1:32" s="4" customFormat="1" ht="32.25" customHeight="1" x14ac:dyDescent="0.3">
      <c r="B6" s="872" t="s">
        <v>839</v>
      </c>
      <c r="C6" s="872"/>
      <c r="D6" s="872"/>
      <c r="E6" s="872"/>
      <c r="F6" s="872"/>
      <c r="G6" s="872"/>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row>
    <row r="7" spans="1:32" s="1" customFormat="1" x14ac:dyDescent="0.3"/>
    <row r="8" spans="1:32" s="1" customFormat="1" x14ac:dyDescent="0.3">
      <c r="B8" s="1144" t="s">
        <v>4</v>
      </c>
      <c r="C8" s="1144"/>
      <c r="D8" s="1144"/>
      <c r="E8" s="1144"/>
      <c r="F8" s="1144"/>
      <c r="G8" s="1144"/>
      <c r="H8" s="1144"/>
      <c r="I8" s="1144"/>
    </row>
    <row r="9" spans="1:32" s="1" customFormat="1" x14ac:dyDescent="0.3">
      <c r="B9" s="1142" t="s">
        <v>368</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0" spans="1:32" s="1" customFormat="1" x14ac:dyDescent="0.3"/>
    <row r="11" spans="1:32" s="1" customFormat="1" x14ac:dyDescent="0.3">
      <c r="B11" s="1144" t="s">
        <v>5</v>
      </c>
      <c r="C11" s="1144"/>
      <c r="D11" s="1144"/>
      <c r="E11" s="1144"/>
      <c r="F11" s="1144"/>
      <c r="G11" s="1144"/>
      <c r="H11" s="1144"/>
      <c r="I11" s="1144"/>
    </row>
    <row r="12" spans="1:32" s="1" customFormat="1" x14ac:dyDescent="0.3">
      <c r="B12" s="1142" t="s">
        <v>836</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3" spans="1:32" s="1" customFormat="1" x14ac:dyDescent="0.3"/>
    <row r="14" spans="1:32" s="1" customFormat="1" x14ac:dyDescent="0.3">
      <c r="B14" s="1144" t="s">
        <v>6</v>
      </c>
      <c r="C14" s="1144"/>
      <c r="D14" s="1144"/>
      <c r="E14" s="1144"/>
      <c r="F14" s="1144"/>
      <c r="G14" s="1144"/>
      <c r="H14" s="1144"/>
      <c r="I14" s="1144"/>
    </row>
    <row r="15" spans="1:32" s="4" customFormat="1" ht="14.4" customHeight="1" x14ac:dyDescent="0.3">
      <c r="B15" s="872" t="s">
        <v>838</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16" spans="1:32" s="1" customFormat="1" x14ac:dyDescent="0.3"/>
    <row r="17" spans="1:32" s="1" customFormat="1" x14ac:dyDescent="0.3">
      <c r="B17" s="51" t="s">
        <v>13</v>
      </c>
      <c r="C17" s="51"/>
      <c r="D17" s="51"/>
      <c r="E17" s="51"/>
      <c r="F17" s="51"/>
      <c r="G17" s="51"/>
      <c r="H17" s="51"/>
      <c r="I17" s="51"/>
    </row>
    <row r="18" spans="1:32" s="1" customFormat="1" ht="14.4" customHeight="1" x14ac:dyDescent="0.3">
      <c r="B18" s="872" t="s">
        <v>837</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19" spans="1:32" s="1" customFormat="1" x14ac:dyDescent="0.3"/>
    <row r="20" spans="1:32" s="1" customFormat="1" x14ac:dyDescent="0.3"/>
    <row r="21" spans="1:32" s="1" customFormat="1"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2" spans="1:32" s="1" customFormat="1" x14ac:dyDescent="0.3"/>
    <row r="23" spans="1:32" s="1" customFormat="1" ht="14.4" customHeight="1" x14ac:dyDescent="0.3">
      <c r="A23" s="2826" t="s">
        <v>840</v>
      </c>
      <c r="B23" s="2826"/>
      <c r="C23" s="2826"/>
      <c r="D23" s="2826"/>
      <c r="E23" s="2826"/>
      <c r="F23" s="2826"/>
      <c r="G23" s="2826"/>
      <c r="H23" s="2826"/>
      <c r="I23" s="2826"/>
      <c r="J23" s="2826"/>
      <c r="K23" s="2828" t="s">
        <v>2008</v>
      </c>
      <c r="L23" s="2828"/>
      <c r="M23" s="2828"/>
      <c r="N23" s="2828"/>
      <c r="O23" s="2828"/>
      <c r="P23" s="2828"/>
      <c r="Q23" s="2828"/>
      <c r="R23" s="2828"/>
      <c r="S23" s="2828"/>
      <c r="T23" s="2828"/>
      <c r="U23" s="2828"/>
      <c r="V23" s="2828"/>
      <c r="W23" s="2828"/>
      <c r="X23" s="2828"/>
      <c r="Y23" s="2828"/>
      <c r="Z23" s="2828"/>
      <c r="AA23" s="2828"/>
      <c r="AB23" s="2828"/>
      <c r="AC23" s="2828"/>
      <c r="AD23" s="2828"/>
      <c r="AE23" s="2828"/>
      <c r="AF23" s="2828"/>
    </row>
    <row r="24" spans="1:32" s="1" customFormat="1" ht="31.95" customHeight="1" x14ac:dyDescent="0.3">
      <c r="A24" s="2827" t="s">
        <v>841</v>
      </c>
      <c r="B24" s="2827"/>
      <c r="C24" s="2827"/>
      <c r="D24" s="2827"/>
      <c r="E24" s="2827"/>
      <c r="F24" s="2827"/>
      <c r="G24" s="2827"/>
      <c r="H24" s="2827"/>
      <c r="I24" s="2827"/>
      <c r="J24" s="2827"/>
      <c r="K24" s="2829" t="s">
        <v>2009</v>
      </c>
      <c r="L24" s="2829"/>
      <c r="M24" s="2829"/>
      <c r="N24" s="2829"/>
      <c r="O24" s="2829"/>
      <c r="P24" s="2829"/>
      <c r="Q24" s="2829"/>
      <c r="R24" s="2829"/>
      <c r="S24" s="2829"/>
      <c r="T24" s="2829"/>
      <c r="U24" s="2829"/>
      <c r="V24" s="2829"/>
      <c r="W24" s="2829"/>
      <c r="X24" s="2829"/>
      <c r="Y24" s="2829"/>
      <c r="Z24" s="2829"/>
      <c r="AA24" s="2829"/>
      <c r="AB24" s="2829"/>
      <c r="AC24" s="2829"/>
      <c r="AD24" s="2829"/>
      <c r="AE24" s="2829"/>
      <c r="AF24" s="2829"/>
    </row>
    <row r="25" spans="1:32" s="1" customFormat="1" x14ac:dyDescent="0.3"/>
    <row r="26" spans="1:32" s="1" customFormat="1" x14ac:dyDescent="0.3"/>
    <row r="27" spans="1:32" s="1" customFormat="1"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s="1" customFormat="1"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c r="U28" s="1143" t="s">
        <v>11</v>
      </c>
      <c r="V28" s="1143"/>
      <c r="W28" s="1143" t="s">
        <v>12</v>
      </c>
      <c r="X28" s="1143"/>
      <c r="Y28" s="1143"/>
      <c r="Z28" s="1143"/>
      <c r="AA28" s="1143"/>
      <c r="AB28" s="1143"/>
      <c r="AC28" s="1143"/>
      <c r="AD28" s="1143"/>
      <c r="AE28" s="1143"/>
      <c r="AF28" s="1143"/>
    </row>
    <row r="29" spans="1:32" s="1" customFormat="1" ht="44.25" customHeight="1" x14ac:dyDescent="0.3">
      <c r="A29" s="2830" t="s">
        <v>1420</v>
      </c>
      <c r="B29" s="2831" t="s">
        <v>842</v>
      </c>
      <c r="C29" s="2831" t="s">
        <v>842</v>
      </c>
      <c r="D29" s="2832" t="s">
        <v>842</v>
      </c>
      <c r="E29" s="2833" t="s">
        <v>430</v>
      </c>
      <c r="F29" s="2833" t="s">
        <v>430</v>
      </c>
      <c r="G29" s="2833" t="s">
        <v>430</v>
      </c>
      <c r="H29" s="2833" t="s">
        <v>430</v>
      </c>
      <c r="I29" s="2833" t="s">
        <v>430</v>
      </c>
      <c r="J29" s="2833" t="s">
        <v>430</v>
      </c>
      <c r="K29" s="2833" t="s">
        <v>430</v>
      </c>
      <c r="L29" s="2833" t="s">
        <v>430</v>
      </c>
      <c r="M29" s="2833" t="s">
        <v>430</v>
      </c>
      <c r="N29" s="2833" t="s">
        <v>430</v>
      </c>
      <c r="O29" s="2833" t="s">
        <v>430</v>
      </c>
      <c r="P29" s="2833" t="s">
        <v>430</v>
      </c>
      <c r="Q29" s="2834">
        <v>30</v>
      </c>
      <c r="R29" s="2834">
        <v>30</v>
      </c>
      <c r="S29" s="2834">
        <v>30</v>
      </c>
      <c r="T29" s="2834">
        <v>30</v>
      </c>
      <c r="U29" s="2785" t="s">
        <v>269</v>
      </c>
      <c r="V29" s="2785"/>
      <c r="W29" s="2833" t="s">
        <v>1421</v>
      </c>
      <c r="X29" s="2833" t="s">
        <v>431</v>
      </c>
      <c r="Y29" s="2833" t="s">
        <v>431</v>
      </c>
      <c r="Z29" s="2833" t="s">
        <v>431</v>
      </c>
      <c r="AA29" s="2833" t="s">
        <v>431</v>
      </c>
      <c r="AB29" s="2833" t="s">
        <v>431</v>
      </c>
      <c r="AC29" s="2833" t="s">
        <v>431</v>
      </c>
      <c r="AD29" s="2833" t="s">
        <v>431</v>
      </c>
      <c r="AE29" s="2833" t="s">
        <v>431</v>
      </c>
      <c r="AF29" s="2833" t="s">
        <v>431</v>
      </c>
    </row>
    <row r="30" spans="1:32" s="1" customFormat="1" ht="15.6" x14ac:dyDescent="0.3">
      <c r="A30" s="2830" t="s">
        <v>1422</v>
      </c>
      <c r="B30" s="2831" t="s">
        <v>843</v>
      </c>
      <c r="C30" s="2831" t="s">
        <v>843</v>
      </c>
      <c r="D30" s="2832" t="s">
        <v>843</v>
      </c>
      <c r="E30" s="2833" t="s">
        <v>432</v>
      </c>
      <c r="F30" s="2833" t="s">
        <v>432</v>
      </c>
      <c r="G30" s="2833" t="s">
        <v>432</v>
      </c>
      <c r="H30" s="2833" t="s">
        <v>432</v>
      </c>
      <c r="I30" s="2833" t="s">
        <v>432</v>
      </c>
      <c r="J30" s="2833" t="s">
        <v>432</v>
      </c>
      <c r="K30" s="2833" t="s">
        <v>432</v>
      </c>
      <c r="L30" s="2833" t="s">
        <v>432</v>
      </c>
      <c r="M30" s="2833" t="s">
        <v>432</v>
      </c>
      <c r="N30" s="2833" t="s">
        <v>432</v>
      </c>
      <c r="O30" s="2833" t="s">
        <v>432</v>
      </c>
      <c r="P30" s="2833" t="s">
        <v>432</v>
      </c>
      <c r="Q30" s="2834">
        <v>12</v>
      </c>
      <c r="R30" s="2834">
        <v>12</v>
      </c>
      <c r="S30" s="2834">
        <v>12</v>
      </c>
      <c r="T30" s="2834">
        <v>12</v>
      </c>
      <c r="U30" s="2785" t="s">
        <v>269</v>
      </c>
      <c r="V30" s="2785"/>
      <c r="W30" s="2833"/>
      <c r="X30" s="2833"/>
      <c r="Y30" s="2833"/>
      <c r="Z30" s="2833"/>
      <c r="AA30" s="2833"/>
      <c r="AB30" s="2833"/>
      <c r="AC30" s="2833"/>
      <c r="AD30" s="2833"/>
      <c r="AE30" s="2833"/>
      <c r="AF30" s="2833"/>
    </row>
    <row r="31" spans="1:32" s="1" customFormat="1" ht="15.6" x14ac:dyDescent="0.3">
      <c r="A31" s="2830" t="s">
        <v>1423</v>
      </c>
      <c r="B31" s="2831" t="s">
        <v>844</v>
      </c>
      <c r="C31" s="2831" t="s">
        <v>844</v>
      </c>
      <c r="D31" s="2832" t="s">
        <v>844</v>
      </c>
      <c r="E31" s="2833" t="s">
        <v>433</v>
      </c>
      <c r="F31" s="2833" t="s">
        <v>433</v>
      </c>
      <c r="G31" s="2833" t="s">
        <v>433</v>
      </c>
      <c r="H31" s="2833" t="s">
        <v>433</v>
      </c>
      <c r="I31" s="2833" t="s">
        <v>433</v>
      </c>
      <c r="J31" s="2833" t="s">
        <v>433</v>
      </c>
      <c r="K31" s="2833" t="s">
        <v>433</v>
      </c>
      <c r="L31" s="2833" t="s">
        <v>433</v>
      </c>
      <c r="M31" s="2833" t="s">
        <v>433</v>
      </c>
      <c r="N31" s="2833" t="s">
        <v>433</v>
      </c>
      <c r="O31" s="2833" t="s">
        <v>433</v>
      </c>
      <c r="P31" s="2833" t="s">
        <v>433</v>
      </c>
      <c r="Q31" s="2834">
        <v>4</v>
      </c>
      <c r="R31" s="2834">
        <v>4</v>
      </c>
      <c r="S31" s="2834">
        <v>4</v>
      </c>
      <c r="T31" s="2834">
        <v>4</v>
      </c>
      <c r="U31" s="2785" t="s">
        <v>269</v>
      </c>
      <c r="V31" s="2785"/>
      <c r="W31" s="2833"/>
      <c r="X31" s="2833"/>
      <c r="Y31" s="2833"/>
      <c r="Z31" s="2833"/>
      <c r="AA31" s="2833"/>
      <c r="AB31" s="2833"/>
      <c r="AC31" s="2833"/>
      <c r="AD31" s="2833"/>
      <c r="AE31" s="2833"/>
      <c r="AF31" s="2833"/>
    </row>
    <row r="32" spans="1:32" s="1" customFormat="1" ht="47.25" customHeight="1" x14ac:dyDescent="0.3">
      <c r="A32" s="2830" t="s">
        <v>1424</v>
      </c>
      <c r="B32" s="2831" t="s">
        <v>845</v>
      </c>
      <c r="C32" s="2831" t="s">
        <v>845</v>
      </c>
      <c r="D32" s="2832" t="s">
        <v>845</v>
      </c>
      <c r="E32" s="2833" t="s">
        <v>434</v>
      </c>
      <c r="F32" s="2833" t="s">
        <v>434</v>
      </c>
      <c r="G32" s="2833" t="s">
        <v>434</v>
      </c>
      <c r="H32" s="2833" t="s">
        <v>434</v>
      </c>
      <c r="I32" s="2833" t="s">
        <v>434</v>
      </c>
      <c r="J32" s="2833" t="s">
        <v>434</v>
      </c>
      <c r="K32" s="2833" t="s">
        <v>434</v>
      </c>
      <c r="L32" s="2833" t="s">
        <v>434</v>
      </c>
      <c r="M32" s="2833" t="s">
        <v>434</v>
      </c>
      <c r="N32" s="2833" t="s">
        <v>434</v>
      </c>
      <c r="O32" s="2833" t="s">
        <v>434</v>
      </c>
      <c r="P32" s="2833" t="s">
        <v>434</v>
      </c>
      <c r="Q32" s="2835">
        <v>20.2</v>
      </c>
      <c r="R32" s="2835">
        <v>20.2</v>
      </c>
      <c r="S32" s="2835">
        <v>20.2</v>
      </c>
      <c r="T32" s="2835">
        <v>20.2</v>
      </c>
      <c r="U32" s="2785" t="s">
        <v>269</v>
      </c>
      <c r="V32" s="2785"/>
      <c r="W32" s="2833" t="s">
        <v>2956</v>
      </c>
      <c r="X32" s="2833" t="s">
        <v>435</v>
      </c>
      <c r="Y32" s="2833" t="s">
        <v>435</v>
      </c>
      <c r="Z32" s="2833" t="s">
        <v>435</v>
      </c>
      <c r="AA32" s="2833" t="s">
        <v>435</v>
      </c>
      <c r="AB32" s="2833" t="s">
        <v>435</v>
      </c>
      <c r="AC32" s="2833" t="s">
        <v>435</v>
      </c>
      <c r="AD32" s="2833" t="s">
        <v>435</v>
      </c>
      <c r="AE32" s="2833" t="s">
        <v>435</v>
      </c>
      <c r="AF32" s="2833" t="s">
        <v>435</v>
      </c>
    </row>
    <row r="33" spans="1:32" s="1" customFormat="1" ht="15.6" x14ac:dyDescent="0.3">
      <c r="A33" s="2830" t="s">
        <v>1425</v>
      </c>
      <c r="B33" s="2831" t="s">
        <v>846</v>
      </c>
      <c r="C33" s="2831" t="s">
        <v>846</v>
      </c>
      <c r="D33" s="2832" t="s">
        <v>846</v>
      </c>
      <c r="E33" s="2833" t="s">
        <v>436</v>
      </c>
      <c r="F33" s="2833" t="s">
        <v>436</v>
      </c>
      <c r="G33" s="2833" t="s">
        <v>436</v>
      </c>
      <c r="H33" s="2833" t="s">
        <v>436</v>
      </c>
      <c r="I33" s="2833" t="s">
        <v>436</v>
      </c>
      <c r="J33" s="2833" t="s">
        <v>436</v>
      </c>
      <c r="K33" s="2833" t="s">
        <v>436</v>
      </c>
      <c r="L33" s="2833" t="s">
        <v>436</v>
      </c>
      <c r="M33" s="2833" t="s">
        <v>436</v>
      </c>
      <c r="N33" s="2833" t="s">
        <v>436</v>
      </c>
      <c r="O33" s="2833" t="s">
        <v>436</v>
      </c>
      <c r="P33" s="2833" t="s">
        <v>436</v>
      </c>
      <c r="Q33" s="2835">
        <v>3.5</v>
      </c>
      <c r="R33" s="2835">
        <v>3.5</v>
      </c>
      <c r="S33" s="2835">
        <v>3.5</v>
      </c>
      <c r="T33" s="2835">
        <v>3.5</v>
      </c>
      <c r="U33" s="2785" t="s">
        <v>269</v>
      </c>
      <c r="V33" s="2785"/>
      <c r="W33" s="2833"/>
      <c r="X33" s="2833"/>
      <c r="Y33" s="2833"/>
      <c r="Z33" s="2833"/>
      <c r="AA33" s="2833"/>
      <c r="AB33" s="2833"/>
      <c r="AC33" s="2833"/>
      <c r="AD33" s="2833"/>
      <c r="AE33" s="2833"/>
      <c r="AF33" s="2833"/>
    </row>
    <row r="34" spans="1:32" s="1" customFormat="1" ht="15.6" x14ac:dyDescent="0.3">
      <c r="A34" s="2830" t="s">
        <v>1426</v>
      </c>
      <c r="B34" s="2831" t="s">
        <v>847</v>
      </c>
      <c r="C34" s="2831" t="s">
        <v>847</v>
      </c>
      <c r="D34" s="2832" t="s">
        <v>847</v>
      </c>
      <c r="E34" s="2833" t="s">
        <v>437</v>
      </c>
      <c r="F34" s="2833" t="s">
        <v>437</v>
      </c>
      <c r="G34" s="2833" t="s">
        <v>437</v>
      </c>
      <c r="H34" s="2833" t="s">
        <v>437</v>
      </c>
      <c r="I34" s="2833" t="s">
        <v>437</v>
      </c>
      <c r="J34" s="2833" t="s">
        <v>437</v>
      </c>
      <c r="K34" s="2833" t="s">
        <v>437</v>
      </c>
      <c r="L34" s="2833" t="s">
        <v>437</v>
      </c>
      <c r="M34" s="2833" t="s">
        <v>437</v>
      </c>
      <c r="N34" s="2833" t="s">
        <v>437</v>
      </c>
      <c r="O34" s="2833" t="s">
        <v>437</v>
      </c>
      <c r="P34" s="2833" t="s">
        <v>437</v>
      </c>
      <c r="Q34" s="2835">
        <v>0.5</v>
      </c>
      <c r="R34" s="2835">
        <v>0.5</v>
      </c>
      <c r="S34" s="2835">
        <v>0.5</v>
      </c>
      <c r="T34" s="2835">
        <v>0.5</v>
      </c>
      <c r="U34" s="2785" t="s">
        <v>269</v>
      </c>
      <c r="V34" s="2785"/>
      <c r="W34" s="2833"/>
      <c r="X34" s="2833"/>
      <c r="Y34" s="2833"/>
      <c r="Z34" s="2833"/>
      <c r="AA34" s="2833"/>
      <c r="AB34" s="2833"/>
      <c r="AC34" s="2833"/>
      <c r="AD34" s="2833"/>
      <c r="AE34" s="2833"/>
      <c r="AF34" s="2833"/>
    </row>
    <row r="35" spans="1:32" s="1" customFormat="1" ht="45.75" customHeight="1" x14ac:dyDescent="0.3">
      <c r="A35" s="2830" t="s">
        <v>1427</v>
      </c>
      <c r="B35" s="2831" t="s">
        <v>438</v>
      </c>
      <c r="C35" s="2831" t="s">
        <v>438</v>
      </c>
      <c r="D35" s="2832" t="s">
        <v>438</v>
      </c>
      <c r="E35" s="2833" t="s">
        <v>439</v>
      </c>
      <c r="F35" s="2833" t="s">
        <v>439</v>
      </c>
      <c r="G35" s="2833" t="s">
        <v>439</v>
      </c>
      <c r="H35" s="2833" t="s">
        <v>439</v>
      </c>
      <c r="I35" s="2833" t="s">
        <v>439</v>
      </c>
      <c r="J35" s="2833" t="s">
        <v>439</v>
      </c>
      <c r="K35" s="2833" t="s">
        <v>439</v>
      </c>
      <c r="L35" s="2833" t="s">
        <v>439</v>
      </c>
      <c r="M35" s="2833" t="s">
        <v>439</v>
      </c>
      <c r="N35" s="2833" t="s">
        <v>439</v>
      </c>
      <c r="O35" s="2833" t="s">
        <v>439</v>
      </c>
      <c r="P35" s="2833" t="s">
        <v>439</v>
      </c>
      <c r="Q35" s="2836">
        <v>1580</v>
      </c>
      <c r="R35" s="2836">
        <v>1580</v>
      </c>
      <c r="S35" s="2836">
        <v>1580</v>
      </c>
      <c r="T35" s="2836">
        <v>1580</v>
      </c>
      <c r="U35" s="2785" t="s">
        <v>37</v>
      </c>
      <c r="V35" s="2785"/>
      <c r="W35" s="2833" t="s">
        <v>1428</v>
      </c>
      <c r="X35" s="2833" t="s">
        <v>431</v>
      </c>
      <c r="Y35" s="2833" t="s">
        <v>431</v>
      </c>
      <c r="Z35" s="2833" t="s">
        <v>431</v>
      </c>
      <c r="AA35" s="2833" t="s">
        <v>431</v>
      </c>
      <c r="AB35" s="2833" t="s">
        <v>431</v>
      </c>
      <c r="AC35" s="2833" t="s">
        <v>431</v>
      </c>
      <c r="AD35" s="2833" t="s">
        <v>431</v>
      </c>
      <c r="AE35" s="2833" t="s">
        <v>431</v>
      </c>
      <c r="AF35" s="2833" t="s">
        <v>431</v>
      </c>
    </row>
    <row r="36" spans="1:32" s="1" customFormat="1" ht="15.6" x14ac:dyDescent="0.3">
      <c r="A36" s="2777" t="s">
        <v>1429</v>
      </c>
      <c r="B36" s="2778"/>
      <c r="C36" s="2778"/>
      <c r="D36" s="2779"/>
      <c r="E36" s="2833" t="s">
        <v>440</v>
      </c>
      <c r="F36" s="2833" t="s">
        <v>440</v>
      </c>
      <c r="G36" s="2833" t="s">
        <v>440</v>
      </c>
      <c r="H36" s="2833" t="s">
        <v>440</v>
      </c>
      <c r="I36" s="2833" t="s">
        <v>440</v>
      </c>
      <c r="J36" s="2833" t="s">
        <v>440</v>
      </c>
      <c r="K36" s="2833" t="s">
        <v>440</v>
      </c>
      <c r="L36" s="2833" t="s">
        <v>440</v>
      </c>
      <c r="M36" s="2833" t="s">
        <v>440</v>
      </c>
      <c r="N36" s="2833" t="s">
        <v>440</v>
      </c>
      <c r="O36" s="2833" t="s">
        <v>440</v>
      </c>
      <c r="P36" s="2833" t="s">
        <v>440</v>
      </c>
      <c r="Q36" s="2836">
        <v>730</v>
      </c>
      <c r="R36" s="2836">
        <v>730</v>
      </c>
      <c r="S36" s="2836">
        <v>730</v>
      </c>
      <c r="T36" s="2836">
        <v>730</v>
      </c>
      <c r="U36" s="2785" t="s">
        <v>37</v>
      </c>
      <c r="V36" s="2785"/>
      <c r="W36" s="2833"/>
      <c r="X36" s="2833"/>
      <c r="Y36" s="2833"/>
      <c r="Z36" s="2833"/>
      <c r="AA36" s="2833"/>
      <c r="AB36" s="2833"/>
      <c r="AC36" s="2833"/>
      <c r="AD36" s="2833"/>
      <c r="AE36" s="2833"/>
      <c r="AF36" s="2833"/>
    </row>
    <row r="37" spans="1:32" s="1" customFormat="1" ht="15.6" x14ac:dyDescent="0.3">
      <c r="A37" s="2777" t="s">
        <v>1430</v>
      </c>
      <c r="B37" s="2778" t="s">
        <v>441</v>
      </c>
      <c r="C37" s="2778" t="s">
        <v>441</v>
      </c>
      <c r="D37" s="2779" t="s">
        <v>441</v>
      </c>
      <c r="E37" s="2833" t="s">
        <v>442</v>
      </c>
      <c r="F37" s="2833" t="s">
        <v>442</v>
      </c>
      <c r="G37" s="2833" t="s">
        <v>442</v>
      </c>
      <c r="H37" s="2833" t="s">
        <v>442</v>
      </c>
      <c r="I37" s="2833" t="s">
        <v>442</v>
      </c>
      <c r="J37" s="2833" t="s">
        <v>442</v>
      </c>
      <c r="K37" s="2833" t="s">
        <v>442</v>
      </c>
      <c r="L37" s="2833" t="s">
        <v>442</v>
      </c>
      <c r="M37" s="2833" t="s">
        <v>442</v>
      </c>
      <c r="N37" s="2833" t="s">
        <v>442</v>
      </c>
      <c r="O37" s="2833" t="s">
        <v>442</v>
      </c>
      <c r="P37" s="2833" t="s">
        <v>442</v>
      </c>
      <c r="Q37" s="2836">
        <v>6450</v>
      </c>
      <c r="R37" s="2836">
        <v>6450</v>
      </c>
      <c r="S37" s="2836">
        <v>6450</v>
      </c>
      <c r="T37" s="2836">
        <v>6450</v>
      </c>
      <c r="U37" s="2785" t="s">
        <v>37</v>
      </c>
      <c r="V37" s="2785"/>
      <c r="W37" s="2833"/>
      <c r="X37" s="2833"/>
      <c r="Y37" s="2833"/>
      <c r="Z37" s="2833"/>
      <c r="AA37" s="2833"/>
      <c r="AB37" s="2833"/>
      <c r="AC37" s="2833"/>
      <c r="AD37" s="2833"/>
      <c r="AE37" s="2833"/>
      <c r="AF37" s="2833"/>
    </row>
    <row r="38" spans="1:32" s="1" customFormat="1" ht="57.6" customHeight="1" x14ac:dyDescent="0.3">
      <c r="A38" s="2777" t="s">
        <v>443</v>
      </c>
      <c r="B38" s="2778" t="s">
        <v>443</v>
      </c>
      <c r="C38" s="2778" t="s">
        <v>443</v>
      </c>
      <c r="D38" s="2779" t="s">
        <v>443</v>
      </c>
      <c r="E38" s="2833" t="s">
        <v>96</v>
      </c>
      <c r="F38" s="2833" t="s">
        <v>444</v>
      </c>
      <c r="G38" s="2833" t="s">
        <v>444</v>
      </c>
      <c r="H38" s="2833" t="s">
        <v>444</v>
      </c>
      <c r="I38" s="2833" t="s">
        <v>444</v>
      </c>
      <c r="J38" s="2833" t="s">
        <v>444</v>
      </c>
      <c r="K38" s="2833" t="s">
        <v>444</v>
      </c>
      <c r="L38" s="2833" t="s">
        <v>444</v>
      </c>
      <c r="M38" s="2833" t="s">
        <v>444</v>
      </c>
      <c r="N38" s="2833" t="s">
        <v>444</v>
      </c>
      <c r="O38" s="2833" t="s">
        <v>444</v>
      </c>
      <c r="P38" s="2833" t="s">
        <v>444</v>
      </c>
      <c r="Q38" s="2837">
        <v>0.22</v>
      </c>
      <c r="R38" s="2837">
        <v>0.22</v>
      </c>
      <c r="S38" s="2837">
        <v>0.22</v>
      </c>
      <c r="T38" s="2837">
        <v>0.22</v>
      </c>
      <c r="U38" s="2785" t="s">
        <v>20</v>
      </c>
      <c r="V38" s="2785"/>
      <c r="W38" s="2833" t="s">
        <v>445</v>
      </c>
      <c r="X38" s="2833" t="s">
        <v>445</v>
      </c>
      <c r="Y38" s="2833" t="s">
        <v>445</v>
      </c>
      <c r="Z38" s="2833" t="s">
        <v>445</v>
      </c>
      <c r="AA38" s="2833" t="s">
        <v>445</v>
      </c>
      <c r="AB38" s="2833" t="s">
        <v>445</v>
      </c>
      <c r="AC38" s="2833" t="s">
        <v>445</v>
      </c>
      <c r="AD38" s="2833" t="s">
        <v>445</v>
      </c>
      <c r="AE38" s="2833" t="s">
        <v>445</v>
      </c>
      <c r="AF38" s="2833" t="s">
        <v>445</v>
      </c>
    </row>
    <row r="39" spans="1:32" s="1" customFormat="1" x14ac:dyDescent="0.3">
      <c r="A39" s="2777" t="s">
        <v>34</v>
      </c>
      <c r="B39" s="2778" t="s">
        <v>34</v>
      </c>
      <c r="C39" s="2778" t="s">
        <v>34</v>
      </c>
      <c r="D39" s="2779" t="s">
        <v>34</v>
      </c>
      <c r="E39" s="2833" t="s">
        <v>644</v>
      </c>
      <c r="F39" s="2833" t="s">
        <v>446</v>
      </c>
      <c r="G39" s="2833" t="s">
        <v>446</v>
      </c>
      <c r="H39" s="2833" t="s">
        <v>446</v>
      </c>
      <c r="I39" s="2833" t="s">
        <v>446</v>
      </c>
      <c r="J39" s="2833" t="s">
        <v>446</v>
      </c>
      <c r="K39" s="2833" t="s">
        <v>446</v>
      </c>
      <c r="L39" s="2833" t="s">
        <v>446</v>
      </c>
      <c r="M39" s="2833" t="s">
        <v>446</v>
      </c>
      <c r="N39" s="2833" t="s">
        <v>446</v>
      </c>
      <c r="O39" s="2833" t="s">
        <v>446</v>
      </c>
      <c r="P39" s="2833" t="s">
        <v>446</v>
      </c>
      <c r="Q39" s="2839">
        <v>1</v>
      </c>
      <c r="R39" s="2839">
        <v>1</v>
      </c>
      <c r="S39" s="2839">
        <v>1</v>
      </c>
      <c r="T39" s="2839">
        <v>1</v>
      </c>
      <c r="U39" s="2785" t="s">
        <v>20</v>
      </c>
      <c r="V39" s="2785"/>
      <c r="W39" s="2833"/>
      <c r="X39" s="2833"/>
      <c r="Y39" s="2833"/>
      <c r="Z39" s="2833"/>
      <c r="AA39" s="2833"/>
      <c r="AB39" s="2833"/>
      <c r="AC39" s="2833"/>
      <c r="AD39" s="2833"/>
      <c r="AE39" s="2833"/>
      <c r="AF39" s="2833"/>
    </row>
    <row r="40" spans="1:32" s="1" customFormat="1" ht="45.75" customHeight="1" x14ac:dyDescent="0.3">
      <c r="A40" s="2777" t="s">
        <v>26</v>
      </c>
      <c r="B40" s="2778" t="s">
        <v>447</v>
      </c>
      <c r="C40" s="2778" t="s">
        <v>447</v>
      </c>
      <c r="D40" s="2779" t="s">
        <v>447</v>
      </c>
      <c r="E40" s="2833" t="s">
        <v>27</v>
      </c>
      <c r="F40" s="2833" t="s">
        <v>448</v>
      </c>
      <c r="G40" s="2833" t="s">
        <v>448</v>
      </c>
      <c r="H40" s="2833" t="s">
        <v>448</v>
      </c>
      <c r="I40" s="2833" t="s">
        <v>448</v>
      </c>
      <c r="J40" s="2833" t="s">
        <v>448</v>
      </c>
      <c r="K40" s="2833" t="s">
        <v>448</v>
      </c>
      <c r="L40" s="2833" t="s">
        <v>448</v>
      </c>
      <c r="M40" s="2833" t="s">
        <v>448</v>
      </c>
      <c r="N40" s="2833" t="s">
        <v>448</v>
      </c>
      <c r="O40" s="2833" t="s">
        <v>448</v>
      </c>
      <c r="P40" s="2833" t="s">
        <v>448</v>
      </c>
      <c r="Q40" s="2785">
        <f>'Master EUL'!X39</f>
        <v>4</v>
      </c>
      <c r="R40" s="2785">
        <v>7</v>
      </c>
      <c r="S40" s="2785">
        <v>7</v>
      </c>
      <c r="T40" s="2785">
        <v>7</v>
      </c>
      <c r="U40" s="2785" t="s">
        <v>38</v>
      </c>
      <c r="V40" s="2785"/>
      <c r="W40" s="2833" t="s">
        <v>2957</v>
      </c>
      <c r="X40" s="2833" t="s">
        <v>449</v>
      </c>
      <c r="Y40" s="2833" t="s">
        <v>449</v>
      </c>
      <c r="Z40" s="2833" t="s">
        <v>449</v>
      </c>
      <c r="AA40" s="2833" t="s">
        <v>449</v>
      </c>
      <c r="AB40" s="2833" t="s">
        <v>449</v>
      </c>
      <c r="AC40" s="2833" t="s">
        <v>449</v>
      </c>
      <c r="AD40" s="2833" t="s">
        <v>449</v>
      </c>
      <c r="AE40" s="2833" t="s">
        <v>449</v>
      </c>
      <c r="AF40" s="2833" t="s">
        <v>449</v>
      </c>
    </row>
    <row r="41" spans="1:32" ht="45.9" customHeight="1" x14ac:dyDescent="0.3">
      <c r="A41" s="1951" t="s">
        <v>831</v>
      </c>
      <c r="B41" s="1951"/>
      <c r="C41" s="2838" t="s">
        <v>848</v>
      </c>
      <c r="D41" s="2838"/>
      <c r="E41" s="2838"/>
      <c r="F41" s="2838"/>
      <c r="G41" s="2838"/>
      <c r="H41" s="2838"/>
      <c r="I41" s="2838"/>
      <c r="J41" s="2838"/>
      <c r="K41" s="2838"/>
      <c r="L41" s="2838"/>
      <c r="M41" s="2838"/>
      <c r="N41" s="2838"/>
      <c r="O41" s="2838"/>
      <c r="P41" s="2838"/>
      <c r="Q41" s="2838"/>
      <c r="R41" s="2838"/>
      <c r="S41" s="2838"/>
      <c r="T41" s="2838"/>
      <c r="U41" s="2838"/>
      <c r="V41" s="2838"/>
      <c r="W41" s="2838"/>
      <c r="X41" s="2838"/>
      <c r="Y41" s="2838"/>
      <c r="Z41" s="2838"/>
      <c r="AA41" s="2838"/>
      <c r="AB41" s="2838"/>
      <c r="AC41" s="2838"/>
      <c r="AD41" s="2838"/>
      <c r="AE41" s="2838"/>
      <c r="AF41" s="2838"/>
    </row>
    <row r="42" spans="1:32" ht="14.4" customHeight="1" x14ac:dyDescent="0.35">
      <c r="A42" s="24"/>
    </row>
    <row r="43" spans="1:32" ht="14.4" customHeight="1" x14ac:dyDescent="0.3">
      <c r="A43" s="39"/>
    </row>
    <row r="44" spans="1:32" s="1" customFormat="1" x14ac:dyDescent="0.3">
      <c r="A44" s="1141" t="s">
        <v>14</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s="1" customFormat="1" ht="15" thickBot="1" x14ac:dyDescent="0.3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3">
      <c r="A46" s="1252" t="s">
        <v>15</v>
      </c>
      <c r="B46" s="1253"/>
      <c r="C46" s="1253"/>
      <c r="D46" s="1253"/>
      <c r="E46" s="1253"/>
      <c r="F46" s="1253"/>
      <c r="G46" s="1253"/>
      <c r="H46" s="1253"/>
      <c r="I46" s="1253" t="s">
        <v>16</v>
      </c>
      <c r="J46" s="1253"/>
      <c r="K46" s="1253"/>
      <c r="L46" s="1253"/>
      <c r="M46" s="1253"/>
      <c r="N46" s="1253"/>
      <c r="O46" s="1253"/>
      <c r="P46" s="1253"/>
      <c r="Q46" s="1253" t="s">
        <v>17</v>
      </c>
      <c r="R46" s="1253"/>
      <c r="S46" s="1253"/>
      <c r="T46" s="1253"/>
      <c r="U46" s="1253"/>
      <c r="V46" s="1253"/>
      <c r="W46" s="1253"/>
      <c r="X46" s="1254"/>
    </row>
    <row r="47" spans="1:32" ht="15" thickBot="1" x14ac:dyDescent="0.35">
      <c r="A47" s="1247" t="s">
        <v>1072</v>
      </c>
      <c r="B47" s="1248"/>
      <c r="C47" s="1248"/>
      <c r="D47" s="1248"/>
      <c r="E47" s="1248"/>
      <c r="F47" s="1248"/>
      <c r="G47" s="1248"/>
      <c r="H47" s="1248"/>
      <c r="I47" s="2699">
        <f>ROUND(Q39*((Q29-Q32)/1000)*Q38,3)</f>
        <v>2E-3</v>
      </c>
      <c r="J47" s="2699"/>
      <c r="K47" s="2699"/>
      <c r="L47" s="2699"/>
      <c r="M47" s="2699"/>
      <c r="N47" s="2699"/>
      <c r="O47" s="2699"/>
      <c r="P47" s="2699"/>
      <c r="Q47" s="2700">
        <f>ROUND((((Q29-Q32)*Q35)+((Q30-Q33)*Q36)+((Q31-Q34)*Q37))/1000,2)</f>
        <v>44.26</v>
      </c>
      <c r="R47" s="2700"/>
      <c r="S47" s="2700"/>
      <c r="T47" s="2700"/>
      <c r="U47" s="2700"/>
      <c r="V47" s="2700"/>
      <c r="W47" s="2700"/>
      <c r="X47" s="2825"/>
    </row>
  </sheetData>
  <sheetProtection algorithmName="SHA-512" hashValue="G4xHUlBfqIPns3mIx73wXp+plt4BTGIH3JOESiO59j16U4JoAMx4IACuAQ2KtDBeu+ILwfuZ92VRz1aihW7uOQ==" saltValue="JTxIMWX/BDu/BlO4cgVcNQ==" spinCount="100000" sheet="1" objects="1" scenarios="1"/>
  <mergeCells count="91">
    <mergeCell ref="A1:AF1"/>
    <mergeCell ref="A44:AF44"/>
    <mergeCell ref="A41:B41"/>
    <mergeCell ref="C41:AF41"/>
    <mergeCell ref="A40:D40"/>
    <mergeCell ref="E40:P40"/>
    <mergeCell ref="Q40:T40"/>
    <mergeCell ref="U40:V40"/>
    <mergeCell ref="W40:AF40"/>
    <mergeCell ref="A39:D39"/>
    <mergeCell ref="E39:P39"/>
    <mergeCell ref="Q39:T39"/>
    <mergeCell ref="U39:V39"/>
    <mergeCell ref="W39:AF39"/>
    <mergeCell ref="A38:D38"/>
    <mergeCell ref="E38:P38"/>
    <mergeCell ref="Q38:T38"/>
    <mergeCell ref="U38:V38"/>
    <mergeCell ref="W38:AF38"/>
    <mergeCell ref="A37:D37"/>
    <mergeCell ref="E37:P37"/>
    <mergeCell ref="Q37:T37"/>
    <mergeCell ref="U37:V37"/>
    <mergeCell ref="W37:AF37"/>
    <mergeCell ref="A36:D36"/>
    <mergeCell ref="E36:P36"/>
    <mergeCell ref="Q36:T36"/>
    <mergeCell ref="U36:V36"/>
    <mergeCell ref="W36:AF36"/>
    <mergeCell ref="A35:D35"/>
    <mergeCell ref="E35:P35"/>
    <mergeCell ref="Q35:T35"/>
    <mergeCell ref="U35:V35"/>
    <mergeCell ref="W35:AF35"/>
    <mergeCell ref="A34:D34"/>
    <mergeCell ref="E34:P34"/>
    <mergeCell ref="Q34:T34"/>
    <mergeCell ref="U34:V34"/>
    <mergeCell ref="W34:AF34"/>
    <mergeCell ref="A33:D33"/>
    <mergeCell ref="E33:P33"/>
    <mergeCell ref="Q33:T33"/>
    <mergeCell ref="U33:V33"/>
    <mergeCell ref="W33:AF33"/>
    <mergeCell ref="A32:D32"/>
    <mergeCell ref="E32:P32"/>
    <mergeCell ref="Q32:T32"/>
    <mergeCell ref="U32:V32"/>
    <mergeCell ref="W32:AF32"/>
    <mergeCell ref="A31:D31"/>
    <mergeCell ref="E31:P31"/>
    <mergeCell ref="Q31:T31"/>
    <mergeCell ref="U31:V31"/>
    <mergeCell ref="W31:AF31"/>
    <mergeCell ref="A30:D30"/>
    <mergeCell ref="E30:P30"/>
    <mergeCell ref="Q30:T30"/>
    <mergeCell ref="U30:V30"/>
    <mergeCell ref="W30:AF30"/>
    <mergeCell ref="A29:D29"/>
    <mergeCell ref="E29:P29"/>
    <mergeCell ref="Q29:T29"/>
    <mergeCell ref="U29:V29"/>
    <mergeCell ref="W29:AF29"/>
    <mergeCell ref="A28:D28"/>
    <mergeCell ref="E28:P28"/>
    <mergeCell ref="Q28:T28"/>
    <mergeCell ref="U28:V28"/>
    <mergeCell ref="W28:AF28"/>
    <mergeCell ref="B18:AF18"/>
    <mergeCell ref="A21:AF21"/>
    <mergeCell ref="A27:AF27"/>
    <mergeCell ref="A23:J23"/>
    <mergeCell ref="A24:J24"/>
    <mergeCell ref="K23:AF23"/>
    <mergeCell ref="K24:AF24"/>
    <mergeCell ref="B11:I11"/>
    <mergeCell ref="B12:AF12"/>
    <mergeCell ref="B14:I14"/>
    <mergeCell ref="B15:AF15"/>
    <mergeCell ref="A3:AF3"/>
    <mergeCell ref="B5:I5"/>
    <mergeCell ref="B6:AF6"/>
    <mergeCell ref="B8:I8"/>
    <mergeCell ref="B9:AF9"/>
    <mergeCell ref="A46:H46"/>
    <mergeCell ref="I46:P46"/>
    <mergeCell ref="Q46:X46"/>
    <mergeCell ref="A47:H47"/>
    <mergeCell ref="I47:P47"/>
    <mergeCell ref="Q47:X47"/>
  </mergeCells>
  <hyperlinks>
    <hyperlink ref="A2" location="TOC!A1" display="Return to TOC" xr:uid="{00000000-0004-0000-4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2">
    <tabColor theme="7" tint="0.79998168889431442"/>
    <pageSetUpPr autoPageBreaks="0"/>
  </sheetPr>
  <dimension ref="A1:BT103"/>
  <sheetViews>
    <sheetView workbookViewId="0">
      <selection activeCell="A2" sqref="A2"/>
    </sheetView>
  </sheetViews>
  <sheetFormatPr defaultColWidth="2.6640625" defaultRowHeight="14.4" x14ac:dyDescent="0.3"/>
  <cols>
    <col min="1" max="32" width="2.6640625" style="190"/>
  </cols>
  <sheetData>
    <row r="1" spans="1:32" s="1" customFormat="1" ht="18" x14ac:dyDescent="0.3">
      <c r="A1" s="1712" t="s">
        <v>3032</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row>
    <row r="2" spans="1:32" s="1" customFormat="1" ht="14.4" customHeight="1" x14ac:dyDescent="0.3">
      <c r="A2" s="228" t="s">
        <v>1456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45" customHeight="1" x14ac:dyDescent="0.3">
      <c r="A5" s="121"/>
      <c r="B5" s="872" t="s">
        <v>4645</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c r="B6"/>
      <c r="C6"/>
      <c r="D6"/>
      <c r="E6"/>
      <c r="F6"/>
      <c r="G6"/>
      <c r="H6"/>
      <c r="I6"/>
      <c r="J6"/>
      <c r="K6"/>
      <c r="L6"/>
      <c r="M6"/>
      <c r="N6"/>
      <c r="O6"/>
      <c r="P6"/>
      <c r="Q6"/>
      <c r="R6"/>
      <c r="S6"/>
      <c r="T6"/>
      <c r="U6"/>
      <c r="V6"/>
      <c r="W6"/>
      <c r="X6"/>
      <c r="Y6"/>
      <c r="Z6"/>
      <c r="AA6"/>
      <c r="AB6"/>
      <c r="AC6"/>
      <c r="AD6"/>
      <c r="AE6"/>
      <c r="AF6"/>
    </row>
    <row r="7" spans="1:32" s="1" customFormat="1" x14ac:dyDescent="0.3">
      <c r="A7" s="1713" t="s">
        <v>2</v>
      </c>
      <c r="B7" s="1713"/>
      <c r="C7" s="1713"/>
      <c r="D7" s="1713"/>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3"/>
      <c r="AD7" s="1713"/>
      <c r="AE7" s="1713"/>
      <c r="AF7" s="1713"/>
    </row>
    <row r="8" spans="1:32" s="1" customFormat="1" x14ac:dyDescent="0.3">
      <c r="A8" s="397"/>
      <c r="B8" s="397"/>
      <c r="C8" s="397"/>
      <c r="D8" s="397"/>
      <c r="E8" s="397"/>
      <c r="F8" s="397"/>
      <c r="G8" s="397"/>
      <c r="H8" s="397"/>
      <c r="I8" s="397"/>
      <c r="J8" s="397"/>
      <c r="K8" s="397"/>
      <c r="L8" s="397"/>
      <c r="M8" s="397"/>
      <c r="N8" s="397"/>
      <c r="O8" s="397"/>
      <c r="P8" s="397"/>
      <c r="Q8" s="397"/>
      <c r="R8" s="397"/>
      <c r="S8" s="397"/>
      <c r="T8" s="397"/>
      <c r="U8" s="397"/>
      <c r="V8" s="397"/>
      <c r="W8" s="397"/>
      <c r="X8" s="397"/>
      <c r="Y8" s="397"/>
      <c r="Z8" s="397"/>
      <c r="AA8" s="397"/>
      <c r="AB8" s="397"/>
      <c r="AC8" s="397"/>
      <c r="AD8" s="397"/>
      <c r="AE8" s="397"/>
      <c r="AF8" s="397"/>
    </row>
    <row r="9" spans="1:32" s="1" customFormat="1" x14ac:dyDescent="0.3">
      <c r="A9" s="398"/>
      <c r="B9" s="1707" t="s">
        <v>3</v>
      </c>
      <c r="C9" s="1707"/>
      <c r="D9" s="1707"/>
      <c r="E9" s="1707"/>
      <c r="F9" s="1707"/>
      <c r="G9" s="1707"/>
      <c r="H9" s="1707"/>
      <c r="I9" s="1707"/>
      <c r="J9" s="398"/>
      <c r="K9" s="398"/>
      <c r="L9" s="398"/>
      <c r="M9" s="398"/>
      <c r="N9" s="398"/>
      <c r="O9" s="398"/>
      <c r="P9" s="398"/>
      <c r="Q9" s="398"/>
      <c r="R9" s="398"/>
      <c r="S9" s="398"/>
      <c r="T9" s="398"/>
      <c r="U9" s="398"/>
      <c r="V9" s="398"/>
      <c r="W9" s="398"/>
      <c r="X9" s="398"/>
      <c r="Y9" s="398"/>
      <c r="Z9" s="398"/>
      <c r="AA9" s="398"/>
      <c r="AB9" s="398"/>
      <c r="AC9" s="398"/>
      <c r="AD9" s="398"/>
      <c r="AE9" s="398"/>
      <c r="AF9" s="398"/>
    </row>
    <row r="10" spans="1:32" s="4" customFormat="1" ht="61.5" customHeight="1" x14ac:dyDescent="0.3">
      <c r="A10" s="399"/>
      <c r="B10" s="1708" t="s">
        <v>3649</v>
      </c>
      <c r="C10" s="1709"/>
      <c r="D10" s="1709"/>
      <c r="E10" s="1709"/>
      <c r="F10" s="1709"/>
      <c r="G10" s="1709"/>
      <c r="H10" s="1709"/>
      <c r="I10" s="1709"/>
      <c r="J10" s="1709"/>
      <c r="K10" s="1709"/>
      <c r="L10" s="1709"/>
      <c r="M10" s="1709"/>
      <c r="N10" s="1709"/>
      <c r="O10" s="1709"/>
      <c r="P10" s="1709"/>
      <c r="Q10" s="1709"/>
      <c r="R10" s="1709"/>
      <c r="S10" s="1709"/>
      <c r="T10" s="1709"/>
      <c r="U10" s="1709"/>
      <c r="V10" s="1709"/>
      <c r="W10" s="1709"/>
      <c r="X10" s="1709"/>
      <c r="Y10" s="1709"/>
      <c r="Z10" s="1709"/>
      <c r="AA10" s="1709"/>
      <c r="AB10" s="1709"/>
      <c r="AC10" s="1709"/>
      <c r="AD10" s="1709"/>
      <c r="AE10" s="1709"/>
      <c r="AF10" s="1709"/>
    </row>
    <row r="11" spans="1:32" s="1" customFormat="1" x14ac:dyDescent="0.3">
      <c r="A11" s="398"/>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s="1" customFormat="1" x14ac:dyDescent="0.3">
      <c r="A12" s="398"/>
      <c r="B12" s="1707" t="s">
        <v>4</v>
      </c>
      <c r="C12" s="1707"/>
      <c r="D12" s="1707"/>
      <c r="E12" s="1707"/>
      <c r="F12" s="1707"/>
      <c r="G12" s="1707"/>
      <c r="H12" s="1707"/>
      <c r="I12" s="1707"/>
      <c r="J12" s="398"/>
      <c r="K12" s="398"/>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s="1" customFormat="1" ht="49.5" customHeight="1" x14ac:dyDescent="0.3">
      <c r="A13" s="398"/>
      <c r="B13" s="1708" t="s">
        <v>3415</v>
      </c>
      <c r="C13" s="1709"/>
      <c r="D13" s="1709"/>
      <c r="E13" s="1709"/>
      <c r="F13" s="1709"/>
      <c r="G13" s="1709"/>
      <c r="H13" s="1709"/>
      <c r="I13" s="1709"/>
      <c r="J13" s="1709"/>
      <c r="K13" s="1709"/>
      <c r="L13" s="1709"/>
      <c r="M13" s="1709"/>
      <c r="N13" s="1709"/>
      <c r="O13" s="1709"/>
      <c r="P13" s="1709"/>
      <c r="Q13" s="1709"/>
      <c r="R13" s="1709"/>
      <c r="S13" s="1709"/>
      <c r="T13" s="1709"/>
      <c r="U13" s="1709"/>
      <c r="V13" s="1709"/>
      <c r="W13" s="1709"/>
      <c r="X13" s="1709"/>
      <c r="Y13" s="1709"/>
      <c r="Z13" s="1709"/>
      <c r="AA13" s="1709"/>
      <c r="AB13" s="1709"/>
      <c r="AC13" s="1709"/>
      <c r="AD13" s="1709"/>
      <c r="AE13" s="1709"/>
      <c r="AF13" s="1709"/>
    </row>
    <row r="14" spans="1:32" s="1" customFormat="1" x14ac:dyDescent="0.3">
      <c r="A14" s="398"/>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s="1" customFormat="1" x14ac:dyDescent="0.3">
      <c r="A15" s="398"/>
      <c r="B15" s="1707" t="s">
        <v>5</v>
      </c>
      <c r="C15" s="1707"/>
      <c r="D15" s="1707"/>
      <c r="E15" s="1707"/>
      <c r="F15" s="1707"/>
      <c r="G15" s="1707"/>
      <c r="H15" s="1707"/>
      <c r="I15" s="1707"/>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s="1" customFormat="1" x14ac:dyDescent="0.3">
      <c r="A16" s="398"/>
      <c r="B16" s="1710" t="s">
        <v>3346</v>
      </c>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row>
    <row r="17" spans="1:68" s="1" customFormat="1" x14ac:dyDescent="0.3">
      <c r="A17" s="398"/>
      <c r="B17" s="398"/>
      <c r="C17" s="398"/>
      <c r="D17" s="398"/>
      <c r="E17" s="398"/>
      <c r="F17" s="398"/>
      <c r="G17" s="398"/>
      <c r="H17" s="398"/>
      <c r="I17" s="398"/>
      <c r="J17" s="398"/>
      <c r="K17" s="398"/>
      <c r="L17" s="398"/>
      <c r="M17" s="398"/>
      <c r="N17" s="398"/>
      <c r="O17" s="398"/>
      <c r="P17" s="398"/>
      <c r="Q17" s="398"/>
      <c r="R17" s="398"/>
      <c r="S17" s="398"/>
      <c r="T17" s="398"/>
      <c r="U17" s="398"/>
      <c r="V17" s="398"/>
      <c r="W17" s="398"/>
      <c r="X17" s="398"/>
      <c r="Y17" s="398"/>
      <c r="Z17" s="398"/>
      <c r="AA17" s="398"/>
      <c r="AB17" s="398"/>
      <c r="AC17" s="398"/>
      <c r="AD17" s="398"/>
      <c r="AE17" s="398"/>
      <c r="AF17" s="398"/>
    </row>
    <row r="18" spans="1:68" s="1" customFormat="1" x14ac:dyDescent="0.3">
      <c r="A18" s="398"/>
      <c r="B18" s="1707" t="s">
        <v>6</v>
      </c>
      <c r="C18" s="1707"/>
      <c r="D18" s="1707"/>
      <c r="E18" s="1707"/>
      <c r="F18" s="1707"/>
      <c r="G18" s="1707"/>
      <c r="H18" s="1707"/>
      <c r="I18" s="1707"/>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row>
    <row r="19" spans="1:68" s="4" customFormat="1" ht="66.75" customHeight="1" x14ac:dyDescent="0.3">
      <c r="A19" s="399"/>
      <c r="B19" s="1708" t="s">
        <v>3454</v>
      </c>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row>
    <row r="20" spans="1:68" s="4" customFormat="1" x14ac:dyDescent="0.3">
      <c r="A20" s="399"/>
      <c r="B20" s="454"/>
      <c r="C20" s="455"/>
      <c r="D20" s="455"/>
      <c r="E20" s="455"/>
      <c r="F20" s="455"/>
      <c r="G20" s="455"/>
      <c r="H20" s="455"/>
      <c r="I20" s="455"/>
      <c r="J20" s="455"/>
      <c r="K20" s="455"/>
      <c r="L20" s="455"/>
      <c r="M20" s="455"/>
      <c r="N20" s="455"/>
      <c r="O20" s="455"/>
      <c r="P20" s="455"/>
      <c r="Q20" s="455"/>
      <c r="R20" s="455"/>
      <c r="S20" s="455"/>
      <c r="T20" s="455"/>
      <c r="U20" s="455"/>
      <c r="V20" s="455"/>
      <c r="W20" s="455"/>
      <c r="X20" s="455"/>
      <c r="Y20" s="455"/>
      <c r="Z20" s="455"/>
      <c r="AA20" s="455"/>
      <c r="AB20" s="455"/>
      <c r="AC20" s="455"/>
      <c r="AD20" s="455"/>
      <c r="AE20" s="455"/>
      <c r="AF20" s="455"/>
    </row>
    <row r="21" spans="1:68" s="4" customFormat="1" ht="81" customHeight="1" x14ac:dyDescent="0.3">
      <c r="A21" s="399"/>
      <c r="B21" s="1708" t="s">
        <v>3455</v>
      </c>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row>
    <row r="22" spans="1:68" s="4" customFormat="1" x14ac:dyDescent="0.3">
      <c r="A22" s="399"/>
      <c r="B22" s="454"/>
      <c r="C22" s="455"/>
      <c r="D22" s="455"/>
      <c r="E22" s="455"/>
      <c r="F22" s="455"/>
      <c r="G22" s="455"/>
      <c r="H22" s="455"/>
      <c r="I22" s="455"/>
      <c r="J22" s="455"/>
      <c r="K22" s="455"/>
      <c r="L22" s="455"/>
      <c r="M22" s="455"/>
      <c r="N22" s="455"/>
      <c r="O22" s="455"/>
      <c r="P22" s="455"/>
      <c r="Q22" s="455"/>
      <c r="R22" s="455"/>
      <c r="S22" s="455"/>
      <c r="T22" s="455"/>
      <c r="U22" s="455"/>
      <c r="V22" s="455"/>
      <c r="W22" s="455"/>
      <c r="X22" s="455"/>
      <c r="Y22" s="455"/>
      <c r="Z22" s="455"/>
      <c r="AA22" s="455"/>
      <c r="AB22" s="455"/>
      <c r="AC22" s="455"/>
      <c r="AD22" s="455"/>
      <c r="AE22" s="455"/>
      <c r="AF22" s="455"/>
    </row>
    <row r="23" spans="1:68" s="4" customFormat="1" ht="51.75" customHeight="1" x14ac:dyDescent="0.3">
      <c r="A23" s="399"/>
      <c r="B23" s="1708" t="s">
        <v>3456</v>
      </c>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row>
    <row r="24" spans="1:68" s="1" customFormat="1" x14ac:dyDescent="0.3">
      <c r="A24" s="398"/>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68" s="1" customFormat="1" x14ac:dyDescent="0.3">
      <c r="A25" s="398"/>
      <c r="B25" s="403" t="s">
        <v>13</v>
      </c>
      <c r="C25" s="403"/>
      <c r="D25" s="403"/>
      <c r="E25" s="403"/>
      <c r="F25" s="403"/>
      <c r="G25" s="403"/>
      <c r="H25" s="403"/>
      <c r="I25" s="403"/>
      <c r="J25" s="398"/>
      <c r="K25" s="398"/>
      <c r="L25" s="398"/>
      <c r="M25" s="398"/>
      <c r="N25" s="398"/>
      <c r="O25" s="398"/>
      <c r="P25" s="398"/>
      <c r="Q25" s="398"/>
      <c r="R25" s="398"/>
      <c r="S25" s="398"/>
      <c r="T25" s="398"/>
      <c r="U25" s="398"/>
      <c r="V25" s="398"/>
      <c r="W25" s="398"/>
      <c r="X25" s="398"/>
      <c r="Y25" s="398"/>
      <c r="Z25" s="398"/>
      <c r="AA25" s="398"/>
      <c r="AB25" s="398"/>
      <c r="AC25" s="398"/>
      <c r="AD25" s="398"/>
      <c r="AE25" s="398"/>
      <c r="AF25" s="398"/>
    </row>
    <row r="26" spans="1:68" s="1" customFormat="1" ht="78" customHeight="1" x14ac:dyDescent="0.3">
      <c r="A26" s="398"/>
      <c r="B26" s="1708" t="s">
        <v>3650</v>
      </c>
      <c r="C26" s="1711"/>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row>
    <row r="27" spans="1:68" s="1" customFormat="1" x14ac:dyDescent="0.3">
      <c r="A27" s="398"/>
      <c r="B27" s="45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66"/>
    </row>
    <row r="28" spans="1:68" s="1" customFormat="1" ht="16.5" customHeight="1" x14ac:dyDescent="0.3">
      <c r="A28" s="398"/>
      <c r="B28" s="1708" t="s">
        <v>3687</v>
      </c>
      <c r="C28" s="1711"/>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711"/>
      <c r="Z28" s="1711"/>
      <c r="AA28" s="1711"/>
      <c r="AB28" s="1711"/>
      <c r="AC28" s="1711"/>
      <c r="AD28" s="1711"/>
      <c r="AE28" s="1711"/>
      <c r="AF28" s="1711"/>
    </row>
    <row r="29" spans="1:68" s="1" customFormat="1" x14ac:dyDescent="0.3">
      <c r="A29" s="398"/>
      <c r="B29" s="45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row>
    <row r="30" spans="1:68" s="1" customFormat="1" ht="52.5" customHeight="1" x14ac:dyDescent="0.3">
      <c r="A30" s="398"/>
      <c r="B30" s="1708" t="s">
        <v>3688</v>
      </c>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row>
    <row r="31" spans="1:68" s="1" customFormat="1" x14ac:dyDescent="0.3">
      <c r="A31" s="398"/>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row>
    <row r="32" spans="1:68" x14ac:dyDescent="0.3">
      <c r="A32" s="399"/>
      <c r="B32" s="1715" t="s">
        <v>3531</v>
      </c>
      <c r="C32" s="1715"/>
      <c r="D32" s="1715"/>
      <c r="E32" s="1715"/>
      <c r="F32" s="1715"/>
      <c r="G32" s="1715"/>
      <c r="H32" s="1715"/>
      <c r="I32" s="1715"/>
      <c r="J32" s="1715"/>
      <c r="K32" s="1715"/>
      <c r="L32" s="1715"/>
      <c r="M32" s="1715"/>
      <c r="N32" s="1715"/>
      <c r="O32" s="1715"/>
      <c r="P32" s="1715"/>
      <c r="Q32" s="1715"/>
      <c r="R32" s="1715"/>
      <c r="S32" s="1715"/>
      <c r="T32" s="1715"/>
      <c r="U32" s="1715"/>
      <c r="V32" s="1715"/>
      <c r="W32" s="1715"/>
      <c r="X32" s="1715"/>
      <c r="Y32" s="1715"/>
      <c r="Z32" s="1715"/>
      <c r="AA32" s="1715"/>
      <c r="AB32" s="1715"/>
      <c r="AC32" s="1715"/>
      <c r="AD32" s="1715"/>
      <c r="AE32" s="1715"/>
      <c r="AF32" s="1715"/>
      <c r="AL32" s="475"/>
      <c r="AM32" s="476"/>
      <c r="AN32" s="476"/>
      <c r="AO32" s="476"/>
      <c r="AP32" s="476"/>
      <c r="AQ32" s="476"/>
      <c r="AR32" s="476"/>
      <c r="AS32" s="476"/>
      <c r="AT32" s="476"/>
      <c r="AU32" s="476"/>
      <c r="AV32" s="476"/>
      <c r="AW32" s="476"/>
      <c r="AX32" s="476"/>
      <c r="AY32" s="476"/>
      <c r="AZ32" s="476"/>
      <c r="BA32" s="476"/>
      <c r="BB32" s="476"/>
      <c r="BC32" s="476"/>
      <c r="BD32" s="476"/>
      <c r="BE32" s="476"/>
      <c r="BF32" s="476"/>
      <c r="BG32" s="476"/>
      <c r="BH32" s="476"/>
      <c r="BI32" s="476"/>
      <c r="BJ32" s="476"/>
      <c r="BK32" s="476"/>
      <c r="BL32" s="476"/>
      <c r="BM32" s="476"/>
      <c r="BN32" s="476"/>
      <c r="BO32" s="476"/>
      <c r="BP32" s="476"/>
    </row>
    <row r="33" spans="1:68" ht="16.2" x14ac:dyDescent="0.3">
      <c r="A33" s="399"/>
      <c r="B33" s="1716" t="s">
        <v>3458</v>
      </c>
      <c r="C33" s="1717"/>
      <c r="D33" s="1717"/>
      <c r="E33" s="1717"/>
      <c r="F33" s="1717"/>
      <c r="G33" s="1717"/>
      <c r="H33" s="1718"/>
      <c r="I33" s="1714" t="s">
        <v>3459</v>
      </c>
      <c r="J33" s="1714"/>
      <c r="K33" s="1714"/>
      <c r="L33" s="1714"/>
      <c r="M33" s="1714"/>
      <c r="N33" s="1714"/>
      <c r="O33" s="1714" t="s">
        <v>3460</v>
      </c>
      <c r="P33" s="1714"/>
      <c r="Q33" s="1714"/>
      <c r="R33" s="1714"/>
      <c r="S33" s="1714"/>
      <c r="T33" s="1714"/>
      <c r="U33" s="1714" t="s">
        <v>3461</v>
      </c>
      <c r="V33" s="1714"/>
      <c r="W33" s="1714"/>
      <c r="X33" s="1714"/>
      <c r="Y33" s="1714"/>
      <c r="Z33" s="1714"/>
      <c r="AA33" s="1714"/>
      <c r="AB33" s="1714"/>
      <c r="AC33" s="1714"/>
      <c r="AD33" s="1714"/>
      <c r="AE33" s="1714"/>
      <c r="AF33" s="1714"/>
      <c r="AL33" s="477"/>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row>
    <row r="34" spans="1:68" ht="15.6" x14ac:dyDescent="0.3">
      <c r="A34" s="399"/>
      <c r="B34" s="1719"/>
      <c r="C34" s="1720"/>
      <c r="D34" s="1720"/>
      <c r="E34" s="1720"/>
      <c r="F34" s="1720"/>
      <c r="G34" s="1720"/>
      <c r="H34" s="1721"/>
      <c r="I34" s="1714" t="s">
        <v>3462</v>
      </c>
      <c r="J34" s="1714"/>
      <c r="K34" s="1714"/>
      <c r="L34" s="1714" t="s">
        <v>3463</v>
      </c>
      <c r="M34" s="1714"/>
      <c r="N34" s="1714"/>
      <c r="O34" s="1714" t="s">
        <v>3464</v>
      </c>
      <c r="P34" s="1714"/>
      <c r="Q34" s="1714"/>
      <c r="R34" s="1714" t="s">
        <v>3465</v>
      </c>
      <c r="S34" s="1714"/>
      <c r="T34" s="1714"/>
      <c r="U34" s="1714" t="s">
        <v>3466</v>
      </c>
      <c r="V34" s="1714"/>
      <c r="W34" s="1714"/>
      <c r="X34" s="1714" t="s">
        <v>3467</v>
      </c>
      <c r="Y34" s="1714"/>
      <c r="Z34" s="1714"/>
      <c r="AA34" s="1714" t="s">
        <v>3468</v>
      </c>
      <c r="AB34" s="1714"/>
      <c r="AC34" s="1714"/>
      <c r="AD34" s="1714" t="s">
        <v>3469</v>
      </c>
      <c r="AE34" s="1714"/>
      <c r="AF34" s="1714"/>
      <c r="AL34" s="477"/>
      <c r="AM34" s="476"/>
      <c r="AN34" s="476"/>
      <c r="AO34" s="476"/>
      <c r="AP34" s="476"/>
      <c r="AQ34" s="476"/>
      <c r="AR34" s="476"/>
      <c r="AS34" s="476"/>
      <c r="AT34" s="476"/>
      <c r="AU34" s="476"/>
      <c r="AV34" s="476"/>
      <c r="AW34" s="476"/>
      <c r="AX34" s="476"/>
      <c r="AY34" s="476"/>
      <c r="AZ34" s="476"/>
      <c r="BA34" s="476"/>
      <c r="BB34" s="476"/>
      <c r="BC34" s="476"/>
      <c r="BD34" s="476"/>
      <c r="BE34" s="476"/>
      <c r="BF34" s="476"/>
      <c r="BG34" s="476"/>
      <c r="BH34" s="476"/>
      <c r="BI34" s="476"/>
      <c r="BJ34" s="476"/>
      <c r="BK34" s="476"/>
      <c r="BL34" s="476"/>
      <c r="BM34" s="476"/>
      <c r="BN34" s="476"/>
      <c r="BO34" s="476"/>
      <c r="BP34" s="476"/>
    </row>
    <row r="35" spans="1:68" x14ac:dyDescent="0.3">
      <c r="A35" s="399"/>
      <c r="B35" s="1725" t="s">
        <v>3470</v>
      </c>
      <c r="C35" s="1725"/>
      <c r="D35" s="1725"/>
      <c r="E35" s="1725"/>
      <c r="F35" s="1725"/>
      <c r="G35" s="1725"/>
      <c r="H35" s="1725"/>
      <c r="I35" s="1724">
        <f>ROUND(L35/1.01,1)</f>
        <v>9.6</v>
      </c>
      <c r="J35" s="1724"/>
      <c r="K35" s="1724"/>
      <c r="L35" s="1724">
        <v>9.6999999999999993</v>
      </c>
      <c r="M35" s="1724"/>
      <c r="N35" s="1724"/>
      <c r="O35" s="1724">
        <v>11</v>
      </c>
      <c r="P35" s="1724"/>
      <c r="Q35" s="1724"/>
      <c r="R35" s="1724">
        <f>ROUND(O35*1.01,1)</f>
        <v>11.1</v>
      </c>
      <c r="S35" s="1724"/>
      <c r="T35" s="1724"/>
      <c r="U35" s="1724">
        <v>12.1</v>
      </c>
      <c r="V35" s="1724"/>
      <c r="W35" s="1724"/>
      <c r="X35" s="1724">
        <f>ROUND(U35*1.01,1)</f>
        <v>12.2</v>
      </c>
      <c r="Y35" s="1724"/>
      <c r="Z35" s="1724"/>
      <c r="AA35" s="1724">
        <f>ROUND(U35-0.05*U35,1)</f>
        <v>11.5</v>
      </c>
      <c r="AB35" s="1724"/>
      <c r="AC35" s="1724"/>
      <c r="AD35" s="1724">
        <f>ROUND(AA35*1.01,1)</f>
        <v>11.6</v>
      </c>
      <c r="AE35" s="1724"/>
      <c r="AF35" s="1724"/>
      <c r="AL35" s="477"/>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row>
    <row r="36" spans="1:68" x14ac:dyDescent="0.3">
      <c r="A36" s="399"/>
      <c r="B36" s="1725" t="s">
        <v>3471</v>
      </c>
      <c r="C36" s="1725"/>
      <c r="D36" s="1725"/>
      <c r="E36" s="1725"/>
      <c r="F36" s="1725"/>
      <c r="G36" s="1725"/>
      <c r="H36" s="1725"/>
      <c r="I36" s="1724">
        <f t="shared" ref="I36:I38" si="0">ROUND(L36/1.01,1)</f>
        <v>9.6999999999999993</v>
      </c>
      <c r="J36" s="1724"/>
      <c r="K36" s="1724"/>
      <c r="L36" s="1724">
        <v>9.8000000000000007</v>
      </c>
      <c r="M36" s="1724"/>
      <c r="N36" s="1724"/>
      <c r="O36" s="1724">
        <v>10.9</v>
      </c>
      <c r="P36" s="1724"/>
      <c r="Q36" s="1724"/>
      <c r="R36" s="1724">
        <f t="shared" ref="R36:R38" si="1">ROUND(O36*1.01,1)</f>
        <v>11</v>
      </c>
      <c r="S36" s="1724"/>
      <c r="T36" s="1724"/>
      <c r="U36" s="1724">
        <v>12</v>
      </c>
      <c r="V36" s="1724"/>
      <c r="W36" s="1724"/>
      <c r="X36" s="1724">
        <f t="shared" ref="X36:X38" si="2">ROUND(U36*1.01,1)</f>
        <v>12.1</v>
      </c>
      <c r="Y36" s="1724"/>
      <c r="Z36" s="1724"/>
      <c r="AA36" s="1724">
        <f t="shared" ref="AA36:AA38" si="3">ROUND(U36-0.05*U36,1)</f>
        <v>11.4</v>
      </c>
      <c r="AB36" s="1724"/>
      <c r="AC36" s="1724"/>
      <c r="AD36" s="1724">
        <f t="shared" ref="AD36:AD38" si="4">ROUND(AA36*1.01,1)</f>
        <v>11.5</v>
      </c>
      <c r="AE36" s="1724"/>
      <c r="AF36" s="1724"/>
      <c r="AL36" s="477"/>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row>
    <row r="37" spans="1:68" x14ac:dyDescent="0.3">
      <c r="A37" s="399"/>
      <c r="B37" s="1725" t="s">
        <v>3472</v>
      </c>
      <c r="C37" s="1725"/>
      <c r="D37" s="1725"/>
      <c r="E37" s="1725"/>
      <c r="F37" s="1725"/>
      <c r="G37" s="1725"/>
      <c r="H37" s="1725"/>
      <c r="I37" s="1724">
        <f t="shared" si="0"/>
        <v>9.6</v>
      </c>
      <c r="J37" s="1724"/>
      <c r="K37" s="1724"/>
      <c r="L37" s="1724">
        <v>9.6999999999999993</v>
      </c>
      <c r="M37" s="1724"/>
      <c r="N37" s="1724"/>
      <c r="O37" s="1724">
        <v>10.7</v>
      </c>
      <c r="P37" s="1724"/>
      <c r="Q37" s="1724"/>
      <c r="R37" s="1724">
        <f t="shared" si="1"/>
        <v>10.8</v>
      </c>
      <c r="S37" s="1724"/>
      <c r="T37" s="1724"/>
      <c r="U37" s="1724">
        <v>11.8</v>
      </c>
      <c r="V37" s="1724"/>
      <c r="W37" s="1724"/>
      <c r="X37" s="1724">
        <f t="shared" si="2"/>
        <v>11.9</v>
      </c>
      <c r="Y37" s="1724"/>
      <c r="Z37" s="1724"/>
      <c r="AA37" s="1724">
        <f t="shared" si="3"/>
        <v>11.2</v>
      </c>
      <c r="AB37" s="1724"/>
      <c r="AC37" s="1724"/>
      <c r="AD37" s="1724">
        <f t="shared" si="4"/>
        <v>11.3</v>
      </c>
      <c r="AE37" s="1724"/>
      <c r="AF37" s="1724"/>
      <c r="AL37" s="477"/>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row>
    <row r="38" spans="1:68" x14ac:dyDescent="0.3">
      <c r="A38" s="399"/>
      <c r="B38" s="1725" t="s">
        <v>3473</v>
      </c>
      <c r="C38" s="1725"/>
      <c r="D38" s="1725"/>
      <c r="E38" s="1725"/>
      <c r="F38" s="1725"/>
      <c r="G38" s="1725"/>
      <c r="H38" s="1725"/>
      <c r="I38" s="1724">
        <f t="shared" si="0"/>
        <v>8.4</v>
      </c>
      <c r="J38" s="1724"/>
      <c r="K38" s="1724"/>
      <c r="L38" s="1724">
        <v>8.5</v>
      </c>
      <c r="M38" s="1724"/>
      <c r="N38" s="1724"/>
      <c r="O38" s="1724">
        <v>9.4</v>
      </c>
      <c r="P38" s="1724"/>
      <c r="Q38" s="1724"/>
      <c r="R38" s="1724">
        <f t="shared" si="1"/>
        <v>9.5</v>
      </c>
      <c r="S38" s="1724"/>
      <c r="T38" s="1724"/>
      <c r="U38" s="1724">
        <v>10.3</v>
      </c>
      <c r="V38" s="1724"/>
      <c r="W38" s="1724"/>
      <c r="X38" s="1724">
        <f t="shared" si="2"/>
        <v>10.4</v>
      </c>
      <c r="Y38" s="1724"/>
      <c r="Z38" s="1724"/>
      <c r="AA38" s="1724">
        <f t="shared" si="3"/>
        <v>9.8000000000000007</v>
      </c>
      <c r="AB38" s="1724"/>
      <c r="AC38" s="1724"/>
      <c r="AD38" s="1724">
        <f t="shared" si="4"/>
        <v>9.9</v>
      </c>
      <c r="AE38" s="1724"/>
      <c r="AF38" s="1724"/>
      <c r="AL38" s="477"/>
      <c r="AM38" s="476"/>
      <c r="AN38" s="476"/>
      <c r="AO38" s="476"/>
      <c r="AP38" s="476"/>
      <c r="AQ38" s="476"/>
      <c r="AR38" s="476"/>
      <c r="AS38" s="476"/>
      <c r="AT38" s="476"/>
      <c r="AU38" s="476"/>
      <c r="AV38" s="476"/>
      <c r="AW38" s="476"/>
      <c r="AX38" s="476"/>
      <c r="AY38" s="476"/>
      <c r="AZ38" s="476"/>
      <c r="BA38" s="476"/>
      <c r="BB38" s="476"/>
      <c r="BC38" s="476"/>
      <c r="BD38" s="476"/>
      <c r="BE38" s="476"/>
      <c r="BF38" s="476"/>
      <c r="BG38" s="476"/>
      <c r="BH38" s="476"/>
      <c r="BI38" s="476"/>
      <c r="BJ38" s="476"/>
      <c r="BK38" s="476"/>
      <c r="BL38" s="476"/>
      <c r="BM38" s="476"/>
      <c r="BN38" s="476"/>
      <c r="BO38" s="476"/>
      <c r="BP38" s="476"/>
    </row>
    <row r="39" spans="1:68" ht="49.5" customHeight="1" x14ac:dyDescent="0.3">
      <c r="A39" s="399"/>
      <c r="B39" s="1727" t="s">
        <v>3474</v>
      </c>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row>
    <row r="40" spans="1:68" ht="44.25" customHeight="1" x14ac:dyDescent="0.3">
      <c r="A40" s="399"/>
      <c r="B40" s="1726" t="s">
        <v>3475</v>
      </c>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c r="AF40" s="1726"/>
      <c r="AL40" s="476"/>
      <c r="AM40" s="476"/>
      <c r="AN40" s="476"/>
      <c r="AO40" s="476"/>
      <c r="AP40" s="476"/>
      <c r="AQ40" s="476"/>
      <c r="AR40" s="476"/>
      <c r="AS40" s="476"/>
      <c r="AT40" s="476"/>
      <c r="AU40" s="476"/>
      <c r="AV40" s="476"/>
      <c r="AW40" s="476"/>
      <c r="AX40" s="476"/>
      <c r="AY40" s="476"/>
      <c r="AZ40" s="476"/>
      <c r="BA40" s="476"/>
      <c r="BB40" s="476"/>
      <c r="BC40" s="476"/>
      <c r="BD40" s="476"/>
      <c r="BE40" s="476"/>
      <c r="BF40" s="476"/>
      <c r="BG40" s="476"/>
      <c r="BH40" s="476"/>
      <c r="BI40" s="476"/>
      <c r="BJ40" s="476"/>
      <c r="BK40" s="476"/>
      <c r="BL40" s="476"/>
      <c r="BM40" s="476"/>
      <c r="BN40" s="476"/>
      <c r="BO40" s="476"/>
      <c r="BP40" s="476"/>
    </row>
    <row r="41" spans="1:68" ht="42.75" customHeight="1" x14ac:dyDescent="0.3">
      <c r="A41" s="399"/>
      <c r="B41" s="1726" t="s">
        <v>3476</v>
      </c>
      <c r="C41" s="1726"/>
      <c r="D41" s="1726"/>
      <c r="E41" s="1726"/>
      <c r="F41" s="1726"/>
      <c r="G41" s="1726"/>
      <c r="H41" s="1726"/>
      <c r="I41" s="1726"/>
      <c r="J41" s="1726"/>
      <c r="K41" s="1726"/>
      <c r="L41" s="1726"/>
      <c r="M41" s="1726"/>
      <c r="N41" s="1726"/>
      <c r="O41" s="1726"/>
      <c r="P41" s="1726"/>
      <c r="Q41" s="1726"/>
      <c r="R41" s="1726"/>
      <c r="S41" s="1726"/>
      <c r="T41" s="1726"/>
      <c r="U41" s="1726"/>
      <c r="V41" s="1726"/>
      <c r="W41" s="1726"/>
      <c r="X41" s="1726"/>
      <c r="Y41" s="1726"/>
      <c r="Z41" s="1726"/>
      <c r="AA41" s="1726"/>
      <c r="AB41" s="1726"/>
      <c r="AC41" s="1726"/>
      <c r="AD41" s="1726"/>
      <c r="AE41" s="1726"/>
      <c r="AF41" s="1726"/>
      <c r="AL41" s="476"/>
      <c r="AM41" s="476"/>
      <c r="AN41" s="476"/>
      <c r="AO41" s="476"/>
      <c r="AP41" s="476"/>
      <c r="AQ41" s="476"/>
      <c r="AR41" s="476"/>
      <c r="AS41" s="476"/>
      <c r="AT41" s="476"/>
      <c r="AU41" s="476"/>
      <c r="AV41" s="476"/>
      <c r="AW41" s="476"/>
      <c r="AX41" s="476"/>
      <c r="AY41" s="476"/>
      <c r="AZ41" s="476"/>
      <c r="BA41" s="476"/>
      <c r="BB41" s="476"/>
      <c r="BC41" s="476"/>
      <c r="BD41" s="476"/>
      <c r="BE41" s="476"/>
      <c r="BF41" s="476"/>
      <c r="BG41" s="476"/>
      <c r="BH41" s="476"/>
      <c r="BI41" s="476"/>
      <c r="BJ41" s="476"/>
      <c r="BK41" s="476"/>
      <c r="BL41" s="476"/>
      <c r="BM41" s="476"/>
      <c r="BN41" s="476"/>
      <c r="BO41" s="476"/>
      <c r="BP41" s="476"/>
    </row>
    <row r="42" spans="1:68" x14ac:dyDescent="0.3">
      <c r="A42" s="399"/>
      <c r="B42" s="454"/>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L42" s="478"/>
    </row>
    <row r="43" spans="1:68" x14ac:dyDescent="0.3">
      <c r="A43" s="398"/>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c r="AL43" s="478"/>
    </row>
    <row r="44" spans="1:68" s="1" customFormat="1" x14ac:dyDescent="0.3">
      <c r="A44" s="1713" t="s">
        <v>7</v>
      </c>
      <c r="B44" s="1713"/>
      <c r="C44" s="1713"/>
      <c r="D44" s="1713"/>
      <c r="E44" s="1713"/>
      <c r="F44" s="1713"/>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row>
    <row r="45" spans="1:68" s="1" customFormat="1" x14ac:dyDescent="0.3">
      <c r="A45" s="584"/>
      <c r="B45" s="584"/>
      <c r="C45" s="584"/>
      <c r="D45" s="584"/>
      <c r="E45" s="584"/>
      <c r="F45" s="584"/>
      <c r="G45" s="584"/>
      <c r="H45" s="584"/>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68" x14ac:dyDescent="0.3">
      <c r="A46" s="121"/>
      <c r="B46" s="231" t="s">
        <v>3347</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L46" s="438"/>
    </row>
    <row r="47" spans="1:68" x14ac:dyDescent="0.3">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L47" s="438"/>
    </row>
    <row r="48" spans="1:68" x14ac:dyDescent="0.3">
      <c r="A48" s="1694"/>
      <c r="B48" s="1694"/>
      <c r="C48" s="1694"/>
      <c r="D48" s="1694"/>
      <c r="E48" s="1694"/>
      <c r="F48" s="1694"/>
      <c r="G48" s="1694"/>
      <c r="H48" s="1694"/>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t="s">
        <v>1463</v>
      </c>
      <c r="AL48" s="438"/>
    </row>
    <row r="49" spans="1:38" x14ac:dyDescent="0.3">
      <c r="A49" s="60"/>
      <c r="B49" s="60"/>
      <c r="C49" s="60"/>
      <c r="D49" s="60"/>
      <c r="E49" s="60"/>
      <c r="F49" s="60"/>
      <c r="G49" s="60"/>
      <c r="H49" s="60"/>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L49" s="438"/>
    </row>
    <row r="50" spans="1:38" x14ac:dyDescent="0.3">
      <c r="A50" s="121"/>
      <c r="B50" s="231" t="s">
        <v>3348</v>
      </c>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L50" s="438"/>
    </row>
    <row r="51" spans="1:38"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L51" s="438"/>
    </row>
    <row r="52" spans="1:38" x14ac:dyDescent="0.3">
      <c r="A52" s="1694"/>
      <c r="B52" s="1694"/>
      <c r="C52" s="1694"/>
      <c r="D52" s="1694"/>
      <c r="E52" s="1694"/>
      <c r="F52" s="1694"/>
      <c r="G52" s="1694"/>
      <c r="H52" s="1694"/>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t="s">
        <v>1464</v>
      </c>
      <c r="AL52" s="438"/>
    </row>
    <row r="53" spans="1:38" x14ac:dyDescent="0.3">
      <c r="A53" s="60"/>
      <c r="B53" s="60"/>
      <c r="C53" s="60"/>
      <c r="D53" s="60"/>
      <c r="E53" s="60"/>
      <c r="F53" s="60"/>
      <c r="G53" s="60"/>
      <c r="H53" s="60"/>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L53" s="438"/>
    </row>
    <row r="54" spans="1:38" x14ac:dyDescent="0.3">
      <c r="A54" s="60"/>
      <c r="B54" s="372" t="s">
        <v>3349</v>
      </c>
      <c r="C54" s="60"/>
      <c r="D54" s="60"/>
      <c r="E54" s="60"/>
      <c r="F54" s="60"/>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L54" s="438"/>
    </row>
    <row r="55" spans="1:38" x14ac:dyDescent="0.3">
      <c r="A55" s="60"/>
      <c r="B55" s="60"/>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L55" s="438"/>
    </row>
    <row r="56" spans="1:38" x14ac:dyDescent="0.3">
      <c r="A56" s="1694"/>
      <c r="B56" s="1694"/>
      <c r="C56" s="1694"/>
      <c r="D56" s="1694"/>
      <c r="E56" s="1694"/>
      <c r="F56" s="1694"/>
      <c r="G56" s="1694"/>
      <c r="H56" s="1694"/>
      <c r="I56" s="63"/>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t="s">
        <v>1465</v>
      </c>
      <c r="AL56" s="438"/>
    </row>
    <row r="57" spans="1:38" x14ac:dyDescent="0.3">
      <c r="A57" s="60"/>
      <c r="B57" s="60"/>
      <c r="C57" s="60"/>
      <c r="D57" s="60"/>
      <c r="E57" s="59"/>
      <c r="F57" s="121"/>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L57" s="438"/>
    </row>
    <row r="58" spans="1:38" x14ac:dyDescent="0.3">
      <c r="A58" s="60"/>
      <c r="B58" s="372" t="s">
        <v>3350</v>
      </c>
      <c r="C58" s="60"/>
      <c r="D58" s="60"/>
      <c r="E58" s="60"/>
      <c r="F58" s="60"/>
      <c r="G58" s="60"/>
      <c r="H58" s="60"/>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L58" s="438"/>
    </row>
    <row r="59" spans="1:38" x14ac:dyDescent="0.3">
      <c r="A59" s="60"/>
      <c r="B59" s="60"/>
      <c r="C59" s="60"/>
      <c r="D59" s="60"/>
      <c r="E59" s="60"/>
      <c r="F59" s="60"/>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L59" s="438"/>
    </row>
    <row r="60" spans="1:38" x14ac:dyDescent="0.3">
      <c r="A60" s="1694"/>
      <c r="B60" s="1694"/>
      <c r="C60" s="1694"/>
      <c r="D60" s="1694"/>
      <c r="E60" s="1694"/>
      <c r="F60" s="1694"/>
      <c r="G60" s="1694"/>
      <c r="H60" s="1694"/>
      <c r="I60" s="63"/>
      <c r="J60" s="272"/>
      <c r="K60" s="272"/>
      <c r="L60" s="272"/>
      <c r="M60" s="272"/>
      <c r="N60" s="272"/>
      <c r="O60" s="272"/>
      <c r="P60" s="272"/>
      <c r="Q60" s="272"/>
      <c r="R60" s="272"/>
      <c r="S60" s="272"/>
      <c r="T60" s="272"/>
      <c r="U60" s="272"/>
      <c r="V60" s="272"/>
      <c r="W60" s="272"/>
      <c r="X60" s="272"/>
      <c r="Y60" s="272"/>
      <c r="Z60" s="272"/>
      <c r="AA60" s="272"/>
      <c r="AB60" s="272"/>
      <c r="AC60" s="272"/>
      <c r="AD60" s="272"/>
      <c r="AE60" s="272"/>
      <c r="AF60" s="272" t="s">
        <v>1517</v>
      </c>
      <c r="AL60" s="438"/>
    </row>
    <row r="61" spans="1:38" x14ac:dyDescent="0.3">
      <c r="A61" s="60"/>
      <c r="B61" s="60"/>
      <c r="C61" s="60"/>
      <c r="D61" s="60"/>
      <c r="E61" s="59"/>
      <c r="F61" s="121"/>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L61" s="438"/>
    </row>
    <row r="62" spans="1:38" x14ac:dyDescent="0.3">
      <c r="A62" s="60"/>
      <c r="B62" s="372" t="s">
        <v>3351</v>
      </c>
      <c r="C62" s="60"/>
      <c r="D62" s="60"/>
      <c r="E62" s="60"/>
      <c r="F62" s="60"/>
      <c r="G62" s="60"/>
      <c r="H62" s="60"/>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L62" s="438"/>
    </row>
    <row r="63" spans="1:38" x14ac:dyDescent="0.3">
      <c r="A63" s="60"/>
      <c r="B63" s="60"/>
      <c r="C63" s="60"/>
      <c r="D63" s="60"/>
      <c r="E63" s="60"/>
      <c r="F63" s="60"/>
      <c r="G63" s="60"/>
      <c r="H63" s="60"/>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L63" s="438"/>
    </row>
    <row r="64" spans="1:38" x14ac:dyDescent="0.3">
      <c r="A64" s="1694"/>
      <c r="B64" s="1694"/>
      <c r="C64" s="1694"/>
      <c r="D64" s="1694"/>
      <c r="E64" s="1694"/>
      <c r="F64" s="1694"/>
      <c r="G64" s="1694"/>
      <c r="H64" s="1694"/>
      <c r="I64" s="272"/>
      <c r="J64" s="63"/>
      <c r="K64" s="63"/>
      <c r="L64" s="63"/>
      <c r="M64" s="63"/>
      <c r="N64" s="63"/>
      <c r="O64" s="63"/>
      <c r="P64" s="63"/>
      <c r="Q64" s="63"/>
      <c r="R64" s="63"/>
      <c r="S64" s="63"/>
      <c r="T64" s="63"/>
      <c r="U64" s="63"/>
      <c r="V64" s="63"/>
      <c r="W64" s="63"/>
      <c r="X64" s="63"/>
      <c r="Y64" s="63"/>
      <c r="Z64" s="63"/>
      <c r="AA64" s="63"/>
      <c r="AB64" s="63"/>
      <c r="AC64" s="63"/>
      <c r="AD64" s="63"/>
      <c r="AE64" s="63"/>
      <c r="AF64" s="272" t="s">
        <v>1556</v>
      </c>
      <c r="AL64" s="438"/>
    </row>
    <row r="65" spans="1:72" x14ac:dyDescent="0.3">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L65" s="438"/>
    </row>
    <row r="66" spans="1:72" x14ac:dyDescent="0.3">
      <c r="A66" s="60"/>
      <c r="B66" s="372" t="s">
        <v>3352</v>
      </c>
      <c r="C66" s="60"/>
      <c r="D66" s="60"/>
      <c r="E66" s="60"/>
      <c r="F66" s="60"/>
      <c r="G66" s="60"/>
      <c r="H66" s="60"/>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L66" s="438"/>
    </row>
    <row r="67" spans="1:72" x14ac:dyDescent="0.3">
      <c r="A67" s="60"/>
      <c r="B67" s="60"/>
      <c r="C67" s="60"/>
      <c r="D67" s="60"/>
      <c r="E67" s="60"/>
      <c r="F67" s="60"/>
      <c r="G67" s="60"/>
      <c r="H67" s="60"/>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L67" s="438"/>
    </row>
    <row r="68" spans="1:72" x14ac:dyDescent="0.3">
      <c r="A68" s="1694"/>
      <c r="B68" s="1694"/>
      <c r="C68" s="1694"/>
      <c r="D68" s="1694"/>
      <c r="E68" s="1694"/>
      <c r="F68" s="1694"/>
      <c r="G68" s="1694"/>
      <c r="H68" s="1694"/>
      <c r="I68" s="272"/>
      <c r="J68" s="63"/>
      <c r="K68" s="63"/>
      <c r="L68" s="63"/>
      <c r="M68" s="63"/>
      <c r="N68" s="63"/>
      <c r="O68" s="63"/>
      <c r="P68" s="63"/>
      <c r="Q68" s="63"/>
      <c r="R68" s="63"/>
      <c r="S68" s="63"/>
      <c r="T68" s="63"/>
      <c r="U68" s="63"/>
      <c r="V68" s="63"/>
      <c r="W68" s="63"/>
      <c r="X68" s="63"/>
      <c r="Y68" s="63"/>
      <c r="Z68" s="63"/>
      <c r="AA68" s="63"/>
      <c r="AB68" s="63"/>
      <c r="AC68" s="63"/>
      <c r="AD68" s="63"/>
      <c r="AE68" s="63"/>
      <c r="AF68" s="272" t="s">
        <v>1558</v>
      </c>
      <c r="AL68" s="438"/>
    </row>
    <row r="69" spans="1:72" x14ac:dyDescent="0.3">
      <c r="A69" s="581"/>
      <c r="B69" s="581"/>
      <c r="C69" s="581"/>
      <c r="D69" s="581"/>
      <c r="E69" s="581"/>
      <c r="F69" s="581"/>
      <c r="G69" s="581"/>
      <c r="H69" s="58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L69" s="438"/>
    </row>
    <row r="70" spans="1:72" s="1" customFormat="1" x14ac:dyDescent="0.3">
      <c r="A70" s="1713" t="s">
        <v>8</v>
      </c>
      <c r="B70" s="1713"/>
      <c r="C70" s="1713"/>
      <c r="D70" s="1713"/>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c r="AA70" s="1713"/>
      <c r="AB70" s="1713"/>
      <c r="AC70" s="1713"/>
      <c r="AD70" s="1713"/>
      <c r="AE70" s="1713"/>
      <c r="AF70" s="1713"/>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s="1" customFormat="1" x14ac:dyDescent="0.3">
      <c r="A71" s="1728" t="s">
        <v>9</v>
      </c>
      <c r="B71" s="1728"/>
      <c r="C71" s="1728"/>
      <c r="D71" s="1728"/>
      <c r="E71" s="1728" t="s">
        <v>3</v>
      </c>
      <c r="F71" s="1728"/>
      <c r="G71" s="1728"/>
      <c r="H71" s="1728"/>
      <c r="I71" s="1728"/>
      <c r="J71" s="1728"/>
      <c r="K71" s="1728"/>
      <c r="L71" s="1728"/>
      <c r="M71" s="1728"/>
      <c r="N71" s="1728"/>
      <c r="O71" s="1728"/>
      <c r="P71" s="1728"/>
      <c r="Q71" s="1728" t="s">
        <v>10</v>
      </c>
      <c r="R71" s="1728"/>
      <c r="S71" s="1728"/>
      <c r="T71" s="1728"/>
      <c r="U71" s="1729" t="s">
        <v>11</v>
      </c>
      <c r="V71" s="1730"/>
      <c r="W71" s="1731"/>
      <c r="X71" s="1729" t="s">
        <v>1466</v>
      </c>
      <c r="Y71" s="1730"/>
      <c r="Z71" s="1730"/>
      <c r="AA71" s="1730"/>
      <c r="AB71" s="1730"/>
      <c r="AC71" s="1730"/>
      <c r="AD71" s="1730"/>
      <c r="AE71" s="1730"/>
      <c r="AF71" s="173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s="1" customFormat="1" ht="65.25" customHeight="1" x14ac:dyDescent="0.3">
      <c r="A72" s="1732" t="s">
        <v>2720</v>
      </c>
      <c r="B72" s="1733" t="s">
        <v>450</v>
      </c>
      <c r="C72" s="1733" t="s">
        <v>450</v>
      </c>
      <c r="D72" s="1734" t="s">
        <v>450</v>
      </c>
      <c r="E72" s="1735" t="s">
        <v>4641</v>
      </c>
      <c r="F72" s="1735"/>
      <c r="G72" s="1735" t="s">
        <v>451</v>
      </c>
      <c r="H72" s="1735"/>
      <c r="I72" s="1735" t="s">
        <v>451</v>
      </c>
      <c r="J72" s="1735"/>
      <c r="K72" s="1735" t="s">
        <v>451</v>
      </c>
      <c r="L72" s="1735"/>
      <c r="M72" s="1735" t="s">
        <v>451</v>
      </c>
      <c r="N72" s="1735"/>
      <c r="O72" s="1735" t="s">
        <v>451</v>
      </c>
      <c r="P72" s="1735"/>
      <c r="Q72" s="1751" t="s">
        <v>2721</v>
      </c>
      <c r="R72" s="1751">
        <v>1.28</v>
      </c>
      <c r="S72" s="1751">
        <v>1.28</v>
      </c>
      <c r="T72" s="1751">
        <v>1.28</v>
      </c>
      <c r="U72" s="1745" t="s">
        <v>2722</v>
      </c>
      <c r="V72" s="1746"/>
      <c r="W72" s="1747"/>
      <c r="X72" s="1740" t="s">
        <v>4642</v>
      </c>
      <c r="Y72" s="1741"/>
      <c r="Z72" s="1741"/>
      <c r="AA72" s="1741"/>
      <c r="AB72" s="1741"/>
      <c r="AC72" s="1741"/>
      <c r="AD72" s="1741"/>
      <c r="AE72" s="1741"/>
      <c r="AF72" s="1742"/>
    </row>
    <row r="73" spans="1:72" s="1" customFormat="1" ht="64.5" customHeight="1" x14ac:dyDescent="0.3">
      <c r="A73" s="1732" t="s">
        <v>3360</v>
      </c>
      <c r="B73" s="1733" t="s">
        <v>202</v>
      </c>
      <c r="C73" s="1733" t="s">
        <v>202</v>
      </c>
      <c r="D73" s="1734" t="s">
        <v>202</v>
      </c>
      <c r="E73" s="1735" t="s">
        <v>3381</v>
      </c>
      <c r="F73" s="1735"/>
      <c r="G73" s="1735" t="s">
        <v>204</v>
      </c>
      <c r="H73" s="1735"/>
      <c r="I73" s="1735" t="s">
        <v>204</v>
      </c>
      <c r="J73" s="1735"/>
      <c r="K73" s="1735" t="s">
        <v>204</v>
      </c>
      <c r="L73" s="1735"/>
      <c r="M73" s="1735" t="s">
        <v>204</v>
      </c>
      <c r="N73" s="1735"/>
      <c r="O73" s="1735" t="s">
        <v>204</v>
      </c>
      <c r="P73" s="1735"/>
      <c r="Q73" s="1743" t="s">
        <v>516</v>
      </c>
      <c r="R73" s="1743" t="s">
        <v>205</v>
      </c>
      <c r="S73" s="1743" t="s">
        <v>205</v>
      </c>
      <c r="T73" s="1743" t="s">
        <v>205</v>
      </c>
      <c r="U73" s="1745" t="s">
        <v>2725</v>
      </c>
      <c r="V73" s="1746"/>
      <c r="W73" s="1747"/>
      <c r="X73" s="1748" t="s">
        <v>3354</v>
      </c>
      <c r="Y73" s="1749"/>
      <c r="Z73" s="1749"/>
      <c r="AA73" s="1749"/>
      <c r="AB73" s="1749"/>
      <c r="AC73" s="1749"/>
      <c r="AD73" s="1749"/>
      <c r="AE73" s="1749"/>
      <c r="AF73" s="1750"/>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s="1" customFormat="1" ht="61.5" customHeight="1" x14ac:dyDescent="0.3">
      <c r="A74" s="1732" t="s">
        <v>3361</v>
      </c>
      <c r="B74" s="1733" t="s">
        <v>202</v>
      </c>
      <c r="C74" s="1733" t="s">
        <v>202</v>
      </c>
      <c r="D74" s="1734" t="s">
        <v>202</v>
      </c>
      <c r="E74" s="1735" t="s">
        <v>3382</v>
      </c>
      <c r="F74" s="1735"/>
      <c r="G74" s="1735" t="s">
        <v>204</v>
      </c>
      <c r="H74" s="1735"/>
      <c r="I74" s="1735" t="s">
        <v>204</v>
      </c>
      <c r="J74" s="1735"/>
      <c r="K74" s="1735" t="s">
        <v>204</v>
      </c>
      <c r="L74" s="1735"/>
      <c r="M74" s="1735" t="s">
        <v>204</v>
      </c>
      <c r="N74" s="1735"/>
      <c r="O74" s="1735" t="s">
        <v>204</v>
      </c>
      <c r="P74" s="1735"/>
      <c r="Q74" s="1743" t="s">
        <v>516</v>
      </c>
      <c r="R74" s="1743" t="s">
        <v>205</v>
      </c>
      <c r="S74" s="1743" t="s">
        <v>205</v>
      </c>
      <c r="T74" s="1743" t="s">
        <v>205</v>
      </c>
      <c r="U74" s="1745" t="s">
        <v>2725</v>
      </c>
      <c r="V74" s="1746"/>
      <c r="W74" s="1747"/>
      <c r="X74" s="1748" t="s">
        <v>3416</v>
      </c>
      <c r="Y74" s="1749"/>
      <c r="Z74" s="1749"/>
      <c r="AA74" s="1749"/>
      <c r="AB74" s="1749"/>
      <c r="AC74" s="1749"/>
      <c r="AD74" s="1749"/>
      <c r="AE74" s="1749"/>
      <c r="AF74" s="1750"/>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s="1" customFormat="1" ht="71.25" customHeight="1" x14ac:dyDescent="0.3">
      <c r="A75" s="1732" t="s">
        <v>3363</v>
      </c>
      <c r="B75" s="1733" t="s">
        <v>203</v>
      </c>
      <c r="C75" s="1733" t="s">
        <v>203</v>
      </c>
      <c r="D75" s="1734" t="s">
        <v>203</v>
      </c>
      <c r="E75" s="1735" t="s">
        <v>3383</v>
      </c>
      <c r="F75" s="1735"/>
      <c r="G75" s="1735" t="s">
        <v>204</v>
      </c>
      <c r="H75" s="1735"/>
      <c r="I75" s="1735" t="s">
        <v>204</v>
      </c>
      <c r="J75" s="1735"/>
      <c r="K75" s="1735" t="s">
        <v>204</v>
      </c>
      <c r="L75" s="1735"/>
      <c r="M75" s="1735" t="s">
        <v>204</v>
      </c>
      <c r="N75" s="1735"/>
      <c r="O75" s="1735" t="s">
        <v>204</v>
      </c>
      <c r="P75" s="1735"/>
      <c r="Q75" s="2840" t="s">
        <v>2723</v>
      </c>
      <c r="R75" s="2840" t="s">
        <v>205</v>
      </c>
      <c r="S75" s="2840" t="s">
        <v>205</v>
      </c>
      <c r="T75" s="2840" t="s">
        <v>205</v>
      </c>
      <c r="U75" s="1745" t="s">
        <v>2725</v>
      </c>
      <c r="V75" s="1746"/>
      <c r="W75" s="1747"/>
      <c r="X75" s="1740" t="s">
        <v>3689</v>
      </c>
      <c r="Y75" s="1741"/>
      <c r="Z75" s="1741"/>
      <c r="AA75" s="1741"/>
      <c r="AB75" s="1741"/>
      <c r="AC75" s="1741"/>
      <c r="AD75" s="1741"/>
      <c r="AE75" s="1741"/>
      <c r="AF75" s="1742"/>
    </row>
    <row r="76" spans="1:72" s="1" customFormat="1" ht="53.25" customHeight="1" x14ac:dyDescent="0.3">
      <c r="A76" s="1732" t="s">
        <v>3358</v>
      </c>
      <c r="B76" s="1733" t="s">
        <v>202</v>
      </c>
      <c r="C76" s="1733" t="s">
        <v>202</v>
      </c>
      <c r="D76" s="1734" t="s">
        <v>202</v>
      </c>
      <c r="E76" s="1735" t="s">
        <v>3384</v>
      </c>
      <c r="F76" s="1735"/>
      <c r="G76" s="1735" t="s">
        <v>204</v>
      </c>
      <c r="H76" s="1735"/>
      <c r="I76" s="1735" t="s">
        <v>204</v>
      </c>
      <c r="J76" s="1735"/>
      <c r="K76" s="1735" t="s">
        <v>204</v>
      </c>
      <c r="L76" s="1735"/>
      <c r="M76" s="1735" t="s">
        <v>204</v>
      </c>
      <c r="N76" s="1735"/>
      <c r="O76" s="1735" t="s">
        <v>204</v>
      </c>
      <c r="P76" s="1735"/>
      <c r="Q76" s="1743" t="s">
        <v>516</v>
      </c>
      <c r="R76" s="1743" t="s">
        <v>205</v>
      </c>
      <c r="S76" s="1743" t="s">
        <v>205</v>
      </c>
      <c r="T76" s="1743" t="s">
        <v>205</v>
      </c>
      <c r="U76" s="1745" t="s">
        <v>2725</v>
      </c>
      <c r="V76" s="1746"/>
      <c r="W76" s="1747"/>
      <c r="X76" s="1748" t="s">
        <v>3417</v>
      </c>
      <c r="Y76" s="1749"/>
      <c r="Z76" s="1749"/>
      <c r="AA76" s="1749"/>
      <c r="AB76" s="1749"/>
      <c r="AC76" s="1749"/>
      <c r="AD76" s="1749"/>
      <c r="AE76" s="1749"/>
      <c r="AF76" s="1750"/>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s="1" customFormat="1" ht="62.25" customHeight="1" x14ac:dyDescent="0.3">
      <c r="A77" s="1732" t="s">
        <v>3359</v>
      </c>
      <c r="B77" s="1733" t="s">
        <v>202</v>
      </c>
      <c r="C77" s="1733" t="s">
        <v>202</v>
      </c>
      <c r="D77" s="1734" t="s">
        <v>202</v>
      </c>
      <c r="E77" s="1735" t="s">
        <v>3385</v>
      </c>
      <c r="F77" s="1735"/>
      <c r="G77" s="1735" t="s">
        <v>204</v>
      </c>
      <c r="H77" s="1735"/>
      <c r="I77" s="1735" t="s">
        <v>204</v>
      </c>
      <c r="J77" s="1735"/>
      <c r="K77" s="1735" t="s">
        <v>204</v>
      </c>
      <c r="L77" s="1735"/>
      <c r="M77" s="1735" t="s">
        <v>204</v>
      </c>
      <c r="N77" s="1735"/>
      <c r="O77" s="1735" t="s">
        <v>204</v>
      </c>
      <c r="P77" s="1735"/>
      <c r="Q77" s="1743" t="s">
        <v>516</v>
      </c>
      <c r="R77" s="1743" t="s">
        <v>205</v>
      </c>
      <c r="S77" s="1743" t="s">
        <v>205</v>
      </c>
      <c r="T77" s="1743" t="s">
        <v>205</v>
      </c>
      <c r="U77" s="1745" t="s">
        <v>2725</v>
      </c>
      <c r="V77" s="1746"/>
      <c r="W77" s="1747"/>
      <c r="X77" s="1748" t="s">
        <v>3353</v>
      </c>
      <c r="Y77" s="1749"/>
      <c r="Z77" s="1749"/>
      <c r="AA77" s="1749"/>
      <c r="AB77" s="1749"/>
      <c r="AC77" s="1749"/>
      <c r="AD77" s="1749"/>
      <c r="AE77" s="1749"/>
      <c r="AF77" s="1750"/>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s="1" customFormat="1" ht="137.25" customHeight="1" x14ac:dyDescent="0.3">
      <c r="A78" s="1732" t="s">
        <v>3362</v>
      </c>
      <c r="B78" s="1733" t="s">
        <v>203</v>
      </c>
      <c r="C78" s="1733" t="s">
        <v>203</v>
      </c>
      <c r="D78" s="1734" t="s">
        <v>203</v>
      </c>
      <c r="E78" s="1735" t="s">
        <v>3386</v>
      </c>
      <c r="F78" s="1735"/>
      <c r="G78" s="1735" t="s">
        <v>204</v>
      </c>
      <c r="H78" s="1735"/>
      <c r="I78" s="1735" t="s">
        <v>204</v>
      </c>
      <c r="J78" s="1735"/>
      <c r="K78" s="1735" t="s">
        <v>204</v>
      </c>
      <c r="L78" s="1735"/>
      <c r="M78" s="1735" t="s">
        <v>204</v>
      </c>
      <c r="N78" s="1735"/>
      <c r="O78" s="1735" t="s">
        <v>204</v>
      </c>
      <c r="P78" s="1735"/>
      <c r="Q78" s="2840" t="s">
        <v>2723</v>
      </c>
      <c r="R78" s="2840" t="s">
        <v>205</v>
      </c>
      <c r="S78" s="2840" t="s">
        <v>205</v>
      </c>
      <c r="T78" s="2840" t="s">
        <v>205</v>
      </c>
      <c r="U78" s="1745" t="s">
        <v>2725</v>
      </c>
      <c r="V78" s="1746"/>
      <c r="W78" s="1747"/>
      <c r="X78" s="1740" t="s">
        <v>3690</v>
      </c>
      <c r="Y78" s="1741"/>
      <c r="Z78" s="1741"/>
      <c r="AA78" s="1741"/>
      <c r="AB78" s="1741"/>
      <c r="AC78" s="1741"/>
      <c r="AD78" s="1741"/>
      <c r="AE78" s="1741"/>
      <c r="AF78" s="1742"/>
    </row>
    <row r="79" spans="1:72" s="1" customFormat="1" ht="91.5" customHeight="1" x14ac:dyDescent="0.3">
      <c r="A79" s="1732" t="s">
        <v>21</v>
      </c>
      <c r="B79" s="1733" t="s">
        <v>21</v>
      </c>
      <c r="C79" s="1733" t="s">
        <v>21</v>
      </c>
      <c r="D79" s="1734" t="s">
        <v>21</v>
      </c>
      <c r="E79" s="1735" t="s">
        <v>96</v>
      </c>
      <c r="F79" s="1735"/>
      <c r="G79" s="1735" t="s">
        <v>444</v>
      </c>
      <c r="H79" s="1735"/>
      <c r="I79" s="1735" t="s">
        <v>444</v>
      </c>
      <c r="J79" s="1735"/>
      <c r="K79" s="1735" t="s">
        <v>444</v>
      </c>
      <c r="L79" s="1735"/>
      <c r="M79" s="1735" t="s">
        <v>444</v>
      </c>
      <c r="N79" s="1735"/>
      <c r="O79" s="1735" t="s">
        <v>444</v>
      </c>
      <c r="P79" s="1735"/>
      <c r="Q79" s="1744">
        <v>0.36</v>
      </c>
      <c r="R79" s="1744">
        <v>0.5</v>
      </c>
      <c r="S79" s="1744">
        <v>0.5</v>
      </c>
      <c r="T79" s="1744">
        <v>0.5</v>
      </c>
      <c r="U79" s="1745" t="s">
        <v>20</v>
      </c>
      <c r="V79" s="1746"/>
      <c r="W79" s="1747" t="s">
        <v>850</v>
      </c>
      <c r="X79" s="1748" t="s">
        <v>3538</v>
      </c>
      <c r="Y79" s="1749"/>
      <c r="Z79" s="1749"/>
      <c r="AA79" s="1749"/>
      <c r="AB79" s="1749"/>
      <c r="AC79" s="1749"/>
      <c r="AD79" s="1749"/>
      <c r="AE79" s="1749"/>
      <c r="AF79" s="1750"/>
    </row>
    <row r="80" spans="1:72" s="1" customFormat="1" ht="122.25" customHeight="1" x14ac:dyDescent="0.3">
      <c r="A80" s="1732" t="s">
        <v>235</v>
      </c>
      <c r="B80" s="1733" t="s">
        <v>206</v>
      </c>
      <c r="C80" s="1733" t="s">
        <v>206</v>
      </c>
      <c r="D80" s="1734" t="s">
        <v>206</v>
      </c>
      <c r="E80" s="1735" t="s">
        <v>918</v>
      </c>
      <c r="F80" s="1735"/>
      <c r="G80" s="1735" t="s">
        <v>207</v>
      </c>
      <c r="H80" s="1735"/>
      <c r="I80" s="1735" t="s">
        <v>207</v>
      </c>
      <c r="J80" s="1735"/>
      <c r="K80" s="1735" t="s">
        <v>207</v>
      </c>
      <c r="L80" s="1735"/>
      <c r="M80" s="1735" t="s">
        <v>207</v>
      </c>
      <c r="N80" s="1735"/>
      <c r="O80" s="1735" t="s">
        <v>207</v>
      </c>
      <c r="P80" s="1735"/>
      <c r="Q80" s="1751">
        <v>2528</v>
      </c>
      <c r="R80" s="1751">
        <v>1825</v>
      </c>
      <c r="S80" s="1751">
        <v>1825</v>
      </c>
      <c r="T80" s="1751">
        <v>1825</v>
      </c>
      <c r="U80" s="1745" t="s">
        <v>790</v>
      </c>
      <c r="V80" s="1746"/>
      <c r="W80" s="1747" t="s">
        <v>851</v>
      </c>
      <c r="X80" s="1748" t="s">
        <v>3356</v>
      </c>
      <c r="Y80" s="1749"/>
      <c r="Z80" s="1749"/>
      <c r="AA80" s="1749"/>
      <c r="AB80" s="1749"/>
      <c r="AC80" s="1749"/>
      <c r="AD80" s="1749"/>
      <c r="AE80" s="1749"/>
      <c r="AF80" s="1750"/>
    </row>
    <row r="81" spans="1:32" s="1" customFormat="1" ht="43.2" customHeight="1" x14ac:dyDescent="0.3">
      <c r="A81" s="1732" t="s">
        <v>34</v>
      </c>
      <c r="B81" s="1733" t="s">
        <v>34</v>
      </c>
      <c r="C81" s="1733" t="s">
        <v>34</v>
      </c>
      <c r="D81" s="1734" t="s">
        <v>34</v>
      </c>
      <c r="E81" s="1735" t="s">
        <v>644</v>
      </c>
      <c r="F81" s="1735"/>
      <c r="G81" s="1735" t="s">
        <v>446</v>
      </c>
      <c r="H81" s="1735"/>
      <c r="I81" s="1735" t="s">
        <v>446</v>
      </c>
      <c r="J81" s="1735"/>
      <c r="K81" s="1735" t="s">
        <v>446</v>
      </c>
      <c r="L81" s="1735"/>
      <c r="M81" s="1735" t="s">
        <v>446</v>
      </c>
      <c r="N81" s="1735"/>
      <c r="O81" s="1735" t="s">
        <v>446</v>
      </c>
      <c r="P81" s="1735"/>
      <c r="Q81" s="1744">
        <v>1</v>
      </c>
      <c r="R81" s="1744">
        <v>1</v>
      </c>
      <c r="S81" s="1744">
        <v>1</v>
      </c>
      <c r="T81" s="1744">
        <v>1</v>
      </c>
      <c r="U81" s="1745" t="s">
        <v>20</v>
      </c>
      <c r="V81" s="1746"/>
      <c r="W81" s="1747"/>
      <c r="X81" s="1748"/>
      <c r="Y81" s="1749"/>
      <c r="Z81" s="1749"/>
      <c r="AA81" s="1749"/>
      <c r="AB81" s="1749"/>
      <c r="AC81" s="1749"/>
      <c r="AD81" s="1749"/>
      <c r="AE81" s="1749"/>
      <c r="AF81" s="1750"/>
    </row>
    <row r="82" spans="1:32" s="1" customFormat="1" ht="43.2" customHeight="1" x14ac:dyDescent="0.3">
      <c r="A82" s="1316" t="s">
        <v>159</v>
      </c>
      <c r="B82" s="1317"/>
      <c r="C82" s="1317"/>
      <c r="D82" s="1318"/>
      <c r="E82" s="1322" t="s">
        <v>3365</v>
      </c>
      <c r="F82" s="1323"/>
      <c r="G82" s="1323"/>
      <c r="H82" s="1323"/>
      <c r="I82" s="1323"/>
      <c r="J82" s="1323"/>
      <c r="K82" s="1323"/>
      <c r="L82" s="1323"/>
      <c r="M82" s="1323"/>
      <c r="N82" s="1323"/>
      <c r="O82" s="1323"/>
      <c r="P82" s="1324"/>
      <c r="Q82" s="1751">
        <v>1000</v>
      </c>
      <c r="R82" s="1751"/>
      <c r="S82" s="1751"/>
      <c r="T82" s="1751"/>
      <c r="U82" s="1745" t="s">
        <v>271</v>
      </c>
      <c r="V82" s="1746"/>
      <c r="W82" s="1747"/>
      <c r="X82" s="1748"/>
      <c r="Y82" s="1749"/>
      <c r="Z82" s="1749"/>
      <c r="AA82" s="1749"/>
      <c r="AB82" s="1749"/>
      <c r="AC82" s="1749"/>
      <c r="AD82" s="1749"/>
      <c r="AE82" s="1749"/>
      <c r="AF82" s="1750"/>
    </row>
    <row r="83" spans="1:32" s="1" customFormat="1" ht="37.5" customHeight="1" x14ac:dyDescent="0.3">
      <c r="A83" s="1349" t="s">
        <v>1611</v>
      </c>
      <c r="B83" s="1350"/>
      <c r="C83" s="1350"/>
      <c r="D83" s="1351"/>
      <c r="E83" s="1163" t="s">
        <v>3366</v>
      </c>
      <c r="F83" s="1164"/>
      <c r="G83" s="1164"/>
      <c r="H83" s="1164"/>
      <c r="I83" s="1164"/>
      <c r="J83" s="1164"/>
      <c r="K83" s="1164"/>
      <c r="L83" s="1164"/>
      <c r="M83" s="1164"/>
      <c r="N83" s="1164"/>
      <c r="O83" s="1164"/>
      <c r="P83" s="1165"/>
      <c r="Q83" s="1744">
        <f>Q84/3</f>
        <v>3</v>
      </c>
      <c r="R83" s="1744"/>
      <c r="S83" s="1744"/>
      <c r="T83" s="1744"/>
      <c r="U83" s="1745" t="s">
        <v>38</v>
      </c>
      <c r="V83" s="1746"/>
      <c r="W83" s="1747"/>
      <c r="X83" s="1748" t="s">
        <v>3367</v>
      </c>
      <c r="Y83" s="1749"/>
      <c r="Z83" s="1749"/>
      <c r="AA83" s="1749"/>
      <c r="AB83" s="1749"/>
      <c r="AC83" s="1749"/>
      <c r="AD83" s="1749"/>
      <c r="AE83" s="1749"/>
      <c r="AF83" s="1750"/>
    </row>
    <row r="84" spans="1:32" s="1" customFormat="1" ht="37.5" customHeight="1" x14ac:dyDescent="0.3">
      <c r="A84" s="1349" t="s">
        <v>2562</v>
      </c>
      <c r="B84" s="1350"/>
      <c r="C84" s="1350"/>
      <c r="D84" s="1351"/>
      <c r="E84" s="1163" t="s">
        <v>2050</v>
      </c>
      <c r="F84" s="1164"/>
      <c r="G84" s="1164"/>
      <c r="H84" s="1164"/>
      <c r="I84" s="1164"/>
      <c r="J84" s="1164"/>
      <c r="K84" s="1164"/>
      <c r="L84" s="1164"/>
      <c r="M84" s="1164"/>
      <c r="N84" s="1164"/>
      <c r="O84" s="1164"/>
      <c r="P84" s="1165"/>
      <c r="Q84" s="1744">
        <f>'Master EUL'!X21</f>
        <v>9</v>
      </c>
      <c r="R84" s="1744"/>
      <c r="S84" s="1744"/>
      <c r="T84" s="1744"/>
      <c r="U84" s="1745" t="s">
        <v>38</v>
      </c>
      <c r="V84" s="1746"/>
      <c r="W84" s="1747"/>
      <c r="X84" s="1748" t="s">
        <v>3364</v>
      </c>
      <c r="Y84" s="1749"/>
      <c r="Z84" s="1749"/>
      <c r="AA84" s="1749"/>
      <c r="AB84" s="1749"/>
      <c r="AC84" s="1749"/>
      <c r="AD84" s="1749"/>
      <c r="AE84" s="1749"/>
      <c r="AF84" s="1750"/>
    </row>
    <row r="85" spans="1:32" s="1" customFormat="1" ht="16.5" customHeight="1" x14ac:dyDescent="0.3">
      <c r="A85" s="1753" t="s">
        <v>3539</v>
      </c>
      <c r="B85" s="1753"/>
      <c r="C85" s="1753"/>
      <c r="D85" s="1753"/>
      <c r="E85" s="1753"/>
      <c r="F85" s="1753"/>
      <c r="G85" s="1753"/>
      <c r="H85" s="1753"/>
      <c r="I85" s="1753"/>
      <c r="J85" s="1753"/>
      <c r="K85" s="1753"/>
      <c r="L85" s="1753"/>
      <c r="M85" s="1753"/>
      <c r="N85" s="1753"/>
      <c r="O85" s="1753"/>
      <c r="P85" s="1753"/>
      <c r="Q85" s="1753"/>
      <c r="R85" s="1753"/>
      <c r="S85" s="1753"/>
      <c r="T85" s="1753"/>
      <c r="U85" s="1753"/>
      <c r="V85" s="1753"/>
      <c r="W85" s="1753"/>
      <c r="X85" s="1753"/>
      <c r="Y85" s="1753"/>
      <c r="Z85" s="1753"/>
      <c r="AA85" s="1753"/>
      <c r="AB85" s="1753"/>
      <c r="AC85" s="1753"/>
      <c r="AD85" s="1753"/>
      <c r="AE85" s="1753"/>
      <c r="AF85" s="1753"/>
    </row>
    <row r="86" spans="1:32" s="1" customFormat="1" ht="54.75" customHeight="1" x14ac:dyDescent="0.3">
      <c r="A86" s="1753" t="s">
        <v>3540</v>
      </c>
      <c r="B86" s="1753"/>
      <c r="C86" s="1753"/>
      <c r="D86" s="1753"/>
      <c r="E86" s="1753"/>
      <c r="F86" s="1753"/>
      <c r="G86" s="1753"/>
      <c r="H86" s="1753"/>
      <c r="I86" s="1753"/>
      <c r="J86" s="1753"/>
      <c r="K86" s="1753"/>
      <c r="L86" s="1753"/>
      <c r="M86" s="1753"/>
      <c r="N86" s="1753"/>
      <c r="O86" s="1753"/>
      <c r="P86" s="1753"/>
      <c r="Q86" s="1753"/>
      <c r="R86" s="1753"/>
      <c r="S86" s="1753"/>
      <c r="T86" s="1753"/>
      <c r="U86" s="1753"/>
      <c r="V86" s="1753"/>
      <c r="W86" s="1753"/>
      <c r="X86" s="1753"/>
      <c r="Y86" s="1753"/>
      <c r="Z86" s="1753"/>
      <c r="AA86" s="1753"/>
      <c r="AB86" s="1753"/>
      <c r="AC86" s="1753"/>
      <c r="AD86" s="1753"/>
      <c r="AE86" s="1753"/>
      <c r="AF86" s="1753"/>
    </row>
    <row r="87" spans="1:32" s="1" customFormat="1" ht="108.75" customHeight="1" x14ac:dyDescent="0.3">
      <c r="A87" s="1752" t="s">
        <v>3482</v>
      </c>
      <c r="B87" s="1752"/>
      <c r="C87" s="1752"/>
      <c r="D87" s="1752"/>
      <c r="E87" s="1752"/>
      <c r="F87" s="1752"/>
      <c r="G87" s="1752"/>
      <c r="H87" s="1752"/>
      <c r="I87" s="1752"/>
      <c r="J87" s="1752"/>
      <c r="K87" s="1752"/>
      <c r="L87" s="1752"/>
      <c r="M87" s="1752"/>
      <c r="N87" s="1752"/>
      <c r="O87" s="1752"/>
      <c r="P87" s="1752"/>
      <c r="Q87" s="1752"/>
      <c r="R87" s="1752"/>
      <c r="S87" s="1752"/>
      <c r="T87" s="1752"/>
      <c r="U87" s="1752"/>
      <c r="V87" s="1752"/>
      <c r="W87" s="1752"/>
      <c r="X87" s="1752"/>
      <c r="Y87" s="1752"/>
      <c r="Z87" s="1752"/>
      <c r="AA87" s="1752"/>
      <c r="AB87" s="1752"/>
      <c r="AC87" s="1752"/>
      <c r="AD87" s="1752"/>
      <c r="AE87" s="1752"/>
      <c r="AF87" s="1752"/>
    </row>
    <row r="88" spans="1:32" s="1" customFormat="1" x14ac:dyDescent="0.3">
      <c r="A88" s="439"/>
      <c r="B88" s="439"/>
      <c r="C88" s="439"/>
      <c r="D88" s="439"/>
      <c r="E88" s="440"/>
      <c r="F88" s="440"/>
      <c r="G88" s="440"/>
      <c r="H88" s="440"/>
      <c r="I88" s="440"/>
      <c r="J88" s="440"/>
      <c r="K88" s="440"/>
      <c r="L88" s="440"/>
      <c r="M88" s="440"/>
      <c r="N88" s="440"/>
      <c r="O88" s="440"/>
      <c r="P88" s="440"/>
      <c r="Q88" s="441"/>
      <c r="R88" s="441"/>
      <c r="S88" s="441"/>
      <c r="T88" s="441"/>
      <c r="U88" s="441"/>
      <c r="V88" s="441"/>
      <c r="W88" s="441"/>
      <c r="X88" s="440"/>
      <c r="Y88" s="440"/>
      <c r="Z88" s="440"/>
      <c r="AA88" s="440"/>
      <c r="AB88" s="440"/>
      <c r="AC88" s="440"/>
      <c r="AD88" s="440"/>
      <c r="AE88" s="440"/>
      <c r="AF88" s="440"/>
    </row>
    <row r="89" spans="1:32" s="1" customFormat="1" x14ac:dyDescent="0.3">
      <c r="A89" s="1713" t="s">
        <v>14</v>
      </c>
      <c r="B89" s="1713"/>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row>
    <row r="90" spans="1:32" s="40" customFormat="1" x14ac:dyDescent="0.3">
      <c r="A90" s="400"/>
      <c r="B90" s="402"/>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row>
    <row r="91" spans="1:32" x14ac:dyDescent="0.3">
      <c r="A91" s="94"/>
      <c r="B91" s="884" t="s">
        <v>3370</v>
      </c>
      <c r="C91" s="884"/>
      <c r="D91" s="884"/>
      <c r="E91" s="884"/>
      <c r="F91" s="884"/>
      <c r="G91" s="884"/>
      <c r="H91" s="884"/>
      <c r="I91" s="884"/>
      <c r="J91" s="884"/>
      <c r="K91" s="884"/>
      <c r="L91" s="884"/>
      <c r="M91" s="884"/>
      <c r="N91" s="884"/>
      <c r="O91" s="884"/>
      <c r="P91" s="884"/>
      <c r="Q91" s="884"/>
      <c r="R91" s="884"/>
      <c r="S91" s="884"/>
      <c r="T91" s="884"/>
      <c r="U91" s="884"/>
      <c r="V91" s="884"/>
      <c r="W91" s="884"/>
      <c r="X91" s="884"/>
      <c r="Y91" s="884"/>
      <c r="Z91" s="884"/>
      <c r="AA91" s="884"/>
      <c r="AB91" s="884"/>
      <c r="AC91" s="884"/>
      <c r="AD91" s="884"/>
      <c r="AE91" s="884"/>
      <c r="AF91" s="884"/>
    </row>
    <row r="92" spans="1:32" x14ac:dyDescent="0.3">
      <c r="A92" s="94"/>
      <c r="B92" s="94"/>
      <c r="C92" s="94"/>
      <c r="D92" s="94"/>
      <c r="E92" s="94"/>
      <c r="F92" s="94"/>
      <c r="G92" s="2841" t="s">
        <v>2772</v>
      </c>
      <c r="H92" s="2841"/>
      <c r="I92" s="2841"/>
      <c r="J92" s="2841"/>
      <c r="K92" s="2841"/>
      <c r="L92" s="2841"/>
      <c r="M92" s="2841"/>
      <c r="N92" s="2841"/>
      <c r="O92" s="2841"/>
      <c r="P92" s="94"/>
      <c r="Q92" s="94"/>
      <c r="R92" s="94"/>
      <c r="S92" s="94"/>
      <c r="T92" s="94"/>
      <c r="U92" s="94"/>
      <c r="V92" s="94"/>
      <c r="W92" s="94"/>
      <c r="X92" s="94"/>
      <c r="Y92" s="94"/>
      <c r="Z92" s="94"/>
      <c r="AA92" s="94"/>
      <c r="AB92" s="94"/>
      <c r="AC92" s="94"/>
      <c r="AD92" s="94"/>
      <c r="AE92" s="94"/>
      <c r="AF92" s="94"/>
    </row>
    <row r="93" spans="1:32" s="40" customFormat="1" ht="15" customHeight="1" x14ac:dyDescent="0.3">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row>
    <row r="94" spans="1:32" x14ac:dyDescent="0.3">
      <c r="A94" s="1290" t="s">
        <v>1514</v>
      </c>
      <c r="B94" s="1290"/>
      <c r="C94" s="1290"/>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row>
    <row r="95" spans="1:32" x14ac:dyDescent="0.3">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row>
    <row r="96" spans="1:32" ht="63.75" customHeight="1" x14ac:dyDescent="0.3">
      <c r="A96" s="370" t="s">
        <v>803</v>
      </c>
      <c r="B96" s="884" t="s">
        <v>3541</v>
      </c>
      <c r="C96" s="884"/>
      <c r="D96" s="884"/>
      <c r="E96" s="884"/>
      <c r="F96" s="884"/>
      <c r="G96" s="884"/>
      <c r="H96" s="884"/>
      <c r="I96" s="884"/>
      <c r="J96" s="884"/>
      <c r="K96" s="884"/>
      <c r="L96" s="884"/>
      <c r="M96" s="884"/>
      <c r="N96" s="884"/>
      <c r="O96" s="884"/>
      <c r="P96" s="884"/>
      <c r="Q96" s="884"/>
      <c r="R96" s="884"/>
      <c r="S96" s="884"/>
      <c r="T96" s="884"/>
      <c r="U96" s="884"/>
      <c r="V96" s="884"/>
      <c r="W96" s="884"/>
      <c r="X96" s="884"/>
      <c r="Y96" s="884"/>
      <c r="Z96" s="884"/>
      <c r="AA96" s="884"/>
      <c r="AB96" s="884"/>
      <c r="AC96" s="884"/>
      <c r="AD96" s="884"/>
      <c r="AE96" s="884"/>
      <c r="AF96" s="884"/>
    </row>
    <row r="97" spans="1:32" ht="46.5" customHeight="1" x14ac:dyDescent="0.3">
      <c r="A97" s="368" t="s">
        <v>803</v>
      </c>
      <c r="B97" s="889" t="s">
        <v>1913</v>
      </c>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row>
    <row r="98" spans="1:32" ht="66.75" customHeight="1" x14ac:dyDescent="0.3">
      <c r="A98" s="368" t="s">
        <v>803</v>
      </c>
      <c r="B98" s="953" t="s">
        <v>3368</v>
      </c>
      <c r="C98" s="953"/>
      <c r="D98" s="953"/>
      <c r="E98" s="953"/>
      <c r="F98" s="953"/>
      <c r="G98" s="953"/>
      <c r="H98" s="953"/>
      <c r="I98" s="953"/>
      <c r="J98" s="953"/>
      <c r="K98" s="953"/>
      <c r="L98" s="953"/>
      <c r="M98" s="953"/>
      <c r="N98" s="953"/>
      <c r="O98" s="953"/>
      <c r="P98" s="953"/>
      <c r="Q98" s="953"/>
      <c r="R98" s="953"/>
      <c r="S98" s="953"/>
      <c r="T98" s="953"/>
      <c r="U98" s="953"/>
      <c r="V98" s="953"/>
      <c r="W98" s="953"/>
      <c r="X98" s="953"/>
      <c r="Y98" s="953"/>
      <c r="Z98" s="953"/>
      <c r="AA98" s="953"/>
      <c r="AB98" s="953"/>
      <c r="AC98" s="953"/>
      <c r="AD98" s="953"/>
      <c r="AE98" s="953"/>
      <c r="AF98" s="953"/>
    </row>
    <row r="99" spans="1:32" ht="50.25" customHeight="1" x14ac:dyDescent="0.3">
      <c r="A99" s="370" t="s">
        <v>803</v>
      </c>
      <c r="B99" s="884" t="s">
        <v>3414</v>
      </c>
      <c r="C99" s="884"/>
      <c r="D99" s="884"/>
      <c r="E99" s="884"/>
      <c r="F99" s="884"/>
      <c r="G99" s="884"/>
      <c r="H99" s="884"/>
      <c r="I99" s="884"/>
      <c r="J99" s="884"/>
      <c r="K99" s="884"/>
      <c r="L99" s="884"/>
      <c r="M99" s="884"/>
      <c r="N99" s="884"/>
      <c r="O99" s="884"/>
      <c r="P99" s="884"/>
      <c r="Q99" s="884"/>
      <c r="R99" s="884"/>
      <c r="S99" s="884"/>
      <c r="T99" s="884"/>
      <c r="U99" s="884"/>
      <c r="V99" s="884"/>
      <c r="W99" s="884"/>
      <c r="X99" s="884"/>
      <c r="Y99" s="884"/>
      <c r="Z99" s="884"/>
      <c r="AA99" s="884"/>
      <c r="AB99" s="884"/>
      <c r="AC99" s="884"/>
      <c r="AD99" s="884"/>
      <c r="AE99" s="884"/>
      <c r="AF99" s="884"/>
    </row>
    <row r="100" spans="1:32" ht="33.75" customHeight="1" x14ac:dyDescent="0.3">
      <c r="A100" s="370" t="s">
        <v>803</v>
      </c>
      <c r="B100" s="884" t="s">
        <v>3369</v>
      </c>
      <c r="C100" s="884"/>
      <c r="D100" s="884"/>
      <c r="E100" s="884"/>
      <c r="F100" s="884"/>
      <c r="G100" s="884"/>
      <c r="H100" s="884"/>
      <c r="I100" s="884"/>
      <c r="J100" s="884"/>
      <c r="K100" s="884"/>
      <c r="L100" s="884"/>
      <c r="M100" s="884"/>
      <c r="N100" s="884"/>
      <c r="O100" s="884"/>
      <c r="P100" s="884"/>
      <c r="Q100" s="884"/>
      <c r="R100" s="884"/>
      <c r="S100" s="884"/>
      <c r="T100" s="884"/>
      <c r="U100" s="884"/>
      <c r="V100" s="884"/>
      <c r="W100" s="884"/>
      <c r="X100" s="884"/>
      <c r="Y100" s="884"/>
      <c r="Z100" s="884"/>
      <c r="AA100" s="884"/>
      <c r="AB100" s="884"/>
      <c r="AC100" s="884"/>
      <c r="AD100" s="884"/>
      <c r="AE100" s="884"/>
      <c r="AF100" s="884"/>
    </row>
    <row r="101" spans="1:32" ht="33.75" customHeight="1" x14ac:dyDescent="0.3">
      <c r="A101" s="370" t="s">
        <v>803</v>
      </c>
      <c r="B101" s="884" t="s">
        <v>3390</v>
      </c>
      <c r="C101" s="884"/>
      <c r="D101" s="884"/>
      <c r="E101" s="884"/>
      <c r="F101" s="884"/>
      <c r="G101" s="884"/>
      <c r="H101" s="884"/>
      <c r="I101" s="884"/>
      <c r="J101" s="884"/>
      <c r="K101" s="884"/>
      <c r="L101" s="884"/>
      <c r="M101" s="884"/>
      <c r="N101" s="884"/>
      <c r="O101" s="884"/>
      <c r="P101" s="884"/>
      <c r="Q101" s="884"/>
      <c r="R101" s="884"/>
      <c r="S101" s="884"/>
      <c r="T101" s="884"/>
      <c r="U101" s="884"/>
      <c r="V101" s="884"/>
      <c r="W101" s="884"/>
      <c r="X101" s="884"/>
      <c r="Y101" s="884"/>
      <c r="Z101" s="884"/>
      <c r="AA101" s="884"/>
      <c r="AB101" s="884"/>
      <c r="AC101" s="884"/>
      <c r="AD101" s="884"/>
      <c r="AE101" s="884"/>
      <c r="AF101" s="884"/>
    </row>
    <row r="102" spans="1:32" ht="34.5" customHeight="1" x14ac:dyDescent="0.3">
      <c r="A102" s="368" t="s">
        <v>803</v>
      </c>
      <c r="B102" s="889" t="s">
        <v>3542</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row>
    <row r="103" spans="1:32" ht="66" customHeight="1" x14ac:dyDescent="0.3">
      <c r="A103" s="370" t="s">
        <v>803</v>
      </c>
      <c r="B103" s="884" t="s">
        <v>2717</v>
      </c>
      <c r="C103" s="884"/>
      <c r="D103" s="884"/>
      <c r="E103" s="884"/>
      <c r="F103" s="884"/>
      <c r="G103" s="884"/>
      <c r="H103" s="884"/>
      <c r="I103" s="884"/>
      <c r="J103" s="884"/>
      <c r="K103" s="884"/>
      <c r="L103" s="884"/>
      <c r="M103" s="884"/>
      <c r="N103" s="884"/>
      <c r="O103" s="884"/>
      <c r="P103" s="884"/>
      <c r="Q103" s="884"/>
      <c r="R103" s="884"/>
      <c r="S103" s="884"/>
      <c r="T103" s="884"/>
      <c r="U103" s="884"/>
      <c r="V103" s="884"/>
      <c r="W103" s="884"/>
      <c r="X103" s="884"/>
      <c r="Y103" s="884"/>
      <c r="Z103" s="884"/>
      <c r="AA103" s="884"/>
      <c r="AB103" s="884"/>
      <c r="AC103" s="884"/>
      <c r="AD103" s="884"/>
      <c r="AE103" s="884"/>
      <c r="AF103" s="884"/>
    </row>
  </sheetData>
  <sheetProtection algorithmName="SHA-512" hashValue="mzu/FGkkKkyvxPBwrBlqwS21t1pdJYTNxm9hLPnNbyRcPBJjYLCnfIr++QK6nNva3nX8gOGYvZaoJgVpMZWdoQ==" saltValue="5ixFul9W0ELOyUnv+6hd7Q==" spinCount="100000" sheet="1" objects="1" scenarios="1"/>
  <mergeCells count="162">
    <mergeCell ref="AA37:AC37"/>
    <mergeCell ref="B28:AF28"/>
    <mergeCell ref="B39:AF39"/>
    <mergeCell ref="B40:AF40"/>
    <mergeCell ref="B41:AF41"/>
    <mergeCell ref="A87:AF87"/>
    <mergeCell ref="B38:H38"/>
    <mergeCell ref="I38:K38"/>
    <mergeCell ref="L38:N38"/>
    <mergeCell ref="O38:Q38"/>
    <mergeCell ref="R38:T38"/>
    <mergeCell ref="U38:W38"/>
    <mergeCell ref="X38:Z38"/>
    <mergeCell ref="AA38:AC38"/>
    <mergeCell ref="AD38:AF38"/>
    <mergeCell ref="Q77:T77"/>
    <mergeCell ref="U77:W77"/>
    <mergeCell ref="A64:H64"/>
    <mergeCell ref="A52:H52"/>
    <mergeCell ref="A60:H60"/>
    <mergeCell ref="A68:H68"/>
    <mergeCell ref="U78:W78"/>
    <mergeCell ref="X78:AF78"/>
    <mergeCell ref="U81:W81"/>
    <mergeCell ref="AD37:AF37"/>
    <mergeCell ref="L35:N35"/>
    <mergeCell ref="O35:Q35"/>
    <mergeCell ref="R35:T35"/>
    <mergeCell ref="U35:W35"/>
    <mergeCell ref="X35:Z35"/>
    <mergeCell ref="AA35:AC35"/>
    <mergeCell ref="AD35:AF35"/>
    <mergeCell ref="B36:H36"/>
    <mergeCell ref="I36:K36"/>
    <mergeCell ref="L36:N36"/>
    <mergeCell ref="O36:Q36"/>
    <mergeCell ref="R36:T36"/>
    <mergeCell ref="U36:W36"/>
    <mergeCell ref="X36:Z36"/>
    <mergeCell ref="AA36:AC36"/>
    <mergeCell ref="AD36:AF36"/>
    <mergeCell ref="B37:H37"/>
    <mergeCell ref="I37:K37"/>
    <mergeCell ref="L37:N37"/>
    <mergeCell ref="O37:Q37"/>
    <mergeCell ref="R37:T37"/>
    <mergeCell ref="U37:W37"/>
    <mergeCell ref="X37:Z37"/>
    <mergeCell ref="A1:AF1"/>
    <mergeCell ref="A89:AF89"/>
    <mergeCell ref="A70:AF70"/>
    <mergeCell ref="A84:D84"/>
    <mergeCell ref="E84:P84"/>
    <mergeCell ref="Q84:T84"/>
    <mergeCell ref="U84:W84"/>
    <mergeCell ref="X84:AF84"/>
    <mergeCell ref="A82:D82"/>
    <mergeCell ref="E82:P82"/>
    <mergeCell ref="Q82:T82"/>
    <mergeCell ref="U82:W82"/>
    <mergeCell ref="A71:D71"/>
    <mergeCell ref="E71:P71"/>
    <mergeCell ref="Q71:T71"/>
    <mergeCell ref="X82:AF82"/>
    <mergeCell ref="A72:D72"/>
    <mergeCell ref="E72:P72"/>
    <mergeCell ref="Q72:T72"/>
    <mergeCell ref="A81:D81"/>
    <mergeCell ref="E81:P81"/>
    <mergeCell ref="Q81:T81"/>
    <mergeCell ref="U72:W72"/>
    <mergeCell ref="U71:W71"/>
    <mergeCell ref="A3:AF3"/>
    <mergeCell ref="B5:AF5"/>
    <mergeCell ref="A76:D76"/>
    <mergeCell ref="E76:P76"/>
    <mergeCell ref="Q76:T76"/>
    <mergeCell ref="A7:AF7"/>
    <mergeCell ref="B9:I9"/>
    <mergeCell ref="B10:AF10"/>
    <mergeCell ref="B12:I12"/>
    <mergeCell ref="B13:AF13"/>
    <mergeCell ref="B26:AF26"/>
    <mergeCell ref="A44:AF44"/>
    <mergeCell ref="B15:I15"/>
    <mergeCell ref="B16:AF16"/>
    <mergeCell ref="B18:I18"/>
    <mergeCell ref="B19:AF19"/>
    <mergeCell ref="X71:AF71"/>
    <mergeCell ref="U76:W76"/>
    <mergeCell ref="X76:AF76"/>
    <mergeCell ref="X72:AF72"/>
    <mergeCell ref="B21:AF21"/>
    <mergeCell ref="B23:AF23"/>
    <mergeCell ref="A48:H48"/>
    <mergeCell ref="A56:H56"/>
    <mergeCell ref="B103:AF103"/>
    <mergeCell ref="A73:D73"/>
    <mergeCell ref="E73:P73"/>
    <mergeCell ref="Q73:T73"/>
    <mergeCell ref="U73:W73"/>
    <mergeCell ref="X73:AF73"/>
    <mergeCell ref="A86:AF86"/>
    <mergeCell ref="A83:D83"/>
    <mergeCell ref="E83:P83"/>
    <mergeCell ref="Q83:T83"/>
    <mergeCell ref="U83:W83"/>
    <mergeCell ref="X83:AF83"/>
    <mergeCell ref="A74:D74"/>
    <mergeCell ref="E74:P74"/>
    <mergeCell ref="Q74:T74"/>
    <mergeCell ref="U74:W74"/>
    <mergeCell ref="X74:AF74"/>
    <mergeCell ref="A80:D80"/>
    <mergeCell ref="E80:P80"/>
    <mergeCell ref="Q80:T80"/>
    <mergeCell ref="U79:W79"/>
    <mergeCell ref="X79:AF79"/>
    <mergeCell ref="U80:W80"/>
    <mergeCell ref="X80:AF80"/>
    <mergeCell ref="A79:D79"/>
    <mergeCell ref="E79:P79"/>
    <mergeCell ref="Q79:T79"/>
    <mergeCell ref="A77:D77"/>
    <mergeCell ref="E77:P77"/>
    <mergeCell ref="B99:AF99"/>
    <mergeCell ref="B100:AF100"/>
    <mergeCell ref="B102:AF102"/>
    <mergeCell ref="B98:AF98"/>
    <mergeCell ref="A94:AF94"/>
    <mergeCell ref="B96:AF96"/>
    <mergeCell ref="B97:AF97"/>
    <mergeCell ref="B101:AF101"/>
    <mergeCell ref="A85:AF85"/>
    <mergeCell ref="G92:O92"/>
    <mergeCell ref="B91:AF91"/>
    <mergeCell ref="A78:D78"/>
    <mergeCell ref="X81:AF81"/>
    <mergeCell ref="B30:AF30"/>
    <mergeCell ref="X77:AF77"/>
    <mergeCell ref="A75:D75"/>
    <mergeCell ref="E75:P75"/>
    <mergeCell ref="Q75:T75"/>
    <mergeCell ref="U75:W75"/>
    <mergeCell ref="X75:AF75"/>
    <mergeCell ref="E78:P78"/>
    <mergeCell ref="Q78:T78"/>
    <mergeCell ref="B32:AF32"/>
    <mergeCell ref="B33:H34"/>
    <mergeCell ref="I33:N33"/>
    <mergeCell ref="O33:T33"/>
    <mergeCell ref="U33:AF33"/>
    <mergeCell ref="I34:K34"/>
    <mergeCell ref="L34:N34"/>
    <mergeCell ref="O34:Q34"/>
    <mergeCell ref="R34:T34"/>
    <mergeCell ref="U34:W34"/>
    <mergeCell ref="X34:Z34"/>
    <mergeCell ref="AA34:AC34"/>
    <mergeCell ref="AD34:AF34"/>
    <mergeCell ref="B35:H35"/>
    <mergeCell ref="I35:K35"/>
  </mergeCells>
  <hyperlinks>
    <hyperlink ref="A2" location="TOC!A1" display="Return to TOC" xr:uid="{00000000-0004-0000-4C00-000000000000}"/>
    <hyperlink ref="G92:O92" location="R_HVAC_AC_WKST!A1" display="R_HVAC_AC_WKST" xr:uid="{00000000-0004-0000-4C00-000001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8:AF49 AF57 AF54:AF55 AF62:AF63 AF52:AF53 AF64:AF68 AF56 AF58:AF61" numberStoredAsText="1"/>
    <ignoredError sqref="AA35:AC38"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AF156"/>
  <sheetViews>
    <sheetView showGridLines="0" zoomScale="75" zoomScaleNormal="75" workbookViewId="0">
      <selection activeCell="A2" sqref="A2"/>
    </sheetView>
  </sheetViews>
  <sheetFormatPr defaultColWidth="9.109375" defaultRowHeight="14.4" x14ac:dyDescent="0.3"/>
  <cols>
    <col min="1" max="1" width="38.88671875" style="125" customWidth="1"/>
    <col min="2" max="2" width="32.109375" style="125" bestFit="1" customWidth="1"/>
    <col min="3" max="3" width="63.33203125" style="125" bestFit="1" customWidth="1"/>
    <col min="4" max="4" width="46.6640625" style="125" customWidth="1"/>
    <col min="5" max="5" width="43.6640625" style="125" bestFit="1" customWidth="1"/>
    <col min="6" max="6" width="22.109375" style="125" customWidth="1"/>
    <col min="7" max="7" width="48.33203125" style="127" customWidth="1"/>
    <col min="9" max="9" width="9.109375" style="94"/>
  </cols>
  <sheetData>
    <row r="1" spans="1:32" ht="18" x14ac:dyDescent="0.3">
      <c r="A1" s="560" t="s">
        <v>4130</v>
      </c>
      <c r="B1" s="561"/>
      <c r="C1" s="562"/>
      <c r="D1" s="562"/>
      <c r="E1" s="562"/>
      <c r="F1" s="562"/>
      <c r="G1" s="563"/>
    </row>
    <row r="2" spans="1:32" x14ac:dyDescent="0.3">
      <c r="A2" s="228" t="s">
        <v>1456</v>
      </c>
      <c r="B2" s="564"/>
    </row>
    <row r="3" spans="1:32" x14ac:dyDescent="0.3">
      <c r="A3" s="649" t="s">
        <v>1374</v>
      </c>
      <c r="B3" s="650"/>
      <c r="C3" s="650"/>
      <c r="D3" s="650"/>
      <c r="E3" s="650"/>
      <c r="F3" s="650"/>
      <c r="G3" s="651"/>
      <c r="H3" s="10"/>
      <c r="I3" s="187"/>
      <c r="J3" s="10"/>
      <c r="K3" s="10"/>
      <c r="L3" s="10"/>
      <c r="M3" s="10"/>
      <c r="N3" s="10"/>
      <c r="O3" s="10"/>
      <c r="P3" s="10"/>
      <c r="Q3" s="10"/>
      <c r="R3" s="10"/>
      <c r="S3" s="10"/>
      <c r="T3" s="10"/>
      <c r="U3" s="10"/>
      <c r="V3" s="10"/>
      <c r="W3" s="10"/>
      <c r="X3" s="10"/>
      <c r="Y3" s="10"/>
      <c r="Z3" s="10"/>
      <c r="AA3" s="10"/>
      <c r="AB3" s="10"/>
      <c r="AC3" s="10"/>
      <c r="AD3" s="10"/>
      <c r="AE3" s="10"/>
      <c r="AF3" s="10"/>
    </row>
    <row r="4" spans="1:32" s="94" customFormat="1" x14ac:dyDescent="0.3">
      <c r="A4" s="494"/>
      <c r="B4" s="494"/>
      <c r="C4" s="494"/>
      <c r="D4" s="494"/>
      <c r="E4" s="494"/>
      <c r="F4" s="494"/>
      <c r="G4" s="503"/>
    </row>
    <row r="5" spans="1:32" s="94" customFormat="1" x14ac:dyDescent="0.3">
      <c r="A5" s="494" t="s">
        <v>5928</v>
      </c>
      <c r="B5" s="494"/>
      <c r="C5" s="494"/>
      <c r="D5" s="494"/>
      <c r="E5" s="494"/>
      <c r="F5" s="494"/>
      <c r="G5" s="503"/>
    </row>
    <row r="6" spans="1:32" s="94" customFormat="1" x14ac:dyDescent="0.3">
      <c r="A6" s="494"/>
      <c r="B6" s="494"/>
      <c r="C6" s="494"/>
      <c r="D6" s="494"/>
      <c r="E6" s="494"/>
      <c r="F6" s="494"/>
      <c r="G6" s="503"/>
    </row>
    <row r="7" spans="1:32" x14ac:dyDescent="0.3">
      <c r="A7" s="652" t="s">
        <v>306</v>
      </c>
      <c r="B7" s="653" t="s">
        <v>4131</v>
      </c>
      <c r="C7" s="653" t="s">
        <v>4132</v>
      </c>
      <c r="D7" s="653" t="s">
        <v>5929</v>
      </c>
      <c r="E7" s="653" t="s">
        <v>5102</v>
      </c>
      <c r="F7" s="653" t="s">
        <v>4133</v>
      </c>
      <c r="G7" s="654" t="s">
        <v>4134</v>
      </c>
    </row>
    <row r="8" spans="1:32" x14ac:dyDescent="0.3">
      <c r="A8" s="568" t="s">
        <v>4135</v>
      </c>
      <c r="B8" s="663" t="s">
        <v>3447</v>
      </c>
      <c r="C8" s="570" t="s">
        <v>5103</v>
      </c>
      <c r="D8" s="661" t="s">
        <v>4136</v>
      </c>
      <c r="E8" s="661"/>
      <c r="F8" s="661"/>
      <c r="G8" s="662" t="s">
        <v>4137</v>
      </c>
    </row>
    <row r="9" spans="1:32" x14ac:dyDescent="0.3">
      <c r="A9" s="569"/>
      <c r="B9" s="220" t="s">
        <v>1149</v>
      </c>
      <c r="C9" s="570" t="s">
        <v>5104</v>
      </c>
      <c r="D9" s="661" t="s">
        <v>4138</v>
      </c>
      <c r="E9" s="661"/>
      <c r="F9" s="661"/>
      <c r="G9" s="662" t="s">
        <v>4137</v>
      </c>
    </row>
    <row r="10" spans="1:32" x14ac:dyDescent="0.3">
      <c r="A10" s="569"/>
      <c r="B10" s="220" t="s">
        <v>1340</v>
      </c>
      <c r="C10" s="570" t="s">
        <v>4139</v>
      </c>
      <c r="D10" s="661" t="s">
        <v>4140</v>
      </c>
      <c r="E10" s="661"/>
      <c r="F10" s="661"/>
      <c r="G10" s="662" t="s">
        <v>4137</v>
      </c>
    </row>
    <row r="11" spans="1:32" x14ac:dyDescent="0.3">
      <c r="A11" s="569"/>
      <c r="B11" s="220" t="s">
        <v>1342</v>
      </c>
      <c r="C11" s="570" t="s">
        <v>4141</v>
      </c>
      <c r="D11" s="661" t="s">
        <v>4142</v>
      </c>
      <c r="E11" s="661"/>
      <c r="F11" s="661"/>
      <c r="G11" s="662" t="s">
        <v>4137</v>
      </c>
    </row>
    <row r="12" spans="1:32" x14ac:dyDescent="0.3">
      <c r="A12" s="569"/>
      <c r="B12" s="220" t="s">
        <v>1343</v>
      </c>
      <c r="C12" s="570" t="s">
        <v>4143</v>
      </c>
      <c r="D12" s="661" t="s">
        <v>4144</v>
      </c>
      <c r="E12" s="661"/>
      <c r="F12" s="661"/>
      <c r="G12" s="662" t="s">
        <v>4137</v>
      </c>
    </row>
    <row r="13" spans="1:32" x14ac:dyDescent="0.3">
      <c r="A13" s="569"/>
      <c r="B13" s="220" t="s">
        <v>5051</v>
      </c>
      <c r="C13" s="570" t="s">
        <v>4145</v>
      </c>
      <c r="D13" s="661" t="s">
        <v>4146</v>
      </c>
      <c r="E13" s="661"/>
      <c r="F13" s="661"/>
      <c r="G13" s="662" t="s">
        <v>4137</v>
      </c>
    </row>
    <row r="14" spans="1:32" x14ac:dyDescent="0.3">
      <c r="A14" s="569"/>
      <c r="B14" s="220"/>
      <c r="C14" s="570" t="s">
        <v>4147</v>
      </c>
      <c r="D14" s="661" t="s">
        <v>4148</v>
      </c>
      <c r="E14" s="661"/>
      <c r="F14" s="661"/>
      <c r="G14" s="662" t="s">
        <v>4137</v>
      </c>
    </row>
    <row r="15" spans="1:32" x14ac:dyDescent="0.3">
      <c r="A15" s="569"/>
      <c r="B15" s="220"/>
      <c r="C15" s="570" t="s">
        <v>4149</v>
      </c>
      <c r="D15" s="661" t="s">
        <v>4150</v>
      </c>
      <c r="E15" s="661"/>
      <c r="F15" s="661"/>
      <c r="G15" s="662" t="s">
        <v>4137</v>
      </c>
    </row>
    <row r="16" spans="1:32" x14ac:dyDescent="0.3">
      <c r="A16" s="569"/>
      <c r="B16" s="220"/>
      <c r="C16" s="570" t="s">
        <v>4151</v>
      </c>
      <c r="D16" s="661" t="s">
        <v>4152</v>
      </c>
      <c r="E16" s="661"/>
      <c r="F16" s="661"/>
      <c r="G16" s="662" t="s">
        <v>4137</v>
      </c>
    </row>
    <row r="17" spans="1:7" x14ac:dyDescent="0.3">
      <c r="A17" s="569"/>
      <c r="B17" s="220"/>
      <c r="C17" s="570" t="s">
        <v>4153</v>
      </c>
      <c r="D17" s="661" t="s">
        <v>4154</v>
      </c>
      <c r="E17" s="661"/>
      <c r="F17" s="661"/>
      <c r="G17" s="662" t="s">
        <v>4137</v>
      </c>
    </row>
    <row r="18" spans="1:7" x14ac:dyDescent="0.3">
      <c r="A18" s="569"/>
      <c r="B18" s="220"/>
      <c r="C18" s="570" t="s">
        <v>4155</v>
      </c>
      <c r="D18" s="661" t="s">
        <v>4156</v>
      </c>
      <c r="E18" s="661"/>
      <c r="F18" s="661"/>
      <c r="G18" s="662" t="s">
        <v>4137</v>
      </c>
    </row>
    <row r="19" spans="1:7" x14ac:dyDescent="0.3">
      <c r="A19" s="575"/>
      <c r="B19" s="665"/>
      <c r="C19" s="570" t="s">
        <v>4157</v>
      </c>
      <c r="D19" s="661" t="s">
        <v>4158</v>
      </c>
      <c r="E19" s="661"/>
      <c r="F19" s="661"/>
      <c r="G19" s="662" t="s">
        <v>4137</v>
      </c>
    </row>
    <row r="20" spans="1:7" x14ac:dyDescent="0.3">
      <c r="A20" s="573" t="s">
        <v>4159</v>
      </c>
      <c r="B20" s="670" t="s">
        <v>5691</v>
      </c>
      <c r="C20" s="656" t="s">
        <v>4160</v>
      </c>
      <c r="D20" s="657" t="s">
        <v>5692</v>
      </c>
      <c r="E20" s="657"/>
      <c r="F20" s="657"/>
      <c r="G20" s="658" t="s">
        <v>5693</v>
      </c>
    </row>
    <row r="21" spans="1:7" x14ac:dyDescent="0.3">
      <c r="A21" s="567"/>
      <c r="B21" s="684" t="s">
        <v>1045</v>
      </c>
      <c r="C21" s="656" t="s">
        <v>4161</v>
      </c>
      <c r="D21" s="657" t="s">
        <v>5692</v>
      </c>
      <c r="E21" s="657"/>
      <c r="F21" s="657"/>
      <c r="G21" s="658" t="s">
        <v>5693</v>
      </c>
    </row>
    <row r="22" spans="1:7" x14ac:dyDescent="0.3">
      <c r="A22" s="567"/>
      <c r="B22" s="684" t="s">
        <v>3448</v>
      </c>
      <c r="C22" s="656" t="s">
        <v>4162</v>
      </c>
      <c r="D22" s="657" t="s">
        <v>5692</v>
      </c>
      <c r="E22" s="657"/>
      <c r="F22" s="657"/>
      <c r="G22" s="658" t="s">
        <v>5693</v>
      </c>
    </row>
    <row r="23" spans="1:7" x14ac:dyDescent="0.3">
      <c r="A23" s="567"/>
      <c r="B23" s="684" t="s">
        <v>1149</v>
      </c>
      <c r="C23" s="573" t="s">
        <v>4163</v>
      </c>
      <c r="D23" s="655" t="s">
        <v>5692</v>
      </c>
      <c r="E23" s="655"/>
      <c r="F23" s="655"/>
      <c r="G23" s="690" t="s">
        <v>5693</v>
      </c>
    </row>
    <row r="24" spans="1:7" x14ac:dyDescent="0.3">
      <c r="A24" s="574"/>
      <c r="B24" s="686" t="s">
        <v>1121</v>
      </c>
      <c r="C24" s="574"/>
      <c r="D24" s="660"/>
      <c r="E24" s="660"/>
      <c r="F24" s="733"/>
      <c r="G24" s="678"/>
    </row>
    <row r="25" spans="1:7" x14ac:dyDescent="0.3">
      <c r="A25" s="568" t="s">
        <v>4159</v>
      </c>
      <c r="B25" s="565" t="s">
        <v>5694</v>
      </c>
      <c r="C25" s="570" t="s">
        <v>4160</v>
      </c>
      <c r="D25" s="661" t="s">
        <v>5930</v>
      </c>
      <c r="E25" s="661"/>
      <c r="F25" s="661"/>
      <c r="G25" s="662" t="s">
        <v>5693</v>
      </c>
    </row>
    <row r="26" spans="1:7" x14ac:dyDescent="0.3">
      <c r="A26" s="569" t="s">
        <v>5695</v>
      </c>
      <c r="B26" s="566"/>
      <c r="C26" s="570" t="s">
        <v>4161</v>
      </c>
      <c r="D26" s="661" t="s">
        <v>5930</v>
      </c>
      <c r="E26" s="661"/>
      <c r="F26" s="661"/>
      <c r="G26" s="662" t="s">
        <v>5693</v>
      </c>
    </row>
    <row r="27" spans="1:7" x14ac:dyDescent="0.3">
      <c r="A27" s="569"/>
      <c r="B27" s="566"/>
      <c r="C27" s="570" t="s">
        <v>4162</v>
      </c>
      <c r="D27" s="661" t="s">
        <v>5930</v>
      </c>
      <c r="E27" s="661"/>
      <c r="F27" s="661"/>
      <c r="G27" s="662" t="s">
        <v>5693</v>
      </c>
    </row>
    <row r="28" spans="1:7" x14ac:dyDescent="0.3">
      <c r="A28" s="575"/>
      <c r="B28" s="572"/>
      <c r="C28" s="568" t="s">
        <v>4163</v>
      </c>
      <c r="D28" s="661" t="s">
        <v>5930</v>
      </c>
      <c r="E28" s="663"/>
      <c r="F28" s="661"/>
      <c r="G28" s="662" t="s">
        <v>5693</v>
      </c>
    </row>
    <row r="29" spans="1:7" x14ac:dyDescent="0.3">
      <c r="A29" s="656" t="s">
        <v>4658</v>
      </c>
      <c r="B29" s="571" t="s">
        <v>5036</v>
      </c>
      <c r="C29" s="656" t="s">
        <v>5052</v>
      </c>
      <c r="D29" s="657" t="s">
        <v>5053</v>
      </c>
      <c r="E29" s="657"/>
      <c r="F29" s="657"/>
      <c r="G29" s="658" t="s">
        <v>5693</v>
      </c>
    </row>
    <row r="30" spans="1:7" x14ac:dyDescent="0.3">
      <c r="A30" s="569" t="s">
        <v>1770</v>
      </c>
      <c r="B30" s="566" t="s">
        <v>1149</v>
      </c>
      <c r="C30" s="666" t="s">
        <v>4164</v>
      </c>
      <c r="D30" s="667" t="s">
        <v>4165</v>
      </c>
      <c r="E30" s="220"/>
      <c r="F30" s="220"/>
      <c r="G30" s="668" t="s">
        <v>4166</v>
      </c>
    </row>
    <row r="31" spans="1:7" x14ac:dyDescent="0.3">
      <c r="A31" s="669" t="s">
        <v>227</v>
      </c>
      <c r="B31" s="670" t="s">
        <v>1029</v>
      </c>
      <c r="C31" s="656" t="s">
        <v>4273</v>
      </c>
      <c r="D31" s="671" t="s">
        <v>5054</v>
      </c>
      <c r="E31" s="671"/>
      <c r="F31" s="672"/>
      <c r="G31" s="658" t="s">
        <v>4192</v>
      </c>
    </row>
    <row r="32" spans="1:7" x14ac:dyDescent="0.3">
      <c r="A32" s="568" t="s">
        <v>4167</v>
      </c>
      <c r="B32" s="565" t="s">
        <v>4168</v>
      </c>
      <c r="C32" s="673" t="s">
        <v>4169</v>
      </c>
      <c r="D32" s="674" t="s">
        <v>4170</v>
      </c>
      <c r="E32" s="661"/>
      <c r="F32" s="661"/>
      <c r="G32" s="662" t="s">
        <v>4171</v>
      </c>
    </row>
    <row r="33" spans="1:7" x14ac:dyDescent="0.3">
      <c r="A33" s="569"/>
      <c r="B33" s="566"/>
      <c r="C33" s="673" t="s">
        <v>4172</v>
      </c>
      <c r="D33" s="674" t="s">
        <v>4173</v>
      </c>
      <c r="E33" s="661"/>
      <c r="F33" s="661"/>
      <c r="G33" s="662" t="s">
        <v>4171</v>
      </c>
    </row>
    <row r="34" spans="1:7" ht="15" customHeight="1" x14ac:dyDescent="0.3">
      <c r="A34" s="569"/>
      <c r="B34" s="566"/>
      <c r="C34" s="673" t="s">
        <v>109</v>
      </c>
      <c r="D34" s="674" t="s">
        <v>4174</v>
      </c>
      <c r="E34" s="661"/>
      <c r="F34" s="661"/>
      <c r="G34" s="662" t="s">
        <v>4171</v>
      </c>
    </row>
    <row r="35" spans="1:7" x14ac:dyDescent="0.3">
      <c r="A35" s="569"/>
      <c r="B35" s="566"/>
      <c r="C35" s="673" t="s">
        <v>4175</v>
      </c>
      <c r="D35" s="674" t="s">
        <v>4176</v>
      </c>
      <c r="E35" s="661"/>
      <c r="F35" s="661"/>
      <c r="G35" s="662" t="s">
        <v>4171</v>
      </c>
    </row>
    <row r="36" spans="1:7" x14ac:dyDescent="0.3">
      <c r="A36" s="569"/>
      <c r="B36" s="566"/>
      <c r="C36" s="673" t="s">
        <v>4177</v>
      </c>
      <c r="D36" s="674" t="s">
        <v>4178</v>
      </c>
      <c r="E36" s="661"/>
      <c r="F36" s="661"/>
      <c r="G36" s="662" t="s">
        <v>4171</v>
      </c>
    </row>
    <row r="37" spans="1:7" x14ac:dyDescent="0.3">
      <c r="A37" s="569"/>
      <c r="B37" s="566"/>
      <c r="C37" s="673" t="s">
        <v>4179</v>
      </c>
      <c r="D37" s="674" t="s">
        <v>4180</v>
      </c>
      <c r="E37" s="661"/>
      <c r="F37" s="661"/>
      <c r="G37" s="662" t="s">
        <v>4171</v>
      </c>
    </row>
    <row r="38" spans="1:7" x14ac:dyDescent="0.3">
      <c r="A38" s="569"/>
      <c r="B38" s="566"/>
      <c r="C38" s="673" t="s">
        <v>4181</v>
      </c>
      <c r="D38" s="674" t="s">
        <v>4182</v>
      </c>
      <c r="E38" s="661" t="s">
        <v>5055</v>
      </c>
      <c r="F38" s="661" t="s">
        <v>5931</v>
      </c>
      <c r="G38" s="662" t="s">
        <v>4171</v>
      </c>
    </row>
    <row r="39" spans="1:7" ht="16.2" x14ac:dyDescent="0.3">
      <c r="A39" s="575"/>
      <c r="B39" s="572"/>
      <c r="C39" s="734" t="s">
        <v>4183</v>
      </c>
      <c r="D39" s="735" t="s">
        <v>5105</v>
      </c>
      <c r="E39" s="736" t="s">
        <v>5055</v>
      </c>
      <c r="F39" s="737" t="s">
        <v>5931</v>
      </c>
      <c r="G39" s="738" t="s">
        <v>4171</v>
      </c>
    </row>
    <row r="40" spans="1:7" x14ac:dyDescent="0.3">
      <c r="A40" s="675" t="s">
        <v>4184</v>
      </c>
      <c r="B40" s="659" t="s">
        <v>4185</v>
      </c>
      <c r="C40" s="574" t="s">
        <v>5696</v>
      </c>
      <c r="D40" s="676" t="s">
        <v>5932</v>
      </c>
      <c r="E40" s="676"/>
      <c r="F40" s="677"/>
      <c r="G40" s="678" t="s">
        <v>5933</v>
      </c>
    </row>
    <row r="41" spans="1:7" x14ac:dyDescent="0.3">
      <c r="A41" s="675" t="s">
        <v>1026</v>
      </c>
      <c r="B41" s="659" t="s">
        <v>3696</v>
      </c>
      <c r="C41" s="656" t="s">
        <v>5741</v>
      </c>
      <c r="D41" s="676" t="s">
        <v>5934</v>
      </c>
      <c r="E41" s="676"/>
      <c r="F41" s="677"/>
      <c r="G41" s="678" t="s">
        <v>5933</v>
      </c>
    </row>
    <row r="42" spans="1:7" x14ac:dyDescent="0.3">
      <c r="A42" s="675"/>
      <c r="B42" s="659" t="s">
        <v>4187</v>
      </c>
      <c r="C42" s="656" t="s">
        <v>5697</v>
      </c>
      <c r="D42" s="676" t="s">
        <v>5935</v>
      </c>
      <c r="E42" s="676"/>
      <c r="F42" s="677"/>
      <c r="G42" s="678" t="s">
        <v>4186</v>
      </c>
    </row>
    <row r="43" spans="1:7" x14ac:dyDescent="0.3">
      <c r="A43" s="675"/>
      <c r="B43" s="659" t="s">
        <v>1338</v>
      </c>
      <c r="C43" s="574" t="s">
        <v>5700</v>
      </c>
      <c r="D43" s="676" t="s">
        <v>5701</v>
      </c>
      <c r="E43" s="676" t="s">
        <v>5699</v>
      </c>
      <c r="F43" s="677" t="s">
        <v>5702</v>
      </c>
      <c r="G43" s="658" t="s">
        <v>5703</v>
      </c>
    </row>
    <row r="44" spans="1:7" x14ac:dyDescent="0.3">
      <c r="A44" s="675"/>
      <c r="B44" s="659"/>
      <c r="C44" s="656" t="s">
        <v>5704</v>
      </c>
      <c r="D44" s="676" t="s">
        <v>5698</v>
      </c>
      <c r="E44" s="676" t="s">
        <v>5699</v>
      </c>
      <c r="F44" s="677" t="s">
        <v>5702</v>
      </c>
      <c r="G44" s="658" t="s">
        <v>5703</v>
      </c>
    </row>
    <row r="45" spans="1:7" x14ac:dyDescent="0.3">
      <c r="A45" s="675"/>
      <c r="B45" s="659"/>
      <c r="C45" s="656" t="s">
        <v>5742</v>
      </c>
      <c r="D45" s="671" t="s">
        <v>5936</v>
      </c>
      <c r="E45" s="671"/>
      <c r="F45" s="672"/>
      <c r="G45" s="658" t="s">
        <v>5705</v>
      </c>
    </row>
    <row r="46" spans="1:7" x14ac:dyDescent="0.3">
      <c r="A46" s="675"/>
      <c r="B46" s="659"/>
      <c r="C46" s="656" t="s">
        <v>5743</v>
      </c>
      <c r="D46" s="671" t="s">
        <v>5937</v>
      </c>
      <c r="E46" s="671"/>
      <c r="F46" s="672"/>
      <c r="G46" s="658" t="s">
        <v>5705</v>
      </c>
    </row>
    <row r="47" spans="1:7" x14ac:dyDescent="0.3">
      <c r="A47" s="675"/>
      <c r="B47" s="659"/>
      <c r="C47" s="656" t="s">
        <v>5744</v>
      </c>
      <c r="D47" s="671" t="s">
        <v>5938</v>
      </c>
      <c r="E47" s="671"/>
      <c r="F47" s="672"/>
      <c r="G47" s="658" t="s">
        <v>5705</v>
      </c>
    </row>
    <row r="48" spans="1:7" x14ac:dyDescent="0.3">
      <c r="A48" s="679" t="s">
        <v>4188</v>
      </c>
      <c r="B48" s="565" t="s">
        <v>4187</v>
      </c>
      <c r="C48" s="570" t="s">
        <v>5706</v>
      </c>
      <c r="D48" s="680" t="s">
        <v>5932</v>
      </c>
      <c r="E48" s="680"/>
      <c r="F48" s="681"/>
      <c r="G48" s="662" t="s">
        <v>4186</v>
      </c>
    </row>
    <row r="49" spans="1:7" x14ac:dyDescent="0.3">
      <c r="A49" s="682"/>
      <c r="B49" s="566" t="s">
        <v>1338</v>
      </c>
      <c r="C49" s="570" t="s">
        <v>5708</v>
      </c>
      <c r="D49" s="680" t="s">
        <v>5935</v>
      </c>
      <c r="E49" s="680"/>
      <c r="F49" s="681"/>
      <c r="G49" s="662" t="s">
        <v>4186</v>
      </c>
    </row>
    <row r="50" spans="1:7" x14ac:dyDescent="0.3">
      <c r="A50" s="682"/>
      <c r="B50" s="566"/>
      <c r="C50" s="570" t="s">
        <v>5709</v>
      </c>
      <c r="D50" s="680" t="s">
        <v>4189</v>
      </c>
      <c r="E50" s="680" t="s">
        <v>5707</v>
      </c>
      <c r="F50" s="681" t="s">
        <v>5702</v>
      </c>
      <c r="G50" s="662" t="s">
        <v>5703</v>
      </c>
    </row>
    <row r="51" spans="1:7" x14ac:dyDescent="0.3">
      <c r="A51" s="682"/>
      <c r="B51" s="566"/>
      <c r="C51" s="570" t="s">
        <v>5710</v>
      </c>
      <c r="D51" s="680" t="s">
        <v>4189</v>
      </c>
      <c r="E51" s="680" t="s">
        <v>5711</v>
      </c>
      <c r="F51" s="681" t="s">
        <v>5702</v>
      </c>
      <c r="G51" s="662" t="s">
        <v>5703</v>
      </c>
    </row>
    <row r="52" spans="1:7" x14ac:dyDescent="0.3">
      <c r="A52" s="682"/>
      <c r="B52" s="566"/>
      <c r="C52" s="570" t="s">
        <v>5745</v>
      </c>
      <c r="D52" s="680" t="s">
        <v>5939</v>
      </c>
      <c r="E52" s="680"/>
      <c r="F52" s="681"/>
      <c r="G52" s="662" t="s">
        <v>5705</v>
      </c>
    </row>
    <row r="53" spans="1:7" x14ac:dyDescent="0.3">
      <c r="A53" s="682"/>
      <c r="B53" s="566"/>
      <c r="C53" s="570" t="s">
        <v>5746</v>
      </c>
      <c r="D53" s="680" t="s">
        <v>5940</v>
      </c>
      <c r="E53" s="680"/>
      <c r="F53" s="681"/>
      <c r="G53" s="662" t="s">
        <v>5705</v>
      </c>
    </row>
    <row r="54" spans="1:7" x14ac:dyDescent="0.3">
      <c r="A54" s="682"/>
      <c r="B54" s="566"/>
      <c r="C54" s="673" t="s">
        <v>5747</v>
      </c>
      <c r="D54" s="680" t="s">
        <v>5941</v>
      </c>
      <c r="E54" s="680"/>
      <c r="F54" s="681"/>
      <c r="G54" s="662" t="s">
        <v>5705</v>
      </c>
    </row>
    <row r="55" spans="1:7" x14ac:dyDescent="0.3">
      <c r="A55" s="669" t="s">
        <v>4190</v>
      </c>
      <c r="B55" s="670" t="s">
        <v>4187</v>
      </c>
      <c r="C55" s="656" t="s">
        <v>5748</v>
      </c>
      <c r="D55" s="671" t="s">
        <v>4191</v>
      </c>
      <c r="E55" s="671"/>
      <c r="F55" s="672"/>
      <c r="G55" s="658" t="s">
        <v>5705</v>
      </c>
    </row>
    <row r="56" spans="1:7" x14ac:dyDescent="0.3">
      <c r="A56" s="675"/>
      <c r="B56" s="684" t="s">
        <v>1338</v>
      </c>
      <c r="C56" s="656" t="s">
        <v>5749</v>
      </c>
      <c r="D56" s="671" t="s">
        <v>4193</v>
      </c>
      <c r="E56" s="671"/>
      <c r="F56" s="672"/>
      <c r="G56" s="658" t="s">
        <v>5705</v>
      </c>
    </row>
    <row r="57" spans="1:7" x14ac:dyDescent="0.3">
      <c r="A57" s="675"/>
      <c r="B57" s="684"/>
      <c r="C57" s="656" t="s">
        <v>5750</v>
      </c>
      <c r="D57" s="671" t="s">
        <v>4193</v>
      </c>
      <c r="E57" s="671"/>
      <c r="F57" s="672"/>
      <c r="G57" s="658" t="s">
        <v>5705</v>
      </c>
    </row>
    <row r="58" spans="1:7" x14ac:dyDescent="0.3">
      <c r="A58" s="679" t="s">
        <v>4194</v>
      </c>
      <c r="B58" s="565" t="s">
        <v>4187</v>
      </c>
      <c r="C58" s="570" t="s">
        <v>5712</v>
      </c>
      <c r="D58" s="680" t="s">
        <v>5713</v>
      </c>
      <c r="E58" s="680"/>
      <c r="F58" s="681"/>
      <c r="G58" s="662" t="s">
        <v>5714</v>
      </c>
    </row>
    <row r="59" spans="1:7" x14ac:dyDescent="0.3">
      <c r="A59" s="682"/>
      <c r="B59" s="566"/>
      <c r="C59" s="570" t="s">
        <v>5942</v>
      </c>
      <c r="D59" s="680" t="s">
        <v>4195</v>
      </c>
      <c r="E59" s="680"/>
      <c r="F59" s="681"/>
      <c r="G59" s="662" t="s">
        <v>5714</v>
      </c>
    </row>
    <row r="60" spans="1:7" x14ac:dyDescent="0.3">
      <c r="A60" s="682"/>
      <c r="B60" s="566"/>
      <c r="C60" s="570" t="s">
        <v>5715</v>
      </c>
      <c r="D60" s="680" t="s">
        <v>5716</v>
      </c>
      <c r="E60" s="680"/>
      <c r="F60" s="681"/>
      <c r="G60" s="662" t="s">
        <v>5714</v>
      </c>
    </row>
    <row r="61" spans="1:7" x14ac:dyDescent="0.3">
      <c r="A61" s="682"/>
      <c r="B61" s="566"/>
      <c r="C61" s="570" t="s">
        <v>5717</v>
      </c>
      <c r="D61" s="680" t="s">
        <v>5718</v>
      </c>
      <c r="E61" s="680"/>
      <c r="F61" s="681"/>
      <c r="G61" s="662"/>
    </row>
    <row r="62" spans="1:7" x14ac:dyDescent="0.3">
      <c r="A62" s="682"/>
      <c r="B62" s="566"/>
      <c r="C62" s="570" t="s">
        <v>5943</v>
      </c>
      <c r="D62" s="680" t="s">
        <v>4196</v>
      </c>
      <c r="E62" s="680"/>
      <c r="F62" s="681"/>
      <c r="G62" s="662" t="s">
        <v>5714</v>
      </c>
    </row>
    <row r="63" spans="1:7" x14ac:dyDescent="0.3">
      <c r="A63" s="683"/>
      <c r="B63" s="572"/>
      <c r="C63" s="570" t="s">
        <v>5719</v>
      </c>
      <c r="D63" s="680" t="s">
        <v>5720</v>
      </c>
      <c r="E63" s="680"/>
      <c r="F63" s="681"/>
      <c r="G63" s="662"/>
    </row>
    <row r="64" spans="1:7" x14ac:dyDescent="0.3">
      <c r="A64" s="669" t="s">
        <v>4197</v>
      </c>
      <c r="B64" s="670" t="s">
        <v>4187</v>
      </c>
      <c r="C64" s="656" t="s">
        <v>5712</v>
      </c>
      <c r="D64" s="671" t="s">
        <v>5713</v>
      </c>
      <c r="E64" s="671"/>
      <c r="F64" s="672"/>
      <c r="G64" s="658" t="s">
        <v>5714</v>
      </c>
    </row>
    <row r="65" spans="1:7" x14ac:dyDescent="0.3">
      <c r="A65" s="675"/>
      <c r="B65" s="684"/>
      <c r="C65" s="656" t="s">
        <v>5942</v>
      </c>
      <c r="D65" s="671" t="s">
        <v>4195</v>
      </c>
      <c r="E65" s="671"/>
      <c r="F65" s="672"/>
      <c r="G65" s="658" t="s">
        <v>5714</v>
      </c>
    </row>
    <row r="66" spans="1:7" x14ac:dyDescent="0.3">
      <c r="A66" s="675"/>
      <c r="B66" s="684"/>
      <c r="C66" s="656" t="s">
        <v>5715</v>
      </c>
      <c r="D66" s="671" t="s">
        <v>5716</v>
      </c>
      <c r="E66" s="671"/>
      <c r="F66" s="672"/>
      <c r="G66" s="658" t="s">
        <v>5714</v>
      </c>
    </row>
    <row r="67" spans="1:7" x14ac:dyDescent="0.3">
      <c r="A67" s="675"/>
      <c r="B67" s="684"/>
      <c r="C67" s="656" t="s">
        <v>5717</v>
      </c>
      <c r="D67" s="671" t="s">
        <v>5721</v>
      </c>
      <c r="E67" s="671"/>
      <c r="F67" s="672"/>
      <c r="G67" s="658" t="s">
        <v>5714</v>
      </c>
    </row>
    <row r="68" spans="1:7" x14ac:dyDescent="0.3">
      <c r="A68" s="675"/>
      <c r="B68" s="684"/>
      <c r="C68" s="656" t="s">
        <v>5943</v>
      </c>
      <c r="D68" s="671" t="s">
        <v>4198</v>
      </c>
      <c r="E68" s="671"/>
      <c r="F68" s="672"/>
      <c r="G68" s="658" t="s">
        <v>5714</v>
      </c>
    </row>
    <row r="69" spans="1:7" x14ac:dyDescent="0.3">
      <c r="A69" s="685"/>
      <c r="B69" s="686"/>
      <c r="C69" s="656" t="s">
        <v>5719</v>
      </c>
      <c r="D69" s="671" t="s">
        <v>5722</v>
      </c>
      <c r="E69" s="671"/>
      <c r="F69" s="672"/>
      <c r="G69" s="658" t="s">
        <v>5714</v>
      </c>
    </row>
    <row r="70" spans="1:7" x14ac:dyDescent="0.3">
      <c r="A70" s="679" t="s">
        <v>4199</v>
      </c>
      <c r="B70" s="565" t="s">
        <v>4187</v>
      </c>
      <c r="C70" s="570" t="s">
        <v>5723</v>
      </c>
      <c r="D70" s="680" t="s">
        <v>5724</v>
      </c>
      <c r="E70" s="680"/>
      <c r="F70" s="681"/>
      <c r="G70" s="662" t="s">
        <v>5725</v>
      </c>
    </row>
    <row r="71" spans="1:7" x14ac:dyDescent="0.3">
      <c r="A71" s="683"/>
      <c r="B71" s="572"/>
      <c r="C71" s="570" t="s">
        <v>5751</v>
      </c>
      <c r="D71" s="680" t="s">
        <v>4200</v>
      </c>
      <c r="E71" s="680"/>
      <c r="F71" s="681"/>
      <c r="G71" s="662" t="s">
        <v>5725</v>
      </c>
    </row>
    <row r="72" spans="1:7" x14ac:dyDescent="0.3">
      <c r="A72" s="573" t="s">
        <v>3965</v>
      </c>
      <c r="B72" s="670" t="s">
        <v>4201</v>
      </c>
      <c r="C72" s="656" t="s">
        <v>5752</v>
      </c>
      <c r="D72" s="657" t="s">
        <v>4202</v>
      </c>
      <c r="E72" s="657"/>
      <c r="F72" s="657"/>
      <c r="G72" s="658" t="s">
        <v>5753</v>
      </c>
    </row>
    <row r="73" spans="1:7" x14ac:dyDescent="0.3">
      <c r="A73" s="567"/>
      <c r="B73" s="684" t="s">
        <v>4203</v>
      </c>
      <c r="C73" s="656" t="s">
        <v>5754</v>
      </c>
      <c r="D73" s="657" t="s">
        <v>4204</v>
      </c>
      <c r="E73" s="657"/>
      <c r="F73" s="657"/>
      <c r="G73" s="658" t="s">
        <v>5753</v>
      </c>
    </row>
    <row r="74" spans="1:7" x14ac:dyDescent="0.3">
      <c r="A74" s="567"/>
      <c r="B74" s="659" t="s">
        <v>3696</v>
      </c>
      <c r="C74" s="656" t="s">
        <v>5755</v>
      </c>
      <c r="D74" s="657" t="s">
        <v>4205</v>
      </c>
      <c r="E74" s="657"/>
      <c r="F74" s="657"/>
      <c r="G74" s="658" t="s">
        <v>5753</v>
      </c>
    </row>
    <row r="75" spans="1:7" x14ac:dyDescent="0.3">
      <c r="A75" s="574"/>
      <c r="B75" s="686"/>
      <c r="C75" s="656" t="s">
        <v>5756</v>
      </c>
      <c r="D75" s="657" t="s">
        <v>4206</v>
      </c>
      <c r="E75" s="657"/>
      <c r="F75" s="657"/>
      <c r="G75" s="658" t="s">
        <v>5753</v>
      </c>
    </row>
    <row r="76" spans="1:7" x14ac:dyDescent="0.3">
      <c r="A76" s="569" t="s">
        <v>3033</v>
      </c>
      <c r="B76" s="220" t="s">
        <v>4207</v>
      </c>
      <c r="C76" s="673" t="s">
        <v>4208</v>
      </c>
      <c r="D76" s="661" t="s">
        <v>4209</v>
      </c>
      <c r="E76" s="661"/>
      <c r="F76" s="661"/>
      <c r="G76" s="662" t="s">
        <v>4210</v>
      </c>
    </row>
    <row r="77" spans="1:7" x14ac:dyDescent="0.3">
      <c r="A77" s="569"/>
      <c r="B77" s="220"/>
      <c r="C77" s="673" t="s">
        <v>4211</v>
      </c>
      <c r="D77" s="661" t="s">
        <v>4212</v>
      </c>
      <c r="E77" s="661"/>
      <c r="F77" s="661"/>
      <c r="G77" s="662" t="s">
        <v>4210</v>
      </c>
    </row>
    <row r="78" spans="1:7" x14ac:dyDescent="0.3">
      <c r="A78" s="569"/>
      <c r="B78" s="220"/>
      <c r="C78" s="673" t="s">
        <v>4213</v>
      </c>
      <c r="D78" s="661" t="s">
        <v>4214</v>
      </c>
      <c r="E78" s="661"/>
      <c r="F78" s="661"/>
      <c r="G78" s="662" t="s">
        <v>4210</v>
      </c>
    </row>
    <row r="79" spans="1:7" x14ac:dyDescent="0.3">
      <c r="A79" s="569"/>
      <c r="B79" s="220"/>
      <c r="C79" s="673" t="s">
        <v>4215</v>
      </c>
      <c r="D79" s="661" t="s">
        <v>4216</v>
      </c>
      <c r="E79" s="661"/>
      <c r="F79" s="661"/>
      <c r="G79" s="662" t="s">
        <v>4210</v>
      </c>
    </row>
    <row r="80" spans="1:7" x14ac:dyDescent="0.3">
      <c r="A80" s="569"/>
      <c r="B80" s="220"/>
      <c r="C80" s="687" t="s">
        <v>4217</v>
      </c>
      <c r="D80" s="663" t="s">
        <v>4218</v>
      </c>
      <c r="E80" s="663"/>
      <c r="F80" s="663"/>
      <c r="G80" s="664" t="s">
        <v>4210</v>
      </c>
    </row>
    <row r="81" spans="1:7" ht="15.6" x14ac:dyDescent="0.3">
      <c r="A81" s="573" t="s">
        <v>4219</v>
      </c>
      <c r="B81" s="670" t="s">
        <v>3779</v>
      </c>
      <c r="C81" s="688" t="s">
        <v>4220</v>
      </c>
      <c r="D81" s="657" t="s">
        <v>5106</v>
      </c>
      <c r="E81" s="657"/>
      <c r="F81" s="657"/>
      <c r="G81" s="658" t="s">
        <v>4221</v>
      </c>
    </row>
    <row r="82" spans="1:7" ht="15.6" x14ac:dyDescent="0.3">
      <c r="A82" s="567"/>
      <c r="B82" s="684" t="s">
        <v>1328</v>
      </c>
      <c r="C82" s="688" t="s">
        <v>4222</v>
      </c>
      <c r="D82" s="657" t="s">
        <v>5107</v>
      </c>
      <c r="E82" s="657"/>
      <c r="F82" s="657"/>
      <c r="G82" s="658" t="s">
        <v>4221</v>
      </c>
    </row>
    <row r="83" spans="1:7" ht="15.6" x14ac:dyDescent="0.3">
      <c r="A83" s="567"/>
      <c r="B83" s="684"/>
      <c r="C83" s="688" t="s">
        <v>4223</v>
      </c>
      <c r="D83" s="657" t="s">
        <v>5108</v>
      </c>
      <c r="E83" s="657"/>
      <c r="F83" s="657"/>
      <c r="G83" s="658" t="s">
        <v>4221</v>
      </c>
    </row>
    <row r="84" spans="1:7" ht="15.6" x14ac:dyDescent="0.3">
      <c r="A84" s="567"/>
      <c r="B84" s="684"/>
      <c r="C84" s="688" t="s">
        <v>4224</v>
      </c>
      <c r="D84" s="657" t="s">
        <v>5109</v>
      </c>
      <c r="E84" s="657"/>
      <c r="F84" s="657"/>
      <c r="G84" s="658" t="s">
        <v>4221</v>
      </c>
    </row>
    <row r="85" spans="1:7" ht="15.6" x14ac:dyDescent="0.3">
      <c r="A85" s="567"/>
      <c r="B85" s="684"/>
      <c r="C85" s="688" t="s">
        <v>4225</v>
      </c>
      <c r="D85" s="657" t="s">
        <v>5110</v>
      </c>
      <c r="E85" s="657"/>
      <c r="F85" s="657"/>
      <c r="G85" s="658" t="s">
        <v>4221</v>
      </c>
    </row>
    <row r="86" spans="1:7" ht="15.6" x14ac:dyDescent="0.3">
      <c r="A86" s="567"/>
      <c r="B86" s="684"/>
      <c r="C86" s="688" t="s">
        <v>4226</v>
      </c>
      <c r="D86" s="657" t="s">
        <v>5111</v>
      </c>
      <c r="E86" s="657"/>
      <c r="F86" s="657"/>
      <c r="G86" s="658" t="s">
        <v>4221</v>
      </c>
    </row>
    <row r="87" spans="1:7" ht="15.6" x14ac:dyDescent="0.3">
      <c r="A87" s="567"/>
      <c r="B87" s="684"/>
      <c r="C87" s="688" t="s">
        <v>4227</v>
      </c>
      <c r="D87" s="657" t="s">
        <v>5112</v>
      </c>
      <c r="E87" s="657"/>
      <c r="F87" s="657"/>
      <c r="G87" s="658" t="s">
        <v>4221</v>
      </c>
    </row>
    <row r="88" spans="1:7" ht="15.6" x14ac:dyDescent="0.3">
      <c r="A88" s="567"/>
      <c r="B88" s="684"/>
      <c r="C88" s="689" t="s">
        <v>4228</v>
      </c>
      <c r="D88" s="655" t="s">
        <v>5113</v>
      </c>
      <c r="E88" s="655"/>
      <c r="F88" s="655"/>
      <c r="G88" s="690" t="s">
        <v>4221</v>
      </c>
    </row>
    <row r="89" spans="1:7" ht="15.6" x14ac:dyDescent="0.3">
      <c r="A89" s="567"/>
      <c r="B89" s="684"/>
      <c r="C89" s="688" t="s">
        <v>4229</v>
      </c>
      <c r="D89" s="655" t="s">
        <v>5114</v>
      </c>
      <c r="E89" s="655"/>
      <c r="F89" s="655"/>
      <c r="G89" s="690" t="s">
        <v>4230</v>
      </c>
    </row>
    <row r="90" spans="1:7" ht="15.6" x14ac:dyDescent="0.3">
      <c r="A90" s="574"/>
      <c r="B90" s="686"/>
      <c r="C90" s="688" t="s">
        <v>4231</v>
      </c>
      <c r="D90" s="655" t="s">
        <v>5115</v>
      </c>
      <c r="E90" s="655"/>
      <c r="F90" s="655"/>
      <c r="G90" s="690" t="s">
        <v>4230</v>
      </c>
    </row>
    <row r="91" spans="1:7" x14ac:dyDescent="0.3">
      <c r="A91" s="568" t="s">
        <v>4232</v>
      </c>
      <c r="B91" s="565" t="s">
        <v>1346</v>
      </c>
      <c r="C91" s="673" t="s">
        <v>4233</v>
      </c>
      <c r="D91" s="661" t="s">
        <v>4234</v>
      </c>
      <c r="E91" s="661"/>
      <c r="F91" s="661"/>
      <c r="G91" s="662" t="s">
        <v>4221</v>
      </c>
    </row>
    <row r="92" spans="1:7" x14ac:dyDescent="0.3">
      <c r="A92" s="569"/>
      <c r="B92" s="566" t="s">
        <v>5056</v>
      </c>
      <c r="C92" s="673" t="s">
        <v>4235</v>
      </c>
      <c r="D92" s="661" t="s">
        <v>4234</v>
      </c>
      <c r="E92" s="661"/>
      <c r="F92" s="661"/>
      <c r="G92" s="662" t="s">
        <v>4221</v>
      </c>
    </row>
    <row r="93" spans="1:7" x14ac:dyDescent="0.3">
      <c r="A93" s="569"/>
      <c r="B93" s="566"/>
      <c r="C93" s="673" t="s">
        <v>4236</v>
      </c>
      <c r="D93" s="661" t="s">
        <v>4237</v>
      </c>
      <c r="E93" s="661"/>
      <c r="F93" s="661"/>
      <c r="G93" s="662" t="s">
        <v>4238</v>
      </c>
    </row>
    <row r="94" spans="1:7" ht="15.6" x14ac:dyDescent="0.3">
      <c r="A94" s="575"/>
      <c r="B94" s="572"/>
      <c r="C94" s="673" t="s">
        <v>4239</v>
      </c>
      <c r="D94" s="661" t="s">
        <v>5116</v>
      </c>
      <c r="E94" s="661"/>
      <c r="F94" s="661"/>
      <c r="G94" s="662" t="s">
        <v>4238</v>
      </c>
    </row>
    <row r="95" spans="1:7" x14ac:dyDescent="0.3">
      <c r="A95" s="573" t="s">
        <v>4240</v>
      </c>
      <c r="B95" s="655" t="s">
        <v>1090</v>
      </c>
      <c r="C95" s="688" t="s">
        <v>4241</v>
      </c>
      <c r="D95" s="657" t="s">
        <v>5726</v>
      </c>
      <c r="E95" s="657"/>
      <c r="F95" s="657"/>
      <c r="G95" s="571" t="s">
        <v>4242</v>
      </c>
    </row>
    <row r="96" spans="1:7" x14ac:dyDescent="0.3">
      <c r="A96" s="574"/>
      <c r="B96" s="660"/>
      <c r="C96" s="688" t="s">
        <v>4243</v>
      </c>
      <c r="D96" s="657" t="s">
        <v>5727</v>
      </c>
      <c r="E96" s="657"/>
      <c r="F96" s="657"/>
      <c r="G96" s="571" t="s">
        <v>4242</v>
      </c>
    </row>
    <row r="97" spans="1:7" x14ac:dyDescent="0.3">
      <c r="A97" s="569" t="s">
        <v>4244</v>
      </c>
      <c r="B97" s="220" t="s">
        <v>1089</v>
      </c>
      <c r="C97" s="691" t="s">
        <v>4245</v>
      </c>
      <c r="D97" s="665" t="s">
        <v>5727</v>
      </c>
      <c r="E97" s="665"/>
      <c r="F97" s="665"/>
      <c r="G97" s="572" t="s">
        <v>4242</v>
      </c>
    </row>
    <row r="98" spans="1:7" x14ac:dyDescent="0.3">
      <c r="A98" s="573" t="s">
        <v>3126</v>
      </c>
      <c r="B98" s="670" t="s">
        <v>3318</v>
      </c>
      <c r="C98" s="689" t="s">
        <v>4246</v>
      </c>
      <c r="D98" s="655" t="s">
        <v>4247</v>
      </c>
      <c r="E98" s="655"/>
      <c r="F98" s="657"/>
      <c r="G98" s="658" t="s">
        <v>4248</v>
      </c>
    </row>
    <row r="99" spans="1:7" x14ac:dyDescent="0.3">
      <c r="A99" s="574"/>
      <c r="B99" s="686"/>
      <c r="C99" s="689" t="s">
        <v>4249</v>
      </c>
      <c r="D99" s="655" t="s">
        <v>4250</v>
      </c>
      <c r="E99" s="655"/>
      <c r="F99" s="655"/>
      <c r="G99" s="690" t="s">
        <v>4248</v>
      </c>
    </row>
    <row r="100" spans="1:7" ht="16.2" x14ac:dyDescent="0.3">
      <c r="A100" s="569" t="s">
        <v>367</v>
      </c>
      <c r="B100" s="220" t="s">
        <v>1095</v>
      </c>
      <c r="C100" s="673" t="s">
        <v>5117</v>
      </c>
      <c r="D100" s="661" t="s">
        <v>4251</v>
      </c>
      <c r="E100" s="661"/>
      <c r="F100" s="661"/>
      <c r="G100" s="662" t="s">
        <v>4252</v>
      </c>
    </row>
    <row r="101" spans="1:7" ht="16.2" x14ac:dyDescent="0.3">
      <c r="A101" s="569"/>
      <c r="B101" s="220"/>
      <c r="C101" s="673" t="s">
        <v>5118</v>
      </c>
      <c r="D101" s="661" t="s">
        <v>4253</v>
      </c>
      <c r="E101" s="661"/>
      <c r="F101" s="661"/>
      <c r="G101" s="662" t="s">
        <v>4252</v>
      </c>
    </row>
    <row r="102" spans="1:7" ht="16.2" x14ac:dyDescent="0.3">
      <c r="A102" s="569"/>
      <c r="B102" s="220"/>
      <c r="C102" s="687" t="s">
        <v>5119</v>
      </c>
      <c r="D102" s="663" t="s">
        <v>4254</v>
      </c>
      <c r="E102" s="663"/>
      <c r="F102" s="661"/>
      <c r="G102" s="662" t="s">
        <v>4252</v>
      </c>
    </row>
    <row r="103" spans="1:7" ht="16.2" x14ac:dyDescent="0.3">
      <c r="A103" s="569"/>
      <c r="B103" s="220"/>
      <c r="C103" s="687" t="s">
        <v>5120</v>
      </c>
      <c r="D103" s="663" t="s">
        <v>4255</v>
      </c>
      <c r="E103" s="663"/>
      <c r="F103" s="663"/>
      <c r="G103" s="664" t="s">
        <v>4252</v>
      </c>
    </row>
    <row r="104" spans="1:7" ht="16.2" x14ac:dyDescent="0.3">
      <c r="A104" s="573" t="s">
        <v>397</v>
      </c>
      <c r="B104" s="655" t="s">
        <v>4256</v>
      </c>
      <c r="C104" s="688" t="s">
        <v>5121</v>
      </c>
      <c r="D104" s="657" t="s">
        <v>4257</v>
      </c>
      <c r="E104" s="657"/>
      <c r="F104" s="657"/>
      <c r="G104" s="658" t="s">
        <v>4258</v>
      </c>
    </row>
    <row r="105" spans="1:7" ht="16.2" x14ac:dyDescent="0.3">
      <c r="A105" s="567"/>
      <c r="B105" s="659"/>
      <c r="C105" s="688" t="s">
        <v>5122</v>
      </c>
      <c r="D105" s="657" t="s">
        <v>4259</v>
      </c>
      <c r="E105" s="657"/>
      <c r="F105" s="657"/>
      <c r="G105" s="658" t="s">
        <v>4258</v>
      </c>
    </row>
    <row r="106" spans="1:7" ht="16.2" x14ac:dyDescent="0.3">
      <c r="A106" s="567"/>
      <c r="B106" s="659"/>
      <c r="C106" s="688" t="s">
        <v>5123</v>
      </c>
      <c r="D106" s="657" t="s">
        <v>4260</v>
      </c>
      <c r="E106" s="657"/>
      <c r="F106" s="657"/>
      <c r="G106" s="658" t="s">
        <v>4258</v>
      </c>
    </row>
    <row r="107" spans="1:7" x14ac:dyDescent="0.3">
      <c r="A107" s="567"/>
      <c r="B107" s="659"/>
      <c r="C107" s="688" t="s">
        <v>4261</v>
      </c>
      <c r="D107" s="657" t="s">
        <v>4262</v>
      </c>
      <c r="E107" s="657"/>
      <c r="F107" s="657"/>
      <c r="G107" s="658" t="s">
        <v>4258</v>
      </c>
    </row>
    <row r="108" spans="1:7" ht="16.2" x14ac:dyDescent="0.3">
      <c r="A108" s="567"/>
      <c r="B108" s="659"/>
      <c r="C108" s="688" t="s">
        <v>5124</v>
      </c>
      <c r="D108" s="657" t="s">
        <v>4263</v>
      </c>
      <c r="E108" s="657"/>
      <c r="F108" s="657"/>
      <c r="G108" s="658" t="s">
        <v>4258</v>
      </c>
    </row>
    <row r="109" spans="1:7" x14ac:dyDescent="0.3">
      <c r="A109" s="574"/>
      <c r="B109" s="660"/>
      <c r="C109" s="688" t="s">
        <v>4264</v>
      </c>
      <c r="D109" s="657" t="s">
        <v>4265</v>
      </c>
      <c r="E109" s="657"/>
      <c r="F109" s="657"/>
      <c r="G109" s="658" t="s">
        <v>4258</v>
      </c>
    </row>
    <row r="110" spans="1:7" x14ac:dyDescent="0.3">
      <c r="A110" s="568" t="s">
        <v>4266</v>
      </c>
      <c r="B110" s="565" t="s">
        <v>1347</v>
      </c>
      <c r="C110" s="570" t="s">
        <v>4267</v>
      </c>
      <c r="D110" s="661" t="s">
        <v>4268</v>
      </c>
      <c r="E110" s="661"/>
      <c r="F110" s="661"/>
      <c r="G110" s="662" t="s">
        <v>4269</v>
      </c>
    </row>
    <row r="111" spans="1:7" x14ac:dyDescent="0.3">
      <c r="A111" s="575"/>
      <c r="B111" s="572" t="s">
        <v>1049</v>
      </c>
      <c r="C111" s="570" t="s">
        <v>4270</v>
      </c>
      <c r="D111" s="661" t="s">
        <v>4268</v>
      </c>
      <c r="E111" s="661"/>
      <c r="F111" s="661"/>
      <c r="G111" s="662" t="s">
        <v>4269</v>
      </c>
    </row>
    <row r="112" spans="1:7" x14ac:dyDescent="0.3">
      <c r="A112" s="573" t="s">
        <v>4271</v>
      </c>
      <c r="B112" s="670" t="s">
        <v>4272</v>
      </c>
      <c r="C112" s="689" t="s">
        <v>4273</v>
      </c>
      <c r="D112" s="692" t="s">
        <v>4274</v>
      </c>
      <c r="E112" s="655"/>
      <c r="F112" s="655"/>
      <c r="G112" s="690" t="s">
        <v>4275</v>
      </c>
    </row>
    <row r="113" spans="1:9" x14ac:dyDescent="0.3">
      <c r="A113" s="574"/>
      <c r="B113" s="686" t="s">
        <v>4276</v>
      </c>
      <c r="C113" s="693"/>
      <c r="D113" s="694"/>
      <c r="E113" s="660"/>
      <c r="F113" s="660"/>
      <c r="G113" s="695"/>
    </row>
    <row r="114" spans="1:9" x14ac:dyDescent="0.3">
      <c r="A114" s="575" t="s">
        <v>4277</v>
      </c>
      <c r="B114" s="572" t="s">
        <v>4278</v>
      </c>
      <c r="C114" s="687" t="s">
        <v>4273</v>
      </c>
      <c r="D114" s="696" t="s">
        <v>4279</v>
      </c>
      <c r="E114" s="665"/>
      <c r="F114" s="665"/>
      <c r="G114" s="664" t="s">
        <v>4280</v>
      </c>
    </row>
    <row r="115" spans="1:9" x14ac:dyDescent="0.3">
      <c r="A115" s="567" t="s">
        <v>5944</v>
      </c>
      <c r="B115" s="684" t="s">
        <v>5901</v>
      </c>
      <c r="C115" s="689" t="s">
        <v>5945</v>
      </c>
      <c r="D115" s="694" t="s">
        <v>5946</v>
      </c>
      <c r="E115" s="660"/>
      <c r="F115" s="660"/>
      <c r="G115" s="690" t="s">
        <v>5947</v>
      </c>
    </row>
    <row r="116" spans="1:9" x14ac:dyDescent="0.3">
      <c r="A116" s="567"/>
      <c r="B116" s="684"/>
      <c r="C116" s="689" t="s">
        <v>5948</v>
      </c>
      <c r="D116" s="694" t="s">
        <v>5949</v>
      </c>
      <c r="E116" s="660"/>
      <c r="F116" s="660"/>
      <c r="G116" s="690" t="s">
        <v>5947</v>
      </c>
    </row>
    <row r="117" spans="1:9" x14ac:dyDescent="0.3">
      <c r="A117" s="567"/>
      <c r="B117" s="684"/>
      <c r="C117" s="689" t="s">
        <v>5950</v>
      </c>
      <c r="D117" s="694" t="s">
        <v>5951</v>
      </c>
      <c r="E117" s="660"/>
      <c r="F117" s="660"/>
      <c r="G117" s="690" t="s">
        <v>5947</v>
      </c>
    </row>
    <row r="118" spans="1:9" x14ac:dyDescent="0.3">
      <c r="A118" s="568" t="s">
        <v>4281</v>
      </c>
      <c r="B118" s="565" t="s">
        <v>4282</v>
      </c>
      <c r="C118" s="673" t="s">
        <v>4283</v>
      </c>
      <c r="D118" s="674" t="s">
        <v>4284</v>
      </c>
      <c r="E118" s="661"/>
      <c r="F118" s="661"/>
      <c r="G118" s="664" t="s">
        <v>4285</v>
      </c>
      <c r="I118" s="494"/>
    </row>
    <row r="119" spans="1:9" x14ac:dyDescent="0.3">
      <c r="A119" s="569"/>
      <c r="B119" s="566"/>
      <c r="C119" s="687" t="s">
        <v>4286</v>
      </c>
      <c r="D119" s="696" t="s">
        <v>4287</v>
      </c>
      <c r="E119" s="665"/>
      <c r="F119" s="665"/>
      <c r="G119" s="664" t="s">
        <v>4285</v>
      </c>
    </row>
    <row r="120" spans="1:9" x14ac:dyDescent="0.3">
      <c r="A120" s="569"/>
      <c r="B120" s="566"/>
      <c r="C120" s="687" t="s">
        <v>4288</v>
      </c>
      <c r="D120" s="696" t="s">
        <v>4289</v>
      </c>
      <c r="E120" s="665"/>
      <c r="F120" s="665"/>
      <c r="G120" s="664" t="s">
        <v>4285</v>
      </c>
    </row>
    <row r="121" spans="1:9" x14ac:dyDescent="0.3">
      <c r="A121" s="575"/>
      <c r="B121" s="572"/>
      <c r="C121" s="687" t="s">
        <v>4290</v>
      </c>
      <c r="D121" s="696" t="s">
        <v>4291</v>
      </c>
      <c r="E121" s="665"/>
      <c r="F121" s="665"/>
      <c r="G121" s="664" t="s">
        <v>4285</v>
      </c>
    </row>
    <row r="122" spans="1:9" x14ac:dyDescent="0.3">
      <c r="A122" s="573" t="s">
        <v>714</v>
      </c>
      <c r="B122" s="670" t="s">
        <v>4292</v>
      </c>
      <c r="C122" s="689" t="s">
        <v>4273</v>
      </c>
      <c r="D122" s="692" t="s">
        <v>4293</v>
      </c>
      <c r="E122" s="655"/>
      <c r="F122" s="655"/>
      <c r="G122" s="690" t="s">
        <v>4294</v>
      </c>
    </row>
    <row r="123" spans="1:9" x14ac:dyDescent="0.3">
      <c r="A123" s="574"/>
      <c r="B123" s="686" t="s">
        <v>1225</v>
      </c>
      <c r="C123" s="693"/>
      <c r="D123" s="694"/>
      <c r="E123" s="660"/>
      <c r="F123" s="660"/>
      <c r="G123" s="678"/>
    </row>
    <row r="124" spans="1:9" x14ac:dyDescent="0.3">
      <c r="A124" s="568" t="s">
        <v>4295</v>
      </c>
      <c r="B124" s="565" t="s">
        <v>1348</v>
      </c>
      <c r="C124" s="673" t="s">
        <v>4296</v>
      </c>
      <c r="D124" s="661" t="s">
        <v>5728</v>
      </c>
      <c r="E124" s="661"/>
      <c r="F124" s="661"/>
      <c r="G124" s="662" t="s">
        <v>4297</v>
      </c>
    </row>
    <row r="125" spans="1:9" x14ac:dyDescent="0.3">
      <c r="A125" s="569"/>
      <c r="B125" s="220" t="s">
        <v>1345</v>
      </c>
      <c r="C125" s="673" t="s">
        <v>4298</v>
      </c>
      <c r="D125" s="661" t="s">
        <v>5729</v>
      </c>
      <c r="E125" s="661"/>
      <c r="F125" s="661"/>
      <c r="G125" s="662" t="s">
        <v>4297</v>
      </c>
    </row>
    <row r="126" spans="1:9" x14ac:dyDescent="0.3">
      <c r="A126" s="569"/>
      <c r="B126" s="220"/>
      <c r="C126" s="673" t="s">
        <v>4299</v>
      </c>
      <c r="D126" s="661" t="s">
        <v>5730</v>
      </c>
      <c r="E126" s="661"/>
      <c r="F126" s="661"/>
      <c r="G126" s="662" t="s">
        <v>4297</v>
      </c>
    </row>
    <row r="127" spans="1:9" x14ac:dyDescent="0.3">
      <c r="A127" s="569"/>
      <c r="B127" s="220"/>
      <c r="C127" s="673" t="s">
        <v>4300</v>
      </c>
      <c r="D127" s="661" t="s">
        <v>5731</v>
      </c>
      <c r="E127" s="661"/>
      <c r="F127" s="661"/>
      <c r="G127" s="662" t="s">
        <v>4297</v>
      </c>
    </row>
    <row r="128" spans="1:9" x14ac:dyDescent="0.3">
      <c r="A128" s="569"/>
      <c r="B128" s="220"/>
      <c r="C128" s="673" t="s">
        <v>4301</v>
      </c>
      <c r="D128" s="661" t="s">
        <v>5732</v>
      </c>
      <c r="E128" s="661"/>
      <c r="F128" s="661"/>
      <c r="G128" s="662" t="s">
        <v>4297</v>
      </c>
    </row>
    <row r="129" spans="1:9" x14ac:dyDescent="0.3">
      <c r="A129" s="575"/>
      <c r="B129" s="665"/>
      <c r="C129" s="673" t="s">
        <v>4302</v>
      </c>
      <c r="D129" s="661" t="s">
        <v>5733</v>
      </c>
      <c r="E129" s="661"/>
      <c r="F129" s="661"/>
      <c r="G129" s="662" t="s">
        <v>4297</v>
      </c>
    </row>
    <row r="130" spans="1:9" x14ac:dyDescent="0.3">
      <c r="A130" s="573" t="s">
        <v>4303</v>
      </c>
      <c r="B130" s="670" t="s">
        <v>1337</v>
      </c>
      <c r="C130" s="689" t="s">
        <v>4273</v>
      </c>
      <c r="D130" s="692" t="s">
        <v>4304</v>
      </c>
      <c r="E130" s="655"/>
      <c r="F130" s="655"/>
      <c r="G130" s="690" t="s">
        <v>4305</v>
      </c>
    </row>
    <row r="131" spans="1:9" x14ac:dyDescent="0.3">
      <c r="A131" s="574"/>
      <c r="B131" s="686" t="s">
        <v>1344</v>
      </c>
      <c r="C131" s="693"/>
      <c r="D131" s="694"/>
      <c r="E131" s="660"/>
      <c r="F131" s="660"/>
      <c r="G131" s="678"/>
    </row>
    <row r="132" spans="1:9" x14ac:dyDescent="0.3">
      <c r="A132" s="575" t="s">
        <v>4306</v>
      </c>
      <c r="B132" s="572" t="s">
        <v>366</v>
      </c>
      <c r="C132" s="687" t="s">
        <v>4273</v>
      </c>
      <c r="D132" s="696" t="s">
        <v>4307</v>
      </c>
      <c r="E132" s="665"/>
      <c r="F132" s="665"/>
      <c r="G132" s="664" t="s">
        <v>4308</v>
      </c>
    </row>
    <row r="133" spans="1:9" x14ac:dyDescent="0.3">
      <c r="A133" s="573" t="s">
        <v>4309</v>
      </c>
      <c r="B133" s="745" t="s">
        <v>366</v>
      </c>
      <c r="C133" s="689" t="s">
        <v>4273</v>
      </c>
      <c r="D133" s="697" t="s">
        <v>5952</v>
      </c>
      <c r="E133" s="697"/>
      <c r="F133" s="657"/>
      <c r="G133" s="703" t="s">
        <v>5734</v>
      </c>
      <c r="I133" s="494"/>
    </row>
    <row r="134" spans="1:9" x14ac:dyDescent="0.3">
      <c r="A134" s="567"/>
      <c r="B134" s="746"/>
      <c r="C134" s="693"/>
      <c r="D134" s="697" t="s">
        <v>5735</v>
      </c>
      <c r="E134" s="697" t="s">
        <v>5736</v>
      </c>
      <c r="F134" s="657" t="s">
        <v>1333</v>
      </c>
      <c r="G134" s="703" t="s">
        <v>5737</v>
      </c>
    </row>
    <row r="135" spans="1:9" x14ac:dyDescent="0.3">
      <c r="A135" s="574"/>
      <c r="B135" s="747" t="s">
        <v>4859</v>
      </c>
      <c r="C135" s="688" t="s">
        <v>4273</v>
      </c>
      <c r="D135" s="697" t="s">
        <v>5953</v>
      </c>
      <c r="E135" s="697"/>
      <c r="F135" s="657"/>
      <c r="G135" s="703" t="s">
        <v>5734</v>
      </c>
      <c r="I135" s="494"/>
    </row>
    <row r="136" spans="1:9" ht="28.8" x14ac:dyDescent="0.3">
      <c r="A136" s="575" t="s">
        <v>3034</v>
      </c>
      <c r="B136" s="572" t="s">
        <v>3320</v>
      </c>
      <c r="C136" s="673" t="s">
        <v>4273</v>
      </c>
      <c r="D136" s="696" t="s">
        <v>3486</v>
      </c>
      <c r="E136" s="665" t="s">
        <v>5057</v>
      </c>
      <c r="F136" s="665" t="s">
        <v>1333</v>
      </c>
      <c r="G136" s="662" t="s">
        <v>5058</v>
      </c>
    </row>
    <row r="137" spans="1:9" ht="43.2" x14ac:dyDescent="0.3">
      <c r="A137" s="574" t="s">
        <v>3228</v>
      </c>
      <c r="B137" s="701" t="s">
        <v>5059</v>
      </c>
      <c r="C137" s="688" t="s">
        <v>4273</v>
      </c>
      <c r="D137" s="702" t="s">
        <v>5738</v>
      </c>
      <c r="E137" s="702"/>
      <c r="F137" s="657"/>
      <c r="G137" s="703" t="s">
        <v>5060</v>
      </c>
      <c r="I137" s="494"/>
    </row>
    <row r="138" spans="1:9" ht="43.2" x14ac:dyDescent="0.3">
      <c r="A138" s="748" t="s">
        <v>5061</v>
      </c>
      <c r="B138" s="749" t="s">
        <v>5059</v>
      </c>
      <c r="C138" s="750" t="s">
        <v>4273</v>
      </c>
      <c r="D138" s="751" t="s">
        <v>5738</v>
      </c>
      <c r="E138" s="751"/>
      <c r="F138" s="752"/>
      <c r="G138" s="753" t="s">
        <v>5060</v>
      </c>
      <c r="I138" s="494"/>
    </row>
    <row r="139" spans="1:9" ht="129.6" x14ac:dyDescent="0.3">
      <c r="A139" s="685" t="s">
        <v>5062</v>
      </c>
      <c r="B139" s="701" t="s">
        <v>5059</v>
      </c>
      <c r="C139" s="688" t="s">
        <v>4273</v>
      </c>
      <c r="D139" s="702" t="s">
        <v>5739</v>
      </c>
      <c r="E139" s="702"/>
      <c r="F139" s="657"/>
      <c r="G139" s="703" t="s">
        <v>5060</v>
      </c>
      <c r="I139" s="494"/>
    </row>
    <row r="140" spans="1:9" ht="100.8" x14ac:dyDescent="0.3">
      <c r="A140" s="575" t="s">
        <v>5063</v>
      </c>
      <c r="B140" s="699" t="s">
        <v>5059</v>
      </c>
      <c r="C140" s="673" t="s">
        <v>4273</v>
      </c>
      <c r="D140" s="700" t="s">
        <v>5740</v>
      </c>
      <c r="E140" s="700"/>
      <c r="F140" s="661"/>
      <c r="G140" s="698" t="s">
        <v>5060</v>
      </c>
      <c r="I140" s="494"/>
    </row>
    <row r="141" spans="1:9" ht="28.8" x14ac:dyDescent="0.3">
      <c r="A141" s="574" t="s">
        <v>5064</v>
      </c>
      <c r="B141" s="701" t="s">
        <v>5059</v>
      </c>
      <c r="C141" s="688" t="s">
        <v>4273</v>
      </c>
      <c r="D141" s="697" t="s">
        <v>3486</v>
      </c>
      <c r="E141" s="657" t="s">
        <v>5065</v>
      </c>
      <c r="F141" s="657" t="s">
        <v>1333</v>
      </c>
      <c r="G141" s="658" t="s">
        <v>5066</v>
      </c>
    </row>
    <row r="142" spans="1:9" ht="43.2" x14ac:dyDescent="0.3">
      <c r="A142" s="575" t="s">
        <v>5067</v>
      </c>
      <c r="B142" s="754" t="s">
        <v>5059</v>
      </c>
      <c r="C142" s="673" t="s">
        <v>4273</v>
      </c>
      <c r="D142" s="674" t="s">
        <v>3486</v>
      </c>
      <c r="E142" s="665" t="s">
        <v>5068</v>
      </c>
      <c r="F142" s="665" t="s">
        <v>1333</v>
      </c>
      <c r="G142" s="662" t="s">
        <v>5069</v>
      </c>
    </row>
    <row r="143" spans="1:9" ht="28.8" x14ac:dyDescent="0.3">
      <c r="A143" s="656" t="s">
        <v>5070</v>
      </c>
      <c r="B143" s="707" t="s">
        <v>5059</v>
      </c>
      <c r="C143" s="688" t="s">
        <v>4273</v>
      </c>
      <c r="D143" s="697" t="s">
        <v>3486</v>
      </c>
      <c r="E143" s="660" t="s">
        <v>5071</v>
      </c>
      <c r="F143" s="660" t="s">
        <v>1333</v>
      </c>
      <c r="G143" s="658" t="s">
        <v>5072</v>
      </c>
    </row>
    <row r="144" spans="1:9" ht="16.2" x14ac:dyDescent="0.3">
      <c r="A144" s="575" t="s">
        <v>5073</v>
      </c>
      <c r="B144" s="754" t="s">
        <v>5059</v>
      </c>
      <c r="C144" s="673" t="s">
        <v>5074</v>
      </c>
      <c r="D144" s="696" t="s">
        <v>3486</v>
      </c>
      <c r="E144" s="665" t="s">
        <v>5125</v>
      </c>
      <c r="F144" s="665" t="s">
        <v>5075</v>
      </c>
      <c r="G144" s="662" t="s">
        <v>5076</v>
      </c>
    </row>
    <row r="145" spans="1:9" ht="45" customHeight="1" x14ac:dyDescent="0.3">
      <c r="A145" s="669" t="s">
        <v>5126</v>
      </c>
      <c r="B145" s="658" t="s">
        <v>5077</v>
      </c>
      <c r="C145" s="688" t="s">
        <v>5078</v>
      </c>
      <c r="D145" s="697" t="s">
        <v>5079</v>
      </c>
      <c r="E145" s="706" t="s">
        <v>5080</v>
      </c>
      <c r="F145" s="657" t="s">
        <v>1333</v>
      </c>
      <c r="G145" s="890" t="s">
        <v>5081</v>
      </c>
    </row>
    <row r="146" spans="1:9" ht="43.2" x14ac:dyDescent="0.3">
      <c r="A146" s="567"/>
      <c r="B146" s="658" t="s">
        <v>5082</v>
      </c>
      <c r="C146" s="688" t="s">
        <v>5083</v>
      </c>
      <c r="D146" s="697" t="s">
        <v>5084</v>
      </c>
      <c r="E146" s="706" t="s">
        <v>5085</v>
      </c>
      <c r="F146" s="657" t="s">
        <v>1333</v>
      </c>
      <c r="G146" s="891"/>
    </row>
    <row r="147" spans="1:9" ht="57.6" x14ac:dyDescent="0.3">
      <c r="A147" s="567"/>
      <c r="B147" s="707" t="s">
        <v>5059</v>
      </c>
      <c r="C147" s="688" t="s">
        <v>5086</v>
      </c>
      <c r="D147" s="697" t="s">
        <v>3486</v>
      </c>
      <c r="E147" s="706" t="s">
        <v>5087</v>
      </c>
      <c r="F147" s="657" t="s">
        <v>1333</v>
      </c>
      <c r="G147" s="891"/>
    </row>
    <row r="148" spans="1:9" ht="57.6" x14ac:dyDescent="0.3">
      <c r="A148" s="567"/>
      <c r="B148" s="707" t="s">
        <v>5059</v>
      </c>
      <c r="C148" s="688" t="s">
        <v>5088</v>
      </c>
      <c r="D148" s="697" t="s">
        <v>3486</v>
      </c>
      <c r="E148" s="706" t="s">
        <v>5089</v>
      </c>
      <c r="F148" s="657" t="s">
        <v>1333</v>
      </c>
      <c r="G148" s="891"/>
    </row>
    <row r="149" spans="1:9" ht="28.8" x14ac:dyDescent="0.3">
      <c r="A149" s="574"/>
      <c r="B149" s="707" t="s">
        <v>5059</v>
      </c>
      <c r="C149" s="688" t="s">
        <v>5090</v>
      </c>
      <c r="D149" s="697" t="s">
        <v>3486</v>
      </c>
      <c r="E149" s="706" t="s">
        <v>5091</v>
      </c>
      <c r="F149" s="657" t="s">
        <v>1333</v>
      </c>
      <c r="G149" s="892"/>
    </row>
    <row r="150" spans="1:9" ht="45" customHeight="1" x14ac:dyDescent="0.3">
      <c r="A150" s="679" t="s">
        <v>5127</v>
      </c>
      <c r="B150" s="755" t="s">
        <v>5092</v>
      </c>
      <c r="C150" s="673" t="s">
        <v>5083</v>
      </c>
      <c r="D150" s="756" t="s">
        <v>5093</v>
      </c>
      <c r="E150" s="705" t="s">
        <v>5094</v>
      </c>
      <c r="F150" s="665" t="s">
        <v>1333</v>
      </c>
      <c r="G150" s="893" t="s">
        <v>5081</v>
      </c>
    </row>
    <row r="151" spans="1:9" ht="43.2" x14ac:dyDescent="0.3">
      <c r="A151" s="220"/>
      <c r="B151" s="755" t="s">
        <v>5095</v>
      </c>
      <c r="C151" s="673" t="s">
        <v>5078</v>
      </c>
      <c r="D151" s="756" t="s">
        <v>5096</v>
      </c>
      <c r="E151" s="705" t="s">
        <v>5097</v>
      </c>
      <c r="F151" s="665" t="s">
        <v>1333</v>
      </c>
      <c r="G151" s="894"/>
    </row>
    <row r="152" spans="1:9" ht="28.8" x14ac:dyDescent="0.3">
      <c r="A152" s="220"/>
      <c r="B152" s="704" t="s">
        <v>5059</v>
      </c>
      <c r="C152" s="673" t="s">
        <v>5088</v>
      </c>
      <c r="D152" s="756" t="s">
        <v>3486</v>
      </c>
      <c r="E152" s="705" t="s">
        <v>5098</v>
      </c>
      <c r="F152" s="665" t="s">
        <v>1333</v>
      </c>
      <c r="G152" s="894"/>
    </row>
    <row r="153" spans="1:9" ht="28.8" x14ac:dyDescent="0.3">
      <c r="A153" s="220"/>
      <c r="B153" s="704" t="s">
        <v>5059</v>
      </c>
      <c r="C153" s="673" t="s">
        <v>5090</v>
      </c>
      <c r="D153" s="756" t="s">
        <v>3486</v>
      </c>
      <c r="E153" s="705" t="s">
        <v>5099</v>
      </c>
      <c r="F153" s="665" t="s">
        <v>1333</v>
      </c>
      <c r="G153" s="894"/>
    </row>
    <row r="154" spans="1:9" ht="43.2" x14ac:dyDescent="0.3">
      <c r="A154" s="665"/>
      <c r="B154" s="704" t="s">
        <v>5059</v>
      </c>
      <c r="C154" s="673" t="s">
        <v>5100</v>
      </c>
      <c r="D154" s="756" t="s">
        <v>3486</v>
      </c>
      <c r="E154" s="705" t="s">
        <v>5101</v>
      </c>
      <c r="F154" s="665" t="s">
        <v>1333</v>
      </c>
      <c r="G154" s="895"/>
    </row>
    <row r="155" spans="1:9" x14ac:dyDescent="0.3">
      <c r="A155" s="494"/>
      <c r="B155" s="94"/>
      <c r="C155" s="494"/>
      <c r="D155" s="494"/>
      <c r="E155" s="494"/>
      <c r="F155" s="494"/>
      <c r="G155" s="494"/>
    </row>
    <row r="156" spans="1:9" ht="30.75" customHeight="1" x14ac:dyDescent="0.3">
      <c r="A156" s="889" t="s">
        <v>5954</v>
      </c>
      <c r="B156" s="889"/>
      <c r="C156" s="889"/>
      <c r="D156" s="889"/>
      <c r="E156" s="889"/>
      <c r="F156" s="889"/>
      <c r="G156" s="889"/>
      <c r="I156" s="494"/>
    </row>
  </sheetData>
  <sheetProtection algorithmName="SHA-512" hashValue="16LxaxnuB8e2IzV0QkSo9/49EvjP7AzPjssUTq7EKrxsdptwPnC1FxJOIt1iAmU7P9k+S729JeR11V2qVgnI6A==" saltValue="ipScM/Ar9wPTGTDM5CtOtg==" spinCount="100000" sheet="1" objects="1" scenarios="1"/>
  <mergeCells count="3">
    <mergeCell ref="A156:G156"/>
    <mergeCell ref="G145:G149"/>
    <mergeCell ref="G150:G154"/>
  </mergeCells>
  <hyperlinks>
    <hyperlink ref="A2" location="TOC!A1" display="Return to TOC" xr:uid="{76D75B2A-B622-427A-9A0A-6A8386C8B5BE}"/>
  </hyperlinks>
  <pageMargins left="0.7" right="0.7" top="0.75" bottom="0.75" header="0.3" footer="0.3"/>
  <pageSetup fitToHeight="0" orientation="landscape"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A42F9-7B41-434C-BF4A-800195271673}">
  <sheetPr codeName="Sheet54">
    <tabColor theme="7" tint="0.79998168889431442"/>
    <pageSetUpPr autoPageBreaks="0"/>
  </sheetPr>
  <dimension ref="A1:AM76"/>
  <sheetViews>
    <sheetView topLeftCell="A58" workbookViewId="0">
      <selection activeCell="G66" sqref="G66:O66"/>
    </sheetView>
  </sheetViews>
  <sheetFormatPr defaultColWidth="2.6640625" defaultRowHeight="14.4" x14ac:dyDescent="0.3"/>
  <cols>
    <col min="1" max="32" width="2.6640625" style="94"/>
  </cols>
  <sheetData>
    <row r="1" spans="1:32" s="1" customFormat="1" ht="15" customHeight="1" x14ac:dyDescent="0.3">
      <c r="A1" s="1131" t="s">
        <v>2763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 customFormat="1" ht="14.4" customHeight="1" x14ac:dyDescent="0.3">
      <c r="A2" s="228"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1291" t="s">
        <v>5787</v>
      </c>
      <c r="C5" s="1291"/>
      <c r="D5" s="1291"/>
      <c r="E5" s="1291"/>
      <c r="F5" s="1291"/>
      <c r="G5" s="1291"/>
      <c r="H5" s="1291"/>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row>
    <row r="6" spans="1:32" s="1" customFormat="1" ht="15" customHeight="1"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s="1" customFormat="1" ht="15" customHeight="1"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s="1" customFormat="1" ht="15" customHeight="1"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s="1" customFormat="1" ht="15" customHeight="1"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s="4" customFormat="1" ht="187.5" customHeight="1" x14ac:dyDescent="0.3">
      <c r="A10" s="122"/>
      <c r="B10" s="889" t="s">
        <v>4543</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s="1" customFormat="1" ht="15" customHeight="1"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s="1" customFormat="1" ht="15" customHeight="1"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s="1" customFormat="1" x14ac:dyDescent="0.3">
      <c r="A13" s="121"/>
      <c r="B13" s="889" t="s">
        <v>4544</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s="1" customFormat="1" ht="15" customHeight="1"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s="1" customFormat="1" ht="15" customHeight="1"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s="1" customFormat="1" ht="15" customHeight="1" x14ac:dyDescent="0.3">
      <c r="A16" s="121"/>
      <c r="B16" s="1258" t="s">
        <v>2764</v>
      </c>
      <c r="C16" s="1258"/>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row>
    <row r="17" spans="1:39" s="1" customFormat="1" ht="15" customHeight="1"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9" s="1" customFormat="1" ht="15" customHeight="1"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9" s="4" customFormat="1" ht="63" customHeight="1" x14ac:dyDescent="0.3">
      <c r="A19" s="122"/>
      <c r="B19" s="889" t="s">
        <v>5788</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c r="AM19" s="1"/>
    </row>
    <row r="20" spans="1:39" s="1" customFormat="1" ht="15" customHeight="1" x14ac:dyDescent="0.3">
      <c r="A20" s="122"/>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9" s="1" customFormat="1" ht="15.75" customHeight="1" x14ac:dyDescent="0.3">
      <c r="A21" s="122"/>
      <c r="B21" s="187" t="s">
        <v>2919</v>
      </c>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9" s="1" customFormat="1" ht="15" customHeight="1" x14ac:dyDescent="0.3">
      <c r="A22" s="122"/>
      <c r="B22" s="1491" t="s">
        <v>2730</v>
      </c>
      <c r="C22" s="1390"/>
      <c r="D22" s="1390"/>
      <c r="E22" s="1390"/>
      <c r="F22" s="1390"/>
      <c r="G22" s="1390"/>
      <c r="H22" s="2535"/>
      <c r="I22" s="1106" t="s">
        <v>121</v>
      </c>
      <c r="J22" s="1107"/>
      <c r="K22" s="1107"/>
      <c r="L22" s="1107"/>
      <c r="M22" s="1107"/>
      <c r="N22" s="1107"/>
      <c r="O22" s="1107"/>
      <c r="P22" s="1107"/>
      <c r="Q22" s="1107"/>
      <c r="R22" s="1107"/>
      <c r="S22" s="1107"/>
      <c r="T22" s="1107"/>
      <c r="U22" s="1107"/>
      <c r="V22" s="1107"/>
      <c r="W22" s="1107"/>
      <c r="X22" s="1107"/>
      <c r="Y22" s="1107"/>
      <c r="Z22" s="1107"/>
      <c r="AA22" s="1107"/>
      <c r="AB22" s="1107"/>
      <c r="AC22" s="1107"/>
      <c r="AD22" s="1107"/>
      <c r="AE22" s="1107"/>
      <c r="AF22" s="1108"/>
    </row>
    <row r="23" spans="1:39" s="1" customFormat="1" ht="31.5" customHeight="1" x14ac:dyDescent="0.3">
      <c r="A23" s="122"/>
      <c r="B23" s="2536"/>
      <c r="C23" s="2537"/>
      <c r="D23" s="2537"/>
      <c r="E23" s="2537"/>
      <c r="F23" s="2537"/>
      <c r="G23" s="2537"/>
      <c r="H23" s="2538"/>
      <c r="I23" s="1106" t="s">
        <v>5789</v>
      </c>
      <c r="J23" s="1107"/>
      <c r="K23" s="1107"/>
      <c r="L23" s="1107"/>
      <c r="M23" s="1107"/>
      <c r="N23" s="1108"/>
      <c r="O23" s="1106" t="s">
        <v>5790</v>
      </c>
      <c r="P23" s="1107"/>
      <c r="Q23" s="1107"/>
      <c r="R23" s="1107"/>
      <c r="S23" s="1107"/>
      <c r="T23" s="1108"/>
      <c r="U23" s="1106" t="s">
        <v>5791</v>
      </c>
      <c r="V23" s="1107"/>
      <c r="W23" s="1107"/>
      <c r="X23" s="1107"/>
      <c r="Y23" s="1107"/>
      <c r="Z23" s="1108"/>
      <c r="AA23" s="1106" t="s">
        <v>5792</v>
      </c>
      <c r="AB23" s="1107"/>
      <c r="AC23" s="1107"/>
      <c r="AD23" s="1107"/>
      <c r="AE23" s="1107"/>
      <c r="AF23" s="1108"/>
    </row>
    <row r="24" spans="1:39" s="1" customFormat="1" ht="30" customHeight="1" x14ac:dyDescent="0.3">
      <c r="A24" s="122"/>
      <c r="B24" s="1677" t="s">
        <v>2768</v>
      </c>
      <c r="C24" s="1339"/>
      <c r="D24" s="1339"/>
      <c r="E24" s="1339"/>
      <c r="F24" s="1339"/>
      <c r="G24" s="1339"/>
      <c r="H24" s="1340"/>
      <c r="I24" s="2842">
        <v>10.9</v>
      </c>
      <c r="J24" s="2843"/>
      <c r="K24" s="2843"/>
      <c r="L24" s="2843" t="s">
        <v>3943</v>
      </c>
      <c r="M24" s="2843"/>
      <c r="N24" s="2844"/>
      <c r="O24" s="2842">
        <f>ROUND(I24*1.01,1)</f>
        <v>11</v>
      </c>
      <c r="P24" s="2843"/>
      <c r="Q24" s="2843"/>
      <c r="R24" s="2843" t="s">
        <v>285</v>
      </c>
      <c r="S24" s="2843"/>
      <c r="T24" s="2844"/>
      <c r="U24" s="2850" t="s">
        <v>3486</v>
      </c>
      <c r="V24" s="2851"/>
      <c r="W24" s="2851"/>
      <c r="X24" s="2843"/>
      <c r="Y24" s="2843"/>
      <c r="Z24" s="2844"/>
      <c r="AA24" s="2850" t="s">
        <v>3486</v>
      </c>
      <c r="AB24" s="2851"/>
      <c r="AC24" s="2851"/>
      <c r="AD24" s="2843"/>
      <c r="AE24" s="2843"/>
      <c r="AF24" s="2844"/>
    </row>
    <row r="25" spans="1:39" s="1" customFormat="1" ht="30" customHeight="1" x14ac:dyDescent="0.3">
      <c r="A25" s="122"/>
      <c r="B25" s="1677" t="s">
        <v>2769</v>
      </c>
      <c r="C25" s="1339"/>
      <c r="D25" s="1339"/>
      <c r="E25" s="1339"/>
      <c r="F25" s="1339"/>
      <c r="G25" s="1339"/>
      <c r="H25" s="1340"/>
      <c r="I25" s="2842">
        <v>10.7</v>
      </c>
      <c r="J25" s="2843"/>
      <c r="K25" s="2843"/>
      <c r="L25" s="2843" t="s">
        <v>3943</v>
      </c>
      <c r="M25" s="2843"/>
      <c r="N25" s="2844"/>
      <c r="O25" s="2842">
        <f>ROUND(I25*1.01,1)</f>
        <v>10.8</v>
      </c>
      <c r="P25" s="2843"/>
      <c r="Q25" s="2843"/>
      <c r="R25" s="2843" t="s">
        <v>285</v>
      </c>
      <c r="S25" s="2843"/>
      <c r="T25" s="2844"/>
      <c r="U25" s="2850" t="s">
        <v>3486</v>
      </c>
      <c r="V25" s="2851"/>
      <c r="W25" s="2851"/>
      <c r="X25" s="2843"/>
      <c r="Y25" s="2843"/>
      <c r="Z25" s="2844"/>
      <c r="AA25" s="2850" t="s">
        <v>3486</v>
      </c>
      <c r="AB25" s="2851"/>
      <c r="AC25" s="2851"/>
      <c r="AD25" s="2843"/>
      <c r="AE25" s="2843"/>
      <c r="AF25" s="2844"/>
    </row>
    <row r="26" spans="1:39" s="1" customFormat="1" ht="30" customHeight="1" x14ac:dyDescent="0.3">
      <c r="A26" s="122"/>
      <c r="B26" s="1677" t="s">
        <v>5802</v>
      </c>
      <c r="C26" s="1339"/>
      <c r="D26" s="1339"/>
      <c r="E26" s="1339"/>
      <c r="F26" s="1339"/>
      <c r="G26" s="1339"/>
      <c r="H26" s="1340"/>
      <c r="I26" s="2842">
        <v>9.4</v>
      </c>
      <c r="J26" s="2843"/>
      <c r="K26" s="2843"/>
      <c r="L26" s="2843" t="s">
        <v>3943</v>
      </c>
      <c r="M26" s="2843"/>
      <c r="N26" s="2844"/>
      <c r="O26" s="2842">
        <f>ROUND(I26*1.01,1)</f>
        <v>9.5</v>
      </c>
      <c r="P26" s="2843"/>
      <c r="Q26" s="2843"/>
      <c r="R26" s="2843" t="s">
        <v>285</v>
      </c>
      <c r="S26" s="2843"/>
      <c r="T26" s="2844"/>
      <c r="U26" s="2850" t="s">
        <v>3486</v>
      </c>
      <c r="V26" s="2851"/>
      <c r="W26" s="2851"/>
      <c r="X26" s="2843"/>
      <c r="Y26" s="2843"/>
      <c r="Z26" s="2844"/>
      <c r="AA26" s="2850" t="s">
        <v>3486</v>
      </c>
      <c r="AB26" s="2851"/>
      <c r="AC26" s="2851"/>
      <c r="AD26" s="2843"/>
      <c r="AE26" s="2843"/>
      <c r="AF26" s="2844"/>
    </row>
    <row r="27" spans="1:39" s="1" customFormat="1" ht="30" customHeight="1" x14ac:dyDescent="0.3">
      <c r="A27" s="122"/>
      <c r="B27" s="1677" t="s">
        <v>5803</v>
      </c>
      <c r="C27" s="1339"/>
      <c r="D27" s="1339"/>
      <c r="E27" s="1339"/>
      <c r="F27" s="1339"/>
      <c r="G27" s="1339"/>
      <c r="H27" s="1340"/>
      <c r="I27" s="2842">
        <v>14.3</v>
      </c>
      <c r="J27" s="2843"/>
      <c r="K27" s="2843"/>
      <c r="L27" s="2843" t="s">
        <v>5793</v>
      </c>
      <c r="M27" s="2843"/>
      <c r="N27" s="2844"/>
      <c r="O27" s="2842">
        <v>11.7</v>
      </c>
      <c r="P27" s="2843"/>
      <c r="Q27" s="2843"/>
      <c r="R27" s="2843" t="s">
        <v>5794</v>
      </c>
      <c r="S27" s="2843"/>
      <c r="T27" s="2844"/>
      <c r="U27" s="2842">
        <f>ROUND(I27*1.049,1)</f>
        <v>15</v>
      </c>
      <c r="V27" s="2843"/>
      <c r="W27" s="2843"/>
      <c r="X27" s="2843" t="s">
        <v>798</v>
      </c>
      <c r="Y27" s="2843"/>
      <c r="Z27" s="2844"/>
      <c r="AA27" s="2842">
        <f>ROUND(O27*1.043,1)</f>
        <v>12.2</v>
      </c>
      <c r="AB27" s="2843"/>
      <c r="AC27" s="2843"/>
      <c r="AD27" s="2843" t="s">
        <v>285</v>
      </c>
      <c r="AE27" s="2843"/>
      <c r="AF27" s="2844"/>
    </row>
    <row r="28" spans="1:39" ht="30" customHeight="1" x14ac:dyDescent="0.3">
      <c r="B28" s="1677" t="s">
        <v>5804</v>
      </c>
      <c r="C28" s="1339"/>
      <c r="D28" s="1339"/>
      <c r="E28" s="1339"/>
      <c r="F28" s="1339"/>
      <c r="G28" s="1339"/>
      <c r="H28" s="1340"/>
      <c r="I28" s="2842">
        <v>13.8</v>
      </c>
      <c r="J28" s="2843"/>
      <c r="K28" s="2843"/>
      <c r="L28" s="2843" t="s">
        <v>5793</v>
      </c>
      <c r="M28" s="2843"/>
      <c r="N28" s="2844"/>
      <c r="O28" s="2842">
        <v>11.2</v>
      </c>
      <c r="P28" s="2843"/>
      <c r="Q28" s="2843"/>
      <c r="R28" s="2843" t="s">
        <v>5794</v>
      </c>
      <c r="S28" s="2843"/>
      <c r="T28" s="2844"/>
      <c r="U28" s="2842">
        <f>ROUND(I28*1.034,1)</f>
        <v>14.3</v>
      </c>
      <c r="V28" s="2843"/>
      <c r="W28" s="2843"/>
      <c r="X28" s="2843" t="s">
        <v>798</v>
      </c>
      <c r="Y28" s="2843"/>
      <c r="Z28" s="2844"/>
      <c r="AA28" s="2842">
        <f>ROUND(O28*1.034,1)</f>
        <v>11.6</v>
      </c>
      <c r="AB28" s="2843"/>
      <c r="AC28" s="2843"/>
      <c r="AD28" s="2843" t="s">
        <v>285</v>
      </c>
      <c r="AE28" s="2843"/>
      <c r="AF28" s="2844"/>
    </row>
    <row r="29" spans="1:39" ht="121.5" customHeight="1" x14ac:dyDescent="0.3">
      <c r="B29" s="2845" t="s">
        <v>5795</v>
      </c>
      <c r="C29" s="2845"/>
      <c r="D29" s="2845"/>
      <c r="E29" s="2845"/>
      <c r="F29" s="2845"/>
      <c r="G29" s="2845"/>
      <c r="H29" s="2845"/>
      <c r="I29" s="2845"/>
      <c r="J29" s="2845"/>
      <c r="K29" s="2845"/>
      <c r="L29" s="2845"/>
      <c r="M29" s="2845"/>
      <c r="N29" s="2845"/>
      <c r="O29" s="2845"/>
      <c r="P29" s="2845"/>
      <c r="Q29" s="2845"/>
      <c r="R29" s="2845"/>
      <c r="S29" s="2845"/>
      <c r="T29" s="2845"/>
      <c r="U29" s="2845"/>
      <c r="V29" s="2845"/>
      <c r="W29" s="2845"/>
      <c r="X29" s="2845"/>
      <c r="Y29" s="2845"/>
      <c r="Z29" s="2845"/>
      <c r="AA29" s="2845"/>
      <c r="AB29" s="2845"/>
      <c r="AC29" s="2845"/>
      <c r="AD29" s="2845"/>
      <c r="AE29" s="2845"/>
      <c r="AF29" s="2845"/>
    </row>
    <row r="30" spans="1:39" s="1" customFormat="1" ht="15" customHeight="1"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9" s="1" customFormat="1" ht="15" customHeight="1" x14ac:dyDescent="0.3">
      <c r="A31" s="121"/>
      <c r="B31" s="267" t="s">
        <v>13</v>
      </c>
      <c r="C31" s="267"/>
      <c r="D31" s="267"/>
      <c r="E31" s="267"/>
      <c r="F31" s="267"/>
      <c r="G31" s="267"/>
      <c r="H31" s="267"/>
      <c r="I31" s="267"/>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9" s="1" customFormat="1" ht="36.75" customHeight="1" x14ac:dyDescent="0.3">
      <c r="A32" s="121"/>
      <c r="B32" s="889" t="s">
        <v>4545</v>
      </c>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row>
    <row r="33" spans="1:32" s="1" customFormat="1" ht="15" customHeight="1" x14ac:dyDescent="0.3">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s="1" customFormat="1" ht="15" customHeight="1" x14ac:dyDescent="0.3">
      <c r="A34" s="1290" t="s">
        <v>7</v>
      </c>
      <c r="B34" s="1290"/>
      <c r="C34" s="1290"/>
      <c r="D34" s="1290"/>
      <c r="E34" s="1290"/>
      <c r="F34" s="1290"/>
      <c r="G34" s="1290"/>
      <c r="H34" s="1290"/>
      <c r="I34" s="1290"/>
      <c r="J34" s="1290"/>
      <c r="K34" s="1290"/>
      <c r="L34" s="1290"/>
      <c r="M34" s="1290"/>
      <c r="N34" s="1290"/>
      <c r="O34" s="1290"/>
      <c r="P34" s="1290"/>
      <c r="Q34" s="1290"/>
      <c r="R34" s="1290"/>
      <c r="S34" s="1290"/>
      <c r="T34" s="1290"/>
      <c r="U34" s="1290"/>
      <c r="V34" s="1290"/>
      <c r="W34" s="1290"/>
      <c r="X34" s="1290"/>
      <c r="Y34" s="1290"/>
      <c r="Z34" s="1290"/>
      <c r="AA34" s="1290"/>
      <c r="AB34" s="1290"/>
      <c r="AC34" s="1290"/>
      <c r="AD34" s="1290"/>
      <c r="AE34" s="1290"/>
      <c r="AF34" s="1290"/>
    </row>
    <row r="35" spans="1:32" s="1" customFormat="1" ht="15" customHeight="1" x14ac:dyDescent="0.3">
      <c r="A35" s="585"/>
      <c r="B35" s="585"/>
      <c r="C35" s="585"/>
      <c r="D35" s="585"/>
      <c r="E35" s="585"/>
      <c r="F35" s="585"/>
      <c r="G35" s="585"/>
      <c r="H35" s="585"/>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row>
    <row r="36" spans="1:32" s="1" customFormat="1" ht="15" customHeight="1" x14ac:dyDescent="0.3">
      <c r="A36" s="121"/>
      <c r="B36" s="372" t="s">
        <v>2137</v>
      </c>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s="1" customFormat="1" ht="15" customHeight="1"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s="1" customFormat="1" ht="15" customHeight="1" x14ac:dyDescent="0.3">
      <c r="A38" s="1694"/>
      <c r="B38" s="1694"/>
      <c r="C38" s="1694"/>
      <c r="D38" s="1694"/>
      <c r="E38" s="1694"/>
      <c r="F38" s="1694"/>
      <c r="G38" s="1694"/>
      <c r="H38" s="1694"/>
      <c r="I38" s="272"/>
      <c r="J38" s="272"/>
      <c r="K38" s="272"/>
      <c r="L38" s="272"/>
      <c r="M38" s="272"/>
      <c r="N38" s="272"/>
      <c r="O38" s="272"/>
      <c r="P38" s="272"/>
      <c r="Q38" s="272"/>
      <c r="R38" s="272"/>
      <c r="S38" s="272"/>
      <c r="T38" s="272"/>
      <c r="U38" s="272"/>
      <c r="V38" s="272"/>
      <c r="W38" s="272"/>
      <c r="X38" s="272"/>
      <c r="Y38" s="272"/>
      <c r="Z38" s="272"/>
      <c r="AA38" s="272"/>
      <c r="AB38" s="272"/>
      <c r="AC38" s="272"/>
      <c r="AD38" s="272"/>
      <c r="AE38" s="272"/>
      <c r="AF38" s="272" t="s">
        <v>1463</v>
      </c>
    </row>
    <row r="39" spans="1:32" s="1" customFormat="1" ht="15" customHeight="1" x14ac:dyDescent="0.3">
      <c r="A39" s="60"/>
      <c r="B39" s="60"/>
      <c r="C39" s="60"/>
      <c r="D39" s="60"/>
      <c r="E39" s="60"/>
      <c r="F39" s="60"/>
      <c r="G39" s="60"/>
      <c r="H39" s="60"/>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row>
    <row r="40" spans="1:32" s="1" customFormat="1" ht="15" customHeight="1" x14ac:dyDescent="0.3">
      <c r="A40" s="60"/>
      <c r="B40" s="372" t="s">
        <v>2027</v>
      </c>
      <c r="C40" s="60"/>
      <c r="D40" s="60"/>
      <c r="E40" s="60"/>
      <c r="F40" s="60"/>
      <c r="G40" s="60"/>
      <c r="H40" s="60"/>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row>
    <row r="41" spans="1:32" s="1" customFormat="1" ht="15" customHeight="1" x14ac:dyDescent="0.3">
      <c r="A41" s="60"/>
      <c r="B41" s="60"/>
      <c r="C41" s="60"/>
      <c r="D41" s="60"/>
      <c r="E41" s="60"/>
      <c r="F41" s="60"/>
      <c r="G41" s="60"/>
      <c r="H41" s="60"/>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row>
    <row r="42" spans="1:32" s="1" customFormat="1" ht="15" customHeight="1" x14ac:dyDescent="0.3">
      <c r="A42" s="1694"/>
      <c r="B42" s="1694"/>
      <c r="C42" s="1694"/>
      <c r="D42" s="1694"/>
      <c r="E42" s="1694"/>
      <c r="F42" s="1694"/>
      <c r="G42" s="1694"/>
      <c r="H42" s="1694"/>
      <c r="I42" s="63"/>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t="s">
        <v>1464</v>
      </c>
    </row>
    <row r="43" spans="1:32" s="1" customFormat="1" ht="15" customHeight="1" x14ac:dyDescent="0.3">
      <c r="A43" s="60"/>
      <c r="B43" s="60"/>
      <c r="C43" s="60"/>
      <c r="D43" s="60"/>
      <c r="E43" s="59"/>
      <c r="F43" s="121"/>
      <c r="G43" s="60"/>
      <c r="H43" s="60"/>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row>
    <row r="44" spans="1:32" s="1" customFormat="1" ht="15" customHeight="1" x14ac:dyDescent="0.3">
      <c r="A44" s="60"/>
      <c r="B44" s="372" t="s">
        <v>1811</v>
      </c>
      <c r="C44" s="60"/>
      <c r="D44" s="60"/>
      <c r="E44" s="60"/>
      <c r="F44" s="60"/>
      <c r="G44" s="60"/>
      <c r="H44" s="60"/>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row>
    <row r="45" spans="1:32" ht="15" customHeight="1" x14ac:dyDescent="0.3">
      <c r="A45" s="60"/>
      <c r="B45" s="60"/>
      <c r="C45" s="60"/>
      <c r="D45" s="60"/>
      <c r="E45" s="60"/>
      <c r="F45" s="60"/>
      <c r="G45" s="60"/>
      <c r="H45" s="60"/>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row>
    <row r="46" spans="1:32" ht="15" customHeight="1" x14ac:dyDescent="0.3">
      <c r="A46" s="1694"/>
      <c r="B46" s="1694"/>
      <c r="C46" s="1694"/>
      <c r="D46" s="1694"/>
      <c r="E46" s="1694"/>
      <c r="F46" s="1694"/>
      <c r="G46" s="1694"/>
      <c r="H46" s="1694"/>
      <c r="I46" s="272"/>
      <c r="J46" s="63"/>
      <c r="K46" s="63"/>
      <c r="L46" s="63"/>
      <c r="M46" s="63"/>
      <c r="N46" s="63"/>
      <c r="O46" s="63"/>
      <c r="P46" s="63"/>
      <c r="Q46" s="63"/>
      <c r="R46" s="63"/>
      <c r="S46" s="63"/>
      <c r="T46" s="63"/>
      <c r="U46" s="63"/>
      <c r="V46" s="63"/>
      <c r="W46" s="63"/>
      <c r="X46" s="63"/>
      <c r="Y46" s="63"/>
      <c r="Z46" s="63"/>
      <c r="AA46" s="63"/>
      <c r="AB46" s="63"/>
      <c r="AC46" s="63"/>
      <c r="AD46" s="63"/>
      <c r="AE46" s="63"/>
      <c r="AF46" s="272" t="s">
        <v>1465</v>
      </c>
    </row>
    <row r="47" spans="1:32" ht="15" customHeight="1" x14ac:dyDescent="0.3">
      <c r="A47" s="581"/>
      <c r="B47" s="581"/>
      <c r="C47" s="581"/>
      <c r="D47" s="581"/>
      <c r="E47" s="581"/>
      <c r="F47" s="581"/>
      <c r="G47" s="581"/>
      <c r="H47" s="58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ht="15" customHeight="1" x14ac:dyDescent="0.3">
      <c r="A48" s="1290" t="s">
        <v>8</v>
      </c>
      <c r="B48" s="1290"/>
      <c r="C48" s="1290"/>
      <c r="D48" s="1290"/>
      <c r="E48" s="1290"/>
      <c r="F48" s="1290"/>
      <c r="G48" s="1290"/>
      <c r="H48" s="1290"/>
      <c r="I48" s="1290"/>
      <c r="J48" s="1290"/>
      <c r="K48" s="1290"/>
      <c r="L48" s="1290"/>
      <c r="M48" s="1290"/>
      <c r="N48" s="1290"/>
      <c r="O48" s="1290"/>
      <c r="P48" s="1290"/>
      <c r="Q48" s="1290"/>
      <c r="R48" s="1290"/>
      <c r="S48" s="1290"/>
      <c r="T48" s="1290"/>
      <c r="U48" s="1290"/>
      <c r="V48" s="1290"/>
      <c r="W48" s="1290"/>
      <c r="X48" s="1290"/>
      <c r="Y48" s="1290"/>
      <c r="Z48" s="1290"/>
      <c r="AA48" s="1290"/>
      <c r="AB48" s="1290"/>
      <c r="AC48" s="1290"/>
      <c r="AD48" s="1290"/>
      <c r="AE48" s="1290"/>
      <c r="AF48" s="1290"/>
    </row>
    <row r="49" spans="1:32" ht="15" customHeight="1" x14ac:dyDescent="0.3">
      <c r="A49" s="1366" t="s">
        <v>9</v>
      </c>
      <c r="B49" s="1367"/>
      <c r="C49" s="1367"/>
      <c r="D49" s="1368"/>
      <c r="E49" s="1366" t="s">
        <v>3</v>
      </c>
      <c r="F49" s="1367"/>
      <c r="G49" s="1367"/>
      <c r="H49" s="1367"/>
      <c r="I49" s="1367"/>
      <c r="J49" s="1367"/>
      <c r="K49" s="1367"/>
      <c r="L49" s="1367"/>
      <c r="M49" s="1367"/>
      <c r="N49" s="1367"/>
      <c r="O49" s="1367"/>
      <c r="P49" s="1368"/>
      <c r="Q49" s="1366" t="s">
        <v>10</v>
      </c>
      <c r="R49" s="1367"/>
      <c r="S49" s="1367"/>
      <c r="T49" s="1368"/>
      <c r="U49" s="1366" t="s">
        <v>11</v>
      </c>
      <c r="V49" s="1367"/>
      <c r="W49" s="1368"/>
      <c r="X49" s="1366" t="s">
        <v>1466</v>
      </c>
      <c r="Y49" s="1367"/>
      <c r="Z49" s="1367"/>
      <c r="AA49" s="1367"/>
      <c r="AB49" s="1367"/>
      <c r="AC49" s="1367"/>
      <c r="AD49" s="1367"/>
      <c r="AE49" s="1367"/>
      <c r="AF49" s="1368"/>
    </row>
    <row r="50" spans="1:32" ht="45.75" customHeight="1" x14ac:dyDescent="0.3">
      <c r="A50" s="1349" t="s">
        <v>2720</v>
      </c>
      <c r="B50" s="1350"/>
      <c r="C50" s="1350"/>
      <c r="D50" s="1351"/>
      <c r="E50" s="1163" t="s">
        <v>4643</v>
      </c>
      <c r="F50" s="1164"/>
      <c r="G50" s="1164"/>
      <c r="H50" s="1164"/>
      <c r="I50" s="1164"/>
      <c r="J50" s="1164"/>
      <c r="K50" s="1164"/>
      <c r="L50" s="1164"/>
      <c r="M50" s="1164"/>
      <c r="N50" s="1164"/>
      <c r="O50" s="1164"/>
      <c r="P50" s="1165"/>
      <c r="Q50" s="1166" t="s">
        <v>2721</v>
      </c>
      <c r="R50" s="1167"/>
      <c r="S50" s="1167"/>
      <c r="T50" s="1168"/>
      <c r="U50" s="1352" t="s">
        <v>2722</v>
      </c>
      <c r="V50" s="1353"/>
      <c r="W50" s="1354"/>
      <c r="X50" s="1207" t="s">
        <v>3355</v>
      </c>
      <c r="Y50" s="1208"/>
      <c r="Z50" s="1208"/>
      <c r="AA50" s="1208"/>
      <c r="AB50" s="1208"/>
      <c r="AC50" s="1208"/>
      <c r="AD50" s="1208"/>
      <c r="AE50" s="1208"/>
      <c r="AF50" s="1209"/>
    </row>
    <row r="51" spans="1:32" ht="46.5" customHeight="1" x14ac:dyDescent="0.3">
      <c r="A51" s="1349" t="s">
        <v>2741</v>
      </c>
      <c r="B51" s="1350"/>
      <c r="C51" s="1350"/>
      <c r="D51" s="1351"/>
      <c r="E51" s="1163" t="s">
        <v>3378</v>
      </c>
      <c r="F51" s="1164"/>
      <c r="G51" s="1164"/>
      <c r="H51" s="1164"/>
      <c r="I51" s="1164"/>
      <c r="J51" s="1164"/>
      <c r="K51" s="1164"/>
      <c r="L51" s="1164"/>
      <c r="M51" s="1164"/>
      <c r="N51" s="1164"/>
      <c r="O51" s="1164"/>
      <c r="P51" s="1165"/>
      <c r="Q51" s="1166" t="s">
        <v>516</v>
      </c>
      <c r="R51" s="1167"/>
      <c r="S51" s="1167"/>
      <c r="T51" s="1168"/>
      <c r="U51" s="1352" t="s">
        <v>2725</v>
      </c>
      <c r="V51" s="1353"/>
      <c r="W51" s="1354"/>
      <c r="X51" s="1207" t="s">
        <v>5796</v>
      </c>
      <c r="Y51" s="1208"/>
      <c r="Z51" s="1208"/>
      <c r="AA51" s="1208"/>
      <c r="AB51" s="1208"/>
      <c r="AC51" s="1208"/>
      <c r="AD51" s="1208"/>
      <c r="AE51" s="1208"/>
      <c r="AF51" s="1209"/>
    </row>
    <row r="52" spans="1:32" ht="45.75" customHeight="1" x14ac:dyDescent="0.3">
      <c r="A52" s="1349" t="s">
        <v>2742</v>
      </c>
      <c r="B52" s="1350"/>
      <c r="C52" s="1350"/>
      <c r="D52" s="1351"/>
      <c r="E52" s="1163" t="s">
        <v>3379</v>
      </c>
      <c r="F52" s="1164"/>
      <c r="G52" s="1164"/>
      <c r="H52" s="1164"/>
      <c r="I52" s="1164"/>
      <c r="J52" s="1164"/>
      <c r="K52" s="1164"/>
      <c r="L52" s="1164"/>
      <c r="M52" s="1164"/>
      <c r="N52" s="1164"/>
      <c r="O52" s="1164"/>
      <c r="P52" s="1165"/>
      <c r="Q52" s="1166" t="s">
        <v>2723</v>
      </c>
      <c r="R52" s="1167"/>
      <c r="S52" s="1167"/>
      <c r="T52" s="1168"/>
      <c r="U52" s="1352" t="s">
        <v>2725</v>
      </c>
      <c r="V52" s="1353"/>
      <c r="W52" s="1354"/>
      <c r="X52" s="1207" t="s">
        <v>4546</v>
      </c>
      <c r="Y52" s="1208"/>
      <c r="Z52" s="1208"/>
      <c r="AA52" s="1208"/>
      <c r="AB52" s="1208"/>
      <c r="AC52" s="1208"/>
      <c r="AD52" s="1208"/>
      <c r="AE52" s="1208"/>
      <c r="AF52" s="1209"/>
    </row>
    <row r="53" spans="1:32" s="1" customFormat="1" ht="60" customHeight="1" x14ac:dyDescent="0.3">
      <c r="A53" s="1349" t="s">
        <v>5801</v>
      </c>
      <c r="B53" s="1350"/>
      <c r="C53" s="1350"/>
      <c r="D53" s="1351"/>
      <c r="E53" s="1163" t="s">
        <v>5797</v>
      </c>
      <c r="F53" s="1164"/>
      <c r="G53" s="1164"/>
      <c r="H53" s="1164"/>
      <c r="I53" s="1164"/>
      <c r="J53" s="1164"/>
      <c r="K53" s="1164"/>
      <c r="L53" s="1164"/>
      <c r="M53" s="1164"/>
      <c r="N53" s="1164"/>
      <c r="O53" s="1164"/>
      <c r="P53" s="1165"/>
      <c r="Q53" s="1166" t="s">
        <v>516</v>
      </c>
      <c r="R53" s="1167"/>
      <c r="S53" s="1167"/>
      <c r="T53" s="1168"/>
      <c r="U53" s="1352" t="s">
        <v>2725</v>
      </c>
      <c r="V53" s="1353"/>
      <c r="W53" s="1354"/>
      <c r="X53" s="1207" t="s">
        <v>5796</v>
      </c>
      <c r="Y53" s="1208"/>
      <c r="Z53" s="1208"/>
      <c r="AA53" s="1208"/>
      <c r="AB53" s="1208"/>
      <c r="AC53" s="1208"/>
      <c r="AD53" s="1208"/>
      <c r="AE53" s="1208"/>
      <c r="AF53" s="1209"/>
    </row>
    <row r="54" spans="1:32" ht="33.75" customHeight="1" x14ac:dyDescent="0.3">
      <c r="A54" s="1349" t="s">
        <v>2770</v>
      </c>
      <c r="B54" s="1350"/>
      <c r="C54" s="1350"/>
      <c r="D54" s="1351"/>
      <c r="E54" s="1163" t="s">
        <v>3380</v>
      </c>
      <c r="F54" s="1164"/>
      <c r="G54" s="1164"/>
      <c r="H54" s="1164"/>
      <c r="I54" s="1164"/>
      <c r="J54" s="1164"/>
      <c r="K54" s="1164"/>
      <c r="L54" s="1164"/>
      <c r="M54" s="1164"/>
      <c r="N54" s="1164"/>
      <c r="O54" s="1164"/>
      <c r="P54" s="1165"/>
      <c r="Q54" s="1166" t="s">
        <v>2723</v>
      </c>
      <c r="R54" s="1167"/>
      <c r="S54" s="1167"/>
      <c r="T54" s="1168"/>
      <c r="U54" s="1352" t="s">
        <v>2725</v>
      </c>
      <c r="V54" s="1353"/>
      <c r="W54" s="1354"/>
      <c r="X54" s="1207" t="s">
        <v>3686</v>
      </c>
      <c r="Y54" s="1208"/>
      <c r="Z54" s="1208"/>
      <c r="AA54" s="1208"/>
      <c r="AB54" s="1208"/>
      <c r="AC54" s="1208"/>
      <c r="AD54" s="1208"/>
      <c r="AE54" s="1208"/>
      <c r="AF54" s="1209"/>
    </row>
    <row r="55" spans="1:32" ht="99" customHeight="1" x14ac:dyDescent="0.3">
      <c r="A55" s="1157" t="s">
        <v>21</v>
      </c>
      <c r="B55" s="1158"/>
      <c r="C55" s="1158"/>
      <c r="D55" s="1159"/>
      <c r="E55" s="1163" t="s">
        <v>3408</v>
      </c>
      <c r="F55" s="1164"/>
      <c r="G55" s="1164"/>
      <c r="H55" s="1164"/>
      <c r="I55" s="1164"/>
      <c r="J55" s="1164"/>
      <c r="K55" s="1164"/>
      <c r="L55" s="1164"/>
      <c r="M55" s="1164"/>
      <c r="N55" s="1164"/>
      <c r="O55" s="1164"/>
      <c r="P55" s="1165"/>
      <c r="Q55" s="1319">
        <v>0.36</v>
      </c>
      <c r="R55" s="1167"/>
      <c r="S55" s="1167"/>
      <c r="T55" s="1168"/>
      <c r="U55" s="1352" t="s">
        <v>20</v>
      </c>
      <c r="V55" s="1353"/>
      <c r="W55" s="1354"/>
      <c r="X55" s="1207" t="s">
        <v>3357</v>
      </c>
      <c r="Y55" s="1208"/>
      <c r="Z55" s="1208"/>
      <c r="AA55" s="1208"/>
      <c r="AB55" s="1208"/>
      <c r="AC55" s="1208"/>
      <c r="AD55" s="1208"/>
      <c r="AE55" s="1208"/>
      <c r="AF55" s="1209"/>
    </row>
    <row r="56" spans="1:32" ht="99" customHeight="1" x14ac:dyDescent="0.3">
      <c r="A56" s="1160"/>
      <c r="B56" s="1161"/>
      <c r="C56" s="1161"/>
      <c r="D56" s="1162"/>
      <c r="E56" s="1163" t="s">
        <v>3409</v>
      </c>
      <c r="F56" s="1164"/>
      <c r="G56" s="1164"/>
      <c r="H56" s="1164"/>
      <c r="I56" s="1164"/>
      <c r="J56" s="1164"/>
      <c r="K56" s="1164"/>
      <c r="L56" s="1164"/>
      <c r="M56" s="1164"/>
      <c r="N56" s="1164"/>
      <c r="O56" s="1164"/>
      <c r="P56" s="1165"/>
      <c r="Q56" s="1319">
        <v>0.27</v>
      </c>
      <c r="R56" s="1167"/>
      <c r="S56" s="1167"/>
      <c r="T56" s="1168"/>
      <c r="U56" s="1352" t="s">
        <v>20</v>
      </c>
      <c r="V56" s="1353"/>
      <c r="W56" s="1354"/>
      <c r="X56" s="1207" t="s">
        <v>3389</v>
      </c>
      <c r="Y56" s="1208"/>
      <c r="Z56" s="1208"/>
      <c r="AA56" s="1208"/>
      <c r="AB56" s="1208"/>
      <c r="AC56" s="1208"/>
      <c r="AD56" s="1208"/>
      <c r="AE56" s="1208"/>
      <c r="AF56" s="1209"/>
    </row>
    <row r="57" spans="1:32" ht="125.25" customHeight="1" x14ac:dyDescent="0.3">
      <c r="A57" s="1157" t="s">
        <v>235</v>
      </c>
      <c r="B57" s="1158"/>
      <c r="C57" s="1158"/>
      <c r="D57" s="1159"/>
      <c r="E57" s="1163" t="s">
        <v>3410</v>
      </c>
      <c r="F57" s="1164"/>
      <c r="G57" s="1164"/>
      <c r="H57" s="1164"/>
      <c r="I57" s="1164"/>
      <c r="J57" s="1164"/>
      <c r="K57" s="1164"/>
      <c r="L57" s="1164"/>
      <c r="M57" s="1164"/>
      <c r="N57" s="1164"/>
      <c r="O57" s="1164"/>
      <c r="P57" s="1165"/>
      <c r="Q57" s="1325">
        <v>2528</v>
      </c>
      <c r="R57" s="1167"/>
      <c r="S57" s="1167"/>
      <c r="T57" s="1168"/>
      <c r="U57" s="1352" t="s">
        <v>790</v>
      </c>
      <c r="V57" s="1353"/>
      <c r="W57" s="1354"/>
      <c r="X57" s="1207" t="s">
        <v>3412</v>
      </c>
      <c r="Y57" s="1208"/>
      <c r="Z57" s="1208"/>
      <c r="AA57" s="1208"/>
      <c r="AB57" s="1208"/>
      <c r="AC57" s="1208"/>
      <c r="AD57" s="1208"/>
      <c r="AE57" s="1208"/>
      <c r="AF57" s="1209"/>
    </row>
    <row r="58" spans="1:32" ht="125.25" customHeight="1" x14ac:dyDescent="0.3">
      <c r="A58" s="1160"/>
      <c r="B58" s="1161"/>
      <c r="C58" s="1161"/>
      <c r="D58" s="1162"/>
      <c r="E58" s="1163" t="s">
        <v>3411</v>
      </c>
      <c r="F58" s="1164"/>
      <c r="G58" s="1164"/>
      <c r="H58" s="1164"/>
      <c r="I58" s="1164"/>
      <c r="J58" s="1164"/>
      <c r="K58" s="1164"/>
      <c r="L58" s="1164"/>
      <c r="M58" s="1164"/>
      <c r="N58" s="1164"/>
      <c r="O58" s="1164"/>
      <c r="P58" s="1165"/>
      <c r="Q58" s="1325">
        <v>1884</v>
      </c>
      <c r="R58" s="1167"/>
      <c r="S58" s="1167"/>
      <c r="T58" s="1168"/>
      <c r="U58" s="1352" t="s">
        <v>790</v>
      </c>
      <c r="V58" s="1353"/>
      <c r="W58" s="1354"/>
      <c r="X58" s="1207" t="s">
        <v>3413</v>
      </c>
      <c r="Y58" s="1208"/>
      <c r="Z58" s="1208"/>
      <c r="AA58" s="1208"/>
      <c r="AB58" s="1208"/>
      <c r="AC58" s="1208"/>
      <c r="AD58" s="1208"/>
      <c r="AE58" s="1208"/>
      <c r="AF58" s="1209"/>
    </row>
    <row r="59" spans="1:32" ht="40.5" customHeight="1" x14ac:dyDescent="0.3">
      <c r="A59" s="1349" t="s">
        <v>34</v>
      </c>
      <c r="B59" s="1350"/>
      <c r="C59" s="1350"/>
      <c r="D59" s="1351"/>
      <c r="E59" s="1163" t="s">
        <v>2765</v>
      </c>
      <c r="F59" s="1164"/>
      <c r="G59" s="1164"/>
      <c r="H59" s="1164"/>
      <c r="I59" s="1164"/>
      <c r="J59" s="1164"/>
      <c r="K59" s="1164"/>
      <c r="L59" s="1164"/>
      <c r="M59" s="1164"/>
      <c r="N59" s="1164"/>
      <c r="O59" s="1164"/>
      <c r="P59" s="1165"/>
      <c r="Q59" s="2847">
        <v>1</v>
      </c>
      <c r="R59" s="2848"/>
      <c r="S59" s="2848"/>
      <c r="T59" s="2849"/>
      <c r="U59" s="1352" t="s">
        <v>20</v>
      </c>
      <c r="V59" s="1353"/>
      <c r="W59" s="1354"/>
      <c r="X59" s="1207"/>
      <c r="Y59" s="1208"/>
      <c r="Z59" s="1208"/>
      <c r="AA59" s="1208"/>
      <c r="AB59" s="1208"/>
      <c r="AC59" s="1208"/>
      <c r="AD59" s="1208"/>
      <c r="AE59" s="1208"/>
      <c r="AF59" s="1209"/>
    </row>
    <row r="60" spans="1:32" s="1" customFormat="1" ht="40.5" customHeight="1" x14ac:dyDescent="0.3">
      <c r="A60" s="1316" t="s">
        <v>159</v>
      </c>
      <c r="B60" s="1317"/>
      <c r="C60" s="1317"/>
      <c r="D60" s="1318"/>
      <c r="E60" s="1322" t="s">
        <v>3365</v>
      </c>
      <c r="F60" s="1323"/>
      <c r="G60" s="1323"/>
      <c r="H60" s="1323"/>
      <c r="I60" s="1323"/>
      <c r="J60" s="1323"/>
      <c r="K60" s="1323"/>
      <c r="L60" s="1323"/>
      <c r="M60" s="1323"/>
      <c r="N60" s="1323"/>
      <c r="O60" s="1323"/>
      <c r="P60" s="1324"/>
      <c r="Q60" s="1751">
        <v>1000</v>
      </c>
      <c r="R60" s="1751"/>
      <c r="S60" s="1751"/>
      <c r="T60" s="1751"/>
      <c r="U60" s="1745" t="s">
        <v>271</v>
      </c>
      <c r="V60" s="1746"/>
      <c r="W60" s="1747"/>
      <c r="X60" s="1748"/>
      <c r="Y60" s="1749"/>
      <c r="Z60" s="1749"/>
      <c r="AA60" s="1749"/>
      <c r="AB60" s="1749"/>
      <c r="AC60" s="1749"/>
      <c r="AD60" s="1749"/>
      <c r="AE60" s="1749"/>
      <c r="AF60" s="1750"/>
    </row>
    <row r="61" spans="1:32" ht="45" customHeight="1" x14ac:dyDescent="0.3">
      <c r="A61" s="1349" t="s">
        <v>2562</v>
      </c>
      <c r="B61" s="1350"/>
      <c r="C61" s="1350"/>
      <c r="D61" s="1351"/>
      <c r="E61" s="1163" t="s">
        <v>2050</v>
      </c>
      <c r="F61" s="1164"/>
      <c r="G61" s="1164"/>
      <c r="H61" s="1164"/>
      <c r="I61" s="1164"/>
      <c r="J61" s="1164"/>
      <c r="K61" s="1164"/>
      <c r="L61" s="1164"/>
      <c r="M61" s="1164"/>
      <c r="N61" s="1164"/>
      <c r="O61" s="1164"/>
      <c r="P61" s="1165"/>
      <c r="Q61" s="1166">
        <f>'Master EUL'!X20</f>
        <v>15</v>
      </c>
      <c r="R61" s="1167"/>
      <c r="S61" s="1167"/>
      <c r="T61" s="1168"/>
      <c r="U61" s="1745" t="s">
        <v>38</v>
      </c>
      <c r="V61" s="1746"/>
      <c r="W61" s="1747"/>
      <c r="X61" s="1207" t="s">
        <v>2653</v>
      </c>
      <c r="Y61" s="1208"/>
      <c r="Z61" s="1208"/>
      <c r="AA61" s="1208"/>
      <c r="AB61" s="1208"/>
      <c r="AC61" s="1208"/>
      <c r="AD61" s="1208"/>
      <c r="AE61" s="1208"/>
      <c r="AF61" s="1209"/>
    </row>
    <row r="62" spans="1:32" x14ac:dyDescent="0.3">
      <c r="B62" s="296"/>
    </row>
    <row r="63" spans="1:32" x14ac:dyDescent="0.3">
      <c r="A63" s="1290" t="s">
        <v>14</v>
      </c>
      <c r="B63" s="1290"/>
      <c r="C63" s="1290"/>
      <c r="D63" s="1290"/>
      <c r="E63" s="1290"/>
      <c r="F63" s="1290"/>
      <c r="G63" s="1290"/>
      <c r="H63" s="1290"/>
      <c r="I63" s="1290"/>
      <c r="J63" s="1290"/>
      <c r="K63" s="1290"/>
      <c r="L63" s="1290"/>
      <c r="M63" s="1290"/>
      <c r="N63" s="1290"/>
      <c r="O63" s="1290"/>
      <c r="P63" s="1290"/>
      <c r="Q63" s="1290"/>
      <c r="R63" s="1290"/>
      <c r="S63" s="1290"/>
      <c r="T63" s="1290"/>
      <c r="U63" s="1290"/>
      <c r="V63" s="1290"/>
      <c r="W63" s="1290"/>
      <c r="X63" s="1290"/>
      <c r="Y63" s="1290"/>
      <c r="Z63" s="1290"/>
      <c r="AA63" s="1290"/>
      <c r="AB63" s="1290"/>
      <c r="AC63" s="1290"/>
      <c r="AD63" s="1290"/>
      <c r="AE63" s="1290"/>
      <c r="AF63" s="1290"/>
    </row>
    <row r="64" spans="1:32" x14ac:dyDescent="0.3">
      <c r="A64" s="383"/>
      <c r="B64" s="59"/>
    </row>
    <row r="65" spans="1:32" x14ac:dyDescent="0.3">
      <c r="B65" s="884" t="s">
        <v>3370</v>
      </c>
      <c r="C65" s="884"/>
      <c r="D65" s="884"/>
      <c r="E65" s="884"/>
      <c r="F65" s="884"/>
      <c r="G65" s="884"/>
      <c r="H65" s="884"/>
      <c r="I65" s="884"/>
      <c r="J65" s="884"/>
      <c r="K65" s="884"/>
      <c r="L65" s="884"/>
      <c r="M65" s="884"/>
      <c r="N65" s="884"/>
      <c r="O65" s="884"/>
      <c r="P65" s="884"/>
      <c r="Q65" s="884"/>
      <c r="R65" s="884"/>
      <c r="S65" s="884"/>
      <c r="T65" s="884"/>
      <c r="U65" s="884"/>
      <c r="V65" s="884"/>
      <c r="W65" s="884"/>
      <c r="X65" s="884"/>
      <c r="Y65" s="884"/>
      <c r="Z65" s="884"/>
      <c r="AA65" s="884"/>
      <c r="AB65" s="884"/>
      <c r="AC65" s="884"/>
      <c r="AD65" s="884"/>
      <c r="AE65" s="884"/>
      <c r="AF65" s="884"/>
    </row>
    <row r="66" spans="1:32" x14ac:dyDescent="0.3">
      <c r="G66" s="2846" t="s">
        <v>5798</v>
      </c>
      <c r="H66" s="2846"/>
      <c r="I66" s="2846"/>
      <c r="J66" s="2846"/>
      <c r="K66" s="2846"/>
      <c r="L66" s="2846"/>
      <c r="M66" s="2846"/>
      <c r="N66" s="2846"/>
      <c r="O66" s="2846"/>
    </row>
    <row r="68" spans="1:32" x14ac:dyDescent="0.3">
      <c r="A68" s="1290" t="s">
        <v>1514</v>
      </c>
      <c r="B68" s="1290"/>
      <c r="C68" s="1290"/>
      <c r="D68" s="1290"/>
      <c r="E68" s="1290"/>
      <c r="F68" s="1290"/>
      <c r="G68" s="1290"/>
      <c r="H68" s="1290"/>
      <c r="I68" s="1290"/>
      <c r="J68" s="1290"/>
      <c r="K68" s="1290"/>
      <c r="L68" s="1290"/>
      <c r="M68" s="1290"/>
      <c r="N68" s="1290"/>
      <c r="O68" s="1290"/>
      <c r="P68" s="1290"/>
      <c r="Q68" s="1290"/>
      <c r="R68" s="1290"/>
      <c r="S68" s="1290"/>
      <c r="T68" s="1290"/>
      <c r="U68" s="1290"/>
      <c r="V68" s="1290"/>
      <c r="W68" s="1290"/>
      <c r="X68" s="1290"/>
      <c r="Y68" s="1290"/>
      <c r="Z68" s="1290"/>
      <c r="AA68" s="1290"/>
      <c r="AB68" s="1290"/>
      <c r="AC68" s="1290"/>
      <c r="AD68" s="1290"/>
      <c r="AE68" s="1290"/>
      <c r="AF68" s="1290"/>
    </row>
    <row r="69" spans="1:32" x14ac:dyDescent="0.3">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row>
    <row r="70" spans="1:32" x14ac:dyDescent="0.3">
      <c r="A70" s="370" t="s">
        <v>803</v>
      </c>
      <c r="B70" s="884" t="s">
        <v>5784</v>
      </c>
      <c r="C70" s="884"/>
      <c r="D70" s="884"/>
      <c r="E70" s="884"/>
      <c r="F70" s="884"/>
      <c r="G70" s="884"/>
      <c r="H70" s="884"/>
      <c r="I70" s="884"/>
      <c r="J70" s="884"/>
      <c r="K70" s="884"/>
      <c r="L70" s="884"/>
      <c r="M70" s="884"/>
      <c r="N70" s="884"/>
      <c r="O70" s="884"/>
      <c r="P70" s="884"/>
      <c r="Q70" s="884"/>
      <c r="R70" s="884"/>
      <c r="S70" s="884"/>
      <c r="T70" s="884"/>
      <c r="U70" s="884"/>
      <c r="V70" s="884"/>
      <c r="W70" s="884"/>
      <c r="X70" s="884"/>
      <c r="Y70" s="884"/>
      <c r="Z70" s="884"/>
      <c r="AA70" s="884"/>
      <c r="AB70" s="884"/>
      <c r="AC70" s="884"/>
      <c r="AD70" s="884"/>
      <c r="AE70" s="884"/>
      <c r="AF70" s="884"/>
    </row>
    <row r="71" spans="1:32" x14ac:dyDescent="0.3">
      <c r="A71" s="370" t="s">
        <v>803</v>
      </c>
      <c r="B71" s="884" t="s">
        <v>5785</v>
      </c>
      <c r="C71" s="884"/>
      <c r="D71" s="884"/>
      <c r="E71" s="884"/>
      <c r="F71" s="884"/>
      <c r="G71" s="884"/>
      <c r="H71" s="884"/>
      <c r="I71" s="884"/>
      <c r="J71" s="884"/>
      <c r="K71" s="884"/>
      <c r="L71" s="884"/>
      <c r="M71" s="884"/>
      <c r="N71" s="884"/>
      <c r="O71" s="884"/>
      <c r="P71" s="884"/>
      <c r="Q71" s="884"/>
      <c r="R71" s="884"/>
      <c r="S71" s="884"/>
      <c r="T71" s="884"/>
      <c r="U71" s="884"/>
      <c r="V71" s="884"/>
      <c r="W71" s="884"/>
      <c r="X71" s="884"/>
      <c r="Y71" s="884"/>
      <c r="Z71" s="884"/>
      <c r="AA71" s="884"/>
      <c r="AB71" s="884"/>
      <c r="AC71" s="884"/>
      <c r="AD71" s="884"/>
      <c r="AE71" s="884"/>
      <c r="AF71" s="884"/>
    </row>
    <row r="72" spans="1:32" ht="33" customHeight="1" x14ac:dyDescent="0.3">
      <c r="A72" s="370" t="s">
        <v>803</v>
      </c>
      <c r="B72" s="884" t="s">
        <v>5786</v>
      </c>
      <c r="C72" s="884"/>
      <c r="D72" s="884"/>
      <c r="E72" s="884"/>
      <c r="F72" s="884"/>
      <c r="G72" s="884"/>
      <c r="H72" s="884"/>
      <c r="I72" s="884"/>
      <c r="J72" s="884"/>
      <c r="K72" s="884"/>
      <c r="L72" s="884"/>
      <c r="M72" s="884"/>
      <c r="N72" s="884"/>
      <c r="O72" s="884"/>
      <c r="P72" s="884"/>
      <c r="Q72" s="884"/>
      <c r="R72" s="884"/>
      <c r="S72" s="884"/>
      <c r="T72" s="884"/>
      <c r="U72" s="884"/>
      <c r="V72" s="884"/>
      <c r="W72" s="884"/>
      <c r="X72" s="884"/>
      <c r="Y72" s="884"/>
      <c r="Z72" s="884"/>
      <c r="AA72" s="884"/>
      <c r="AB72" s="884"/>
      <c r="AC72" s="884"/>
      <c r="AD72" s="884"/>
      <c r="AE72" s="884"/>
      <c r="AF72" s="884"/>
    </row>
    <row r="73" spans="1:32" ht="32.25" customHeight="1" x14ac:dyDescent="0.3">
      <c r="A73" s="370" t="s">
        <v>803</v>
      </c>
      <c r="B73" s="884" t="s">
        <v>5799</v>
      </c>
      <c r="C73" s="884"/>
      <c r="D73" s="884"/>
      <c r="E73" s="884"/>
      <c r="F73" s="884"/>
      <c r="G73" s="884"/>
      <c r="H73" s="884"/>
      <c r="I73" s="884"/>
      <c r="J73" s="884"/>
      <c r="K73" s="884"/>
      <c r="L73" s="884"/>
      <c r="M73" s="884"/>
      <c r="N73" s="884"/>
      <c r="O73" s="884"/>
      <c r="P73" s="884"/>
      <c r="Q73" s="884"/>
      <c r="R73" s="884"/>
      <c r="S73" s="884"/>
      <c r="T73" s="884"/>
      <c r="U73" s="884"/>
      <c r="V73" s="884"/>
      <c r="W73" s="884"/>
      <c r="X73" s="884"/>
      <c r="Y73" s="884"/>
      <c r="Z73" s="884"/>
      <c r="AA73" s="884"/>
      <c r="AB73" s="884"/>
      <c r="AC73" s="884"/>
      <c r="AD73" s="884"/>
      <c r="AE73" s="884"/>
      <c r="AF73" s="884"/>
    </row>
    <row r="74" spans="1:32" ht="66.75" customHeight="1" x14ac:dyDescent="0.3">
      <c r="A74" s="370" t="s">
        <v>803</v>
      </c>
      <c r="B74" s="889" t="s">
        <v>5800</v>
      </c>
      <c r="C74" s="889"/>
      <c r="D74" s="889"/>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c r="AE74" s="889"/>
      <c r="AF74" s="889"/>
    </row>
    <row r="75" spans="1:32" ht="33.75" customHeight="1" x14ac:dyDescent="0.3">
      <c r="A75" s="370" t="s">
        <v>803</v>
      </c>
      <c r="B75" s="884" t="s">
        <v>3390</v>
      </c>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c r="AC75" s="884"/>
      <c r="AD75" s="884"/>
      <c r="AE75" s="884"/>
      <c r="AF75" s="884"/>
    </row>
    <row r="76" spans="1:32" ht="65.25" customHeight="1" x14ac:dyDescent="0.3">
      <c r="A76" s="370" t="s">
        <v>803</v>
      </c>
      <c r="B76" s="884" t="s">
        <v>2717</v>
      </c>
      <c r="C76" s="884"/>
      <c r="D76" s="884"/>
      <c r="E76" s="884"/>
      <c r="F76" s="884"/>
      <c r="G76" s="884"/>
      <c r="H76" s="884"/>
      <c r="I76" s="884"/>
      <c r="J76" s="884"/>
      <c r="K76" s="884"/>
      <c r="L76" s="884"/>
      <c r="M76" s="884"/>
      <c r="N76" s="884"/>
      <c r="O76" s="884"/>
      <c r="P76" s="884"/>
      <c r="Q76" s="884"/>
      <c r="R76" s="884"/>
      <c r="S76" s="884"/>
      <c r="T76" s="884"/>
      <c r="U76" s="884"/>
      <c r="V76" s="884"/>
      <c r="W76" s="884"/>
      <c r="X76" s="884"/>
      <c r="Y76" s="884"/>
      <c r="Z76" s="884"/>
      <c r="AA76" s="884"/>
      <c r="AB76" s="884"/>
      <c r="AC76" s="884"/>
      <c r="AD76" s="884"/>
      <c r="AE76" s="884"/>
      <c r="AF76" s="884"/>
    </row>
  </sheetData>
  <sheetProtection algorithmName="SHA-512" hashValue="rJdNee/VXkDoaE7xuHICok+XCdGGQeHd5DryrrovlNj+0YOcFOcvCZsvunf1U3TavQKmXNDqopDEGd3DlXgJkQ==" saltValue="MYdufs4kHevxWllRxWXpdg==" spinCount="100000" sheet="1" objects="1" scenarios="1"/>
  <mergeCells count="144">
    <mergeCell ref="A1:AF1"/>
    <mergeCell ref="A3:AF3"/>
    <mergeCell ref="B5:AF5"/>
    <mergeCell ref="A7:AF7"/>
    <mergeCell ref="B9:I9"/>
    <mergeCell ref="B10:AF10"/>
    <mergeCell ref="B24:H24"/>
    <mergeCell ref="I24:K24"/>
    <mergeCell ref="L24:N24"/>
    <mergeCell ref="O24:Q24"/>
    <mergeCell ref="R24:T24"/>
    <mergeCell ref="U24:W24"/>
    <mergeCell ref="X24:Z24"/>
    <mergeCell ref="AA24:AC24"/>
    <mergeCell ref="AD24:AF24"/>
    <mergeCell ref="B12:I12"/>
    <mergeCell ref="B13:AF13"/>
    <mergeCell ref="B15:I15"/>
    <mergeCell ref="B16:AF16"/>
    <mergeCell ref="B18:I18"/>
    <mergeCell ref="B19:AF19"/>
    <mergeCell ref="B22:H23"/>
    <mergeCell ref="I22:AF22"/>
    <mergeCell ref="I23:N23"/>
    <mergeCell ref="O23:T23"/>
    <mergeCell ref="U23:Z23"/>
    <mergeCell ref="AA23:AF23"/>
    <mergeCell ref="B32:AF32"/>
    <mergeCell ref="A34:AF34"/>
    <mergeCell ref="B25:H25"/>
    <mergeCell ref="I25:K25"/>
    <mergeCell ref="L25:N25"/>
    <mergeCell ref="O25:Q25"/>
    <mergeCell ref="R25:T25"/>
    <mergeCell ref="U25:W25"/>
    <mergeCell ref="X25:Z25"/>
    <mergeCell ref="AA25:AC25"/>
    <mergeCell ref="AD25:AF25"/>
    <mergeCell ref="B26:H26"/>
    <mergeCell ref="I26:K26"/>
    <mergeCell ref="L26:N26"/>
    <mergeCell ref="O26:Q26"/>
    <mergeCell ref="R26:T26"/>
    <mergeCell ref="U26:W26"/>
    <mergeCell ref="X26:Z26"/>
    <mergeCell ref="AA26:AC26"/>
    <mergeCell ref="AD26:AF26"/>
    <mergeCell ref="B27:H27"/>
    <mergeCell ref="A38:H38"/>
    <mergeCell ref="A42:H42"/>
    <mergeCell ref="A46:H46"/>
    <mergeCell ref="A48:AF48"/>
    <mergeCell ref="A49:D49"/>
    <mergeCell ref="E49:P49"/>
    <mergeCell ref="Q49:T49"/>
    <mergeCell ref="U49:W49"/>
    <mergeCell ref="X49:AF49"/>
    <mergeCell ref="A50:D50"/>
    <mergeCell ref="E50:P50"/>
    <mergeCell ref="Q50:T50"/>
    <mergeCell ref="U50:W50"/>
    <mergeCell ref="X50:AF50"/>
    <mergeCell ref="A51:D51"/>
    <mergeCell ref="E51:P51"/>
    <mergeCell ref="Q51:T51"/>
    <mergeCell ref="U51:W51"/>
    <mergeCell ref="X51:AF51"/>
    <mergeCell ref="A52:D52"/>
    <mergeCell ref="E52:P52"/>
    <mergeCell ref="Q52:T52"/>
    <mergeCell ref="U52:W52"/>
    <mergeCell ref="X52:AF52"/>
    <mergeCell ref="A53:D53"/>
    <mergeCell ref="E53:P53"/>
    <mergeCell ref="Q53:T53"/>
    <mergeCell ref="U53:W53"/>
    <mergeCell ref="X53:AF53"/>
    <mergeCell ref="A54:D54"/>
    <mergeCell ref="E54:P54"/>
    <mergeCell ref="Q54:T54"/>
    <mergeCell ref="U54:W54"/>
    <mergeCell ref="X54:AF54"/>
    <mergeCell ref="A55:D56"/>
    <mergeCell ref="E55:P55"/>
    <mergeCell ref="Q55:T55"/>
    <mergeCell ref="U55:W55"/>
    <mergeCell ref="X55:AF55"/>
    <mergeCell ref="X58:AF58"/>
    <mergeCell ref="A59:D59"/>
    <mergeCell ref="E59:P59"/>
    <mergeCell ref="Q59:T59"/>
    <mergeCell ref="U59:W59"/>
    <mergeCell ref="X59:AF59"/>
    <mergeCell ref="E56:P56"/>
    <mergeCell ref="Q56:T56"/>
    <mergeCell ref="U56:W56"/>
    <mergeCell ref="X56:AF56"/>
    <mergeCell ref="A57:D58"/>
    <mergeCell ref="E57:P57"/>
    <mergeCell ref="Q57:T57"/>
    <mergeCell ref="U57:W57"/>
    <mergeCell ref="X57:AF57"/>
    <mergeCell ref="E58:P58"/>
    <mergeCell ref="Q58:T58"/>
    <mergeCell ref="U58:W58"/>
    <mergeCell ref="B74:AF74"/>
    <mergeCell ref="B75:AF75"/>
    <mergeCell ref="B76:AF76"/>
    <mergeCell ref="A63:AF63"/>
    <mergeCell ref="B65:AF65"/>
    <mergeCell ref="G66:O66"/>
    <mergeCell ref="A68:AF68"/>
    <mergeCell ref="B72:AF72"/>
    <mergeCell ref="B73:AF73"/>
    <mergeCell ref="B70:AF70"/>
    <mergeCell ref="B71:AF71"/>
    <mergeCell ref="I27:K27"/>
    <mergeCell ref="L27:N27"/>
    <mergeCell ref="O27:Q27"/>
    <mergeCell ref="R27:T27"/>
    <mergeCell ref="U27:W27"/>
    <mergeCell ref="X27:Z27"/>
    <mergeCell ref="AA27:AC27"/>
    <mergeCell ref="AD27:AF27"/>
    <mergeCell ref="B29:AF29"/>
    <mergeCell ref="B28:H28"/>
    <mergeCell ref="I28:K28"/>
    <mergeCell ref="L28:N28"/>
    <mergeCell ref="O28:Q28"/>
    <mergeCell ref="R28:T28"/>
    <mergeCell ref="U28:W28"/>
    <mergeCell ref="X28:Z28"/>
    <mergeCell ref="AA28:AC28"/>
    <mergeCell ref="AD28:AF28"/>
    <mergeCell ref="A60:D60"/>
    <mergeCell ref="E60:P60"/>
    <mergeCell ref="Q60:T60"/>
    <mergeCell ref="U60:W60"/>
    <mergeCell ref="X60:AF60"/>
    <mergeCell ref="A61:D61"/>
    <mergeCell ref="E61:P61"/>
    <mergeCell ref="Q61:T61"/>
    <mergeCell ref="U61:W61"/>
    <mergeCell ref="X61:AF61"/>
  </mergeCells>
  <hyperlinks>
    <hyperlink ref="A2" location="TOC!A1" display="Return to TOC" xr:uid="{2F97C2DC-5184-4704-A45F-E5C6E82B1A36}"/>
    <hyperlink ref="G66:O66" location="R_HVAC_AC_WKST_2!A1" display="R_HVAC_AC_WKST_2" xr:uid="{956A4BEF-24F7-4454-9661-BE8457466F12}"/>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46" numberStoredAsText="1"/>
  </ignoredError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532AA-B94C-4017-BFDA-85305719247A}">
  <sheetPr>
    <tabColor theme="7" tint="0.79998168889431442"/>
  </sheetPr>
  <dimension ref="A1:BZ114"/>
  <sheetViews>
    <sheetView workbookViewId="0">
      <selection activeCell="A2" sqref="A2"/>
    </sheetView>
  </sheetViews>
  <sheetFormatPr defaultColWidth="2.6640625" defaultRowHeight="14.4" x14ac:dyDescent="0.3"/>
  <cols>
    <col min="1" max="32" width="2.6640625" style="1"/>
  </cols>
  <sheetData>
    <row r="1" spans="1:66" ht="18" x14ac:dyDescent="0.3">
      <c r="A1" s="1131" t="s">
        <v>903</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
      <c r="AH1" s="1"/>
      <c r="AI1" s="1"/>
      <c r="AJ1" s="1"/>
      <c r="AL1" s="721"/>
      <c r="AM1" s="1"/>
      <c r="AN1" s="1"/>
      <c r="AO1" s="1"/>
      <c r="AP1" s="1"/>
      <c r="AQ1" s="803"/>
    </row>
    <row r="2" spans="1:66" ht="18" x14ac:dyDescent="0.3">
      <c r="A2" s="512" t="s">
        <v>1456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
      <c r="AH2" s="1"/>
      <c r="AI2" s="1"/>
      <c r="AJ2" s="1"/>
      <c r="AL2" s="553"/>
    </row>
    <row r="3" spans="1:66"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c r="AL3" s="553"/>
    </row>
    <row r="4" spans="1:66"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L4" s="553"/>
    </row>
    <row r="5" spans="1:66" ht="36.75" customHeight="1" x14ac:dyDescent="0.3">
      <c r="A5" s="121"/>
      <c r="B5" s="889" t="s">
        <v>6453</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c r="AL5" s="478"/>
      <c r="AM5" s="709"/>
      <c r="AN5" s="709"/>
      <c r="AO5" s="709"/>
      <c r="AP5" s="709"/>
      <c r="AQ5" s="709"/>
      <c r="AR5" s="709"/>
      <c r="AS5" s="709"/>
      <c r="AT5" s="709"/>
      <c r="AU5" s="709"/>
      <c r="AV5" s="709"/>
      <c r="AW5" s="709"/>
      <c r="AX5" s="709"/>
      <c r="AY5" s="709"/>
      <c r="AZ5" s="709"/>
      <c r="BA5" s="709"/>
      <c r="BB5" s="709"/>
      <c r="BC5" s="709"/>
      <c r="BD5" s="709"/>
      <c r="BE5" s="709"/>
      <c r="BF5" s="709"/>
      <c r="BG5" s="709"/>
      <c r="BH5" s="709"/>
      <c r="BI5" s="709"/>
      <c r="BJ5" s="709"/>
      <c r="BK5" s="709"/>
      <c r="BL5" s="709"/>
      <c r="BM5" s="709"/>
      <c r="BN5" s="709"/>
    </row>
    <row r="6" spans="1:66" ht="18"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
      <c r="AH6" s="1"/>
      <c r="AI6" s="1"/>
      <c r="AJ6" s="1"/>
      <c r="AL6" s="553"/>
    </row>
    <row r="7" spans="1:66" x14ac:dyDescent="0.3">
      <c r="A7" s="1053" t="s">
        <v>2</v>
      </c>
      <c r="B7" s="1054"/>
      <c r="C7" s="1054"/>
      <c r="D7" s="1054"/>
      <c r="E7" s="1054"/>
      <c r="F7" s="1054"/>
      <c r="G7" s="1054"/>
      <c r="H7" s="1054"/>
      <c r="I7" s="1054"/>
      <c r="J7" s="1054"/>
      <c r="K7" s="1054"/>
      <c r="L7" s="1054"/>
      <c r="M7" s="1054"/>
      <c r="N7" s="1054"/>
      <c r="O7" s="1054"/>
      <c r="P7" s="1054"/>
      <c r="Q7" s="1054"/>
      <c r="R7" s="1054"/>
      <c r="S7" s="1054"/>
      <c r="T7" s="1054"/>
      <c r="U7" s="1054"/>
      <c r="V7" s="1054"/>
      <c r="W7" s="1054"/>
      <c r="X7" s="1054"/>
      <c r="Y7" s="1054"/>
      <c r="Z7" s="1054"/>
      <c r="AA7" s="1054"/>
      <c r="AB7" s="1054"/>
      <c r="AC7" s="1054"/>
      <c r="AD7" s="1054"/>
      <c r="AE7" s="1054"/>
      <c r="AF7" s="1055"/>
      <c r="AG7" s="1"/>
      <c r="AH7" s="1"/>
      <c r="AI7" s="1"/>
      <c r="AJ7" s="1"/>
      <c r="AL7" s="553"/>
    </row>
    <row r="8" spans="1:66"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1"/>
      <c r="AH8" s="1"/>
      <c r="AI8" s="1"/>
      <c r="AJ8" s="1"/>
      <c r="AL8" s="553"/>
    </row>
    <row r="9" spans="1:66"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c r="AG9" s="1"/>
      <c r="AH9" s="1"/>
      <c r="AI9" s="1"/>
      <c r="AJ9" s="1"/>
      <c r="AL9" s="553"/>
    </row>
    <row r="10" spans="1:66" ht="39.75" customHeight="1" x14ac:dyDescent="0.3">
      <c r="A10" s="122"/>
      <c r="B10" s="889" t="s">
        <v>3407</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4"/>
      <c r="AH10" s="4"/>
      <c r="AI10" s="4"/>
      <c r="AJ10" s="4"/>
      <c r="AL10" s="553"/>
    </row>
    <row r="11" spans="1:66"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
      <c r="AH11" s="1"/>
      <c r="AI11" s="1"/>
      <c r="AJ11" s="1"/>
      <c r="AL11" s="553"/>
    </row>
    <row r="12" spans="1:66"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
      <c r="AH12" s="1"/>
      <c r="AI12" s="1"/>
      <c r="AJ12" s="1"/>
      <c r="AL12" s="553"/>
    </row>
    <row r="13" spans="1:66" ht="141.75" customHeight="1" x14ac:dyDescent="0.3">
      <c r="A13" s="121"/>
      <c r="B13" s="889" t="s">
        <v>6454</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c r="AG13" s="1"/>
      <c r="AH13" s="1"/>
      <c r="AI13" s="1"/>
      <c r="AJ13" s="1"/>
      <c r="AL13" s="553"/>
    </row>
    <row r="14" spans="1:66"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
      <c r="AH14" s="1"/>
      <c r="AI14" s="1"/>
      <c r="AJ14" s="1"/>
      <c r="AL14" s="553"/>
    </row>
    <row r="15" spans="1:66"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
      <c r="AH15" s="1"/>
      <c r="AI15" s="1"/>
      <c r="AJ15" s="1"/>
      <c r="AL15" s="553"/>
    </row>
    <row r="16" spans="1:66" x14ac:dyDescent="0.3">
      <c r="A16" s="121"/>
      <c r="B16" s="1372" t="s">
        <v>3371</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
      <c r="AH16" s="1"/>
      <c r="AI16" s="1"/>
      <c r="AJ16" s="1"/>
      <c r="AL16" s="553"/>
    </row>
    <row r="17" spans="1:65"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
      <c r="AH17" s="1"/>
      <c r="AI17" s="1"/>
      <c r="AJ17" s="1"/>
      <c r="AL17" s="553"/>
    </row>
    <row r="18" spans="1:65"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
      <c r="AH18" s="1"/>
      <c r="AI18" s="1"/>
      <c r="AJ18" s="1"/>
      <c r="AL18" s="553"/>
    </row>
    <row r="19" spans="1:65" ht="105" customHeight="1" x14ac:dyDescent="0.3">
      <c r="A19" s="122"/>
      <c r="B19" s="1722" t="s">
        <v>5807</v>
      </c>
      <c r="C19" s="1722"/>
      <c r="D19" s="1722"/>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4"/>
      <c r="AH19" s="4"/>
      <c r="AI19" s="4"/>
      <c r="AJ19" s="4"/>
      <c r="AL19" s="709"/>
      <c r="AM19" s="709"/>
      <c r="AN19" s="709"/>
      <c r="AO19" s="709"/>
      <c r="AP19" s="709"/>
      <c r="AQ19" s="709"/>
      <c r="AR19" s="709"/>
      <c r="AS19" s="709"/>
      <c r="AT19" s="709"/>
      <c r="AU19" s="709"/>
      <c r="AV19" s="709"/>
      <c r="AW19" s="709"/>
      <c r="AX19" s="709"/>
      <c r="AY19" s="709"/>
      <c r="AZ19" s="709"/>
      <c r="BA19" s="709"/>
      <c r="BB19" s="709"/>
      <c r="BC19" s="709"/>
      <c r="BD19" s="709"/>
      <c r="BE19" s="709"/>
      <c r="BF19" s="709"/>
      <c r="BG19" s="709"/>
      <c r="BH19" s="709"/>
      <c r="BI19" s="709"/>
      <c r="BJ19" s="709"/>
      <c r="BK19" s="709"/>
      <c r="BL19" s="709"/>
      <c r="BM19" s="709"/>
    </row>
    <row r="20" spans="1:65" x14ac:dyDescent="0.3">
      <c r="A20" s="122"/>
      <c r="B20" s="740"/>
      <c r="C20" s="740"/>
      <c r="D20" s="740"/>
      <c r="E20" s="740"/>
      <c r="F20" s="740"/>
      <c r="G20" s="740"/>
      <c r="H20" s="740"/>
      <c r="I20" s="740"/>
      <c r="J20" s="740"/>
      <c r="K20" s="740"/>
      <c r="L20" s="740"/>
      <c r="M20" s="740"/>
      <c r="N20" s="740"/>
      <c r="O20" s="740"/>
      <c r="P20" s="740"/>
      <c r="Q20" s="740"/>
      <c r="R20" s="740"/>
      <c r="S20" s="740"/>
      <c r="T20" s="740"/>
      <c r="U20" s="740"/>
      <c r="V20" s="740"/>
      <c r="W20" s="740"/>
      <c r="X20" s="740"/>
      <c r="Y20" s="740"/>
      <c r="Z20" s="740"/>
      <c r="AA20" s="740"/>
      <c r="AB20" s="740"/>
      <c r="AC20" s="740"/>
      <c r="AD20" s="740"/>
      <c r="AE20" s="740"/>
      <c r="AF20" s="740"/>
      <c r="AG20" s="4"/>
      <c r="AH20" s="4"/>
      <c r="AI20" s="4"/>
      <c r="AJ20" s="4"/>
      <c r="AL20" s="758"/>
      <c r="AM20" s="758"/>
      <c r="AN20" s="758"/>
      <c r="AO20" s="758"/>
      <c r="AP20" s="758"/>
      <c r="AQ20" s="758"/>
      <c r="AR20" s="758"/>
      <c r="AS20" s="758"/>
      <c r="AT20" s="758"/>
      <c r="AU20" s="758"/>
      <c r="AV20" s="758"/>
      <c r="AW20" s="758"/>
      <c r="AX20" s="758"/>
      <c r="AY20" s="758"/>
      <c r="AZ20" s="758"/>
      <c r="BA20" s="758"/>
      <c r="BB20" s="758"/>
      <c r="BC20" s="758"/>
      <c r="BD20" s="758"/>
      <c r="BE20" s="758"/>
      <c r="BF20" s="758"/>
      <c r="BG20" s="758"/>
      <c r="BH20" s="758"/>
      <c r="BI20" s="758"/>
      <c r="BJ20" s="758"/>
      <c r="BK20" s="758"/>
      <c r="BL20" s="758"/>
      <c r="BM20" s="758"/>
    </row>
    <row r="21" spans="1:65" ht="90" customHeight="1" x14ac:dyDescent="0.3">
      <c r="A21" s="122"/>
      <c r="B21" s="1722" t="s">
        <v>5808</v>
      </c>
      <c r="C21" s="1722"/>
      <c r="D21" s="1722"/>
      <c r="E21" s="1722"/>
      <c r="F21" s="1722"/>
      <c r="G21" s="1722"/>
      <c r="H21" s="1722"/>
      <c r="I21" s="1722"/>
      <c r="J21" s="1722"/>
      <c r="K21" s="1722"/>
      <c r="L21" s="1722"/>
      <c r="M21" s="1722"/>
      <c r="N21" s="1722"/>
      <c r="O21" s="1722"/>
      <c r="P21" s="1722"/>
      <c r="Q21" s="1722"/>
      <c r="R21" s="1722"/>
      <c r="S21" s="1722"/>
      <c r="T21" s="1722"/>
      <c r="U21" s="1722"/>
      <c r="V21" s="1722"/>
      <c r="W21" s="1722"/>
      <c r="X21" s="1722"/>
      <c r="Y21" s="1722"/>
      <c r="Z21" s="1722"/>
      <c r="AA21" s="1722"/>
      <c r="AB21" s="1722"/>
      <c r="AC21" s="1722"/>
      <c r="AD21" s="1722"/>
      <c r="AE21" s="1722"/>
      <c r="AF21" s="1722"/>
      <c r="AG21" s="4"/>
      <c r="AH21" s="4"/>
      <c r="AI21" s="4"/>
      <c r="AJ21" s="4"/>
      <c r="AL21" s="709"/>
      <c r="AM21" s="758"/>
      <c r="AN21" s="758"/>
      <c r="AO21" s="758"/>
      <c r="AP21" s="758"/>
      <c r="AQ21" s="758"/>
      <c r="AR21" s="758"/>
      <c r="AS21" s="758"/>
      <c r="AT21" s="758"/>
      <c r="AU21" s="758"/>
      <c r="AV21" s="758"/>
      <c r="AW21" s="758"/>
      <c r="AX21" s="758"/>
      <c r="AY21" s="758"/>
      <c r="AZ21" s="758"/>
      <c r="BA21" s="758"/>
      <c r="BB21" s="758"/>
      <c r="BC21" s="758"/>
      <c r="BD21" s="758"/>
      <c r="BE21" s="758"/>
      <c r="BF21" s="758"/>
      <c r="BG21" s="758"/>
      <c r="BH21" s="758"/>
      <c r="BI21" s="758"/>
      <c r="BJ21" s="758"/>
      <c r="BK21" s="758"/>
      <c r="BL21" s="758"/>
      <c r="BM21" s="758"/>
    </row>
    <row r="22" spans="1:65" x14ac:dyDescent="0.3">
      <c r="A22" s="122"/>
      <c r="B22" s="740"/>
      <c r="C22" s="740"/>
      <c r="D22" s="740"/>
      <c r="E22" s="740"/>
      <c r="F22" s="740"/>
      <c r="G22" s="740"/>
      <c r="H22" s="740"/>
      <c r="I22" s="740"/>
      <c r="J22" s="740"/>
      <c r="K22" s="740"/>
      <c r="L22" s="740"/>
      <c r="M22" s="740"/>
      <c r="N22" s="740"/>
      <c r="O22" s="740"/>
      <c r="P22" s="740"/>
      <c r="Q22" s="740"/>
      <c r="R22" s="740"/>
      <c r="S22" s="740"/>
      <c r="T22" s="740"/>
      <c r="U22" s="740"/>
      <c r="V22" s="740"/>
      <c r="W22" s="740"/>
      <c r="X22" s="740"/>
      <c r="Y22" s="740"/>
      <c r="Z22" s="740"/>
      <c r="AA22" s="740"/>
      <c r="AB22" s="740"/>
      <c r="AC22" s="740"/>
      <c r="AD22" s="740"/>
      <c r="AE22" s="740"/>
      <c r="AF22" s="740"/>
      <c r="AG22" s="4"/>
      <c r="AH22" s="4"/>
      <c r="AI22" s="4"/>
      <c r="AJ22" s="4"/>
      <c r="AL22" s="553"/>
    </row>
    <row r="23" spans="1:65" ht="34.5" customHeight="1" x14ac:dyDescent="0.3">
      <c r="A23" s="122"/>
      <c r="B23" s="1722" t="s">
        <v>5809</v>
      </c>
      <c r="C23" s="1722"/>
      <c r="D23" s="1722"/>
      <c r="E23" s="1722"/>
      <c r="F23" s="1722"/>
      <c r="G23" s="1722"/>
      <c r="H23" s="1722"/>
      <c r="I23" s="1722"/>
      <c r="J23" s="1722"/>
      <c r="K23" s="1722"/>
      <c r="L23" s="1722"/>
      <c r="M23" s="1722"/>
      <c r="N23" s="1722"/>
      <c r="O23" s="1722"/>
      <c r="P23" s="1722"/>
      <c r="Q23" s="1722"/>
      <c r="R23" s="1722"/>
      <c r="S23" s="1722"/>
      <c r="T23" s="1722"/>
      <c r="U23" s="1722"/>
      <c r="V23" s="1722"/>
      <c r="W23" s="1722"/>
      <c r="X23" s="1722"/>
      <c r="Y23" s="1722"/>
      <c r="Z23" s="1722"/>
      <c r="AA23" s="1722"/>
      <c r="AB23" s="1722"/>
      <c r="AC23" s="1722"/>
      <c r="AD23" s="1722"/>
      <c r="AE23" s="1722"/>
      <c r="AF23" s="1722"/>
      <c r="AG23" s="4"/>
      <c r="AH23" s="4"/>
      <c r="AI23" s="4"/>
      <c r="AJ23" s="4"/>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09"/>
    </row>
    <row r="24" spans="1:65" x14ac:dyDescent="0.3">
      <c r="A24" s="122"/>
      <c r="B24" s="740"/>
      <c r="C24" s="740"/>
      <c r="D24" s="740"/>
      <c r="E24" s="740"/>
      <c r="F24" s="740"/>
      <c r="G24" s="740"/>
      <c r="H24" s="740"/>
      <c r="I24" s="740"/>
      <c r="J24" s="740"/>
      <c r="K24" s="740"/>
      <c r="L24" s="740"/>
      <c r="M24" s="740"/>
      <c r="N24" s="740"/>
      <c r="O24" s="740"/>
      <c r="P24" s="740"/>
      <c r="Q24" s="740"/>
      <c r="R24" s="740"/>
      <c r="S24" s="740"/>
      <c r="T24" s="740"/>
      <c r="U24" s="740"/>
      <c r="V24" s="740"/>
      <c r="W24" s="740"/>
      <c r="X24" s="740"/>
      <c r="Y24" s="740"/>
      <c r="Z24" s="740"/>
      <c r="AA24" s="740"/>
      <c r="AB24" s="740"/>
      <c r="AC24" s="740"/>
      <c r="AD24" s="740"/>
      <c r="AE24" s="740"/>
      <c r="AF24" s="740"/>
      <c r="AG24" s="4"/>
      <c r="AH24" s="4"/>
      <c r="AI24" s="4"/>
      <c r="AJ24" s="4"/>
      <c r="AL24" s="709"/>
      <c r="AM24" s="709"/>
      <c r="AN24" s="70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09"/>
    </row>
    <row r="25" spans="1:65" ht="81.75" customHeight="1" x14ac:dyDescent="0.3">
      <c r="A25" s="122"/>
      <c r="B25" s="2869" t="s">
        <v>5847</v>
      </c>
      <c r="C25" s="1722"/>
      <c r="D25" s="1722"/>
      <c r="E25" s="1722"/>
      <c r="F25" s="1722"/>
      <c r="G25" s="1722"/>
      <c r="H25" s="1722"/>
      <c r="I25" s="1722"/>
      <c r="J25" s="1722"/>
      <c r="K25" s="1722"/>
      <c r="L25" s="1722"/>
      <c r="M25" s="1722"/>
      <c r="N25" s="1722"/>
      <c r="O25" s="1722"/>
      <c r="P25" s="1722"/>
      <c r="Q25" s="1722"/>
      <c r="R25" s="1722"/>
      <c r="S25" s="1722"/>
      <c r="T25" s="1722"/>
      <c r="U25" s="1722"/>
      <c r="V25" s="1722"/>
      <c r="W25" s="1722"/>
      <c r="X25" s="1722"/>
      <c r="Y25" s="1722"/>
      <c r="Z25" s="1722"/>
      <c r="AA25" s="1722"/>
      <c r="AB25" s="1722"/>
      <c r="AC25" s="1722"/>
      <c r="AD25" s="1722"/>
      <c r="AE25" s="1722"/>
      <c r="AF25" s="1722"/>
      <c r="AG25" s="4"/>
      <c r="AH25" s="4"/>
      <c r="AI25" s="4"/>
      <c r="AJ25" s="4"/>
      <c r="AL25" s="709"/>
      <c r="AM25" s="709"/>
      <c r="AN25" s="709"/>
      <c r="AO25" s="709"/>
      <c r="AP25" s="709"/>
      <c r="AQ25" s="709"/>
      <c r="AR25" s="709"/>
      <c r="AS25" s="709"/>
      <c r="AT25" s="709"/>
      <c r="AU25" s="709"/>
      <c r="AV25" s="709"/>
      <c r="AW25" s="709"/>
      <c r="AX25" s="709"/>
      <c r="AY25" s="709"/>
      <c r="AZ25" s="709"/>
      <c r="BA25" s="709"/>
      <c r="BB25" s="709"/>
      <c r="BC25" s="709"/>
      <c r="BD25" s="709"/>
      <c r="BE25" s="709"/>
      <c r="BF25" s="709"/>
      <c r="BG25" s="709"/>
      <c r="BH25" s="709"/>
      <c r="BI25" s="709"/>
      <c r="BJ25" s="709"/>
      <c r="BK25" s="709"/>
      <c r="BL25" s="709"/>
      <c r="BM25" s="709"/>
    </row>
    <row r="26" spans="1:65" x14ac:dyDescent="0.3">
      <c r="A26" s="122"/>
      <c r="B26" s="740"/>
      <c r="C26" s="740"/>
      <c r="D26" s="740"/>
      <c r="E26" s="740"/>
      <c r="F26" s="740"/>
      <c r="G26" s="740"/>
      <c r="H26" s="740"/>
      <c r="I26" s="740"/>
      <c r="J26" s="740"/>
      <c r="K26" s="740"/>
      <c r="L26" s="740"/>
      <c r="M26" s="740"/>
      <c r="N26" s="740"/>
      <c r="O26" s="740"/>
      <c r="P26" s="740"/>
      <c r="Q26" s="740"/>
      <c r="R26" s="740"/>
      <c r="S26" s="740"/>
      <c r="T26" s="740"/>
      <c r="U26" s="740"/>
      <c r="V26" s="740"/>
      <c r="W26" s="740"/>
      <c r="X26" s="740"/>
      <c r="Y26" s="740"/>
      <c r="Z26" s="740"/>
      <c r="AA26" s="740"/>
      <c r="AB26" s="740"/>
      <c r="AC26" s="740"/>
      <c r="AD26" s="740"/>
      <c r="AE26" s="740"/>
      <c r="AF26" s="740"/>
      <c r="AG26" s="4"/>
      <c r="AH26" s="4"/>
      <c r="AI26" s="4"/>
      <c r="AJ26" s="4"/>
      <c r="AL26" s="758"/>
      <c r="AM26" s="758"/>
      <c r="AN26" s="758"/>
      <c r="AO26" s="758"/>
      <c r="AP26" s="758"/>
      <c r="AQ26" s="758"/>
      <c r="AR26" s="758"/>
      <c r="AS26" s="758"/>
      <c r="AT26" s="758"/>
      <c r="AU26" s="758"/>
      <c r="AV26" s="758"/>
      <c r="AW26" s="758"/>
      <c r="AX26" s="758"/>
      <c r="AY26" s="758"/>
      <c r="AZ26" s="758"/>
      <c r="BA26" s="758"/>
      <c r="BB26" s="758"/>
      <c r="BC26" s="758"/>
      <c r="BD26" s="758"/>
      <c r="BE26" s="758"/>
      <c r="BF26" s="758"/>
      <c r="BG26" s="758"/>
      <c r="BH26" s="758"/>
      <c r="BI26" s="758"/>
      <c r="BJ26" s="758"/>
      <c r="BK26" s="758"/>
      <c r="BL26" s="758"/>
      <c r="BM26" s="758"/>
    </row>
    <row r="27" spans="1:65" ht="15" customHeight="1" x14ac:dyDescent="0.3">
      <c r="A27" s="122"/>
      <c r="B27" s="187" t="s">
        <v>5810</v>
      </c>
      <c r="C27" s="122"/>
      <c r="D27" s="122"/>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4"/>
      <c r="AH27" s="4"/>
      <c r="AI27" s="4"/>
      <c r="AJ27" s="4"/>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row>
    <row r="28" spans="1:65" ht="15" customHeight="1" x14ac:dyDescent="0.3">
      <c r="A28" s="122"/>
      <c r="B28" s="1491" t="s">
        <v>2729</v>
      </c>
      <c r="C28" s="1390"/>
      <c r="D28" s="1390"/>
      <c r="E28" s="1390"/>
      <c r="F28" s="1390"/>
      <c r="G28" s="1390"/>
      <c r="H28" s="1390"/>
      <c r="I28" s="1390"/>
      <c r="J28" s="1390"/>
      <c r="K28" s="1390"/>
      <c r="L28" s="1390"/>
      <c r="M28" s="2535"/>
      <c r="N28" s="1106" t="s">
        <v>5811</v>
      </c>
      <c r="O28" s="1107"/>
      <c r="P28" s="1107"/>
      <c r="Q28" s="1107"/>
      <c r="R28" s="1107"/>
      <c r="S28" s="1107"/>
      <c r="T28" s="1107"/>
      <c r="U28" s="1107"/>
      <c r="V28" s="1107"/>
      <c r="W28" s="1107"/>
      <c r="X28" s="1107"/>
      <c r="Y28" s="1108"/>
      <c r="Z28" s="1491" t="s">
        <v>5812</v>
      </c>
      <c r="AA28" s="1390"/>
      <c r="AB28" s="1390"/>
      <c r="AC28" s="1390"/>
      <c r="AD28" s="1390"/>
      <c r="AE28" s="2535"/>
      <c r="AF28" s="122"/>
      <c r="AG28" s="4"/>
      <c r="AH28" s="4"/>
      <c r="AI28" s="4"/>
      <c r="AJ28" s="4"/>
      <c r="AL28" s="709"/>
      <c r="AM28" s="709"/>
      <c r="AN28" s="709"/>
      <c r="AO28" s="709"/>
      <c r="AP28" s="709"/>
      <c r="AQ28" s="709"/>
      <c r="AR28" s="709"/>
      <c r="AS28" s="709"/>
      <c r="AT28" s="709"/>
      <c r="AU28" s="709"/>
      <c r="AV28" s="709"/>
      <c r="AW28" s="709"/>
      <c r="AX28" s="709"/>
      <c r="AY28" s="709"/>
      <c r="AZ28" s="709"/>
      <c r="BA28" s="709"/>
      <c r="BB28" s="709"/>
      <c r="BC28" s="709"/>
      <c r="BD28" s="709"/>
      <c r="BE28" s="709"/>
      <c r="BF28" s="709"/>
      <c r="BG28" s="709"/>
      <c r="BH28" s="709"/>
      <c r="BI28" s="709"/>
      <c r="BJ28" s="709"/>
      <c r="BK28" s="709"/>
      <c r="BL28" s="709"/>
      <c r="BM28" s="709"/>
    </row>
    <row r="29" spans="1:65" ht="92.25" customHeight="1" x14ac:dyDescent="0.3">
      <c r="A29" s="122"/>
      <c r="B29" s="2870"/>
      <c r="C29" s="2871"/>
      <c r="D29" s="2871"/>
      <c r="E29" s="2871"/>
      <c r="F29" s="2871"/>
      <c r="G29" s="2871"/>
      <c r="H29" s="2871"/>
      <c r="I29" s="2871"/>
      <c r="J29" s="2871"/>
      <c r="K29" s="2871"/>
      <c r="L29" s="2871"/>
      <c r="M29" s="2872"/>
      <c r="N29" s="1493" t="s">
        <v>3546</v>
      </c>
      <c r="O29" s="1493"/>
      <c r="P29" s="1493"/>
      <c r="Q29" s="1493"/>
      <c r="R29" s="1493"/>
      <c r="S29" s="1493"/>
      <c r="T29" s="1493" t="s">
        <v>3544</v>
      </c>
      <c r="U29" s="1493"/>
      <c r="V29" s="1493"/>
      <c r="W29" s="1493"/>
      <c r="X29" s="1493"/>
      <c r="Y29" s="1493"/>
      <c r="Z29" s="2536"/>
      <c r="AA29" s="2537"/>
      <c r="AB29" s="2537"/>
      <c r="AC29" s="2537"/>
      <c r="AD29" s="2537"/>
      <c r="AE29" s="2538"/>
      <c r="AF29" s="122"/>
      <c r="AG29" s="4"/>
      <c r="AH29" s="4"/>
      <c r="AI29" s="4"/>
      <c r="AJ29" s="4"/>
      <c r="AL29" s="758"/>
      <c r="AM29" s="758"/>
      <c r="AN29" s="758"/>
      <c r="AO29" s="758"/>
      <c r="AP29" s="758"/>
      <c r="AQ29" s="758"/>
      <c r="AR29" s="758"/>
      <c r="AS29" s="758"/>
      <c r="AT29" s="31"/>
      <c r="AU29" s="31"/>
      <c r="AW29" s="758"/>
      <c r="AX29" s="758"/>
      <c r="AY29" s="758"/>
      <c r="AZ29" s="758"/>
      <c r="BA29" s="758"/>
      <c r="BB29" s="758"/>
      <c r="BC29" s="758"/>
      <c r="BD29" s="758"/>
      <c r="BE29" s="758"/>
      <c r="BF29" s="758"/>
      <c r="BG29" s="758"/>
      <c r="BH29" s="758"/>
      <c r="BI29" s="758"/>
      <c r="BJ29" s="758"/>
      <c r="BK29" s="758"/>
      <c r="BL29" s="758"/>
      <c r="BM29" s="758"/>
    </row>
    <row r="30" spans="1:65" x14ac:dyDescent="0.3">
      <c r="A30" s="122"/>
      <c r="B30" s="2536"/>
      <c r="C30" s="2537"/>
      <c r="D30" s="2537"/>
      <c r="E30" s="2537"/>
      <c r="F30" s="2537"/>
      <c r="G30" s="2537"/>
      <c r="H30" s="2537"/>
      <c r="I30" s="2537"/>
      <c r="J30" s="2537"/>
      <c r="K30" s="2537"/>
      <c r="L30" s="2537"/>
      <c r="M30" s="2538"/>
      <c r="N30" s="1493" t="s">
        <v>798</v>
      </c>
      <c r="O30" s="1493"/>
      <c r="P30" s="1493"/>
      <c r="Q30" s="1493" t="s">
        <v>285</v>
      </c>
      <c r="R30" s="1493"/>
      <c r="S30" s="1493"/>
      <c r="T30" s="1493" t="s">
        <v>798</v>
      </c>
      <c r="U30" s="1493"/>
      <c r="V30" s="1493"/>
      <c r="W30" s="1493" t="s">
        <v>285</v>
      </c>
      <c r="X30" s="1493"/>
      <c r="Y30" s="1493"/>
      <c r="Z30" s="1493" t="s">
        <v>5793</v>
      </c>
      <c r="AA30" s="1493"/>
      <c r="AB30" s="1493"/>
      <c r="AC30" s="1493" t="s">
        <v>5794</v>
      </c>
      <c r="AD30" s="1493"/>
      <c r="AE30" s="1493"/>
      <c r="AF30" s="122"/>
      <c r="AG30" s="4"/>
      <c r="AH30" s="4"/>
      <c r="AI30" s="4"/>
      <c r="AJ30" s="4"/>
      <c r="AL30" s="709"/>
      <c r="AM30" s="758"/>
      <c r="AN30" s="758"/>
      <c r="AO30" s="758"/>
      <c r="AP30" s="758"/>
      <c r="AQ30" s="758"/>
      <c r="AR30" s="758"/>
      <c r="AS30" s="758"/>
      <c r="AV30" s="804"/>
      <c r="AW30" s="758"/>
      <c r="AX30" s="758"/>
      <c r="AY30" s="758"/>
      <c r="AZ30" s="758"/>
      <c r="BA30" s="758"/>
      <c r="BB30" s="758"/>
      <c r="BC30" s="758"/>
      <c r="BD30" s="758"/>
      <c r="BE30" s="758"/>
      <c r="BF30" s="758"/>
      <c r="BG30" s="758"/>
      <c r="BH30" s="758"/>
      <c r="BI30" s="758"/>
      <c r="BJ30" s="758"/>
      <c r="BK30" s="758"/>
      <c r="BL30" s="758"/>
      <c r="BM30" s="758"/>
    </row>
    <row r="31" spans="1:65" x14ac:dyDescent="0.3">
      <c r="A31" s="122"/>
      <c r="B31" s="1547" t="s">
        <v>5813</v>
      </c>
      <c r="C31" s="1547"/>
      <c r="D31" s="1547"/>
      <c r="E31" s="1547"/>
      <c r="F31" s="1547"/>
      <c r="G31" s="1547"/>
      <c r="H31" s="1547"/>
      <c r="I31" s="1547"/>
      <c r="J31" s="1547"/>
      <c r="K31" s="1547"/>
      <c r="L31" s="1547"/>
      <c r="M31" s="1547"/>
      <c r="N31" s="1808">
        <v>11</v>
      </c>
      <c r="O31" s="1808"/>
      <c r="P31" s="1808"/>
      <c r="Q31" s="1808">
        <v>9.9</v>
      </c>
      <c r="R31" s="1808"/>
      <c r="S31" s="1808"/>
      <c r="T31" s="1808">
        <v>13</v>
      </c>
      <c r="U31" s="1808"/>
      <c r="V31" s="1808"/>
      <c r="W31" s="1808">
        <v>10</v>
      </c>
      <c r="X31" s="1808"/>
      <c r="Y31" s="1808"/>
      <c r="Z31" s="1808">
        <v>14.3</v>
      </c>
      <c r="AA31" s="1808"/>
      <c r="AB31" s="1808"/>
      <c r="AC31" s="1808">
        <v>11.7</v>
      </c>
      <c r="AD31" s="1808"/>
      <c r="AE31" s="1808"/>
      <c r="AF31" s="122"/>
      <c r="AG31" s="4"/>
      <c r="AH31" s="4"/>
      <c r="AI31" s="4"/>
      <c r="AJ31" s="4"/>
      <c r="AL31" s="758"/>
      <c r="AM31" s="758"/>
      <c r="AN31" s="758"/>
      <c r="AO31" s="758"/>
      <c r="AP31" s="758"/>
      <c r="AQ31" s="758"/>
      <c r="AR31" s="758"/>
      <c r="AS31" s="758"/>
      <c r="AV31" s="804"/>
      <c r="AW31" s="758"/>
      <c r="AX31" s="758"/>
      <c r="AY31" s="758"/>
      <c r="AZ31" s="758"/>
      <c r="BA31" s="758"/>
      <c r="BB31" s="758"/>
      <c r="BC31" s="758"/>
      <c r="BD31" s="758"/>
      <c r="BE31" s="758"/>
      <c r="BF31" s="758"/>
      <c r="BG31" s="758"/>
      <c r="BH31" s="758"/>
      <c r="BI31" s="758"/>
      <c r="BJ31" s="758"/>
      <c r="BK31" s="758"/>
      <c r="BL31" s="758"/>
      <c r="BM31" s="758"/>
    </row>
    <row r="32" spans="1:65" x14ac:dyDescent="0.3">
      <c r="A32" s="122"/>
      <c r="B32" s="1547" t="s">
        <v>5814</v>
      </c>
      <c r="C32" s="1547"/>
      <c r="D32" s="1547"/>
      <c r="E32" s="1547"/>
      <c r="F32" s="1547"/>
      <c r="G32" s="1547"/>
      <c r="H32" s="1547"/>
      <c r="I32" s="1547"/>
      <c r="J32" s="1547"/>
      <c r="K32" s="1547"/>
      <c r="L32" s="1547"/>
      <c r="M32" s="1547"/>
      <c r="N32" s="1808">
        <v>11</v>
      </c>
      <c r="O32" s="1808"/>
      <c r="P32" s="1808"/>
      <c r="Q32" s="1808">
        <v>9.9</v>
      </c>
      <c r="R32" s="1808"/>
      <c r="S32" s="1808"/>
      <c r="T32" s="1808">
        <v>13</v>
      </c>
      <c r="U32" s="1808"/>
      <c r="V32" s="1808"/>
      <c r="W32" s="1808">
        <v>10</v>
      </c>
      <c r="X32" s="1808"/>
      <c r="Y32" s="1808"/>
      <c r="Z32" s="1808">
        <v>13.8</v>
      </c>
      <c r="AA32" s="1808"/>
      <c r="AB32" s="1808"/>
      <c r="AC32" s="1808">
        <v>11.2</v>
      </c>
      <c r="AD32" s="1808"/>
      <c r="AE32" s="1808"/>
      <c r="AF32" s="122"/>
      <c r="AG32" s="4"/>
      <c r="AH32" s="4"/>
      <c r="AI32" s="4"/>
      <c r="AJ32" s="4"/>
      <c r="AL32" s="758"/>
      <c r="AM32" s="758"/>
      <c r="AN32" s="758"/>
      <c r="AO32" s="758"/>
      <c r="AP32" s="758"/>
      <c r="AQ32" s="758"/>
      <c r="AR32" s="758"/>
      <c r="AS32" s="758"/>
      <c r="AV32" s="804"/>
      <c r="AW32" s="758"/>
      <c r="AX32" s="758"/>
      <c r="AY32" s="758"/>
      <c r="AZ32" s="758"/>
      <c r="BA32" s="758"/>
      <c r="BB32" s="758"/>
      <c r="BC32" s="758"/>
      <c r="BD32" s="758"/>
      <c r="BE32" s="758"/>
      <c r="BF32" s="758"/>
      <c r="BG32" s="758"/>
      <c r="BH32" s="758"/>
      <c r="BI32" s="758"/>
      <c r="BJ32" s="758"/>
      <c r="BK32" s="758"/>
      <c r="BL32" s="758"/>
      <c r="BM32" s="758"/>
    </row>
    <row r="33" spans="1:65" x14ac:dyDescent="0.3">
      <c r="A33" s="122"/>
      <c r="B33" s="1547" t="s">
        <v>5815</v>
      </c>
      <c r="C33" s="1547"/>
      <c r="D33" s="1547"/>
      <c r="E33" s="1547"/>
      <c r="F33" s="1547"/>
      <c r="G33" s="1547"/>
      <c r="H33" s="1547"/>
      <c r="I33" s="1547"/>
      <c r="J33" s="1547"/>
      <c r="K33" s="1547"/>
      <c r="L33" s="1547"/>
      <c r="M33" s="1547"/>
      <c r="N33" s="1808">
        <v>11</v>
      </c>
      <c r="O33" s="1808"/>
      <c r="P33" s="1808"/>
      <c r="Q33" s="1808">
        <v>9.9</v>
      </c>
      <c r="R33" s="1808"/>
      <c r="S33" s="1808"/>
      <c r="T33" s="1808">
        <v>13</v>
      </c>
      <c r="U33" s="1808"/>
      <c r="V33" s="1808"/>
      <c r="W33" s="1808">
        <v>10</v>
      </c>
      <c r="X33" s="1808"/>
      <c r="Y33" s="1808"/>
      <c r="Z33" s="1808">
        <v>13.4</v>
      </c>
      <c r="AA33" s="1808"/>
      <c r="AB33" s="1808"/>
      <c r="AC33" s="1808">
        <v>10.6</v>
      </c>
      <c r="AD33" s="1808"/>
      <c r="AE33" s="1808"/>
      <c r="AF33" s="122"/>
      <c r="AG33" s="4"/>
      <c r="AH33" s="4"/>
      <c r="AI33" s="4"/>
      <c r="AJ33" s="4"/>
      <c r="AL33" s="758"/>
      <c r="AM33" s="758"/>
      <c r="AN33" s="758"/>
      <c r="AO33" s="758"/>
      <c r="AP33" s="758"/>
      <c r="AQ33" s="758"/>
      <c r="AR33" s="758"/>
      <c r="AS33" s="758"/>
      <c r="AW33" s="758"/>
      <c r="AX33" s="758"/>
      <c r="AY33" s="758"/>
      <c r="AZ33" s="758"/>
      <c r="BA33" s="758"/>
      <c r="BB33" s="758"/>
      <c r="BC33" s="758"/>
      <c r="BD33" s="758"/>
      <c r="BE33" s="758"/>
      <c r="BF33" s="758"/>
      <c r="BG33" s="758"/>
      <c r="BH33" s="758"/>
      <c r="BI33" s="758"/>
      <c r="BJ33" s="758"/>
      <c r="BK33" s="758"/>
      <c r="BL33" s="758"/>
      <c r="BM33" s="758"/>
    </row>
    <row r="34" spans="1:65" ht="15" customHeight="1" x14ac:dyDescent="0.3">
      <c r="A34" s="122"/>
      <c r="B34" s="2845" t="s">
        <v>5816</v>
      </c>
      <c r="C34" s="2845"/>
      <c r="D34" s="2845"/>
      <c r="E34" s="2845"/>
      <c r="F34" s="2845"/>
      <c r="G34" s="2845"/>
      <c r="H34" s="2845"/>
      <c r="I34" s="2845"/>
      <c r="J34" s="2845"/>
      <c r="K34" s="2845"/>
      <c r="L34" s="2845"/>
      <c r="M34" s="2845"/>
      <c r="N34" s="2845"/>
      <c r="O34" s="2845"/>
      <c r="P34" s="2845"/>
      <c r="Q34" s="2845"/>
      <c r="R34" s="2845"/>
      <c r="S34" s="2845"/>
      <c r="T34" s="2845"/>
      <c r="U34" s="2845"/>
      <c r="V34" s="2845"/>
      <c r="W34" s="2845"/>
      <c r="X34" s="2845"/>
      <c r="Y34" s="2845"/>
      <c r="Z34" s="2845"/>
      <c r="AA34" s="2845"/>
      <c r="AB34" s="2845"/>
      <c r="AC34" s="2845"/>
      <c r="AD34" s="2845"/>
      <c r="AE34" s="2845"/>
      <c r="AF34" s="2845"/>
      <c r="AG34" s="4"/>
      <c r="AH34" s="4"/>
      <c r="AI34" s="4"/>
      <c r="AJ34" s="4"/>
      <c r="AL34" s="758"/>
      <c r="AM34" s="758"/>
      <c r="AN34" s="758"/>
      <c r="AO34" s="758"/>
      <c r="AP34" s="758"/>
      <c r="AQ34" s="758"/>
      <c r="AR34" s="758"/>
      <c r="AS34" s="758"/>
      <c r="AW34" s="758"/>
      <c r="AX34" s="758"/>
      <c r="AY34" s="758"/>
      <c r="AZ34" s="758"/>
      <c r="BA34" s="758"/>
      <c r="BB34" s="758"/>
      <c r="BC34" s="758"/>
      <c r="BD34" s="758"/>
      <c r="BE34" s="758"/>
      <c r="BF34" s="758"/>
      <c r="BG34" s="758"/>
      <c r="BH34" s="758"/>
      <c r="BI34" s="758"/>
      <c r="BJ34" s="758"/>
      <c r="BK34" s="758"/>
      <c r="BL34" s="758"/>
      <c r="BM34" s="758"/>
    </row>
    <row r="35" spans="1:65" x14ac:dyDescent="0.3">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
      <c r="AH35" s="1"/>
      <c r="AI35" s="1"/>
      <c r="AJ35" s="1"/>
      <c r="AL35" s="553"/>
      <c r="AT35" s="94"/>
      <c r="AU35" s="94"/>
    </row>
    <row r="36" spans="1:65" x14ac:dyDescent="0.3">
      <c r="A36" s="121"/>
      <c r="B36" s="267" t="s">
        <v>13</v>
      </c>
      <c r="C36" s="267"/>
      <c r="D36" s="267"/>
      <c r="E36" s="267"/>
      <c r="F36" s="267"/>
      <c r="G36" s="267"/>
      <c r="H36" s="267"/>
      <c r="I36" s="267"/>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
      <c r="AH36" s="1"/>
      <c r="AI36" s="1"/>
      <c r="AJ36" s="1"/>
      <c r="AL36" s="238"/>
      <c r="AT36" s="94"/>
      <c r="AU36" s="94"/>
    </row>
    <row r="37" spans="1:65" ht="39.75" customHeight="1" x14ac:dyDescent="0.3">
      <c r="A37" s="121"/>
      <c r="B37" s="889" t="s">
        <v>6455</v>
      </c>
      <c r="C37" s="996"/>
      <c r="D37" s="996"/>
      <c r="E37" s="996"/>
      <c r="F37" s="996"/>
      <c r="G37" s="996"/>
      <c r="H37" s="996"/>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1"/>
      <c r="AH37" s="1"/>
      <c r="AI37" s="1"/>
      <c r="AJ37" s="1"/>
      <c r="AL37" s="1693"/>
      <c r="AM37" s="1693"/>
      <c r="AN37" s="1693"/>
      <c r="AO37" s="1693"/>
      <c r="AP37" s="1693"/>
      <c r="AQ37" s="1693"/>
      <c r="AR37" s="1693"/>
      <c r="AS37" s="1693"/>
      <c r="AT37" s="1693"/>
      <c r="AU37" s="1693"/>
      <c r="AV37" s="1693"/>
      <c r="AW37" s="1693"/>
      <c r="AX37" s="1693"/>
      <c r="AY37" s="1693"/>
      <c r="AZ37" s="1693"/>
      <c r="BA37" s="1693"/>
      <c r="BB37" s="1693"/>
      <c r="BC37" s="1693"/>
      <c r="BD37" s="1693"/>
      <c r="BE37" s="1693"/>
      <c r="BF37" s="1693"/>
      <c r="BG37" s="1693"/>
      <c r="BH37" s="1693"/>
      <c r="BI37" s="1693"/>
      <c r="BJ37" s="1693"/>
      <c r="BK37" s="1693"/>
      <c r="BL37" s="1693"/>
      <c r="BM37" s="1693"/>
    </row>
    <row r="38" spans="1:65"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
      <c r="AH38" s="1"/>
      <c r="AI38" s="1"/>
      <c r="AJ38" s="1"/>
      <c r="AL38" s="709"/>
    </row>
    <row r="39" spans="1:65"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
      <c r="AH39" s="1"/>
      <c r="AI39" s="1"/>
      <c r="AJ39" s="1"/>
      <c r="AL39" s="553"/>
    </row>
    <row r="40" spans="1:65" x14ac:dyDescent="0.3">
      <c r="A40" s="1290" t="s">
        <v>7</v>
      </c>
      <c r="B40" s="1290"/>
      <c r="C40" s="1290"/>
      <c r="D40" s="1290"/>
      <c r="E40" s="1290"/>
      <c r="F40" s="1290"/>
      <c r="G40" s="1290"/>
      <c r="H40" s="1290"/>
      <c r="I40" s="1290"/>
      <c r="J40" s="1290"/>
      <c r="K40" s="1290"/>
      <c r="L40" s="1290"/>
      <c r="M40" s="1290"/>
      <c r="N40" s="1290"/>
      <c r="O40" s="1290"/>
      <c r="P40" s="1290"/>
      <c r="Q40" s="1290"/>
      <c r="R40" s="1290"/>
      <c r="S40" s="1290"/>
      <c r="T40" s="1290"/>
      <c r="U40" s="1290"/>
      <c r="V40" s="1290"/>
      <c r="W40" s="1290"/>
      <c r="X40" s="1290"/>
      <c r="Y40" s="1290"/>
      <c r="Z40" s="1290"/>
      <c r="AA40" s="1290"/>
      <c r="AB40" s="1290"/>
      <c r="AC40" s="1290"/>
      <c r="AD40" s="1290"/>
      <c r="AE40" s="1290"/>
      <c r="AF40" s="1290"/>
      <c r="AG40" s="1"/>
      <c r="AH40" s="1"/>
      <c r="AI40" s="1"/>
      <c r="AJ40" s="1"/>
      <c r="AL40" s="553"/>
    </row>
    <row r="41" spans="1:65" x14ac:dyDescent="0.3">
      <c r="A41" s="585"/>
      <c r="B41" s="585"/>
      <c r="C41" s="585"/>
      <c r="D41" s="585"/>
      <c r="E41" s="585"/>
      <c r="F41" s="585"/>
      <c r="G41" s="585"/>
      <c r="H41" s="585"/>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
      <c r="AH41" s="1"/>
      <c r="AI41" s="1"/>
      <c r="AJ41" s="1"/>
      <c r="AL41" s="758"/>
      <c r="AM41" s="758"/>
      <c r="AN41" s="758"/>
      <c r="AO41" s="758"/>
      <c r="AP41" s="758"/>
      <c r="AQ41" s="758"/>
      <c r="AR41" s="758"/>
      <c r="AS41" s="758"/>
      <c r="AT41" s="758"/>
      <c r="AU41" s="758"/>
      <c r="AV41" s="758"/>
      <c r="AW41" s="758"/>
      <c r="AX41" s="758"/>
      <c r="AY41" s="758"/>
      <c r="AZ41" s="758"/>
      <c r="BA41" s="758"/>
      <c r="BB41" s="758"/>
      <c r="BC41" s="758"/>
      <c r="BD41" s="758"/>
      <c r="BE41" s="758"/>
      <c r="BF41" s="758"/>
      <c r="BG41" s="758"/>
      <c r="BH41" s="758"/>
      <c r="BI41" s="758"/>
      <c r="BJ41" s="758"/>
      <c r="BK41" s="758"/>
      <c r="BL41" s="758"/>
      <c r="BM41" s="758"/>
    </row>
    <row r="42" spans="1:65" x14ac:dyDescent="0.3">
      <c r="A42" s="121"/>
      <c r="B42" s="372" t="s">
        <v>3372</v>
      </c>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L42" s="553"/>
    </row>
    <row r="43" spans="1:65" x14ac:dyDescent="0.3">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L43" s="553"/>
    </row>
    <row r="44" spans="1:65" x14ac:dyDescent="0.3">
      <c r="A44" s="1694"/>
      <c r="B44" s="1694"/>
      <c r="C44" s="1694"/>
      <c r="D44" s="1694"/>
      <c r="E44" s="1694"/>
      <c r="F44" s="1694"/>
      <c r="G44" s="1694"/>
      <c r="H44" s="1694"/>
      <c r="I44" s="272"/>
      <c r="J44" s="272"/>
      <c r="K44" s="272"/>
      <c r="L44" s="272"/>
      <c r="M44" s="272"/>
      <c r="N44" s="272"/>
      <c r="O44" s="272"/>
      <c r="P44" s="272"/>
      <c r="Q44" s="272"/>
      <c r="R44" s="272"/>
      <c r="S44" s="272"/>
      <c r="T44" s="272"/>
      <c r="U44" s="272"/>
      <c r="V44" s="272"/>
      <c r="W44" s="272"/>
      <c r="X44" s="272"/>
      <c r="Y44" s="272"/>
      <c r="Z44" s="272"/>
      <c r="AA44" s="272"/>
      <c r="AB44" s="272"/>
      <c r="AC44" s="272"/>
      <c r="AD44" s="272"/>
      <c r="AE44" s="272"/>
      <c r="AF44" s="272" t="s">
        <v>1463</v>
      </c>
      <c r="AL44" s="553"/>
    </row>
    <row r="45" spans="1:65" x14ac:dyDescent="0.3">
      <c r="A45" s="60"/>
      <c r="B45" s="60"/>
      <c r="C45" s="60"/>
      <c r="D45" s="60"/>
      <c r="E45" s="60"/>
      <c r="F45" s="60"/>
      <c r="G45" s="60"/>
      <c r="H45" s="60"/>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L45" s="553"/>
    </row>
    <row r="46" spans="1:65" x14ac:dyDescent="0.3">
      <c r="A46" s="121"/>
      <c r="B46" s="372" t="s">
        <v>3373</v>
      </c>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L46" s="553"/>
    </row>
    <row r="47" spans="1:65" x14ac:dyDescent="0.3">
      <c r="A47" s="121"/>
      <c r="B47" s="121"/>
      <c r="C47" s="739" t="s">
        <v>5817</v>
      </c>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L47" s="553"/>
      <c r="AU47" s="94"/>
    </row>
    <row r="48" spans="1:65" x14ac:dyDescent="0.3">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L48" s="553"/>
    </row>
    <row r="49" spans="1:47" x14ac:dyDescent="0.3">
      <c r="A49" s="1694"/>
      <c r="B49" s="1694"/>
      <c r="C49" s="1694"/>
      <c r="D49" s="1694"/>
      <c r="E49" s="1694"/>
      <c r="F49" s="1694"/>
      <c r="G49" s="1694"/>
      <c r="H49" s="1694"/>
      <c r="I49" s="272"/>
      <c r="J49" s="272"/>
      <c r="K49" s="272"/>
      <c r="L49" s="272"/>
      <c r="M49" s="272"/>
      <c r="N49" s="272"/>
      <c r="O49" s="272"/>
      <c r="P49" s="272"/>
      <c r="Q49" s="272"/>
      <c r="R49" s="272"/>
      <c r="S49" s="272"/>
      <c r="T49" s="272"/>
      <c r="U49" s="272"/>
      <c r="V49" s="272"/>
      <c r="W49" s="272"/>
      <c r="X49" s="272"/>
      <c r="Y49" s="272"/>
      <c r="Z49" s="272"/>
      <c r="AA49" s="272"/>
      <c r="AB49" s="272"/>
      <c r="AC49" s="272"/>
      <c r="AD49" s="272"/>
      <c r="AE49" s="272"/>
      <c r="AF49" s="272" t="s">
        <v>1464</v>
      </c>
      <c r="AL49" s="553"/>
    </row>
    <row r="50" spans="1:47" x14ac:dyDescent="0.3">
      <c r="A50" s="60"/>
      <c r="B50" s="60"/>
      <c r="C50" s="60"/>
      <c r="D50" s="60"/>
      <c r="E50" s="60"/>
      <c r="F50" s="60"/>
      <c r="G50" s="60"/>
      <c r="H50" s="60"/>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L50" s="553"/>
    </row>
    <row r="51" spans="1:47" x14ac:dyDescent="0.3">
      <c r="A51" s="60"/>
      <c r="B51" s="372" t="s">
        <v>2025</v>
      </c>
      <c r="C51" s="60"/>
      <c r="D51" s="60"/>
      <c r="E51" s="60"/>
      <c r="F51" s="60"/>
      <c r="G51" s="60"/>
      <c r="H51" s="60"/>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L51" s="553"/>
    </row>
    <row r="52" spans="1:47" x14ac:dyDescent="0.3">
      <c r="A52" s="60"/>
      <c r="B52" s="60"/>
      <c r="C52" s="60"/>
      <c r="D52" s="60"/>
      <c r="E52" s="60"/>
      <c r="F52" s="60"/>
      <c r="G52" s="60"/>
      <c r="H52" s="60"/>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L52" s="553"/>
    </row>
    <row r="53" spans="1:47" x14ac:dyDescent="0.3">
      <c r="A53" s="1694"/>
      <c r="B53" s="1694"/>
      <c r="C53" s="1694"/>
      <c r="D53" s="1694"/>
      <c r="E53" s="1694"/>
      <c r="F53" s="1694"/>
      <c r="G53" s="1694"/>
      <c r="H53" s="1694"/>
      <c r="I53" s="63"/>
      <c r="J53" s="272"/>
      <c r="K53" s="272"/>
      <c r="L53" s="272"/>
      <c r="M53" s="272"/>
      <c r="N53" s="272"/>
      <c r="O53" s="272"/>
      <c r="P53" s="272"/>
      <c r="Q53" s="272"/>
      <c r="R53" s="272"/>
      <c r="S53" s="272"/>
      <c r="T53" s="272"/>
      <c r="U53" s="272"/>
      <c r="V53" s="272"/>
      <c r="W53" s="272"/>
      <c r="X53" s="272"/>
      <c r="Y53" s="272"/>
      <c r="Z53" s="272"/>
      <c r="AA53" s="272"/>
      <c r="AB53" s="272"/>
      <c r="AC53" s="272"/>
      <c r="AD53" s="272"/>
      <c r="AE53" s="272"/>
      <c r="AF53" s="272" t="s">
        <v>1465</v>
      </c>
      <c r="AL53" s="553"/>
    </row>
    <row r="54" spans="1:47" x14ac:dyDescent="0.3">
      <c r="A54" s="60"/>
      <c r="B54" s="60"/>
      <c r="C54" s="60"/>
      <c r="D54" s="60"/>
      <c r="E54" s="59"/>
      <c r="F54" s="121"/>
      <c r="G54" s="60"/>
      <c r="H54" s="60"/>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L54" s="553"/>
    </row>
    <row r="55" spans="1:47" x14ac:dyDescent="0.3">
      <c r="A55" s="60"/>
      <c r="B55" s="372" t="s">
        <v>3374</v>
      </c>
      <c r="C55" s="60"/>
      <c r="D55" s="60"/>
      <c r="E55" s="60"/>
      <c r="F55" s="60"/>
      <c r="G55" s="60"/>
      <c r="H55" s="60"/>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L55" s="553"/>
    </row>
    <row r="56" spans="1:47" x14ac:dyDescent="0.3">
      <c r="A56" s="121"/>
      <c r="B56" s="121"/>
      <c r="C56" s="739" t="s">
        <v>5817</v>
      </c>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L56" s="553"/>
      <c r="AU56" s="94"/>
    </row>
    <row r="57" spans="1:47" x14ac:dyDescent="0.3">
      <c r="A57" s="60"/>
      <c r="B57" s="60"/>
      <c r="C57" s="60"/>
      <c r="D57" s="60"/>
      <c r="E57" s="60"/>
      <c r="F57" s="60"/>
      <c r="G57" s="60"/>
      <c r="H57" s="60"/>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L57" s="553"/>
    </row>
    <row r="58" spans="1:47" x14ac:dyDescent="0.3">
      <c r="A58" s="1694"/>
      <c r="B58" s="1694"/>
      <c r="C58" s="1694"/>
      <c r="D58" s="1694"/>
      <c r="E58" s="1694"/>
      <c r="F58" s="1694"/>
      <c r="G58" s="1694"/>
      <c r="H58" s="1694"/>
      <c r="I58" s="63"/>
      <c r="J58" s="272"/>
      <c r="K58" s="272"/>
      <c r="L58" s="272"/>
      <c r="M58" s="272"/>
      <c r="N58" s="272"/>
      <c r="O58" s="272"/>
      <c r="P58" s="272"/>
      <c r="Q58" s="272"/>
      <c r="R58" s="272"/>
      <c r="S58" s="272"/>
      <c r="T58" s="272"/>
      <c r="U58" s="272"/>
      <c r="V58" s="272"/>
      <c r="W58" s="272"/>
      <c r="X58" s="272"/>
      <c r="Y58" s="272"/>
      <c r="Z58" s="272"/>
      <c r="AA58" s="272"/>
      <c r="AB58" s="272"/>
      <c r="AC58" s="272"/>
      <c r="AD58" s="272"/>
      <c r="AE58" s="272"/>
      <c r="AF58" s="272" t="s">
        <v>1517</v>
      </c>
      <c r="AL58" s="553"/>
    </row>
    <row r="59" spans="1:47" x14ac:dyDescent="0.3">
      <c r="A59" s="60"/>
      <c r="B59" s="60"/>
      <c r="C59" s="60"/>
      <c r="D59" s="60"/>
      <c r="E59" s="59"/>
      <c r="F59" s="121"/>
      <c r="G59" s="60"/>
      <c r="H59" s="60"/>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L59" s="553"/>
    </row>
    <row r="60" spans="1:47" x14ac:dyDescent="0.3">
      <c r="A60" s="60"/>
      <c r="B60" s="372" t="s">
        <v>3351</v>
      </c>
      <c r="C60" s="60"/>
      <c r="D60" s="60"/>
      <c r="E60" s="60"/>
      <c r="F60" s="60"/>
      <c r="G60" s="60"/>
      <c r="H60" s="60"/>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L60" s="553"/>
    </row>
    <row r="61" spans="1:47" x14ac:dyDescent="0.3">
      <c r="A61" s="60"/>
      <c r="B61" s="60"/>
      <c r="C61" s="60"/>
      <c r="D61" s="60"/>
      <c r="E61" s="60"/>
      <c r="F61" s="60"/>
      <c r="G61" s="60"/>
      <c r="H61" s="60"/>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L61" s="553"/>
    </row>
    <row r="62" spans="1:47" x14ac:dyDescent="0.3">
      <c r="A62" s="1694"/>
      <c r="B62" s="1694"/>
      <c r="C62" s="1694"/>
      <c r="D62" s="1694"/>
      <c r="E62" s="1694"/>
      <c r="F62" s="1694"/>
      <c r="G62" s="1694"/>
      <c r="H62" s="1694"/>
      <c r="I62" s="272"/>
      <c r="J62" s="63"/>
      <c r="K62" s="63"/>
      <c r="L62" s="63"/>
      <c r="M62" s="63"/>
      <c r="N62" s="63"/>
      <c r="O62" s="63"/>
      <c r="P62" s="63"/>
      <c r="Q62" s="63"/>
      <c r="R62" s="63"/>
      <c r="S62" s="63"/>
      <c r="T62" s="63"/>
      <c r="U62" s="63"/>
      <c r="V62" s="63"/>
      <c r="W62" s="63"/>
      <c r="X62" s="63"/>
      <c r="Y62" s="63"/>
      <c r="Z62" s="63"/>
      <c r="AA62" s="63"/>
      <c r="AB62" s="63"/>
      <c r="AC62" s="63"/>
      <c r="AD62" s="63"/>
      <c r="AE62" s="63"/>
      <c r="AF62" s="272" t="s">
        <v>1556</v>
      </c>
      <c r="AL62" s="553"/>
    </row>
    <row r="63" spans="1:47" x14ac:dyDescent="0.3">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
      <c r="AH63" s="1"/>
      <c r="AI63" s="1"/>
      <c r="AJ63" s="1"/>
      <c r="AL63" s="553"/>
    </row>
    <row r="64" spans="1:47" x14ac:dyDescent="0.3">
      <c r="A64" s="581"/>
      <c r="B64" s="581"/>
      <c r="C64" s="581"/>
      <c r="D64" s="581"/>
      <c r="E64" s="581"/>
      <c r="F64" s="581"/>
      <c r="G64" s="581"/>
      <c r="H64" s="58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c r="AG64" s="1"/>
      <c r="AH64" s="1"/>
      <c r="AI64" s="1"/>
      <c r="AJ64" s="1"/>
      <c r="AL64" s="553"/>
    </row>
    <row r="65" spans="1:42" x14ac:dyDescent="0.3">
      <c r="A65" s="1290" t="s">
        <v>8</v>
      </c>
      <c r="B65" s="1290"/>
      <c r="C65" s="1290"/>
      <c r="D65" s="1290"/>
      <c r="E65" s="1290"/>
      <c r="F65" s="1290"/>
      <c r="G65" s="1290"/>
      <c r="H65" s="1290"/>
      <c r="I65" s="1290"/>
      <c r="J65" s="1290"/>
      <c r="K65" s="1290"/>
      <c r="L65" s="1290"/>
      <c r="M65" s="1290"/>
      <c r="N65" s="1290"/>
      <c r="O65" s="1290"/>
      <c r="P65" s="1290"/>
      <c r="Q65" s="1290"/>
      <c r="R65" s="1290"/>
      <c r="S65" s="1290"/>
      <c r="T65" s="1290"/>
      <c r="U65" s="1290"/>
      <c r="V65" s="1290"/>
      <c r="W65" s="1290"/>
      <c r="X65" s="1290"/>
      <c r="Y65" s="1290"/>
      <c r="Z65" s="1290"/>
      <c r="AA65" s="1290"/>
      <c r="AB65" s="1290"/>
      <c r="AC65" s="1290"/>
      <c r="AD65" s="1290"/>
      <c r="AE65" s="1290"/>
      <c r="AF65" s="1290"/>
      <c r="AG65" s="1"/>
      <c r="AH65" s="1"/>
      <c r="AI65" s="1"/>
      <c r="AJ65" s="1"/>
      <c r="AL65" s="553"/>
    </row>
    <row r="66" spans="1:42" x14ac:dyDescent="0.3">
      <c r="A66" s="1405" t="s">
        <v>9</v>
      </c>
      <c r="B66" s="1405"/>
      <c r="C66" s="1405"/>
      <c r="D66" s="1405"/>
      <c r="E66" s="1405" t="s">
        <v>3</v>
      </c>
      <c r="F66" s="1405"/>
      <c r="G66" s="1405"/>
      <c r="H66" s="1405"/>
      <c r="I66" s="1405"/>
      <c r="J66" s="1405"/>
      <c r="K66" s="1405"/>
      <c r="L66" s="1405"/>
      <c r="M66" s="1405"/>
      <c r="N66" s="1405"/>
      <c r="O66" s="1405"/>
      <c r="P66" s="1405"/>
      <c r="Q66" s="1405" t="s">
        <v>10</v>
      </c>
      <c r="R66" s="1405"/>
      <c r="S66" s="1405"/>
      <c r="T66" s="1405"/>
      <c r="U66" s="1366" t="s">
        <v>11</v>
      </c>
      <c r="V66" s="1367"/>
      <c r="W66" s="1368"/>
      <c r="X66" s="1366" t="s">
        <v>2612</v>
      </c>
      <c r="Y66" s="1367"/>
      <c r="Z66" s="1367"/>
      <c r="AA66" s="1367"/>
      <c r="AB66" s="1367"/>
      <c r="AC66" s="1367"/>
      <c r="AD66" s="1367"/>
      <c r="AE66" s="1367"/>
      <c r="AF66" s="1368"/>
      <c r="AG66" s="1"/>
      <c r="AH66" s="1"/>
      <c r="AI66" s="1"/>
      <c r="AJ66" s="1"/>
      <c r="AL66" s="553"/>
    </row>
    <row r="67" spans="1:42" ht="42" customHeight="1" x14ac:dyDescent="0.3">
      <c r="A67" s="1349" t="s">
        <v>2720</v>
      </c>
      <c r="B67" s="1350"/>
      <c r="C67" s="1350"/>
      <c r="D67" s="1351"/>
      <c r="E67" s="1163" t="s">
        <v>4644</v>
      </c>
      <c r="F67" s="1164"/>
      <c r="G67" s="1164"/>
      <c r="H67" s="1164"/>
      <c r="I67" s="1164"/>
      <c r="J67" s="1164"/>
      <c r="K67" s="1164"/>
      <c r="L67" s="1164"/>
      <c r="M67" s="1164"/>
      <c r="N67" s="1164"/>
      <c r="O67" s="1164"/>
      <c r="P67" s="1165"/>
      <c r="Q67" s="1325" t="s">
        <v>2721</v>
      </c>
      <c r="R67" s="1326"/>
      <c r="S67" s="1326"/>
      <c r="T67" s="1327"/>
      <c r="U67" s="1352" t="s">
        <v>2722</v>
      </c>
      <c r="V67" s="1353"/>
      <c r="W67" s="1354"/>
      <c r="X67" s="1349" t="s">
        <v>3387</v>
      </c>
      <c r="Y67" s="1350"/>
      <c r="Z67" s="1350"/>
      <c r="AA67" s="1350"/>
      <c r="AB67" s="1350"/>
      <c r="AC67" s="1350"/>
      <c r="AD67" s="1350"/>
      <c r="AE67" s="1350"/>
      <c r="AF67" s="1351"/>
      <c r="AG67" s="1"/>
      <c r="AH67" s="1"/>
      <c r="AI67" s="1"/>
      <c r="AJ67" s="1"/>
      <c r="AL67" s="553"/>
    </row>
    <row r="68" spans="1:42" ht="31.5" customHeight="1" x14ac:dyDescent="0.3">
      <c r="A68" s="1349" t="s">
        <v>5844</v>
      </c>
      <c r="B68" s="1350"/>
      <c r="C68" s="1350"/>
      <c r="D68" s="1351"/>
      <c r="E68" s="1163" t="s">
        <v>5818</v>
      </c>
      <c r="F68" s="1164"/>
      <c r="G68" s="1164"/>
      <c r="H68" s="1164"/>
      <c r="I68" s="1164"/>
      <c r="J68" s="1164"/>
      <c r="K68" s="1164"/>
      <c r="L68" s="1164"/>
      <c r="M68" s="1164"/>
      <c r="N68" s="1164"/>
      <c r="O68" s="1164"/>
      <c r="P68" s="1165"/>
      <c r="Q68" s="1325" t="s">
        <v>5819</v>
      </c>
      <c r="R68" s="1326"/>
      <c r="S68" s="1326"/>
      <c r="T68" s="1327"/>
      <c r="U68" s="1365" t="s">
        <v>20</v>
      </c>
      <c r="V68" s="1353"/>
      <c r="W68" s="1354"/>
      <c r="X68" s="1163" t="s">
        <v>5820</v>
      </c>
      <c r="Y68" s="1164"/>
      <c r="Z68" s="1164"/>
      <c r="AA68" s="1164"/>
      <c r="AB68" s="1164"/>
      <c r="AC68" s="1164"/>
      <c r="AD68" s="1164"/>
      <c r="AE68" s="1164"/>
      <c r="AF68" s="1165"/>
      <c r="AG68" s="1"/>
      <c r="AH68" s="1"/>
      <c r="AI68" s="1"/>
      <c r="AJ68" s="1"/>
      <c r="AL68" s="553"/>
    </row>
    <row r="69" spans="1:42" ht="60.75" customHeight="1" x14ac:dyDescent="0.3">
      <c r="A69" s="2863" t="s">
        <v>5845</v>
      </c>
      <c r="B69" s="2864" t="s">
        <v>202</v>
      </c>
      <c r="C69" s="2864" t="s">
        <v>202</v>
      </c>
      <c r="D69" s="2865" t="s">
        <v>202</v>
      </c>
      <c r="E69" s="2862" t="s">
        <v>3638</v>
      </c>
      <c r="F69" s="2862"/>
      <c r="G69" s="2862" t="s">
        <v>204</v>
      </c>
      <c r="H69" s="2862"/>
      <c r="I69" s="2862" t="s">
        <v>204</v>
      </c>
      <c r="J69" s="2862"/>
      <c r="K69" s="2862" t="s">
        <v>204</v>
      </c>
      <c r="L69" s="2862"/>
      <c r="M69" s="2862" t="s">
        <v>204</v>
      </c>
      <c r="N69" s="2862"/>
      <c r="O69" s="2862" t="s">
        <v>204</v>
      </c>
      <c r="P69" s="2862"/>
      <c r="Q69" s="2847">
        <v>9.9</v>
      </c>
      <c r="R69" s="2848"/>
      <c r="S69" s="2848"/>
      <c r="T69" s="2849"/>
      <c r="U69" s="1352" t="s">
        <v>2725</v>
      </c>
      <c r="V69" s="1353"/>
      <c r="W69" s="1354"/>
      <c r="X69" s="1163" t="s">
        <v>5846</v>
      </c>
      <c r="Y69" s="1164"/>
      <c r="Z69" s="1164"/>
      <c r="AA69" s="1164"/>
      <c r="AB69" s="1164"/>
      <c r="AC69" s="1164"/>
      <c r="AD69" s="1164"/>
      <c r="AE69" s="1164"/>
      <c r="AF69" s="1165"/>
      <c r="AL69" s="709"/>
    </row>
    <row r="70" spans="1:42" ht="51" customHeight="1" x14ac:dyDescent="0.3">
      <c r="A70" s="2866"/>
      <c r="B70" s="2867"/>
      <c r="C70" s="2867"/>
      <c r="D70" s="2868"/>
      <c r="E70" s="2862" t="s">
        <v>3639</v>
      </c>
      <c r="F70" s="2862"/>
      <c r="G70" s="2862" t="s">
        <v>204</v>
      </c>
      <c r="H70" s="2862"/>
      <c r="I70" s="2862" t="s">
        <v>204</v>
      </c>
      <c r="J70" s="2862"/>
      <c r="K70" s="2862" t="s">
        <v>204</v>
      </c>
      <c r="L70" s="2862"/>
      <c r="M70" s="2862" t="s">
        <v>204</v>
      </c>
      <c r="N70" s="2862"/>
      <c r="O70" s="2862" t="s">
        <v>204</v>
      </c>
      <c r="P70" s="2862"/>
      <c r="Q70" s="2847">
        <v>10</v>
      </c>
      <c r="R70" s="2848"/>
      <c r="S70" s="2848"/>
      <c r="T70" s="2849"/>
      <c r="U70" s="1352" t="s">
        <v>2725</v>
      </c>
      <c r="V70" s="1353"/>
      <c r="W70" s="1354"/>
      <c r="X70" s="1349" t="s">
        <v>3376</v>
      </c>
      <c r="Y70" s="1350"/>
      <c r="Z70" s="1350"/>
      <c r="AA70" s="1350"/>
      <c r="AB70" s="1350"/>
      <c r="AC70" s="1350"/>
      <c r="AD70" s="1350"/>
      <c r="AE70" s="1350"/>
      <c r="AF70" s="1351"/>
      <c r="AG70" s="1"/>
      <c r="AH70" s="1"/>
      <c r="AI70" s="1"/>
      <c r="AJ70" s="1"/>
      <c r="AL70" s="553"/>
    </row>
    <row r="71" spans="1:42" ht="63.75" customHeight="1" x14ac:dyDescent="0.3">
      <c r="A71" s="2859" t="s">
        <v>5840</v>
      </c>
      <c r="B71" s="2860" t="s">
        <v>202</v>
      </c>
      <c r="C71" s="2860" t="s">
        <v>202</v>
      </c>
      <c r="D71" s="2861" t="s">
        <v>202</v>
      </c>
      <c r="E71" s="2862" t="s">
        <v>5821</v>
      </c>
      <c r="F71" s="2862"/>
      <c r="G71" s="2862" t="s">
        <v>204</v>
      </c>
      <c r="H71" s="2862"/>
      <c r="I71" s="2862" t="s">
        <v>204</v>
      </c>
      <c r="J71" s="2862"/>
      <c r="K71" s="2862" t="s">
        <v>204</v>
      </c>
      <c r="L71" s="2862"/>
      <c r="M71" s="2862" t="s">
        <v>204</v>
      </c>
      <c r="N71" s="2862"/>
      <c r="O71" s="2862" t="s">
        <v>204</v>
      </c>
      <c r="P71" s="2862"/>
      <c r="Q71" s="2847" t="s">
        <v>5822</v>
      </c>
      <c r="R71" s="2848"/>
      <c r="S71" s="2848"/>
      <c r="T71" s="2849"/>
      <c r="U71" s="1352" t="s">
        <v>2725</v>
      </c>
      <c r="V71" s="1353"/>
      <c r="W71" s="1354"/>
      <c r="X71" s="1349" t="s">
        <v>3375</v>
      </c>
      <c r="Y71" s="1350"/>
      <c r="Z71" s="1350"/>
      <c r="AA71" s="1350"/>
      <c r="AB71" s="1350"/>
      <c r="AC71" s="1350"/>
      <c r="AD71" s="1350"/>
      <c r="AE71" s="1350"/>
      <c r="AF71" s="1351"/>
      <c r="AG71" s="1"/>
      <c r="AH71" s="1"/>
      <c r="AI71" s="1"/>
      <c r="AJ71" s="1"/>
      <c r="AL71" s="709"/>
    </row>
    <row r="72" spans="1:42" ht="54" customHeight="1" x14ac:dyDescent="0.3">
      <c r="A72" s="1349" t="s">
        <v>5841</v>
      </c>
      <c r="B72" s="1350"/>
      <c r="C72" s="1350"/>
      <c r="D72" s="1351"/>
      <c r="E72" s="1163" t="s">
        <v>5823</v>
      </c>
      <c r="F72" s="1164"/>
      <c r="G72" s="1164"/>
      <c r="H72" s="1164"/>
      <c r="I72" s="1164"/>
      <c r="J72" s="1164"/>
      <c r="K72" s="1164"/>
      <c r="L72" s="1164"/>
      <c r="M72" s="1164"/>
      <c r="N72" s="1164"/>
      <c r="O72" s="1164"/>
      <c r="P72" s="1165"/>
      <c r="Q72" s="2847" t="s">
        <v>2723</v>
      </c>
      <c r="R72" s="2848"/>
      <c r="S72" s="2848"/>
      <c r="T72" s="2849"/>
      <c r="U72" s="1352" t="s">
        <v>2725</v>
      </c>
      <c r="V72" s="1353"/>
      <c r="W72" s="1354"/>
      <c r="X72" s="1163" t="s">
        <v>5842</v>
      </c>
      <c r="Y72" s="1164"/>
      <c r="Z72" s="1164"/>
      <c r="AA72" s="1164"/>
      <c r="AB72" s="1164"/>
      <c r="AC72" s="1164"/>
      <c r="AD72" s="1164"/>
      <c r="AE72" s="1164"/>
      <c r="AF72" s="1165"/>
      <c r="AG72" s="1"/>
      <c r="AH72" s="1"/>
      <c r="AI72" s="1"/>
      <c r="AJ72" s="1"/>
      <c r="AL72" s="709"/>
      <c r="AP72" s="94"/>
    </row>
    <row r="73" spans="1:42" ht="59.25" customHeight="1" x14ac:dyDescent="0.3">
      <c r="A73" s="1157" t="s">
        <v>3377</v>
      </c>
      <c r="B73" s="1158"/>
      <c r="C73" s="1158"/>
      <c r="D73" s="1159"/>
      <c r="E73" s="1163" t="s">
        <v>3640</v>
      </c>
      <c r="F73" s="1164"/>
      <c r="G73" s="1164"/>
      <c r="H73" s="1164"/>
      <c r="I73" s="1164"/>
      <c r="J73" s="1164"/>
      <c r="K73" s="1164"/>
      <c r="L73" s="1164"/>
      <c r="M73" s="1164"/>
      <c r="N73" s="1164"/>
      <c r="O73" s="1164"/>
      <c r="P73" s="1165"/>
      <c r="Q73" s="2847">
        <v>11</v>
      </c>
      <c r="R73" s="2848"/>
      <c r="S73" s="2848"/>
      <c r="T73" s="2849"/>
      <c r="U73" s="1352" t="s">
        <v>2725</v>
      </c>
      <c r="V73" s="1353"/>
      <c r="W73" s="1354"/>
      <c r="X73" s="1163" t="s">
        <v>5843</v>
      </c>
      <c r="Y73" s="1164"/>
      <c r="Z73" s="1164"/>
      <c r="AA73" s="1164"/>
      <c r="AB73" s="1164"/>
      <c r="AC73" s="1164"/>
      <c r="AD73" s="1164"/>
      <c r="AE73" s="1164"/>
      <c r="AF73" s="1165"/>
      <c r="AL73" s="709"/>
    </row>
    <row r="74" spans="1:42" ht="58.5" customHeight="1" x14ac:dyDescent="0.3">
      <c r="A74" s="1160"/>
      <c r="B74" s="1161"/>
      <c r="C74" s="1161"/>
      <c r="D74" s="1162"/>
      <c r="E74" s="1163" t="s">
        <v>3641</v>
      </c>
      <c r="F74" s="1164"/>
      <c r="G74" s="1164"/>
      <c r="H74" s="1164"/>
      <c r="I74" s="1164"/>
      <c r="J74" s="1164"/>
      <c r="K74" s="1164"/>
      <c r="L74" s="1164"/>
      <c r="M74" s="1164"/>
      <c r="N74" s="1164"/>
      <c r="O74" s="1164"/>
      <c r="P74" s="1165"/>
      <c r="Q74" s="2847">
        <v>13</v>
      </c>
      <c r="R74" s="2848"/>
      <c r="S74" s="2848"/>
      <c r="T74" s="2849"/>
      <c r="U74" s="1352" t="s">
        <v>2725</v>
      </c>
      <c r="V74" s="1353"/>
      <c r="W74" s="1354"/>
      <c r="X74" s="1349" t="s">
        <v>3534</v>
      </c>
      <c r="Y74" s="1350"/>
      <c r="Z74" s="1350"/>
      <c r="AA74" s="1350"/>
      <c r="AB74" s="1350"/>
      <c r="AC74" s="1350"/>
      <c r="AD74" s="1350"/>
      <c r="AE74" s="1350"/>
      <c r="AF74" s="1351"/>
      <c r="AG74" s="1"/>
      <c r="AH74" s="1"/>
      <c r="AI74" s="1"/>
      <c r="AJ74" s="1"/>
      <c r="AL74" s="553"/>
    </row>
    <row r="75" spans="1:42" ht="58.5" customHeight="1" x14ac:dyDescent="0.3">
      <c r="A75" s="1349" t="s">
        <v>5837</v>
      </c>
      <c r="B75" s="1350"/>
      <c r="C75" s="1350"/>
      <c r="D75" s="1351"/>
      <c r="E75" s="1163" t="s">
        <v>5824</v>
      </c>
      <c r="F75" s="1164"/>
      <c r="G75" s="1164"/>
      <c r="H75" s="1164"/>
      <c r="I75" s="1164"/>
      <c r="J75" s="1164"/>
      <c r="K75" s="1164"/>
      <c r="L75" s="1164"/>
      <c r="M75" s="1164"/>
      <c r="N75" s="1164"/>
      <c r="O75" s="1164"/>
      <c r="P75" s="1165"/>
      <c r="Q75" s="1325" t="s">
        <v>5819</v>
      </c>
      <c r="R75" s="1326"/>
      <c r="S75" s="1326"/>
      <c r="T75" s="1327"/>
      <c r="U75" s="1365" t="s">
        <v>20</v>
      </c>
      <c r="V75" s="1353"/>
      <c r="W75" s="1354"/>
      <c r="X75" s="1163" t="s">
        <v>5820</v>
      </c>
      <c r="Y75" s="1164"/>
      <c r="Z75" s="1164"/>
      <c r="AA75" s="1164"/>
      <c r="AB75" s="1164"/>
      <c r="AC75" s="1164"/>
      <c r="AD75" s="1164"/>
      <c r="AE75" s="1164"/>
      <c r="AF75" s="1165"/>
      <c r="AG75" s="1"/>
      <c r="AH75" s="1"/>
      <c r="AI75" s="1"/>
      <c r="AJ75" s="1"/>
      <c r="AL75" s="709"/>
    </row>
    <row r="76" spans="1:42" ht="60.75" customHeight="1" x14ac:dyDescent="0.3">
      <c r="A76" s="1349" t="s">
        <v>5838</v>
      </c>
      <c r="B76" s="1350"/>
      <c r="C76" s="1350"/>
      <c r="D76" s="1351"/>
      <c r="E76" s="1163" t="s">
        <v>5825</v>
      </c>
      <c r="F76" s="1164"/>
      <c r="G76" s="1164"/>
      <c r="H76" s="1164"/>
      <c r="I76" s="1164"/>
      <c r="J76" s="1164"/>
      <c r="K76" s="1164"/>
      <c r="L76" s="1164"/>
      <c r="M76" s="1164"/>
      <c r="N76" s="1164"/>
      <c r="O76" s="1164"/>
      <c r="P76" s="1165"/>
      <c r="Q76" s="2847" t="s">
        <v>5822</v>
      </c>
      <c r="R76" s="2848"/>
      <c r="S76" s="2848"/>
      <c r="T76" s="2849"/>
      <c r="U76" s="1352" t="s">
        <v>2725</v>
      </c>
      <c r="V76" s="1353"/>
      <c r="W76" s="1354"/>
      <c r="X76" s="1349" t="s">
        <v>3535</v>
      </c>
      <c r="Y76" s="1350"/>
      <c r="Z76" s="1350"/>
      <c r="AA76" s="1350"/>
      <c r="AB76" s="1350"/>
      <c r="AC76" s="1350"/>
      <c r="AD76" s="1350"/>
      <c r="AE76" s="1350"/>
      <c r="AF76" s="1351"/>
      <c r="AG76" s="1"/>
      <c r="AH76" s="1"/>
      <c r="AI76" s="1"/>
      <c r="AJ76" s="1"/>
      <c r="AL76" s="709"/>
    </row>
    <row r="77" spans="1:42" ht="53.25" customHeight="1" x14ac:dyDescent="0.3">
      <c r="A77" s="1349" t="s">
        <v>5839</v>
      </c>
      <c r="B77" s="1350"/>
      <c r="C77" s="1350"/>
      <c r="D77" s="1351"/>
      <c r="E77" s="1163" t="s">
        <v>5826</v>
      </c>
      <c r="F77" s="1164"/>
      <c r="G77" s="1164"/>
      <c r="H77" s="1164"/>
      <c r="I77" s="1164"/>
      <c r="J77" s="1164"/>
      <c r="K77" s="1164"/>
      <c r="L77" s="1164"/>
      <c r="M77" s="1164"/>
      <c r="N77" s="1164"/>
      <c r="O77" s="1164"/>
      <c r="P77" s="1165"/>
      <c r="Q77" s="2847" t="s">
        <v>2723</v>
      </c>
      <c r="R77" s="2848"/>
      <c r="S77" s="2848"/>
      <c r="T77" s="2849"/>
      <c r="U77" s="1352" t="s">
        <v>2725</v>
      </c>
      <c r="V77" s="1353"/>
      <c r="W77" s="1354"/>
      <c r="X77" s="1163" t="s">
        <v>6450</v>
      </c>
      <c r="Y77" s="1164"/>
      <c r="Z77" s="1164"/>
      <c r="AA77" s="1164"/>
      <c r="AB77" s="1164"/>
      <c r="AC77" s="1164"/>
      <c r="AD77" s="1164"/>
      <c r="AE77" s="1164"/>
      <c r="AF77" s="1165"/>
      <c r="AG77" s="1"/>
      <c r="AH77" s="1"/>
      <c r="AI77" s="1"/>
      <c r="AJ77" s="1"/>
      <c r="AL77" s="709"/>
      <c r="AP77" s="238"/>
    </row>
    <row r="78" spans="1:42" ht="103.5" customHeight="1" x14ac:dyDescent="0.3">
      <c r="A78" s="1349" t="s">
        <v>21</v>
      </c>
      <c r="B78" s="1350"/>
      <c r="C78" s="1350"/>
      <c r="D78" s="1351"/>
      <c r="E78" s="1163" t="s">
        <v>96</v>
      </c>
      <c r="F78" s="1164"/>
      <c r="G78" s="1164"/>
      <c r="H78" s="1164"/>
      <c r="I78" s="1164"/>
      <c r="J78" s="1164"/>
      <c r="K78" s="1164"/>
      <c r="L78" s="1164"/>
      <c r="M78" s="1164"/>
      <c r="N78" s="1164"/>
      <c r="O78" s="1164"/>
      <c r="P78" s="1165"/>
      <c r="Q78" s="2655">
        <v>0.27</v>
      </c>
      <c r="R78" s="2656"/>
      <c r="S78" s="2656"/>
      <c r="T78" s="2657"/>
      <c r="U78" s="1352" t="s">
        <v>20</v>
      </c>
      <c r="V78" s="1353"/>
      <c r="W78" s="1354"/>
      <c r="X78" s="1163" t="s">
        <v>3389</v>
      </c>
      <c r="Y78" s="1164"/>
      <c r="Z78" s="1164"/>
      <c r="AA78" s="1164"/>
      <c r="AB78" s="1164"/>
      <c r="AC78" s="1164"/>
      <c r="AD78" s="1164"/>
      <c r="AE78" s="1164"/>
      <c r="AF78" s="1165"/>
      <c r="AG78" s="1"/>
      <c r="AH78" s="1"/>
      <c r="AI78" s="1"/>
      <c r="AJ78" s="1"/>
      <c r="AL78" s="553"/>
    </row>
    <row r="79" spans="1:42" ht="116.25" customHeight="1" x14ac:dyDescent="0.3">
      <c r="A79" s="1349" t="s">
        <v>235</v>
      </c>
      <c r="B79" s="1350"/>
      <c r="C79" s="1350"/>
      <c r="D79" s="1351"/>
      <c r="E79" s="1163" t="s">
        <v>918</v>
      </c>
      <c r="F79" s="1164"/>
      <c r="G79" s="1164"/>
      <c r="H79" s="1164"/>
      <c r="I79" s="1164"/>
      <c r="J79" s="1164"/>
      <c r="K79" s="1164"/>
      <c r="L79" s="1164"/>
      <c r="M79" s="1164"/>
      <c r="N79" s="1164"/>
      <c r="O79" s="1164"/>
      <c r="P79" s="1165"/>
      <c r="Q79" s="2856">
        <v>1884</v>
      </c>
      <c r="R79" s="2857"/>
      <c r="S79" s="2857"/>
      <c r="T79" s="2858"/>
      <c r="U79" s="1352" t="s">
        <v>790</v>
      </c>
      <c r="V79" s="1353"/>
      <c r="W79" s="1354"/>
      <c r="X79" s="1163" t="s">
        <v>3388</v>
      </c>
      <c r="Y79" s="1164"/>
      <c r="Z79" s="1164"/>
      <c r="AA79" s="1164"/>
      <c r="AB79" s="1164"/>
      <c r="AC79" s="1164"/>
      <c r="AD79" s="1164"/>
      <c r="AE79" s="1164"/>
      <c r="AF79" s="1165"/>
      <c r="AG79" s="1"/>
      <c r="AH79" s="1"/>
      <c r="AI79" s="1"/>
      <c r="AJ79" s="1"/>
      <c r="AL79" s="553"/>
    </row>
    <row r="80" spans="1:42" x14ac:dyDescent="0.3">
      <c r="A80" s="1349" t="s">
        <v>34</v>
      </c>
      <c r="B80" s="1350"/>
      <c r="C80" s="1350"/>
      <c r="D80" s="1351"/>
      <c r="E80" s="1163" t="s">
        <v>2765</v>
      </c>
      <c r="F80" s="1164"/>
      <c r="G80" s="1164"/>
      <c r="H80" s="1164"/>
      <c r="I80" s="1164"/>
      <c r="J80" s="1164"/>
      <c r="K80" s="1164"/>
      <c r="L80" s="1164"/>
      <c r="M80" s="1164"/>
      <c r="N80" s="1164"/>
      <c r="O80" s="1164"/>
      <c r="P80" s="1165"/>
      <c r="Q80" s="2847">
        <v>1</v>
      </c>
      <c r="R80" s="2848"/>
      <c r="S80" s="2848"/>
      <c r="T80" s="2849"/>
      <c r="U80" s="1352" t="s">
        <v>20</v>
      </c>
      <c r="V80" s="1353"/>
      <c r="W80" s="1354"/>
      <c r="X80" s="1207"/>
      <c r="Y80" s="1208"/>
      <c r="Z80" s="1208"/>
      <c r="AA80" s="1208"/>
      <c r="AB80" s="1208"/>
      <c r="AC80" s="1208"/>
      <c r="AD80" s="1208"/>
      <c r="AE80" s="1208"/>
      <c r="AF80" s="1209"/>
      <c r="AL80" s="553"/>
    </row>
    <row r="81" spans="1:78" x14ac:dyDescent="0.3">
      <c r="A81" s="1316" t="s">
        <v>159</v>
      </c>
      <c r="B81" s="1317"/>
      <c r="C81" s="1317"/>
      <c r="D81" s="1318"/>
      <c r="E81" s="1322" t="s">
        <v>3365</v>
      </c>
      <c r="F81" s="1323"/>
      <c r="G81" s="1323"/>
      <c r="H81" s="1323"/>
      <c r="I81" s="1323"/>
      <c r="J81" s="1323"/>
      <c r="K81" s="1323"/>
      <c r="L81" s="1323"/>
      <c r="M81" s="1323"/>
      <c r="N81" s="1323"/>
      <c r="O81" s="1323"/>
      <c r="P81" s="1324"/>
      <c r="Q81" s="1736">
        <v>1000</v>
      </c>
      <c r="R81" s="1736"/>
      <c r="S81" s="1736"/>
      <c r="T81" s="1736"/>
      <c r="U81" s="1737" t="s">
        <v>271</v>
      </c>
      <c r="V81" s="1738"/>
      <c r="W81" s="1739"/>
      <c r="X81" s="1740"/>
      <c r="Y81" s="1741"/>
      <c r="Z81" s="1741"/>
      <c r="AA81" s="1741"/>
      <c r="AB81" s="1741"/>
      <c r="AC81" s="1741"/>
      <c r="AD81" s="1741"/>
      <c r="AE81" s="1741"/>
      <c r="AF81" s="1742"/>
      <c r="AG81" s="1"/>
      <c r="AH81" s="1"/>
      <c r="AI81" s="1"/>
      <c r="AJ81" s="1"/>
      <c r="AL81" s="553"/>
    </row>
    <row r="82" spans="1:78" x14ac:dyDescent="0.3">
      <c r="A82" s="1349" t="s">
        <v>1611</v>
      </c>
      <c r="B82" s="1350"/>
      <c r="C82" s="1350"/>
      <c r="D82" s="1351"/>
      <c r="E82" s="1163" t="s">
        <v>3366</v>
      </c>
      <c r="F82" s="1164"/>
      <c r="G82" s="1164"/>
      <c r="H82" s="1164"/>
      <c r="I82" s="1164"/>
      <c r="J82" s="1164"/>
      <c r="K82" s="1164"/>
      <c r="L82" s="1164"/>
      <c r="M82" s="1164"/>
      <c r="N82" s="1164"/>
      <c r="O82" s="1164"/>
      <c r="P82" s="1165"/>
      <c r="Q82" s="2855">
        <f>Q83/3</f>
        <v>5</v>
      </c>
      <c r="R82" s="2855"/>
      <c r="S82" s="2855"/>
      <c r="T82" s="2855"/>
      <c r="U82" s="1737" t="s">
        <v>38</v>
      </c>
      <c r="V82" s="1738"/>
      <c r="W82" s="1739"/>
      <c r="X82" s="1740" t="s">
        <v>3367</v>
      </c>
      <c r="Y82" s="1741"/>
      <c r="Z82" s="1741"/>
      <c r="AA82" s="1741"/>
      <c r="AB82" s="1741"/>
      <c r="AC82" s="1741"/>
      <c r="AD82" s="1741"/>
      <c r="AE82" s="1741"/>
      <c r="AF82" s="1742"/>
      <c r="AG82" s="1"/>
      <c r="AH82" s="1"/>
      <c r="AI82" s="1"/>
      <c r="AJ82" s="1"/>
      <c r="AL82" s="553"/>
    </row>
    <row r="83" spans="1:78" x14ac:dyDescent="0.3">
      <c r="A83" s="1349" t="s">
        <v>2562</v>
      </c>
      <c r="B83" s="1350"/>
      <c r="C83" s="1350"/>
      <c r="D83" s="1351"/>
      <c r="E83" s="1163" t="s">
        <v>2050</v>
      </c>
      <c r="F83" s="1164"/>
      <c r="G83" s="1164"/>
      <c r="H83" s="1164"/>
      <c r="I83" s="1164"/>
      <c r="J83" s="1164"/>
      <c r="K83" s="1164"/>
      <c r="L83" s="1164"/>
      <c r="M83" s="1164"/>
      <c r="N83" s="1164"/>
      <c r="O83" s="1164"/>
      <c r="P83" s="1165"/>
      <c r="Q83" s="1166">
        <f>'Master EUL'!X51</f>
        <v>15</v>
      </c>
      <c r="R83" s="1167"/>
      <c r="S83" s="1167"/>
      <c r="T83" s="1168"/>
      <c r="U83" s="1737" t="s">
        <v>38</v>
      </c>
      <c r="V83" s="1738"/>
      <c r="W83" s="1739"/>
      <c r="X83" s="1349" t="s">
        <v>3364</v>
      </c>
      <c r="Y83" s="1350"/>
      <c r="Z83" s="1350"/>
      <c r="AA83" s="1350"/>
      <c r="AB83" s="1350"/>
      <c r="AC83" s="1350"/>
      <c r="AD83" s="1350"/>
      <c r="AE83" s="1350"/>
      <c r="AF83" s="1351"/>
      <c r="AG83" s="1"/>
      <c r="AH83" s="1"/>
      <c r="AI83" s="1"/>
      <c r="AJ83" s="1"/>
      <c r="AL83" s="553"/>
    </row>
    <row r="84" spans="1:78" ht="48" customHeight="1" x14ac:dyDescent="0.3">
      <c r="A84" s="2854" t="s">
        <v>4547</v>
      </c>
      <c r="B84" s="2854"/>
      <c r="C84" s="2854"/>
      <c r="D84" s="2854"/>
      <c r="E84" s="2854"/>
      <c r="F84" s="2854"/>
      <c r="G84" s="2854"/>
      <c r="H84" s="2854"/>
      <c r="I84" s="2854"/>
      <c r="J84" s="2854"/>
      <c r="K84" s="2854"/>
      <c r="L84" s="2854"/>
      <c r="M84" s="2854"/>
      <c r="N84" s="2854"/>
      <c r="O84" s="2854"/>
      <c r="P84" s="2854"/>
      <c r="Q84" s="2854"/>
      <c r="R84" s="2854"/>
      <c r="S84" s="2854"/>
      <c r="T84" s="2854"/>
      <c r="U84" s="2854"/>
      <c r="V84" s="2854"/>
      <c r="W84" s="2854"/>
      <c r="X84" s="2854"/>
      <c r="Y84" s="2854"/>
      <c r="Z84" s="2854"/>
      <c r="AA84" s="2854"/>
      <c r="AB84" s="2854"/>
      <c r="AC84" s="2854"/>
      <c r="AD84" s="2854"/>
      <c r="AE84" s="2854"/>
      <c r="AF84" s="2854"/>
      <c r="AL84" s="553"/>
    </row>
    <row r="85" spans="1:78" ht="55.5" customHeight="1" x14ac:dyDescent="0.3">
      <c r="A85" s="1355" t="s">
        <v>5827</v>
      </c>
      <c r="B85" s="1355"/>
      <c r="C85" s="1355"/>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1355"/>
      <c r="AA85" s="1355"/>
      <c r="AB85" s="1355"/>
      <c r="AC85" s="1355"/>
      <c r="AD85" s="1355"/>
      <c r="AE85" s="1355"/>
      <c r="AF85" s="1355"/>
      <c r="AL85" s="709"/>
    </row>
    <row r="86" spans="1:78" ht="54" customHeight="1" x14ac:dyDescent="0.3">
      <c r="A86" s="1355" t="s">
        <v>3536</v>
      </c>
      <c r="B86" s="1355"/>
      <c r="C86" s="1355"/>
      <c r="D86" s="1355"/>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1355"/>
      <c r="AA86" s="1355"/>
      <c r="AB86" s="1355"/>
      <c r="AC86" s="1355"/>
      <c r="AD86" s="1355"/>
      <c r="AE86" s="1355"/>
      <c r="AF86" s="1355"/>
      <c r="AL86" s="553"/>
    </row>
    <row r="87" spans="1:78" ht="55.5" customHeight="1" x14ac:dyDescent="0.3">
      <c r="A87" s="998" t="s">
        <v>3537</v>
      </c>
      <c r="B87" s="998"/>
      <c r="C87" s="998"/>
      <c r="D87" s="998"/>
      <c r="E87" s="998"/>
      <c r="F87" s="998"/>
      <c r="G87" s="998"/>
      <c r="H87" s="998"/>
      <c r="I87" s="998"/>
      <c r="J87" s="998"/>
      <c r="K87" s="998"/>
      <c r="L87" s="998"/>
      <c r="M87" s="998"/>
      <c r="N87" s="998"/>
      <c r="O87" s="998"/>
      <c r="P87" s="998"/>
      <c r="Q87" s="998"/>
      <c r="R87" s="998"/>
      <c r="S87" s="998"/>
      <c r="T87" s="998"/>
      <c r="U87" s="998"/>
      <c r="V87" s="998"/>
      <c r="W87" s="998"/>
      <c r="X87" s="998"/>
      <c r="Y87" s="998"/>
      <c r="Z87" s="998"/>
      <c r="AA87" s="998"/>
      <c r="AB87" s="998"/>
      <c r="AC87" s="998"/>
      <c r="AD87" s="998"/>
      <c r="AE87" s="998"/>
      <c r="AF87" s="998"/>
      <c r="AL87" s="553"/>
    </row>
    <row r="88" spans="1:78" ht="44.25" customHeight="1" x14ac:dyDescent="0.3">
      <c r="A88" s="998" t="s">
        <v>5828</v>
      </c>
      <c r="B88" s="998"/>
      <c r="C88" s="998"/>
      <c r="D88" s="998"/>
      <c r="E88" s="998"/>
      <c r="F88" s="998"/>
      <c r="G88" s="998"/>
      <c r="H88" s="998"/>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c r="AL88" s="709"/>
    </row>
    <row r="89" spans="1:78" x14ac:dyDescent="0.3">
      <c r="A89" s="998" t="s">
        <v>6451</v>
      </c>
      <c r="B89" s="998"/>
      <c r="C89" s="998"/>
      <c r="D89" s="998"/>
      <c r="E89" s="998"/>
      <c r="F89" s="998"/>
      <c r="G89" s="998"/>
      <c r="H89" s="998"/>
      <c r="I89" s="998"/>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c r="AL89" s="709"/>
      <c r="AM89" s="758"/>
      <c r="AN89" s="758"/>
      <c r="AO89" s="758"/>
      <c r="AP89" s="758"/>
      <c r="AQ89" s="758"/>
      <c r="AR89" s="758"/>
      <c r="AS89" s="758"/>
      <c r="AT89" s="758"/>
      <c r="AU89" s="758"/>
      <c r="AV89" s="758"/>
      <c r="AW89" s="758"/>
      <c r="AX89" s="758"/>
      <c r="AY89" s="758"/>
      <c r="AZ89" s="758"/>
      <c r="BA89" s="758"/>
      <c r="BB89" s="758"/>
      <c r="BC89" s="758"/>
      <c r="BD89" s="758"/>
      <c r="BE89" s="758"/>
      <c r="BF89" s="758"/>
      <c r="BG89" s="758"/>
      <c r="BH89" s="758"/>
      <c r="BI89" s="758"/>
      <c r="BJ89" s="758"/>
      <c r="BK89" s="758"/>
      <c r="BL89" s="758"/>
      <c r="BM89" s="758"/>
    </row>
    <row r="90" spans="1:78" x14ac:dyDescent="0.3">
      <c r="A90" s="511"/>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511"/>
      <c r="Z90" s="511"/>
      <c r="AA90" s="511"/>
      <c r="AB90" s="511"/>
      <c r="AC90" s="511"/>
      <c r="AD90" s="511"/>
      <c r="AE90" s="511"/>
      <c r="AF90" s="511"/>
      <c r="AL90" s="709"/>
      <c r="AM90" s="758"/>
      <c r="AN90" s="758"/>
      <c r="AO90" s="758"/>
      <c r="AP90" s="758"/>
      <c r="AQ90" s="758"/>
      <c r="AR90" s="758"/>
      <c r="AS90" s="758"/>
      <c r="AT90" s="758"/>
      <c r="AU90" s="758"/>
      <c r="AV90" s="758"/>
      <c r="AW90" s="758"/>
      <c r="AX90" s="758"/>
      <c r="AY90" s="758"/>
      <c r="AZ90" s="758"/>
      <c r="BA90" s="758"/>
      <c r="BB90" s="758"/>
      <c r="BC90" s="758"/>
      <c r="BD90" s="758"/>
      <c r="BE90" s="758"/>
      <c r="BF90" s="758"/>
      <c r="BG90" s="758"/>
      <c r="BH90" s="758"/>
      <c r="BI90" s="709"/>
      <c r="BJ90" s="709"/>
      <c r="BK90" s="709"/>
      <c r="BL90" s="709"/>
      <c r="BM90" s="709"/>
    </row>
    <row r="91" spans="1:78" ht="15" customHeight="1" x14ac:dyDescent="0.3">
      <c r="A91" s="511"/>
      <c r="B91" s="187" t="s">
        <v>5829</v>
      </c>
      <c r="C91" s="122"/>
      <c r="D91" s="122"/>
      <c r="E91" s="122"/>
      <c r="F91" s="122"/>
      <c r="G91" s="122"/>
      <c r="H91" s="122"/>
      <c r="I91" s="122"/>
      <c r="J91" s="122"/>
      <c r="K91" s="122"/>
      <c r="L91" s="122"/>
      <c r="M91" s="122"/>
      <c r="N91" s="122"/>
      <c r="O91" s="122"/>
      <c r="P91" s="122"/>
      <c r="Q91" s="122"/>
      <c r="R91" s="122"/>
      <c r="S91" s="122"/>
      <c r="T91" s="323"/>
      <c r="U91" s="323"/>
      <c r="V91" s="323"/>
      <c r="W91" s="323"/>
      <c r="X91" s="323"/>
      <c r="Y91" s="511"/>
      <c r="Z91" s="511"/>
      <c r="AA91" s="511"/>
      <c r="AB91" s="511"/>
      <c r="AC91" s="511"/>
      <c r="AD91" s="511"/>
      <c r="AE91" s="511"/>
      <c r="AF91" s="511"/>
      <c r="AL91" s="709"/>
      <c r="AM91" s="758"/>
      <c r="AN91" s="758"/>
      <c r="AO91" s="758"/>
      <c r="AP91" s="758"/>
      <c r="AQ91" s="758"/>
      <c r="AR91" s="758"/>
      <c r="AS91" s="758"/>
      <c r="AT91" s="758"/>
      <c r="AU91" s="758"/>
      <c r="AV91" s="758"/>
      <c r="AW91" s="758"/>
      <c r="AX91" s="758"/>
      <c r="BA91" s="758"/>
      <c r="BB91" s="758"/>
      <c r="BC91" s="758"/>
      <c r="BD91" s="758"/>
      <c r="BE91" s="758"/>
      <c r="BF91" s="758"/>
      <c r="BG91" s="758"/>
      <c r="BH91" s="758"/>
      <c r="BI91" s="721"/>
      <c r="BJ91" s="544"/>
      <c r="BK91" s="544"/>
      <c r="BL91" s="544"/>
      <c r="BM91" s="544"/>
      <c r="BN91" s="544"/>
      <c r="BO91" s="544"/>
      <c r="BP91" s="544"/>
      <c r="BQ91" s="544"/>
      <c r="BR91" s="544"/>
      <c r="BS91" s="544"/>
      <c r="BT91" s="544"/>
      <c r="BU91" s="544"/>
      <c r="BV91" s="544"/>
      <c r="BW91" s="544"/>
      <c r="BX91" s="544"/>
      <c r="BY91" s="544"/>
      <c r="BZ91" s="544"/>
    </row>
    <row r="92" spans="1:78" ht="15" customHeight="1" x14ac:dyDescent="0.3">
      <c r="A92" s="511"/>
      <c r="B92" s="1491" t="s">
        <v>2729</v>
      </c>
      <c r="C92" s="1390"/>
      <c r="D92" s="1390"/>
      <c r="E92" s="1390"/>
      <c r="F92" s="1390"/>
      <c r="G92" s="1390"/>
      <c r="H92" s="1390"/>
      <c r="I92" s="1390"/>
      <c r="J92" s="1390"/>
      <c r="K92" s="1390"/>
      <c r="L92" s="1390"/>
      <c r="M92" s="2535"/>
      <c r="N92" s="1491" t="s">
        <v>5835</v>
      </c>
      <c r="O92" s="1390"/>
      <c r="P92" s="1390"/>
      <c r="Q92" s="1390"/>
      <c r="R92" s="1390"/>
      <c r="S92" s="2535"/>
      <c r="T92" s="1491" t="s">
        <v>5836</v>
      </c>
      <c r="U92" s="1390"/>
      <c r="V92" s="1390"/>
      <c r="W92" s="1390"/>
      <c r="X92" s="1390"/>
      <c r="Y92" s="2535"/>
      <c r="Z92" s="511"/>
      <c r="AA92" s="511"/>
      <c r="AB92" s="511"/>
      <c r="AC92" s="511"/>
      <c r="AD92" s="511"/>
      <c r="AE92" s="511"/>
      <c r="AF92" s="511"/>
      <c r="AL92" s="709"/>
      <c r="AM92" s="758"/>
      <c r="AN92" s="758"/>
      <c r="AO92" s="758"/>
      <c r="AP92" s="758"/>
      <c r="AQ92" s="758"/>
      <c r="AR92" s="758"/>
      <c r="AS92" s="758"/>
      <c r="AT92" s="758"/>
      <c r="AU92" s="758"/>
      <c r="AV92" s="758"/>
      <c r="AW92" s="758"/>
      <c r="AX92" s="758"/>
      <c r="AY92" s="805"/>
      <c r="AZ92" s="805"/>
      <c r="BA92" s="758"/>
      <c r="BB92" s="758"/>
      <c r="BC92" s="758"/>
      <c r="BD92" s="758"/>
      <c r="BE92" s="758"/>
      <c r="BF92" s="758"/>
      <c r="BG92" s="758"/>
      <c r="BH92" s="758"/>
      <c r="BI92" s="721"/>
      <c r="BJ92" s="721"/>
      <c r="BK92" s="721"/>
      <c r="BL92" s="721"/>
      <c r="BM92" s="721"/>
      <c r="BN92" s="721"/>
      <c r="BO92" s="721"/>
      <c r="BP92" s="721"/>
      <c r="BQ92" s="721"/>
      <c r="BR92" s="721"/>
      <c r="BS92" s="721"/>
      <c r="BT92" s="721"/>
      <c r="BU92" s="721"/>
      <c r="BV92" s="721"/>
      <c r="BW92" s="721"/>
      <c r="BX92" s="721"/>
      <c r="BY92" s="721"/>
      <c r="BZ92" s="721"/>
    </row>
    <row r="93" spans="1:78" ht="15" customHeight="1" x14ac:dyDescent="0.3">
      <c r="A93" s="511"/>
      <c r="B93" s="2536"/>
      <c r="C93" s="2537"/>
      <c r="D93" s="2537"/>
      <c r="E93" s="2537"/>
      <c r="F93" s="2537"/>
      <c r="G93" s="2537"/>
      <c r="H93" s="2537"/>
      <c r="I93" s="2537"/>
      <c r="J93" s="2537"/>
      <c r="K93" s="2537"/>
      <c r="L93" s="2537"/>
      <c r="M93" s="2538"/>
      <c r="N93" s="2536" t="s">
        <v>5830</v>
      </c>
      <c r="O93" s="2537"/>
      <c r="P93" s="2537"/>
      <c r="Q93" s="2537"/>
      <c r="R93" s="2537"/>
      <c r="S93" s="2538"/>
      <c r="T93" s="2536" t="s">
        <v>5831</v>
      </c>
      <c r="U93" s="2537"/>
      <c r="V93" s="2537"/>
      <c r="W93" s="2537"/>
      <c r="X93" s="2537"/>
      <c r="Y93" s="2538"/>
      <c r="Z93" s="511"/>
      <c r="AA93" s="511"/>
      <c r="AB93" s="511"/>
      <c r="AC93" s="511"/>
      <c r="AD93" s="511"/>
      <c r="AE93" s="511"/>
      <c r="AF93" s="511"/>
      <c r="AL93" s="709"/>
      <c r="AM93" s="758"/>
      <c r="AN93" s="758"/>
      <c r="AO93" s="758"/>
      <c r="AP93" s="758"/>
      <c r="AQ93" s="758"/>
      <c r="AR93" s="758"/>
      <c r="AS93" s="758"/>
      <c r="AT93" s="758"/>
      <c r="AU93" s="758"/>
      <c r="AV93" s="758"/>
      <c r="AW93" s="758"/>
      <c r="AX93" s="758"/>
      <c r="AY93" s="805"/>
      <c r="AZ93" s="805"/>
      <c r="BA93" s="758"/>
      <c r="BB93" s="758"/>
      <c r="BC93" s="758"/>
      <c r="BD93" s="758"/>
      <c r="BE93" s="758"/>
      <c r="BF93" s="758"/>
      <c r="BG93" s="758"/>
      <c r="BH93" s="758"/>
      <c r="BI93" s="721"/>
      <c r="BJ93" s="721"/>
      <c r="BK93" s="721"/>
      <c r="BL93" s="721"/>
      <c r="BM93" s="721"/>
      <c r="BN93" s="721"/>
      <c r="BO93" s="721"/>
      <c r="BP93" s="721"/>
      <c r="BQ93" s="721"/>
      <c r="BR93" s="721"/>
      <c r="BS93" s="721"/>
      <c r="BT93" s="721"/>
      <c r="BU93" s="721"/>
      <c r="BV93" s="721"/>
      <c r="BW93" s="721"/>
      <c r="BX93" s="721"/>
      <c r="BY93" s="721"/>
      <c r="BZ93" s="721"/>
    </row>
    <row r="94" spans="1:78" x14ac:dyDescent="0.3">
      <c r="A94" s="511"/>
      <c r="B94" s="1547" t="s">
        <v>5813</v>
      </c>
      <c r="C94" s="1547"/>
      <c r="D94" s="1547"/>
      <c r="E94" s="1547"/>
      <c r="F94" s="1547"/>
      <c r="G94" s="1547"/>
      <c r="H94" s="1547"/>
      <c r="I94" s="1547"/>
      <c r="J94" s="1547"/>
      <c r="K94" s="1547"/>
      <c r="L94" s="1547"/>
      <c r="M94" s="1547"/>
      <c r="N94" s="2853">
        <v>1.0489999999999999</v>
      </c>
      <c r="O94" s="2853"/>
      <c r="P94" s="2853"/>
      <c r="Q94" s="2853"/>
      <c r="R94" s="2853"/>
      <c r="S94" s="2853"/>
      <c r="T94" s="2853">
        <v>1.0429999999999999</v>
      </c>
      <c r="U94" s="2853"/>
      <c r="V94" s="2853"/>
      <c r="W94" s="2853"/>
      <c r="X94" s="2853"/>
      <c r="Y94" s="2853"/>
      <c r="Z94" s="511"/>
      <c r="AA94" s="511"/>
      <c r="AB94" s="511"/>
      <c r="AC94" s="511"/>
      <c r="AD94" s="511"/>
      <c r="AE94" s="511"/>
      <c r="AF94" s="511"/>
      <c r="AL94" s="709"/>
      <c r="AM94" s="758"/>
      <c r="AN94" s="758"/>
      <c r="AO94" s="758"/>
      <c r="AP94" s="758"/>
      <c r="AQ94" s="758"/>
      <c r="AR94" s="758"/>
      <c r="AS94" s="758"/>
      <c r="AT94" s="758"/>
      <c r="AU94" s="758"/>
      <c r="AV94" s="758"/>
      <c r="AW94" s="758"/>
      <c r="AX94" s="758"/>
      <c r="AY94" s="805"/>
      <c r="AZ94" s="805"/>
      <c r="BA94" s="758"/>
      <c r="BB94" s="758"/>
      <c r="BC94" s="758"/>
      <c r="BD94" s="758"/>
      <c r="BE94" s="758"/>
      <c r="BF94" s="758"/>
      <c r="BG94" s="758"/>
      <c r="BH94" s="758"/>
      <c r="BI94" s="544"/>
      <c r="BJ94" s="544"/>
      <c r="BK94" s="544"/>
      <c r="BL94" s="544"/>
      <c r="BM94" s="544"/>
      <c r="BN94" s="544"/>
      <c r="BO94" s="544"/>
      <c r="BP94" s="544"/>
      <c r="BQ94" s="544"/>
      <c r="BR94" s="544"/>
      <c r="BS94" s="544"/>
      <c r="BT94" s="544"/>
      <c r="BU94" s="806"/>
      <c r="BV94" s="806"/>
      <c r="BW94" s="806"/>
      <c r="BX94" s="806"/>
      <c r="BY94" s="806"/>
      <c r="BZ94" s="806"/>
    </row>
    <row r="95" spans="1:78" x14ac:dyDescent="0.3">
      <c r="A95" s="511"/>
      <c r="B95" s="1547" t="s">
        <v>5814</v>
      </c>
      <c r="C95" s="1547"/>
      <c r="D95" s="1547"/>
      <c r="E95" s="1547"/>
      <c r="F95" s="1547"/>
      <c r="G95" s="1547"/>
      <c r="H95" s="1547"/>
      <c r="I95" s="1547"/>
      <c r="J95" s="1547"/>
      <c r="K95" s="1547"/>
      <c r="L95" s="1547"/>
      <c r="M95" s="1547"/>
      <c r="N95" s="2853">
        <v>1.034</v>
      </c>
      <c r="O95" s="2853"/>
      <c r="P95" s="2853"/>
      <c r="Q95" s="2853"/>
      <c r="R95" s="2853"/>
      <c r="S95" s="2853"/>
      <c r="T95" s="2853">
        <v>1.034</v>
      </c>
      <c r="U95" s="2853"/>
      <c r="V95" s="2853"/>
      <c r="W95" s="2853"/>
      <c r="X95" s="2853"/>
      <c r="Y95" s="2853"/>
      <c r="Z95" s="511"/>
      <c r="AA95" s="511"/>
      <c r="AB95" s="511"/>
      <c r="AC95" s="511"/>
      <c r="AD95" s="511"/>
      <c r="AE95" s="511"/>
      <c r="AF95" s="511"/>
      <c r="AL95" s="709"/>
      <c r="AM95" s="758"/>
      <c r="AN95" s="758"/>
      <c r="AO95" s="758"/>
      <c r="AP95" s="758"/>
      <c r="AQ95" s="758"/>
      <c r="AR95" s="758"/>
      <c r="AS95" s="758"/>
      <c r="AT95" s="758"/>
      <c r="AU95" s="758"/>
      <c r="AV95" s="758"/>
      <c r="AW95" s="758"/>
      <c r="AX95" s="758"/>
      <c r="AY95" s="758"/>
      <c r="AZ95" s="758"/>
      <c r="BA95" s="758"/>
      <c r="BB95" s="758"/>
      <c r="BC95" s="758"/>
      <c r="BD95" s="758"/>
      <c r="BE95" s="758"/>
      <c r="BF95" s="758"/>
      <c r="BG95" s="758"/>
      <c r="BH95" s="758"/>
      <c r="BI95" s="544"/>
      <c r="BJ95" s="544"/>
      <c r="BK95" s="544"/>
      <c r="BL95" s="544"/>
      <c r="BM95" s="544"/>
      <c r="BN95" s="544"/>
      <c r="BO95" s="544"/>
      <c r="BP95" s="544"/>
      <c r="BQ95" s="544"/>
      <c r="BR95" s="544"/>
      <c r="BS95" s="544"/>
      <c r="BT95" s="544"/>
      <c r="BU95" s="806"/>
      <c r="BV95" s="806"/>
      <c r="BW95" s="806"/>
      <c r="BX95" s="806"/>
      <c r="BY95" s="806"/>
      <c r="BZ95" s="806"/>
    </row>
    <row r="96" spans="1:78" x14ac:dyDescent="0.3">
      <c r="A96" s="511"/>
      <c r="B96" s="1547" t="s">
        <v>5815</v>
      </c>
      <c r="C96" s="1547"/>
      <c r="D96" s="1547"/>
      <c r="E96" s="1547"/>
      <c r="F96" s="1547"/>
      <c r="G96" s="1547"/>
      <c r="H96" s="1547"/>
      <c r="I96" s="1547"/>
      <c r="J96" s="1547"/>
      <c r="K96" s="1547"/>
      <c r="L96" s="1547"/>
      <c r="M96" s="1547"/>
      <c r="N96" s="2853">
        <v>1.0529999999999999</v>
      </c>
      <c r="O96" s="2853"/>
      <c r="P96" s="2853"/>
      <c r="Q96" s="2853"/>
      <c r="R96" s="2853"/>
      <c r="S96" s="2853"/>
      <c r="T96" s="2853">
        <v>1.107</v>
      </c>
      <c r="U96" s="2853"/>
      <c r="V96" s="2853"/>
      <c r="W96" s="2853"/>
      <c r="X96" s="2853"/>
      <c r="Y96" s="2853"/>
      <c r="Z96" s="511"/>
      <c r="AA96" s="511"/>
      <c r="AB96" s="511"/>
      <c r="AC96" s="511"/>
      <c r="AD96" s="511"/>
      <c r="AE96" s="511"/>
      <c r="AF96" s="511"/>
      <c r="AL96" s="709"/>
      <c r="AM96" s="758"/>
      <c r="AN96" s="758"/>
      <c r="AO96" s="758"/>
      <c r="AP96" s="758"/>
      <c r="AQ96" s="758"/>
      <c r="AR96" s="758"/>
      <c r="AS96" s="758"/>
      <c r="AT96" s="758"/>
      <c r="AU96" s="758"/>
      <c r="AV96" s="758"/>
      <c r="AW96" s="758"/>
      <c r="AX96" s="758"/>
      <c r="AY96" s="758"/>
      <c r="AZ96" s="758"/>
      <c r="BA96" s="758"/>
      <c r="BB96" s="758"/>
      <c r="BC96" s="758"/>
      <c r="BD96" s="758"/>
      <c r="BE96" s="758"/>
      <c r="BF96" s="758"/>
      <c r="BG96" s="758"/>
      <c r="BH96" s="758"/>
      <c r="BI96" s="544"/>
      <c r="BJ96" s="544"/>
      <c r="BK96" s="544"/>
      <c r="BL96" s="544"/>
      <c r="BM96" s="544"/>
      <c r="BN96" s="544"/>
      <c r="BO96" s="544"/>
      <c r="BP96" s="544"/>
      <c r="BQ96" s="544"/>
      <c r="BR96" s="544"/>
      <c r="BS96" s="544"/>
      <c r="BT96" s="544"/>
      <c r="BU96" s="806"/>
      <c r="BV96" s="806"/>
      <c r="BW96" s="806"/>
      <c r="BX96" s="806"/>
      <c r="BY96" s="806"/>
      <c r="BZ96" s="806"/>
    </row>
    <row r="97" spans="1:65" ht="45.75" customHeight="1" x14ac:dyDescent="0.3">
      <c r="A97" s="511"/>
      <c r="B97" s="2845" t="s">
        <v>5832</v>
      </c>
      <c r="C97" s="2845"/>
      <c r="D97" s="2845"/>
      <c r="E97" s="2845"/>
      <c r="F97" s="2845"/>
      <c r="G97" s="2845"/>
      <c r="H97" s="2845"/>
      <c r="I97" s="2845"/>
      <c r="J97" s="2845"/>
      <c r="K97" s="2845"/>
      <c r="L97" s="2845"/>
      <c r="M97" s="2845"/>
      <c r="N97" s="2845"/>
      <c r="O97" s="2845"/>
      <c r="P97" s="2845"/>
      <c r="Q97" s="2845"/>
      <c r="R97" s="2845"/>
      <c r="S97" s="2845"/>
      <c r="T97" s="2845"/>
      <c r="U97" s="2845"/>
      <c r="V97" s="2845"/>
      <c r="W97" s="2845"/>
      <c r="X97" s="2845"/>
      <c r="Y97" s="2845"/>
      <c r="Z97" s="2845"/>
      <c r="AA97" s="2845"/>
      <c r="AB97" s="2845"/>
      <c r="AC97" s="2845"/>
      <c r="AD97" s="2845"/>
      <c r="AE97" s="2845"/>
      <c r="AF97" s="2845"/>
      <c r="AL97" s="709"/>
      <c r="AM97" s="758"/>
      <c r="AN97" s="758"/>
      <c r="AO97" s="758"/>
      <c r="AP97" s="758"/>
      <c r="AQ97" s="758"/>
      <c r="AR97" s="758"/>
      <c r="AS97" s="758"/>
      <c r="AT97" s="758"/>
      <c r="AU97" s="758"/>
      <c r="AV97" s="758"/>
      <c r="AW97" s="758"/>
      <c r="AX97" s="758"/>
      <c r="AY97" s="758"/>
      <c r="AZ97" s="758"/>
      <c r="BA97" s="758"/>
      <c r="BB97" s="758"/>
      <c r="BC97" s="758"/>
      <c r="BD97" s="758"/>
      <c r="BE97" s="758"/>
      <c r="BF97" s="758"/>
      <c r="BG97" s="758"/>
      <c r="BH97" s="758"/>
      <c r="BI97" s="709"/>
      <c r="BJ97" s="709"/>
      <c r="BK97" s="709"/>
      <c r="BL97" s="709"/>
      <c r="BM97" s="709"/>
    </row>
    <row r="98" spans="1:65" x14ac:dyDescent="0.3">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
      <c r="AH98" s="1"/>
      <c r="AI98" s="1"/>
      <c r="AJ98" s="1"/>
      <c r="AL98" s="553"/>
    </row>
    <row r="99" spans="1:65" x14ac:dyDescent="0.3">
      <c r="A99" s="1290" t="s">
        <v>14</v>
      </c>
      <c r="B99" s="1290"/>
      <c r="C99" s="1290"/>
      <c r="D99" s="1290"/>
      <c r="E99" s="1290"/>
      <c r="F99" s="1290"/>
      <c r="G99" s="1290"/>
      <c r="H99" s="1290"/>
      <c r="I99" s="1290"/>
      <c r="J99" s="1290"/>
      <c r="K99" s="1290"/>
      <c r="L99" s="1290"/>
      <c r="M99" s="1290"/>
      <c r="N99" s="1290"/>
      <c r="O99" s="1290"/>
      <c r="P99" s="1290"/>
      <c r="Q99" s="1290"/>
      <c r="R99" s="1290"/>
      <c r="S99" s="1290"/>
      <c r="T99" s="1290"/>
      <c r="U99" s="1290"/>
      <c r="V99" s="1290"/>
      <c r="W99" s="1290"/>
      <c r="X99" s="1290"/>
      <c r="Y99" s="1290"/>
      <c r="Z99" s="1290"/>
      <c r="AA99" s="1290"/>
      <c r="AB99" s="1290"/>
      <c r="AC99" s="1290"/>
      <c r="AD99" s="1290"/>
      <c r="AE99" s="1290"/>
      <c r="AF99" s="1290"/>
      <c r="AG99" s="1"/>
      <c r="AH99" s="1"/>
      <c r="AI99" s="1"/>
      <c r="AJ99" s="1"/>
      <c r="AL99" s="553"/>
    </row>
    <row r="100" spans="1:65" x14ac:dyDescent="0.3">
      <c r="A100" s="383"/>
      <c r="B100" s="59"/>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L100" s="553"/>
    </row>
    <row r="101" spans="1:65" x14ac:dyDescent="0.3">
      <c r="A101" s="94"/>
      <c r="B101" s="884" t="s">
        <v>3370</v>
      </c>
      <c r="C101" s="884"/>
      <c r="D101" s="884"/>
      <c r="E101" s="884"/>
      <c r="F101" s="884"/>
      <c r="G101" s="884"/>
      <c r="H101" s="884"/>
      <c r="I101" s="884"/>
      <c r="J101" s="884"/>
      <c r="K101" s="884"/>
      <c r="L101" s="884"/>
      <c r="M101" s="884"/>
      <c r="N101" s="884"/>
      <c r="O101" s="884"/>
      <c r="P101" s="884"/>
      <c r="Q101" s="884"/>
      <c r="R101" s="884"/>
      <c r="S101" s="884"/>
      <c r="T101" s="884"/>
      <c r="U101" s="884"/>
      <c r="V101" s="884"/>
      <c r="W101" s="884"/>
      <c r="X101" s="884"/>
      <c r="Y101" s="884"/>
      <c r="Z101" s="884"/>
      <c r="AA101" s="884"/>
      <c r="AB101" s="884"/>
      <c r="AC101" s="884"/>
      <c r="AD101" s="884"/>
      <c r="AE101" s="884"/>
      <c r="AF101" s="884"/>
      <c r="AL101" s="553"/>
    </row>
    <row r="102" spans="1:65" x14ac:dyDescent="0.3">
      <c r="A102" s="94"/>
      <c r="B102" s="94"/>
      <c r="C102" s="94"/>
      <c r="D102" s="94"/>
      <c r="E102" s="94"/>
      <c r="F102" s="94"/>
      <c r="G102" s="2846" t="s">
        <v>2772</v>
      </c>
      <c r="H102" s="2846"/>
      <c r="I102" s="2846"/>
      <c r="J102" s="2846"/>
      <c r="K102" s="2846"/>
      <c r="L102" s="2846"/>
      <c r="M102" s="2846"/>
      <c r="N102" s="2846"/>
      <c r="O102" s="2846"/>
      <c r="P102" s="94"/>
      <c r="Q102" s="94"/>
      <c r="R102" s="94"/>
      <c r="S102" s="94"/>
      <c r="T102" s="94"/>
      <c r="U102" s="94"/>
      <c r="V102" s="94"/>
      <c r="W102" s="94"/>
      <c r="X102" s="94"/>
      <c r="Y102" s="94"/>
      <c r="Z102" s="94"/>
      <c r="AA102" s="94"/>
      <c r="AB102" s="94"/>
      <c r="AC102" s="94"/>
      <c r="AD102" s="94"/>
      <c r="AE102" s="94"/>
      <c r="AF102" s="94"/>
      <c r="AL102" s="553"/>
    </row>
    <row r="103" spans="1:65"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L103" s="553"/>
    </row>
    <row r="104" spans="1:65" x14ac:dyDescent="0.3">
      <c r="A104" s="1290" t="s">
        <v>1514</v>
      </c>
      <c r="B104" s="1290"/>
      <c r="C104" s="1290"/>
      <c r="D104" s="1290"/>
      <c r="E104" s="1290"/>
      <c r="F104" s="1290"/>
      <c r="G104" s="1290"/>
      <c r="H104" s="1290"/>
      <c r="I104" s="1290"/>
      <c r="J104" s="1290"/>
      <c r="K104" s="1290"/>
      <c r="L104" s="1290"/>
      <c r="M104" s="1290"/>
      <c r="N104" s="1290"/>
      <c r="O104" s="1290"/>
      <c r="P104" s="1290"/>
      <c r="Q104" s="1290"/>
      <c r="R104" s="1290"/>
      <c r="S104" s="1290"/>
      <c r="T104" s="1290"/>
      <c r="U104" s="1290"/>
      <c r="V104" s="1290"/>
      <c r="W104" s="1290"/>
      <c r="X104" s="1290"/>
      <c r="Y104" s="1290"/>
      <c r="Z104" s="1290"/>
      <c r="AA104" s="1290"/>
      <c r="AB104" s="1290"/>
      <c r="AC104" s="1290"/>
      <c r="AD104" s="1290"/>
      <c r="AE104" s="1290"/>
      <c r="AF104" s="1290"/>
      <c r="AL104" s="553"/>
    </row>
    <row r="105" spans="1:65" x14ac:dyDescent="0.3">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L105" s="553"/>
    </row>
    <row r="106" spans="1:65" x14ac:dyDescent="0.3">
      <c r="A106" s="370" t="s">
        <v>803</v>
      </c>
      <c r="B106" s="884" t="s">
        <v>5784</v>
      </c>
      <c r="C106" s="884"/>
      <c r="D106" s="884"/>
      <c r="E106" s="884"/>
      <c r="F106" s="884"/>
      <c r="G106" s="884"/>
      <c r="H106" s="884"/>
      <c r="I106" s="884"/>
      <c r="J106" s="884"/>
      <c r="K106" s="884"/>
      <c r="L106" s="884"/>
      <c r="M106" s="884"/>
      <c r="N106" s="884"/>
      <c r="O106" s="884"/>
      <c r="P106" s="884"/>
      <c r="Q106" s="884"/>
      <c r="R106" s="884"/>
      <c r="S106" s="884"/>
      <c r="T106" s="884"/>
      <c r="U106" s="884"/>
      <c r="V106" s="884"/>
      <c r="W106" s="884"/>
      <c r="X106" s="884"/>
      <c r="Y106" s="884"/>
      <c r="Z106" s="884"/>
      <c r="AA106" s="884"/>
      <c r="AB106" s="884"/>
      <c r="AC106" s="884"/>
      <c r="AD106" s="884"/>
      <c r="AE106" s="884"/>
      <c r="AF106" s="884"/>
      <c r="AL106" s="709"/>
    </row>
    <row r="107" spans="1:65" x14ac:dyDescent="0.3">
      <c r="A107" s="370" t="s">
        <v>803</v>
      </c>
      <c r="B107" s="884" t="s">
        <v>5805</v>
      </c>
      <c r="C107" s="884"/>
      <c r="D107" s="884"/>
      <c r="E107" s="884"/>
      <c r="F107" s="884"/>
      <c r="G107" s="884"/>
      <c r="H107" s="884"/>
      <c r="I107" s="884"/>
      <c r="J107" s="884"/>
      <c r="K107" s="884"/>
      <c r="L107" s="884"/>
      <c r="M107" s="884"/>
      <c r="N107" s="884"/>
      <c r="O107" s="884"/>
      <c r="P107" s="884"/>
      <c r="Q107" s="884"/>
      <c r="R107" s="884"/>
      <c r="S107" s="884"/>
      <c r="T107" s="884"/>
      <c r="U107" s="884"/>
      <c r="V107" s="884"/>
      <c r="W107" s="884"/>
      <c r="X107" s="884"/>
      <c r="Y107" s="884"/>
      <c r="Z107" s="884"/>
      <c r="AA107" s="884"/>
      <c r="AB107" s="884"/>
      <c r="AC107" s="884"/>
      <c r="AD107" s="884"/>
      <c r="AE107" s="884"/>
      <c r="AF107" s="884"/>
      <c r="AL107" s="2852"/>
      <c r="AM107" s="2852"/>
      <c r="AN107" s="2852"/>
      <c r="AO107" s="2852"/>
      <c r="AP107" s="2852"/>
      <c r="AQ107" s="2852"/>
      <c r="AR107" s="2852"/>
      <c r="AS107" s="2852"/>
      <c r="AT107" s="2852"/>
      <c r="AU107" s="2852"/>
      <c r="AV107" s="2852"/>
      <c r="AW107" s="2852"/>
      <c r="AX107" s="2852"/>
      <c r="AY107" s="2852"/>
      <c r="AZ107" s="2852"/>
    </row>
    <row r="108" spans="1:65" ht="64.5" customHeight="1" x14ac:dyDescent="0.3">
      <c r="A108" s="370" t="s">
        <v>803</v>
      </c>
      <c r="B108" s="884" t="s">
        <v>5806</v>
      </c>
      <c r="C108" s="884"/>
      <c r="D108" s="884"/>
      <c r="E108" s="884"/>
      <c r="F108" s="884"/>
      <c r="G108" s="884"/>
      <c r="H108" s="884"/>
      <c r="I108" s="884"/>
      <c r="J108" s="884"/>
      <c r="K108" s="884"/>
      <c r="L108" s="884"/>
      <c r="M108" s="884"/>
      <c r="N108" s="884"/>
      <c r="O108" s="884"/>
      <c r="P108" s="884"/>
      <c r="Q108" s="884"/>
      <c r="R108" s="884"/>
      <c r="S108" s="884"/>
      <c r="T108" s="884"/>
      <c r="U108" s="884"/>
      <c r="V108" s="884"/>
      <c r="W108" s="884"/>
      <c r="X108" s="884"/>
      <c r="Y108" s="884"/>
      <c r="Z108" s="884"/>
      <c r="AA108" s="884"/>
      <c r="AB108" s="884"/>
      <c r="AC108" s="884"/>
      <c r="AD108" s="884"/>
      <c r="AE108" s="884"/>
      <c r="AF108" s="884"/>
      <c r="AL108" s="2852"/>
      <c r="AM108" s="2852"/>
      <c r="AN108" s="2852"/>
      <c r="AO108" s="2852"/>
      <c r="AP108" s="2852"/>
      <c r="AQ108" s="2852"/>
      <c r="AR108" s="2852"/>
      <c r="AS108" s="2852"/>
      <c r="AT108" s="2852"/>
      <c r="AU108" s="2852"/>
      <c r="AV108" s="2852"/>
      <c r="AW108" s="2852"/>
      <c r="AX108" s="2852"/>
      <c r="AY108" s="2852"/>
      <c r="AZ108" s="2852"/>
    </row>
    <row r="109" spans="1:65" ht="48.75" customHeight="1" x14ac:dyDescent="0.3">
      <c r="A109" s="370" t="s">
        <v>803</v>
      </c>
      <c r="B109" s="884" t="s">
        <v>5834</v>
      </c>
      <c r="C109" s="884"/>
      <c r="D109" s="884"/>
      <c r="E109" s="884"/>
      <c r="F109" s="884"/>
      <c r="G109" s="884"/>
      <c r="H109" s="884"/>
      <c r="I109" s="884"/>
      <c r="J109" s="884"/>
      <c r="K109" s="884"/>
      <c r="L109" s="884"/>
      <c r="M109" s="884"/>
      <c r="N109" s="884"/>
      <c r="O109" s="884"/>
      <c r="P109" s="884"/>
      <c r="Q109" s="884"/>
      <c r="R109" s="884"/>
      <c r="S109" s="884"/>
      <c r="T109" s="884"/>
      <c r="U109" s="884"/>
      <c r="V109" s="884"/>
      <c r="W109" s="884"/>
      <c r="X109" s="884"/>
      <c r="Y109" s="884"/>
      <c r="Z109" s="884"/>
      <c r="AA109" s="884"/>
      <c r="AB109" s="884"/>
      <c r="AC109" s="884"/>
      <c r="AD109" s="884"/>
      <c r="AE109" s="884"/>
      <c r="AF109" s="884"/>
      <c r="AL109" s="553"/>
    </row>
    <row r="110" spans="1:65" ht="48.75" customHeight="1" x14ac:dyDescent="0.3">
      <c r="A110" s="370" t="s">
        <v>803</v>
      </c>
      <c r="B110" s="889" t="s">
        <v>1913</v>
      </c>
      <c r="C110" s="889"/>
      <c r="D110" s="889"/>
      <c r="E110" s="889"/>
      <c r="F110" s="889"/>
      <c r="G110" s="889"/>
      <c r="H110" s="889"/>
      <c r="I110" s="889"/>
      <c r="J110" s="889"/>
      <c r="K110" s="889"/>
      <c r="L110" s="889"/>
      <c r="M110" s="889"/>
      <c r="N110" s="889"/>
      <c r="O110" s="889"/>
      <c r="P110" s="889"/>
      <c r="Q110" s="889"/>
      <c r="R110" s="889"/>
      <c r="S110" s="889"/>
      <c r="T110" s="889"/>
      <c r="U110" s="889"/>
      <c r="V110" s="889"/>
      <c r="W110" s="889"/>
      <c r="X110" s="889"/>
      <c r="Y110" s="889"/>
      <c r="Z110" s="889"/>
      <c r="AA110" s="889"/>
      <c r="AB110" s="889"/>
      <c r="AC110" s="889"/>
      <c r="AD110" s="889"/>
      <c r="AE110" s="889"/>
      <c r="AF110" s="889"/>
      <c r="AL110" s="553"/>
    </row>
    <row r="111" spans="1:65" ht="61.5" customHeight="1" x14ac:dyDescent="0.3">
      <c r="A111" s="370" t="s">
        <v>803</v>
      </c>
      <c r="B111" s="889" t="s">
        <v>5800</v>
      </c>
      <c r="C111" s="889"/>
      <c r="D111" s="889"/>
      <c r="E111" s="889"/>
      <c r="F111" s="889"/>
      <c r="G111" s="889"/>
      <c r="H111" s="889"/>
      <c r="I111" s="889"/>
      <c r="J111" s="889"/>
      <c r="K111" s="889"/>
      <c r="L111" s="889"/>
      <c r="M111" s="889"/>
      <c r="N111" s="889"/>
      <c r="O111" s="889"/>
      <c r="P111" s="889"/>
      <c r="Q111" s="889"/>
      <c r="R111" s="889"/>
      <c r="S111" s="889"/>
      <c r="T111" s="889"/>
      <c r="U111" s="889"/>
      <c r="V111" s="889"/>
      <c r="W111" s="889"/>
      <c r="X111" s="889"/>
      <c r="Y111" s="889"/>
      <c r="Z111" s="889"/>
      <c r="AA111" s="889"/>
      <c r="AB111" s="889"/>
      <c r="AC111" s="889"/>
      <c r="AD111" s="889"/>
      <c r="AE111" s="889"/>
      <c r="AF111" s="889"/>
      <c r="AL111" s="709"/>
    </row>
    <row r="112" spans="1:65" ht="78" customHeight="1" x14ac:dyDescent="0.3">
      <c r="A112" s="370" t="s">
        <v>803</v>
      </c>
      <c r="B112" s="889" t="s">
        <v>5833</v>
      </c>
      <c r="C112" s="889"/>
      <c r="D112" s="889"/>
      <c r="E112" s="889"/>
      <c r="F112" s="889"/>
      <c r="G112" s="889"/>
      <c r="H112" s="889"/>
      <c r="I112" s="889"/>
      <c r="J112" s="889"/>
      <c r="K112" s="889"/>
      <c r="L112" s="889"/>
      <c r="M112" s="889"/>
      <c r="N112" s="889"/>
      <c r="O112" s="889"/>
      <c r="P112" s="889"/>
      <c r="Q112" s="889"/>
      <c r="R112" s="889"/>
      <c r="S112" s="889"/>
      <c r="T112" s="889"/>
      <c r="U112" s="889"/>
      <c r="V112" s="889"/>
      <c r="W112" s="889"/>
      <c r="X112" s="889"/>
      <c r="Y112" s="889"/>
      <c r="Z112" s="889"/>
      <c r="AA112" s="889"/>
      <c r="AB112" s="889"/>
      <c r="AC112" s="889"/>
      <c r="AD112" s="889"/>
      <c r="AE112" s="889"/>
      <c r="AF112" s="889"/>
      <c r="AL112" s="709"/>
    </row>
    <row r="113" spans="1:38" ht="33" customHeight="1" x14ac:dyDescent="0.3">
      <c r="A113" s="370" t="s">
        <v>803</v>
      </c>
      <c r="B113" s="884" t="s">
        <v>6452</v>
      </c>
      <c r="C113" s="884"/>
      <c r="D113" s="884"/>
      <c r="E113" s="884"/>
      <c r="F113" s="884"/>
      <c r="G113" s="884"/>
      <c r="H113" s="884"/>
      <c r="I113" s="884"/>
      <c r="J113" s="884"/>
      <c r="K113" s="884"/>
      <c r="L113" s="884"/>
      <c r="M113" s="884"/>
      <c r="N113" s="884"/>
      <c r="O113" s="884"/>
      <c r="P113" s="884"/>
      <c r="Q113" s="884"/>
      <c r="R113" s="884"/>
      <c r="S113" s="884"/>
      <c r="T113" s="884"/>
      <c r="U113" s="884"/>
      <c r="V113" s="884"/>
      <c r="W113" s="884"/>
      <c r="X113" s="884"/>
      <c r="Y113" s="884"/>
      <c r="Z113" s="884"/>
      <c r="AA113" s="884"/>
      <c r="AB113" s="884"/>
      <c r="AC113" s="884"/>
      <c r="AD113" s="884"/>
      <c r="AE113" s="884"/>
      <c r="AF113" s="884"/>
      <c r="AL113" s="553"/>
    </row>
    <row r="114" spans="1:38" ht="63.75" customHeight="1" x14ac:dyDescent="0.3">
      <c r="A114" s="370" t="s">
        <v>803</v>
      </c>
      <c r="B114" s="884" t="s">
        <v>2717</v>
      </c>
      <c r="C114" s="884"/>
      <c r="D114" s="884"/>
      <c r="E114" s="884"/>
      <c r="F114" s="884"/>
      <c r="G114" s="884"/>
      <c r="H114" s="884"/>
      <c r="I114" s="884"/>
      <c r="J114" s="884"/>
      <c r="K114" s="884"/>
      <c r="L114" s="884"/>
      <c r="M114" s="884"/>
      <c r="N114" s="884"/>
      <c r="O114" s="884"/>
      <c r="P114" s="884"/>
      <c r="Q114" s="884"/>
      <c r="R114" s="884"/>
      <c r="S114" s="884"/>
      <c r="T114" s="884"/>
      <c r="U114" s="884"/>
      <c r="V114" s="884"/>
      <c r="W114" s="884"/>
      <c r="X114" s="884"/>
      <c r="Y114" s="884"/>
      <c r="Z114" s="884"/>
      <c r="AA114" s="884"/>
      <c r="AB114" s="884"/>
      <c r="AC114" s="884"/>
      <c r="AD114" s="884"/>
      <c r="AE114" s="884"/>
      <c r="AF114" s="884"/>
      <c r="AL114" s="553"/>
    </row>
  </sheetData>
  <sheetProtection algorithmName="SHA-512" hashValue="Sy53ZCA4eHsOw/6NWKrfpOqK11TsD+RHSvqUSrzuJZLSfPz3qZE14dxjGGUVuIr9kOK9IbapqD9HbPpUuiaY3w==" saltValue="RBSqLynHVoYreqk5cWIT+g==" spinCount="100000" sheet="1" objects="1" scenarios="1"/>
  <mergeCells count="180">
    <mergeCell ref="B12:I12"/>
    <mergeCell ref="B13:AF13"/>
    <mergeCell ref="B15:I15"/>
    <mergeCell ref="B16:AF16"/>
    <mergeCell ref="B18:I18"/>
    <mergeCell ref="B19:AF19"/>
    <mergeCell ref="A1:AF1"/>
    <mergeCell ref="A3:AF3"/>
    <mergeCell ref="B5:AF5"/>
    <mergeCell ref="A7:AF7"/>
    <mergeCell ref="B9:I9"/>
    <mergeCell ref="B10:AF10"/>
    <mergeCell ref="B21:AF21"/>
    <mergeCell ref="B23:AF23"/>
    <mergeCell ref="B25:AF25"/>
    <mergeCell ref="B28:M30"/>
    <mergeCell ref="N28:Y28"/>
    <mergeCell ref="Z28:AE29"/>
    <mergeCell ref="N29:S29"/>
    <mergeCell ref="T29:Y29"/>
    <mergeCell ref="N30:P30"/>
    <mergeCell ref="Q30:S30"/>
    <mergeCell ref="AC31:AE31"/>
    <mergeCell ref="B32:M32"/>
    <mergeCell ref="N32:P32"/>
    <mergeCell ref="Q32:S32"/>
    <mergeCell ref="T32:V32"/>
    <mergeCell ref="W32:Y32"/>
    <mergeCell ref="Z32:AB32"/>
    <mergeCell ref="AC32:AE32"/>
    <mergeCell ref="T30:V30"/>
    <mergeCell ref="W30:Y30"/>
    <mergeCell ref="Z30:AB30"/>
    <mergeCell ref="AC30:AE30"/>
    <mergeCell ref="B31:M31"/>
    <mergeCell ref="N31:P31"/>
    <mergeCell ref="Q31:S31"/>
    <mergeCell ref="T31:V31"/>
    <mergeCell ref="W31:Y31"/>
    <mergeCell ref="Z31:AB31"/>
    <mergeCell ref="AC33:AE33"/>
    <mergeCell ref="B34:AF34"/>
    <mergeCell ref="B37:AF37"/>
    <mergeCell ref="A40:AF40"/>
    <mergeCell ref="A44:H44"/>
    <mergeCell ref="A49:H49"/>
    <mergeCell ref="B33:M33"/>
    <mergeCell ref="N33:P33"/>
    <mergeCell ref="Q33:S33"/>
    <mergeCell ref="T33:V33"/>
    <mergeCell ref="W33:Y33"/>
    <mergeCell ref="Z33:AB33"/>
    <mergeCell ref="A53:H53"/>
    <mergeCell ref="A58:H58"/>
    <mergeCell ref="A62:H62"/>
    <mergeCell ref="A65:AF65"/>
    <mergeCell ref="A66:D66"/>
    <mergeCell ref="E66:P66"/>
    <mergeCell ref="Q66:T66"/>
    <mergeCell ref="U66:W66"/>
    <mergeCell ref="X66:AF66"/>
    <mergeCell ref="A67:D67"/>
    <mergeCell ref="E67:P67"/>
    <mergeCell ref="Q67:T67"/>
    <mergeCell ref="U67:W67"/>
    <mergeCell ref="X67:AF67"/>
    <mergeCell ref="A68:D68"/>
    <mergeCell ref="E68:P68"/>
    <mergeCell ref="Q68:T68"/>
    <mergeCell ref="U68:W68"/>
    <mergeCell ref="X68:AF68"/>
    <mergeCell ref="A69:D70"/>
    <mergeCell ref="E69:P69"/>
    <mergeCell ref="Q69:T69"/>
    <mergeCell ref="U69:W69"/>
    <mergeCell ref="X69:AF69"/>
    <mergeCell ref="E70:P70"/>
    <mergeCell ref="Q70:T70"/>
    <mergeCell ref="U70:W70"/>
    <mergeCell ref="X70:AF70"/>
    <mergeCell ref="A71:D71"/>
    <mergeCell ref="E71:P71"/>
    <mergeCell ref="Q71:T71"/>
    <mergeCell ref="U71:W71"/>
    <mergeCell ref="X71:AF71"/>
    <mergeCell ref="A72:D72"/>
    <mergeCell ref="E72:P72"/>
    <mergeCell ref="Q72:T72"/>
    <mergeCell ref="U72:W72"/>
    <mergeCell ref="X72:AF72"/>
    <mergeCell ref="A73:D74"/>
    <mergeCell ref="E73:P73"/>
    <mergeCell ref="Q73:T73"/>
    <mergeCell ref="U73:W73"/>
    <mergeCell ref="X73:AF73"/>
    <mergeCell ref="E74:P74"/>
    <mergeCell ref="Q74:T74"/>
    <mergeCell ref="U74:W74"/>
    <mergeCell ref="X74:AF74"/>
    <mergeCell ref="A75:D75"/>
    <mergeCell ref="E75:P75"/>
    <mergeCell ref="Q75:T75"/>
    <mergeCell ref="U75:W75"/>
    <mergeCell ref="X75:AF75"/>
    <mergeCell ref="A76:D76"/>
    <mergeCell ref="E76:P76"/>
    <mergeCell ref="Q76:T76"/>
    <mergeCell ref="U76:W76"/>
    <mergeCell ref="X76:AF76"/>
    <mergeCell ref="A77:D77"/>
    <mergeCell ref="E77:P77"/>
    <mergeCell ref="Q77:T77"/>
    <mergeCell ref="U77:W77"/>
    <mergeCell ref="X77:AF77"/>
    <mergeCell ref="A78:D78"/>
    <mergeCell ref="E78:P78"/>
    <mergeCell ref="Q78:T78"/>
    <mergeCell ref="U78:W78"/>
    <mergeCell ref="X78:AF78"/>
    <mergeCell ref="A79:D79"/>
    <mergeCell ref="E79:P79"/>
    <mergeCell ref="Q79:T79"/>
    <mergeCell ref="U79:W79"/>
    <mergeCell ref="X79:AF79"/>
    <mergeCell ref="A80:D80"/>
    <mergeCell ref="E80:P80"/>
    <mergeCell ref="Q80:T80"/>
    <mergeCell ref="U80:W80"/>
    <mergeCell ref="X80:AF80"/>
    <mergeCell ref="A83:D83"/>
    <mergeCell ref="E83:P83"/>
    <mergeCell ref="Q83:T83"/>
    <mergeCell ref="U83:W83"/>
    <mergeCell ref="X83:AF83"/>
    <mergeCell ref="A84:AF84"/>
    <mergeCell ref="A81:D81"/>
    <mergeCell ref="E81:P81"/>
    <mergeCell ref="Q81:T81"/>
    <mergeCell ref="U81:W81"/>
    <mergeCell ref="X81:AF81"/>
    <mergeCell ref="A82:D82"/>
    <mergeCell ref="E82:P82"/>
    <mergeCell ref="Q82:T82"/>
    <mergeCell ref="U82:W82"/>
    <mergeCell ref="X82:AF82"/>
    <mergeCell ref="T95:Y95"/>
    <mergeCell ref="A85:AF85"/>
    <mergeCell ref="A86:AF86"/>
    <mergeCell ref="A87:AF87"/>
    <mergeCell ref="A88:AF88"/>
    <mergeCell ref="A89:AF89"/>
    <mergeCell ref="B92:M93"/>
    <mergeCell ref="N92:S92"/>
    <mergeCell ref="T92:Y92"/>
    <mergeCell ref="N93:S93"/>
    <mergeCell ref="T93:Y93"/>
    <mergeCell ref="AL37:BM37"/>
    <mergeCell ref="AL107:AZ108"/>
    <mergeCell ref="B110:AF110"/>
    <mergeCell ref="B111:AF111"/>
    <mergeCell ref="B112:AF112"/>
    <mergeCell ref="B113:AF113"/>
    <mergeCell ref="B114:AF114"/>
    <mergeCell ref="G102:O102"/>
    <mergeCell ref="A104:AF104"/>
    <mergeCell ref="B106:AF106"/>
    <mergeCell ref="B107:AF107"/>
    <mergeCell ref="B108:AF108"/>
    <mergeCell ref="B109:AF109"/>
    <mergeCell ref="B96:M96"/>
    <mergeCell ref="N96:S96"/>
    <mergeCell ref="T96:Y96"/>
    <mergeCell ref="B97:AF97"/>
    <mergeCell ref="A99:AF99"/>
    <mergeCell ref="B101:AF101"/>
    <mergeCell ref="B94:M94"/>
    <mergeCell ref="N94:S94"/>
    <mergeCell ref="T94:Y94"/>
    <mergeCell ref="B95:M95"/>
    <mergeCell ref="N95:S95"/>
  </mergeCells>
  <hyperlinks>
    <hyperlink ref="A2" location="TOC!A1" display="Return to TOC" xr:uid="{AD5E77A9-C5A3-4EC1-A117-C5C0CCBC8023}"/>
    <hyperlink ref="G102:O102" location="R_HVAC_AC_WKST!A1" display="R_HVAC_AC_WKST" xr:uid="{C6DB1ECF-577C-49B8-9E78-A92532DFF993}"/>
  </hyperlinks>
  <pageMargins left="0.7" right="0.7" top="0.75" bottom="0.75" header="0.3" footer="0.3"/>
  <ignoredErrors>
    <ignoredError sqref="AF44:AF62" numberStoredAsText="1"/>
  </ignoredErrors>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94749-94A6-4EC7-8DB2-6C5AD1841F0E}">
  <sheetPr>
    <tabColor theme="7" tint="0.79998168889431442"/>
  </sheetPr>
  <dimension ref="A1:CV67"/>
  <sheetViews>
    <sheetView showGridLines="0" workbookViewId="0">
      <selection activeCell="B2" sqref="B2"/>
    </sheetView>
  </sheetViews>
  <sheetFormatPr defaultColWidth="9.109375" defaultRowHeight="15" customHeight="1" x14ac:dyDescent="0.3"/>
  <cols>
    <col min="1" max="1" width="2.6640625" customWidth="1"/>
    <col min="2" max="2" width="45.33203125" customWidth="1"/>
    <col min="3" max="3" width="40.44140625" bestFit="1" customWidth="1"/>
    <col min="4" max="4" width="15.6640625" customWidth="1"/>
    <col min="5" max="5" width="21.88671875" customWidth="1"/>
    <col min="6" max="8" width="15.6640625" customWidth="1"/>
    <col min="9" max="9" width="22.44140625" bestFit="1" customWidth="1"/>
    <col min="10" max="10" width="15.6640625" customWidth="1"/>
    <col min="11" max="11" width="13.33203125" bestFit="1" customWidth="1"/>
    <col min="12" max="12" width="15.6640625" style="94" customWidth="1"/>
    <col min="13" max="13" width="10.33203125" style="94" bestFit="1" customWidth="1"/>
    <col min="14" max="100" width="9.109375" style="94"/>
  </cols>
  <sheetData>
    <row r="1" spans="1:15" ht="18" x14ac:dyDescent="0.3">
      <c r="A1" s="579" t="s">
        <v>6456</v>
      </c>
      <c r="B1" s="579"/>
      <c r="C1" s="807"/>
      <c r="D1" s="579"/>
      <c r="E1" s="579"/>
      <c r="F1" s="579"/>
      <c r="G1" s="579"/>
      <c r="H1" s="579"/>
      <c r="I1" s="579"/>
      <c r="J1" s="579"/>
      <c r="K1" s="579"/>
      <c r="L1" s="807"/>
      <c r="M1" s="807"/>
      <c r="N1" s="807"/>
      <c r="O1" s="807"/>
    </row>
    <row r="2" spans="1:15" ht="18" x14ac:dyDescent="0.3">
      <c r="A2" s="228"/>
      <c r="B2" s="512" t="s">
        <v>1456</v>
      </c>
      <c r="C2" s="145"/>
      <c r="D2" s="145"/>
      <c r="E2" s="145"/>
      <c r="F2" s="145"/>
      <c r="G2" s="145"/>
      <c r="H2" s="145"/>
      <c r="J2" s="187"/>
      <c r="L2" s="276"/>
    </row>
    <row r="3" spans="1:15" ht="14.4" x14ac:dyDescent="0.3">
      <c r="B3" s="180" t="s">
        <v>1172</v>
      </c>
      <c r="E3" s="180" t="s">
        <v>1025</v>
      </c>
      <c r="I3" s="1702" t="s">
        <v>1160</v>
      </c>
      <c r="J3" s="1702"/>
      <c r="M3" s="388"/>
    </row>
    <row r="4" spans="1:15" ht="14.4" x14ac:dyDescent="0.3">
      <c r="B4" s="180"/>
      <c r="E4" s="180"/>
      <c r="I4" s="495"/>
      <c r="J4" s="495"/>
      <c r="M4" s="388"/>
    </row>
    <row r="5" spans="1:15" ht="14.4" x14ac:dyDescent="0.3">
      <c r="B5" s="479" t="s">
        <v>3648</v>
      </c>
      <c r="C5" s="834" t="s">
        <v>3486</v>
      </c>
      <c r="D5" s="312" t="s">
        <v>3642</v>
      </c>
      <c r="J5" s="94"/>
    </row>
    <row r="6" spans="1:15" ht="14.4" x14ac:dyDescent="0.3">
      <c r="B6" s="479" t="s">
        <v>3543</v>
      </c>
      <c r="C6" s="834" t="s">
        <v>3544</v>
      </c>
      <c r="D6" s="312" t="s">
        <v>3545</v>
      </c>
      <c r="F6" s="94"/>
    </row>
    <row r="7" spans="1:15" ht="14.4" x14ac:dyDescent="0.3">
      <c r="B7" s="268" t="s">
        <v>4647</v>
      </c>
      <c r="C7" s="834" t="s">
        <v>5848</v>
      </c>
      <c r="E7" s="383"/>
      <c r="F7" s="606"/>
      <c r="G7" s="607"/>
      <c r="I7" s="179" t="s">
        <v>1024</v>
      </c>
      <c r="J7" s="34">
        <f>INDEX($G$39:$I$51,MATCH($C$7,$B$39:$B$51,0),MATCH(LEFT(I7,LEN(I7)-1),$G$38:$I$38,0))</f>
        <v>0.27</v>
      </c>
    </row>
    <row r="8" spans="1:15" ht="14.4" x14ac:dyDescent="0.3">
      <c r="B8" s="479" t="s">
        <v>5864</v>
      </c>
      <c r="C8" s="841">
        <v>60000</v>
      </c>
      <c r="D8" s="443" t="str">
        <f>IF(AND($C$7="Room AC w/ recycling (&lt; 8,000 Btu/h)",$C$8&gt;7999),"Check AC Size",IF(AND($C$7="Room AC w/o recycling (&lt; 8,000 Btu/h)",$C$8&gt;7999),"Check AC Size",IF(AND($C$7="Room AC w/ recycling (8,000-13,999 Btu/h)",OR($C$8&gt;13999,$C$8&lt;8000)),"Check AC Size",IF(AND($C$7="Room AC w/o recycling (8,000-13,999 Btu/h)",OR($C$8&gt;13999,$C$8&lt;8000)),"Check AC Size",IF(AND($C$7="Room AC w/ recycling (14,000-19,999 Btu/h)",OR($C$8&gt;19999,$C$8&lt;14000)),"Check AC Size",IF(AND($C$7="Room AC w/o recycling (14,000-19,999 Btu/h)",OR($C$8&gt;19999,$C$8&lt;14000)),"Check AC Size",IF(AND($C$7="Room AC w/ recycling (20,000-27,999 Btu/h)",OR($C$8&gt;27999,$C$8&lt;20000)),"Check AC Size",IF(AND($C$7="Room AC w/o recycling (20,000-27,999 Btu/h)",OR($C$8&gt;27999,$C$8&lt;20000)),"Check AC Size",IF(AND($C$7="Ductless (≥28,000 Btu/h)",OR($C$8&gt;64999,$C$8&lt;28000)),"Check AC Size",IF(AND($C$7="Ductless (&lt;28,000 Btu/h)",OR($C$8&gt;27999,$C$8&lt;8000)),"Check AC Size",IF(AND($C$7="Central AC Split-System (&lt;45,000 Btu/h)",$C$8&gt;44999),"Check AC Size",IF(AND($C$7="Central AC Split-System (45,000-64,999 Btu/h)",OR($C$8&gt;64999,$C$8&lt;45000)),"Check AC Size",IF(AND($C$7="Central AC Single-Package (&lt;65,000 Btu/h)",$C$8&gt;64999),"Check AC Size","")))))))))))))</f>
        <v/>
      </c>
      <c r="E8" s="383" t="str">
        <f>"SEER(2)/CEER_"&amp;IF(OR($C$5="Yes",$C$5="NA"),"EE_Min","EE_Base")</f>
        <v>SEER(2)/CEER_EE_Min</v>
      </c>
      <c r="F8" s="448">
        <f>INDEX($C$39:$F$51,MATCH($C$7,$B$39:$B$51,0),MATCH($E8,$C$38:$F$38,0))</f>
        <v>15.2</v>
      </c>
      <c r="G8" s="29" t="str">
        <f>IF(C10&gt;=F8,"Pass","Fail")</f>
        <v>Pass</v>
      </c>
      <c r="I8" s="179" t="s">
        <v>1023</v>
      </c>
      <c r="J8" s="33">
        <f>INDEX($G$39:$I$51,MATCH($C$7,$B$39:$B$51,0),MATCH(LEFT(I8,LEN(I8)-1),$G$38:$I$38,0))</f>
        <v>1884</v>
      </c>
    </row>
    <row r="9" spans="1:15" ht="15.6" x14ac:dyDescent="0.3">
      <c r="B9" s="479" t="s">
        <v>5849</v>
      </c>
      <c r="C9" s="842">
        <v>14</v>
      </c>
      <c r="E9" s="499" t="s">
        <v>5865</v>
      </c>
      <c r="F9" s="448">
        <f>IF($C$7="Ductless (&lt;28,000 Btu/h)",INDEX($C$17:$D$19,MATCH($C$8,$A$17:$A$19,1),2),IF($C$7="Ductless (≥28,000 Btu/h)",INDEX($C$20:$D$21,MATCH($C$8,$A$20:$A$21,1),2),IF($C$7="Room AC w/ recycling (&lt; 8,000 Btu/h)",$D$28,IF($C$7="Room AC w/o recycling (&lt; 8,000 Btu/h)",$D$29,IF($C$7="Room AC w/ recycling (8,000-13,999 Btu/h)",$D$30,IF($C$7="Room AC w/o recycling (8,000-13,999 Btu/h)",$D$31,IF($C$7="Room AC w/ recycling (14,000-19,999 Btu/h)",$D$32,IF($C$7="Room AC w/o recycling (14,000-19,999 Btu/h)",$D$33,IF($C$7="Room AC w/ recycling (20,000-27,999 Btu/h)",$D$34,IF($C$7="Room AC w/o recycling (20,000-27,999 Btu/h)",$D$35,IF($C$7="Central AC Split-System (&lt;45,000 Btu/h)",$D$25,IF($C$7="Central AC Split-System (45,000-64,999 Btu/h)",$D$26,IF($C$7="Central AC Single-Package (&lt;65,000 Btu/h)",$D$27,"")))))))))))))</f>
        <v>11.2</v>
      </c>
      <c r="I9" s="179" t="s">
        <v>2773</v>
      </c>
      <c r="J9" s="472">
        <f>INDEX($G$39:$I$51,MATCH($C$7,$B$39:$B$51,0),MATCH(LEFT(I9,LEN(I9)-1),$G$38:$I$38,0))</f>
        <v>1</v>
      </c>
      <c r="K9" s="238"/>
    </row>
    <row r="10" spans="1:15" ht="15.6" x14ac:dyDescent="0.3">
      <c r="B10" s="479" t="s">
        <v>5850</v>
      </c>
      <c r="C10" s="843">
        <v>16</v>
      </c>
      <c r="E10" s="499" t="s">
        <v>5866</v>
      </c>
      <c r="F10" s="448">
        <f>IF($C$7="Ductless (&lt;28,000 Btu/h)",INDEX($C$17:$D$19,MATCH($C$8,$A$17:$A$19,1),1),IF($C$7="Ductless (≥28,000 Btu/h)",INDEX($C$20:$D$21,MATCH($C$8,$A$20:$A$21,1),1),IF($C$7="Room AC w/ recycling (&lt; 8,000 Btu/h)",$C$28,IF($C$7="Room AC w/o recycling (&lt; 8,000 Btu/h)",$C$29,IF($C$7="Room AC w/ recycling (8,000-13,999 Btu/h)",$C$30,IF($C$7="Room AC w/o recycling (8,000-13,999 Btu/h)",$C$31,IF($C$7="Room AC w/ recycling (14,000-19,999 Btu/h)",$C$32,IF($C$7="Room AC w/o recycling (14,000-19,999 Btu/h)",$C$33,IF($C$7="Room AC w/ recycling (20,000-27,999 Btu/h)",$C$34,IF($C$7="Room AC w/o recycling (20,000-27,999 Btu/h)",$C$35,IF($C$7="Central AC Split-System (&lt;45,000 Btu/h)",$C$25,IF($C$7="Central AC Split-System (45,000-64,999 Btu/h)",$C$26,IF($C$7="Central AC Single-Package (&lt;65,000 Btu/h)",$C$27,"")))))))))))))</f>
        <v>13.8</v>
      </c>
      <c r="I10" s="22" t="s">
        <v>2774</v>
      </c>
      <c r="J10" s="808">
        <f>IF(AND($G$8="Pass",$D$8=""),ROUND($C$8*(1/$F9-1/$C9)/1000*$J7*$J9,3),0)</f>
        <v>0.28899999999999998</v>
      </c>
      <c r="K10" s="276"/>
    </row>
    <row r="11" spans="1:15" ht="15.6" x14ac:dyDescent="0.3">
      <c r="B11" s="1701" t="s">
        <v>5851</v>
      </c>
      <c r="C11" s="1701"/>
      <c r="D11" s="1701"/>
      <c r="E11" s="499" t="s">
        <v>3463</v>
      </c>
      <c r="F11" s="448">
        <f>IF($C$7="Room AC w/ recycling (&lt; 8,000 Btu/h)",$F$28,IF($C$7="Room AC w/ recycling (8,000-13,999 Btu/h)",$F$30,IF($C$7="Room AC w/ recycling (14,000-19,999 Btu/h)",$F$32,IF($C$7="Room AC w/ recycling (20,000-27,999 Btu/h)",$F$34,IF(AND($C$7="Central AC Split-System (&lt;45,000 Btu/h)",$C$6="2006 and Later"),$F$25,IF(AND($C$7="Central AC Split-System (45,000-64,999 Btu/h)",$C$6="2006 and Later"),$F$26,IF(AND($C$7="Central AC Single-Package (&lt;65,000 Btu/h)",$C$6="2006 and Later"),$F$27,IF(AND($C$7="Central AC Split-System (&lt;45,000 Btu/h)",$C$6="Pre-2006"),$H$25,IF(AND($C$7="Central AC Split-System (45,000-64,999 Btu/h)",$C$6="Pre-2006"),$H$26,IF(AND($C$7="Central AC Single-Package (&lt;65,000 Btu/h)",$C$6="Pre-2006"),$H$27,""))))))))))</f>
        <v>10</v>
      </c>
      <c r="G11" s="235" t="s">
        <v>3394</v>
      </c>
      <c r="I11" s="22" t="s">
        <v>3395</v>
      </c>
      <c r="J11" s="808">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Btu/h)"),$G$8="Pass",$D$8=""),ROUND($C$8*($F$14*1/$F11-1/$C9)/1000*$J7*$J9,3),0)</f>
        <v>0.51800000000000002</v>
      </c>
      <c r="K11" s="312" t="s">
        <v>3396</v>
      </c>
      <c r="L11" s="312"/>
    </row>
    <row r="12" spans="1:15" ht="15.6" x14ac:dyDescent="0.3">
      <c r="B12" s="1701"/>
      <c r="C12" s="1701"/>
      <c r="D12" s="1701"/>
      <c r="E12" s="499" t="s">
        <v>3644</v>
      </c>
      <c r="F12" s="448">
        <f>IF($C$7="Room AC w/ recycling (&lt; 8,000 Btu/h)",$E$28,IF($C$7="Room AC w/ recycling (8,000-13,999 Btu/h)",$E$30,IF($C$7="Room AC w/ recycling (14,000-19,999 Btu/h)",$E$32,IF($C$7="Room AC w/ recycling (20,000-27,999 Btu/h)",$E$34,IF(AND($C$7="Central AC Split-System (&lt;45,000 Btu/h)",$C$6="2006 and Later"),$E$25,IF(AND($C$7="Central AC Split-System (45,000-64,999 Btu/h)",$C$6="2006 and Later"),$E$26,IF(AND($C$7="Central AC Single-Package (&lt;65,000 Btu/h)",$C$6="2006 and Later"),$E$27,IF(AND($C$7="Central AC Split-System (&lt;45,000 Btu/h)",$C$6="Pre-2006"),$G$25,IF(AND($C$7="Central AC Split-System (45,000-64,999 Btu/h)",$C$6="Pre-2006"),$G$26,IF(AND($C$7="Central AC Single-Package (&lt;65,000 Btu/h)",$C$6="Pre-2006"),$G$27,""))))))))))</f>
        <v>13</v>
      </c>
      <c r="G12" s="235" t="s">
        <v>3394</v>
      </c>
      <c r="I12" s="22" t="s">
        <v>1022</v>
      </c>
      <c r="J12" s="463">
        <f>IF(AND($G$8="Pass",$D$8=""),ROUND($C$8*(1/$F10-1/$C10)/1000*$J8*$J9,2),0)</f>
        <v>1126.3</v>
      </c>
      <c r="K12" s="94"/>
    </row>
    <row r="13" spans="1:15" ht="15.6" x14ac:dyDescent="0.3">
      <c r="B13" s="94"/>
      <c r="C13" s="94"/>
      <c r="D13" s="94"/>
      <c r="E13" s="499" t="s">
        <v>5867</v>
      </c>
      <c r="F13" s="744">
        <f>INDEX($K$39:$L$51,MATCH($C$7,$B$39:$B$51,0),MATCH($E13,$K$38:$L$38,0))</f>
        <v>1.034</v>
      </c>
      <c r="G13" s="94"/>
      <c r="H13" s="94"/>
      <c r="I13" s="22" t="s">
        <v>3397</v>
      </c>
      <c r="J13" s="463">
        <f>IF(AND(OR($C$7="Central AC Split-System (&lt;45,000 Btu/h)",$C$7="Central AC Split-System (45,000-64,999 Btu/h)",$C$7="Central AC Single-Package (&lt;65,000 Btu/h)",$C$7="Room AC w/ recycling (&lt; 8,000 Btu/h)",$C$7="Room AC w/ recycling (8,000-13,999 Btu/h)",$C$7="Room AC w/ recycling (14,000-19,999 Btu/h)",$C$7="Room AC w/ recycling (20,000-27,999 Btu/h)"),$G$8="Pass",$D$8=""),ROUND($C$8*($F$13*1/$F12-1/$C10)/1000*$J8*$J9,2),0)</f>
        <v>1926.03</v>
      </c>
      <c r="K13" s="312" t="s">
        <v>3396</v>
      </c>
      <c r="L13" s="312"/>
    </row>
    <row r="14" spans="1:15" ht="15.6" x14ac:dyDescent="0.3">
      <c r="B14" s="444" t="s">
        <v>3398</v>
      </c>
      <c r="C14" s="94"/>
      <c r="D14" s="94"/>
      <c r="E14" s="499" t="s">
        <v>5868</v>
      </c>
      <c r="F14" s="744">
        <f>INDEX($K$39:$L$51,MATCH($C$7,$B$39:$B$51,0),MATCH($E14,$K$38:$L$38,0))</f>
        <v>1.034</v>
      </c>
      <c r="G14" s="553"/>
      <c r="H14" s="94"/>
      <c r="I14" s="479" t="s">
        <v>5852</v>
      </c>
      <c r="J14" s="463">
        <f>ROUND(J12*INDEX($J$39:$J$51,MATCH($C$7,$B$39:$B$51,0),1),2)</f>
        <v>16894.5</v>
      </c>
      <c r="K14" s="438"/>
    </row>
    <row r="15" spans="1:15" ht="14.4" x14ac:dyDescent="0.3">
      <c r="A15" s="438"/>
      <c r="B15" s="94"/>
      <c r="C15" s="1759" t="s">
        <v>3399</v>
      </c>
      <c r="D15" s="1760"/>
      <c r="E15" s="94"/>
      <c r="F15" s="94"/>
      <c r="G15" s="553"/>
      <c r="H15" s="94"/>
      <c r="I15" s="479" t="s">
        <v>5853</v>
      </c>
      <c r="J15" s="463">
        <f>IF($C$7="Central AC Split-System (&lt;45,000 Btu/h)",ROUND(J13*$J$49/3+J12*($J$49*2/3),2),IF($C$7="Central AC Split-System (45,000-64,999 Btu/h)",ROUND(J13*$J$50/3+J12*($J$50*2/3),2),IF($C$7="Central AC Single-Package (&lt;65,000 Btu/h)",ROUND(J13*$J$51/3+J12*($J$51*2/3),2),IF($C$7="Room AC w/ recycling (&lt; 8,000 Btu/h)",ROUND(J13*$J$41/3+J12*($J$41*2/3),2),IF($C$7="Room AC w/ recycling (8,000-13,999 Btu/h)",ROUND(J13*$J$43/3+J12*($J$43*2/3),2),IF($C$7="Room AC w/ recycling (14,000-19,999 Btu/h)",ROUND(J13*$J$45/3+J12*($J$45*2/3),2),IF($C$7="Room AC w/ recycling (20,000-27,999 Btu/h)",ROUND(J13*$J$47/3+J12*($J$47*2/3),2),0)))))))</f>
        <v>20893.150000000001</v>
      </c>
      <c r="K15" s="312" t="s">
        <v>3394</v>
      </c>
      <c r="L15" s="312"/>
    </row>
    <row r="16" spans="1:15" ht="15.6" x14ac:dyDescent="0.3">
      <c r="B16" s="445" t="s">
        <v>3400</v>
      </c>
      <c r="C16" s="446" t="s">
        <v>5869</v>
      </c>
      <c r="D16" s="446" t="s">
        <v>3643</v>
      </c>
      <c r="E16" s="276"/>
      <c r="F16" s="94"/>
      <c r="G16" s="94"/>
      <c r="H16" s="94"/>
      <c r="I16" s="94"/>
      <c r="J16" s="94"/>
      <c r="K16" s="94"/>
    </row>
    <row r="17" spans="1:100" ht="14.4" x14ac:dyDescent="0.3">
      <c r="A17" s="384">
        <v>8000</v>
      </c>
      <c r="B17" s="447" t="s">
        <v>2766</v>
      </c>
      <c r="C17" s="810">
        <v>10.9</v>
      </c>
      <c r="D17" s="811">
        <v>11</v>
      </c>
      <c r="E17" s="94"/>
      <c r="F17" s="94"/>
      <c r="G17" s="94"/>
      <c r="H17" s="94"/>
      <c r="I17" s="94"/>
      <c r="J17" s="94"/>
      <c r="K17" s="94"/>
    </row>
    <row r="18" spans="1:100" ht="14.4" x14ac:dyDescent="0.3">
      <c r="A18" s="384">
        <v>14000</v>
      </c>
      <c r="B18" s="447" t="s">
        <v>2767</v>
      </c>
      <c r="C18" s="810">
        <v>10.7</v>
      </c>
      <c r="D18" s="811">
        <v>10.8</v>
      </c>
      <c r="E18" s="94"/>
      <c r="F18" s="94"/>
      <c r="G18" s="94"/>
      <c r="H18" s="94"/>
      <c r="I18" s="94"/>
      <c r="J18" s="94"/>
      <c r="K18" s="94"/>
    </row>
    <row r="19" spans="1:100" ht="14.4" x14ac:dyDescent="0.3">
      <c r="A19" s="384">
        <v>20000</v>
      </c>
      <c r="B19" s="447" t="s">
        <v>5854</v>
      </c>
      <c r="C19" s="810">
        <v>9.4</v>
      </c>
      <c r="D19" s="811">
        <v>9.5</v>
      </c>
      <c r="E19" s="94"/>
      <c r="F19" s="94"/>
      <c r="G19" s="94"/>
      <c r="H19" s="94"/>
      <c r="I19" s="94"/>
      <c r="J19" s="94"/>
      <c r="K19" s="94"/>
    </row>
    <row r="20" spans="1:100" s="553" customFormat="1" ht="14.4" x14ac:dyDescent="0.3">
      <c r="A20" s="384">
        <v>28000</v>
      </c>
      <c r="B20" s="447" t="s">
        <v>5855</v>
      </c>
      <c r="C20" s="812">
        <v>15</v>
      </c>
      <c r="D20" s="811">
        <v>12.2</v>
      </c>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row>
    <row r="21" spans="1:100" s="553" customFormat="1" ht="14.4" x14ac:dyDescent="0.3">
      <c r="A21" s="384">
        <v>45000</v>
      </c>
      <c r="B21" s="447" t="s">
        <v>5856</v>
      </c>
      <c r="C21" s="812">
        <v>14.3</v>
      </c>
      <c r="D21" s="811">
        <v>11.6</v>
      </c>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row>
    <row r="22" spans="1:100" s="553" customFormat="1" ht="14.4" x14ac:dyDescent="0.3">
      <c r="A22" s="384"/>
      <c r="B22" s="449"/>
      <c r="C22" s="442"/>
      <c r="D22" s="442"/>
      <c r="E22" s="2553" t="s">
        <v>3544</v>
      </c>
      <c r="F22" s="2553"/>
      <c r="G22" s="2553" t="s">
        <v>3546</v>
      </c>
      <c r="H22" s="2553"/>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row>
    <row r="23" spans="1:100" s="553" customFormat="1" ht="14.4" x14ac:dyDescent="0.3">
      <c r="A23" s="384"/>
      <c r="B23" s="450"/>
      <c r="C23" s="1757" t="s">
        <v>3405</v>
      </c>
      <c r="D23" s="1758"/>
      <c r="E23" s="1759" t="s">
        <v>3401</v>
      </c>
      <c r="F23" s="1760"/>
      <c r="G23" s="1759" t="s">
        <v>3401</v>
      </c>
      <c r="H23" s="1760"/>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94"/>
      <c r="CD23" s="94"/>
      <c r="CE23" s="94"/>
      <c r="CF23" s="94"/>
      <c r="CG23" s="94"/>
      <c r="CH23" s="94"/>
      <c r="CI23" s="94"/>
      <c r="CJ23" s="94"/>
      <c r="CK23" s="94"/>
      <c r="CL23" s="94"/>
      <c r="CM23" s="94"/>
      <c r="CN23" s="94"/>
      <c r="CO23" s="94"/>
      <c r="CP23" s="94"/>
      <c r="CQ23" s="94"/>
      <c r="CR23" s="94"/>
      <c r="CS23" s="94"/>
      <c r="CT23" s="94"/>
      <c r="CU23" s="94"/>
      <c r="CV23" s="94"/>
    </row>
    <row r="24" spans="1:100" s="553" customFormat="1" ht="15.6" x14ac:dyDescent="0.3">
      <c r="A24" s="384">
        <v>65000</v>
      </c>
      <c r="B24" s="445" t="s">
        <v>3402</v>
      </c>
      <c r="C24" s="446" t="s">
        <v>5870</v>
      </c>
      <c r="D24" s="446" t="s">
        <v>5871</v>
      </c>
      <c r="E24" s="446" t="s">
        <v>3644</v>
      </c>
      <c r="F24" s="446" t="s">
        <v>3463</v>
      </c>
      <c r="G24" s="446" t="s">
        <v>3644</v>
      </c>
      <c r="H24" s="446" t="s">
        <v>3463</v>
      </c>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94"/>
      <c r="CD24" s="94"/>
      <c r="CE24" s="94"/>
      <c r="CF24" s="94"/>
      <c r="CG24" s="94"/>
      <c r="CH24" s="94"/>
      <c r="CI24" s="94"/>
      <c r="CJ24" s="94"/>
      <c r="CK24" s="94"/>
      <c r="CL24" s="94"/>
      <c r="CM24" s="94"/>
      <c r="CN24" s="94"/>
      <c r="CO24" s="94"/>
      <c r="CP24" s="94"/>
      <c r="CQ24" s="94"/>
      <c r="CR24" s="94"/>
      <c r="CS24" s="94"/>
      <c r="CT24" s="94"/>
      <c r="CU24" s="94"/>
      <c r="CV24" s="94"/>
    </row>
    <row r="25" spans="1:100" s="553" customFormat="1" ht="14.4" x14ac:dyDescent="0.3">
      <c r="A25" s="384"/>
      <c r="B25" s="447" t="s">
        <v>5857</v>
      </c>
      <c r="C25" s="813">
        <v>14.3</v>
      </c>
      <c r="D25" s="814">
        <v>11.7</v>
      </c>
      <c r="E25" s="812">
        <v>13</v>
      </c>
      <c r="F25" s="811">
        <v>10</v>
      </c>
      <c r="G25" s="812">
        <v>11</v>
      </c>
      <c r="H25" s="811">
        <v>9.9</v>
      </c>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94"/>
      <c r="CD25" s="94"/>
      <c r="CE25" s="94"/>
      <c r="CF25" s="94"/>
      <c r="CG25" s="94"/>
      <c r="CH25" s="94"/>
      <c r="CI25" s="94"/>
      <c r="CJ25" s="94"/>
      <c r="CK25" s="94"/>
      <c r="CL25" s="94"/>
      <c r="CM25" s="94"/>
      <c r="CN25" s="94"/>
      <c r="CO25" s="94"/>
      <c r="CP25" s="94"/>
      <c r="CQ25" s="94"/>
      <c r="CR25" s="94"/>
      <c r="CS25" s="94"/>
      <c r="CT25" s="94"/>
      <c r="CU25" s="94"/>
      <c r="CV25" s="94"/>
    </row>
    <row r="26" spans="1:100" s="553" customFormat="1" ht="14.4" x14ac:dyDescent="0.3">
      <c r="A26" s="384"/>
      <c r="B26" s="447" t="s">
        <v>5848</v>
      </c>
      <c r="C26" s="813">
        <v>13.8</v>
      </c>
      <c r="D26" s="814">
        <v>11.2</v>
      </c>
      <c r="E26" s="812">
        <v>13</v>
      </c>
      <c r="F26" s="811">
        <v>10</v>
      </c>
      <c r="G26" s="812">
        <v>11</v>
      </c>
      <c r="H26" s="811">
        <v>9.9</v>
      </c>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row>
    <row r="27" spans="1:100" s="553" customFormat="1" ht="14.4" x14ac:dyDescent="0.3">
      <c r="A27" s="384"/>
      <c r="B27" s="447" t="s">
        <v>5858</v>
      </c>
      <c r="C27" s="813">
        <v>13.4</v>
      </c>
      <c r="D27" s="814">
        <v>10.6</v>
      </c>
      <c r="E27" s="812">
        <v>13</v>
      </c>
      <c r="F27" s="811">
        <v>10</v>
      </c>
      <c r="G27" s="812">
        <v>11</v>
      </c>
      <c r="H27" s="811">
        <v>9.9</v>
      </c>
      <c r="I27" s="94"/>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row>
    <row r="28" spans="1:100" s="553" customFormat="1" ht="14.4" x14ac:dyDescent="0.3">
      <c r="A28" s="384"/>
      <c r="B28" s="447" t="s">
        <v>3496</v>
      </c>
      <c r="C28" s="810">
        <v>11</v>
      </c>
      <c r="D28" s="811">
        <v>11.1</v>
      </c>
      <c r="E28" s="810">
        <v>9.6</v>
      </c>
      <c r="F28" s="811">
        <v>9.6999999999999993</v>
      </c>
      <c r="G28" s="480"/>
      <c r="H28" s="480"/>
      <c r="I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94"/>
      <c r="CD28" s="94"/>
      <c r="CE28" s="94"/>
      <c r="CF28" s="94"/>
      <c r="CG28" s="94"/>
      <c r="CH28" s="94"/>
      <c r="CI28" s="94"/>
      <c r="CJ28" s="94"/>
      <c r="CK28" s="94"/>
      <c r="CL28" s="94"/>
      <c r="CM28" s="94"/>
      <c r="CN28" s="94"/>
      <c r="CO28" s="94"/>
      <c r="CP28" s="94"/>
      <c r="CQ28" s="94"/>
      <c r="CR28" s="94"/>
      <c r="CS28" s="94"/>
      <c r="CT28" s="94"/>
      <c r="CU28" s="94"/>
      <c r="CV28" s="94"/>
    </row>
    <row r="29" spans="1:100" s="553" customFormat="1" ht="14.4" x14ac:dyDescent="0.3">
      <c r="A29" s="384"/>
      <c r="B29" s="447" t="s">
        <v>3499</v>
      </c>
      <c r="C29" s="810">
        <v>11</v>
      </c>
      <c r="D29" s="811">
        <v>11.1</v>
      </c>
      <c r="E29" s="471"/>
      <c r="F29" s="442"/>
      <c r="G29" s="480"/>
      <c r="H29" s="480"/>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row>
    <row r="30" spans="1:100" s="553" customFormat="1" ht="14.4" x14ac:dyDescent="0.3">
      <c r="A30" s="384"/>
      <c r="B30" s="447" t="s">
        <v>3403</v>
      </c>
      <c r="C30" s="810">
        <v>10.9</v>
      </c>
      <c r="D30" s="811">
        <v>11</v>
      </c>
      <c r="E30" s="810">
        <v>9.6999999999999993</v>
      </c>
      <c r="F30" s="811">
        <v>9.8000000000000007</v>
      </c>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row>
    <row r="31" spans="1:100" s="553" customFormat="1" ht="14.4" x14ac:dyDescent="0.3">
      <c r="A31" s="384"/>
      <c r="B31" s="447" t="s">
        <v>3391</v>
      </c>
      <c r="C31" s="810">
        <v>10.9</v>
      </c>
      <c r="D31" s="811">
        <v>11</v>
      </c>
      <c r="E31" s="452"/>
      <c r="F31" s="453"/>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row>
    <row r="32" spans="1:100" s="553" customFormat="1" ht="14.4" x14ac:dyDescent="0.3">
      <c r="A32"/>
      <c r="B32" s="447" t="s">
        <v>3500</v>
      </c>
      <c r="C32" s="810">
        <v>10.7</v>
      </c>
      <c r="D32" s="811">
        <v>10.8</v>
      </c>
      <c r="E32" s="810">
        <v>9.6</v>
      </c>
      <c r="F32" s="811">
        <v>9.6999999999999993</v>
      </c>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row>
    <row r="33" spans="1:100" s="553" customFormat="1" ht="14.4" x14ac:dyDescent="0.3">
      <c r="A33"/>
      <c r="B33" s="447" t="s">
        <v>3501</v>
      </c>
      <c r="C33" s="810">
        <v>10.7</v>
      </c>
      <c r="D33" s="811">
        <v>10.8</v>
      </c>
      <c r="E33" s="471"/>
      <c r="F33" s="442"/>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row>
    <row r="34" spans="1:100" s="553" customFormat="1" ht="14.4" x14ac:dyDescent="0.3">
      <c r="A34"/>
      <c r="B34" s="447" t="s">
        <v>3502</v>
      </c>
      <c r="C34" s="810">
        <v>9.4</v>
      </c>
      <c r="D34" s="811">
        <v>9.5</v>
      </c>
      <c r="E34" s="810">
        <v>8.4</v>
      </c>
      <c r="F34" s="811">
        <v>8.5</v>
      </c>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row>
    <row r="35" spans="1:100" s="553" customFormat="1" ht="14.4" x14ac:dyDescent="0.3">
      <c r="A35"/>
      <c r="B35" s="447" t="s">
        <v>3503</v>
      </c>
      <c r="C35" s="810">
        <v>9.4</v>
      </c>
      <c r="D35" s="811">
        <v>9.5</v>
      </c>
      <c r="E35" s="452"/>
      <c r="F35" s="453"/>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row>
    <row r="36" spans="1:100" ht="14.4" x14ac:dyDescent="0.3">
      <c r="B36" s="94"/>
      <c r="C36" s="94"/>
      <c r="D36" s="94"/>
      <c r="E36" s="94"/>
      <c r="F36" s="94"/>
      <c r="G36" s="94"/>
      <c r="H36" s="94"/>
      <c r="I36" s="94"/>
      <c r="J36" s="94"/>
      <c r="K36" s="94"/>
    </row>
    <row r="37" spans="1:100" ht="15.6" x14ac:dyDescent="0.3">
      <c r="B37" s="451" t="s">
        <v>3404</v>
      </c>
      <c r="C37" s="94"/>
      <c r="D37" s="94"/>
      <c r="E37" s="94"/>
      <c r="F37" s="94"/>
      <c r="G37" s="94"/>
      <c r="H37" s="94"/>
      <c r="I37" s="94"/>
      <c r="J37" s="94"/>
      <c r="K37" s="94"/>
    </row>
    <row r="38" spans="1:100" ht="15.6" x14ac:dyDescent="0.35">
      <c r="B38" s="445" t="s">
        <v>2729</v>
      </c>
      <c r="C38" s="446" t="s">
        <v>5859</v>
      </c>
      <c r="D38" s="446" t="s">
        <v>3646</v>
      </c>
      <c r="E38" s="446" t="s">
        <v>5860</v>
      </c>
      <c r="F38" s="446" t="s">
        <v>3647</v>
      </c>
      <c r="G38" s="446" t="s">
        <v>235</v>
      </c>
      <c r="H38" s="446" t="s">
        <v>21</v>
      </c>
      <c r="I38" s="446" t="s">
        <v>34</v>
      </c>
      <c r="J38" s="446" t="s">
        <v>2562</v>
      </c>
      <c r="K38" s="809" t="s">
        <v>5867</v>
      </c>
      <c r="L38" s="809" t="s">
        <v>5868</v>
      </c>
    </row>
    <row r="39" spans="1:100" ht="14.4" x14ac:dyDescent="0.3">
      <c r="B39" s="447" t="s">
        <v>5861</v>
      </c>
      <c r="C39" s="815">
        <v>16</v>
      </c>
      <c r="D39" s="472" t="s">
        <v>3486</v>
      </c>
      <c r="E39" s="815">
        <v>16</v>
      </c>
      <c r="F39" s="472" t="s">
        <v>3486</v>
      </c>
      <c r="G39" s="33">
        <v>2528</v>
      </c>
      <c r="H39" s="463">
        <v>0.36</v>
      </c>
      <c r="I39" s="473">
        <v>1</v>
      </c>
      <c r="J39" s="34">
        <v>15</v>
      </c>
      <c r="K39" s="808">
        <v>1</v>
      </c>
      <c r="L39" s="808">
        <v>1</v>
      </c>
    </row>
    <row r="40" spans="1:100" ht="14.4" x14ac:dyDescent="0.3">
      <c r="B40" s="447" t="s">
        <v>5862</v>
      </c>
      <c r="C40" s="815">
        <v>16</v>
      </c>
      <c r="D40" s="472" t="s">
        <v>3486</v>
      </c>
      <c r="E40" s="815">
        <v>16</v>
      </c>
      <c r="F40" s="472" t="s">
        <v>3486</v>
      </c>
      <c r="G40" s="33">
        <v>1884</v>
      </c>
      <c r="H40" s="463">
        <v>0.27</v>
      </c>
      <c r="I40" s="473">
        <v>1</v>
      </c>
      <c r="J40" s="34">
        <v>15</v>
      </c>
      <c r="K40" s="808">
        <v>1</v>
      </c>
      <c r="L40" s="808">
        <v>1</v>
      </c>
    </row>
    <row r="41" spans="1:100" ht="14.4" x14ac:dyDescent="0.3">
      <c r="B41" s="447" t="s">
        <v>3496</v>
      </c>
      <c r="C41" s="810">
        <v>11.5</v>
      </c>
      <c r="D41" s="472" t="s">
        <v>3486</v>
      </c>
      <c r="E41" s="810">
        <v>12.1</v>
      </c>
      <c r="F41" s="472" t="s">
        <v>3486</v>
      </c>
      <c r="G41" s="33">
        <v>2528</v>
      </c>
      <c r="H41" s="463">
        <v>0.36</v>
      </c>
      <c r="I41" s="473">
        <v>1</v>
      </c>
      <c r="J41" s="34">
        <v>9</v>
      </c>
      <c r="K41" s="808">
        <v>1</v>
      </c>
      <c r="L41" s="808">
        <v>1</v>
      </c>
    </row>
    <row r="42" spans="1:100" ht="14.4" x14ac:dyDescent="0.3">
      <c r="B42" s="447" t="s">
        <v>3499</v>
      </c>
      <c r="C42" s="810">
        <v>11.5</v>
      </c>
      <c r="D42" s="472" t="s">
        <v>3486</v>
      </c>
      <c r="E42" s="810">
        <v>12.1</v>
      </c>
      <c r="F42" s="472" t="s">
        <v>3486</v>
      </c>
      <c r="G42" s="33">
        <v>2528</v>
      </c>
      <c r="H42" s="463">
        <v>0.36</v>
      </c>
      <c r="I42" s="473">
        <v>1</v>
      </c>
      <c r="J42" s="34">
        <v>9</v>
      </c>
      <c r="K42" s="808">
        <v>1</v>
      </c>
      <c r="L42" s="808">
        <v>1</v>
      </c>
    </row>
    <row r="43" spans="1:100" ht="14.4" x14ac:dyDescent="0.3">
      <c r="B43" s="447" t="s">
        <v>3403</v>
      </c>
      <c r="C43" s="810">
        <v>11.4</v>
      </c>
      <c r="D43" s="472" t="s">
        <v>3486</v>
      </c>
      <c r="E43" s="810">
        <v>12</v>
      </c>
      <c r="F43" s="472" t="s">
        <v>3486</v>
      </c>
      <c r="G43" s="33">
        <v>2528</v>
      </c>
      <c r="H43" s="463">
        <v>0.36</v>
      </c>
      <c r="I43" s="473">
        <v>1</v>
      </c>
      <c r="J43" s="34">
        <v>9</v>
      </c>
      <c r="K43" s="808">
        <v>1</v>
      </c>
      <c r="L43" s="808">
        <v>1</v>
      </c>
    </row>
    <row r="44" spans="1:100" ht="14.4" x14ac:dyDescent="0.3">
      <c r="B44" s="447" t="s">
        <v>3391</v>
      </c>
      <c r="C44" s="810">
        <v>11.4</v>
      </c>
      <c r="D44" s="472" t="s">
        <v>3486</v>
      </c>
      <c r="E44" s="810">
        <v>12</v>
      </c>
      <c r="F44" s="472" t="s">
        <v>3486</v>
      </c>
      <c r="G44" s="33">
        <v>2528</v>
      </c>
      <c r="H44" s="463">
        <v>0.36</v>
      </c>
      <c r="I44" s="473">
        <v>1</v>
      </c>
      <c r="J44" s="34">
        <v>9</v>
      </c>
      <c r="K44" s="808">
        <v>1</v>
      </c>
      <c r="L44" s="808">
        <v>1</v>
      </c>
    </row>
    <row r="45" spans="1:100" ht="14.4" x14ac:dyDescent="0.3">
      <c r="B45" s="447" t="s">
        <v>3500</v>
      </c>
      <c r="C45" s="810">
        <v>11.2</v>
      </c>
      <c r="D45" s="472" t="s">
        <v>3486</v>
      </c>
      <c r="E45" s="810">
        <v>11.8</v>
      </c>
      <c r="F45" s="472" t="s">
        <v>3486</v>
      </c>
      <c r="G45" s="33">
        <v>2528</v>
      </c>
      <c r="H45" s="463">
        <v>0.36</v>
      </c>
      <c r="I45" s="473">
        <v>1</v>
      </c>
      <c r="J45" s="34">
        <v>9</v>
      </c>
      <c r="K45" s="808">
        <v>1</v>
      </c>
      <c r="L45" s="808">
        <v>1</v>
      </c>
    </row>
    <row r="46" spans="1:100" ht="14.4" x14ac:dyDescent="0.3">
      <c r="B46" s="447" t="s">
        <v>3501</v>
      </c>
      <c r="C46" s="810">
        <v>11.2</v>
      </c>
      <c r="D46" s="472" t="s">
        <v>3486</v>
      </c>
      <c r="E46" s="810">
        <v>11.8</v>
      </c>
      <c r="F46" s="472" t="s">
        <v>3486</v>
      </c>
      <c r="G46" s="33">
        <v>2528</v>
      </c>
      <c r="H46" s="463">
        <v>0.36</v>
      </c>
      <c r="I46" s="473">
        <v>1</v>
      </c>
      <c r="J46" s="34">
        <v>9</v>
      </c>
      <c r="K46" s="808">
        <v>1</v>
      </c>
      <c r="L46" s="808">
        <v>1</v>
      </c>
    </row>
    <row r="47" spans="1:100" ht="14.4" x14ac:dyDescent="0.3">
      <c r="B47" s="447" t="s">
        <v>3502</v>
      </c>
      <c r="C47" s="810">
        <v>9.8000000000000007</v>
      </c>
      <c r="D47" s="472" t="s">
        <v>3486</v>
      </c>
      <c r="E47" s="810">
        <v>10.3</v>
      </c>
      <c r="F47" s="472" t="s">
        <v>3486</v>
      </c>
      <c r="G47" s="33">
        <v>2528</v>
      </c>
      <c r="H47" s="463">
        <v>0.36</v>
      </c>
      <c r="I47" s="473">
        <v>1</v>
      </c>
      <c r="J47" s="34">
        <v>9</v>
      </c>
      <c r="K47" s="808">
        <v>1</v>
      </c>
      <c r="L47" s="808">
        <v>1</v>
      </c>
    </row>
    <row r="48" spans="1:100" ht="14.4" x14ac:dyDescent="0.3">
      <c r="B48" s="447" t="s">
        <v>3503</v>
      </c>
      <c r="C48" s="810">
        <v>9.8000000000000007</v>
      </c>
      <c r="D48" s="472" t="s">
        <v>3486</v>
      </c>
      <c r="E48" s="810">
        <v>10.3</v>
      </c>
      <c r="F48" s="472" t="s">
        <v>3486</v>
      </c>
      <c r="G48" s="33">
        <v>2528</v>
      </c>
      <c r="H48" s="463">
        <v>0.36</v>
      </c>
      <c r="I48" s="473">
        <v>1</v>
      </c>
      <c r="J48" s="34">
        <v>9</v>
      </c>
      <c r="K48" s="808">
        <v>1</v>
      </c>
      <c r="L48" s="808">
        <v>1</v>
      </c>
    </row>
    <row r="49" spans="1:100" ht="14.4" x14ac:dyDescent="0.3">
      <c r="B49" s="447" t="s">
        <v>5857</v>
      </c>
      <c r="C49" s="816">
        <v>15.2</v>
      </c>
      <c r="D49" s="472" t="s">
        <v>3486</v>
      </c>
      <c r="E49" s="816">
        <v>15.2</v>
      </c>
      <c r="F49" s="472" t="s">
        <v>3486</v>
      </c>
      <c r="G49" s="33">
        <v>1884</v>
      </c>
      <c r="H49" s="463">
        <v>0.27</v>
      </c>
      <c r="I49" s="473">
        <v>1</v>
      </c>
      <c r="J49" s="34">
        <v>15</v>
      </c>
      <c r="K49" s="808">
        <v>1.0489999999999999</v>
      </c>
      <c r="L49" s="808">
        <v>1.0429999999999999</v>
      </c>
    </row>
    <row r="50" spans="1:100" ht="14.4" x14ac:dyDescent="0.3">
      <c r="B50" s="447" t="s">
        <v>5848</v>
      </c>
      <c r="C50" s="816">
        <v>15.2</v>
      </c>
      <c r="D50" s="472" t="s">
        <v>3486</v>
      </c>
      <c r="E50" s="816">
        <v>15.2</v>
      </c>
      <c r="F50" s="472" t="s">
        <v>3486</v>
      </c>
      <c r="G50" s="33">
        <v>1884</v>
      </c>
      <c r="H50" s="463">
        <v>0.27</v>
      </c>
      <c r="I50" s="473">
        <v>1</v>
      </c>
      <c r="J50" s="34">
        <v>15</v>
      </c>
      <c r="K50" s="808">
        <v>1.034</v>
      </c>
      <c r="L50" s="808">
        <v>1.034</v>
      </c>
    </row>
    <row r="51" spans="1:100" ht="14.4" x14ac:dyDescent="0.3">
      <c r="B51" s="447" t="s">
        <v>5858</v>
      </c>
      <c r="C51" s="816">
        <v>15.2</v>
      </c>
      <c r="D51" s="472" t="s">
        <v>3486</v>
      </c>
      <c r="E51" s="816">
        <v>15.2</v>
      </c>
      <c r="F51" s="472" t="s">
        <v>3486</v>
      </c>
      <c r="G51" s="33">
        <v>1884</v>
      </c>
      <c r="H51" s="463">
        <v>0.27</v>
      </c>
      <c r="I51" s="473">
        <v>1</v>
      </c>
      <c r="J51" s="34">
        <v>15</v>
      </c>
      <c r="K51" s="808">
        <v>1.0529999999999999</v>
      </c>
      <c r="L51" s="808">
        <v>1.107</v>
      </c>
    </row>
    <row r="52" spans="1:100" ht="14.4" x14ac:dyDescent="0.3">
      <c r="B52" s="94"/>
      <c r="C52" s="94"/>
      <c r="D52" s="94"/>
      <c r="E52" s="94"/>
      <c r="F52" s="94"/>
      <c r="G52" s="94"/>
      <c r="H52" s="94"/>
      <c r="I52" s="94"/>
      <c r="J52" s="94"/>
      <c r="K52" s="94"/>
    </row>
    <row r="53" spans="1:100" ht="14.4" x14ac:dyDescent="0.3">
      <c r="B53" s="494" t="s">
        <v>3645</v>
      </c>
      <c r="C53" s="494"/>
      <c r="D53" s="494"/>
      <c r="E53" s="494"/>
      <c r="F53" s="494"/>
      <c r="G53" s="494"/>
      <c r="H53" s="494"/>
      <c r="I53" s="494"/>
      <c r="J53" s="494"/>
      <c r="K53" s="94"/>
    </row>
    <row r="54" spans="1:100" s="553" customFormat="1" ht="14.4" x14ac:dyDescent="0.3">
      <c r="A54"/>
      <c r="B54" s="494" t="s">
        <v>5863</v>
      </c>
      <c r="C54" s="494"/>
      <c r="D54" s="494"/>
      <c r="E54" s="494"/>
      <c r="F54" s="494"/>
      <c r="G54" s="494"/>
      <c r="H54" s="494"/>
      <c r="I54" s="494"/>
      <c r="J54" s="4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row>
    <row r="55" spans="1:100" s="553" customFormat="1" ht="33" customHeight="1" x14ac:dyDescent="0.3">
      <c r="A55"/>
      <c r="B55" s="889" t="s">
        <v>5872</v>
      </c>
      <c r="C55" s="889"/>
      <c r="D55" s="889"/>
      <c r="E55" s="889"/>
      <c r="F55" s="889"/>
      <c r="G55" s="889"/>
      <c r="H55" s="889"/>
      <c r="I55" s="889"/>
      <c r="J55" s="889"/>
      <c r="K55" s="94"/>
      <c r="L55" s="94"/>
      <c r="M55" s="94"/>
      <c r="N55" s="4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94"/>
      <c r="CB55" s="94"/>
      <c r="CC55" s="94"/>
      <c r="CD55" s="94"/>
      <c r="CE55" s="94"/>
      <c r="CF55" s="94"/>
      <c r="CG55" s="94"/>
      <c r="CH55" s="94"/>
      <c r="CI55" s="94"/>
      <c r="CJ55" s="94"/>
      <c r="CK55" s="94"/>
      <c r="CL55" s="94"/>
      <c r="CM55" s="94"/>
      <c r="CN55" s="94"/>
      <c r="CO55" s="94"/>
      <c r="CP55" s="94"/>
      <c r="CQ55" s="94"/>
      <c r="CR55" s="94"/>
      <c r="CS55" s="94"/>
      <c r="CT55" s="94"/>
      <c r="CU55" s="94"/>
      <c r="CV55" s="94"/>
    </row>
    <row r="56" spans="1:100" ht="15" customHeight="1" x14ac:dyDescent="0.3">
      <c r="B56" s="94"/>
      <c r="C56" s="94"/>
      <c r="D56" s="94"/>
      <c r="E56" s="94"/>
      <c r="F56" s="94"/>
      <c r="G56" s="94"/>
      <c r="H56" s="94"/>
      <c r="I56" s="94"/>
      <c r="J56" s="94"/>
      <c r="K56" s="94"/>
    </row>
    <row r="57" spans="1:100" ht="15" customHeight="1" x14ac:dyDescent="0.3">
      <c r="B57" s="94"/>
      <c r="C57" s="94"/>
      <c r="D57" s="94"/>
      <c r="E57" s="94"/>
      <c r="F57" s="94"/>
      <c r="G57" s="94"/>
      <c r="H57" s="94"/>
      <c r="I57" s="94"/>
      <c r="J57" s="94"/>
      <c r="K57" s="94"/>
    </row>
    <row r="58" spans="1:100" ht="15" customHeight="1" x14ac:dyDescent="0.3">
      <c r="B58" s="94"/>
      <c r="C58" s="94"/>
      <c r="D58" s="94"/>
      <c r="E58" s="94"/>
      <c r="F58" s="94"/>
      <c r="G58" s="94"/>
      <c r="H58" s="94"/>
      <c r="I58" s="94"/>
      <c r="J58" s="94"/>
      <c r="K58" s="94"/>
    </row>
    <row r="59" spans="1:100" ht="15" customHeight="1" x14ac:dyDescent="0.3">
      <c r="B59" s="94"/>
      <c r="C59" s="94"/>
      <c r="D59" s="94"/>
      <c r="E59" s="94"/>
      <c r="F59" s="94"/>
      <c r="G59" s="94"/>
      <c r="H59" s="94"/>
      <c r="I59" s="94"/>
      <c r="J59" s="94"/>
      <c r="K59" s="94"/>
    </row>
    <row r="60" spans="1:100" ht="15" customHeight="1" x14ac:dyDescent="0.3">
      <c r="G60" s="438"/>
      <c r="H60" s="438"/>
      <c r="I60" s="94"/>
      <c r="J60" s="94"/>
      <c r="K60" s="94"/>
    </row>
    <row r="61" spans="1:100" ht="15" customHeight="1" x14ac:dyDescent="0.3">
      <c r="G61" s="438"/>
      <c r="H61" s="438"/>
      <c r="I61" s="94"/>
      <c r="J61" s="94"/>
    </row>
    <row r="62" spans="1:100" ht="15" customHeight="1" x14ac:dyDescent="0.3">
      <c r="G62" s="438"/>
      <c r="H62" s="438"/>
    </row>
    <row r="63" spans="1:100" ht="15" customHeight="1" x14ac:dyDescent="0.3">
      <c r="G63" s="438"/>
      <c r="H63" s="438"/>
    </row>
    <row r="64" spans="1:100" ht="15" customHeight="1" x14ac:dyDescent="0.3">
      <c r="G64" s="438"/>
      <c r="H64" s="438"/>
    </row>
    <row r="65" spans="7:8" ht="15" customHeight="1" x14ac:dyDescent="0.3">
      <c r="G65" s="438"/>
      <c r="H65" s="438"/>
    </row>
    <row r="66" spans="7:8" ht="15" customHeight="1" x14ac:dyDescent="0.3">
      <c r="G66" s="438"/>
      <c r="H66" s="438"/>
    </row>
    <row r="67" spans="7:8" ht="15" customHeight="1" x14ac:dyDescent="0.3">
      <c r="G67" s="438"/>
      <c r="H67" s="438"/>
    </row>
  </sheetData>
  <sheetProtection algorithmName="SHA-512" hashValue="myQbYvb+kXiiBz4T2WknY/pN+GyzxgmM/PScEmo621aIuWOLo8oimju0muPnVc6XC+qZHaCE1epX/aWWAaRQug==" saltValue="CT/fs+Lmbva6IBkAHdNupA==" spinCount="100000" sheet="1" objects="1" scenarios="1"/>
  <mergeCells count="9">
    <mergeCell ref="C23:D23"/>
    <mergeCell ref="E23:F23"/>
    <mergeCell ref="G23:H23"/>
    <mergeCell ref="B55:J55"/>
    <mergeCell ref="I3:J3"/>
    <mergeCell ref="B11:D12"/>
    <mergeCell ref="C15:D15"/>
    <mergeCell ref="E22:F22"/>
    <mergeCell ref="G22:H22"/>
  </mergeCells>
  <conditionalFormatting sqref="G7:G8">
    <cfRule type="containsText" dxfId="5" priority="1" operator="containsText" text="Fail">
      <formula>NOT(ISERROR(SEARCH("Fail",G7)))</formula>
    </cfRule>
    <cfRule type="containsText" dxfId="4" priority="2" operator="containsText" text="Pass">
      <formula>NOT(ISERROR(SEARCH("Pass",G7)))</formula>
    </cfRule>
  </conditionalFormatting>
  <dataValidations count="3">
    <dataValidation type="list" allowBlank="1" showInputMessage="1" showErrorMessage="1" sqref="C6" xr:uid="{264EC28E-3827-475C-B803-3C54BD2310B1}">
      <formula1>"Pre-2006,2006 and Later, NA"</formula1>
    </dataValidation>
    <dataValidation type="list" allowBlank="1" showInputMessage="1" showErrorMessage="1" sqref="C5" xr:uid="{CE787DB4-4443-46FC-8C9F-D985D91B4933}">
      <formula1>"Yes,No,NA"</formula1>
    </dataValidation>
    <dataValidation type="list" allowBlank="1" showInputMessage="1" showErrorMessage="1" sqref="C7" xr:uid="{AD3A3CDE-CE8D-43BE-A079-76DCF4A54A5D}">
      <formula1>$B$39:$B$51</formula1>
    </dataValidation>
  </dataValidations>
  <hyperlinks>
    <hyperlink ref="B2" location="TOC!A1" display="Return to TOC" xr:uid="{5F9947E8-DDDC-4542-B11E-C12BEBE4B244}"/>
  </hyperlink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0">
    <tabColor theme="7" tint="0.79998168889431442"/>
    <pageSetUpPr autoPageBreaks="0"/>
  </sheetPr>
  <dimension ref="A1:AF47"/>
  <sheetViews>
    <sheetView workbookViewId="0">
      <selection sqref="A1:AF1"/>
    </sheetView>
  </sheetViews>
  <sheetFormatPr defaultColWidth="2.6640625" defaultRowHeight="14.4" x14ac:dyDescent="0.3"/>
  <cols>
    <col min="1" max="16384" width="2.6640625" style="1"/>
  </cols>
  <sheetData>
    <row r="1" spans="1:32" ht="18" x14ac:dyDescent="0.3">
      <c r="A1" s="1131" t="s">
        <v>904</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s="121" customFormat="1" ht="14.4" customHeight="1" x14ac:dyDescent="0.3">
      <c r="A2" s="228"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3">
      <c r="A3" s="1141" t="s">
        <v>2</v>
      </c>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B5" s="1144" t="s">
        <v>3</v>
      </c>
      <c r="C5" s="1144"/>
      <c r="D5" s="1144"/>
      <c r="E5" s="1144"/>
      <c r="F5" s="1144"/>
      <c r="G5" s="1144"/>
      <c r="H5" s="1144"/>
      <c r="I5" s="1144"/>
    </row>
    <row r="6" spans="1:32" s="4" customFormat="1" ht="14.4" customHeight="1" x14ac:dyDescent="0.3">
      <c r="B6" s="872" t="s">
        <v>456</v>
      </c>
      <c r="C6" s="872"/>
      <c r="D6" s="872"/>
      <c r="E6" s="872"/>
      <c r="F6" s="872"/>
      <c r="G6" s="872"/>
      <c r="H6" s="872"/>
      <c r="I6" s="872"/>
      <c r="J6" s="872"/>
      <c r="K6" s="872"/>
      <c r="L6" s="872"/>
      <c r="M6" s="872"/>
      <c r="N6" s="872"/>
      <c r="O6" s="872"/>
      <c r="P6" s="872"/>
      <c r="Q6" s="872"/>
      <c r="R6" s="872"/>
      <c r="S6" s="872"/>
      <c r="T6" s="872"/>
      <c r="U6" s="872"/>
      <c r="V6" s="872"/>
      <c r="W6" s="872"/>
      <c r="X6" s="872"/>
      <c r="Y6" s="872"/>
      <c r="Z6" s="872"/>
      <c r="AA6" s="872"/>
      <c r="AB6" s="872"/>
      <c r="AC6" s="872"/>
      <c r="AD6" s="872"/>
      <c r="AE6" s="872"/>
      <c r="AF6" s="872"/>
    </row>
    <row r="8" spans="1:32" x14ac:dyDescent="0.3">
      <c r="B8" s="1144" t="s">
        <v>4</v>
      </c>
      <c r="C8" s="1144"/>
      <c r="D8" s="1144"/>
      <c r="E8" s="1144"/>
      <c r="F8" s="1144"/>
      <c r="G8" s="1144"/>
      <c r="H8" s="1144"/>
      <c r="I8" s="1144"/>
    </row>
    <row r="9" spans="1:32" x14ac:dyDescent="0.3">
      <c r="B9" s="1142" t="s">
        <v>1310</v>
      </c>
      <c r="C9" s="1142"/>
      <c r="D9" s="1142"/>
      <c r="E9" s="1142"/>
      <c r="F9" s="1142"/>
      <c r="G9" s="1142"/>
      <c r="H9" s="1142"/>
      <c r="I9" s="1142"/>
      <c r="J9" s="1142"/>
      <c r="K9" s="1142"/>
      <c r="L9" s="1142"/>
      <c r="M9" s="1142"/>
      <c r="N9" s="1142"/>
      <c r="O9" s="1142"/>
      <c r="P9" s="1142"/>
      <c r="Q9" s="1142"/>
      <c r="R9" s="1142"/>
      <c r="S9" s="1142"/>
      <c r="T9" s="1142"/>
      <c r="U9" s="1142"/>
      <c r="V9" s="1142"/>
      <c r="W9" s="1142"/>
      <c r="X9" s="1142"/>
      <c r="Y9" s="1142"/>
      <c r="Z9" s="1142"/>
      <c r="AA9" s="1142"/>
      <c r="AB9" s="1142"/>
      <c r="AC9" s="1142"/>
      <c r="AD9" s="1142"/>
      <c r="AE9" s="1142"/>
      <c r="AF9" s="1142"/>
    </row>
    <row r="11" spans="1:32" x14ac:dyDescent="0.3">
      <c r="B11" s="1144" t="s">
        <v>5</v>
      </c>
      <c r="C11" s="1144"/>
      <c r="D11" s="1144"/>
      <c r="E11" s="1144"/>
      <c r="F11" s="1144"/>
      <c r="G11" s="1144"/>
      <c r="H11" s="1144"/>
      <c r="I11" s="1144"/>
    </row>
    <row r="12" spans="1:32" x14ac:dyDescent="0.3">
      <c r="B12" s="1142" t="s">
        <v>1227</v>
      </c>
      <c r="C12" s="1142"/>
      <c r="D12" s="1142"/>
      <c r="E12" s="1142"/>
      <c r="F12" s="1142"/>
      <c r="G12" s="1142"/>
      <c r="H12" s="1142"/>
      <c r="I12" s="1142"/>
      <c r="J12" s="1142"/>
      <c r="K12" s="1142"/>
      <c r="L12" s="1142"/>
      <c r="M12" s="1142"/>
      <c r="N12" s="1142"/>
      <c r="O12" s="1142"/>
      <c r="P12" s="1142"/>
      <c r="Q12" s="1142"/>
      <c r="R12" s="1142"/>
      <c r="S12" s="1142"/>
      <c r="T12" s="1142"/>
      <c r="U12" s="1142"/>
      <c r="V12" s="1142"/>
      <c r="W12" s="1142"/>
      <c r="X12" s="1142"/>
      <c r="Y12" s="1142"/>
      <c r="Z12" s="1142"/>
      <c r="AA12" s="1142"/>
      <c r="AB12" s="1142"/>
      <c r="AC12" s="1142"/>
      <c r="AD12" s="1142"/>
      <c r="AE12" s="1142"/>
      <c r="AF12" s="1142"/>
    </row>
    <row r="14" spans="1:32" x14ac:dyDescent="0.3">
      <c r="B14" s="1144" t="s">
        <v>6</v>
      </c>
      <c r="C14" s="1144"/>
      <c r="D14" s="1144"/>
      <c r="E14" s="1144"/>
      <c r="F14" s="1144"/>
      <c r="G14" s="1144"/>
      <c r="H14" s="1144"/>
      <c r="I14" s="1144"/>
    </row>
    <row r="15" spans="1:32" s="4" customFormat="1" ht="14.4" customHeight="1" x14ac:dyDescent="0.3">
      <c r="B15" s="872" t="s">
        <v>457</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17" spans="1:32" x14ac:dyDescent="0.3">
      <c r="B17" s="51" t="s">
        <v>13</v>
      </c>
      <c r="C17" s="51"/>
      <c r="D17" s="51"/>
      <c r="E17" s="51"/>
      <c r="F17" s="51"/>
      <c r="G17" s="51"/>
      <c r="H17" s="51"/>
      <c r="I17" s="51"/>
    </row>
    <row r="18" spans="1:32" ht="14.4" customHeight="1" x14ac:dyDescent="0.3">
      <c r="B18" s="872" t="s">
        <v>458</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1" spans="1:32" x14ac:dyDescent="0.3">
      <c r="A21" s="1141" t="s">
        <v>7</v>
      </c>
      <c r="B21" s="1141"/>
      <c r="C21" s="1141"/>
      <c r="D21" s="1141"/>
      <c r="E21" s="1141"/>
      <c r="F21" s="1141"/>
      <c r="G21" s="1141"/>
      <c r="H21" s="1141"/>
      <c r="I21" s="1141"/>
      <c r="J21" s="1141"/>
      <c r="K21" s="1141"/>
      <c r="L21" s="1141"/>
      <c r="M21" s="1141"/>
      <c r="N21" s="1141"/>
      <c r="O21" s="1141"/>
      <c r="P21" s="1141"/>
      <c r="Q21" s="1141"/>
      <c r="R21" s="1141"/>
      <c r="S21" s="1141"/>
      <c r="T21" s="1141"/>
      <c r="U21" s="1141"/>
      <c r="V21" s="1141"/>
      <c r="W21" s="1141"/>
      <c r="X21" s="1141"/>
      <c r="Y21" s="1141"/>
      <c r="Z21" s="1141"/>
      <c r="AA21" s="1141"/>
      <c r="AB21" s="1141"/>
      <c r="AC21" s="1141"/>
      <c r="AD21" s="1141"/>
      <c r="AE21" s="1141"/>
      <c r="AF21" s="1141"/>
    </row>
    <row r="23" spans="1:32" ht="18.600000000000001" customHeight="1" x14ac:dyDescent="0.3">
      <c r="A23" s="1422" t="s">
        <v>32</v>
      </c>
      <c r="B23" s="1255"/>
      <c r="C23" s="1255"/>
      <c r="D23" s="1255"/>
      <c r="E23" s="1255"/>
      <c r="F23" s="1255"/>
      <c r="G23" s="1255"/>
      <c r="H23" s="2688" t="s">
        <v>862</v>
      </c>
      <c r="I23" s="1058"/>
      <c r="J23" s="1058"/>
      <c r="K23" s="1058"/>
      <c r="L23" s="1058"/>
      <c r="M23" s="1058"/>
      <c r="N23" s="1058"/>
      <c r="O23" s="1058"/>
      <c r="P23" s="1058"/>
      <c r="Q23" s="1058"/>
      <c r="R23" s="1058"/>
      <c r="S23" s="1058"/>
      <c r="T23" s="1058"/>
      <c r="U23" s="1058"/>
      <c r="V23" s="1058"/>
      <c r="W23" s="1058"/>
      <c r="X23" s="1058"/>
      <c r="Y23" s="1058"/>
      <c r="Z23" s="1058"/>
      <c r="AA23" s="1058"/>
      <c r="AB23" s="1058"/>
      <c r="AC23" s="1058"/>
      <c r="AD23" s="1058"/>
      <c r="AE23" s="1058"/>
      <c r="AF23" s="1058"/>
    </row>
    <row r="24" spans="1:32" ht="18.600000000000001" customHeight="1" x14ac:dyDescent="0.3">
      <c r="A24" s="1422" t="s">
        <v>33</v>
      </c>
      <c r="B24" s="1255"/>
      <c r="C24" s="1255"/>
      <c r="D24" s="1255"/>
      <c r="E24" s="1255"/>
      <c r="F24" s="1255"/>
      <c r="G24" s="1255"/>
      <c r="H24" s="2688" t="s">
        <v>863</v>
      </c>
      <c r="I24" s="1058"/>
      <c r="J24" s="1058"/>
      <c r="K24" s="1058"/>
      <c r="L24" s="1058"/>
      <c r="M24" s="1058"/>
      <c r="N24" s="1058"/>
      <c r="O24" s="1058"/>
      <c r="P24" s="1058"/>
      <c r="Q24" s="1058"/>
      <c r="R24" s="1058"/>
      <c r="S24" s="1058"/>
      <c r="T24" s="1058"/>
      <c r="U24" s="1058"/>
      <c r="V24" s="1058"/>
      <c r="W24" s="1058"/>
      <c r="X24" s="1058"/>
      <c r="Y24" s="1058"/>
      <c r="Z24" s="1058"/>
      <c r="AA24" s="1058"/>
      <c r="AB24" s="1058"/>
      <c r="AC24" s="1058"/>
      <c r="AD24" s="1058"/>
      <c r="AE24" s="1058"/>
      <c r="AF24" s="1058"/>
    </row>
    <row r="27" spans="1:32" x14ac:dyDescent="0.3">
      <c r="A27" s="1141" t="s">
        <v>8</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x14ac:dyDescent="0.3">
      <c r="A28" s="1143" t="s">
        <v>9</v>
      </c>
      <c r="B28" s="1143"/>
      <c r="C28" s="1143"/>
      <c r="D28" s="1143"/>
      <c r="E28" s="1143" t="s">
        <v>3</v>
      </c>
      <c r="F28" s="1143"/>
      <c r="G28" s="1143"/>
      <c r="H28" s="1143"/>
      <c r="I28" s="1143"/>
      <c r="J28" s="1143"/>
      <c r="K28" s="1143"/>
      <c r="L28" s="1143"/>
      <c r="M28" s="1143"/>
      <c r="N28" s="1143"/>
      <c r="O28" s="1143"/>
      <c r="P28" s="1143"/>
      <c r="Q28" s="1143" t="s">
        <v>10</v>
      </c>
      <c r="R28" s="1143"/>
      <c r="S28" s="1143"/>
      <c r="T28" s="1143"/>
      <c r="U28" s="1259" t="s">
        <v>11</v>
      </c>
      <c r="V28" s="1260"/>
      <c r="W28" s="1421"/>
      <c r="X28" s="1259" t="s">
        <v>12</v>
      </c>
      <c r="Y28" s="1260"/>
      <c r="Z28" s="1260"/>
      <c r="AA28" s="1260"/>
      <c r="AB28" s="1260"/>
      <c r="AC28" s="1260"/>
      <c r="AD28" s="1260"/>
      <c r="AE28" s="1260"/>
      <c r="AF28" s="1421"/>
    </row>
    <row r="29" spans="1:32" ht="14.4" customHeight="1" x14ac:dyDescent="0.3">
      <c r="A29" s="1154" t="s">
        <v>32</v>
      </c>
      <c r="B29" s="1155"/>
      <c r="C29" s="1155"/>
      <c r="D29" s="1156"/>
      <c r="E29" s="1148" t="s">
        <v>152</v>
      </c>
      <c r="F29" s="1149"/>
      <c r="G29" s="1149"/>
      <c r="H29" s="1149"/>
      <c r="I29" s="1149"/>
      <c r="J29" s="1149"/>
      <c r="K29" s="1149"/>
      <c r="L29" s="1149"/>
      <c r="M29" s="1149"/>
      <c r="N29" s="1149"/>
      <c r="O29" s="1149"/>
      <c r="P29" s="1150"/>
      <c r="Q29" s="1151" t="s">
        <v>35</v>
      </c>
      <c r="R29" s="1152"/>
      <c r="S29" s="1152"/>
      <c r="T29" s="1153"/>
      <c r="U29" s="1243" t="s">
        <v>36</v>
      </c>
      <c r="V29" s="1244"/>
      <c r="W29" s="1245"/>
      <c r="X29" s="1243"/>
      <c r="Y29" s="1244"/>
      <c r="Z29" s="1244"/>
      <c r="AA29" s="1244"/>
      <c r="AB29" s="1244"/>
      <c r="AC29" s="1244"/>
      <c r="AD29" s="1244"/>
      <c r="AE29" s="1244"/>
      <c r="AF29" s="1245"/>
    </row>
    <row r="30" spans="1:32" ht="14.4" customHeight="1" x14ac:dyDescent="0.3">
      <c r="A30" s="1154" t="s">
        <v>33</v>
      </c>
      <c r="B30" s="1155"/>
      <c r="C30" s="1155"/>
      <c r="D30" s="1156"/>
      <c r="E30" s="1148" t="s">
        <v>153</v>
      </c>
      <c r="F30" s="1149"/>
      <c r="G30" s="1149"/>
      <c r="H30" s="1149"/>
      <c r="I30" s="1149"/>
      <c r="J30" s="1149"/>
      <c r="K30" s="1149"/>
      <c r="L30" s="1149"/>
      <c r="M30" s="1149"/>
      <c r="N30" s="1149"/>
      <c r="O30" s="1149"/>
      <c r="P30" s="1150"/>
      <c r="Q30" s="1151" t="s">
        <v>35</v>
      </c>
      <c r="R30" s="1152"/>
      <c r="S30" s="1152"/>
      <c r="T30" s="1153"/>
      <c r="U30" s="1243" t="s">
        <v>18</v>
      </c>
      <c r="V30" s="1244"/>
      <c r="W30" s="1245"/>
      <c r="X30" s="1243"/>
      <c r="Y30" s="1244"/>
      <c r="Z30" s="1244"/>
      <c r="AA30" s="1244"/>
      <c r="AB30" s="1244"/>
      <c r="AC30" s="1244"/>
      <c r="AD30" s="1244"/>
      <c r="AE30" s="1244"/>
      <c r="AF30" s="1245"/>
    </row>
    <row r="31" spans="1:32" ht="14.4" customHeight="1" x14ac:dyDescent="0.3">
      <c r="A31" s="1154" t="s">
        <v>1413</v>
      </c>
      <c r="B31" s="1155"/>
      <c r="C31" s="1155"/>
      <c r="D31" s="1156"/>
      <c r="E31" s="1148" t="s">
        <v>462</v>
      </c>
      <c r="F31" s="1149"/>
      <c r="G31" s="1149"/>
      <c r="H31" s="1149"/>
      <c r="I31" s="1149"/>
      <c r="J31" s="1149"/>
      <c r="K31" s="1149"/>
      <c r="L31" s="1149"/>
      <c r="M31" s="1149"/>
      <c r="N31" s="1149"/>
      <c r="O31" s="1149"/>
      <c r="P31" s="1150"/>
      <c r="Q31" s="2887">
        <f>3*12000</f>
        <v>36000</v>
      </c>
      <c r="R31" s="2888"/>
      <c r="S31" s="2888"/>
      <c r="T31" s="2889"/>
      <c r="U31" s="1243" t="s">
        <v>453</v>
      </c>
      <c r="V31" s="1244"/>
      <c r="W31" s="1245"/>
      <c r="X31" s="1243" t="s">
        <v>463</v>
      </c>
      <c r="Y31" s="1244"/>
      <c r="Z31" s="1244"/>
      <c r="AA31" s="1244"/>
      <c r="AB31" s="1244"/>
      <c r="AC31" s="1244"/>
      <c r="AD31" s="1244"/>
      <c r="AE31" s="1244"/>
      <c r="AF31" s="1245"/>
    </row>
    <row r="32" spans="1:32" ht="14.4" customHeight="1" x14ac:dyDescent="0.3">
      <c r="A32" s="1154" t="s">
        <v>1414</v>
      </c>
      <c r="B32" s="1155"/>
      <c r="C32" s="1155"/>
      <c r="D32" s="1156"/>
      <c r="E32" s="1148" t="s">
        <v>460</v>
      </c>
      <c r="F32" s="1149"/>
      <c r="G32" s="1149"/>
      <c r="H32" s="1149"/>
      <c r="I32" s="1149"/>
      <c r="J32" s="1149"/>
      <c r="K32" s="1149"/>
      <c r="L32" s="1149"/>
      <c r="M32" s="1149"/>
      <c r="N32" s="1149"/>
      <c r="O32" s="1149"/>
      <c r="P32" s="1150"/>
      <c r="Q32" s="1151">
        <v>2.77</v>
      </c>
      <c r="R32" s="1152"/>
      <c r="S32" s="1152"/>
      <c r="T32" s="1153"/>
      <c r="U32" s="1243" t="s">
        <v>18</v>
      </c>
      <c r="V32" s="1244"/>
      <c r="W32" s="1245"/>
      <c r="X32" s="1243"/>
      <c r="Y32" s="1244"/>
      <c r="Z32" s="1244"/>
      <c r="AA32" s="1244"/>
      <c r="AB32" s="1244"/>
      <c r="AC32" s="1244"/>
      <c r="AD32" s="1244"/>
      <c r="AE32" s="1244"/>
      <c r="AF32" s="1245"/>
    </row>
    <row r="33" spans="1:32" ht="14.4" customHeight="1" x14ac:dyDescent="0.3">
      <c r="A33" s="1246" t="s">
        <v>1415</v>
      </c>
      <c r="B33" s="1155"/>
      <c r="C33" s="1155"/>
      <c r="D33" s="1156"/>
      <c r="E33" s="1148" t="s">
        <v>459</v>
      </c>
      <c r="F33" s="1149"/>
      <c r="G33" s="1149"/>
      <c r="H33" s="1149"/>
      <c r="I33" s="1149"/>
      <c r="J33" s="1149"/>
      <c r="K33" s="1149"/>
      <c r="L33" s="1149"/>
      <c r="M33" s="1149"/>
      <c r="N33" s="1149"/>
      <c r="O33" s="1149"/>
      <c r="P33" s="1150"/>
      <c r="Q33" s="1151">
        <v>13</v>
      </c>
      <c r="R33" s="1152"/>
      <c r="S33" s="1152"/>
      <c r="T33" s="1153"/>
      <c r="U33" s="1243" t="s">
        <v>285</v>
      </c>
      <c r="V33" s="1244"/>
      <c r="W33" s="1245"/>
      <c r="X33" s="1243"/>
      <c r="Y33" s="1244"/>
      <c r="Z33" s="1244"/>
      <c r="AA33" s="1244"/>
      <c r="AB33" s="1244"/>
      <c r="AC33" s="1244"/>
      <c r="AD33" s="1244"/>
      <c r="AE33" s="1244"/>
      <c r="AF33" s="1245"/>
    </row>
    <row r="34" spans="1:32" ht="28.95" customHeight="1" x14ac:dyDescent="0.3">
      <c r="A34" s="1246" t="s">
        <v>1416</v>
      </c>
      <c r="B34" s="1155"/>
      <c r="C34" s="1155"/>
      <c r="D34" s="1156"/>
      <c r="E34" s="1148" t="s">
        <v>1417</v>
      </c>
      <c r="F34" s="1149"/>
      <c r="G34" s="1149"/>
      <c r="H34" s="1149"/>
      <c r="I34" s="1149"/>
      <c r="J34" s="1149"/>
      <c r="K34" s="1149"/>
      <c r="L34" s="1149"/>
      <c r="M34" s="1149"/>
      <c r="N34" s="1149"/>
      <c r="O34" s="1149"/>
      <c r="P34" s="1150"/>
      <c r="Q34" s="2876">
        <v>0.08</v>
      </c>
      <c r="R34" s="2877"/>
      <c r="S34" s="2877"/>
      <c r="T34" s="2878"/>
      <c r="U34" s="1243" t="s">
        <v>20</v>
      </c>
      <c r="V34" s="1244"/>
      <c r="W34" s="1245"/>
      <c r="X34" s="1243"/>
      <c r="Y34" s="1244"/>
      <c r="Z34" s="1244"/>
      <c r="AA34" s="1244"/>
      <c r="AB34" s="1244"/>
      <c r="AC34" s="1244"/>
      <c r="AD34" s="1244"/>
      <c r="AE34" s="1244"/>
      <c r="AF34" s="1245"/>
    </row>
    <row r="35" spans="1:32" ht="14.4" customHeight="1" x14ac:dyDescent="0.3">
      <c r="A35" s="1154" t="s">
        <v>24</v>
      </c>
      <c r="B35" s="1155"/>
      <c r="C35" s="1155"/>
      <c r="D35" s="1156"/>
      <c r="E35" s="1148" t="s">
        <v>106</v>
      </c>
      <c r="F35" s="1149"/>
      <c r="G35" s="1149"/>
      <c r="H35" s="1149"/>
      <c r="I35" s="1149"/>
      <c r="J35" s="1149"/>
      <c r="K35" s="1149"/>
      <c r="L35" s="1149"/>
      <c r="M35" s="1149"/>
      <c r="N35" s="1149"/>
      <c r="O35" s="1149"/>
      <c r="P35" s="1150"/>
      <c r="Q35" s="2873">
        <v>1460</v>
      </c>
      <c r="R35" s="2874"/>
      <c r="S35" s="2874"/>
      <c r="T35" s="2875"/>
      <c r="U35" s="1243" t="s">
        <v>37</v>
      </c>
      <c r="V35" s="1244"/>
      <c r="W35" s="1245"/>
      <c r="X35" s="1243"/>
      <c r="Y35" s="1244"/>
      <c r="Z35" s="1244"/>
      <c r="AA35" s="1244"/>
      <c r="AB35" s="1244"/>
      <c r="AC35" s="1244"/>
      <c r="AD35" s="1244"/>
      <c r="AE35" s="1244"/>
      <c r="AF35" s="1245"/>
    </row>
    <row r="36" spans="1:32" ht="28.95" customHeight="1" x14ac:dyDescent="0.3">
      <c r="A36" s="1154" t="s">
        <v>1418</v>
      </c>
      <c r="B36" s="1155"/>
      <c r="C36" s="1155"/>
      <c r="D36" s="1156"/>
      <c r="E36" s="1148" t="s">
        <v>1419</v>
      </c>
      <c r="F36" s="1149"/>
      <c r="G36" s="1149"/>
      <c r="H36" s="1149"/>
      <c r="I36" s="1149"/>
      <c r="J36" s="1149"/>
      <c r="K36" s="1149"/>
      <c r="L36" s="1149"/>
      <c r="M36" s="1149"/>
      <c r="N36" s="1149"/>
      <c r="O36" s="1149"/>
      <c r="P36" s="1150"/>
      <c r="Q36" s="2876">
        <v>0.92</v>
      </c>
      <c r="R36" s="2877"/>
      <c r="S36" s="2877"/>
      <c r="T36" s="2878"/>
      <c r="U36" s="1243" t="s">
        <v>20</v>
      </c>
      <c r="V36" s="1244"/>
      <c r="W36" s="1245"/>
      <c r="X36" s="1243"/>
      <c r="Y36" s="1244"/>
      <c r="Z36" s="1244"/>
      <c r="AA36" s="1244"/>
      <c r="AB36" s="1244"/>
      <c r="AC36" s="1244"/>
      <c r="AD36" s="1244"/>
      <c r="AE36" s="1244"/>
      <c r="AF36" s="1245"/>
    </row>
    <row r="37" spans="1:32" ht="14.4" customHeight="1" x14ac:dyDescent="0.3">
      <c r="A37" s="1154" t="s">
        <v>159</v>
      </c>
      <c r="B37" s="1155"/>
      <c r="C37" s="1155"/>
      <c r="D37" s="1156"/>
      <c r="E37" s="1148" t="s">
        <v>454</v>
      </c>
      <c r="F37" s="1149"/>
      <c r="G37" s="1149"/>
      <c r="H37" s="1149"/>
      <c r="I37" s="1149"/>
      <c r="J37" s="1149"/>
      <c r="K37" s="1149"/>
      <c r="L37" s="1149"/>
      <c r="M37" s="1149"/>
      <c r="N37" s="1149"/>
      <c r="O37" s="1149"/>
      <c r="P37" s="1150"/>
      <c r="Q37" s="2884">
        <v>1000</v>
      </c>
      <c r="R37" s="2885"/>
      <c r="S37" s="2885"/>
      <c r="T37" s="2886"/>
      <c r="U37" s="1243" t="s">
        <v>20</v>
      </c>
      <c r="V37" s="1244"/>
      <c r="W37" s="1245"/>
      <c r="X37" s="1243"/>
      <c r="Y37" s="1244"/>
      <c r="Z37" s="1244"/>
      <c r="AA37" s="1244"/>
      <c r="AB37" s="1244"/>
      <c r="AC37" s="1244"/>
      <c r="AD37" s="1244"/>
      <c r="AE37" s="1244"/>
      <c r="AF37" s="1245"/>
    </row>
    <row r="38" spans="1:32" ht="14.4" customHeight="1" x14ac:dyDescent="0.3">
      <c r="A38" s="1154" t="s">
        <v>21</v>
      </c>
      <c r="B38" s="1155"/>
      <c r="C38" s="1155"/>
      <c r="D38" s="1156"/>
      <c r="E38" s="1148" t="s">
        <v>96</v>
      </c>
      <c r="F38" s="1149"/>
      <c r="G38" s="1149"/>
      <c r="H38" s="1149"/>
      <c r="I38" s="1149"/>
      <c r="J38" s="1149"/>
      <c r="K38" s="1149"/>
      <c r="L38" s="1149"/>
      <c r="M38" s="1149"/>
      <c r="N38" s="1149"/>
      <c r="O38" s="1149"/>
      <c r="P38" s="1150"/>
      <c r="Q38" s="2876">
        <v>0.33</v>
      </c>
      <c r="R38" s="2877"/>
      <c r="S38" s="2877"/>
      <c r="T38" s="2878"/>
      <c r="U38" s="1243" t="s">
        <v>20</v>
      </c>
      <c r="V38" s="1244"/>
      <c r="W38" s="1245"/>
      <c r="X38" s="1243"/>
      <c r="Y38" s="1244"/>
      <c r="Z38" s="1244"/>
      <c r="AA38" s="1244"/>
      <c r="AB38" s="1244"/>
      <c r="AC38" s="1244"/>
      <c r="AD38" s="1244"/>
      <c r="AE38" s="1244"/>
      <c r="AF38" s="1245"/>
    </row>
    <row r="39" spans="1:32" ht="14.4" customHeight="1" x14ac:dyDescent="0.3">
      <c r="A39" s="1154" t="s">
        <v>26</v>
      </c>
      <c r="B39" s="1155"/>
      <c r="C39" s="1155"/>
      <c r="D39" s="1156"/>
      <c r="E39" s="1148" t="s">
        <v>268</v>
      </c>
      <c r="F39" s="1149"/>
      <c r="G39" s="1149"/>
      <c r="H39" s="1149"/>
      <c r="I39" s="1149"/>
      <c r="J39" s="1149"/>
      <c r="K39" s="1149"/>
      <c r="L39" s="1149"/>
      <c r="M39" s="1149"/>
      <c r="N39" s="1149"/>
      <c r="O39" s="1149"/>
      <c r="P39" s="1150"/>
      <c r="Q39" s="1151">
        <f>'Master EUL'!X52</f>
        <v>3</v>
      </c>
      <c r="R39" s="1152"/>
      <c r="S39" s="1152"/>
      <c r="T39" s="1153"/>
      <c r="U39" s="1243" t="s">
        <v>38</v>
      </c>
      <c r="V39" s="1244"/>
      <c r="W39" s="1245"/>
      <c r="X39" s="1243"/>
      <c r="Y39" s="1244"/>
      <c r="Z39" s="1244"/>
      <c r="AA39" s="1244"/>
      <c r="AB39" s="1244"/>
      <c r="AC39" s="1244"/>
      <c r="AD39" s="1244"/>
      <c r="AE39" s="1244"/>
      <c r="AF39" s="1245"/>
    </row>
    <row r="40" spans="1:32" x14ac:dyDescent="0.2">
      <c r="A40" s="35" t="s">
        <v>464</v>
      </c>
    </row>
    <row r="41" spans="1:32" x14ac:dyDescent="0.2">
      <c r="A41" s="41" t="s">
        <v>465</v>
      </c>
    </row>
    <row r="44" spans="1:32" x14ac:dyDescent="0.3">
      <c r="A44" s="1141" t="s">
        <v>14</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ht="15" thickBot="1" x14ac:dyDescent="0.35"/>
    <row r="46" spans="1:32" x14ac:dyDescent="0.3">
      <c r="A46" s="1252" t="s">
        <v>15</v>
      </c>
      <c r="B46" s="1253"/>
      <c r="C46" s="1253"/>
      <c r="D46" s="1253"/>
      <c r="E46" s="1253"/>
      <c r="F46" s="1253"/>
      <c r="G46" s="1253"/>
      <c r="H46" s="1253"/>
      <c r="I46" s="1253" t="s">
        <v>16</v>
      </c>
      <c r="J46" s="1253"/>
      <c r="K46" s="1253"/>
      <c r="L46" s="1253"/>
      <c r="M46" s="1253"/>
      <c r="N46" s="1253"/>
      <c r="O46" s="1253"/>
      <c r="P46" s="1253"/>
      <c r="Q46" s="1253" t="s">
        <v>17</v>
      </c>
      <c r="R46" s="1253"/>
      <c r="S46" s="1253"/>
      <c r="T46" s="1253"/>
      <c r="U46" s="1253"/>
      <c r="V46" s="1253"/>
      <c r="W46" s="1253"/>
      <c r="X46" s="1254"/>
    </row>
    <row r="47" spans="1:32" ht="15" thickBot="1" x14ac:dyDescent="0.35">
      <c r="A47" s="2879" t="s">
        <v>461</v>
      </c>
      <c r="B47" s="2880"/>
      <c r="C47" s="2880"/>
      <c r="D47" s="2880"/>
      <c r="E47" s="2880"/>
      <c r="F47" s="2880"/>
      <c r="G47" s="2880"/>
      <c r="H47" s="2880"/>
      <c r="I47" s="1414">
        <f>ROUND((Q32*Q38)-(Q32*Q38*Q36),3)</f>
        <v>7.2999999999999995E-2</v>
      </c>
      <c r="J47" s="1414"/>
      <c r="K47" s="1414"/>
      <c r="L47" s="1414"/>
      <c r="M47" s="1414"/>
      <c r="N47" s="1414"/>
      <c r="O47" s="1414"/>
      <c r="P47" s="1414"/>
      <c r="Q47" s="2881">
        <f>ROUND(((Q31/Q33)*Q35*Q34)/Q37,2)</f>
        <v>323.45</v>
      </c>
      <c r="R47" s="2882"/>
      <c r="S47" s="2882"/>
      <c r="T47" s="2882"/>
      <c r="U47" s="2882"/>
      <c r="V47" s="2882"/>
      <c r="W47" s="2882"/>
      <c r="X47" s="2883"/>
    </row>
  </sheetData>
  <sheetProtection algorithmName="SHA-512" hashValue="00JIglT6nn7xnGQLMYbD/meXVcYO7bt+TRiyz6BI9u/RY2AXMI4ZSLD40MwxnENwnCdV9F6s0j7AoIW7bvqo0Q==" saltValue="yhdaCkAhRM90apxrya4zPg==" spinCount="100000" sheet="1" objects="1" scenarios="1"/>
  <mergeCells count="84">
    <mergeCell ref="A1:AF1"/>
    <mergeCell ref="A32:D32"/>
    <mergeCell ref="E32:P32"/>
    <mergeCell ref="Q32:T32"/>
    <mergeCell ref="U32:W32"/>
    <mergeCell ref="X32:AF32"/>
    <mergeCell ref="A31:D31"/>
    <mergeCell ref="E31:P31"/>
    <mergeCell ref="Q31:T31"/>
    <mergeCell ref="U31:W31"/>
    <mergeCell ref="X31:AF31"/>
    <mergeCell ref="A27:AF27"/>
    <mergeCell ref="A28:D28"/>
    <mergeCell ref="E28:P28"/>
    <mergeCell ref="Q28:T28"/>
    <mergeCell ref="U28:W28"/>
    <mergeCell ref="X28:AF28"/>
    <mergeCell ref="B18:AF18"/>
    <mergeCell ref="A21:AF21"/>
    <mergeCell ref="A23:G23"/>
    <mergeCell ref="H23:AF23"/>
    <mergeCell ref="A24:G24"/>
    <mergeCell ref="H24:AF24"/>
    <mergeCell ref="A47:H47"/>
    <mergeCell ref="I47:P47"/>
    <mergeCell ref="Q47:X47"/>
    <mergeCell ref="A37:D37"/>
    <mergeCell ref="E37:P37"/>
    <mergeCell ref="Q37:T37"/>
    <mergeCell ref="U37:W37"/>
    <mergeCell ref="X37:AF37"/>
    <mergeCell ref="A46:H46"/>
    <mergeCell ref="I46:P46"/>
    <mergeCell ref="Q46:X46"/>
    <mergeCell ref="A39:D39"/>
    <mergeCell ref="E39:P39"/>
    <mergeCell ref="Q39:T39"/>
    <mergeCell ref="U39:W39"/>
    <mergeCell ref="X39:AF39"/>
    <mergeCell ref="A44:AF44"/>
    <mergeCell ref="A36:D36"/>
    <mergeCell ref="E36:P36"/>
    <mergeCell ref="Q36:T36"/>
    <mergeCell ref="U36:W36"/>
    <mergeCell ref="X36:AF36"/>
    <mergeCell ref="A38:D38"/>
    <mergeCell ref="E38:P38"/>
    <mergeCell ref="Q38:T38"/>
    <mergeCell ref="U38:W38"/>
    <mergeCell ref="X38:AF38"/>
    <mergeCell ref="A34:D34"/>
    <mergeCell ref="E34:P34"/>
    <mergeCell ref="Q34:T34"/>
    <mergeCell ref="U34:W34"/>
    <mergeCell ref="X34:AF34"/>
    <mergeCell ref="A35:D35"/>
    <mergeCell ref="E35:P35"/>
    <mergeCell ref="Q35:T35"/>
    <mergeCell ref="U35:W35"/>
    <mergeCell ref="X35:AF35"/>
    <mergeCell ref="A30:D30"/>
    <mergeCell ref="E30:P30"/>
    <mergeCell ref="Q30:T30"/>
    <mergeCell ref="U30:W30"/>
    <mergeCell ref="X30:AF30"/>
    <mergeCell ref="A29:D29"/>
    <mergeCell ref="E29:P29"/>
    <mergeCell ref="Q29:T29"/>
    <mergeCell ref="U29:W29"/>
    <mergeCell ref="X29:AF29"/>
    <mergeCell ref="A33:D33"/>
    <mergeCell ref="E33:P33"/>
    <mergeCell ref="Q33:T33"/>
    <mergeCell ref="U33:W33"/>
    <mergeCell ref="X33:AF33"/>
    <mergeCell ref="B11:I11"/>
    <mergeCell ref="B14:I14"/>
    <mergeCell ref="B15:AF15"/>
    <mergeCell ref="A3:AF3"/>
    <mergeCell ref="B5:I5"/>
    <mergeCell ref="B6:AF6"/>
    <mergeCell ref="B8:I8"/>
    <mergeCell ref="B9:AF9"/>
    <mergeCell ref="B12:AF12"/>
  </mergeCells>
  <hyperlinks>
    <hyperlink ref="A2" location="TOC!A1" display="Return to TOC" xr:uid="{00000000-0004-0000-50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45">
    <tabColor theme="7" tint="0.79998168889431442"/>
    <pageSetUpPr autoPageBreaks="0"/>
  </sheetPr>
  <dimension ref="A1:AF58"/>
  <sheetViews>
    <sheetView zoomScaleNormal="100" workbookViewId="0">
      <selection activeCell="A2" sqref="A2"/>
    </sheetView>
  </sheetViews>
  <sheetFormatPr defaultColWidth="2.6640625" defaultRowHeight="14.4" x14ac:dyDescent="0.3"/>
  <sheetData>
    <row r="1" spans="1:32" s="1" customFormat="1" ht="18" x14ac:dyDescent="0.3">
      <c r="A1" s="1131" t="s">
        <v>905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4.5" customHeight="1" x14ac:dyDescent="0.3">
      <c r="A5" s="121"/>
      <c r="B5" s="953" t="s">
        <v>5143</v>
      </c>
      <c r="C5" s="953"/>
      <c r="D5" s="953"/>
      <c r="E5" s="953"/>
      <c r="F5" s="953"/>
      <c r="G5" s="953"/>
      <c r="H5" s="953"/>
      <c r="I5" s="953"/>
      <c r="J5" s="953"/>
      <c r="K5" s="953"/>
      <c r="L5" s="953"/>
      <c r="M5" s="953"/>
      <c r="N5" s="953"/>
      <c r="O5" s="953"/>
      <c r="P5" s="953"/>
      <c r="Q5" s="953"/>
      <c r="R5" s="953"/>
      <c r="S5" s="953"/>
      <c r="T5" s="953"/>
      <c r="U5" s="953"/>
      <c r="V5" s="953"/>
      <c r="W5" s="953"/>
      <c r="X5" s="953"/>
      <c r="Y5" s="953"/>
      <c r="Z5" s="953"/>
      <c r="AA5" s="953"/>
      <c r="AB5" s="953"/>
      <c r="AC5" s="953"/>
      <c r="AD5" s="953"/>
      <c r="AE5" s="953"/>
      <c r="AF5" s="953"/>
    </row>
    <row r="6" spans="1:32" s="1" customFormat="1" ht="15" customHeight="1" x14ac:dyDescent="0.3">
      <c r="A6" s="382"/>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3">
      <c r="B9" s="1144" t="s">
        <v>3</v>
      </c>
      <c r="C9" s="1144"/>
      <c r="D9" s="1144"/>
      <c r="E9" s="1144"/>
      <c r="F9" s="1144"/>
      <c r="G9" s="1144"/>
      <c r="H9" s="1144"/>
      <c r="I9" s="1144"/>
    </row>
    <row r="10" spans="1:32" s="4" customFormat="1" ht="28.95" customHeight="1" x14ac:dyDescent="0.3">
      <c r="B10" s="872" t="s">
        <v>466</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1" spans="1:32" s="1" customFormat="1" x14ac:dyDescent="0.3"/>
    <row r="12" spans="1:32" s="1" customFormat="1" x14ac:dyDescent="0.3">
      <c r="B12" s="1144" t="s">
        <v>4</v>
      </c>
      <c r="C12" s="1144"/>
      <c r="D12" s="1144"/>
      <c r="E12" s="1144"/>
      <c r="F12" s="1144"/>
      <c r="G12" s="1144"/>
      <c r="H12" s="1144"/>
      <c r="I12" s="1144"/>
    </row>
    <row r="13" spans="1:32" s="1" customFormat="1" x14ac:dyDescent="0.3">
      <c r="B13" s="1142" t="s">
        <v>1309</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s="1" customFormat="1" x14ac:dyDescent="0.3"/>
    <row r="15" spans="1:32" s="1" customFormat="1" x14ac:dyDescent="0.3">
      <c r="B15" s="1144" t="s">
        <v>5</v>
      </c>
      <c r="C15" s="1144"/>
      <c r="D15" s="1144"/>
      <c r="E15" s="1144"/>
      <c r="F15" s="1144"/>
      <c r="G15" s="1144"/>
      <c r="H15" s="1144"/>
      <c r="I15" s="1144"/>
    </row>
    <row r="16" spans="1:32" s="1" customFormat="1" x14ac:dyDescent="0.3">
      <c r="B16" s="1142" t="s">
        <v>452</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s="1" customFormat="1" x14ac:dyDescent="0.3"/>
    <row r="18" spans="1:32" s="1" customFormat="1" x14ac:dyDescent="0.3">
      <c r="B18" s="1144" t="s">
        <v>6</v>
      </c>
      <c r="C18" s="1144"/>
      <c r="D18" s="1144"/>
      <c r="E18" s="1144"/>
      <c r="F18" s="1144"/>
      <c r="G18" s="1144"/>
      <c r="H18" s="1144"/>
      <c r="I18" s="1144"/>
    </row>
    <row r="19" spans="1:32" s="4" customFormat="1" ht="14.4" customHeight="1" x14ac:dyDescent="0.3">
      <c r="B19" s="872" t="s">
        <v>1228</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32" s="1" customFormat="1" x14ac:dyDescent="0.3"/>
    <row r="21" spans="1:32" s="1" customFormat="1" x14ac:dyDescent="0.3">
      <c r="B21" s="51" t="s">
        <v>13</v>
      </c>
      <c r="C21" s="51"/>
      <c r="D21" s="51"/>
      <c r="E21" s="51"/>
      <c r="F21" s="51"/>
      <c r="G21" s="51"/>
      <c r="H21" s="51"/>
      <c r="I21" s="51"/>
    </row>
    <row r="22" spans="1:32" s="1" customFormat="1" ht="14.4" customHeight="1" x14ac:dyDescent="0.3">
      <c r="B22" s="872" t="s">
        <v>1229</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s="1" customFormat="1" x14ac:dyDescent="0.3"/>
    <row r="24" spans="1:32" s="1" customFormat="1" x14ac:dyDescent="0.3"/>
    <row r="25" spans="1:32" s="1" customFormat="1"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s="1" customFormat="1" x14ac:dyDescent="0.3"/>
    <row r="27" spans="1:32" s="1" customFormat="1" ht="36.75" customHeight="1" x14ac:dyDescent="0.3">
      <c r="A27" s="2905" t="s">
        <v>852</v>
      </c>
      <c r="B27" s="2905"/>
      <c r="C27" s="2905"/>
      <c r="D27" s="2905"/>
      <c r="E27" s="2905"/>
      <c r="F27" s="2905"/>
      <c r="G27" s="2905"/>
      <c r="H27" s="2905"/>
      <c r="I27" s="2829" t="s">
        <v>2006</v>
      </c>
      <c r="J27" s="2829"/>
      <c r="K27" s="2829"/>
      <c r="L27" s="2829"/>
      <c r="M27" s="2829"/>
      <c r="N27" s="2829"/>
      <c r="O27" s="2829"/>
      <c r="P27" s="2829"/>
      <c r="Q27" s="2829"/>
      <c r="R27" s="2829"/>
      <c r="S27" s="2829"/>
      <c r="T27" s="2829"/>
      <c r="U27" s="2829"/>
      <c r="V27" s="2829"/>
      <c r="W27" s="2829"/>
      <c r="X27" s="2829"/>
      <c r="Y27" s="2829"/>
      <c r="Z27" s="2829"/>
      <c r="AA27" s="2829"/>
      <c r="AB27" s="2829"/>
      <c r="AC27" s="2829"/>
      <c r="AD27" s="2829"/>
      <c r="AE27" s="2829"/>
      <c r="AF27" s="2829"/>
    </row>
    <row r="28" spans="1:32" s="1" customFormat="1" ht="39" customHeight="1" x14ac:dyDescent="0.3">
      <c r="A28" s="2905" t="s">
        <v>853</v>
      </c>
      <c r="B28" s="2905"/>
      <c r="C28" s="2905"/>
      <c r="D28" s="2905"/>
      <c r="E28" s="2905"/>
      <c r="F28" s="2905"/>
      <c r="G28" s="2905"/>
      <c r="H28" s="2905"/>
      <c r="I28" s="2829" t="s">
        <v>2007</v>
      </c>
      <c r="J28" s="2829"/>
      <c r="K28" s="2829"/>
      <c r="L28" s="2829"/>
      <c r="M28" s="2829"/>
      <c r="N28" s="2829"/>
      <c r="O28" s="2829"/>
      <c r="P28" s="2829"/>
      <c r="Q28" s="2829"/>
      <c r="R28" s="2829"/>
      <c r="S28" s="2829"/>
      <c r="T28" s="2829"/>
      <c r="U28" s="2829"/>
      <c r="V28" s="2829"/>
      <c r="W28" s="2829"/>
      <c r="X28" s="2829"/>
      <c r="Y28" s="2829"/>
      <c r="Z28" s="2829"/>
      <c r="AA28" s="2829"/>
      <c r="AB28" s="2829"/>
      <c r="AC28" s="2829"/>
      <c r="AD28" s="2829"/>
      <c r="AE28" s="2829"/>
      <c r="AF28" s="2829"/>
    </row>
    <row r="29" spans="1:32" s="1" customFormat="1" x14ac:dyDescent="0.3"/>
    <row r="30" spans="1:32" s="1" customFormat="1" x14ac:dyDescent="0.3"/>
    <row r="31" spans="1:32" s="1" customFormat="1" x14ac:dyDescent="0.3">
      <c r="A31" s="1141" t="s">
        <v>8</v>
      </c>
      <c r="B31" s="1141"/>
      <c r="C31" s="1141"/>
      <c r="D31" s="114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row>
    <row r="32" spans="1:32" s="1" customFormat="1" x14ac:dyDescent="0.3">
      <c r="A32" s="1143" t="s">
        <v>9</v>
      </c>
      <c r="B32" s="1143"/>
      <c r="C32" s="1143"/>
      <c r="D32" s="1143"/>
      <c r="E32" s="1143" t="s">
        <v>3</v>
      </c>
      <c r="F32" s="1143"/>
      <c r="G32" s="1143"/>
      <c r="H32" s="1143"/>
      <c r="I32" s="1143"/>
      <c r="J32" s="1143"/>
      <c r="K32" s="1143"/>
      <c r="L32" s="1143"/>
      <c r="M32" s="1143"/>
      <c r="N32" s="1143"/>
      <c r="O32" s="1143"/>
      <c r="P32" s="1143"/>
      <c r="Q32" s="1143" t="s">
        <v>10</v>
      </c>
      <c r="R32" s="1143"/>
      <c r="S32" s="1143"/>
      <c r="T32" s="1143"/>
      <c r="U32" s="1259" t="s">
        <v>11</v>
      </c>
      <c r="V32" s="1260"/>
      <c r="W32" s="1421"/>
      <c r="X32" s="1259" t="s">
        <v>12</v>
      </c>
      <c r="Y32" s="1260"/>
      <c r="Z32" s="1260"/>
      <c r="AA32" s="1260"/>
      <c r="AB32" s="1260"/>
      <c r="AC32" s="1260"/>
      <c r="AD32" s="1260"/>
      <c r="AE32" s="1260"/>
      <c r="AF32" s="1421"/>
    </row>
    <row r="33" spans="1:32" s="1" customFormat="1" ht="14.4" customHeight="1" x14ac:dyDescent="0.3">
      <c r="A33" s="1154" t="s">
        <v>1398</v>
      </c>
      <c r="B33" s="1155" t="s">
        <v>467</v>
      </c>
      <c r="C33" s="1155" t="s">
        <v>467</v>
      </c>
      <c r="D33" s="1156" t="s">
        <v>467</v>
      </c>
      <c r="E33" s="1148" t="s">
        <v>468</v>
      </c>
      <c r="F33" s="1149" t="s">
        <v>468</v>
      </c>
      <c r="G33" s="1149" t="s">
        <v>468</v>
      </c>
      <c r="H33" s="1149" t="s">
        <v>468</v>
      </c>
      <c r="I33" s="1149" t="s">
        <v>468</v>
      </c>
      <c r="J33" s="1149" t="s">
        <v>468</v>
      </c>
      <c r="K33" s="1149" t="s">
        <v>468</v>
      </c>
      <c r="L33" s="1149" t="s">
        <v>468</v>
      </c>
      <c r="M33" s="1149" t="s">
        <v>468</v>
      </c>
      <c r="N33" s="1149" t="s">
        <v>468</v>
      </c>
      <c r="O33" s="1149" t="s">
        <v>468</v>
      </c>
      <c r="P33" s="1150" t="s">
        <v>468</v>
      </c>
      <c r="Q33" s="2899">
        <v>0.4</v>
      </c>
      <c r="R33" s="2900">
        <v>0.4</v>
      </c>
      <c r="S33" s="2900">
        <v>0.4</v>
      </c>
      <c r="T33" s="2901">
        <v>0.4</v>
      </c>
      <c r="U33" s="1243" t="s">
        <v>20</v>
      </c>
      <c r="V33" s="1244"/>
      <c r="W33" s="1245"/>
      <c r="X33" s="1148"/>
      <c r="Y33" s="1149"/>
      <c r="Z33" s="1149"/>
      <c r="AA33" s="1149"/>
      <c r="AB33" s="1149"/>
      <c r="AC33" s="1149"/>
      <c r="AD33" s="1149"/>
      <c r="AE33" s="1149"/>
      <c r="AF33" s="1150"/>
    </row>
    <row r="34" spans="1:32" s="1" customFormat="1" ht="14.4" customHeight="1" x14ac:dyDescent="0.3">
      <c r="A34" s="1154" t="s">
        <v>1399</v>
      </c>
      <c r="B34" s="1155" t="s">
        <v>469</v>
      </c>
      <c r="C34" s="1155" t="s">
        <v>469</v>
      </c>
      <c r="D34" s="1156" t="s">
        <v>469</v>
      </c>
      <c r="E34" s="1148" t="s">
        <v>470</v>
      </c>
      <c r="F34" s="1149" t="s">
        <v>470</v>
      </c>
      <c r="G34" s="1149" t="s">
        <v>470</v>
      </c>
      <c r="H34" s="1149" t="s">
        <v>470</v>
      </c>
      <c r="I34" s="1149" t="s">
        <v>470</v>
      </c>
      <c r="J34" s="1149" t="s">
        <v>470</v>
      </c>
      <c r="K34" s="1149" t="s">
        <v>470</v>
      </c>
      <c r="L34" s="1149" t="s">
        <v>470</v>
      </c>
      <c r="M34" s="1149" t="s">
        <v>470</v>
      </c>
      <c r="N34" s="1149" t="s">
        <v>470</v>
      </c>
      <c r="O34" s="1149" t="s">
        <v>470</v>
      </c>
      <c r="P34" s="1150" t="s">
        <v>470</v>
      </c>
      <c r="Q34" s="2899">
        <v>0.4</v>
      </c>
      <c r="R34" s="2900">
        <v>0.4</v>
      </c>
      <c r="S34" s="2900">
        <v>0.4</v>
      </c>
      <c r="T34" s="2901">
        <v>0.4</v>
      </c>
      <c r="U34" s="1243" t="s">
        <v>20</v>
      </c>
      <c r="V34" s="1244"/>
      <c r="W34" s="1245"/>
      <c r="X34" s="1148"/>
      <c r="Y34" s="1149"/>
      <c r="Z34" s="1149"/>
      <c r="AA34" s="1149"/>
      <c r="AB34" s="1149"/>
      <c r="AC34" s="1149"/>
      <c r="AD34" s="1149"/>
      <c r="AE34" s="1149"/>
      <c r="AF34" s="1150"/>
    </row>
    <row r="35" spans="1:32" s="1" customFormat="1" ht="14.4" customHeight="1" x14ac:dyDescent="0.3">
      <c r="A35" s="1154" t="s">
        <v>1400</v>
      </c>
      <c r="B35" s="1155" t="s">
        <v>471</v>
      </c>
      <c r="C35" s="1155" t="s">
        <v>471</v>
      </c>
      <c r="D35" s="1156" t="s">
        <v>471</v>
      </c>
      <c r="E35" s="1148" t="s">
        <v>472</v>
      </c>
      <c r="F35" s="1149" t="s">
        <v>472</v>
      </c>
      <c r="G35" s="1149" t="s">
        <v>472</v>
      </c>
      <c r="H35" s="1149" t="s">
        <v>472</v>
      </c>
      <c r="I35" s="1149" t="s">
        <v>472</v>
      </c>
      <c r="J35" s="1149" t="s">
        <v>472</v>
      </c>
      <c r="K35" s="1149" t="s">
        <v>472</v>
      </c>
      <c r="L35" s="1149" t="s">
        <v>472</v>
      </c>
      <c r="M35" s="1149" t="s">
        <v>472</v>
      </c>
      <c r="N35" s="1149" t="s">
        <v>472</v>
      </c>
      <c r="O35" s="1149" t="s">
        <v>472</v>
      </c>
      <c r="P35" s="1150" t="s">
        <v>472</v>
      </c>
      <c r="Q35" s="2899">
        <v>0.2</v>
      </c>
      <c r="R35" s="2900">
        <v>0.2</v>
      </c>
      <c r="S35" s="2900">
        <v>0.2</v>
      </c>
      <c r="T35" s="2901">
        <v>0.2</v>
      </c>
      <c r="U35" s="1243" t="s">
        <v>20</v>
      </c>
      <c r="V35" s="1244"/>
      <c r="W35" s="1245"/>
      <c r="X35" s="1148"/>
      <c r="Y35" s="1149"/>
      <c r="Z35" s="1149"/>
      <c r="AA35" s="1149"/>
      <c r="AB35" s="1149"/>
      <c r="AC35" s="1149"/>
      <c r="AD35" s="1149"/>
      <c r="AE35" s="1149"/>
      <c r="AF35" s="1150"/>
    </row>
    <row r="36" spans="1:32" s="1" customFormat="1" ht="14.4" customHeight="1" x14ac:dyDescent="0.3">
      <c r="A36" s="1154" t="s">
        <v>1401</v>
      </c>
      <c r="B36" s="1155" t="s">
        <v>473</v>
      </c>
      <c r="C36" s="1155" t="s">
        <v>473</v>
      </c>
      <c r="D36" s="1156" t="s">
        <v>473</v>
      </c>
      <c r="E36" s="1148" t="s">
        <v>474</v>
      </c>
      <c r="F36" s="1149" t="s">
        <v>474</v>
      </c>
      <c r="G36" s="1149" t="s">
        <v>474</v>
      </c>
      <c r="H36" s="1149" t="s">
        <v>474</v>
      </c>
      <c r="I36" s="1149" t="s">
        <v>474</v>
      </c>
      <c r="J36" s="1149" t="s">
        <v>474</v>
      </c>
      <c r="K36" s="1149" t="s">
        <v>474</v>
      </c>
      <c r="L36" s="1149" t="s">
        <v>474</v>
      </c>
      <c r="M36" s="1149" t="s">
        <v>474</v>
      </c>
      <c r="N36" s="1149" t="s">
        <v>474</v>
      </c>
      <c r="O36" s="1149" t="s">
        <v>474</v>
      </c>
      <c r="P36" s="1150" t="s">
        <v>474</v>
      </c>
      <c r="Q36" s="2902">
        <v>1.52E-2</v>
      </c>
      <c r="R36" s="2903">
        <v>1.52E-2</v>
      </c>
      <c r="S36" s="2903">
        <v>1.52E-2</v>
      </c>
      <c r="T36" s="2904">
        <v>1.52E-2</v>
      </c>
      <c r="U36" s="1243" t="s">
        <v>18</v>
      </c>
      <c r="V36" s="1244"/>
      <c r="W36" s="1245"/>
      <c r="X36" s="1148"/>
      <c r="Y36" s="1149"/>
      <c r="Z36" s="1149"/>
      <c r="AA36" s="1149"/>
      <c r="AB36" s="1149"/>
      <c r="AC36" s="1149"/>
      <c r="AD36" s="1149"/>
      <c r="AE36" s="1149"/>
      <c r="AF36" s="1150"/>
    </row>
    <row r="37" spans="1:32" s="1" customFormat="1" ht="43.2" customHeight="1" x14ac:dyDescent="0.3">
      <c r="A37" s="1246" t="s">
        <v>1402</v>
      </c>
      <c r="B37" s="1155" t="s">
        <v>475</v>
      </c>
      <c r="C37" s="1155" t="s">
        <v>475</v>
      </c>
      <c r="D37" s="1156" t="s">
        <v>475</v>
      </c>
      <c r="E37" s="1148" t="s">
        <v>476</v>
      </c>
      <c r="F37" s="1149" t="s">
        <v>476</v>
      </c>
      <c r="G37" s="1149" t="s">
        <v>476</v>
      </c>
      <c r="H37" s="1149" t="s">
        <v>476</v>
      </c>
      <c r="I37" s="1149" t="s">
        <v>476</v>
      </c>
      <c r="J37" s="1149" t="s">
        <v>476</v>
      </c>
      <c r="K37" s="1149" t="s">
        <v>476</v>
      </c>
      <c r="L37" s="1149" t="s">
        <v>476</v>
      </c>
      <c r="M37" s="1149" t="s">
        <v>476</v>
      </c>
      <c r="N37" s="1149" t="s">
        <v>476</v>
      </c>
      <c r="O37" s="1149" t="s">
        <v>476</v>
      </c>
      <c r="P37" s="1150" t="s">
        <v>476</v>
      </c>
      <c r="Q37" s="2902">
        <v>1.17E-2</v>
      </c>
      <c r="R37" s="2903">
        <v>1.17E-2</v>
      </c>
      <c r="S37" s="2903">
        <v>1.17E-2</v>
      </c>
      <c r="T37" s="2904">
        <v>1.17E-2</v>
      </c>
      <c r="U37" s="1243" t="s">
        <v>18</v>
      </c>
      <c r="V37" s="1244"/>
      <c r="W37" s="1245"/>
      <c r="X37" s="1148" t="s">
        <v>477</v>
      </c>
      <c r="Y37" s="1149" t="s">
        <v>477</v>
      </c>
      <c r="Z37" s="1149" t="s">
        <v>477</v>
      </c>
      <c r="AA37" s="1149" t="s">
        <v>477</v>
      </c>
      <c r="AB37" s="1149" t="s">
        <v>477</v>
      </c>
      <c r="AC37" s="1149" t="s">
        <v>477</v>
      </c>
      <c r="AD37" s="1149" t="s">
        <v>477</v>
      </c>
      <c r="AE37" s="1149" t="s">
        <v>477</v>
      </c>
      <c r="AF37" s="1150" t="s">
        <v>477</v>
      </c>
    </row>
    <row r="38" spans="1:32" s="1" customFormat="1" ht="28.95" customHeight="1" x14ac:dyDescent="0.3">
      <c r="A38" s="1246" t="s">
        <v>1403</v>
      </c>
      <c r="B38" s="1155" t="s">
        <v>478</v>
      </c>
      <c r="C38" s="1155" t="s">
        <v>478</v>
      </c>
      <c r="D38" s="1156" t="s">
        <v>478</v>
      </c>
      <c r="E38" s="1148" t="s">
        <v>479</v>
      </c>
      <c r="F38" s="1149" t="s">
        <v>479</v>
      </c>
      <c r="G38" s="1149" t="s">
        <v>479</v>
      </c>
      <c r="H38" s="1149" t="s">
        <v>479</v>
      </c>
      <c r="I38" s="1149" t="s">
        <v>479</v>
      </c>
      <c r="J38" s="1149" t="s">
        <v>479</v>
      </c>
      <c r="K38" s="1149" t="s">
        <v>479</v>
      </c>
      <c r="L38" s="1149" t="s">
        <v>479</v>
      </c>
      <c r="M38" s="1149" t="s">
        <v>479</v>
      </c>
      <c r="N38" s="1149" t="s">
        <v>479</v>
      </c>
      <c r="O38" s="1149" t="s">
        <v>479</v>
      </c>
      <c r="P38" s="1150" t="s">
        <v>479</v>
      </c>
      <c r="Q38" s="2906">
        <v>3.4799999999999998E-2</v>
      </c>
      <c r="R38" s="2907">
        <v>3.4799999999999998E-2</v>
      </c>
      <c r="S38" s="2907">
        <v>3.4799999999999998E-2</v>
      </c>
      <c r="T38" s="2908">
        <v>3.4799999999999998E-2</v>
      </c>
      <c r="U38" s="1243" t="s">
        <v>18</v>
      </c>
      <c r="V38" s="1244"/>
      <c r="W38" s="1245"/>
      <c r="X38" s="1148"/>
      <c r="Y38" s="1149"/>
      <c r="Z38" s="1149"/>
      <c r="AA38" s="1149"/>
      <c r="AB38" s="1149"/>
      <c r="AC38" s="1149"/>
      <c r="AD38" s="1149"/>
      <c r="AE38" s="1149"/>
      <c r="AF38" s="1150"/>
    </row>
    <row r="39" spans="1:32" s="1" customFormat="1" ht="28.95" customHeight="1" x14ac:dyDescent="0.3">
      <c r="A39" s="1154" t="s">
        <v>1404</v>
      </c>
      <c r="B39" s="1155" t="s">
        <v>480</v>
      </c>
      <c r="C39" s="1155" t="s">
        <v>480</v>
      </c>
      <c r="D39" s="1156" t="s">
        <v>480</v>
      </c>
      <c r="E39" s="1148" t="s">
        <v>481</v>
      </c>
      <c r="F39" s="1149" t="s">
        <v>481</v>
      </c>
      <c r="G39" s="1149" t="s">
        <v>481</v>
      </c>
      <c r="H39" s="1149" t="s">
        <v>481</v>
      </c>
      <c r="I39" s="1149" t="s">
        <v>481</v>
      </c>
      <c r="J39" s="1149" t="s">
        <v>481</v>
      </c>
      <c r="K39" s="1149" t="s">
        <v>481</v>
      </c>
      <c r="L39" s="1149" t="s">
        <v>481</v>
      </c>
      <c r="M39" s="1149" t="s">
        <v>481</v>
      </c>
      <c r="N39" s="1149" t="s">
        <v>481</v>
      </c>
      <c r="O39" s="1149" t="s">
        <v>481</v>
      </c>
      <c r="P39" s="1150" t="s">
        <v>481</v>
      </c>
      <c r="Q39" s="2906">
        <v>3.1399999999999997E-2</v>
      </c>
      <c r="R39" s="2907">
        <v>3.1399999999999997E-2</v>
      </c>
      <c r="S39" s="2907">
        <v>3.1399999999999997E-2</v>
      </c>
      <c r="T39" s="2908">
        <v>3.1399999999999997E-2</v>
      </c>
      <c r="U39" s="1243" t="s">
        <v>18</v>
      </c>
      <c r="V39" s="1244"/>
      <c r="W39" s="1245"/>
      <c r="X39" s="1148" t="s">
        <v>482</v>
      </c>
      <c r="Y39" s="1149" t="s">
        <v>482</v>
      </c>
      <c r="Z39" s="1149" t="s">
        <v>482</v>
      </c>
      <c r="AA39" s="1149" t="s">
        <v>482</v>
      </c>
      <c r="AB39" s="1149" t="s">
        <v>482</v>
      </c>
      <c r="AC39" s="1149" t="s">
        <v>482</v>
      </c>
      <c r="AD39" s="1149" t="s">
        <v>482</v>
      </c>
      <c r="AE39" s="1149" t="s">
        <v>482</v>
      </c>
      <c r="AF39" s="1150" t="s">
        <v>482</v>
      </c>
    </row>
    <row r="40" spans="1:32" s="1" customFormat="1" ht="28.95" customHeight="1" x14ac:dyDescent="0.3">
      <c r="A40" s="1154" t="s">
        <v>1405</v>
      </c>
      <c r="B40" s="1155" t="s">
        <v>483</v>
      </c>
      <c r="C40" s="1155" t="s">
        <v>483</v>
      </c>
      <c r="D40" s="1156" t="s">
        <v>483</v>
      </c>
      <c r="E40" s="1148" t="s">
        <v>484</v>
      </c>
      <c r="F40" s="1149" t="s">
        <v>484</v>
      </c>
      <c r="G40" s="1149" t="s">
        <v>484</v>
      </c>
      <c r="H40" s="1149" t="s">
        <v>484</v>
      </c>
      <c r="I40" s="1149" t="s">
        <v>484</v>
      </c>
      <c r="J40" s="1149" t="s">
        <v>484</v>
      </c>
      <c r="K40" s="1149" t="s">
        <v>484</v>
      </c>
      <c r="L40" s="1149" t="s">
        <v>484</v>
      </c>
      <c r="M40" s="1149" t="s">
        <v>484</v>
      </c>
      <c r="N40" s="1149" t="s">
        <v>484</v>
      </c>
      <c r="O40" s="1149" t="s">
        <v>484</v>
      </c>
      <c r="P40" s="1150" t="s">
        <v>484</v>
      </c>
      <c r="Q40" s="2906">
        <v>7.2499999999999995E-2</v>
      </c>
      <c r="R40" s="2907">
        <v>7.2499999999999995E-2</v>
      </c>
      <c r="S40" s="2907">
        <v>7.2499999999999995E-2</v>
      </c>
      <c r="T40" s="2908">
        <v>7.2499999999999995E-2</v>
      </c>
      <c r="U40" s="1243" t="s">
        <v>18</v>
      </c>
      <c r="V40" s="1244"/>
      <c r="W40" s="1245"/>
      <c r="X40" s="1148"/>
      <c r="Y40" s="1149"/>
      <c r="Z40" s="1149"/>
      <c r="AA40" s="1149"/>
      <c r="AB40" s="1149"/>
      <c r="AC40" s="1149"/>
      <c r="AD40" s="1149"/>
      <c r="AE40" s="1149"/>
      <c r="AF40" s="1150"/>
    </row>
    <row r="41" spans="1:32" s="1" customFormat="1" ht="28.95" customHeight="1" x14ac:dyDescent="0.3">
      <c r="A41" s="1154" t="s">
        <v>1406</v>
      </c>
      <c r="B41" s="1155" t="s">
        <v>485</v>
      </c>
      <c r="C41" s="1155" t="s">
        <v>485</v>
      </c>
      <c r="D41" s="1156" t="s">
        <v>485</v>
      </c>
      <c r="E41" s="1148" t="s">
        <v>486</v>
      </c>
      <c r="F41" s="1149" t="s">
        <v>486</v>
      </c>
      <c r="G41" s="1149" t="s">
        <v>486</v>
      </c>
      <c r="H41" s="1149" t="s">
        <v>486</v>
      </c>
      <c r="I41" s="1149" t="s">
        <v>486</v>
      </c>
      <c r="J41" s="1149" t="s">
        <v>486</v>
      </c>
      <c r="K41" s="1149" t="s">
        <v>486</v>
      </c>
      <c r="L41" s="1149" t="s">
        <v>486</v>
      </c>
      <c r="M41" s="1149" t="s">
        <v>486</v>
      </c>
      <c r="N41" s="1149" t="s">
        <v>486</v>
      </c>
      <c r="O41" s="1149" t="s">
        <v>486</v>
      </c>
      <c r="P41" s="1150" t="s">
        <v>486</v>
      </c>
      <c r="Q41" s="2906">
        <v>7.1499999999999994E-2</v>
      </c>
      <c r="R41" s="2907">
        <v>7.1499999999999994E-2</v>
      </c>
      <c r="S41" s="2907">
        <v>7.1499999999999994E-2</v>
      </c>
      <c r="T41" s="2908">
        <v>7.1499999999999994E-2</v>
      </c>
      <c r="U41" s="1243" t="s">
        <v>18</v>
      </c>
      <c r="V41" s="1244"/>
      <c r="W41" s="1245"/>
      <c r="X41" s="1148" t="s">
        <v>487</v>
      </c>
      <c r="Y41" s="1149" t="s">
        <v>487</v>
      </c>
      <c r="Z41" s="1149" t="s">
        <v>487</v>
      </c>
      <c r="AA41" s="1149" t="s">
        <v>487</v>
      </c>
      <c r="AB41" s="1149" t="s">
        <v>487</v>
      </c>
      <c r="AC41" s="1149" t="s">
        <v>487</v>
      </c>
      <c r="AD41" s="1149" t="s">
        <v>487</v>
      </c>
      <c r="AE41" s="1149" t="s">
        <v>487</v>
      </c>
      <c r="AF41" s="1150" t="s">
        <v>487</v>
      </c>
    </row>
    <row r="42" spans="1:32" s="1" customFormat="1" ht="14.4" customHeight="1" x14ac:dyDescent="0.3">
      <c r="A42" s="1154" t="s">
        <v>1407</v>
      </c>
      <c r="B42" s="1155" t="s">
        <v>488</v>
      </c>
      <c r="C42" s="1155" t="s">
        <v>488</v>
      </c>
      <c r="D42" s="1156" t="s">
        <v>488</v>
      </c>
      <c r="E42" s="1148" t="s">
        <v>854</v>
      </c>
      <c r="F42" s="1149" t="s">
        <v>489</v>
      </c>
      <c r="G42" s="1149" t="s">
        <v>489</v>
      </c>
      <c r="H42" s="1149" t="s">
        <v>489</v>
      </c>
      <c r="I42" s="1149" t="s">
        <v>489</v>
      </c>
      <c r="J42" s="1149" t="s">
        <v>489</v>
      </c>
      <c r="K42" s="1149" t="s">
        <v>489</v>
      </c>
      <c r="L42" s="1149" t="s">
        <v>489</v>
      </c>
      <c r="M42" s="1149" t="s">
        <v>489</v>
      </c>
      <c r="N42" s="1149" t="s">
        <v>489</v>
      </c>
      <c r="O42" s="1149" t="s">
        <v>489</v>
      </c>
      <c r="P42" s="1150" t="s">
        <v>489</v>
      </c>
      <c r="Q42" s="2909">
        <v>0.129</v>
      </c>
      <c r="R42" s="2910">
        <v>0.129</v>
      </c>
      <c r="S42" s="2910">
        <v>0.129</v>
      </c>
      <c r="T42" s="2911">
        <v>0.129</v>
      </c>
      <c r="U42" s="1243" t="s">
        <v>18</v>
      </c>
      <c r="V42" s="1244"/>
      <c r="W42" s="1245"/>
      <c r="X42" s="1148" t="s">
        <v>860</v>
      </c>
      <c r="Y42" s="1149" t="s">
        <v>490</v>
      </c>
      <c r="Z42" s="1149" t="s">
        <v>490</v>
      </c>
      <c r="AA42" s="1149" t="s">
        <v>490</v>
      </c>
      <c r="AB42" s="1149" t="s">
        <v>490</v>
      </c>
      <c r="AC42" s="1149" t="s">
        <v>490</v>
      </c>
      <c r="AD42" s="1149" t="s">
        <v>490</v>
      </c>
      <c r="AE42" s="1149" t="s">
        <v>490</v>
      </c>
      <c r="AF42" s="1150" t="s">
        <v>490</v>
      </c>
    </row>
    <row r="43" spans="1:32" s="1" customFormat="1" ht="14.4" customHeight="1" x14ac:dyDescent="0.3">
      <c r="A43" s="1154" t="s">
        <v>1408</v>
      </c>
      <c r="B43" s="1155" t="s">
        <v>491</v>
      </c>
      <c r="C43" s="1155" t="s">
        <v>491</v>
      </c>
      <c r="D43" s="1156" t="s">
        <v>491</v>
      </c>
      <c r="E43" s="1148" t="s">
        <v>855</v>
      </c>
      <c r="F43" s="1149" t="s">
        <v>492</v>
      </c>
      <c r="G43" s="1149" t="s">
        <v>492</v>
      </c>
      <c r="H43" s="1149" t="s">
        <v>492</v>
      </c>
      <c r="I43" s="1149" t="s">
        <v>492</v>
      </c>
      <c r="J43" s="1149" t="s">
        <v>492</v>
      </c>
      <c r="K43" s="1149" t="s">
        <v>492</v>
      </c>
      <c r="L43" s="1149" t="s">
        <v>492</v>
      </c>
      <c r="M43" s="1149" t="s">
        <v>492</v>
      </c>
      <c r="N43" s="1149" t="s">
        <v>492</v>
      </c>
      <c r="O43" s="1149" t="s">
        <v>492</v>
      </c>
      <c r="P43" s="1150" t="s">
        <v>492</v>
      </c>
      <c r="Q43" s="2137">
        <v>0.06</v>
      </c>
      <c r="R43" s="2138">
        <v>0.06</v>
      </c>
      <c r="S43" s="2138">
        <v>0.06</v>
      </c>
      <c r="T43" s="2139">
        <v>0.06</v>
      </c>
      <c r="U43" s="1243" t="s">
        <v>18</v>
      </c>
      <c r="V43" s="1244"/>
      <c r="W43" s="1245"/>
      <c r="X43" s="1148"/>
      <c r="Y43" s="1149"/>
      <c r="Z43" s="1149"/>
      <c r="AA43" s="1149"/>
      <c r="AB43" s="1149"/>
      <c r="AC43" s="1149"/>
      <c r="AD43" s="1149"/>
      <c r="AE43" s="1149"/>
      <c r="AF43" s="1150"/>
    </row>
    <row r="44" spans="1:32" s="1" customFormat="1" ht="14.4" customHeight="1" x14ac:dyDescent="0.3">
      <c r="A44" s="1154" t="s">
        <v>443</v>
      </c>
      <c r="B44" s="1155" t="s">
        <v>443</v>
      </c>
      <c r="C44" s="1155" t="s">
        <v>443</v>
      </c>
      <c r="D44" s="1156" t="s">
        <v>443</v>
      </c>
      <c r="E44" s="1148" t="s">
        <v>96</v>
      </c>
      <c r="F44" s="1149" t="s">
        <v>444</v>
      </c>
      <c r="G44" s="1149" t="s">
        <v>444</v>
      </c>
      <c r="H44" s="1149" t="s">
        <v>444</v>
      </c>
      <c r="I44" s="1149" t="s">
        <v>444</v>
      </c>
      <c r="J44" s="1149" t="s">
        <v>444</v>
      </c>
      <c r="K44" s="1149" t="s">
        <v>444</v>
      </c>
      <c r="L44" s="1149" t="s">
        <v>444</v>
      </c>
      <c r="M44" s="1149" t="s">
        <v>444</v>
      </c>
      <c r="N44" s="1149" t="s">
        <v>444</v>
      </c>
      <c r="O44" s="1149" t="s">
        <v>444</v>
      </c>
      <c r="P44" s="1150" t="s">
        <v>444</v>
      </c>
      <c r="Q44" s="2899">
        <v>0.11</v>
      </c>
      <c r="R44" s="2900">
        <v>0.11</v>
      </c>
      <c r="S44" s="2900">
        <v>0.11</v>
      </c>
      <c r="T44" s="2901">
        <v>0.11</v>
      </c>
      <c r="U44" s="1243" t="s">
        <v>20</v>
      </c>
      <c r="V44" s="1244"/>
      <c r="W44" s="1245"/>
      <c r="X44" s="1148"/>
      <c r="Y44" s="1149"/>
      <c r="Z44" s="1149"/>
      <c r="AA44" s="1149"/>
      <c r="AB44" s="1149"/>
      <c r="AC44" s="1149"/>
      <c r="AD44" s="1149"/>
      <c r="AE44" s="1149"/>
      <c r="AF44" s="1150"/>
    </row>
    <row r="45" spans="1:32" s="1" customFormat="1" ht="30" customHeight="1" x14ac:dyDescent="0.3">
      <c r="A45" s="1154" t="s">
        <v>1409</v>
      </c>
      <c r="B45" s="1155" t="s">
        <v>493</v>
      </c>
      <c r="C45" s="1155" t="s">
        <v>493</v>
      </c>
      <c r="D45" s="1156" t="s">
        <v>493</v>
      </c>
      <c r="E45" s="1148" t="s">
        <v>856</v>
      </c>
      <c r="F45" s="1149" t="s">
        <v>494</v>
      </c>
      <c r="G45" s="1149" t="s">
        <v>494</v>
      </c>
      <c r="H45" s="1149" t="s">
        <v>494</v>
      </c>
      <c r="I45" s="1149" t="s">
        <v>494</v>
      </c>
      <c r="J45" s="1149" t="s">
        <v>494</v>
      </c>
      <c r="K45" s="1149" t="s">
        <v>494</v>
      </c>
      <c r="L45" s="1149" t="s">
        <v>494</v>
      </c>
      <c r="M45" s="1149" t="s">
        <v>494</v>
      </c>
      <c r="N45" s="1149" t="s">
        <v>494</v>
      </c>
      <c r="O45" s="1149" t="s">
        <v>494</v>
      </c>
      <c r="P45" s="1150" t="s">
        <v>494</v>
      </c>
      <c r="Q45" s="2887">
        <v>1022</v>
      </c>
      <c r="R45" s="2888">
        <v>1022</v>
      </c>
      <c r="S45" s="2888">
        <v>1022</v>
      </c>
      <c r="T45" s="2889">
        <v>1022</v>
      </c>
      <c r="U45" s="1243" t="s">
        <v>37</v>
      </c>
      <c r="V45" s="1244"/>
      <c r="W45" s="1245"/>
      <c r="X45" s="1148" t="s">
        <v>495</v>
      </c>
      <c r="Y45" s="1149" t="s">
        <v>495</v>
      </c>
      <c r="Z45" s="1149" t="s">
        <v>495</v>
      </c>
      <c r="AA45" s="1149" t="s">
        <v>495</v>
      </c>
      <c r="AB45" s="1149" t="s">
        <v>495</v>
      </c>
      <c r="AC45" s="1149" t="s">
        <v>495</v>
      </c>
      <c r="AD45" s="1149" t="s">
        <v>495</v>
      </c>
      <c r="AE45" s="1149" t="s">
        <v>495</v>
      </c>
      <c r="AF45" s="1150" t="s">
        <v>495</v>
      </c>
    </row>
    <row r="46" spans="1:32" s="1" customFormat="1" ht="30" customHeight="1" x14ac:dyDescent="0.3">
      <c r="A46" s="1154" t="s">
        <v>1410</v>
      </c>
      <c r="B46" s="1155" t="s">
        <v>496</v>
      </c>
      <c r="C46" s="1155" t="s">
        <v>496</v>
      </c>
      <c r="D46" s="1156" t="s">
        <v>496</v>
      </c>
      <c r="E46" s="1148" t="s">
        <v>857</v>
      </c>
      <c r="F46" s="1149" t="s">
        <v>497</v>
      </c>
      <c r="G46" s="1149" t="s">
        <v>497</v>
      </c>
      <c r="H46" s="1149" t="s">
        <v>497</v>
      </c>
      <c r="I46" s="1149" t="s">
        <v>497</v>
      </c>
      <c r="J46" s="1149" t="s">
        <v>497</v>
      </c>
      <c r="K46" s="1149" t="s">
        <v>497</v>
      </c>
      <c r="L46" s="1149" t="s">
        <v>497</v>
      </c>
      <c r="M46" s="1149" t="s">
        <v>497</v>
      </c>
      <c r="N46" s="1149" t="s">
        <v>497</v>
      </c>
      <c r="O46" s="1149" t="s">
        <v>497</v>
      </c>
      <c r="P46" s="1150" t="s">
        <v>497</v>
      </c>
      <c r="Q46" s="2912">
        <v>839.5</v>
      </c>
      <c r="R46" s="2913">
        <v>839.5</v>
      </c>
      <c r="S46" s="2913">
        <v>839.5</v>
      </c>
      <c r="T46" s="2914">
        <v>839.5</v>
      </c>
      <c r="U46" s="1243" t="s">
        <v>37</v>
      </c>
      <c r="V46" s="1244"/>
      <c r="W46" s="1245"/>
      <c r="X46" s="1148" t="s">
        <v>498</v>
      </c>
      <c r="Y46" s="1149" t="s">
        <v>498</v>
      </c>
      <c r="Z46" s="1149" t="s">
        <v>498</v>
      </c>
      <c r="AA46" s="1149" t="s">
        <v>498</v>
      </c>
      <c r="AB46" s="1149" t="s">
        <v>498</v>
      </c>
      <c r="AC46" s="1149" t="s">
        <v>498</v>
      </c>
      <c r="AD46" s="1149" t="s">
        <v>498</v>
      </c>
      <c r="AE46" s="1149" t="s">
        <v>498</v>
      </c>
      <c r="AF46" s="1150" t="s">
        <v>498</v>
      </c>
    </row>
    <row r="47" spans="1:32" s="1" customFormat="1" ht="43.2" customHeight="1" x14ac:dyDescent="0.3">
      <c r="A47" s="1154" t="s">
        <v>1411</v>
      </c>
      <c r="B47" s="1155" t="s">
        <v>499</v>
      </c>
      <c r="C47" s="1155" t="s">
        <v>499</v>
      </c>
      <c r="D47" s="1156" t="s">
        <v>499</v>
      </c>
      <c r="E47" s="1148" t="s">
        <v>858</v>
      </c>
      <c r="F47" s="1149" t="s">
        <v>500</v>
      </c>
      <c r="G47" s="1149" t="s">
        <v>500</v>
      </c>
      <c r="H47" s="1149" t="s">
        <v>500</v>
      </c>
      <c r="I47" s="1149" t="s">
        <v>500</v>
      </c>
      <c r="J47" s="1149" t="s">
        <v>500</v>
      </c>
      <c r="K47" s="1149" t="s">
        <v>500</v>
      </c>
      <c r="L47" s="1149" t="s">
        <v>500</v>
      </c>
      <c r="M47" s="1149" t="s">
        <v>500</v>
      </c>
      <c r="N47" s="1149" t="s">
        <v>500</v>
      </c>
      <c r="O47" s="1149" t="s">
        <v>500</v>
      </c>
      <c r="P47" s="1150" t="s">
        <v>500</v>
      </c>
      <c r="Q47" s="2143">
        <v>1.21</v>
      </c>
      <c r="R47" s="2144">
        <v>1.21</v>
      </c>
      <c r="S47" s="2144">
        <v>1.21</v>
      </c>
      <c r="T47" s="2145">
        <v>1.21</v>
      </c>
      <c r="U47" s="1243" t="s">
        <v>20</v>
      </c>
      <c r="V47" s="1244"/>
      <c r="W47" s="1245"/>
      <c r="X47" s="1148"/>
      <c r="Y47" s="1149"/>
      <c r="Z47" s="1149"/>
      <c r="AA47" s="1149"/>
      <c r="AB47" s="1149"/>
      <c r="AC47" s="1149"/>
      <c r="AD47" s="1149"/>
      <c r="AE47" s="1149"/>
      <c r="AF47" s="1150"/>
    </row>
    <row r="48" spans="1:32" s="1" customFormat="1" ht="43.2" customHeight="1" x14ac:dyDescent="0.3">
      <c r="A48" s="1246" t="s">
        <v>1412</v>
      </c>
      <c r="B48" s="1155" t="s">
        <v>501</v>
      </c>
      <c r="C48" s="1155" t="s">
        <v>501</v>
      </c>
      <c r="D48" s="1156" t="s">
        <v>501</v>
      </c>
      <c r="E48" s="1148" t="s">
        <v>859</v>
      </c>
      <c r="F48" s="1149" t="s">
        <v>502</v>
      </c>
      <c r="G48" s="1149" t="s">
        <v>502</v>
      </c>
      <c r="H48" s="1149" t="s">
        <v>502</v>
      </c>
      <c r="I48" s="1149" t="s">
        <v>502</v>
      </c>
      <c r="J48" s="1149" t="s">
        <v>502</v>
      </c>
      <c r="K48" s="1149" t="s">
        <v>502</v>
      </c>
      <c r="L48" s="1149" t="s">
        <v>502</v>
      </c>
      <c r="M48" s="1149" t="s">
        <v>502</v>
      </c>
      <c r="N48" s="1149" t="s">
        <v>502</v>
      </c>
      <c r="O48" s="1149" t="s">
        <v>502</v>
      </c>
      <c r="P48" s="1150" t="s">
        <v>502</v>
      </c>
      <c r="Q48" s="2143">
        <v>1.07</v>
      </c>
      <c r="R48" s="2144">
        <v>1.07</v>
      </c>
      <c r="S48" s="2144">
        <v>1.07</v>
      </c>
      <c r="T48" s="2145">
        <v>1.07</v>
      </c>
      <c r="U48" s="1243" t="s">
        <v>20</v>
      </c>
      <c r="V48" s="1244"/>
      <c r="W48" s="1245"/>
      <c r="X48" s="1148"/>
      <c r="Y48" s="1149"/>
      <c r="Z48" s="1149"/>
      <c r="AA48" s="1149"/>
      <c r="AB48" s="1149"/>
      <c r="AC48" s="1149"/>
      <c r="AD48" s="1149"/>
      <c r="AE48" s="1149"/>
      <c r="AF48" s="1150"/>
    </row>
    <row r="49" spans="1:32" s="1" customFormat="1" ht="28.95" customHeight="1" x14ac:dyDescent="0.3">
      <c r="A49" s="1246" t="s">
        <v>26</v>
      </c>
      <c r="B49" s="1155" t="s">
        <v>26</v>
      </c>
      <c r="C49" s="1155" t="s">
        <v>26</v>
      </c>
      <c r="D49" s="1156" t="s">
        <v>26</v>
      </c>
      <c r="E49" s="1148" t="s">
        <v>27</v>
      </c>
      <c r="F49" s="1149" t="s">
        <v>208</v>
      </c>
      <c r="G49" s="1149" t="s">
        <v>208</v>
      </c>
      <c r="H49" s="1149" t="s">
        <v>208</v>
      </c>
      <c r="I49" s="1149" t="s">
        <v>208</v>
      </c>
      <c r="J49" s="1149" t="s">
        <v>208</v>
      </c>
      <c r="K49" s="1149" t="s">
        <v>208</v>
      </c>
      <c r="L49" s="1149" t="s">
        <v>208</v>
      </c>
      <c r="M49" s="1149" t="s">
        <v>208</v>
      </c>
      <c r="N49" s="1149" t="s">
        <v>208</v>
      </c>
      <c r="O49" s="1149" t="s">
        <v>208</v>
      </c>
      <c r="P49" s="1150" t="s">
        <v>208</v>
      </c>
      <c r="Q49" s="2873">
        <f>'Master EUL'!X22</f>
        <v>5</v>
      </c>
      <c r="R49" s="2874" t="s">
        <v>503</v>
      </c>
      <c r="S49" s="2874" t="s">
        <v>503</v>
      </c>
      <c r="T49" s="2875" t="s">
        <v>503</v>
      </c>
      <c r="U49" s="1243" t="s">
        <v>38</v>
      </c>
      <c r="V49" s="1244"/>
      <c r="W49" s="1245"/>
      <c r="X49" s="1148"/>
      <c r="Y49" s="1149"/>
      <c r="Z49" s="1149"/>
      <c r="AA49" s="1149"/>
      <c r="AB49" s="1149"/>
      <c r="AC49" s="1149"/>
      <c r="AD49" s="1149"/>
      <c r="AE49" s="1149"/>
      <c r="AF49" s="1150"/>
    </row>
    <row r="50" spans="1:32" x14ac:dyDescent="0.3">
      <c r="A50" s="1951" t="s">
        <v>342</v>
      </c>
      <c r="B50" s="1951"/>
      <c r="C50" s="2838" t="s">
        <v>2840</v>
      </c>
      <c r="D50" s="2838"/>
      <c r="E50" s="2838"/>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row>
    <row r="53" spans="1:32" s="1" customFormat="1" x14ac:dyDescent="0.3">
      <c r="A53" s="1141" t="s">
        <v>14</v>
      </c>
      <c r="B53" s="1141"/>
      <c r="C53" s="1141"/>
      <c r="D53" s="1141"/>
      <c r="E53" s="1141"/>
      <c r="F53" s="1141"/>
      <c r="G53" s="1141"/>
      <c r="H53" s="1141"/>
      <c r="I53" s="1141"/>
      <c r="J53" s="1141"/>
      <c r="K53" s="1141"/>
      <c r="L53" s="1141"/>
      <c r="M53" s="1141"/>
      <c r="N53" s="1141"/>
      <c r="O53" s="1141"/>
      <c r="P53" s="1141"/>
      <c r="Q53" s="1141"/>
      <c r="R53" s="1141"/>
      <c r="S53" s="1141"/>
      <c r="T53" s="1141"/>
      <c r="U53" s="1141"/>
      <c r="V53" s="1141"/>
      <c r="W53" s="1141"/>
      <c r="X53" s="1141"/>
      <c r="Y53" s="1141"/>
      <c r="Z53" s="1141"/>
      <c r="AA53" s="1141"/>
      <c r="AB53" s="1141"/>
      <c r="AC53" s="1141"/>
      <c r="AD53" s="1141"/>
      <c r="AE53" s="1141"/>
      <c r="AF53" s="1141"/>
    </row>
    <row r="54" spans="1:32" s="1" customFormat="1" ht="15" thickBot="1" x14ac:dyDescent="0.3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3">
      <c r="A55" s="1252" t="s">
        <v>15</v>
      </c>
      <c r="B55" s="1253"/>
      <c r="C55" s="1253"/>
      <c r="D55" s="1253"/>
      <c r="E55" s="1253"/>
      <c r="F55" s="1253"/>
      <c r="G55" s="1253"/>
      <c r="H55" s="1253"/>
      <c r="I55" s="1253" t="s">
        <v>16</v>
      </c>
      <c r="J55" s="1253"/>
      <c r="K55" s="1253"/>
      <c r="L55" s="1253"/>
      <c r="M55" s="1253"/>
      <c r="N55" s="1253"/>
      <c r="O55" s="1253"/>
      <c r="P55" s="1253"/>
      <c r="Q55" s="1253" t="s">
        <v>17</v>
      </c>
      <c r="R55" s="1253"/>
      <c r="S55" s="1253"/>
      <c r="T55" s="1253"/>
      <c r="U55" s="1253"/>
      <c r="V55" s="1253"/>
      <c r="W55" s="1253"/>
      <c r="X55" s="1254"/>
    </row>
    <row r="56" spans="1:32" s="1" customFormat="1" ht="14.4" customHeight="1" thickBot="1" x14ac:dyDescent="0.35">
      <c r="A56" s="2895" t="s">
        <v>1073</v>
      </c>
      <c r="B56" s="2896"/>
      <c r="C56" s="2896"/>
      <c r="D56" s="2896"/>
      <c r="E56" s="2896"/>
      <c r="F56" s="2896"/>
      <c r="G56" s="2896"/>
      <c r="H56" s="2897"/>
      <c r="I56" s="2890">
        <f>ROUND((Q$33*(Q$36-Q$37)+Q$34*(Q$38-Q$39)+Q$35*(Q$40-Q$41)+((Q$42-Q$43)*Q$47))*Q$44,3)</f>
        <v>0.01</v>
      </c>
      <c r="J56" s="2891"/>
      <c r="K56" s="2891"/>
      <c r="L56" s="2891"/>
      <c r="M56" s="2891"/>
      <c r="N56" s="2891"/>
      <c r="O56" s="2891"/>
      <c r="P56" s="2892"/>
      <c r="Q56" s="2812">
        <f>ROUND((Q$33*(Q$36-Q$37)+Q$34*(Q$38-Q$39)+Q$35*(Q$40-Q$41))*Q$45+((Q$42-Q$43)*Q$48*Q$46),2)</f>
        <v>65.010000000000005</v>
      </c>
      <c r="R56" s="2893"/>
      <c r="S56" s="2893"/>
      <c r="T56" s="2893"/>
      <c r="U56" s="2893"/>
      <c r="V56" s="2893"/>
      <c r="W56" s="2893"/>
      <c r="X56" s="2894"/>
      <c r="Y56" s="10"/>
      <c r="Z56" s="10"/>
      <c r="AA56" s="10"/>
      <c r="AB56" s="10"/>
      <c r="AC56" s="10"/>
      <c r="AD56" s="10"/>
      <c r="AE56" s="10"/>
      <c r="AF56" s="10"/>
    </row>
    <row r="57" spans="1:32" ht="14.4" customHeight="1" x14ac:dyDescent="0.3">
      <c r="A57" s="26"/>
      <c r="H57" s="26"/>
    </row>
    <row r="58" spans="1:32" ht="57.6" customHeight="1" x14ac:dyDescent="0.3">
      <c r="A58" s="2898" t="s">
        <v>861</v>
      </c>
      <c r="B58" s="2898"/>
      <c r="C58" s="2898"/>
      <c r="D58" s="2898"/>
      <c r="E58" s="2898"/>
      <c r="F58" s="2898"/>
      <c r="G58" s="2898"/>
      <c r="H58" s="2898"/>
      <c r="I58" s="2898"/>
      <c r="J58" s="2898"/>
      <c r="K58" s="2898"/>
      <c r="L58" s="2898"/>
      <c r="M58" s="2898"/>
      <c r="N58" s="2898"/>
      <c r="O58" s="2898"/>
      <c r="P58" s="2898"/>
      <c r="Q58" s="2898"/>
      <c r="R58" s="2898"/>
      <c r="S58" s="2898"/>
      <c r="T58" s="2898"/>
      <c r="U58" s="2898"/>
      <c r="V58" s="2898"/>
      <c r="W58" s="2898"/>
      <c r="X58" s="2898"/>
      <c r="Y58" s="2898"/>
      <c r="Z58" s="2898"/>
      <c r="AA58" s="2898"/>
      <c r="AB58" s="2898"/>
      <c r="AC58" s="2898"/>
      <c r="AD58" s="2898"/>
      <c r="AE58" s="2898"/>
      <c r="AF58" s="2898"/>
    </row>
  </sheetData>
  <sheetProtection algorithmName="SHA-512" hashValue="+YjgSZPjg77nYsMGuwmtkDoH20ogcVEt+ALZQaG4uQzCQYmkqGACgaUxPfb1bvJCaJvI/ywbCNKqQBPthFRs5g==" saltValue="Ypx5aa0E+GAF9u+TlfLlzw==" spinCount="100000" sheet="1" objects="1" scenarios="1"/>
  <mergeCells count="119">
    <mergeCell ref="A50:B50"/>
    <mergeCell ref="C50:AF50"/>
    <mergeCell ref="A53:AF53"/>
    <mergeCell ref="A55:H55"/>
    <mergeCell ref="I55:P55"/>
    <mergeCell ref="Q55:X55"/>
    <mergeCell ref="A49:D49"/>
    <mergeCell ref="E49:P49"/>
    <mergeCell ref="Q49:T49"/>
    <mergeCell ref="U49:W49"/>
    <mergeCell ref="X49:AF49"/>
    <mergeCell ref="A48:D48"/>
    <mergeCell ref="E48:P48"/>
    <mergeCell ref="Q48:T48"/>
    <mergeCell ref="U48:W48"/>
    <mergeCell ref="X48:AF48"/>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A43:D43"/>
    <mergeCell ref="E43:P43"/>
    <mergeCell ref="Q43:T43"/>
    <mergeCell ref="U43:W43"/>
    <mergeCell ref="X43:AF43"/>
    <mergeCell ref="A42:D42"/>
    <mergeCell ref="E42:P42"/>
    <mergeCell ref="Q42:T42"/>
    <mergeCell ref="U42:W42"/>
    <mergeCell ref="X42:AF42"/>
    <mergeCell ref="A41:D41"/>
    <mergeCell ref="E41:P41"/>
    <mergeCell ref="Q41:T41"/>
    <mergeCell ref="U41:W41"/>
    <mergeCell ref="X41:AF41"/>
    <mergeCell ref="A40:D40"/>
    <mergeCell ref="E40:P40"/>
    <mergeCell ref="Q40:T40"/>
    <mergeCell ref="U40:W40"/>
    <mergeCell ref="X40:AF40"/>
    <mergeCell ref="A39:D39"/>
    <mergeCell ref="E39:P39"/>
    <mergeCell ref="Q39:T39"/>
    <mergeCell ref="U39:W39"/>
    <mergeCell ref="X39:AF39"/>
    <mergeCell ref="A38:D38"/>
    <mergeCell ref="E38:P38"/>
    <mergeCell ref="Q38:T38"/>
    <mergeCell ref="U38:W38"/>
    <mergeCell ref="X38:AF38"/>
    <mergeCell ref="A37:D37"/>
    <mergeCell ref="E37:P37"/>
    <mergeCell ref="Q37:T37"/>
    <mergeCell ref="U37:W37"/>
    <mergeCell ref="X37:AF37"/>
    <mergeCell ref="E35:P35"/>
    <mergeCell ref="Q35:T35"/>
    <mergeCell ref="U35:W35"/>
    <mergeCell ref="X35:AF35"/>
    <mergeCell ref="A34:D34"/>
    <mergeCell ref="E34:P34"/>
    <mergeCell ref="Q34:T34"/>
    <mergeCell ref="U34:W34"/>
    <mergeCell ref="X34:AF34"/>
    <mergeCell ref="A1:AF1"/>
    <mergeCell ref="A28:H28"/>
    <mergeCell ref="I28:AF28"/>
    <mergeCell ref="B19:AF19"/>
    <mergeCell ref="B22:AF22"/>
    <mergeCell ref="A25:AF25"/>
    <mergeCell ref="A27:H27"/>
    <mergeCell ref="I27:AF27"/>
    <mergeCell ref="B12:I12"/>
    <mergeCell ref="B13:AF13"/>
    <mergeCell ref="B15:I15"/>
    <mergeCell ref="B16:AF16"/>
    <mergeCell ref="B18:I18"/>
    <mergeCell ref="A3:AF3"/>
    <mergeCell ref="B5:AF5"/>
    <mergeCell ref="I56:P56"/>
    <mergeCell ref="Q56:X56"/>
    <mergeCell ref="A56:H56"/>
    <mergeCell ref="A58:AF58"/>
    <mergeCell ref="A7:AF7"/>
    <mergeCell ref="B9:I9"/>
    <mergeCell ref="B10:AF10"/>
    <mergeCell ref="A33:D33"/>
    <mergeCell ref="E33:P33"/>
    <mergeCell ref="Q33:T33"/>
    <mergeCell ref="A36:D36"/>
    <mergeCell ref="E36:P36"/>
    <mergeCell ref="Q36:T36"/>
    <mergeCell ref="U36:W36"/>
    <mergeCell ref="X36:AF36"/>
    <mergeCell ref="U33:W33"/>
    <mergeCell ref="X33:AF33"/>
    <mergeCell ref="A31:AF31"/>
    <mergeCell ref="A32:D32"/>
    <mergeCell ref="E32:P32"/>
    <mergeCell ref="Q32:T32"/>
    <mergeCell ref="U32:W32"/>
    <mergeCell ref="X32:AF32"/>
    <mergeCell ref="A35:D35"/>
  </mergeCells>
  <hyperlinks>
    <hyperlink ref="A2" location="TOC!A1" display="Return to TOC" xr:uid="{00000000-0004-0000-51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6">
    <tabColor theme="7" tint="0.79998168889431442"/>
    <pageSetUpPr autoPageBreaks="0"/>
  </sheetPr>
  <dimension ref="A1:AF88"/>
  <sheetViews>
    <sheetView workbookViewId="0">
      <selection activeCell="A2" sqref="A2"/>
    </sheetView>
  </sheetViews>
  <sheetFormatPr defaultColWidth="2.6640625" defaultRowHeight="14.4" x14ac:dyDescent="0.3"/>
  <sheetData>
    <row r="1" spans="1:32" s="1" customFormat="1" ht="18.600000000000001" thickBot="1" x14ac:dyDescent="0.35">
      <c r="A1" s="979" t="s">
        <v>917</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s="121" customFormat="1" ht="14.4" customHeight="1" x14ac:dyDescent="0.3">
      <c r="A2" s="228" t="s">
        <v>1456</v>
      </c>
      <c r="B2"/>
      <c r="C2"/>
      <c r="D2"/>
      <c r="E2"/>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s="1" customForma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s="1" customForma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s="1" customFormat="1" x14ac:dyDescent="0.3">
      <c r="A5" s="121"/>
      <c r="B5" s="872" t="s">
        <v>5045</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s="4" customForma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3">
      <c r="B9" s="1144" t="s">
        <v>3</v>
      </c>
      <c r="C9" s="1144"/>
      <c r="D9" s="1144"/>
      <c r="E9" s="1144"/>
      <c r="F9" s="1144"/>
      <c r="G9" s="1144"/>
      <c r="H9" s="1144"/>
      <c r="I9" s="1144"/>
    </row>
    <row r="10" spans="1:32" s="1" customFormat="1" ht="123.75" customHeight="1" x14ac:dyDescent="0.3">
      <c r="A10" s="4"/>
      <c r="B10" s="953" t="s">
        <v>5295</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1" spans="1:32" s="1" customFormat="1" x14ac:dyDescent="0.3">
      <c r="A11" s="4"/>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row>
    <row r="12" spans="1:32" s="1" customFormat="1" ht="46.5" customHeight="1" x14ac:dyDescent="0.3">
      <c r="A12" s="4"/>
      <c r="B12" s="953" t="s">
        <v>5296</v>
      </c>
      <c r="C12" s="953"/>
      <c r="D12" s="953"/>
      <c r="E12" s="953"/>
      <c r="F12" s="953"/>
      <c r="G12" s="953"/>
      <c r="H12" s="953"/>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row>
    <row r="13" spans="1:32" s="1" customFormat="1" x14ac:dyDescent="0.3"/>
    <row r="14" spans="1:32" s="1" customFormat="1" x14ac:dyDescent="0.3">
      <c r="B14" s="1144" t="s">
        <v>4</v>
      </c>
      <c r="C14" s="1144"/>
      <c r="D14" s="1144"/>
      <c r="E14" s="1144"/>
      <c r="F14" s="1144"/>
      <c r="G14" s="1144"/>
      <c r="H14" s="1144"/>
      <c r="I14" s="1144"/>
    </row>
    <row r="15" spans="1:32" s="1" customFormat="1" ht="15" customHeight="1" x14ac:dyDescent="0.3">
      <c r="B15" s="1142" t="s">
        <v>5297</v>
      </c>
      <c r="C15" s="1142"/>
      <c r="D15" s="1142"/>
      <c r="E15" s="1142"/>
      <c r="F15" s="1142"/>
      <c r="G15" s="1142"/>
      <c r="H15" s="1142"/>
      <c r="I15" s="1142"/>
      <c r="J15" s="1142"/>
      <c r="K15" s="1142"/>
      <c r="L15" s="1142"/>
      <c r="M15" s="1142"/>
      <c r="N15" s="1142"/>
      <c r="O15" s="1142"/>
      <c r="P15" s="1142"/>
      <c r="Q15" s="1142"/>
      <c r="R15" s="1142"/>
      <c r="S15" s="1142"/>
      <c r="T15" s="1142"/>
      <c r="U15" s="1142"/>
      <c r="V15" s="1142"/>
      <c r="W15" s="1142"/>
      <c r="X15" s="1142"/>
      <c r="Y15" s="1142"/>
      <c r="Z15" s="1142"/>
      <c r="AA15" s="1142"/>
      <c r="AB15" s="1142"/>
      <c r="AC15" s="1142"/>
      <c r="AD15" s="1142"/>
      <c r="AE15" s="1142"/>
      <c r="AF15" s="1142"/>
    </row>
    <row r="16" spans="1:32" s="1" customFormat="1" x14ac:dyDescent="0.3"/>
    <row r="17" spans="1:32" s="1" customFormat="1" x14ac:dyDescent="0.3">
      <c r="B17" s="1144" t="s">
        <v>5</v>
      </c>
      <c r="C17" s="1144"/>
      <c r="D17" s="1144"/>
      <c r="E17" s="1144"/>
      <c r="F17" s="1144"/>
      <c r="G17" s="1144"/>
      <c r="H17" s="1144"/>
      <c r="I17" s="1144"/>
    </row>
    <row r="18" spans="1:32" s="1" customFormat="1" ht="15" customHeight="1" x14ac:dyDescent="0.3">
      <c r="B18" s="1142" t="s">
        <v>920</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19" spans="1:32" s="1" customFormat="1" x14ac:dyDescent="0.3"/>
    <row r="20" spans="1:32" s="1" customFormat="1" x14ac:dyDescent="0.3">
      <c r="B20" s="1144" t="s">
        <v>6</v>
      </c>
      <c r="C20" s="1144"/>
      <c r="D20" s="1144"/>
      <c r="E20" s="1144"/>
      <c r="F20" s="1144"/>
      <c r="G20" s="1144"/>
      <c r="H20" s="1144"/>
      <c r="I20" s="1144"/>
    </row>
    <row r="21" spans="1:32" s="1" customFormat="1" x14ac:dyDescent="0.3">
      <c r="B21" s="872" t="s">
        <v>5298</v>
      </c>
      <c r="C21" s="1142"/>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row>
    <row r="22" spans="1:32" s="1" customFormat="1" x14ac:dyDescent="0.3"/>
    <row r="23" spans="1:32" s="1" customFormat="1" x14ac:dyDescent="0.3">
      <c r="B23" s="51" t="s">
        <v>13</v>
      </c>
      <c r="C23" s="51"/>
      <c r="D23" s="51"/>
      <c r="E23" s="51"/>
      <c r="F23" s="51"/>
      <c r="G23" s="51"/>
      <c r="H23" s="51"/>
      <c r="I23" s="51"/>
    </row>
    <row r="24" spans="1:32" s="1" customFormat="1" x14ac:dyDescent="0.3">
      <c r="B24" s="872" t="s">
        <v>5299</v>
      </c>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c r="AE24" s="1142"/>
      <c r="AF24" s="1142"/>
    </row>
    <row r="25" spans="1:32" s="1" customFormat="1" x14ac:dyDescent="0.3"/>
    <row r="26" spans="1:32" s="1" customFormat="1" x14ac:dyDescent="0.3"/>
    <row r="27" spans="1:32" s="1" customFormat="1" x14ac:dyDescent="0.3">
      <c r="A27" s="1141" t="s">
        <v>7</v>
      </c>
      <c r="B27" s="1141"/>
      <c r="C27" s="1141"/>
      <c r="D27" s="1141"/>
      <c r="E27" s="1141"/>
      <c r="F27" s="1141"/>
      <c r="G27" s="1141"/>
      <c r="H27" s="1141"/>
      <c r="I27" s="1141"/>
      <c r="J27" s="1141"/>
      <c r="K27" s="1141"/>
      <c r="L27" s="1141"/>
      <c r="M27" s="1141"/>
      <c r="N27" s="1141"/>
      <c r="O27" s="1141"/>
      <c r="P27" s="1141"/>
      <c r="Q27" s="1141"/>
      <c r="R27" s="1141"/>
      <c r="S27" s="1141"/>
      <c r="T27" s="1141"/>
      <c r="U27" s="1141"/>
      <c r="V27" s="1141"/>
      <c r="W27" s="1141"/>
      <c r="X27" s="1141"/>
      <c r="Y27" s="1141"/>
      <c r="Z27" s="1141"/>
      <c r="AA27" s="1141"/>
      <c r="AB27" s="1141"/>
      <c r="AC27" s="1141"/>
      <c r="AD27" s="1141"/>
      <c r="AE27" s="1141"/>
      <c r="AF27" s="1141"/>
    </row>
    <row r="28" spans="1:32" s="1" customFormat="1" x14ac:dyDescent="0.3"/>
    <row r="29" spans="1:32" s="1" customFormat="1" ht="14.4" customHeight="1" x14ac:dyDescent="0.3">
      <c r="A29"/>
      <c r="B29" s="231" t="s">
        <v>2137</v>
      </c>
      <c r="C29" s="40"/>
      <c r="D29"/>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169"/>
    </row>
    <row r="30" spans="1:32" s="1" customFormat="1" ht="14.4" customHeight="1" x14ac:dyDescent="0.3">
      <c r="A30" s="40"/>
      <c r="B30" s="40"/>
      <c r="C30" s="40"/>
      <c r="D3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s="1" customFormat="1" ht="14.4" customHeight="1" x14ac:dyDescent="0.3">
      <c r="A31" s="40"/>
      <c r="B31" s="40"/>
      <c r="C31" s="40"/>
      <c r="D31"/>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96" t="s">
        <v>1463</v>
      </c>
    </row>
    <row r="32" spans="1:32" s="1" customFormat="1" ht="14.4" customHeight="1" x14ac:dyDescent="0.3">
      <c r="A32" s="40"/>
      <c r="B32" s="40"/>
      <c r="C32" s="40"/>
      <c r="D32"/>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69"/>
    </row>
    <row r="33" spans="1:32" s="1" customFormat="1" ht="14.4" customHeight="1" x14ac:dyDescent="0.3">
      <c r="A33"/>
      <c r="B33" s="372" t="s">
        <v>2027</v>
      </c>
      <c r="D33"/>
      <c r="AF33" s="121"/>
    </row>
    <row r="34" spans="1:32" s="1" customFormat="1" ht="14.4" customHeight="1" x14ac:dyDescent="0.3">
      <c r="A34"/>
      <c r="B34" s="372"/>
      <c r="D34"/>
      <c r="AF34" s="121"/>
    </row>
    <row r="35" spans="1:32" s="1" customFormat="1" ht="14.4" customHeight="1" x14ac:dyDescent="0.3">
      <c r="A35"/>
      <c r="B35" s="372"/>
      <c r="D35"/>
      <c r="AF35" s="121"/>
    </row>
    <row r="36" spans="1:32" s="1" customFormat="1" ht="14.4" customHeight="1" x14ac:dyDescent="0.3">
      <c r="A36"/>
      <c r="B36" s="372"/>
      <c r="D36"/>
      <c r="AF36" s="272" t="s">
        <v>1464</v>
      </c>
    </row>
    <row r="37" spans="1:32" x14ac:dyDescent="0.3">
      <c r="B37" s="372"/>
      <c r="C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21"/>
    </row>
    <row r="38" spans="1:32" x14ac:dyDescent="0.3">
      <c r="B38" s="372"/>
      <c r="C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21"/>
    </row>
    <row r="39" spans="1:32" x14ac:dyDescent="0.3">
      <c r="B39" s="231" t="s">
        <v>1811</v>
      </c>
      <c r="C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169"/>
    </row>
    <row r="40" spans="1:32" x14ac:dyDescent="0.3">
      <c r="A40" s="40"/>
      <c r="B40" s="40"/>
      <c r="C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169"/>
    </row>
    <row r="41" spans="1:32" s="1" customFormat="1" x14ac:dyDescent="0.3">
      <c r="A41" s="40"/>
      <c r="B41" s="162"/>
      <c r="C41" s="40"/>
      <c r="D41"/>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188" t="s">
        <v>1465</v>
      </c>
    </row>
    <row r="42" spans="1:32" x14ac:dyDescent="0.3">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row>
    <row r="43" spans="1:32"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row>
    <row r="44" spans="1:32" x14ac:dyDescent="0.3">
      <c r="A44" s="1141" t="s">
        <v>8</v>
      </c>
      <c r="B44" s="1141"/>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row>
    <row r="45" spans="1:32" x14ac:dyDescent="0.3">
      <c r="A45" s="1143" t="s">
        <v>9</v>
      </c>
      <c r="B45" s="1143"/>
      <c r="C45" s="1143"/>
      <c r="D45" s="1143"/>
      <c r="E45" s="1143" t="s">
        <v>3</v>
      </c>
      <c r="F45" s="1143"/>
      <c r="G45" s="1143"/>
      <c r="H45" s="1143"/>
      <c r="I45" s="1143"/>
      <c r="J45" s="1143"/>
      <c r="K45" s="1143"/>
      <c r="L45" s="1143"/>
      <c r="M45" s="1143"/>
      <c r="N45" s="1143"/>
      <c r="O45" s="1143"/>
      <c r="P45" s="1143" t="s">
        <v>10</v>
      </c>
      <c r="Q45" s="1143"/>
      <c r="R45" s="1143"/>
      <c r="S45" s="1143"/>
      <c r="T45" s="1143" t="s">
        <v>11</v>
      </c>
      <c r="U45" s="1143"/>
      <c r="V45" s="1143"/>
      <c r="W45" s="1143"/>
      <c r="X45" s="1143" t="s">
        <v>2612</v>
      </c>
      <c r="Y45" s="1143"/>
      <c r="Z45" s="1143"/>
      <c r="AA45" s="1143"/>
      <c r="AB45" s="1143"/>
      <c r="AC45" s="1143"/>
      <c r="AD45" s="1143"/>
      <c r="AE45" s="1143"/>
      <c r="AF45" s="1143"/>
    </row>
    <row r="46" spans="1:32" ht="33.75" customHeight="1" x14ac:dyDescent="0.3">
      <c r="A46" s="2208" t="s">
        <v>1254</v>
      </c>
      <c r="B46" s="855"/>
      <c r="C46" s="855"/>
      <c r="D46" s="855"/>
      <c r="E46" s="856" t="s">
        <v>2613</v>
      </c>
      <c r="F46" s="856"/>
      <c r="G46" s="856"/>
      <c r="H46" s="856"/>
      <c r="I46" s="856"/>
      <c r="J46" s="856"/>
      <c r="K46" s="856"/>
      <c r="L46" s="856"/>
      <c r="M46" s="856"/>
      <c r="N46" s="856"/>
      <c r="O46" s="856"/>
      <c r="P46" s="1586">
        <v>0</v>
      </c>
      <c r="Q46" s="1586"/>
      <c r="R46" s="1586"/>
      <c r="S46" s="1586"/>
      <c r="T46" s="1275" t="s">
        <v>18</v>
      </c>
      <c r="U46" s="1275"/>
      <c r="V46" s="1275"/>
      <c r="W46" s="1275"/>
      <c r="X46" s="854" t="s">
        <v>5300</v>
      </c>
      <c r="Y46" s="854"/>
      <c r="Z46" s="854"/>
      <c r="AA46" s="854"/>
      <c r="AB46" s="854"/>
      <c r="AC46" s="854"/>
      <c r="AD46" s="854"/>
      <c r="AE46" s="854"/>
      <c r="AF46" s="854"/>
    </row>
    <row r="47" spans="1:32" ht="65.25" customHeight="1" x14ac:dyDescent="0.3">
      <c r="A47" s="855" t="s">
        <v>1395</v>
      </c>
      <c r="B47" s="855" t="s">
        <v>799</v>
      </c>
      <c r="C47" s="855" t="s">
        <v>799</v>
      </c>
      <c r="D47" s="855" t="s">
        <v>799</v>
      </c>
      <c r="E47" s="856" t="s">
        <v>5301</v>
      </c>
      <c r="F47" s="856"/>
      <c r="G47" s="856"/>
      <c r="H47" s="856"/>
      <c r="I47" s="856"/>
      <c r="J47" s="856"/>
      <c r="K47" s="856"/>
      <c r="L47" s="856"/>
      <c r="M47" s="856"/>
      <c r="N47" s="856"/>
      <c r="O47" s="856"/>
      <c r="P47" s="2312">
        <f>3.75*12000</f>
        <v>45000</v>
      </c>
      <c r="Q47" s="2312"/>
      <c r="R47" s="2312"/>
      <c r="S47" s="2312"/>
      <c r="T47" s="1275" t="s">
        <v>453</v>
      </c>
      <c r="U47" s="1275"/>
      <c r="V47" s="1275"/>
      <c r="W47" s="1275"/>
      <c r="X47" s="854" t="s">
        <v>5302</v>
      </c>
      <c r="Y47" s="854"/>
      <c r="Z47" s="854"/>
      <c r="AA47" s="854"/>
      <c r="AB47" s="854"/>
      <c r="AC47" s="854"/>
      <c r="AD47" s="854"/>
      <c r="AE47" s="854"/>
      <c r="AF47" s="854"/>
    </row>
    <row r="48" spans="1:32" ht="129.75" customHeight="1" x14ac:dyDescent="0.3">
      <c r="A48" s="1154" t="s">
        <v>5303</v>
      </c>
      <c r="B48" s="1155"/>
      <c r="C48" s="1155"/>
      <c r="D48" s="1156"/>
      <c r="E48" s="856" t="s">
        <v>3948</v>
      </c>
      <c r="F48" s="856"/>
      <c r="G48" s="856"/>
      <c r="H48" s="856"/>
      <c r="I48" s="856"/>
      <c r="J48" s="856"/>
      <c r="K48" s="856"/>
      <c r="L48" s="856"/>
      <c r="M48" s="856"/>
      <c r="N48" s="856"/>
      <c r="O48" s="856"/>
      <c r="P48" s="2312">
        <v>1884</v>
      </c>
      <c r="Q48" s="2312"/>
      <c r="R48" s="2312"/>
      <c r="S48" s="2312"/>
      <c r="T48" s="1275" t="s">
        <v>37</v>
      </c>
      <c r="U48" s="1275"/>
      <c r="V48" s="1275"/>
      <c r="W48" s="1275"/>
      <c r="X48" s="1794" t="s">
        <v>5304</v>
      </c>
      <c r="Y48" s="1795"/>
      <c r="Z48" s="1795"/>
      <c r="AA48" s="1795"/>
      <c r="AB48" s="1795"/>
      <c r="AC48" s="1795"/>
      <c r="AD48" s="1795"/>
      <c r="AE48" s="1795"/>
      <c r="AF48" s="1796"/>
    </row>
    <row r="49" spans="1:32" ht="30" customHeight="1" x14ac:dyDescent="0.3">
      <c r="A49" s="2506" t="s">
        <v>1396</v>
      </c>
      <c r="B49" s="2507" t="s">
        <v>796</v>
      </c>
      <c r="C49" s="2507" t="s">
        <v>796</v>
      </c>
      <c r="D49" s="2508" t="s">
        <v>796</v>
      </c>
      <c r="E49" s="856" t="s">
        <v>5305</v>
      </c>
      <c r="F49" s="856"/>
      <c r="G49" s="856"/>
      <c r="H49" s="856"/>
      <c r="I49" s="856"/>
      <c r="J49" s="856"/>
      <c r="K49" s="856"/>
      <c r="L49" s="856"/>
      <c r="M49" s="856"/>
      <c r="N49" s="856"/>
      <c r="O49" s="856"/>
      <c r="P49" s="1586">
        <v>0.05</v>
      </c>
      <c r="Q49" s="1586">
        <v>0.02</v>
      </c>
      <c r="R49" s="1586">
        <v>0.02</v>
      </c>
      <c r="S49" s="1586">
        <v>0.02</v>
      </c>
      <c r="T49" s="1275" t="s">
        <v>20</v>
      </c>
      <c r="U49" s="1275"/>
      <c r="V49" s="1275"/>
      <c r="W49" s="1275"/>
      <c r="X49" s="2506" t="s">
        <v>5306</v>
      </c>
      <c r="Y49" s="2507"/>
      <c r="Z49" s="2507"/>
      <c r="AA49" s="2507"/>
      <c r="AB49" s="2507"/>
      <c r="AC49" s="2507"/>
      <c r="AD49" s="2507"/>
      <c r="AE49" s="2507"/>
      <c r="AF49" s="2508"/>
    </row>
    <row r="50" spans="1:32" ht="31.5" customHeight="1" x14ac:dyDescent="0.3">
      <c r="A50" s="2509"/>
      <c r="B50" s="2510"/>
      <c r="C50" s="2510"/>
      <c r="D50" s="2511"/>
      <c r="E50" s="856" t="s">
        <v>5307</v>
      </c>
      <c r="F50" s="856"/>
      <c r="G50" s="856"/>
      <c r="H50" s="856"/>
      <c r="I50" s="856"/>
      <c r="J50" s="856"/>
      <c r="K50" s="856"/>
      <c r="L50" s="856"/>
      <c r="M50" s="856"/>
      <c r="N50" s="856"/>
      <c r="O50" s="856"/>
      <c r="P50" s="1151">
        <v>0.11</v>
      </c>
      <c r="Q50" s="1152"/>
      <c r="R50" s="1152"/>
      <c r="S50" s="1153"/>
      <c r="T50" s="1275" t="s">
        <v>20</v>
      </c>
      <c r="U50" s="1275"/>
      <c r="V50" s="1275"/>
      <c r="W50" s="1275"/>
      <c r="X50" s="2509"/>
      <c r="Y50" s="2510"/>
      <c r="Z50" s="2510"/>
      <c r="AA50" s="2510"/>
      <c r="AB50" s="2510"/>
      <c r="AC50" s="2510"/>
      <c r="AD50" s="2510"/>
      <c r="AE50" s="2510"/>
      <c r="AF50" s="2511"/>
    </row>
    <row r="51" spans="1:32" ht="16.2" x14ac:dyDescent="0.3">
      <c r="A51" s="855" t="s">
        <v>1522</v>
      </c>
      <c r="B51" s="855" t="s">
        <v>34</v>
      </c>
      <c r="C51" s="855" t="s">
        <v>34</v>
      </c>
      <c r="D51" s="855" t="s">
        <v>34</v>
      </c>
      <c r="E51" s="856" t="s">
        <v>1523</v>
      </c>
      <c r="F51" s="856"/>
      <c r="G51" s="856"/>
      <c r="H51" s="856"/>
      <c r="I51" s="856"/>
      <c r="J51" s="856"/>
      <c r="K51" s="856"/>
      <c r="L51" s="856"/>
      <c r="M51" s="856"/>
      <c r="N51" s="856"/>
      <c r="O51" s="856"/>
      <c r="P51" s="1586">
        <v>0.9</v>
      </c>
      <c r="Q51" s="1586">
        <v>1</v>
      </c>
      <c r="R51" s="1586">
        <v>1</v>
      </c>
      <c r="S51" s="1586">
        <v>1</v>
      </c>
      <c r="T51" s="1275" t="s">
        <v>20</v>
      </c>
      <c r="U51" s="1275"/>
      <c r="V51" s="1275"/>
      <c r="W51" s="1275"/>
      <c r="X51" s="855" t="s">
        <v>5308</v>
      </c>
      <c r="Y51" s="855"/>
      <c r="Z51" s="855"/>
      <c r="AA51" s="855"/>
      <c r="AB51" s="855"/>
      <c r="AC51" s="855"/>
      <c r="AD51" s="855"/>
      <c r="AE51" s="855"/>
      <c r="AF51" s="855"/>
    </row>
    <row r="52" spans="1:32" ht="45" customHeight="1" x14ac:dyDescent="0.3">
      <c r="A52" s="855" t="s">
        <v>798</v>
      </c>
      <c r="B52" s="855" t="s">
        <v>798</v>
      </c>
      <c r="C52" s="855" t="s">
        <v>798</v>
      </c>
      <c r="D52" s="855" t="s">
        <v>798</v>
      </c>
      <c r="E52" s="856" t="s">
        <v>797</v>
      </c>
      <c r="F52" s="856"/>
      <c r="G52" s="856"/>
      <c r="H52" s="856"/>
      <c r="I52" s="856"/>
      <c r="J52" s="856"/>
      <c r="K52" s="856"/>
      <c r="L52" s="856"/>
      <c r="M52" s="856"/>
      <c r="N52" s="856"/>
      <c r="O52" s="856"/>
      <c r="P52" s="1586">
        <v>13.9</v>
      </c>
      <c r="Q52" s="1586">
        <v>11.9</v>
      </c>
      <c r="R52" s="1586">
        <v>11.9</v>
      </c>
      <c r="S52" s="1586">
        <v>11.9</v>
      </c>
      <c r="T52" s="1275" t="s">
        <v>849</v>
      </c>
      <c r="U52" s="1275"/>
      <c r="V52" s="1275"/>
      <c r="W52" s="1275"/>
      <c r="X52" s="856" t="s">
        <v>5309</v>
      </c>
      <c r="Y52" s="856"/>
      <c r="Z52" s="856"/>
      <c r="AA52" s="856"/>
      <c r="AB52" s="856"/>
      <c r="AC52" s="856"/>
      <c r="AD52" s="856"/>
      <c r="AE52" s="856"/>
      <c r="AF52" s="856"/>
    </row>
    <row r="53" spans="1:32" ht="18" customHeight="1" x14ac:dyDescent="0.3">
      <c r="A53" s="855" t="s">
        <v>1869</v>
      </c>
      <c r="B53" s="855" t="s">
        <v>794</v>
      </c>
      <c r="C53" s="855" t="s">
        <v>794</v>
      </c>
      <c r="D53" s="855" t="s">
        <v>794</v>
      </c>
      <c r="E53" s="856" t="s">
        <v>2050</v>
      </c>
      <c r="F53" s="856"/>
      <c r="G53" s="856"/>
      <c r="H53" s="856"/>
      <c r="I53" s="856"/>
      <c r="J53" s="856"/>
      <c r="K53" s="856"/>
      <c r="L53" s="856"/>
      <c r="M53" s="856"/>
      <c r="N53" s="856"/>
      <c r="O53" s="856"/>
      <c r="P53" s="1586">
        <f>'Master EUL'!X60</f>
        <v>7</v>
      </c>
      <c r="Q53" s="1586">
        <v>11</v>
      </c>
      <c r="R53" s="1586">
        <v>11</v>
      </c>
      <c r="S53" s="1586">
        <v>11</v>
      </c>
      <c r="T53" s="1275" t="s">
        <v>38</v>
      </c>
      <c r="U53" s="1275"/>
      <c r="V53" s="1275"/>
      <c r="W53" s="1275"/>
      <c r="X53" s="856" t="s">
        <v>5310</v>
      </c>
      <c r="Y53" s="856"/>
      <c r="Z53" s="856"/>
      <c r="AA53" s="856"/>
      <c r="AB53" s="856"/>
      <c r="AC53" s="856"/>
      <c r="AD53" s="856"/>
      <c r="AE53" s="856"/>
      <c r="AF53" s="856"/>
    </row>
    <row r="54" spans="1:32" ht="38.25" customHeight="1" x14ac:dyDescent="0.3">
      <c r="A54" s="2925" t="s">
        <v>5311</v>
      </c>
      <c r="B54" s="2925"/>
      <c r="C54" s="2925"/>
      <c r="D54" s="2925"/>
      <c r="E54" s="2925"/>
      <c r="F54" s="2925"/>
      <c r="G54" s="2925"/>
      <c r="H54" s="2925"/>
      <c r="I54" s="2925"/>
      <c r="J54" s="2925"/>
      <c r="K54" s="2925"/>
      <c r="L54" s="2925"/>
      <c r="M54" s="2925"/>
      <c r="N54" s="2925"/>
      <c r="O54" s="2925"/>
      <c r="P54" s="2925"/>
      <c r="Q54" s="2925"/>
      <c r="R54" s="2925"/>
      <c r="S54" s="2925"/>
      <c r="T54" s="2925"/>
      <c r="U54" s="2925"/>
      <c r="V54" s="2925"/>
      <c r="W54" s="2925"/>
      <c r="X54" s="2925"/>
      <c r="Y54" s="2925"/>
      <c r="Z54" s="2925"/>
      <c r="AA54" s="2925"/>
      <c r="AB54" s="2925"/>
      <c r="AC54" s="2925"/>
      <c r="AD54" s="2925"/>
      <c r="AE54" s="2925"/>
      <c r="AF54" s="2925"/>
    </row>
    <row r="55" spans="1:32" ht="27.75" customHeight="1" x14ac:dyDescent="0.3">
      <c r="A55" s="948" t="s">
        <v>5312</v>
      </c>
      <c r="B55" s="948"/>
      <c r="C55" s="948"/>
      <c r="D55" s="948"/>
      <c r="E55" s="948"/>
      <c r="F55" s="948"/>
      <c r="G55" s="948"/>
      <c r="H55" s="948"/>
      <c r="I55" s="948"/>
      <c r="J55" s="948"/>
      <c r="K55" s="948"/>
      <c r="L55" s="948"/>
      <c r="M55" s="948"/>
      <c r="N55" s="948"/>
      <c r="O55" s="948"/>
      <c r="P55" s="948"/>
      <c r="Q55" s="948"/>
      <c r="R55" s="948"/>
      <c r="S55" s="948"/>
      <c r="T55" s="948"/>
      <c r="U55" s="948"/>
      <c r="V55" s="948"/>
      <c r="W55" s="948"/>
      <c r="X55" s="948"/>
      <c r="Y55" s="948"/>
      <c r="Z55" s="948"/>
      <c r="AA55" s="948"/>
      <c r="AB55" s="948"/>
      <c r="AC55" s="948"/>
      <c r="AD55" s="948"/>
      <c r="AE55" s="948"/>
      <c r="AF55" s="948"/>
    </row>
    <row r="56" spans="1:32" x14ac:dyDescent="0.3">
      <c r="A56" s="948" t="s">
        <v>5313</v>
      </c>
      <c r="B56" s="948"/>
      <c r="C56" s="948"/>
      <c r="D56" s="948"/>
      <c r="E56" s="948"/>
      <c r="F56" s="948"/>
      <c r="G56" s="948"/>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row>
    <row r="57" spans="1:32" ht="48.75" customHeight="1" x14ac:dyDescent="0.3">
      <c r="A57" s="948" t="s">
        <v>5314</v>
      </c>
      <c r="B57" s="948"/>
      <c r="C57" s="948"/>
      <c r="D57" s="948"/>
      <c r="E57" s="948"/>
      <c r="F57" s="948"/>
      <c r="G57" s="948"/>
      <c r="H57" s="948"/>
      <c r="I57" s="948"/>
      <c r="J57" s="948"/>
      <c r="K57" s="948"/>
      <c r="L57" s="948"/>
      <c r="M57" s="948"/>
      <c r="N57" s="948"/>
      <c r="O57" s="948"/>
      <c r="P57" s="948"/>
      <c r="Q57" s="948"/>
      <c r="R57" s="948"/>
      <c r="S57" s="948"/>
      <c r="T57" s="948"/>
      <c r="U57" s="948"/>
      <c r="V57" s="948"/>
      <c r="W57" s="948"/>
      <c r="X57" s="948"/>
      <c r="Y57" s="948"/>
      <c r="Z57" s="948"/>
      <c r="AA57" s="948"/>
      <c r="AB57" s="948"/>
      <c r="AC57" s="948"/>
      <c r="AD57" s="948"/>
      <c r="AE57" s="948"/>
      <c r="AF57" s="948"/>
    </row>
    <row r="58" spans="1:32" ht="52.5" customHeight="1" x14ac:dyDescent="0.3">
      <c r="A58" s="948" t="s">
        <v>5315</v>
      </c>
      <c r="B58" s="948"/>
      <c r="C58" s="948"/>
      <c r="D58" s="948"/>
      <c r="E58" s="948"/>
      <c r="F58" s="948"/>
      <c r="G58" s="948"/>
      <c r="H58" s="948"/>
      <c r="I58" s="948"/>
      <c r="J58" s="948"/>
      <c r="K58" s="948"/>
      <c r="L58" s="948"/>
      <c r="M58" s="948"/>
      <c r="N58" s="948"/>
      <c r="O58" s="948"/>
      <c r="P58" s="948"/>
      <c r="Q58" s="948"/>
      <c r="R58" s="948"/>
      <c r="S58" s="948"/>
      <c r="T58" s="948"/>
      <c r="U58" s="948"/>
      <c r="V58" s="948"/>
      <c r="W58" s="948"/>
      <c r="X58" s="948"/>
      <c r="Y58" s="948"/>
      <c r="Z58" s="948"/>
      <c r="AA58" s="948"/>
      <c r="AB58" s="948"/>
      <c r="AC58" s="948"/>
      <c r="AD58" s="948"/>
      <c r="AE58" s="948"/>
      <c r="AF58" s="948"/>
    </row>
    <row r="59" spans="1:32" x14ac:dyDescent="0.3">
      <c r="A59" s="948" t="s">
        <v>5316</v>
      </c>
      <c r="B59" s="948"/>
      <c r="C59" s="948"/>
      <c r="D59" s="948"/>
      <c r="E59" s="948"/>
      <c r="F59" s="948"/>
      <c r="G59" s="948"/>
      <c r="H59" s="948"/>
      <c r="I59" s="948"/>
      <c r="J59" s="948"/>
      <c r="K59" s="948"/>
      <c r="L59" s="948"/>
      <c r="M59" s="948"/>
      <c r="N59" s="948"/>
      <c r="O59" s="948"/>
      <c r="P59" s="948"/>
      <c r="Q59" s="948"/>
      <c r="R59" s="948"/>
      <c r="S59" s="948"/>
      <c r="T59" s="948"/>
      <c r="U59" s="948"/>
      <c r="V59" s="948"/>
      <c r="W59" s="948"/>
      <c r="X59" s="948"/>
      <c r="Y59" s="948"/>
      <c r="Z59" s="948"/>
      <c r="AA59" s="948"/>
      <c r="AB59" s="948"/>
      <c r="AC59" s="948"/>
      <c r="AD59" s="948"/>
      <c r="AE59" s="948"/>
      <c r="AF59" s="948"/>
    </row>
    <row r="60" spans="1:32" x14ac:dyDescent="0.3">
      <c r="A60" s="260"/>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row>
    <row r="61" spans="1:32" x14ac:dyDescent="0.3">
      <c r="A61" s="1141" t="s">
        <v>14</v>
      </c>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row>
    <row r="62" spans="1:32" ht="15" thickBot="1" x14ac:dyDescent="0.35"/>
    <row r="63" spans="1:32" x14ac:dyDescent="0.3">
      <c r="A63" s="1252" t="s">
        <v>15</v>
      </c>
      <c r="B63" s="1253"/>
      <c r="C63" s="1253"/>
      <c r="D63" s="1253"/>
      <c r="E63" s="1253"/>
      <c r="F63" s="1253"/>
      <c r="G63" s="1253"/>
      <c r="H63" s="1253"/>
      <c r="I63" s="1253" t="s">
        <v>16</v>
      </c>
      <c r="J63" s="1253"/>
      <c r="K63" s="1253"/>
      <c r="L63" s="1253"/>
      <c r="M63" s="1253"/>
      <c r="N63" s="1253"/>
      <c r="O63" s="1253"/>
      <c r="P63" s="1253"/>
      <c r="Q63" s="1253" t="s">
        <v>17</v>
      </c>
      <c r="R63" s="1253"/>
      <c r="S63" s="1253"/>
      <c r="T63" s="1253"/>
      <c r="U63" s="1253"/>
      <c r="V63" s="1253"/>
      <c r="W63" s="1253"/>
      <c r="X63" s="1279"/>
      <c r="Y63" s="1253" t="s">
        <v>1826</v>
      </c>
      <c r="Z63" s="1253"/>
      <c r="AA63" s="1253"/>
      <c r="AB63" s="1253"/>
      <c r="AC63" s="1253"/>
      <c r="AD63" s="1253"/>
      <c r="AE63" s="1253"/>
      <c r="AF63" s="1254"/>
    </row>
    <row r="64" spans="1:32" ht="45.75" customHeight="1" x14ac:dyDescent="0.3">
      <c r="A64" s="1635" t="s">
        <v>5317</v>
      </c>
      <c r="B64" s="1593"/>
      <c r="C64" s="1593"/>
      <c r="D64" s="1593"/>
      <c r="E64" s="1593"/>
      <c r="F64" s="1593"/>
      <c r="G64" s="1593"/>
      <c r="H64" s="1593"/>
      <c r="I64" s="1455">
        <f>ROUND(0,3)</f>
        <v>0</v>
      </c>
      <c r="J64" s="1455"/>
      <c r="K64" s="1455"/>
      <c r="L64" s="1455"/>
      <c r="M64" s="1455"/>
      <c r="N64" s="1455"/>
      <c r="O64" s="1455"/>
      <c r="P64" s="1455"/>
      <c r="Q64" s="1456">
        <f>ROUND(P47*P48*P49*P51/(P52*1000),2)</f>
        <v>274.47000000000003</v>
      </c>
      <c r="R64" s="1456"/>
      <c r="S64" s="1456"/>
      <c r="T64" s="1456"/>
      <c r="U64" s="1456"/>
      <c r="V64" s="1456"/>
      <c r="W64" s="1456"/>
      <c r="X64" s="2915"/>
      <c r="Y64" s="2916">
        <f>ROUND(Q64*P53,2)</f>
        <v>1921.29</v>
      </c>
      <c r="Z64" s="2916"/>
      <c r="AA64" s="2916"/>
      <c r="AB64" s="2916"/>
      <c r="AC64" s="2916"/>
      <c r="AD64" s="2916"/>
      <c r="AE64" s="2916"/>
      <c r="AF64" s="2917"/>
    </row>
    <row r="65" spans="1:32" ht="46.5" customHeight="1" thickBot="1" x14ac:dyDescent="0.35">
      <c r="A65" s="2918" t="s">
        <v>5318</v>
      </c>
      <c r="B65" s="2919"/>
      <c r="C65" s="2919"/>
      <c r="D65" s="2919"/>
      <c r="E65" s="2919"/>
      <c r="F65" s="2919"/>
      <c r="G65" s="2919"/>
      <c r="H65" s="2919"/>
      <c r="I65" s="2920">
        <f>ROUND(0,3)</f>
        <v>0</v>
      </c>
      <c r="J65" s="2920"/>
      <c r="K65" s="2920"/>
      <c r="L65" s="2920"/>
      <c r="M65" s="2920"/>
      <c r="N65" s="2920"/>
      <c r="O65" s="2920"/>
      <c r="P65" s="2920"/>
      <c r="Q65" s="2921">
        <f>ROUND(P47*P48*P50*P51/(P52*1000),2)</f>
        <v>603.83000000000004</v>
      </c>
      <c r="R65" s="2921"/>
      <c r="S65" s="2921"/>
      <c r="T65" s="2921"/>
      <c r="U65" s="2921"/>
      <c r="V65" s="2921"/>
      <c r="W65" s="2921"/>
      <c r="X65" s="2922"/>
      <c r="Y65" s="2923">
        <f>ROUND(Q65*P53,2)</f>
        <v>4226.8100000000004</v>
      </c>
      <c r="Z65" s="2923"/>
      <c r="AA65" s="2923"/>
      <c r="AB65" s="2923"/>
      <c r="AC65" s="2923"/>
      <c r="AD65" s="2923"/>
      <c r="AE65" s="2923"/>
      <c r="AF65" s="2924"/>
    </row>
    <row r="68" spans="1:32" x14ac:dyDescent="0.3">
      <c r="A68" s="1141" t="s">
        <v>1514</v>
      </c>
      <c r="B68" s="1141"/>
      <c r="C68" s="1141"/>
      <c r="D68" s="1141"/>
      <c r="E68" s="1141"/>
      <c r="F68" s="1141"/>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row>
    <row r="70" spans="1:32" x14ac:dyDescent="0.3">
      <c r="A70" s="368" t="s">
        <v>803</v>
      </c>
      <c r="B70" s="953" t="s">
        <v>5319</v>
      </c>
      <c r="C70" s="953"/>
      <c r="D70" s="953"/>
      <c r="E70" s="953"/>
      <c r="F70" s="953"/>
      <c r="G70" s="953"/>
      <c r="H70" s="953"/>
      <c r="I70" s="953"/>
      <c r="J70" s="953"/>
      <c r="K70" s="953"/>
      <c r="L70" s="953"/>
      <c r="M70" s="953"/>
      <c r="N70" s="953"/>
      <c r="O70" s="953"/>
      <c r="P70" s="953"/>
      <c r="Q70" s="953"/>
      <c r="R70" s="953"/>
      <c r="S70" s="953"/>
      <c r="T70" s="953"/>
      <c r="U70" s="953"/>
      <c r="V70" s="953"/>
      <c r="W70" s="953"/>
      <c r="X70" s="953"/>
      <c r="Y70" s="953"/>
      <c r="Z70" s="953"/>
      <c r="AA70" s="953"/>
      <c r="AB70" s="953"/>
      <c r="AC70" s="953"/>
      <c r="AD70" s="953"/>
      <c r="AE70" s="953"/>
      <c r="AF70" s="953"/>
    </row>
    <row r="71" spans="1:32" ht="30" customHeight="1" x14ac:dyDescent="0.3">
      <c r="A71" s="370" t="s">
        <v>803</v>
      </c>
      <c r="B71" s="889" t="s">
        <v>5320</v>
      </c>
      <c r="C71" s="889"/>
      <c r="D71" s="88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row>
    <row r="72" spans="1:32" ht="30" customHeight="1" x14ac:dyDescent="0.3">
      <c r="A72" s="370" t="s">
        <v>803</v>
      </c>
      <c r="B72" s="889" t="s">
        <v>5321</v>
      </c>
      <c r="C72" s="889"/>
      <c r="D72" s="889"/>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row>
    <row r="73" spans="1:32" x14ac:dyDescent="0.3">
      <c r="A73" s="370" t="s">
        <v>803</v>
      </c>
      <c r="B73" s="889" t="s">
        <v>5322</v>
      </c>
      <c r="C73" s="889"/>
      <c r="D73" s="88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row>
    <row r="74" spans="1:32" x14ac:dyDescent="0.3">
      <c r="A74" s="368" t="s">
        <v>803</v>
      </c>
      <c r="B74" s="953" t="s">
        <v>5323</v>
      </c>
      <c r="C74" s="953"/>
      <c r="D74" s="953"/>
      <c r="E74" s="953"/>
      <c r="F74" s="953"/>
      <c r="G74" s="953"/>
      <c r="H74" s="953"/>
      <c r="I74" s="953"/>
      <c r="J74" s="953"/>
      <c r="K74" s="953"/>
      <c r="L74" s="953"/>
      <c r="M74" s="953"/>
      <c r="N74" s="953"/>
      <c r="O74" s="953"/>
      <c r="P74" s="953"/>
      <c r="Q74" s="953"/>
      <c r="R74" s="953"/>
      <c r="S74" s="953"/>
      <c r="T74" s="953"/>
      <c r="U74" s="953"/>
      <c r="V74" s="953"/>
      <c r="W74" s="953"/>
      <c r="X74" s="953"/>
      <c r="Y74" s="953"/>
      <c r="Z74" s="953"/>
      <c r="AA74" s="953"/>
      <c r="AB74" s="953"/>
      <c r="AC74" s="953"/>
      <c r="AD74" s="953"/>
      <c r="AE74" s="953"/>
      <c r="AF74" s="953"/>
    </row>
    <row r="75" spans="1:32" x14ac:dyDescent="0.3">
      <c r="A75" s="370" t="s">
        <v>803</v>
      </c>
      <c r="B75" s="889" t="s">
        <v>5324</v>
      </c>
      <c r="C75" s="889"/>
      <c r="D75" s="889"/>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row>
    <row r="76" spans="1:32" ht="30" customHeight="1" x14ac:dyDescent="0.3">
      <c r="A76" s="368" t="s">
        <v>803</v>
      </c>
      <c r="B76" s="953" t="s">
        <v>5325</v>
      </c>
      <c r="C76" s="953"/>
      <c r="D76" s="953"/>
      <c r="E76" s="953"/>
      <c r="F76" s="953"/>
      <c r="G76" s="953"/>
      <c r="H76" s="953"/>
      <c r="I76" s="953"/>
      <c r="J76" s="953"/>
      <c r="K76" s="953"/>
      <c r="L76" s="953"/>
      <c r="M76" s="953"/>
      <c r="N76" s="953"/>
      <c r="O76" s="953"/>
      <c r="P76" s="953"/>
      <c r="Q76" s="953"/>
      <c r="R76" s="953"/>
      <c r="S76" s="953"/>
      <c r="T76" s="953"/>
      <c r="U76" s="953"/>
      <c r="V76" s="953"/>
      <c r="W76" s="953"/>
      <c r="X76" s="953"/>
      <c r="Y76" s="953"/>
      <c r="Z76" s="953"/>
      <c r="AA76" s="953"/>
      <c r="AB76" s="953"/>
      <c r="AC76" s="953"/>
      <c r="AD76" s="953"/>
      <c r="AE76" s="953"/>
      <c r="AF76" s="953"/>
    </row>
    <row r="77" spans="1:32" x14ac:dyDescent="0.3">
      <c r="A77" s="370" t="s">
        <v>803</v>
      </c>
      <c r="B77" s="889" t="s">
        <v>5326</v>
      </c>
      <c r="C77" s="889"/>
      <c r="D77" s="889"/>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row>
    <row r="78" spans="1:32" ht="30" customHeight="1" x14ac:dyDescent="0.3">
      <c r="A78" s="370" t="s">
        <v>803</v>
      </c>
      <c r="B78" s="884" t="s">
        <v>3390</v>
      </c>
      <c r="C78" s="884"/>
      <c r="D78" s="884"/>
      <c r="E78" s="884"/>
      <c r="F78" s="884"/>
      <c r="G78" s="884"/>
      <c r="H78" s="884"/>
      <c r="I78" s="884"/>
      <c r="J78" s="884"/>
      <c r="K78" s="884"/>
      <c r="L78" s="884"/>
      <c r="M78" s="884"/>
      <c r="N78" s="884"/>
      <c r="O78" s="884"/>
      <c r="P78" s="884"/>
      <c r="Q78" s="884"/>
      <c r="R78" s="884"/>
      <c r="S78" s="884"/>
      <c r="T78" s="884"/>
      <c r="U78" s="884"/>
      <c r="V78" s="884"/>
      <c r="W78" s="884"/>
      <c r="X78" s="884"/>
      <c r="Y78" s="884"/>
      <c r="Z78" s="884"/>
      <c r="AA78" s="884"/>
      <c r="AB78" s="884"/>
      <c r="AC78" s="884"/>
      <c r="AD78" s="884"/>
      <c r="AE78" s="884"/>
      <c r="AF78" s="884"/>
    </row>
    <row r="79" spans="1:32" ht="30" customHeight="1" x14ac:dyDescent="0.3">
      <c r="A79" s="370" t="s">
        <v>803</v>
      </c>
      <c r="B79" s="889" t="s">
        <v>5327</v>
      </c>
      <c r="C79" s="889"/>
      <c r="D79" s="88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row>
    <row r="80" spans="1:32" x14ac:dyDescent="0.3">
      <c r="A80" s="370" t="s">
        <v>803</v>
      </c>
      <c r="B80" s="889" t="s">
        <v>5328</v>
      </c>
      <c r="C80" s="889"/>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row>
    <row r="81" spans="1:32" ht="47.25" customHeight="1" x14ac:dyDescent="0.3">
      <c r="A81" s="370" t="s">
        <v>803</v>
      </c>
      <c r="B81" s="889" t="s">
        <v>5329</v>
      </c>
      <c r="C81" s="889"/>
      <c r="D81" s="88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row>
    <row r="82" spans="1:32" ht="46.5" customHeight="1" x14ac:dyDescent="0.3">
      <c r="A82" s="368" t="s">
        <v>803</v>
      </c>
      <c r="B82" s="953" t="s">
        <v>5330</v>
      </c>
      <c r="C82" s="953"/>
      <c r="D82" s="953"/>
      <c r="E82" s="953"/>
      <c r="F82" s="953"/>
      <c r="G82" s="953"/>
      <c r="H82" s="953"/>
      <c r="I82" s="953"/>
      <c r="J82" s="953"/>
      <c r="K82" s="953"/>
      <c r="L82" s="953"/>
      <c r="M82" s="953"/>
      <c r="N82" s="953"/>
      <c r="O82" s="953"/>
      <c r="P82" s="953"/>
      <c r="Q82" s="953"/>
      <c r="R82" s="953"/>
      <c r="S82" s="953"/>
      <c r="T82" s="953"/>
      <c r="U82" s="953"/>
      <c r="V82" s="953"/>
      <c r="W82" s="953"/>
      <c r="X82" s="953"/>
      <c r="Y82" s="953"/>
      <c r="Z82" s="953"/>
      <c r="AA82" s="953"/>
      <c r="AB82" s="953"/>
      <c r="AC82" s="953"/>
      <c r="AD82" s="953"/>
      <c r="AE82" s="953"/>
      <c r="AF82" s="953"/>
    </row>
    <row r="83" spans="1:32" ht="33" customHeight="1" x14ac:dyDescent="0.3">
      <c r="A83" s="368" t="s">
        <v>803</v>
      </c>
      <c r="B83" s="953" t="s">
        <v>5335</v>
      </c>
      <c r="C83" s="953"/>
      <c r="D83" s="953"/>
      <c r="E83" s="953"/>
      <c r="F83" s="953"/>
      <c r="G83" s="953"/>
      <c r="H83" s="953"/>
      <c r="I83" s="953"/>
      <c r="J83" s="953"/>
      <c r="K83" s="953"/>
      <c r="L83" s="953"/>
      <c r="M83" s="953"/>
      <c r="N83" s="953"/>
      <c r="O83" s="953"/>
      <c r="P83" s="953"/>
      <c r="Q83" s="953"/>
      <c r="R83" s="953"/>
      <c r="S83" s="953"/>
      <c r="T83" s="953"/>
      <c r="U83" s="953"/>
      <c r="V83" s="953"/>
      <c r="W83" s="953"/>
      <c r="X83" s="953"/>
      <c r="Y83" s="953"/>
      <c r="Z83" s="953"/>
      <c r="AA83" s="953"/>
      <c r="AB83" s="953"/>
      <c r="AC83" s="953"/>
      <c r="AD83" s="953"/>
      <c r="AE83" s="953"/>
      <c r="AF83" s="953"/>
    </row>
    <row r="84" spans="1:32" ht="47.25" customHeight="1" x14ac:dyDescent="0.3">
      <c r="A84" s="368" t="s">
        <v>803</v>
      </c>
      <c r="B84" s="953" t="s">
        <v>5331</v>
      </c>
      <c r="C84" s="953"/>
      <c r="D84" s="953"/>
      <c r="E84" s="953"/>
      <c r="F84" s="953"/>
      <c r="G84" s="953"/>
      <c r="H84" s="953"/>
      <c r="I84" s="953"/>
      <c r="J84" s="953"/>
      <c r="K84" s="953"/>
      <c r="L84" s="953"/>
      <c r="M84" s="953"/>
      <c r="N84" s="953"/>
      <c r="O84" s="953"/>
      <c r="P84" s="953"/>
      <c r="Q84" s="953"/>
      <c r="R84" s="953"/>
      <c r="S84" s="953"/>
      <c r="T84" s="953"/>
      <c r="U84" s="953"/>
      <c r="V84" s="953"/>
      <c r="W84" s="953"/>
      <c r="X84" s="953"/>
      <c r="Y84" s="953"/>
      <c r="Z84" s="953"/>
      <c r="AA84" s="953"/>
      <c r="AB84" s="953"/>
      <c r="AC84" s="953"/>
      <c r="AD84" s="953"/>
      <c r="AE84" s="953"/>
      <c r="AF84" s="953"/>
    </row>
    <row r="85" spans="1:32" ht="46.5" customHeight="1" x14ac:dyDescent="0.3">
      <c r="A85" s="368" t="s">
        <v>803</v>
      </c>
      <c r="B85" s="953" t="s">
        <v>5332</v>
      </c>
      <c r="C85" s="953"/>
      <c r="D85" s="953"/>
      <c r="E85" s="953"/>
      <c r="F85" s="953"/>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row>
    <row r="86" spans="1:32" ht="30" customHeight="1" x14ac:dyDescent="0.3">
      <c r="A86" s="370" t="s">
        <v>803</v>
      </c>
      <c r="B86" s="889" t="s">
        <v>5333</v>
      </c>
      <c r="C86" s="889"/>
      <c r="D86" s="889"/>
      <c r="E86" s="889"/>
      <c r="F86" s="889"/>
      <c r="G86" s="889"/>
      <c r="H86" s="889"/>
      <c r="I86" s="889"/>
      <c r="J86" s="889"/>
      <c r="K86" s="889"/>
      <c r="L86" s="889"/>
      <c r="M86" s="889"/>
      <c r="N86" s="889"/>
      <c r="O86" s="889"/>
      <c r="P86" s="889"/>
      <c r="Q86" s="889"/>
      <c r="R86" s="889"/>
      <c r="S86" s="889"/>
      <c r="T86" s="889"/>
      <c r="U86" s="889"/>
      <c r="V86" s="889"/>
      <c r="W86" s="889"/>
      <c r="X86" s="889"/>
      <c r="Y86" s="889"/>
      <c r="Z86" s="889"/>
      <c r="AA86" s="889"/>
      <c r="AB86" s="889"/>
      <c r="AC86" s="889"/>
      <c r="AD86" s="889"/>
      <c r="AE86" s="889"/>
      <c r="AF86" s="889"/>
    </row>
    <row r="87" spans="1:32" ht="30" customHeight="1" x14ac:dyDescent="0.3">
      <c r="A87" s="370" t="s">
        <v>803</v>
      </c>
      <c r="B87" s="889" t="s">
        <v>3910</v>
      </c>
      <c r="C87" s="889"/>
      <c r="D87" s="889"/>
      <c r="E87" s="889"/>
      <c r="F87" s="889"/>
      <c r="G87" s="889"/>
      <c r="H87" s="889"/>
      <c r="I87" s="889"/>
      <c r="J87" s="889"/>
      <c r="K87" s="889"/>
      <c r="L87" s="889"/>
      <c r="M87" s="889"/>
      <c r="N87" s="889"/>
      <c r="O87" s="889"/>
      <c r="P87" s="889"/>
      <c r="Q87" s="889"/>
      <c r="R87" s="889"/>
      <c r="S87" s="889"/>
      <c r="T87" s="889"/>
      <c r="U87" s="889"/>
      <c r="V87" s="889"/>
      <c r="W87" s="889"/>
      <c r="X87" s="889"/>
      <c r="Y87" s="889"/>
      <c r="Z87" s="889"/>
      <c r="AA87" s="889"/>
      <c r="AB87" s="889"/>
      <c r="AC87" s="889"/>
      <c r="AD87" s="889"/>
      <c r="AE87" s="889"/>
      <c r="AF87" s="889"/>
    </row>
    <row r="88" spans="1:32" ht="30" customHeight="1" x14ac:dyDescent="0.3">
      <c r="A88" s="370" t="s">
        <v>803</v>
      </c>
      <c r="B88" s="889" t="s">
        <v>5334</v>
      </c>
      <c r="C88" s="889"/>
      <c r="D88" s="889"/>
      <c r="E88" s="889"/>
      <c r="F88" s="889"/>
      <c r="G88" s="889"/>
      <c r="H88" s="889"/>
      <c r="I88" s="889"/>
      <c r="J88" s="889"/>
      <c r="K88" s="889"/>
      <c r="L88" s="889"/>
      <c r="M88" s="889"/>
      <c r="N88" s="889"/>
      <c r="O88" s="889"/>
      <c r="P88" s="889"/>
      <c r="Q88" s="889"/>
      <c r="R88" s="889"/>
      <c r="S88" s="889"/>
      <c r="T88" s="889"/>
      <c r="U88" s="889"/>
      <c r="V88" s="889"/>
      <c r="W88" s="889"/>
      <c r="X88" s="889"/>
      <c r="Y88" s="889"/>
      <c r="Z88" s="889"/>
      <c r="AA88" s="889"/>
      <c r="AB88" s="889"/>
      <c r="AC88" s="889"/>
      <c r="AD88" s="889"/>
      <c r="AE88" s="889"/>
      <c r="AF88" s="889"/>
    </row>
  </sheetData>
  <sheetProtection algorithmName="SHA-512" hashValue="IjDmSt12nE1Hc8aWlns9m2eJ7e8Iled+af9fW/+ybg7RHxu3Yl1FLFWjPCMYsQSzUd8i/DD1rHXkgq/mu3kzaA==" saltValue="fIEoEb/nHPjNOJgDJZT/qw==" spinCount="100000" sheet="1" objects="1" scenarios="1"/>
  <mergeCells count="98">
    <mergeCell ref="A45:D45"/>
    <mergeCell ref="E45:O45"/>
    <mergeCell ref="P45:S45"/>
    <mergeCell ref="T45:W45"/>
    <mergeCell ref="X45:AF45"/>
    <mergeCell ref="B12:AF12"/>
    <mergeCell ref="B14:I14"/>
    <mergeCell ref="B15:AF15"/>
    <mergeCell ref="A1:AF1"/>
    <mergeCell ref="A3:AF3"/>
    <mergeCell ref="B5:AF5"/>
    <mergeCell ref="A7:AF7"/>
    <mergeCell ref="B9:I9"/>
    <mergeCell ref="B10:AF10"/>
    <mergeCell ref="B17:I17"/>
    <mergeCell ref="B20:I20"/>
    <mergeCell ref="B21:AF21"/>
    <mergeCell ref="B24:AF24"/>
    <mergeCell ref="A44:AF44"/>
    <mergeCell ref="B18:AF18"/>
    <mergeCell ref="A27:AF27"/>
    <mergeCell ref="P46:S46"/>
    <mergeCell ref="T46:W46"/>
    <mergeCell ref="X46:AF46"/>
    <mergeCell ref="A47:D47"/>
    <mergeCell ref="E47:O47"/>
    <mergeCell ref="P47:S47"/>
    <mergeCell ref="T47:W47"/>
    <mergeCell ref="X47:AF47"/>
    <mergeCell ref="A46:D46"/>
    <mergeCell ref="E46:O46"/>
    <mergeCell ref="A48:D48"/>
    <mergeCell ref="E48:O48"/>
    <mergeCell ref="P48:S48"/>
    <mergeCell ref="T48:W48"/>
    <mergeCell ref="X48:AF48"/>
    <mergeCell ref="A49:D50"/>
    <mergeCell ref="E49:O49"/>
    <mergeCell ref="P49:S49"/>
    <mergeCell ref="T49:W49"/>
    <mergeCell ref="X49:AF50"/>
    <mergeCell ref="E50:O50"/>
    <mergeCell ref="P50:S50"/>
    <mergeCell ref="T50:W50"/>
    <mergeCell ref="A51:D51"/>
    <mergeCell ref="E51:O51"/>
    <mergeCell ref="P51:S51"/>
    <mergeCell ref="T51:W51"/>
    <mergeCell ref="X51:AF51"/>
    <mergeCell ref="A52:D52"/>
    <mergeCell ref="E52:O52"/>
    <mergeCell ref="P52:S52"/>
    <mergeCell ref="T52:W52"/>
    <mergeCell ref="X52:AF52"/>
    <mergeCell ref="A53:D53"/>
    <mergeCell ref="E53:O53"/>
    <mergeCell ref="P53:S53"/>
    <mergeCell ref="T53:W53"/>
    <mergeCell ref="X53:AF53"/>
    <mergeCell ref="A54:AF54"/>
    <mergeCell ref="A55:AF55"/>
    <mergeCell ref="A56:AF56"/>
    <mergeCell ref="A57:AF57"/>
    <mergeCell ref="A58:AF58"/>
    <mergeCell ref="A59:AF59"/>
    <mergeCell ref="A61:AF61"/>
    <mergeCell ref="A63:H63"/>
    <mergeCell ref="I63:P63"/>
    <mergeCell ref="Q63:X63"/>
    <mergeCell ref="Y63:AF63"/>
    <mergeCell ref="A64:H64"/>
    <mergeCell ref="I64:P64"/>
    <mergeCell ref="Q64:X64"/>
    <mergeCell ref="Y64:AF64"/>
    <mergeCell ref="A65:H65"/>
    <mergeCell ref="I65:P65"/>
    <mergeCell ref="Q65:X65"/>
    <mergeCell ref="Y65:AF65"/>
    <mergeCell ref="A68:AF68"/>
    <mergeCell ref="B70:AF70"/>
    <mergeCell ref="B71:AF71"/>
    <mergeCell ref="B72:AF72"/>
    <mergeCell ref="B73:AF73"/>
    <mergeCell ref="B74:AF74"/>
    <mergeCell ref="B75:AF75"/>
    <mergeCell ref="B76:AF76"/>
    <mergeCell ref="B77:AF77"/>
    <mergeCell ref="B78:AF78"/>
    <mergeCell ref="B79:AF79"/>
    <mergeCell ref="B80:AF80"/>
    <mergeCell ref="B81:AF81"/>
    <mergeCell ref="B82:AF82"/>
    <mergeCell ref="B83:AF83"/>
    <mergeCell ref="B84:AF84"/>
    <mergeCell ref="B85:AF85"/>
    <mergeCell ref="B86:AF86"/>
    <mergeCell ref="B87:AF87"/>
    <mergeCell ref="B88:AF88"/>
  </mergeCells>
  <hyperlinks>
    <hyperlink ref="A2" location="TOC!A1" display="Return to TOC" xr:uid="{00000000-0004-0000-52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1:AF41" numberStoredAsText="1"/>
  </ignoredError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46">
    <tabColor theme="7" tint="0.79998168889431442"/>
    <pageSetUpPr autoPageBreaks="0"/>
  </sheetPr>
  <dimension ref="A1:AG108"/>
  <sheetViews>
    <sheetView workbookViewId="0">
      <selection activeCell="A2" sqref="A2"/>
    </sheetView>
  </sheetViews>
  <sheetFormatPr defaultColWidth="2.6640625" defaultRowHeight="14.4" x14ac:dyDescent="0.3"/>
  <sheetData>
    <row r="1" spans="1:32" ht="18" x14ac:dyDescent="0.3">
      <c r="A1" s="1131" t="s">
        <v>906</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c r="W2" s="550"/>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872" t="s">
        <v>3979</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1"/>
    </row>
    <row r="9" spans="1:32" x14ac:dyDescent="0.3">
      <c r="A9" s="1144" t="s">
        <v>3</v>
      </c>
      <c r="B9" s="1144"/>
      <c r="C9" s="1144"/>
      <c r="D9" s="1144"/>
      <c r="E9" s="1144"/>
      <c r="F9" s="1144"/>
      <c r="G9" s="1144"/>
      <c r="H9" s="1144"/>
      <c r="I9" s="1"/>
      <c r="J9" s="553"/>
      <c r="K9" s="1"/>
      <c r="L9" s="1"/>
      <c r="M9" s="1"/>
      <c r="N9" s="1"/>
      <c r="O9" s="1"/>
      <c r="P9" s="1"/>
      <c r="Q9" s="1"/>
      <c r="R9" s="1"/>
      <c r="S9" s="1"/>
      <c r="T9" s="1"/>
      <c r="U9" s="1"/>
      <c r="V9" s="1"/>
      <c r="W9" s="1"/>
      <c r="X9" s="1"/>
      <c r="Y9" s="1"/>
      <c r="Z9" s="1"/>
      <c r="AA9" s="1"/>
      <c r="AB9" s="1"/>
      <c r="AC9" s="1"/>
      <c r="AD9" s="1"/>
      <c r="AE9" s="1"/>
      <c r="AF9" s="1"/>
    </row>
    <row r="10" spans="1:32" ht="36.75" customHeight="1" x14ac:dyDescent="0.3">
      <c r="A10" s="1258" t="s">
        <v>3980</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4"/>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144" t="s">
        <v>4</v>
      </c>
      <c r="B12" s="1144"/>
      <c r="C12" s="1144"/>
      <c r="D12" s="1144"/>
      <c r="E12" s="1144"/>
      <c r="F12" s="1144"/>
      <c r="G12" s="1144"/>
      <c r="H12" s="1144"/>
      <c r="I12" s="1"/>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142" t="s">
        <v>1310</v>
      </c>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144" t="s">
        <v>5</v>
      </c>
      <c r="B15" s="1144"/>
      <c r="C15" s="1144"/>
      <c r="D15" s="1144"/>
      <c r="E15" s="1144"/>
      <c r="F15" s="1144"/>
      <c r="G15" s="1144"/>
      <c r="H15" s="1144"/>
      <c r="I15" s="1"/>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142" t="s">
        <v>3981</v>
      </c>
      <c r="B16" s="1142"/>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144" t="s">
        <v>6</v>
      </c>
      <c r="B18" s="1144"/>
      <c r="C18" s="1144"/>
      <c r="D18" s="1144"/>
      <c r="E18" s="1144"/>
      <c r="F18" s="1144"/>
      <c r="G18" s="1144"/>
      <c r="H18" s="1144"/>
      <c r="I18" s="1"/>
      <c r="J18" s="1"/>
      <c r="K18" s="1"/>
      <c r="L18" s="1"/>
      <c r="M18" s="1"/>
      <c r="N18" s="1"/>
      <c r="O18" s="1"/>
      <c r="P18" s="1"/>
      <c r="Q18" s="1"/>
      <c r="R18" s="1"/>
      <c r="S18" s="1"/>
      <c r="T18" s="1"/>
      <c r="U18" s="1"/>
      <c r="V18" s="1"/>
      <c r="W18" s="1"/>
      <c r="X18" s="1"/>
      <c r="Y18" s="1"/>
      <c r="Z18" s="1"/>
      <c r="AA18" s="1"/>
      <c r="AB18" s="1"/>
      <c r="AC18" s="1"/>
      <c r="AD18" s="1"/>
      <c r="AE18" s="1"/>
      <c r="AF18" s="1"/>
    </row>
    <row r="19" spans="1:32" ht="70.5" customHeight="1" x14ac:dyDescent="0.3">
      <c r="A19" s="872" t="s">
        <v>3982</v>
      </c>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4"/>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51" t="s">
        <v>13</v>
      </c>
      <c r="B21" s="51"/>
      <c r="C21" s="51"/>
      <c r="D21" s="51"/>
      <c r="E21" s="51"/>
      <c r="F21" s="51"/>
      <c r="G21" s="51"/>
      <c r="H21" s="51"/>
      <c r="I21" s="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872" t="s">
        <v>1230</v>
      </c>
      <c r="B22" s="1142"/>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3">
      <c r="A27" s="231" t="s">
        <v>2027</v>
      </c>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x14ac:dyDescent="0.3">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x14ac:dyDescent="0.3">
      <c r="A29" s="40"/>
      <c r="B29" s="162"/>
      <c r="C29" s="40"/>
      <c r="E29" s="40"/>
      <c r="F29" s="40"/>
      <c r="G29" s="118"/>
      <c r="H29" s="4"/>
      <c r="I29" s="4"/>
      <c r="J29" s="4"/>
      <c r="K29" s="4"/>
      <c r="L29" s="4"/>
      <c r="M29" s="4"/>
      <c r="N29" s="4"/>
      <c r="O29" s="4"/>
      <c r="P29" s="4"/>
      <c r="Q29" s="4"/>
      <c r="R29" s="4"/>
      <c r="S29" s="4"/>
      <c r="T29" s="4"/>
      <c r="U29" s="4"/>
      <c r="V29" s="4"/>
      <c r="W29" s="4"/>
      <c r="X29" s="4"/>
      <c r="Y29" s="4"/>
      <c r="Z29" s="4"/>
      <c r="AA29" s="4"/>
      <c r="AB29" s="4"/>
      <c r="AC29" s="4"/>
      <c r="AD29" s="4"/>
      <c r="AE29" s="40"/>
      <c r="AF29" s="546" t="s">
        <v>1463</v>
      </c>
    </row>
    <row r="30" spans="1:32" x14ac:dyDescent="0.3">
      <c r="A30" s="40"/>
      <c r="B30" s="40"/>
      <c r="C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x14ac:dyDescent="0.3">
      <c r="A31" s="231" t="s">
        <v>2137</v>
      </c>
      <c r="B31" s="40"/>
      <c r="C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169"/>
    </row>
    <row r="32" spans="1:32" x14ac:dyDescent="0.3">
      <c r="A32" s="40"/>
      <c r="B32" s="40"/>
      <c r="C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169"/>
    </row>
    <row r="33" spans="1:33" x14ac:dyDescent="0.3">
      <c r="A33" s="40"/>
      <c r="B33" s="40"/>
      <c r="C33" s="40"/>
      <c r="E33" s="40"/>
      <c r="F33" s="40"/>
      <c r="G33" s="118"/>
      <c r="H33" s="4"/>
      <c r="I33" s="4"/>
      <c r="J33" s="4"/>
      <c r="K33" s="4"/>
      <c r="L33" s="4"/>
      <c r="M33" s="4"/>
      <c r="N33" s="4"/>
      <c r="O33" s="4"/>
      <c r="P33" s="4"/>
      <c r="Q33" s="4"/>
      <c r="R33" s="4"/>
      <c r="S33" s="4"/>
      <c r="T33" s="4"/>
      <c r="U33" s="4"/>
      <c r="V33" s="4"/>
      <c r="W33" s="4"/>
      <c r="X33" s="4"/>
      <c r="Y33" s="4"/>
      <c r="Z33" s="4"/>
      <c r="AA33" s="4"/>
      <c r="AB33" s="4"/>
      <c r="AC33" s="4"/>
      <c r="AD33" s="4"/>
      <c r="AE33" s="40"/>
      <c r="AF33" s="272" t="s">
        <v>1464</v>
      </c>
    </row>
    <row r="34" spans="1:33" x14ac:dyDescent="0.3">
      <c r="A34" s="40"/>
      <c r="B34" s="40"/>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3" x14ac:dyDescent="0.3">
      <c r="A35" s="231" t="s">
        <v>1811</v>
      </c>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3" x14ac:dyDescent="0.3">
      <c r="A36" s="40"/>
      <c r="B36" s="40"/>
      <c r="C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169"/>
    </row>
    <row r="37" spans="1:33" x14ac:dyDescent="0.3">
      <c r="A37" s="40"/>
      <c r="B37" s="162"/>
      <c r="C37" s="40"/>
      <c r="E37" s="40"/>
      <c r="F37" s="40"/>
      <c r="G37" s="71"/>
      <c r="H37" s="71"/>
      <c r="I37" s="71"/>
      <c r="J37" s="71"/>
      <c r="K37" s="71"/>
      <c r="L37" s="71"/>
      <c r="M37" s="71"/>
      <c r="N37" s="71"/>
      <c r="O37" s="71"/>
      <c r="P37" s="71"/>
      <c r="Q37" s="71"/>
      <c r="R37" s="71"/>
      <c r="S37" s="71"/>
      <c r="T37" s="71"/>
      <c r="U37" s="71"/>
      <c r="V37" s="71"/>
      <c r="W37" s="71"/>
      <c r="X37" s="71"/>
      <c r="Y37" s="71"/>
      <c r="Z37" s="71"/>
      <c r="AA37" s="71"/>
      <c r="AB37" s="71"/>
      <c r="AC37" s="71"/>
      <c r="AD37" s="71"/>
      <c r="AE37" s="40"/>
      <c r="AF37" s="188" t="s">
        <v>1465</v>
      </c>
    </row>
    <row r="38" spans="1:33"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169"/>
    </row>
    <row r="39" spans="1:33"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3" x14ac:dyDescent="0.3">
      <c r="A40" s="1141" t="s">
        <v>8</v>
      </c>
      <c r="B40" s="1141"/>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row>
    <row r="41" spans="1:33" x14ac:dyDescent="0.3">
      <c r="A41" s="1143" t="s">
        <v>9</v>
      </c>
      <c r="B41" s="1143"/>
      <c r="C41" s="1143"/>
      <c r="D41" s="1143"/>
      <c r="E41" s="1143" t="s">
        <v>3</v>
      </c>
      <c r="F41" s="1143"/>
      <c r="G41" s="1143"/>
      <c r="H41" s="1143"/>
      <c r="I41" s="1143"/>
      <c r="J41" s="1143"/>
      <c r="K41" s="1143"/>
      <c r="L41" s="1143"/>
      <c r="M41" s="1143"/>
      <c r="N41" s="1143"/>
      <c r="O41" s="1143"/>
      <c r="P41" s="1143"/>
      <c r="Q41" s="1143" t="s">
        <v>10</v>
      </c>
      <c r="R41" s="1143"/>
      <c r="S41" s="1143"/>
      <c r="T41" s="1143"/>
      <c r="U41" s="1259" t="s">
        <v>11</v>
      </c>
      <c r="V41" s="1260"/>
      <c r="W41" s="1421"/>
      <c r="X41" s="1259" t="s">
        <v>2612</v>
      </c>
      <c r="Y41" s="1260"/>
      <c r="Z41" s="1260"/>
      <c r="AA41" s="1260"/>
      <c r="AB41" s="1260"/>
      <c r="AC41" s="1260"/>
      <c r="AD41" s="1260"/>
      <c r="AE41" s="1260"/>
      <c r="AF41" s="1421"/>
    </row>
    <row r="42" spans="1:33" ht="60" customHeight="1" x14ac:dyDescent="0.3">
      <c r="A42" s="2952" t="s">
        <v>3983</v>
      </c>
      <c r="B42" s="2953"/>
      <c r="C42" s="2953"/>
      <c r="D42" s="2954"/>
      <c r="E42" s="1163" t="s">
        <v>3984</v>
      </c>
      <c r="F42" s="1164" t="s">
        <v>506</v>
      </c>
      <c r="G42" s="1164" t="s">
        <v>506</v>
      </c>
      <c r="H42" s="1164" t="s">
        <v>506</v>
      </c>
      <c r="I42" s="1164" t="s">
        <v>506</v>
      </c>
      <c r="J42" s="1164" t="s">
        <v>506</v>
      </c>
      <c r="K42" s="1164" t="s">
        <v>506</v>
      </c>
      <c r="L42" s="1164" t="s">
        <v>506</v>
      </c>
      <c r="M42" s="1164" t="s">
        <v>506</v>
      </c>
      <c r="N42" s="1164" t="s">
        <v>506</v>
      </c>
      <c r="O42" s="1164" t="s">
        <v>506</v>
      </c>
      <c r="P42" s="1165" t="s">
        <v>506</v>
      </c>
      <c r="Q42" s="2899">
        <v>7.768404561755303E-2</v>
      </c>
      <c r="R42" s="2900">
        <v>0.2</v>
      </c>
      <c r="S42" s="2900">
        <v>0.2</v>
      </c>
      <c r="T42" s="2901">
        <v>0.2</v>
      </c>
      <c r="U42" s="1243" t="s">
        <v>20</v>
      </c>
      <c r="V42" s="1244"/>
      <c r="W42" s="1245"/>
      <c r="X42" s="2673" t="s">
        <v>3985</v>
      </c>
      <c r="Y42" s="2674" t="s">
        <v>513</v>
      </c>
      <c r="Z42" s="2674" t="s">
        <v>513</v>
      </c>
      <c r="AA42" s="2674" t="s">
        <v>513</v>
      </c>
      <c r="AB42" s="2674" t="s">
        <v>513</v>
      </c>
      <c r="AC42" s="2674" t="s">
        <v>513</v>
      </c>
      <c r="AD42" s="2674" t="s">
        <v>513</v>
      </c>
      <c r="AE42" s="2674" t="s">
        <v>513</v>
      </c>
      <c r="AF42" s="2675" t="s">
        <v>513</v>
      </c>
    </row>
    <row r="43" spans="1:33" ht="60" customHeight="1" x14ac:dyDescent="0.3">
      <c r="A43" s="2955"/>
      <c r="B43" s="2956"/>
      <c r="C43" s="2956"/>
      <c r="D43" s="2957"/>
      <c r="E43" s="1163" t="s">
        <v>3986</v>
      </c>
      <c r="F43" s="1164" t="s">
        <v>506</v>
      </c>
      <c r="G43" s="1164" t="s">
        <v>506</v>
      </c>
      <c r="H43" s="1164" t="s">
        <v>506</v>
      </c>
      <c r="I43" s="1164" t="s">
        <v>506</v>
      </c>
      <c r="J43" s="1164" t="s">
        <v>506</v>
      </c>
      <c r="K43" s="1164" t="s">
        <v>506</v>
      </c>
      <c r="L43" s="1164" t="s">
        <v>506</v>
      </c>
      <c r="M43" s="1164" t="s">
        <v>506</v>
      </c>
      <c r="N43" s="1164" t="s">
        <v>506</v>
      </c>
      <c r="O43" s="1164" t="s">
        <v>506</v>
      </c>
      <c r="P43" s="1165" t="s">
        <v>506</v>
      </c>
      <c r="Q43" s="2899">
        <v>3.3663086434272765E-2</v>
      </c>
      <c r="R43" s="2900">
        <v>0.2</v>
      </c>
      <c r="S43" s="2900">
        <v>0.2</v>
      </c>
      <c r="T43" s="2901">
        <v>0.2</v>
      </c>
      <c r="U43" s="1243" t="s">
        <v>20</v>
      </c>
      <c r="V43" s="1244"/>
      <c r="W43" s="1245"/>
      <c r="X43" s="2676"/>
      <c r="Y43" s="2677"/>
      <c r="Z43" s="2677"/>
      <c r="AA43" s="2677"/>
      <c r="AB43" s="2677"/>
      <c r="AC43" s="2677"/>
      <c r="AD43" s="2677"/>
      <c r="AE43" s="2677"/>
      <c r="AF43" s="2678"/>
    </row>
    <row r="44" spans="1:33" ht="60" customHeight="1" x14ac:dyDescent="0.3">
      <c r="A44" s="2952" t="s">
        <v>3987</v>
      </c>
      <c r="B44" s="2953"/>
      <c r="C44" s="2953"/>
      <c r="D44" s="2954"/>
      <c r="E44" s="1163" t="s">
        <v>3934</v>
      </c>
      <c r="F44" s="1164" t="s">
        <v>508</v>
      </c>
      <c r="G44" s="1164" t="s">
        <v>508</v>
      </c>
      <c r="H44" s="1164" t="s">
        <v>508</v>
      </c>
      <c r="I44" s="1164" t="s">
        <v>508</v>
      </c>
      <c r="J44" s="1164" t="s">
        <v>508</v>
      </c>
      <c r="K44" s="1164" t="s">
        <v>508</v>
      </c>
      <c r="L44" s="1164" t="s">
        <v>508</v>
      </c>
      <c r="M44" s="1164" t="s">
        <v>508</v>
      </c>
      <c r="N44" s="1164" t="s">
        <v>508</v>
      </c>
      <c r="O44" s="1164" t="s">
        <v>508</v>
      </c>
      <c r="P44" s="1165" t="s">
        <v>508</v>
      </c>
      <c r="Q44" s="1325">
        <v>24000</v>
      </c>
      <c r="R44" s="1326">
        <v>8500</v>
      </c>
      <c r="S44" s="1326">
        <v>8500</v>
      </c>
      <c r="T44" s="1327">
        <v>8500</v>
      </c>
      <c r="U44" s="1352" t="s">
        <v>2722</v>
      </c>
      <c r="V44" s="1353"/>
      <c r="W44" s="1354"/>
      <c r="X44" s="1207" t="s">
        <v>4343</v>
      </c>
      <c r="Y44" s="1208" t="s">
        <v>509</v>
      </c>
      <c r="Z44" s="1208" t="s">
        <v>509</v>
      </c>
      <c r="AA44" s="1208" t="s">
        <v>509</v>
      </c>
      <c r="AB44" s="1208" t="s">
        <v>509</v>
      </c>
      <c r="AC44" s="1208" t="s">
        <v>509</v>
      </c>
      <c r="AD44" s="1208" t="s">
        <v>509</v>
      </c>
      <c r="AE44" s="1208" t="s">
        <v>509</v>
      </c>
      <c r="AF44" s="1209" t="s">
        <v>509</v>
      </c>
      <c r="AG44" s="121"/>
    </row>
    <row r="45" spans="1:33" ht="60" customHeight="1" x14ac:dyDescent="0.3">
      <c r="A45" s="2955"/>
      <c r="B45" s="2956"/>
      <c r="C45" s="2956"/>
      <c r="D45" s="2957"/>
      <c r="E45" s="1163" t="s">
        <v>3935</v>
      </c>
      <c r="F45" s="1164" t="s">
        <v>508</v>
      </c>
      <c r="G45" s="1164" t="s">
        <v>508</v>
      </c>
      <c r="H45" s="1164" t="s">
        <v>508</v>
      </c>
      <c r="I45" s="1164" t="s">
        <v>508</v>
      </c>
      <c r="J45" s="1164" t="s">
        <v>508</v>
      </c>
      <c r="K45" s="1164" t="s">
        <v>508</v>
      </c>
      <c r="L45" s="1164" t="s">
        <v>508</v>
      </c>
      <c r="M45" s="1164" t="s">
        <v>508</v>
      </c>
      <c r="N45" s="1164" t="s">
        <v>508</v>
      </c>
      <c r="O45" s="1164" t="s">
        <v>508</v>
      </c>
      <c r="P45" s="1165" t="s">
        <v>508</v>
      </c>
      <c r="Q45" s="1325">
        <v>36000</v>
      </c>
      <c r="R45" s="1326">
        <v>8500</v>
      </c>
      <c r="S45" s="1326">
        <v>8500</v>
      </c>
      <c r="T45" s="1327">
        <v>8500</v>
      </c>
      <c r="U45" s="1352" t="s">
        <v>636</v>
      </c>
      <c r="V45" s="1353"/>
      <c r="W45" s="1354"/>
      <c r="X45" s="1207" t="s">
        <v>3936</v>
      </c>
      <c r="Y45" s="1208" t="s">
        <v>509</v>
      </c>
      <c r="Z45" s="1208" t="s">
        <v>509</v>
      </c>
      <c r="AA45" s="1208" t="s">
        <v>509</v>
      </c>
      <c r="AB45" s="1208" t="s">
        <v>509</v>
      </c>
      <c r="AC45" s="1208" t="s">
        <v>509</v>
      </c>
      <c r="AD45" s="1208" t="s">
        <v>509</v>
      </c>
      <c r="AE45" s="1208" t="s">
        <v>509</v>
      </c>
      <c r="AF45" s="1209" t="s">
        <v>509</v>
      </c>
      <c r="AG45" s="121"/>
    </row>
    <row r="46" spans="1:33" ht="60" customHeight="1" x14ac:dyDescent="0.3">
      <c r="A46" s="1349" t="s">
        <v>159</v>
      </c>
      <c r="B46" s="1350"/>
      <c r="C46" s="1350"/>
      <c r="D46" s="1351"/>
      <c r="E46" s="1163" t="s">
        <v>3509</v>
      </c>
      <c r="F46" s="1164"/>
      <c r="G46" s="1164"/>
      <c r="H46" s="1164"/>
      <c r="I46" s="1164"/>
      <c r="J46" s="1164"/>
      <c r="K46" s="1164"/>
      <c r="L46" s="1164"/>
      <c r="M46" s="1164"/>
      <c r="N46" s="1164"/>
      <c r="O46" s="1164"/>
      <c r="P46" s="1165"/>
      <c r="Q46" s="1325">
        <v>1000</v>
      </c>
      <c r="R46" s="1326"/>
      <c r="S46" s="1326"/>
      <c r="T46" s="1327"/>
      <c r="U46" s="1166" t="s">
        <v>271</v>
      </c>
      <c r="V46" s="1167"/>
      <c r="W46" s="1168"/>
      <c r="X46" s="1794"/>
      <c r="Y46" s="1795"/>
      <c r="Z46" s="1795"/>
      <c r="AA46" s="1795"/>
      <c r="AB46" s="1795"/>
      <c r="AC46" s="1795"/>
      <c r="AD46" s="1795"/>
      <c r="AE46" s="1795"/>
      <c r="AF46" s="1796"/>
    </row>
    <row r="47" spans="1:33" ht="107.25" customHeight="1" x14ac:dyDescent="0.3">
      <c r="A47" s="2952" t="s">
        <v>798</v>
      </c>
      <c r="B47" s="2953"/>
      <c r="C47" s="2953"/>
      <c r="D47" s="2954"/>
      <c r="E47" s="1163" t="s">
        <v>3937</v>
      </c>
      <c r="F47" s="1164" t="s">
        <v>510</v>
      </c>
      <c r="G47" s="1164" t="s">
        <v>510</v>
      </c>
      <c r="H47" s="1164" t="s">
        <v>510</v>
      </c>
      <c r="I47" s="1164" t="s">
        <v>510</v>
      </c>
      <c r="J47" s="1164" t="s">
        <v>510</v>
      </c>
      <c r="K47" s="1164" t="s">
        <v>510</v>
      </c>
      <c r="L47" s="1164" t="s">
        <v>510</v>
      </c>
      <c r="M47" s="1164" t="s">
        <v>510</v>
      </c>
      <c r="N47" s="1164" t="s">
        <v>510</v>
      </c>
      <c r="O47" s="1164" t="s">
        <v>510</v>
      </c>
      <c r="P47" s="1165" t="s">
        <v>510</v>
      </c>
      <c r="Q47" s="2847">
        <v>13</v>
      </c>
      <c r="R47" s="2848">
        <v>9.8000000000000007</v>
      </c>
      <c r="S47" s="2848">
        <v>9.8000000000000007</v>
      </c>
      <c r="T47" s="2849">
        <v>9.8000000000000007</v>
      </c>
      <c r="U47" s="1166" t="s">
        <v>2725</v>
      </c>
      <c r="V47" s="1167"/>
      <c r="W47" s="1168"/>
      <c r="X47" s="1207" t="s">
        <v>3938</v>
      </c>
      <c r="Y47" s="1208"/>
      <c r="Z47" s="1208"/>
      <c r="AA47" s="1208"/>
      <c r="AB47" s="1208"/>
      <c r="AC47" s="1208"/>
      <c r="AD47" s="1208"/>
      <c r="AE47" s="1208"/>
      <c r="AF47" s="1209"/>
    </row>
    <row r="48" spans="1:33" ht="94.5" customHeight="1" x14ac:dyDescent="0.3">
      <c r="A48" s="2955"/>
      <c r="B48" s="2956"/>
      <c r="C48" s="2956"/>
      <c r="D48" s="2957"/>
      <c r="E48" s="2862" t="s">
        <v>3941</v>
      </c>
      <c r="F48" s="2862"/>
      <c r="G48" s="2862" t="s">
        <v>204</v>
      </c>
      <c r="H48" s="2862"/>
      <c r="I48" s="2862" t="s">
        <v>204</v>
      </c>
      <c r="J48" s="2862"/>
      <c r="K48" s="2862" t="s">
        <v>204</v>
      </c>
      <c r="L48" s="2862"/>
      <c r="M48" s="2862" t="s">
        <v>204</v>
      </c>
      <c r="N48" s="2862"/>
      <c r="O48" s="2862" t="s">
        <v>204</v>
      </c>
      <c r="P48" s="2862"/>
      <c r="Q48" s="1743">
        <v>9.4</v>
      </c>
      <c r="R48" s="1743" t="s">
        <v>205</v>
      </c>
      <c r="S48" s="1743" t="s">
        <v>205</v>
      </c>
      <c r="T48" s="1743" t="s">
        <v>205</v>
      </c>
      <c r="U48" s="1737" t="s">
        <v>2725</v>
      </c>
      <c r="V48" s="1738"/>
      <c r="W48" s="1739"/>
      <c r="X48" s="1740" t="s">
        <v>3988</v>
      </c>
      <c r="Y48" s="1741"/>
      <c r="Z48" s="1741"/>
      <c r="AA48" s="1741"/>
      <c r="AB48" s="1741"/>
      <c r="AC48" s="1741"/>
      <c r="AD48" s="1741"/>
      <c r="AE48" s="1741"/>
      <c r="AF48" s="1742"/>
    </row>
    <row r="49" spans="1:32" ht="60" customHeight="1" x14ac:dyDescent="0.3">
      <c r="A49" s="1732" t="s">
        <v>3943</v>
      </c>
      <c r="B49" s="1733" t="s">
        <v>202</v>
      </c>
      <c r="C49" s="1733" t="s">
        <v>202</v>
      </c>
      <c r="D49" s="1734" t="s">
        <v>202</v>
      </c>
      <c r="E49" s="1735" t="s">
        <v>3944</v>
      </c>
      <c r="F49" s="1735"/>
      <c r="G49" s="1735" t="s">
        <v>204</v>
      </c>
      <c r="H49" s="1735"/>
      <c r="I49" s="1735" t="s">
        <v>204</v>
      </c>
      <c r="J49" s="1735"/>
      <c r="K49" s="1735" t="s">
        <v>204</v>
      </c>
      <c r="L49" s="1735"/>
      <c r="M49" s="1735" t="s">
        <v>204</v>
      </c>
      <c r="N49" s="1735"/>
      <c r="O49" s="1735" t="s">
        <v>204</v>
      </c>
      <c r="P49" s="1735"/>
      <c r="Q49" s="2840">
        <v>9.6999999999999993</v>
      </c>
      <c r="R49" s="2840" t="s">
        <v>205</v>
      </c>
      <c r="S49" s="2840" t="s">
        <v>205</v>
      </c>
      <c r="T49" s="2840" t="s">
        <v>205</v>
      </c>
      <c r="U49" s="1745" t="s">
        <v>2725</v>
      </c>
      <c r="V49" s="1746"/>
      <c r="W49" s="1747"/>
      <c r="X49" s="2949" t="s">
        <v>3989</v>
      </c>
      <c r="Y49" s="2950"/>
      <c r="Z49" s="2950"/>
      <c r="AA49" s="2950"/>
      <c r="AB49" s="2950"/>
      <c r="AC49" s="2950"/>
      <c r="AD49" s="2950"/>
      <c r="AE49" s="2950"/>
      <c r="AF49" s="2951"/>
    </row>
    <row r="50" spans="1:32" ht="133.5" customHeight="1" x14ac:dyDescent="0.3">
      <c r="A50" s="2943" t="s">
        <v>235</v>
      </c>
      <c r="B50" s="2944"/>
      <c r="C50" s="2944"/>
      <c r="D50" s="2945"/>
      <c r="E50" s="1148" t="s">
        <v>3948</v>
      </c>
      <c r="F50" s="1149" t="s">
        <v>511</v>
      </c>
      <c r="G50" s="1149" t="s">
        <v>511</v>
      </c>
      <c r="H50" s="1149" t="s">
        <v>511</v>
      </c>
      <c r="I50" s="1149" t="s">
        <v>511</v>
      </c>
      <c r="J50" s="1149" t="s">
        <v>511</v>
      </c>
      <c r="K50" s="1149" t="s">
        <v>511</v>
      </c>
      <c r="L50" s="1149" t="s">
        <v>511</v>
      </c>
      <c r="M50" s="1149" t="s">
        <v>511</v>
      </c>
      <c r="N50" s="1149" t="s">
        <v>511</v>
      </c>
      <c r="O50" s="1149" t="s">
        <v>511</v>
      </c>
      <c r="P50" s="1150" t="s">
        <v>511</v>
      </c>
      <c r="Q50" s="2887">
        <v>1884</v>
      </c>
      <c r="R50" s="2888">
        <v>1825</v>
      </c>
      <c r="S50" s="2888">
        <v>1825</v>
      </c>
      <c r="T50" s="2889">
        <v>1825</v>
      </c>
      <c r="U50" s="1243" t="s">
        <v>37</v>
      </c>
      <c r="V50" s="1244"/>
      <c r="W50" s="1245"/>
      <c r="X50" s="1794" t="s">
        <v>3388</v>
      </c>
      <c r="Y50" s="1795"/>
      <c r="Z50" s="1795"/>
      <c r="AA50" s="1795"/>
      <c r="AB50" s="1795"/>
      <c r="AC50" s="1795"/>
      <c r="AD50" s="1795"/>
      <c r="AE50" s="1795"/>
      <c r="AF50" s="1796"/>
    </row>
    <row r="51" spans="1:32" ht="138.75" customHeight="1" x14ac:dyDescent="0.3">
      <c r="A51" s="2946"/>
      <c r="B51" s="2947"/>
      <c r="C51" s="2947"/>
      <c r="D51" s="2948"/>
      <c r="E51" s="1735" t="s">
        <v>3949</v>
      </c>
      <c r="F51" s="1735"/>
      <c r="G51" s="1735" t="s">
        <v>207</v>
      </c>
      <c r="H51" s="1735"/>
      <c r="I51" s="1735" t="s">
        <v>207</v>
      </c>
      <c r="J51" s="1735"/>
      <c r="K51" s="1735" t="s">
        <v>207</v>
      </c>
      <c r="L51" s="1735"/>
      <c r="M51" s="1735" t="s">
        <v>207</v>
      </c>
      <c r="N51" s="1735"/>
      <c r="O51" s="1735" t="s">
        <v>207</v>
      </c>
      <c r="P51" s="1735"/>
      <c r="Q51" s="1751">
        <v>2528</v>
      </c>
      <c r="R51" s="1751">
        <v>1825</v>
      </c>
      <c r="S51" s="1751">
        <v>1825</v>
      </c>
      <c r="T51" s="1751">
        <v>1825</v>
      </c>
      <c r="U51" s="1745" t="s">
        <v>790</v>
      </c>
      <c r="V51" s="1746"/>
      <c r="W51" s="1747" t="s">
        <v>851</v>
      </c>
      <c r="X51" s="2949" t="s">
        <v>3950</v>
      </c>
      <c r="Y51" s="2950"/>
      <c r="Z51" s="2950"/>
      <c r="AA51" s="2950"/>
      <c r="AB51" s="2950"/>
      <c r="AC51" s="2950"/>
      <c r="AD51" s="2950"/>
      <c r="AE51" s="2950"/>
      <c r="AF51" s="2951"/>
    </row>
    <row r="52" spans="1:32" ht="60" customHeight="1" x14ac:dyDescent="0.3">
      <c r="A52" s="1246" t="s">
        <v>443</v>
      </c>
      <c r="B52" s="1155" t="s">
        <v>443</v>
      </c>
      <c r="C52" s="1155" t="s">
        <v>443</v>
      </c>
      <c r="D52" s="1156" t="s">
        <v>443</v>
      </c>
      <c r="E52" s="1148" t="s">
        <v>96</v>
      </c>
      <c r="F52" s="1149" t="s">
        <v>444</v>
      </c>
      <c r="G52" s="1149" t="s">
        <v>444</v>
      </c>
      <c r="H52" s="1149" t="s">
        <v>444</v>
      </c>
      <c r="I52" s="1149" t="s">
        <v>444</v>
      </c>
      <c r="J52" s="1149" t="s">
        <v>444</v>
      </c>
      <c r="K52" s="1149" t="s">
        <v>444</v>
      </c>
      <c r="L52" s="1149" t="s">
        <v>444</v>
      </c>
      <c r="M52" s="1149" t="s">
        <v>444</v>
      </c>
      <c r="N52" s="1149" t="s">
        <v>444</v>
      </c>
      <c r="O52" s="1149" t="s">
        <v>444</v>
      </c>
      <c r="P52" s="1150" t="s">
        <v>444</v>
      </c>
      <c r="Q52" s="2137">
        <v>1.1585835943924877E-2</v>
      </c>
      <c r="R52" s="2138">
        <v>0</v>
      </c>
      <c r="S52" s="2138">
        <v>0</v>
      </c>
      <c r="T52" s="2139">
        <v>0</v>
      </c>
      <c r="U52" s="1243" t="s">
        <v>20</v>
      </c>
      <c r="V52" s="1244"/>
      <c r="W52" s="1245"/>
      <c r="X52" s="1794" t="s">
        <v>3990</v>
      </c>
      <c r="Y52" s="1795"/>
      <c r="Z52" s="1795"/>
      <c r="AA52" s="1795"/>
      <c r="AB52" s="1795"/>
      <c r="AC52" s="1795"/>
      <c r="AD52" s="1795"/>
      <c r="AE52" s="1795"/>
      <c r="AF52" s="1796"/>
    </row>
    <row r="53" spans="1:32" x14ac:dyDescent="0.3">
      <c r="A53" s="1154" t="s">
        <v>34</v>
      </c>
      <c r="B53" s="1155" t="s">
        <v>34</v>
      </c>
      <c r="C53" s="1155" t="s">
        <v>34</v>
      </c>
      <c r="D53" s="1156" t="s">
        <v>34</v>
      </c>
      <c r="E53" s="1148" t="s">
        <v>644</v>
      </c>
      <c r="F53" s="1149" t="s">
        <v>446</v>
      </c>
      <c r="G53" s="1149" t="s">
        <v>446</v>
      </c>
      <c r="H53" s="1149" t="s">
        <v>446</v>
      </c>
      <c r="I53" s="1149" t="s">
        <v>446</v>
      </c>
      <c r="J53" s="1149" t="s">
        <v>446</v>
      </c>
      <c r="K53" s="1149" t="s">
        <v>446</v>
      </c>
      <c r="L53" s="1149" t="s">
        <v>446</v>
      </c>
      <c r="M53" s="1149" t="s">
        <v>446</v>
      </c>
      <c r="N53" s="1149" t="s">
        <v>446</v>
      </c>
      <c r="O53" s="1149" t="s">
        <v>446</v>
      </c>
      <c r="P53" s="1150" t="s">
        <v>446</v>
      </c>
      <c r="Q53" s="2873">
        <v>1</v>
      </c>
      <c r="R53" s="2874">
        <v>1</v>
      </c>
      <c r="S53" s="2874">
        <v>1</v>
      </c>
      <c r="T53" s="2875">
        <v>1</v>
      </c>
      <c r="U53" s="1243" t="s">
        <v>20</v>
      </c>
      <c r="V53" s="1244"/>
      <c r="W53" s="1245"/>
      <c r="X53" s="2940"/>
      <c r="Y53" s="2941"/>
      <c r="Z53" s="2941"/>
      <c r="AA53" s="2941"/>
      <c r="AB53" s="2941"/>
      <c r="AC53" s="2941"/>
      <c r="AD53" s="2941"/>
      <c r="AE53" s="2941"/>
      <c r="AF53" s="2942"/>
    </row>
    <row r="54" spans="1:32" ht="15.6" x14ac:dyDescent="0.3">
      <c r="A54" s="1349" t="s">
        <v>3886</v>
      </c>
      <c r="B54" s="1350" t="s">
        <v>26</v>
      </c>
      <c r="C54" s="1350" t="s">
        <v>26</v>
      </c>
      <c r="D54" s="1351" t="s">
        <v>26</v>
      </c>
      <c r="E54" s="1163" t="s">
        <v>2050</v>
      </c>
      <c r="F54" s="1164" t="s">
        <v>208</v>
      </c>
      <c r="G54" s="1164" t="s">
        <v>208</v>
      </c>
      <c r="H54" s="1164" t="s">
        <v>208</v>
      </c>
      <c r="I54" s="1164" t="s">
        <v>208</v>
      </c>
      <c r="J54" s="1164" t="s">
        <v>208</v>
      </c>
      <c r="K54" s="1164" t="s">
        <v>208</v>
      </c>
      <c r="L54" s="1164" t="s">
        <v>208</v>
      </c>
      <c r="M54" s="1164" t="s">
        <v>208</v>
      </c>
      <c r="N54" s="1164" t="s">
        <v>208</v>
      </c>
      <c r="O54" s="1164" t="s">
        <v>208</v>
      </c>
      <c r="P54" s="1165" t="s">
        <v>208</v>
      </c>
      <c r="Q54" s="2873">
        <f>'Master EUL'!X23</f>
        <v>20</v>
      </c>
      <c r="R54" s="2874" t="s">
        <v>347</v>
      </c>
      <c r="S54" s="2874" t="s">
        <v>347</v>
      </c>
      <c r="T54" s="2875" t="s">
        <v>347</v>
      </c>
      <c r="U54" s="1243" t="s">
        <v>38</v>
      </c>
      <c r="V54" s="1244"/>
      <c r="W54" s="1245"/>
      <c r="X54" s="1243"/>
      <c r="Y54" s="1244"/>
      <c r="Z54" s="1244"/>
      <c r="AA54" s="1244"/>
      <c r="AB54" s="1244"/>
      <c r="AC54" s="1244"/>
      <c r="AD54" s="1244"/>
      <c r="AE54" s="1244"/>
      <c r="AF54" s="1245"/>
    </row>
    <row r="55" spans="1:32" x14ac:dyDescent="0.3">
      <c r="A55" s="554"/>
      <c r="B55" s="554"/>
      <c r="C55" s="554"/>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row>
    <row r="56" spans="1:32" x14ac:dyDescent="0.3">
      <c r="A56" s="57"/>
      <c r="B56" s="57"/>
      <c r="C56" s="57" t="s">
        <v>3957</v>
      </c>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c r="AE56" s="57"/>
      <c r="AF56" s="57"/>
    </row>
    <row r="57" spans="1:32" x14ac:dyDescent="0.3">
      <c r="A57" s="57"/>
      <c r="B57" s="57"/>
      <c r="C57" s="1366" t="s">
        <v>3991</v>
      </c>
      <c r="D57" s="1367"/>
      <c r="E57" s="1367"/>
      <c r="F57" s="1367"/>
      <c r="G57" s="1367"/>
      <c r="H57" s="1367"/>
      <c r="I57" s="1367"/>
      <c r="J57" s="1367"/>
      <c r="K57" s="1367"/>
      <c r="L57" s="1367"/>
      <c r="M57" s="1367"/>
      <c r="N57" s="1367"/>
      <c r="O57" s="1367"/>
      <c r="P57" s="1367"/>
      <c r="Q57" s="1368"/>
      <c r="R57" s="57"/>
      <c r="S57" s="57"/>
      <c r="T57" s="57"/>
      <c r="U57" s="57"/>
      <c r="V57" s="57"/>
      <c r="W57" s="57"/>
      <c r="X57" s="57"/>
      <c r="Y57" s="57"/>
      <c r="Z57" s="57"/>
      <c r="AA57" s="57"/>
      <c r="AB57" s="57"/>
      <c r="AC57" s="57"/>
      <c r="AD57" s="57"/>
      <c r="AE57" s="57"/>
      <c r="AF57" s="57"/>
    </row>
    <row r="58" spans="1:32" x14ac:dyDescent="0.3">
      <c r="A58" s="57"/>
      <c r="B58" s="57"/>
      <c r="C58" s="1405" t="s">
        <v>3958</v>
      </c>
      <c r="D58" s="1405"/>
      <c r="E58" s="1405"/>
      <c r="F58" s="1405"/>
      <c r="G58" s="1405"/>
      <c r="H58" s="1405"/>
      <c r="I58" s="1405"/>
      <c r="J58" s="1405"/>
      <c r="K58" s="1405"/>
      <c r="L58" s="1405"/>
      <c r="M58" s="2938">
        <v>0.15384615384615385</v>
      </c>
      <c r="N58" s="2938"/>
      <c r="O58" s="2938"/>
      <c r="P58" s="2938"/>
      <c r="Q58" s="2938"/>
      <c r="R58" s="57"/>
      <c r="S58" s="57"/>
      <c r="T58" s="57"/>
      <c r="U58" s="57"/>
      <c r="V58" s="551"/>
      <c r="W58" s="57"/>
      <c r="X58" s="57"/>
      <c r="Y58" s="57"/>
      <c r="Z58" s="94"/>
      <c r="AA58" s="94"/>
      <c r="AB58" s="94"/>
      <c r="AC58" s="94"/>
      <c r="AD58" s="94"/>
      <c r="AE58" s="57"/>
      <c r="AF58" s="57"/>
    </row>
    <row r="59" spans="1:32" x14ac:dyDescent="0.3">
      <c r="A59" s="57"/>
      <c r="B59" s="57"/>
      <c r="C59" s="1405" t="s">
        <v>3959</v>
      </c>
      <c r="D59" s="1405"/>
      <c r="E59" s="1405"/>
      <c r="F59" s="1405"/>
      <c r="G59" s="1405"/>
      <c r="H59" s="1405"/>
      <c r="I59" s="1405"/>
      <c r="J59" s="1405"/>
      <c r="K59" s="1405"/>
      <c r="L59" s="1405"/>
      <c r="M59" s="2938">
        <v>0.51923076923076927</v>
      </c>
      <c r="N59" s="2938"/>
      <c r="O59" s="2938"/>
      <c r="P59" s="2938"/>
      <c r="Q59" s="2938"/>
      <c r="R59" s="57"/>
      <c r="S59" s="57"/>
      <c r="T59" s="57"/>
      <c r="U59" s="57"/>
      <c r="V59" s="551"/>
      <c r="W59" s="57"/>
      <c r="X59" s="57"/>
      <c r="Y59" s="57"/>
      <c r="Z59" s="94"/>
      <c r="AA59" s="94"/>
      <c r="AB59" s="94"/>
      <c r="AC59" s="94"/>
      <c r="AD59" s="94"/>
      <c r="AE59" s="57"/>
      <c r="AF59" s="57"/>
    </row>
    <row r="60" spans="1:32" x14ac:dyDescent="0.3">
      <c r="A60" s="57"/>
      <c r="B60" s="57"/>
      <c r="C60" s="1405" t="s">
        <v>3960</v>
      </c>
      <c r="D60" s="1405"/>
      <c r="E60" s="1405"/>
      <c r="F60" s="1405"/>
      <c r="G60" s="1405"/>
      <c r="H60" s="1405"/>
      <c r="I60" s="1405"/>
      <c r="J60" s="1405"/>
      <c r="K60" s="1405"/>
      <c r="L60" s="1405"/>
      <c r="M60" s="2938">
        <v>0.32692307692307693</v>
      </c>
      <c r="N60" s="2938"/>
      <c r="O60" s="2938"/>
      <c r="P60" s="2938"/>
      <c r="Q60" s="2938"/>
      <c r="R60" s="57"/>
      <c r="S60" s="57"/>
      <c r="T60" s="57"/>
      <c r="U60" s="57"/>
      <c r="V60" s="551"/>
      <c r="W60" s="57"/>
      <c r="X60" s="57"/>
      <c r="Y60" s="57"/>
      <c r="Z60" s="94"/>
      <c r="AA60" s="94"/>
      <c r="AB60" s="94"/>
      <c r="AC60" s="94"/>
      <c r="AD60" s="94"/>
      <c r="AE60" s="57"/>
      <c r="AF60" s="57"/>
    </row>
    <row r="61" spans="1:32" ht="16.2" x14ac:dyDescent="0.3">
      <c r="A61" s="57"/>
      <c r="B61" s="57"/>
      <c r="C61" s="1514" t="s">
        <v>3961</v>
      </c>
      <c r="D61" s="1514"/>
      <c r="E61" s="1514"/>
      <c r="F61" s="1514"/>
      <c r="G61" s="1514"/>
      <c r="H61" s="1514"/>
      <c r="I61" s="1514"/>
      <c r="J61" s="1514"/>
      <c r="K61" s="1514"/>
      <c r="L61" s="1514"/>
      <c r="M61" s="1514"/>
      <c r="N61" s="1514"/>
      <c r="O61" s="1514"/>
      <c r="P61" s="1514"/>
      <c r="Q61" s="1514"/>
      <c r="R61" s="57"/>
      <c r="S61" s="57"/>
      <c r="T61" s="57"/>
      <c r="U61" s="57"/>
      <c r="V61" s="57"/>
      <c r="W61" s="57"/>
      <c r="X61" s="57"/>
      <c r="Y61" s="57"/>
      <c r="Z61" s="57"/>
      <c r="AA61" s="57"/>
      <c r="AB61" s="57"/>
      <c r="AC61" s="57"/>
      <c r="AD61" s="57"/>
      <c r="AE61" s="57"/>
      <c r="AF61" s="57"/>
    </row>
    <row r="62" spans="1:32" x14ac:dyDescent="0.3">
      <c r="A62" s="57"/>
      <c r="B62" s="57"/>
      <c r="C62" s="486"/>
      <c r="D62" s="486"/>
      <c r="E62" s="486"/>
      <c r="F62" s="486"/>
      <c r="G62" s="486"/>
      <c r="H62" s="486"/>
      <c r="I62" s="486"/>
      <c r="J62" s="486"/>
      <c r="K62" s="486"/>
      <c r="L62" s="486"/>
      <c r="M62" s="486"/>
      <c r="N62" s="486"/>
      <c r="O62" s="486"/>
      <c r="P62" s="486"/>
      <c r="Q62" s="486"/>
      <c r="R62" s="57"/>
      <c r="S62" s="57"/>
      <c r="T62" s="57"/>
      <c r="U62" s="57"/>
      <c r="V62" s="57"/>
      <c r="W62" s="57"/>
      <c r="X62" s="57"/>
      <c r="Y62" s="57"/>
      <c r="Z62" s="57"/>
      <c r="AA62" s="57"/>
      <c r="AB62" s="57"/>
      <c r="AC62" s="57"/>
      <c r="AD62" s="57"/>
      <c r="AE62" s="57"/>
      <c r="AF62" s="57"/>
    </row>
    <row r="63" spans="1:32" x14ac:dyDescent="0.3">
      <c r="A63" s="57"/>
      <c r="B63" s="57"/>
      <c r="C63" s="57" t="s">
        <v>3992</v>
      </c>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x14ac:dyDescent="0.3">
      <c r="A64" s="57"/>
      <c r="B64" s="57"/>
      <c r="C64" s="1366" t="s">
        <v>3993</v>
      </c>
      <c r="D64" s="1367"/>
      <c r="E64" s="1367"/>
      <c r="F64" s="1367"/>
      <c r="G64" s="1367"/>
      <c r="H64" s="1367"/>
      <c r="I64" s="1367"/>
      <c r="J64" s="1367"/>
      <c r="K64" s="1367"/>
      <c r="L64" s="1367"/>
      <c r="M64" s="1367"/>
      <c r="N64" s="1367"/>
      <c r="O64" s="1367"/>
      <c r="P64" s="1367"/>
      <c r="Q64" s="1368"/>
      <c r="R64" s="57"/>
      <c r="S64" s="57"/>
      <c r="T64" s="57"/>
      <c r="U64" s="57"/>
      <c r="V64" s="57"/>
      <c r="W64" s="57"/>
      <c r="X64" s="57"/>
      <c r="Y64" s="57"/>
      <c r="Z64" s="57"/>
      <c r="AA64" s="57"/>
      <c r="AB64" s="57"/>
      <c r="AC64" s="57"/>
      <c r="AD64" s="57"/>
      <c r="AE64" s="57"/>
      <c r="AF64" s="57"/>
    </row>
    <row r="65" spans="1:32" x14ac:dyDescent="0.3">
      <c r="A65" s="57"/>
      <c r="B65" s="57"/>
      <c r="C65" s="1405" t="s">
        <v>3994</v>
      </c>
      <c r="D65" s="1405"/>
      <c r="E65" s="1405"/>
      <c r="F65" s="1405"/>
      <c r="G65" s="1405"/>
      <c r="H65" s="1405"/>
      <c r="I65" s="1405"/>
      <c r="J65" s="1405"/>
      <c r="K65" s="1405"/>
      <c r="L65" s="1405"/>
      <c r="M65" s="2938">
        <v>0.94199999999999995</v>
      </c>
      <c r="N65" s="2938"/>
      <c r="O65" s="2938"/>
      <c r="P65" s="2938"/>
      <c r="Q65" s="2938"/>
      <c r="R65" s="57"/>
      <c r="S65" s="57"/>
      <c r="T65" s="57"/>
      <c r="U65" s="57"/>
      <c r="V65" s="57"/>
      <c r="W65" s="57"/>
      <c r="X65" s="57"/>
      <c r="Y65" s="57"/>
      <c r="Z65" s="57"/>
      <c r="AA65" s="57"/>
      <c r="AB65" s="57"/>
      <c r="AC65" s="57"/>
      <c r="AD65" s="57"/>
      <c r="AE65" s="57"/>
      <c r="AF65" s="57"/>
    </row>
    <row r="66" spans="1:32" x14ac:dyDescent="0.3">
      <c r="A66" s="57"/>
      <c r="B66" s="57"/>
      <c r="C66" s="1405" t="s">
        <v>3995</v>
      </c>
      <c r="D66" s="1405"/>
      <c r="E66" s="1405"/>
      <c r="F66" s="1405"/>
      <c r="G66" s="1405"/>
      <c r="H66" s="1405"/>
      <c r="I66" s="1405"/>
      <c r="J66" s="1405"/>
      <c r="K66" s="1405"/>
      <c r="L66" s="1405"/>
      <c r="M66" s="2938">
        <v>5.8000000000000003E-2</v>
      </c>
      <c r="N66" s="2938"/>
      <c r="O66" s="2938"/>
      <c r="P66" s="2938"/>
      <c r="Q66" s="2938"/>
      <c r="R66" s="57"/>
      <c r="S66" s="57"/>
      <c r="T66" s="57"/>
      <c r="U66" s="57"/>
      <c r="V66" s="57"/>
      <c r="W66" s="57"/>
      <c r="X66" s="57"/>
      <c r="Y66" s="57"/>
      <c r="Z66" s="57"/>
      <c r="AA66" s="57"/>
      <c r="AB66" s="57"/>
      <c r="AC66" s="57"/>
      <c r="AD66" s="57"/>
      <c r="AE66" s="57"/>
      <c r="AF66" s="57"/>
    </row>
    <row r="67" spans="1:32" ht="16.2" x14ac:dyDescent="0.3">
      <c r="A67" s="57"/>
      <c r="B67" s="57"/>
      <c r="C67" s="1514" t="s">
        <v>3961</v>
      </c>
      <c r="D67" s="1514"/>
      <c r="E67" s="1514"/>
      <c r="F67" s="1514"/>
      <c r="G67" s="1514"/>
      <c r="H67" s="1514"/>
      <c r="I67" s="1514"/>
      <c r="J67" s="1514"/>
      <c r="K67" s="1514"/>
      <c r="L67" s="1514"/>
      <c r="M67" s="1514"/>
      <c r="N67" s="1514"/>
      <c r="O67" s="1514"/>
      <c r="P67" s="1514"/>
      <c r="Q67" s="1514"/>
      <c r="R67" s="57"/>
      <c r="S67" s="57"/>
      <c r="T67" s="57"/>
      <c r="U67" s="57"/>
      <c r="V67" s="57"/>
      <c r="W67" s="57"/>
      <c r="X67" s="57"/>
      <c r="Y67" s="57"/>
      <c r="Z67" s="57"/>
      <c r="AA67" s="57"/>
      <c r="AB67" s="57"/>
      <c r="AC67" s="57"/>
      <c r="AD67" s="57"/>
      <c r="AE67" s="57"/>
      <c r="AF67" s="57"/>
    </row>
    <row r="68" spans="1:32" x14ac:dyDescent="0.3">
      <c r="A68" s="57"/>
      <c r="B68" s="57"/>
      <c r="C68" s="486"/>
      <c r="D68" s="486"/>
      <c r="E68" s="486"/>
      <c r="F68" s="486"/>
      <c r="G68" s="486"/>
      <c r="H68" s="486"/>
      <c r="I68" s="486"/>
      <c r="J68" s="486"/>
      <c r="K68" s="486"/>
      <c r="L68" s="486"/>
      <c r="M68" s="486"/>
      <c r="N68" s="486"/>
      <c r="O68" s="486"/>
      <c r="P68" s="486"/>
      <c r="Q68" s="486"/>
      <c r="R68" s="57"/>
      <c r="S68" s="57"/>
      <c r="T68" s="57"/>
      <c r="U68" s="57"/>
      <c r="V68" s="57"/>
      <c r="W68" s="57"/>
      <c r="X68" s="57"/>
      <c r="Y68" s="57"/>
      <c r="Z68" s="57"/>
      <c r="AA68" s="57"/>
      <c r="AB68" s="57"/>
      <c r="AC68" s="57"/>
      <c r="AD68" s="57"/>
      <c r="AE68" s="57"/>
      <c r="AF68" s="57"/>
    </row>
    <row r="69" spans="1:32" ht="165" customHeight="1" x14ac:dyDescent="0.3">
      <c r="A69" s="2939" t="s">
        <v>830</v>
      </c>
      <c r="B69" s="2939"/>
      <c r="C69" s="1355" t="s">
        <v>3996</v>
      </c>
      <c r="D69" s="1355"/>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row>
    <row r="72" spans="1:32" x14ac:dyDescent="0.3">
      <c r="A72" s="1141" t="s">
        <v>14</v>
      </c>
      <c r="B72" s="1141"/>
      <c r="C72" s="1141"/>
      <c r="D72" s="1141"/>
      <c r="E72" s="1141"/>
      <c r="F72" s="1141"/>
      <c r="G72" s="1141"/>
      <c r="H72" s="1141"/>
      <c r="I72" s="1141"/>
      <c r="J72" s="1141"/>
      <c r="K72" s="1141"/>
      <c r="L72" s="1141"/>
      <c r="M72" s="1141"/>
      <c r="N72" s="1141"/>
      <c r="O72" s="1141"/>
      <c r="P72" s="1141"/>
      <c r="Q72" s="1141"/>
      <c r="R72" s="1141"/>
      <c r="S72" s="1141"/>
      <c r="T72" s="1141"/>
      <c r="U72" s="1141"/>
      <c r="V72" s="1141"/>
      <c r="W72" s="1141"/>
      <c r="X72" s="1141"/>
      <c r="Y72" s="1141"/>
      <c r="Z72" s="1141"/>
      <c r="AA72" s="1141"/>
      <c r="AB72" s="1141"/>
      <c r="AC72" s="1141"/>
      <c r="AD72" s="1141"/>
      <c r="AE72" s="1141"/>
      <c r="AF72" s="1141"/>
    </row>
    <row r="73" spans="1:32" x14ac:dyDescent="0.3">
      <c r="A73" s="323"/>
      <c r="B73" s="323"/>
      <c r="C73" s="552"/>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row>
    <row r="74" spans="1:32" x14ac:dyDescent="0.3">
      <c r="A74" s="94"/>
      <c r="B74" s="498" t="s">
        <v>1496</v>
      </c>
      <c r="C74" s="94"/>
      <c r="D74" s="94"/>
      <c r="E74" s="94"/>
      <c r="F74" s="94"/>
      <c r="G74" s="94"/>
      <c r="H74" s="94"/>
      <c r="I74" s="94"/>
      <c r="J74" s="94"/>
      <c r="K74" s="94"/>
      <c r="L74" s="94"/>
      <c r="M74" s="94"/>
      <c r="N74" s="94"/>
      <c r="O74" s="94"/>
      <c r="P74" s="94"/>
      <c r="Q74" s="94"/>
      <c r="R74" s="94"/>
      <c r="S74" s="121"/>
      <c r="T74" s="94"/>
      <c r="U74" s="94"/>
      <c r="V74" s="94"/>
      <c r="W74" s="94"/>
      <c r="X74" s="94"/>
      <c r="Y74" s="94"/>
      <c r="Z74" s="94"/>
      <c r="AA74" s="94"/>
      <c r="AB74" s="94"/>
      <c r="AC74" s="94"/>
      <c r="AD74" s="94"/>
      <c r="AE74" s="94"/>
      <c r="AF74" s="94"/>
    </row>
    <row r="75" spans="1:32" ht="15" thickBot="1" x14ac:dyDescent="0.3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row>
    <row r="76" spans="1:32" ht="39" customHeight="1" x14ac:dyDescent="0.3">
      <c r="A76" s="1482" t="s">
        <v>3963</v>
      </c>
      <c r="B76" s="1312"/>
      <c r="C76" s="1312"/>
      <c r="D76" s="1312"/>
      <c r="E76" s="1312"/>
      <c r="F76" s="1312"/>
      <c r="G76" s="1312"/>
      <c r="H76" s="1312"/>
      <c r="I76" s="1311" t="s">
        <v>16</v>
      </c>
      <c r="J76" s="1311"/>
      <c r="K76" s="1311"/>
      <c r="L76" s="1311"/>
      <c r="M76" s="1311"/>
      <c r="N76" s="1311"/>
      <c r="O76" s="1311"/>
      <c r="P76" s="1311"/>
      <c r="Q76" s="1311" t="s">
        <v>17</v>
      </c>
      <c r="R76" s="1311"/>
      <c r="S76" s="1311"/>
      <c r="T76" s="1311"/>
      <c r="U76" s="1311"/>
      <c r="V76" s="1311"/>
      <c r="W76" s="1311"/>
      <c r="X76" s="1311"/>
      <c r="Y76" s="1311" t="s">
        <v>1554</v>
      </c>
      <c r="Z76" s="1312"/>
      <c r="AA76" s="1312"/>
      <c r="AB76" s="1312"/>
      <c r="AC76" s="1312"/>
      <c r="AD76" s="1312"/>
      <c r="AE76" s="1312"/>
      <c r="AF76" s="1313"/>
    </row>
    <row r="77" spans="1:32" x14ac:dyDescent="0.3">
      <c r="A77" s="2641" t="s">
        <v>3964</v>
      </c>
      <c r="B77" s="993"/>
      <c r="C77" s="993"/>
      <c r="D77" s="993"/>
      <c r="E77" s="993"/>
      <c r="F77" s="993"/>
      <c r="G77" s="993"/>
      <c r="H77" s="993"/>
      <c r="I77" s="2934">
        <f>ROUND(Q45/1000*1/Q47*Q52*(M65*Q42+Q43*M66)*Q53,3)</f>
        <v>2E-3</v>
      </c>
      <c r="J77" s="2934"/>
      <c r="K77" s="2934"/>
      <c r="L77" s="2934"/>
      <c r="M77" s="2934"/>
      <c r="N77" s="2934"/>
      <c r="O77" s="2934"/>
      <c r="P77" s="2934"/>
      <c r="Q77" s="2935">
        <f>ROUND(Q45/1000*1/Q47*Q50*(M65*Q42+Q43*M66)*Q53,2)</f>
        <v>391.97</v>
      </c>
      <c r="R77" s="2935"/>
      <c r="S77" s="2935"/>
      <c r="T77" s="2935"/>
      <c r="U77" s="2935"/>
      <c r="V77" s="2935"/>
      <c r="W77" s="2935"/>
      <c r="X77" s="2935"/>
      <c r="Y77" s="2618">
        <f>ROUND(Q77*$Q$54,2)</f>
        <v>7839.4</v>
      </c>
      <c r="Z77" s="2618"/>
      <c r="AA77" s="2618"/>
      <c r="AB77" s="2618"/>
      <c r="AC77" s="2618"/>
      <c r="AD77" s="2618"/>
      <c r="AE77" s="2618"/>
      <c r="AF77" s="2619"/>
    </row>
    <row r="78" spans="1:32" x14ac:dyDescent="0.3">
      <c r="A78" s="2641" t="s">
        <v>3965</v>
      </c>
      <c r="B78" s="993"/>
      <c r="C78" s="993"/>
      <c r="D78" s="993"/>
      <c r="E78" s="993"/>
      <c r="F78" s="993"/>
      <c r="G78" s="993"/>
      <c r="H78" s="993"/>
      <c r="I78" s="2934">
        <f>ROUND(Q44/1000*1/Q49*Q52*(M65*Q42+Q43*M66)*Q53,3)</f>
        <v>2E-3</v>
      </c>
      <c r="J78" s="2934"/>
      <c r="K78" s="2934"/>
      <c r="L78" s="2934"/>
      <c r="M78" s="2934"/>
      <c r="N78" s="2934"/>
      <c r="O78" s="2934"/>
      <c r="P78" s="2934"/>
      <c r="Q78" s="2935">
        <f>ROUND(Q44/1000*1/Q49*Q51*(M65*Q42+Q43*M66)*Q53,2)</f>
        <v>469.93</v>
      </c>
      <c r="R78" s="2935"/>
      <c r="S78" s="2935"/>
      <c r="T78" s="2935"/>
      <c r="U78" s="2935"/>
      <c r="V78" s="2935"/>
      <c r="W78" s="2935"/>
      <c r="X78" s="2935"/>
      <c r="Y78" s="2618">
        <f t="shared" ref="Y78:Y79" si="0">ROUND(Q78*$Q$54,2)</f>
        <v>9398.6</v>
      </c>
      <c r="Z78" s="2618"/>
      <c r="AA78" s="2618"/>
      <c r="AB78" s="2618"/>
      <c r="AC78" s="2618"/>
      <c r="AD78" s="2618"/>
      <c r="AE78" s="2618"/>
      <c r="AF78" s="2619"/>
    </row>
    <row r="79" spans="1:32" x14ac:dyDescent="0.3">
      <c r="A79" s="2641" t="s">
        <v>3966</v>
      </c>
      <c r="B79" s="993"/>
      <c r="C79" s="993"/>
      <c r="D79" s="993"/>
      <c r="E79" s="993"/>
      <c r="F79" s="993"/>
      <c r="G79" s="993"/>
      <c r="H79" s="993"/>
      <c r="I79" s="2934">
        <f>ROUND(Q44/1000*1/Q48*Q52*(M65*Q42+Q43*M66)*Q53,3)</f>
        <v>2E-3</v>
      </c>
      <c r="J79" s="2934"/>
      <c r="K79" s="2934"/>
      <c r="L79" s="2934"/>
      <c r="M79" s="2934"/>
      <c r="N79" s="2934"/>
      <c r="O79" s="2934"/>
      <c r="P79" s="2934"/>
      <c r="Q79" s="2935">
        <f>ROUND(Q44/1000*1/Q48*Q51*(M65*Q42+Q43*M66)*Q53,2)</f>
        <v>484.93</v>
      </c>
      <c r="R79" s="2935"/>
      <c r="S79" s="2935"/>
      <c r="T79" s="2935"/>
      <c r="U79" s="2935"/>
      <c r="V79" s="2935"/>
      <c r="W79" s="2935"/>
      <c r="X79" s="2935"/>
      <c r="Y79" s="2618">
        <f t="shared" si="0"/>
        <v>9698.6</v>
      </c>
      <c r="Z79" s="2618"/>
      <c r="AA79" s="2618"/>
      <c r="AB79" s="2618"/>
      <c r="AC79" s="2618"/>
      <c r="AD79" s="2618"/>
      <c r="AE79" s="2618"/>
      <c r="AF79" s="2619"/>
    </row>
    <row r="80" spans="1:32" ht="15" thickBot="1" x14ac:dyDescent="0.35">
      <c r="A80" s="2647" t="s">
        <v>3967</v>
      </c>
      <c r="B80" s="1475"/>
      <c r="C80" s="1475"/>
      <c r="D80" s="1475"/>
      <c r="E80" s="1475"/>
      <c r="F80" s="1475"/>
      <c r="G80" s="1475"/>
      <c r="H80" s="1475"/>
      <c r="I80" s="2936">
        <f>ROUND((Q45/1000*1/Q47*Q52*(M65*Q42+Q43*M66)*Q53)*M58+(Q44/1000*1/Q49*Q52*(M65*Q42+Q43*M66)*Q53)*M59+(Q44/1000*1/Q48*Q52*(M65*Q42+Q43*M66)*Q53)*M60,3)</f>
        <v>2E-3</v>
      </c>
      <c r="J80" s="2936"/>
      <c r="K80" s="2936"/>
      <c r="L80" s="2936"/>
      <c r="M80" s="2936"/>
      <c r="N80" s="2936"/>
      <c r="O80" s="2936"/>
      <c r="P80" s="2936"/>
      <c r="Q80" s="2937">
        <f>ROUND((Q45/1000*1/Q47*Q50*(M65*Q42+Q43*M66)*Q53)*M58+(Q44/1000*1/Q49*Q51*(M65*Q42+Q43*M66)*Q53)*M59+(Q44/1000*1/Q48*Q51*(M65*Q42+Q43*M66)*Q53)*M60,2)</f>
        <v>462.84</v>
      </c>
      <c r="R80" s="2937"/>
      <c r="S80" s="2937"/>
      <c r="T80" s="2937"/>
      <c r="U80" s="2937"/>
      <c r="V80" s="2937"/>
      <c r="W80" s="2937"/>
      <c r="X80" s="2937"/>
      <c r="Y80" s="2626">
        <f>ROUND(Q80*$Q$54,2)</f>
        <v>9256.7999999999993</v>
      </c>
      <c r="Z80" s="2626"/>
      <c r="AA80" s="2626"/>
      <c r="AB80" s="2626"/>
      <c r="AC80" s="2626"/>
      <c r="AD80" s="2626"/>
      <c r="AE80" s="2626"/>
      <c r="AF80" s="2627"/>
    </row>
    <row r="81" spans="1:32" x14ac:dyDescent="0.3">
      <c r="A81" s="94"/>
      <c r="B81" s="498"/>
      <c r="C81" s="94"/>
      <c r="D81" s="94"/>
      <c r="E81" s="94"/>
      <c r="F81" s="94"/>
      <c r="G81" s="94"/>
      <c r="H81" s="94"/>
      <c r="I81" s="94"/>
      <c r="J81" s="94"/>
      <c r="K81" s="94"/>
      <c r="L81" s="94"/>
      <c r="M81" s="94"/>
      <c r="N81" s="94"/>
      <c r="O81" s="94"/>
      <c r="P81" s="94"/>
      <c r="Q81" s="94"/>
      <c r="R81" s="94"/>
      <c r="S81" s="121"/>
      <c r="T81" s="94"/>
      <c r="U81" s="94"/>
      <c r="V81" s="94"/>
      <c r="W81" s="94"/>
      <c r="X81" s="94"/>
      <c r="Y81" s="94"/>
      <c r="Z81" s="94"/>
      <c r="AA81" s="94"/>
      <c r="AB81" s="94"/>
      <c r="AC81" s="94"/>
      <c r="AD81" s="94"/>
      <c r="AE81" s="94"/>
      <c r="AF81" s="94"/>
    </row>
    <row r="82" spans="1:32" x14ac:dyDescent="0.3">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row>
    <row r="83" spans="1:32" x14ac:dyDescent="0.3">
      <c r="A83" s="94"/>
      <c r="B83" s="498" t="s">
        <v>1497</v>
      </c>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3">
      <c r="B84" s="232"/>
      <c r="Z84" s="1"/>
    </row>
    <row r="85" spans="1:32" x14ac:dyDescent="0.3">
      <c r="A85" s="3"/>
      <c r="B85" s="3"/>
      <c r="C85" s="8" t="s">
        <v>3969</v>
      </c>
      <c r="D85" s="1"/>
      <c r="E85" s="1"/>
      <c r="F85" s="1"/>
      <c r="G85" s="1"/>
      <c r="H85" s="1"/>
      <c r="I85" s="1"/>
      <c r="J85" s="1"/>
      <c r="K85" s="1"/>
      <c r="L85" s="1"/>
      <c r="M85" s="547"/>
      <c r="N85" s="547"/>
      <c r="O85" s="547"/>
      <c r="P85" s="547"/>
      <c r="Q85" s="547"/>
      <c r="R85" s="547"/>
      <c r="S85" s="547"/>
      <c r="T85" s="2351" t="s">
        <v>3966</v>
      </c>
      <c r="U85" s="2351"/>
      <c r="V85" s="2351"/>
      <c r="W85" s="2351"/>
      <c r="X85" s="2351"/>
      <c r="Y85" s="2351"/>
      <c r="Z85" s="2351"/>
      <c r="AA85" s="3"/>
      <c r="AB85" s="3"/>
      <c r="AC85" s="3"/>
      <c r="AD85" s="3"/>
      <c r="AE85" s="3"/>
      <c r="AF85" s="3"/>
    </row>
    <row r="86" spans="1:32" x14ac:dyDescent="0.3">
      <c r="A86" s="3"/>
      <c r="B86" s="3"/>
      <c r="C86" s="8"/>
      <c r="D86" s="1"/>
      <c r="E86" s="1"/>
      <c r="F86" s="1"/>
      <c r="G86" s="1"/>
      <c r="H86" s="1"/>
      <c r="I86" s="1"/>
      <c r="J86" s="1"/>
      <c r="K86" s="1"/>
      <c r="L86" s="1"/>
      <c r="M86" s="547"/>
      <c r="N86" s="547"/>
      <c r="O86" s="547"/>
      <c r="P86" s="547"/>
      <c r="Q86" s="547"/>
      <c r="R86" s="547"/>
      <c r="S86" s="547"/>
      <c r="T86" s="844"/>
      <c r="U86" s="844"/>
      <c r="V86" s="844"/>
      <c r="W86" s="844"/>
      <c r="X86" s="844"/>
      <c r="Y86" s="844"/>
      <c r="Z86" s="844"/>
      <c r="AA86" s="3"/>
      <c r="AB86" s="3"/>
      <c r="AC86" s="3"/>
      <c r="AD86" s="3"/>
      <c r="AE86" s="3"/>
      <c r="AF86" s="3"/>
    </row>
    <row r="87" spans="1:32" x14ac:dyDescent="0.3">
      <c r="A87" s="3"/>
      <c r="B87" s="3"/>
      <c r="C87" s="1423" t="s">
        <v>3997</v>
      </c>
      <c r="D87" s="1423"/>
      <c r="E87" s="1423"/>
      <c r="F87" s="1423"/>
      <c r="G87" s="1423"/>
      <c r="H87" s="1423"/>
      <c r="I87" s="1423"/>
      <c r="J87" s="1423"/>
      <c r="K87" s="1423"/>
      <c r="L87" s="1423"/>
      <c r="M87" s="547"/>
      <c r="N87" s="547"/>
      <c r="O87" s="547"/>
      <c r="P87" s="547"/>
      <c r="Q87" s="547"/>
      <c r="R87" s="547"/>
      <c r="S87" s="547"/>
      <c r="T87" s="2351" t="s">
        <v>3994</v>
      </c>
      <c r="U87" s="2351"/>
      <c r="V87" s="2351"/>
      <c r="W87" s="2351"/>
      <c r="X87" s="2351"/>
      <c r="Y87" s="2351"/>
      <c r="Z87" s="2351"/>
      <c r="AA87" s="3"/>
      <c r="AB87" s="3"/>
      <c r="AC87" s="3"/>
      <c r="AD87" s="3"/>
      <c r="AE87" s="3"/>
      <c r="AF87" s="3"/>
    </row>
    <row r="88" spans="1:32" x14ac:dyDescent="0.3">
      <c r="A88" s="3"/>
      <c r="B88" s="3"/>
      <c r="C88" s="8"/>
      <c r="D88" s="8"/>
      <c r="E88" s="8"/>
      <c r="F88" s="8"/>
      <c r="G88" s="8"/>
      <c r="H88" s="8"/>
      <c r="I88" s="8"/>
      <c r="J88" s="8"/>
      <c r="K88" s="8"/>
      <c r="L88" s="8"/>
      <c r="M88" s="547"/>
      <c r="N88" s="547"/>
      <c r="O88" s="547"/>
      <c r="P88" s="547"/>
      <c r="Q88" s="547"/>
      <c r="R88" s="547"/>
      <c r="S88" s="547"/>
      <c r="T88" s="844"/>
      <c r="U88" s="844"/>
      <c r="V88" s="844"/>
      <c r="W88" s="844"/>
      <c r="X88" s="844"/>
      <c r="Y88" s="844"/>
      <c r="Z88" s="844"/>
      <c r="AA88" s="3"/>
      <c r="AB88" s="3"/>
      <c r="AC88" s="3"/>
      <c r="AD88" s="3"/>
      <c r="AE88" s="3"/>
      <c r="AF88" s="3"/>
    </row>
    <row r="89" spans="1:32" x14ac:dyDescent="0.3">
      <c r="A89" s="3"/>
      <c r="B89" s="3"/>
      <c r="C89" s="121" t="s">
        <v>3970</v>
      </c>
      <c r="D89" s="549"/>
      <c r="E89" s="549"/>
      <c r="F89" s="549"/>
      <c r="G89" s="549"/>
      <c r="H89" s="549"/>
      <c r="I89" s="549"/>
      <c r="J89" s="549"/>
      <c r="K89" s="549"/>
      <c r="L89" s="549"/>
      <c r="M89" s="555"/>
      <c r="N89" s="555"/>
      <c r="O89" s="555"/>
      <c r="P89" s="555"/>
      <c r="Q89" s="555"/>
      <c r="R89" s="547"/>
      <c r="S89" s="547"/>
      <c r="T89" s="2928">
        <v>24000</v>
      </c>
      <c r="U89" s="2929"/>
      <c r="V89" s="2929"/>
      <c r="W89" s="2929"/>
      <c r="X89" s="2929"/>
      <c r="Y89" s="2929"/>
      <c r="Z89" s="2930"/>
      <c r="AA89" s="3"/>
      <c r="AB89" s="3"/>
      <c r="AC89" s="3"/>
      <c r="AD89" s="3"/>
      <c r="AE89" s="3"/>
      <c r="AF89" s="3"/>
    </row>
    <row r="90" spans="1:32" x14ac:dyDescent="0.3">
      <c r="A90" s="3"/>
      <c r="B90" s="3"/>
      <c r="C90" s="121"/>
      <c r="D90" s="549"/>
      <c r="E90" s="549"/>
      <c r="F90" s="549"/>
      <c r="G90" s="549"/>
      <c r="H90" s="549"/>
      <c r="I90" s="549"/>
      <c r="J90" s="549"/>
      <c r="K90" s="549"/>
      <c r="L90" s="549"/>
      <c r="M90" s="555"/>
      <c r="N90" s="555"/>
      <c r="O90" s="555"/>
      <c r="P90" s="555"/>
      <c r="Q90" s="555"/>
      <c r="R90" s="547"/>
      <c r="S90" s="547"/>
      <c r="T90" s="844"/>
      <c r="U90" s="844"/>
      <c r="V90" s="844"/>
      <c r="W90" s="844"/>
      <c r="X90" s="844"/>
      <c r="Y90" s="844"/>
      <c r="Z90" s="844"/>
      <c r="AA90" s="3"/>
      <c r="AC90" s="3"/>
      <c r="AD90" s="3"/>
      <c r="AE90" s="3"/>
      <c r="AF90" s="3"/>
    </row>
    <row r="91" spans="1:32" x14ac:dyDescent="0.3">
      <c r="A91" s="3"/>
      <c r="B91" s="3"/>
      <c r="C91" s="121" t="s">
        <v>3971</v>
      </c>
      <c r="D91" s="549"/>
      <c r="E91" s="549"/>
      <c r="F91" s="549"/>
      <c r="G91" s="549"/>
      <c r="H91" s="549"/>
      <c r="I91" s="549"/>
      <c r="J91" s="549"/>
      <c r="K91" s="549"/>
      <c r="L91" s="549"/>
      <c r="M91" s="555"/>
      <c r="N91" s="555"/>
      <c r="O91" s="555"/>
      <c r="P91" s="555"/>
      <c r="Q91" s="555"/>
      <c r="R91" s="547"/>
      <c r="S91" s="547"/>
      <c r="T91" s="2931">
        <v>13</v>
      </c>
      <c r="U91" s="2932"/>
      <c r="V91" s="2932"/>
      <c r="W91" s="2932"/>
      <c r="X91" s="2932"/>
      <c r="Y91" s="2932"/>
      <c r="Z91" s="2933"/>
      <c r="AA91" s="3"/>
      <c r="AB91" s="3"/>
      <c r="AC91" s="3"/>
      <c r="AD91" s="3"/>
      <c r="AF91" s="3"/>
    </row>
    <row r="92" spans="1:32" ht="15" thickBot="1" x14ac:dyDescent="0.3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35.25" customHeight="1" x14ac:dyDescent="0.3">
      <c r="A93" s="1252" t="s">
        <v>15</v>
      </c>
      <c r="B93" s="1253"/>
      <c r="C93" s="1253"/>
      <c r="D93" s="1253"/>
      <c r="E93" s="1253"/>
      <c r="F93" s="1253"/>
      <c r="G93" s="1253"/>
      <c r="H93" s="1253"/>
      <c r="I93" s="1253" t="s">
        <v>16</v>
      </c>
      <c r="J93" s="1253"/>
      <c r="K93" s="1253"/>
      <c r="L93" s="1253"/>
      <c r="M93" s="1253"/>
      <c r="N93" s="1253"/>
      <c r="O93" s="1253"/>
      <c r="P93" s="1253"/>
      <c r="Q93" s="1253" t="s">
        <v>17</v>
      </c>
      <c r="R93" s="1253"/>
      <c r="S93" s="1253"/>
      <c r="T93" s="1253"/>
      <c r="U93" s="1253"/>
      <c r="V93" s="1253"/>
      <c r="W93" s="1253"/>
      <c r="X93" s="1279"/>
      <c r="Y93" s="1278" t="s">
        <v>1554</v>
      </c>
      <c r="Z93" s="1253"/>
      <c r="AA93" s="1253"/>
      <c r="AB93" s="1253"/>
      <c r="AC93" s="1253"/>
      <c r="AD93" s="1253"/>
      <c r="AE93" s="1253"/>
      <c r="AF93" s="1254"/>
    </row>
    <row r="94" spans="1:32" ht="15" thickBot="1" x14ac:dyDescent="0.35">
      <c r="A94" s="1247" t="s">
        <v>504</v>
      </c>
      <c r="B94" s="1248"/>
      <c r="C94" s="1248"/>
      <c r="D94" s="1248"/>
      <c r="E94" s="1248"/>
      <c r="F94" s="1248"/>
      <c r="G94" s="1248"/>
      <c r="H94" s="1248"/>
      <c r="I94" s="1280">
        <f>ROUND(IF($T$85="Central AC",$T$89/1000*1/$T$91*Q52*IF(T87="Before 2010",Q42,IF(T87="2010 and After",Q43,M65*Q42+Q43*M66))*Q53,IF($T$85="Room AC",$T$89/1000*1/$T$91*Q52*IF(T87="Before 2010",Q42,IF(T87="2010 and After",Q43,M65*Q42+Q43*M66))*Q53,IF($T$85="Ductless Mini Split",$T$89/1000*1/$T$91*Q52*IF(T87="Before 2010",Q42,IF(T87="2010 and After",Q43,M65*Q42+Q43*M66))*Q53,IF($T$85="Unknown",($T$89/1000*1/$T$91*Q52*IF(T87="Before 2010",Q42,IF(T87="2010 and After",Q43,M65*Q42+Q43*M66))*Q53*M58+$T$89/1000*1/$T$91*Q52*IF(T87="Before 2010",Q42,IF(T87="2010 and After",Q43,M65*Q42+Q43*M66))*Q53*M59+$T$89/1000*1/$T$91*Q52*IF(T87="Before 2010",Q42,IF(T87="2010 and After",Q43,M65*Q42+Q43*M66))*Q53*M60))))),3)</f>
        <v>2E-3</v>
      </c>
      <c r="J94" s="1280"/>
      <c r="K94" s="1280"/>
      <c r="L94" s="1280"/>
      <c r="M94" s="1280"/>
      <c r="N94" s="1280"/>
      <c r="O94" s="1280"/>
      <c r="P94" s="1280"/>
      <c r="Q94" s="2926">
        <f>ROUND(IF($T$85="Central AC",$T$89/1000*1/$T$91*Q50*IF(T87="Before 2010",Q42,IF(T87="2010 and After",Q43,M65*Q42+Q43*M66))*Q53,IF($T$85="Room AC",$T$89/1000*1/$T$91*Q51*IF(T87="Before 2010",Q42,IF(T87="2010 and After",Q43,M65*Q42+Q43*M66))*Q53,IF($T$85="Ductless Mini Split",$T$89/1000*1/$T$91*Q51*IF(T87="Before 2010",Q42,IF(T87="2010 and After",Q43,M65*Q42+Q43*M66))*Q53,IF($T$85="Unknown",($T$89/1000*1/$T$91*Q50*IF(T87="Before 2010",Q42,IF(T87="2010 and After",Q43,M65*Q42+Q43*M66))*Q53*M58+$T$89/1000*1/$T$91*Q51*IF(T87="Before 2010",Q42,IF(T87="2010 and After",Q43,M65*Q42+Q43*M66))*Q53*M59+$T$89/1000*1/$T$91*Q51*IF(T87="Before 2010",Q42,IF(T87="2010 and After",Q43,M65*Q42+Q43*M66))*Q53*M60))))),2)</f>
        <v>362.56</v>
      </c>
      <c r="R94" s="2926"/>
      <c r="S94" s="2926"/>
      <c r="T94" s="2926"/>
      <c r="U94" s="2926"/>
      <c r="V94" s="2926"/>
      <c r="W94" s="2926"/>
      <c r="X94" s="2927"/>
      <c r="Y94" s="2493">
        <f>ROUND(Q94*Q54,2)</f>
        <v>7251.2</v>
      </c>
      <c r="Z94" s="2493"/>
      <c r="AA94" s="2493"/>
      <c r="AB94" s="2493"/>
      <c r="AC94" s="2493"/>
      <c r="AD94" s="2493"/>
      <c r="AE94" s="2493"/>
      <c r="AF94" s="2494"/>
    </row>
    <row r="96" spans="1:32" x14ac:dyDescent="0.3">
      <c r="A96" s="1141" t="s">
        <v>1514</v>
      </c>
      <c r="B96" s="1141"/>
      <c r="C96" s="1141"/>
      <c r="D96" s="1141"/>
      <c r="E96" s="1141"/>
      <c r="F96" s="1141"/>
      <c r="G96" s="1141"/>
      <c r="H96" s="1141"/>
      <c r="I96" s="1141"/>
      <c r="J96" s="1141"/>
      <c r="K96" s="1141"/>
      <c r="L96" s="1141"/>
      <c r="M96" s="1141"/>
      <c r="N96" s="1141"/>
      <c r="O96" s="1141"/>
      <c r="P96" s="1141"/>
      <c r="Q96" s="1141"/>
      <c r="R96" s="1141"/>
      <c r="S96" s="1141"/>
      <c r="T96" s="1141"/>
      <c r="U96" s="1141"/>
      <c r="V96" s="1141"/>
      <c r="W96" s="1141"/>
      <c r="X96" s="1141"/>
      <c r="Y96" s="1141"/>
      <c r="Z96" s="1141"/>
      <c r="AA96" s="1141"/>
      <c r="AB96" s="1141"/>
      <c r="AC96" s="1141"/>
      <c r="AD96" s="1141"/>
      <c r="AE96" s="1141"/>
      <c r="AF96" s="1141"/>
    </row>
    <row r="98" spans="1:32" x14ac:dyDescent="0.3">
      <c r="A98" s="368" t="s">
        <v>803</v>
      </c>
      <c r="B98" s="953" t="s">
        <v>3927</v>
      </c>
      <c r="C98" s="953"/>
      <c r="D98" s="953"/>
      <c r="E98" s="953"/>
      <c r="F98" s="953"/>
      <c r="G98" s="953"/>
      <c r="H98" s="953"/>
      <c r="I98" s="953"/>
      <c r="J98" s="953"/>
      <c r="K98" s="953"/>
      <c r="L98" s="953"/>
      <c r="M98" s="953"/>
      <c r="N98" s="953"/>
      <c r="O98" s="953"/>
      <c r="P98" s="953"/>
      <c r="Q98" s="953"/>
      <c r="R98" s="953"/>
      <c r="S98" s="953"/>
      <c r="T98" s="953"/>
      <c r="U98" s="953"/>
      <c r="V98" s="953"/>
      <c r="W98" s="953"/>
      <c r="X98" s="953"/>
      <c r="Y98" s="953"/>
      <c r="Z98" s="953"/>
      <c r="AA98" s="953"/>
      <c r="AB98" s="953"/>
      <c r="AC98" s="953"/>
      <c r="AD98" s="953"/>
      <c r="AE98" s="953"/>
      <c r="AF98" s="953"/>
    </row>
    <row r="99" spans="1:32" ht="38.25" customHeight="1" x14ac:dyDescent="0.3">
      <c r="A99" s="368" t="s">
        <v>803</v>
      </c>
      <c r="B99" s="953" t="s">
        <v>3910</v>
      </c>
      <c r="C99" s="953"/>
      <c r="D99" s="953"/>
      <c r="E99" s="953"/>
      <c r="F99" s="953"/>
      <c r="G99" s="953"/>
      <c r="H99" s="953"/>
      <c r="I99" s="953"/>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row>
    <row r="100" spans="1:32" ht="51.75" customHeight="1" x14ac:dyDescent="0.3">
      <c r="A100" s="368" t="s">
        <v>803</v>
      </c>
      <c r="B100" s="953" t="s">
        <v>3998</v>
      </c>
      <c r="C100" s="953"/>
      <c r="D100" s="953"/>
      <c r="E100" s="953"/>
      <c r="F100" s="953"/>
      <c r="G100" s="953"/>
      <c r="H100" s="953"/>
      <c r="I100" s="953"/>
      <c r="J100" s="953"/>
      <c r="K100" s="953"/>
      <c r="L100" s="953"/>
      <c r="M100" s="953"/>
      <c r="N100" s="953"/>
      <c r="O100" s="953"/>
      <c r="P100" s="953"/>
      <c r="Q100" s="953"/>
      <c r="R100" s="953"/>
      <c r="S100" s="953"/>
      <c r="T100" s="953"/>
      <c r="U100" s="953"/>
      <c r="V100" s="953"/>
      <c r="W100" s="953"/>
      <c r="X100" s="953"/>
      <c r="Y100" s="953"/>
      <c r="Z100" s="953"/>
      <c r="AA100" s="953"/>
      <c r="AB100" s="953"/>
      <c r="AC100" s="953"/>
      <c r="AD100" s="953"/>
      <c r="AE100" s="953"/>
      <c r="AF100" s="953"/>
    </row>
    <row r="101" spans="1:32" x14ac:dyDescent="0.3">
      <c r="A101" s="368" t="s">
        <v>803</v>
      </c>
      <c r="B101" s="953" t="s">
        <v>3999</v>
      </c>
      <c r="C101" s="953"/>
      <c r="D101" s="953"/>
      <c r="E101" s="953"/>
      <c r="F101" s="953"/>
      <c r="G101" s="953"/>
      <c r="H101" s="953"/>
      <c r="I101" s="953"/>
      <c r="J101" s="953"/>
      <c r="K101" s="953"/>
      <c r="L101" s="953"/>
      <c r="M101" s="953"/>
      <c r="N101" s="953"/>
      <c r="O101" s="953"/>
      <c r="P101" s="953"/>
      <c r="Q101" s="953"/>
      <c r="R101" s="953"/>
      <c r="S101" s="953"/>
      <c r="T101" s="953"/>
      <c r="U101" s="953"/>
      <c r="V101" s="953"/>
      <c r="W101" s="953"/>
      <c r="X101" s="953"/>
      <c r="Y101" s="953"/>
      <c r="Z101" s="953"/>
      <c r="AA101" s="953"/>
      <c r="AB101" s="953"/>
      <c r="AC101" s="953"/>
      <c r="AD101" s="953"/>
      <c r="AE101" s="953"/>
      <c r="AF101" s="953"/>
    </row>
    <row r="102" spans="1:32" ht="38.25" customHeight="1" x14ac:dyDescent="0.3">
      <c r="A102" s="368" t="s">
        <v>803</v>
      </c>
      <c r="B102" s="953" t="s">
        <v>4000</v>
      </c>
      <c r="C102" s="953"/>
      <c r="D102" s="953"/>
      <c r="E102" s="953"/>
      <c r="F102" s="953"/>
      <c r="G102" s="953"/>
      <c r="H102" s="953"/>
      <c r="I102" s="953"/>
      <c r="J102" s="953"/>
      <c r="K102" s="953"/>
      <c r="L102" s="953"/>
      <c r="M102" s="953"/>
      <c r="N102" s="953"/>
      <c r="O102" s="953"/>
      <c r="P102" s="953"/>
      <c r="Q102" s="953"/>
      <c r="R102" s="953"/>
      <c r="S102" s="953"/>
      <c r="T102" s="953"/>
      <c r="U102" s="953"/>
      <c r="V102" s="953"/>
      <c r="W102" s="953"/>
      <c r="X102" s="953"/>
      <c r="Y102" s="953"/>
      <c r="Z102" s="953"/>
      <c r="AA102" s="953"/>
      <c r="AB102" s="953"/>
      <c r="AC102" s="953"/>
      <c r="AD102" s="953"/>
      <c r="AE102" s="953"/>
      <c r="AF102" s="953"/>
    </row>
    <row r="103" spans="1:32" ht="50.25" customHeight="1" x14ac:dyDescent="0.3">
      <c r="A103" s="368" t="s">
        <v>803</v>
      </c>
      <c r="B103" s="953" t="s">
        <v>4001</v>
      </c>
      <c r="C103" s="953"/>
      <c r="D103" s="953"/>
      <c r="E103" s="953"/>
      <c r="F103" s="953"/>
      <c r="G103" s="953"/>
      <c r="H103" s="953"/>
      <c r="I103" s="953"/>
      <c r="J103" s="953"/>
      <c r="K103" s="953"/>
      <c r="L103" s="953"/>
      <c r="M103" s="953"/>
      <c r="N103" s="953"/>
      <c r="O103" s="953"/>
      <c r="P103" s="953"/>
      <c r="Q103" s="953"/>
      <c r="R103" s="953"/>
      <c r="S103" s="953"/>
      <c r="T103" s="953"/>
      <c r="U103" s="953"/>
      <c r="V103" s="953"/>
      <c r="W103" s="953"/>
      <c r="X103" s="953"/>
      <c r="Y103" s="953"/>
      <c r="Z103" s="953"/>
      <c r="AA103" s="953"/>
      <c r="AB103" s="953"/>
      <c r="AC103" s="953"/>
      <c r="AD103" s="953"/>
      <c r="AE103" s="953"/>
      <c r="AF103" s="953"/>
    </row>
    <row r="104" spans="1:32" x14ac:dyDescent="0.3">
      <c r="A104" s="368" t="s">
        <v>803</v>
      </c>
      <c r="B104" s="953" t="s">
        <v>4002</v>
      </c>
      <c r="C104" s="953"/>
      <c r="D104" s="953"/>
      <c r="E104" s="953"/>
      <c r="F104" s="953"/>
      <c r="G104" s="953"/>
      <c r="H104" s="953"/>
      <c r="I104" s="953"/>
      <c r="J104" s="953"/>
      <c r="K104" s="953"/>
      <c r="L104" s="953"/>
      <c r="M104" s="953"/>
      <c r="N104" s="953"/>
      <c r="O104" s="953"/>
      <c r="P104" s="953"/>
      <c r="Q104" s="953"/>
      <c r="R104" s="953"/>
      <c r="S104" s="953"/>
      <c r="T104" s="953"/>
      <c r="U104" s="953"/>
      <c r="V104" s="953"/>
      <c r="W104" s="953"/>
      <c r="X104" s="953"/>
      <c r="Y104" s="953"/>
      <c r="Z104" s="953"/>
      <c r="AA104" s="953"/>
      <c r="AB104" s="953"/>
      <c r="AC104" s="953"/>
      <c r="AD104" s="953"/>
      <c r="AE104" s="953"/>
      <c r="AF104" s="953"/>
    </row>
    <row r="105" spans="1:32" ht="33" customHeight="1" x14ac:dyDescent="0.3">
      <c r="A105" s="368" t="s">
        <v>803</v>
      </c>
      <c r="B105" s="889" t="s">
        <v>4003</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row>
    <row r="106" spans="1:32" ht="36" customHeight="1" x14ac:dyDescent="0.3">
      <c r="A106" s="368" t="s">
        <v>803</v>
      </c>
      <c r="B106" s="889" t="s">
        <v>4004</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row>
    <row r="107" spans="1:32" ht="69" customHeight="1" x14ac:dyDescent="0.3">
      <c r="A107" s="368" t="s">
        <v>803</v>
      </c>
      <c r="B107" s="953" t="s">
        <v>3926</v>
      </c>
      <c r="C107" s="953"/>
      <c r="D107" s="953"/>
      <c r="E107" s="953"/>
      <c r="F107" s="953"/>
      <c r="G107" s="953"/>
      <c r="H107" s="953"/>
      <c r="I107" s="953"/>
      <c r="J107" s="953"/>
      <c r="K107" s="953"/>
      <c r="L107" s="953"/>
      <c r="M107" s="953"/>
      <c r="N107" s="953"/>
      <c r="O107" s="953"/>
      <c r="P107" s="953"/>
      <c r="Q107" s="953"/>
      <c r="R107" s="953"/>
      <c r="S107" s="953"/>
      <c r="T107" s="953"/>
      <c r="U107" s="953"/>
      <c r="V107" s="953"/>
      <c r="W107" s="953"/>
      <c r="X107" s="953"/>
      <c r="Y107" s="953"/>
      <c r="Z107" s="953"/>
      <c r="AA107" s="953"/>
      <c r="AB107" s="953"/>
      <c r="AC107" s="953"/>
      <c r="AD107" s="953"/>
      <c r="AE107" s="953"/>
      <c r="AF107" s="953"/>
    </row>
    <row r="108" spans="1:32" x14ac:dyDescent="0.3">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row>
  </sheetData>
  <sheetProtection algorithmName="SHA-512" hashValue="crpKgO0k82obAZTCtV7xrq/ZBAFtUTwlD3tfxBWg2cnX0kwrQp4Yk6qYmoNZC+/brGEGSB5uTNcrgrUeTl/DDw==" saltValue="5g3hpAXt1KkrRfLVaCAw9w==" spinCount="100000" sheet="1" objects="1" scenarios="1"/>
  <mergeCells count="141">
    <mergeCell ref="A1:AF1"/>
    <mergeCell ref="B5:AF5"/>
    <mergeCell ref="A7:AF7"/>
    <mergeCell ref="A9:H9"/>
    <mergeCell ref="A10:AE10"/>
    <mergeCell ref="A12:H12"/>
    <mergeCell ref="A13:AE13"/>
    <mergeCell ref="A15:H15"/>
    <mergeCell ref="A42:D43"/>
    <mergeCell ref="E42:P42"/>
    <mergeCell ref="Q42:T42"/>
    <mergeCell ref="U42:W42"/>
    <mergeCell ref="X42:AF43"/>
    <mergeCell ref="E43:P43"/>
    <mergeCell ref="Q43:T43"/>
    <mergeCell ref="U43:W43"/>
    <mergeCell ref="A3:AF3"/>
    <mergeCell ref="A40:AF40"/>
    <mergeCell ref="A41:D41"/>
    <mergeCell ref="E41:P41"/>
    <mergeCell ref="Q41:T41"/>
    <mergeCell ref="U41:W41"/>
    <mergeCell ref="X41:AF41"/>
    <mergeCell ref="A16:AE16"/>
    <mergeCell ref="A18:H18"/>
    <mergeCell ref="A19:AE19"/>
    <mergeCell ref="A22:AE22"/>
    <mergeCell ref="A25:AF25"/>
    <mergeCell ref="A46:D46"/>
    <mergeCell ref="E46:P46"/>
    <mergeCell ref="Q46:T46"/>
    <mergeCell ref="U46:W46"/>
    <mergeCell ref="X46:AF46"/>
    <mergeCell ref="A44:D45"/>
    <mergeCell ref="E44:P44"/>
    <mergeCell ref="Q44:T44"/>
    <mergeCell ref="U44:W44"/>
    <mergeCell ref="X44:AF44"/>
    <mergeCell ref="E45:P45"/>
    <mergeCell ref="Q45:T45"/>
    <mergeCell ref="U45:W45"/>
    <mergeCell ref="X45:AF45"/>
    <mergeCell ref="A49:D49"/>
    <mergeCell ref="E49:P49"/>
    <mergeCell ref="Q49:T49"/>
    <mergeCell ref="U49:W49"/>
    <mergeCell ref="X49:AF49"/>
    <mergeCell ref="A47:D48"/>
    <mergeCell ref="E47:P47"/>
    <mergeCell ref="Q47:T47"/>
    <mergeCell ref="U47:W47"/>
    <mergeCell ref="X47:AF47"/>
    <mergeCell ref="E48:P48"/>
    <mergeCell ref="Q48:T48"/>
    <mergeCell ref="U48:W48"/>
    <mergeCell ref="X48:AF48"/>
    <mergeCell ref="A52:D52"/>
    <mergeCell ref="E52:P52"/>
    <mergeCell ref="Q52:T52"/>
    <mergeCell ref="U52:W52"/>
    <mergeCell ref="X52:AF52"/>
    <mergeCell ref="A50:D51"/>
    <mergeCell ref="E50:P50"/>
    <mergeCell ref="Q50:T50"/>
    <mergeCell ref="U50:W50"/>
    <mergeCell ref="X50:AF50"/>
    <mergeCell ref="E51:P51"/>
    <mergeCell ref="Q51:T51"/>
    <mergeCell ref="U51:W51"/>
    <mergeCell ref="X51:AF51"/>
    <mergeCell ref="A54:D54"/>
    <mergeCell ref="E54:P54"/>
    <mergeCell ref="Q54:T54"/>
    <mergeCell ref="U54:W54"/>
    <mergeCell ref="X54:AF54"/>
    <mergeCell ref="A53:D53"/>
    <mergeCell ref="E53:P53"/>
    <mergeCell ref="Q53:T53"/>
    <mergeCell ref="U53:W53"/>
    <mergeCell ref="X53:AF53"/>
    <mergeCell ref="C60:L60"/>
    <mergeCell ref="M60:Q60"/>
    <mergeCell ref="C61:Q61"/>
    <mergeCell ref="C64:Q64"/>
    <mergeCell ref="C65:L65"/>
    <mergeCell ref="M65:Q65"/>
    <mergeCell ref="C57:Q57"/>
    <mergeCell ref="C58:L58"/>
    <mergeCell ref="M58:Q58"/>
    <mergeCell ref="C59:L59"/>
    <mergeCell ref="M59:Q59"/>
    <mergeCell ref="A72:AF72"/>
    <mergeCell ref="A76:H76"/>
    <mergeCell ref="I76:P76"/>
    <mergeCell ref="Q76:X76"/>
    <mergeCell ref="Y76:AF76"/>
    <mergeCell ref="C66:L66"/>
    <mergeCell ref="M66:Q66"/>
    <mergeCell ref="C67:Q67"/>
    <mergeCell ref="A69:B69"/>
    <mergeCell ref="C69:AF69"/>
    <mergeCell ref="A79:H79"/>
    <mergeCell ref="I79:P79"/>
    <mergeCell ref="Q79:X79"/>
    <mergeCell ref="Y79:AF79"/>
    <mergeCell ref="A80:H80"/>
    <mergeCell ref="I80:P80"/>
    <mergeCell ref="Q80:X80"/>
    <mergeCell ref="Y80:AF80"/>
    <mergeCell ref="A77:H77"/>
    <mergeCell ref="I77:P77"/>
    <mergeCell ref="Q77:X77"/>
    <mergeCell ref="Y77:AF77"/>
    <mergeCell ref="A78:H78"/>
    <mergeCell ref="I78:P78"/>
    <mergeCell ref="Q78:X78"/>
    <mergeCell ref="Y78:AF78"/>
    <mergeCell ref="A93:H93"/>
    <mergeCell ref="I93:P93"/>
    <mergeCell ref="Q93:X93"/>
    <mergeCell ref="Y93:AF93"/>
    <mergeCell ref="A94:H94"/>
    <mergeCell ref="I94:P94"/>
    <mergeCell ref="Q94:X94"/>
    <mergeCell ref="Y94:AF94"/>
    <mergeCell ref="T85:Z85"/>
    <mergeCell ref="C87:L87"/>
    <mergeCell ref="T87:Z87"/>
    <mergeCell ref="T89:Z89"/>
    <mergeCell ref="T91:Z91"/>
    <mergeCell ref="B107:AF107"/>
    <mergeCell ref="B102:AF102"/>
    <mergeCell ref="B103:AF103"/>
    <mergeCell ref="B104:AF104"/>
    <mergeCell ref="B105:AF105"/>
    <mergeCell ref="B106:AF106"/>
    <mergeCell ref="A96:AF96"/>
    <mergeCell ref="B98:AF98"/>
    <mergeCell ref="B99:AF99"/>
    <mergeCell ref="B100:AF100"/>
    <mergeCell ref="B101:AF101"/>
  </mergeCells>
  <conditionalFormatting sqref="T91:Z91">
    <cfRule type="expression" dxfId="3" priority="1">
      <formula>$T$85&lt;&gt;"Central AC"</formula>
    </cfRule>
    <cfRule type="expression" dxfId="2" priority="2">
      <formula>$T$85="Central AC"</formula>
    </cfRule>
  </conditionalFormatting>
  <dataValidations count="2">
    <dataValidation type="list" allowBlank="1" showInputMessage="1" showErrorMessage="1" sqref="T87:Z87" xr:uid="{00000000-0002-0000-5300-000000000000}">
      <formula1>"Before 2010, 2010 and After, Unknown"</formula1>
    </dataValidation>
    <dataValidation type="list" allowBlank="1" showInputMessage="1" showErrorMessage="1" sqref="T85:Z85" xr:uid="{00000000-0002-0000-5300-000001000000}">
      <formula1>"Central AC, Room AC, Ductless Mini Split, Unknown"</formula1>
    </dataValidation>
  </dataValidations>
  <hyperlinks>
    <hyperlink ref="A2" location="TOC!A1" display="Return to TOC" xr:uid="{00000000-0004-0000-53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47">
    <tabColor theme="7" tint="0.79998168889431442"/>
    <pageSetUpPr autoPageBreaks="0"/>
  </sheetPr>
  <dimension ref="A1:AG116"/>
  <sheetViews>
    <sheetView workbookViewId="0">
      <selection activeCell="A2" sqref="A2"/>
    </sheetView>
  </sheetViews>
  <sheetFormatPr defaultColWidth="2.6640625" defaultRowHeight="14.4" x14ac:dyDescent="0.3"/>
  <sheetData>
    <row r="1" spans="1:32" ht="18" x14ac:dyDescent="0.3">
      <c r="A1" s="1131" t="s">
        <v>907</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c r="S2" s="550"/>
    </row>
    <row r="3" spans="1:32"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x14ac:dyDescent="0.3">
      <c r="A5" s="121"/>
      <c r="B5" s="872" t="s">
        <v>4636</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A9" s="1"/>
      <c r="B9" s="1144" t="s">
        <v>3</v>
      </c>
      <c r="C9" s="1144"/>
      <c r="D9" s="1144"/>
      <c r="E9" s="1144"/>
      <c r="F9" s="1144"/>
      <c r="G9" s="1144"/>
      <c r="H9" s="1144"/>
      <c r="I9" s="1144"/>
      <c r="J9" s="1"/>
      <c r="K9" s="1"/>
      <c r="L9" s="1"/>
      <c r="M9" s="1"/>
      <c r="N9" s="1"/>
      <c r="O9" s="1"/>
      <c r="P9" s="1"/>
      <c r="Q9" s="1"/>
      <c r="R9" s="1"/>
      <c r="S9" s="1"/>
      <c r="T9" s="1"/>
      <c r="U9" s="1"/>
      <c r="V9" s="1"/>
      <c r="W9" s="1"/>
      <c r="X9" s="1"/>
      <c r="Y9" s="1"/>
      <c r="Z9" s="1"/>
      <c r="AA9" s="1"/>
      <c r="AB9" s="1"/>
      <c r="AC9" s="1"/>
      <c r="AD9" s="1"/>
      <c r="AE9" s="1"/>
      <c r="AF9" s="1"/>
    </row>
    <row r="10" spans="1:32" ht="159.75" customHeight="1" x14ac:dyDescent="0.3">
      <c r="A10" s="4"/>
      <c r="B10" s="889" t="s">
        <v>3928</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
      <c r="B12" s="1144" t="s">
        <v>4</v>
      </c>
      <c r="C12" s="1144"/>
      <c r="D12" s="1144"/>
      <c r="E12" s="1144"/>
      <c r="F12" s="1144"/>
      <c r="G12" s="1144"/>
      <c r="H12" s="1144"/>
      <c r="I12" s="1144"/>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
      <c r="B13" s="1142" t="s">
        <v>1310</v>
      </c>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
      <c r="B15" s="1144" t="s">
        <v>5</v>
      </c>
      <c r="C15" s="1144"/>
      <c r="D15" s="1144"/>
      <c r="E15" s="1144"/>
      <c r="F15" s="1144"/>
      <c r="G15" s="1144"/>
      <c r="H15" s="1144"/>
      <c r="I15" s="114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142" t="s">
        <v>1231</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144" t="s">
        <v>6</v>
      </c>
      <c r="C18" s="1144"/>
      <c r="D18" s="1144"/>
      <c r="E18" s="1144"/>
      <c r="F18" s="1144"/>
      <c r="G18" s="1144"/>
      <c r="H18" s="1144"/>
      <c r="I18" s="1144"/>
      <c r="J18" s="1"/>
      <c r="K18" s="1"/>
      <c r="L18" s="1"/>
      <c r="M18" s="1"/>
      <c r="N18" s="1"/>
      <c r="O18" s="1"/>
      <c r="P18" s="1"/>
      <c r="Q18" s="1"/>
      <c r="R18" s="1"/>
      <c r="S18" s="1"/>
      <c r="T18" s="1"/>
      <c r="U18" s="1"/>
      <c r="V18" s="1"/>
      <c r="W18" s="1"/>
      <c r="X18" s="1"/>
      <c r="Y18" s="1"/>
      <c r="Z18" s="1"/>
      <c r="AA18" s="1"/>
      <c r="AB18" s="1"/>
      <c r="AC18" s="1"/>
      <c r="AD18" s="1"/>
      <c r="AE18" s="1"/>
      <c r="AF18" s="1"/>
    </row>
    <row r="19" spans="1:32" ht="86.25" customHeight="1" x14ac:dyDescent="0.3">
      <c r="A19" s="4"/>
      <c r="B19" s="872" t="s">
        <v>3929</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1"/>
      <c r="B22" s="872" t="s">
        <v>1232</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x14ac:dyDescent="0.3">
      <c r="A23" s="1"/>
      <c r="B23" s="4"/>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5" spans="1:32"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3">
      <c r="A26" s="231" t="s">
        <v>2027</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row>
    <row r="27" spans="1:32" x14ac:dyDescent="0.3">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x14ac:dyDescent="0.3">
      <c r="A28" s="40"/>
      <c r="B28" s="162"/>
      <c r="C28" s="40"/>
      <c r="E28" s="40"/>
      <c r="F28" s="40"/>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40"/>
      <c r="AF28" s="546" t="s">
        <v>1463</v>
      </c>
    </row>
    <row r="29" spans="1:32" x14ac:dyDescent="0.3">
      <c r="A29" s="40"/>
      <c r="B29" s="40"/>
      <c r="C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169"/>
    </row>
    <row r="30" spans="1:32" x14ac:dyDescent="0.3">
      <c r="A30" s="231" t="s">
        <v>2137</v>
      </c>
      <c r="B30" s="40"/>
      <c r="C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169"/>
    </row>
    <row r="31" spans="1:32" x14ac:dyDescent="0.3">
      <c r="A31" s="40"/>
      <c r="B31" s="40"/>
      <c r="C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169"/>
    </row>
    <row r="32" spans="1:32" x14ac:dyDescent="0.3">
      <c r="A32" s="40"/>
      <c r="B32" s="40"/>
      <c r="C32" s="40"/>
      <c r="E32" s="40"/>
      <c r="F32" s="40"/>
      <c r="G32" s="118"/>
      <c r="H32" s="4"/>
      <c r="I32" s="4"/>
      <c r="J32" s="4"/>
      <c r="K32" s="4"/>
      <c r="L32" s="4"/>
      <c r="M32" s="4"/>
      <c r="N32" s="4"/>
      <c r="O32" s="4"/>
      <c r="P32" s="4"/>
      <c r="Q32" s="4"/>
      <c r="R32" s="4"/>
      <c r="S32" s="4"/>
      <c r="T32" s="4"/>
      <c r="U32" s="4"/>
      <c r="V32" s="4"/>
      <c r="W32" s="4"/>
      <c r="X32" s="4"/>
      <c r="Y32" s="4"/>
      <c r="Z32" s="4"/>
      <c r="AA32" s="4"/>
      <c r="AB32" s="4"/>
      <c r="AC32" s="4"/>
      <c r="AD32" s="4"/>
      <c r="AE32" s="40"/>
      <c r="AF32" s="272" t="s">
        <v>1464</v>
      </c>
    </row>
    <row r="33" spans="1:33" x14ac:dyDescent="0.3">
      <c r="A33" s="40"/>
      <c r="B33" s="40"/>
      <c r="C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169"/>
    </row>
    <row r="34" spans="1:33" x14ac:dyDescent="0.3">
      <c r="A34" s="231" t="s">
        <v>1811</v>
      </c>
      <c r="B34" s="40"/>
      <c r="C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169"/>
    </row>
    <row r="35" spans="1:33" x14ac:dyDescent="0.3">
      <c r="A35" s="40"/>
      <c r="B35" s="40"/>
      <c r="C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169"/>
    </row>
    <row r="36" spans="1:33" x14ac:dyDescent="0.3">
      <c r="A36" s="40"/>
      <c r="B36" s="162"/>
      <c r="C36" s="40"/>
      <c r="E36" s="40"/>
      <c r="F36" s="40"/>
      <c r="G36" s="71"/>
      <c r="H36" s="71"/>
      <c r="I36" s="71"/>
      <c r="J36" s="71"/>
      <c r="K36" s="71"/>
      <c r="L36" s="71"/>
      <c r="M36" s="71"/>
      <c r="N36" s="71"/>
      <c r="O36" s="71"/>
      <c r="P36" s="71"/>
      <c r="Q36" s="71"/>
      <c r="R36" s="71"/>
      <c r="S36" s="71"/>
      <c r="T36" s="71"/>
      <c r="U36" s="71"/>
      <c r="V36" s="71"/>
      <c r="W36" s="71"/>
      <c r="X36" s="71"/>
      <c r="Y36" s="71"/>
      <c r="Z36" s="71"/>
      <c r="AA36" s="71"/>
      <c r="AB36" s="71"/>
      <c r="AC36" s="71"/>
      <c r="AD36" s="71"/>
      <c r="AE36" s="40"/>
      <c r="AF36" s="188" t="s">
        <v>1465</v>
      </c>
    </row>
    <row r="37" spans="1:33"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169"/>
    </row>
    <row r="38" spans="1:33"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3" x14ac:dyDescent="0.3">
      <c r="A39" s="1141" t="s">
        <v>8</v>
      </c>
      <c r="B39" s="1141"/>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row>
    <row r="40" spans="1:33" x14ac:dyDescent="0.3">
      <c r="A40" s="1143" t="s">
        <v>9</v>
      </c>
      <c r="B40" s="1143"/>
      <c r="C40" s="1143"/>
      <c r="D40" s="1143"/>
      <c r="E40" s="1143" t="s">
        <v>3</v>
      </c>
      <c r="F40" s="1143"/>
      <c r="G40" s="1143"/>
      <c r="H40" s="1143"/>
      <c r="I40" s="1143"/>
      <c r="J40" s="1143"/>
      <c r="K40" s="1143"/>
      <c r="L40" s="1143"/>
      <c r="M40" s="1143"/>
      <c r="N40" s="1143"/>
      <c r="O40" s="1143"/>
      <c r="P40" s="1143"/>
      <c r="Q40" s="1143" t="s">
        <v>10</v>
      </c>
      <c r="R40" s="1143"/>
      <c r="S40" s="1143"/>
      <c r="T40" s="1143"/>
      <c r="U40" s="1259" t="s">
        <v>11</v>
      </c>
      <c r="V40" s="1260"/>
      <c r="W40" s="1421"/>
      <c r="X40" s="1259" t="s">
        <v>2612</v>
      </c>
      <c r="Y40" s="1260"/>
      <c r="Z40" s="1260"/>
      <c r="AA40" s="1260"/>
      <c r="AB40" s="1260"/>
      <c r="AC40" s="1260"/>
      <c r="AD40" s="1260"/>
      <c r="AE40" s="1260"/>
      <c r="AF40" s="1421"/>
    </row>
    <row r="41" spans="1:33" ht="221.25" customHeight="1" x14ac:dyDescent="0.3">
      <c r="A41" s="1349" t="s">
        <v>3930</v>
      </c>
      <c r="B41" s="1350" t="s">
        <v>505</v>
      </c>
      <c r="C41" s="1350" t="s">
        <v>505</v>
      </c>
      <c r="D41" s="1351" t="s">
        <v>505</v>
      </c>
      <c r="E41" s="1163" t="s">
        <v>3931</v>
      </c>
      <c r="F41" s="1164" t="s">
        <v>506</v>
      </c>
      <c r="G41" s="1164" t="s">
        <v>506</v>
      </c>
      <c r="H41" s="1164" t="s">
        <v>506</v>
      </c>
      <c r="I41" s="1164" t="s">
        <v>506</v>
      </c>
      <c r="J41" s="1164" t="s">
        <v>506</v>
      </c>
      <c r="K41" s="1164" t="s">
        <v>506</v>
      </c>
      <c r="L41" s="1164" t="s">
        <v>506</v>
      </c>
      <c r="M41" s="1164" t="s">
        <v>506</v>
      </c>
      <c r="N41" s="1164" t="s">
        <v>506</v>
      </c>
      <c r="O41" s="1164" t="s">
        <v>506</v>
      </c>
      <c r="P41" s="1165" t="s">
        <v>506</v>
      </c>
      <c r="Q41" s="1333">
        <v>0.17752203098384522</v>
      </c>
      <c r="R41" s="1334">
        <v>0.2</v>
      </c>
      <c r="S41" s="1334">
        <v>0.2</v>
      </c>
      <c r="T41" s="1335">
        <v>0.2</v>
      </c>
      <c r="U41" s="1352" t="s">
        <v>20</v>
      </c>
      <c r="V41" s="1353"/>
      <c r="W41" s="1354"/>
      <c r="X41" s="1163" t="s">
        <v>3932</v>
      </c>
      <c r="Y41" s="1164" t="s">
        <v>513</v>
      </c>
      <c r="Z41" s="1164" t="s">
        <v>513</v>
      </c>
      <c r="AA41" s="1164" t="s">
        <v>513</v>
      </c>
      <c r="AB41" s="1164" t="s">
        <v>513</v>
      </c>
      <c r="AC41" s="1164" t="s">
        <v>513</v>
      </c>
      <c r="AD41" s="1164" t="s">
        <v>513</v>
      </c>
      <c r="AE41" s="1164" t="s">
        <v>513</v>
      </c>
      <c r="AF41" s="1165" t="s">
        <v>513</v>
      </c>
    </row>
    <row r="42" spans="1:33" ht="60" customHeight="1" x14ac:dyDescent="0.3">
      <c r="A42" s="1157" t="s">
        <v>3933</v>
      </c>
      <c r="B42" s="1158" t="s">
        <v>507</v>
      </c>
      <c r="C42" s="1158" t="s">
        <v>507</v>
      </c>
      <c r="D42" s="1159" t="s">
        <v>507</v>
      </c>
      <c r="E42" s="1163" t="s">
        <v>3934</v>
      </c>
      <c r="F42" s="1164" t="s">
        <v>508</v>
      </c>
      <c r="G42" s="1164" t="s">
        <v>508</v>
      </c>
      <c r="H42" s="1164" t="s">
        <v>508</v>
      </c>
      <c r="I42" s="1164" t="s">
        <v>508</v>
      </c>
      <c r="J42" s="1164" t="s">
        <v>508</v>
      </c>
      <c r="K42" s="1164" t="s">
        <v>508</v>
      </c>
      <c r="L42" s="1164" t="s">
        <v>508</v>
      </c>
      <c r="M42" s="1164" t="s">
        <v>508</v>
      </c>
      <c r="N42" s="1164" t="s">
        <v>508</v>
      </c>
      <c r="O42" s="1164" t="s">
        <v>508</v>
      </c>
      <c r="P42" s="1165" t="s">
        <v>508</v>
      </c>
      <c r="Q42" s="1325">
        <v>24000</v>
      </c>
      <c r="R42" s="1326">
        <v>8500</v>
      </c>
      <c r="S42" s="1326">
        <v>8500</v>
      </c>
      <c r="T42" s="1327">
        <v>8500</v>
      </c>
      <c r="U42" s="1166" t="s">
        <v>2722</v>
      </c>
      <c r="V42" s="1167"/>
      <c r="W42" s="1168"/>
      <c r="X42" s="1163" t="s">
        <v>4344</v>
      </c>
      <c r="Y42" s="1164" t="s">
        <v>509</v>
      </c>
      <c r="Z42" s="1164" t="s">
        <v>509</v>
      </c>
      <c r="AA42" s="1164" t="s">
        <v>509</v>
      </c>
      <c r="AB42" s="1164" t="s">
        <v>509</v>
      </c>
      <c r="AC42" s="1164" t="s">
        <v>509</v>
      </c>
      <c r="AD42" s="1164" t="s">
        <v>509</v>
      </c>
      <c r="AE42" s="1164" t="s">
        <v>509</v>
      </c>
      <c r="AF42" s="1165" t="s">
        <v>509</v>
      </c>
      <c r="AG42" s="121"/>
    </row>
    <row r="43" spans="1:33" ht="60" customHeight="1" x14ac:dyDescent="0.3">
      <c r="A43" s="1160"/>
      <c r="B43" s="1161"/>
      <c r="C43" s="1161"/>
      <c r="D43" s="1162"/>
      <c r="E43" s="1163" t="s">
        <v>3935</v>
      </c>
      <c r="F43" s="1164" t="s">
        <v>508</v>
      </c>
      <c r="G43" s="1164" t="s">
        <v>508</v>
      </c>
      <c r="H43" s="1164" t="s">
        <v>508</v>
      </c>
      <c r="I43" s="1164" t="s">
        <v>508</v>
      </c>
      <c r="J43" s="1164" t="s">
        <v>508</v>
      </c>
      <c r="K43" s="1164" t="s">
        <v>508</v>
      </c>
      <c r="L43" s="1164" t="s">
        <v>508</v>
      </c>
      <c r="M43" s="1164" t="s">
        <v>508</v>
      </c>
      <c r="N43" s="1164" t="s">
        <v>508</v>
      </c>
      <c r="O43" s="1164" t="s">
        <v>508</v>
      </c>
      <c r="P43" s="1165" t="s">
        <v>508</v>
      </c>
      <c r="Q43" s="1325">
        <v>36000</v>
      </c>
      <c r="R43" s="1326">
        <v>8500</v>
      </c>
      <c r="S43" s="1326">
        <v>8500</v>
      </c>
      <c r="T43" s="1327">
        <v>8500</v>
      </c>
      <c r="U43" s="1166" t="s">
        <v>2722</v>
      </c>
      <c r="V43" s="1167"/>
      <c r="W43" s="1168"/>
      <c r="X43" s="1163" t="s">
        <v>3936</v>
      </c>
      <c r="Y43" s="1164" t="s">
        <v>509</v>
      </c>
      <c r="Z43" s="1164" t="s">
        <v>509</v>
      </c>
      <c r="AA43" s="1164" t="s">
        <v>509</v>
      </c>
      <c r="AB43" s="1164" t="s">
        <v>509</v>
      </c>
      <c r="AC43" s="1164" t="s">
        <v>509</v>
      </c>
      <c r="AD43" s="1164" t="s">
        <v>509</v>
      </c>
      <c r="AE43" s="1164" t="s">
        <v>509</v>
      </c>
      <c r="AF43" s="1165" t="s">
        <v>509</v>
      </c>
    </row>
    <row r="44" spans="1:33" x14ac:dyDescent="0.3">
      <c r="A44" s="1349" t="s">
        <v>159</v>
      </c>
      <c r="B44" s="1350"/>
      <c r="C44" s="1350"/>
      <c r="D44" s="1351"/>
      <c r="E44" s="1163" t="s">
        <v>3509</v>
      </c>
      <c r="F44" s="1164"/>
      <c r="G44" s="1164"/>
      <c r="H44" s="1164"/>
      <c r="I44" s="1164"/>
      <c r="J44" s="1164"/>
      <c r="K44" s="1164"/>
      <c r="L44" s="1164"/>
      <c r="M44" s="1164"/>
      <c r="N44" s="1164"/>
      <c r="O44" s="1164"/>
      <c r="P44" s="1165"/>
      <c r="Q44" s="1325">
        <v>1000</v>
      </c>
      <c r="R44" s="1326"/>
      <c r="S44" s="1326"/>
      <c r="T44" s="1327"/>
      <c r="U44" s="1166" t="s">
        <v>271</v>
      </c>
      <c r="V44" s="1167"/>
      <c r="W44" s="1168"/>
      <c r="X44" s="1163"/>
      <c r="Y44" s="1164"/>
      <c r="Z44" s="1164"/>
      <c r="AA44" s="1164"/>
      <c r="AB44" s="1164"/>
      <c r="AC44" s="1164"/>
      <c r="AD44" s="1164"/>
      <c r="AE44" s="1164"/>
      <c r="AF44" s="1165"/>
    </row>
    <row r="45" spans="1:33" ht="114" customHeight="1" x14ac:dyDescent="0.3">
      <c r="A45" s="2952" t="s">
        <v>798</v>
      </c>
      <c r="B45" s="2953"/>
      <c r="C45" s="2953"/>
      <c r="D45" s="2954"/>
      <c r="E45" s="1163" t="s">
        <v>3937</v>
      </c>
      <c r="F45" s="1164" t="s">
        <v>510</v>
      </c>
      <c r="G45" s="1164" t="s">
        <v>510</v>
      </c>
      <c r="H45" s="1164" t="s">
        <v>510</v>
      </c>
      <c r="I45" s="1164" t="s">
        <v>510</v>
      </c>
      <c r="J45" s="1164" t="s">
        <v>510</v>
      </c>
      <c r="K45" s="1164" t="s">
        <v>510</v>
      </c>
      <c r="L45" s="1164" t="s">
        <v>510</v>
      </c>
      <c r="M45" s="1164" t="s">
        <v>510</v>
      </c>
      <c r="N45" s="1164" t="s">
        <v>510</v>
      </c>
      <c r="O45" s="1164" t="s">
        <v>510</v>
      </c>
      <c r="P45" s="1165" t="s">
        <v>510</v>
      </c>
      <c r="Q45" s="2847">
        <v>13</v>
      </c>
      <c r="R45" s="2848">
        <v>9.8000000000000007</v>
      </c>
      <c r="S45" s="2848">
        <v>9.8000000000000007</v>
      </c>
      <c r="T45" s="2849">
        <v>9.8000000000000007</v>
      </c>
      <c r="U45" s="1166" t="s">
        <v>2725</v>
      </c>
      <c r="V45" s="1167"/>
      <c r="W45" s="1168"/>
      <c r="X45" s="1163" t="s">
        <v>3938</v>
      </c>
      <c r="Y45" s="1164"/>
      <c r="Z45" s="1164"/>
      <c r="AA45" s="1164"/>
      <c r="AB45" s="1164"/>
      <c r="AC45" s="1164"/>
      <c r="AD45" s="1164"/>
      <c r="AE45" s="1164"/>
      <c r="AF45" s="1165"/>
    </row>
    <row r="46" spans="1:33" ht="99" customHeight="1" x14ac:dyDescent="0.3">
      <c r="A46" s="2978"/>
      <c r="B46" s="2979"/>
      <c r="C46" s="2979"/>
      <c r="D46" s="2980"/>
      <c r="E46" s="1163" t="s">
        <v>3939</v>
      </c>
      <c r="F46" s="1164" t="s">
        <v>510</v>
      </c>
      <c r="G46" s="1164" t="s">
        <v>510</v>
      </c>
      <c r="H46" s="1164" t="s">
        <v>510</v>
      </c>
      <c r="I46" s="1164" t="s">
        <v>510</v>
      </c>
      <c r="J46" s="1164" t="s">
        <v>510</v>
      </c>
      <c r="K46" s="1164" t="s">
        <v>510</v>
      </c>
      <c r="L46" s="1164" t="s">
        <v>510</v>
      </c>
      <c r="M46" s="1164" t="s">
        <v>510</v>
      </c>
      <c r="N46" s="1164" t="s">
        <v>510</v>
      </c>
      <c r="O46" s="1164" t="s">
        <v>510</v>
      </c>
      <c r="P46" s="1165" t="s">
        <v>510</v>
      </c>
      <c r="Q46" s="2847">
        <v>14</v>
      </c>
      <c r="R46" s="2848">
        <v>9.8000000000000007</v>
      </c>
      <c r="S46" s="2848">
        <v>9.8000000000000007</v>
      </c>
      <c r="T46" s="2849">
        <v>9.8000000000000007</v>
      </c>
      <c r="U46" s="1166" t="s">
        <v>2725</v>
      </c>
      <c r="V46" s="1167"/>
      <c r="W46" s="1168"/>
      <c r="X46" s="1163" t="s">
        <v>3940</v>
      </c>
      <c r="Y46" s="1164"/>
      <c r="Z46" s="1164"/>
      <c r="AA46" s="1164"/>
      <c r="AB46" s="1164"/>
      <c r="AC46" s="1164"/>
      <c r="AD46" s="1164"/>
      <c r="AE46" s="1164"/>
      <c r="AF46" s="1165"/>
    </row>
    <row r="47" spans="1:33" ht="89.25" customHeight="1" x14ac:dyDescent="0.3">
      <c r="A47" s="2955"/>
      <c r="B47" s="2956"/>
      <c r="C47" s="2956"/>
      <c r="D47" s="2957"/>
      <c r="E47" s="2862" t="s">
        <v>3941</v>
      </c>
      <c r="F47" s="2862"/>
      <c r="G47" s="2862" t="s">
        <v>204</v>
      </c>
      <c r="H47" s="2862"/>
      <c r="I47" s="2862" t="s">
        <v>204</v>
      </c>
      <c r="J47" s="2862"/>
      <c r="K47" s="2862" t="s">
        <v>204</v>
      </c>
      <c r="L47" s="2862"/>
      <c r="M47" s="2862" t="s">
        <v>204</v>
      </c>
      <c r="N47" s="2862"/>
      <c r="O47" s="2862" t="s">
        <v>204</v>
      </c>
      <c r="P47" s="2862"/>
      <c r="Q47" s="1743">
        <v>9.4</v>
      </c>
      <c r="R47" s="1743" t="s">
        <v>205</v>
      </c>
      <c r="S47" s="1743" t="s">
        <v>205</v>
      </c>
      <c r="T47" s="1743" t="s">
        <v>205</v>
      </c>
      <c r="U47" s="1737" t="s">
        <v>2725</v>
      </c>
      <c r="V47" s="1738"/>
      <c r="W47" s="1739"/>
      <c r="X47" s="1740" t="s">
        <v>3942</v>
      </c>
      <c r="Y47" s="1741"/>
      <c r="Z47" s="1741"/>
      <c r="AA47" s="1741"/>
      <c r="AB47" s="1741"/>
      <c r="AC47" s="1741"/>
      <c r="AD47" s="1741"/>
      <c r="AE47" s="1741"/>
      <c r="AF47" s="1742"/>
    </row>
    <row r="48" spans="1:33" ht="87" customHeight="1" x14ac:dyDescent="0.3">
      <c r="A48" s="2972" t="s">
        <v>3943</v>
      </c>
      <c r="B48" s="2973"/>
      <c r="C48" s="2973"/>
      <c r="D48" s="2974"/>
      <c r="E48" s="2862" t="s">
        <v>3944</v>
      </c>
      <c r="F48" s="2862"/>
      <c r="G48" s="2862" t="s">
        <v>204</v>
      </c>
      <c r="H48" s="2862"/>
      <c r="I48" s="2862" t="s">
        <v>204</v>
      </c>
      <c r="J48" s="2862"/>
      <c r="K48" s="2862" t="s">
        <v>204</v>
      </c>
      <c r="L48" s="2862"/>
      <c r="M48" s="2862" t="s">
        <v>204</v>
      </c>
      <c r="N48" s="2862"/>
      <c r="O48" s="2862" t="s">
        <v>204</v>
      </c>
      <c r="P48" s="2862"/>
      <c r="Q48" s="1743">
        <v>9.6999999999999993</v>
      </c>
      <c r="R48" s="1743" t="s">
        <v>205</v>
      </c>
      <c r="S48" s="1743" t="s">
        <v>205</v>
      </c>
      <c r="T48" s="1743" t="s">
        <v>205</v>
      </c>
      <c r="U48" s="1737" t="s">
        <v>2725</v>
      </c>
      <c r="V48" s="1738"/>
      <c r="W48" s="1739"/>
      <c r="X48" s="1740" t="s">
        <v>3945</v>
      </c>
      <c r="Y48" s="1741"/>
      <c r="Z48" s="1741"/>
      <c r="AA48" s="1741"/>
      <c r="AB48" s="1741"/>
      <c r="AC48" s="1741"/>
      <c r="AD48" s="1741"/>
      <c r="AE48" s="1741"/>
      <c r="AF48" s="1742"/>
    </row>
    <row r="49" spans="1:32" ht="79.5" customHeight="1" x14ac:dyDescent="0.3">
      <c r="A49" s="2975"/>
      <c r="B49" s="2976"/>
      <c r="C49" s="2976"/>
      <c r="D49" s="2977"/>
      <c r="E49" s="2862" t="s">
        <v>3946</v>
      </c>
      <c r="F49" s="2862"/>
      <c r="G49" s="2862" t="s">
        <v>204</v>
      </c>
      <c r="H49" s="2862"/>
      <c r="I49" s="2862" t="s">
        <v>204</v>
      </c>
      <c r="J49" s="2862"/>
      <c r="K49" s="2862" t="s">
        <v>204</v>
      </c>
      <c r="L49" s="2862"/>
      <c r="M49" s="2862" t="s">
        <v>204</v>
      </c>
      <c r="N49" s="2862"/>
      <c r="O49" s="2862" t="s">
        <v>204</v>
      </c>
      <c r="P49" s="2862"/>
      <c r="Q49" s="1743">
        <v>10.9</v>
      </c>
      <c r="R49" s="1743" t="s">
        <v>205</v>
      </c>
      <c r="S49" s="1743" t="s">
        <v>205</v>
      </c>
      <c r="T49" s="1743" t="s">
        <v>205</v>
      </c>
      <c r="U49" s="1737" t="s">
        <v>2725</v>
      </c>
      <c r="V49" s="1738"/>
      <c r="W49" s="1739"/>
      <c r="X49" s="1740" t="s">
        <v>3947</v>
      </c>
      <c r="Y49" s="1741"/>
      <c r="Z49" s="1741"/>
      <c r="AA49" s="1741"/>
      <c r="AB49" s="1741"/>
      <c r="AC49" s="1741"/>
      <c r="AD49" s="1741"/>
      <c r="AE49" s="1741"/>
      <c r="AF49" s="1742"/>
    </row>
    <row r="50" spans="1:32" ht="126.75" customHeight="1" x14ac:dyDescent="0.3">
      <c r="A50" s="2943" t="s">
        <v>235</v>
      </c>
      <c r="B50" s="2944"/>
      <c r="C50" s="2944"/>
      <c r="D50" s="2945"/>
      <c r="E50" s="1163" t="s">
        <v>3948</v>
      </c>
      <c r="F50" s="1164" t="s">
        <v>511</v>
      </c>
      <c r="G50" s="1164" t="s">
        <v>511</v>
      </c>
      <c r="H50" s="1164" t="s">
        <v>511</v>
      </c>
      <c r="I50" s="1164" t="s">
        <v>511</v>
      </c>
      <c r="J50" s="1164" t="s">
        <v>511</v>
      </c>
      <c r="K50" s="1164" t="s">
        <v>511</v>
      </c>
      <c r="L50" s="1164" t="s">
        <v>511</v>
      </c>
      <c r="M50" s="1164" t="s">
        <v>511</v>
      </c>
      <c r="N50" s="1164" t="s">
        <v>511</v>
      </c>
      <c r="O50" s="1164" t="s">
        <v>511</v>
      </c>
      <c r="P50" s="1165" t="s">
        <v>511</v>
      </c>
      <c r="Q50" s="1736">
        <v>1884</v>
      </c>
      <c r="R50" s="1736">
        <v>1825</v>
      </c>
      <c r="S50" s="1736">
        <v>1825</v>
      </c>
      <c r="T50" s="1736">
        <v>1825</v>
      </c>
      <c r="U50" s="1352" t="s">
        <v>37</v>
      </c>
      <c r="V50" s="1353"/>
      <c r="W50" s="1354"/>
      <c r="X50" s="1163" t="s">
        <v>3388</v>
      </c>
      <c r="Y50" s="1164"/>
      <c r="Z50" s="1164"/>
      <c r="AA50" s="1164"/>
      <c r="AB50" s="1164"/>
      <c r="AC50" s="1164"/>
      <c r="AD50" s="1164"/>
      <c r="AE50" s="1164"/>
      <c r="AF50" s="1165"/>
    </row>
    <row r="51" spans="1:32" ht="139.5" customHeight="1" x14ac:dyDescent="0.3">
      <c r="A51" s="2946"/>
      <c r="B51" s="2947"/>
      <c r="C51" s="2947"/>
      <c r="D51" s="2948"/>
      <c r="E51" s="2862" t="s">
        <v>3949</v>
      </c>
      <c r="F51" s="2862"/>
      <c r="G51" s="2862" t="s">
        <v>207</v>
      </c>
      <c r="H51" s="2862"/>
      <c r="I51" s="2862" t="s">
        <v>207</v>
      </c>
      <c r="J51" s="2862"/>
      <c r="K51" s="2862" t="s">
        <v>207</v>
      </c>
      <c r="L51" s="2862"/>
      <c r="M51" s="2862" t="s">
        <v>207</v>
      </c>
      <c r="N51" s="2862"/>
      <c r="O51" s="2862" t="s">
        <v>207</v>
      </c>
      <c r="P51" s="2862"/>
      <c r="Q51" s="1736">
        <v>2528</v>
      </c>
      <c r="R51" s="1736">
        <v>1825</v>
      </c>
      <c r="S51" s="1736">
        <v>1825</v>
      </c>
      <c r="T51" s="1736">
        <v>1825</v>
      </c>
      <c r="U51" s="1737" t="s">
        <v>790</v>
      </c>
      <c r="V51" s="1738"/>
      <c r="W51" s="1739" t="s">
        <v>851</v>
      </c>
      <c r="X51" s="1740" t="s">
        <v>3950</v>
      </c>
      <c r="Y51" s="1741"/>
      <c r="Z51" s="1741"/>
      <c r="AA51" s="1741"/>
      <c r="AB51" s="1741"/>
      <c r="AC51" s="1741"/>
      <c r="AD51" s="1741"/>
      <c r="AE51" s="1741"/>
      <c r="AF51" s="1742"/>
    </row>
    <row r="52" spans="1:32" ht="60" customHeight="1" x14ac:dyDescent="0.3">
      <c r="A52" s="2859" t="s">
        <v>3951</v>
      </c>
      <c r="B52" s="2860" t="s">
        <v>206</v>
      </c>
      <c r="C52" s="2860" t="s">
        <v>206</v>
      </c>
      <c r="D52" s="2861" t="s">
        <v>206</v>
      </c>
      <c r="E52" s="2862" t="s">
        <v>3952</v>
      </c>
      <c r="F52" s="2862"/>
      <c r="G52" s="2862" t="s">
        <v>207</v>
      </c>
      <c r="H52" s="2862"/>
      <c r="I52" s="2862" t="s">
        <v>207</v>
      </c>
      <c r="J52" s="2862"/>
      <c r="K52" s="2862" t="s">
        <v>207</v>
      </c>
      <c r="L52" s="2862"/>
      <c r="M52" s="2862" t="s">
        <v>207</v>
      </c>
      <c r="N52" s="2862"/>
      <c r="O52" s="2862" t="s">
        <v>207</v>
      </c>
      <c r="P52" s="2862"/>
      <c r="Q52" s="1736">
        <v>321.17584800000003</v>
      </c>
      <c r="R52" s="1736">
        <v>1825</v>
      </c>
      <c r="S52" s="1736">
        <v>1825</v>
      </c>
      <c r="T52" s="1736">
        <v>1825</v>
      </c>
      <c r="U52" s="1737" t="s">
        <v>36</v>
      </c>
      <c r="V52" s="1738"/>
      <c r="W52" s="1739" t="s">
        <v>851</v>
      </c>
      <c r="X52" s="1740" t="s">
        <v>3953</v>
      </c>
      <c r="Y52" s="1741"/>
      <c r="Z52" s="1741"/>
      <c r="AA52" s="1741"/>
      <c r="AB52" s="1741"/>
      <c r="AC52" s="1741"/>
      <c r="AD52" s="1741"/>
      <c r="AE52" s="1741"/>
      <c r="AF52" s="1742"/>
    </row>
    <row r="53" spans="1:32" ht="60" customHeight="1" x14ac:dyDescent="0.3">
      <c r="A53" s="2859" t="s">
        <v>3954</v>
      </c>
      <c r="B53" s="2860" t="s">
        <v>206</v>
      </c>
      <c r="C53" s="2860" t="s">
        <v>206</v>
      </c>
      <c r="D53" s="2861" t="s">
        <v>206</v>
      </c>
      <c r="E53" s="2862" t="s">
        <v>3955</v>
      </c>
      <c r="F53" s="2862"/>
      <c r="G53" s="2862" t="s">
        <v>207</v>
      </c>
      <c r="H53" s="2862"/>
      <c r="I53" s="2862" t="s">
        <v>207</v>
      </c>
      <c r="J53" s="2862"/>
      <c r="K53" s="2862" t="s">
        <v>207</v>
      </c>
      <c r="L53" s="2862"/>
      <c r="M53" s="2862" t="s">
        <v>207</v>
      </c>
      <c r="N53" s="2862"/>
      <c r="O53" s="2862" t="s">
        <v>207</v>
      </c>
      <c r="P53" s="2862"/>
      <c r="Q53" s="2971">
        <v>0.10898400000000001</v>
      </c>
      <c r="R53" s="2971">
        <v>1825</v>
      </c>
      <c r="S53" s="2971">
        <v>1825</v>
      </c>
      <c r="T53" s="2971">
        <v>1825</v>
      </c>
      <c r="U53" s="1737" t="s">
        <v>18</v>
      </c>
      <c r="V53" s="1738"/>
      <c r="W53" s="1739" t="s">
        <v>851</v>
      </c>
      <c r="X53" s="1740" t="s">
        <v>3953</v>
      </c>
      <c r="Y53" s="1741"/>
      <c r="Z53" s="1741"/>
      <c r="AA53" s="1741"/>
      <c r="AB53" s="1741"/>
      <c r="AC53" s="1741"/>
      <c r="AD53" s="1741"/>
      <c r="AE53" s="1741"/>
      <c r="AF53" s="1742"/>
    </row>
    <row r="54" spans="1:32" ht="60" customHeight="1" x14ac:dyDescent="0.3">
      <c r="A54" s="2970" t="s">
        <v>443</v>
      </c>
      <c r="B54" s="1350" t="s">
        <v>443</v>
      </c>
      <c r="C54" s="1350" t="s">
        <v>443</v>
      </c>
      <c r="D54" s="1351" t="s">
        <v>443</v>
      </c>
      <c r="E54" s="1163" t="s">
        <v>96</v>
      </c>
      <c r="F54" s="1164" t="s">
        <v>444</v>
      </c>
      <c r="G54" s="1164" t="s">
        <v>444</v>
      </c>
      <c r="H54" s="1164" t="s">
        <v>444</v>
      </c>
      <c r="I54" s="1164" t="s">
        <v>444</v>
      </c>
      <c r="J54" s="1164" t="s">
        <v>444</v>
      </c>
      <c r="K54" s="1164" t="s">
        <v>444</v>
      </c>
      <c r="L54" s="1164" t="s">
        <v>444</v>
      </c>
      <c r="M54" s="1164" t="s">
        <v>444</v>
      </c>
      <c r="N54" s="1164" t="s">
        <v>444</v>
      </c>
      <c r="O54" s="1164" t="s">
        <v>444</v>
      </c>
      <c r="P54" s="1165" t="s">
        <v>444</v>
      </c>
      <c r="Q54" s="2140">
        <v>9.6012966243744627E-2</v>
      </c>
      <c r="R54" s="2141">
        <v>0.59</v>
      </c>
      <c r="S54" s="2141">
        <v>0.59</v>
      </c>
      <c r="T54" s="2142">
        <v>0.59</v>
      </c>
      <c r="U54" s="1352" t="s">
        <v>20</v>
      </c>
      <c r="V54" s="1353"/>
      <c r="W54" s="1354"/>
      <c r="X54" s="1163" t="s">
        <v>3956</v>
      </c>
      <c r="Y54" s="1164"/>
      <c r="Z54" s="1164"/>
      <c r="AA54" s="1164"/>
      <c r="AB54" s="1164"/>
      <c r="AC54" s="1164"/>
      <c r="AD54" s="1164"/>
      <c r="AE54" s="1164"/>
      <c r="AF54" s="1165"/>
    </row>
    <row r="55" spans="1:32" x14ac:dyDescent="0.3">
      <c r="A55" s="1349" t="s">
        <v>34</v>
      </c>
      <c r="B55" s="1350" t="s">
        <v>34</v>
      </c>
      <c r="C55" s="1350" t="s">
        <v>34</v>
      </c>
      <c r="D55" s="1351" t="s">
        <v>34</v>
      </c>
      <c r="E55" s="1163" t="s">
        <v>644</v>
      </c>
      <c r="F55" s="1164" t="s">
        <v>446</v>
      </c>
      <c r="G55" s="1164" t="s">
        <v>446</v>
      </c>
      <c r="H55" s="1164" t="s">
        <v>446</v>
      </c>
      <c r="I55" s="1164" t="s">
        <v>446</v>
      </c>
      <c r="J55" s="1164" t="s">
        <v>446</v>
      </c>
      <c r="K55" s="1164" t="s">
        <v>446</v>
      </c>
      <c r="L55" s="1164" t="s">
        <v>446</v>
      </c>
      <c r="M55" s="1164" t="s">
        <v>446</v>
      </c>
      <c r="N55" s="1164" t="s">
        <v>446</v>
      </c>
      <c r="O55" s="1164" t="s">
        <v>446</v>
      </c>
      <c r="P55" s="1165" t="s">
        <v>446</v>
      </c>
      <c r="Q55" s="2967">
        <v>1</v>
      </c>
      <c r="R55" s="2968">
        <v>1</v>
      </c>
      <c r="S55" s="2968">
        <v>1</v>
      </c>
      <c r="T55" s="2969">
        <v>1</v>
      </c>
      <c r="U55" s="1352" t="s">
        <v>20</v>
      </c>
      <c r="V55" s="1353"/>
      <c r="W55" s="1354"/>
      <c r="X55" s="1349"/>
      <c r="Y55" s="1350"/>
      <c r="Z55" s="1350"/>
      <c r="AA55" s="1350"/>
      <c r="AB55" s="1350"/>
      <c r="AC55" s="1350"/>
      <c r="AD55" s="1350"/>
      <c r="AE55" s="1350"/>
      <c r="AF55" s="1351"/>
    </row>
    <row r="56" spans="1:32" ht="15.6" x14ac:dyDescent="0.3">
      <c r="A56" s="1349" t="s">
        <v>3886</v>
      </c>
      <c r="B56" s="1350" t="s">
        <v>26</v>
      </c>
      <c r="C56" s="1350" t="s">
        <v>26</v>
      </c>
      <c r="D56" s="1351" t="s">
        <v>26</v>
      </c>
      <c r="E56" s="1163" t="s">
        <v>2050</v>
      </c>
      <c r="F56" s="1164" t="s">
        <v>208</v>
      </c>
      <c r="G56" s="1164" t="s">
        <v>208</v>
      </c>
      <c r="H56" s="1164" t="s">
        <v>208</v>
      </c>
      <c r="I56" s="1164" t="s">
        <v>208</v>
      </c>
      <c r="J56" s="1164" t="s">
        <v>208</v>
      </c>
      <c r="K56" s="1164" t="s">
        <v>208</v>
      </c>
      <c r="L56" s="1164" t="s">
        <v>208</v>
      </c>
      <c r="M56" s="1164" t="s">
        <v>208</v>
      </c>
      <c r="N56" s="1164" t="s">
        <v>208</v>
      </c>
      <c r="O56" s="1164" t="s">
        <v>208</v>
      </c>
      <c r="P56" s="1165" t="s">
        <v>208</v>
      </c>
      <c r="Q56" s="2967">
        <f>'Master EUL'!X24</f>
        <v>20</v>
      </c>
      <c r="R56" s="2968" t="s">
        <v>347</v>
      </c>
      <c r="S56" s="2968" t="s">
        <v>347</v>
      </c>
      <c r="T56" s="2969" t="s">
        <v>347</v>
      </c>
      <c r="U56" s="1352" t="s">
        <v>38</v>
      </c>
      <c r="V56" s="1353"/>
      <c r="W56" s="1354"/>
      <c r="X56" s="1349"/>
      <c r="Y56" s="1350"/>
      <c r="Z56" s="1350"/>
      <c r="AA56" s="1350"/>
      <c r="AB56" s="1350"/>
      <c r="AC56" s="1350"/>
      <c r="AD56" s="1350"/>
      <c r="AE56" s="1350"/>
      <c r="AF56" s="1351"/>
    </row>
    <row r="57" spans="1:32" x14ac:dyDescent="0.3">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c r="AE57" s="57"/>
      <c r="AF57" s="57"/>
    </row>
    <row r="58" spans="1:32" x14ac:dyDescent="0.3">
      <c r="A58" s="57"/>
      <c r="B58" s="57"/>
      <c r="C58" s="57" t="s">
        <v>3957</v>
      </c>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row>
    <row r="59" spans="1:32" x14ac:dyDescent="0.3">
      <c r="A59" s="57"/>
      <c r="B59" s="57"/>
      <c r="C59" s="1405" t="s">
        <v>3958</v>
      </c>
      <c r="D59" s="1405"/>
      <c r="E59" s="1405"/>
      <c r="F59" s="1405"/>
      <c r="G59" s="1405"/>
      <c r="H59" s="1405"/>
      <c r="I59" s="1405"/>
      <c r="J59" s="1405"/>
      <c r="K59" s="1405"/>
      <c r="L59" s="1405"/>
      <c r="M59" s="2938">
        <v>0.15384615384615385</v>
      </c>
      <c r="N59" s="2938"/>
      <c r="O59" s="2938"/>
      <c r="P59" s="2938"/>
      <c r="Q59" s="2938"/>
      <c r="R59" s="57"/>
      <c r="S59" s="57"/>
      <c r="T59" s="57"/>
      <c r="U59" s="57"/>
      <c r="V59" s="551"/>
      <c r="W59" s="57"/>
      <c r="X59" s="57"/>
      <c r="Y59" s="57"/>
      <c r="Z59" s="57"/>
      <c r="AA59" s="57"/>
      <c r="AB59" s="57"/>
      <c r="AC59" s="57"/>
      <c r="AD59" s="57"/>
      <c r="AE59" s="57"/>
      <c r="AF59" s="57"/>
    </row>
    <row r="60" spans="1:32" x14ac:dyDescent="0.3">
      <c r="A60" s="57"/>
      <c r="B60" s="57"/>
      <c r="C60" s="1405" t="s">
        <v>3959</v>
      </c>
      <c r="D60" s="1405"/>
      <c r="E60" s="1405"/>
      <c r="F60" s="1405"/>
      <c r="G60" s="1405"/>
      <c r="H60" s="1405"/>
      <c r="I60" s="1405"/>
      <c r="J60" s="1405"/>
      <c r="K60" s="1405"/>
      <c r="L60" s="1405"/>
      <c r="M60" s="2938">
        <v>0.51923076923076927</v>
      </c>
      <c r="N60" s="2938"/>
      <c r="O60" s="2938"/>
      <c r="P60" s="2938"/>
      <c r="Q60" s="2938"/>
      <c r="R60" s="57"/>
      <c r="S60" s="57"/>
      <c r="T60" s="57"/>
      <c r="U60" s="59"/>
      <c r="V60" s="551"/>
      <c r="W60" s="57"/>
      <c r="X60" s="57"/>
      <c r="Y60" s="57"/>
      <c r="Z60" s="57"/>
      <c r="AA60" s="57"/>
      <c r="AB60" s="57"/>
      <c r="AC60" s="57"/>
      <c r="AD60" s="57"/>
      <c r="AE60" s="57"/>
      <c r="AF60" s="57"/>
    </row>
    <row r="61" spans="1:32" x14ac:dyDescent="0.3">
      <c r="A61" s="57"/>
      <c r="B61" s="57"/>
      <c r="C61" s="1405" t="s">
        <v>3960</v>
      </c>
      <c r="D61" s="1405"/>
      <c r="E61" s="1405"/>
      <c r="F61" s="1405"/>
      <c r="G61" s="1405"/>
      <c r="H61" s="1405"/>
      <c r="I61" s="1405"/>
      <c r="J61" s="1405"/>
      <c r="K61" s="1405"/>
      <c r="L61" s="1405"/>
      <c r="M61" s="2938">
        <v>0.32692307692307693</v>
      </c>
      <c r="N61" s="2938"/>
      <c r="O61" s="2938"/>
      <c r="P61" s="2938"/>
      <c r="Q61" s="2938"/>
      <c r="R61" s="57"/>
      <c r="S61" s="57"/>
      <c r="T61" s="57"/>
      <c r="U61" s="57"/>
      <c r="V61" s="551"/>
      <c r="W61" s="57"/>
      <c r="X61" s="57"/>
      <c r="Y61" s="57"/>
      <c r="Z61" s="57"/>
      <c r="AA61" s="57"/>
      <c r="AB61" s="57"/>
      <c r="AC61" s="57"/>
      <c r="AD61" s="57"/>
      <c r="AE61" s="57"/>
      <c r="AF61" s="57"/>
    </row>
    <row r="62" spans="1:32" ht="16.2" x14ac:dyDescent="0.3">
      <c r="A62" s="57"/>
      <c r="B62" s="57"/>
      <c r="C62" s="1514" t="s">
        <v>3961</v>
      </c>
      <c r="D62" s="1514"/>
      <c r="E62" s="1514"/>
      <c r="F62" s="1514"/>
      <c r="G62" s="1514"/>
      <c r="H62" s="1514"/>
      <c r="I62" s="1514"/>
      <c r="J62" s="1514"/>
      <c r="K62" s="1514"/>
      <c r="L62" s="1514"/>
      <c r="M62" s="1514"/>
      <c r="N62" s="1514"/>
      <c r="O62" s="1514"/>
      <c r="P62" s="1514"/>
      <c r="Q62" s="1514"/>
      <c r="R62" s="57"/>
      <c r="S62" s="57"/>
      <c r="T62" s="57"/>
      <c r="U62" s="94"/>
      <c r="V62" s="57"/>
      <c r="W62" s="57"/>
      <c r="X62" s="57"/>
      <c r="Y62" s="57"/>
      <c r="Z62" s="57"/>
      <c r="AA62" s="57"/>
      <c r="AB62" s="57"/>
      <c r="AC62" s="57"/>
      <c r="AD62" s="57"/>
      <c r="AE62" s="57"/>
      <c r="AF62" s="57"/>
    </row>
    <row r="63" spans="1:32" x14ac:dyDescent="0.3">
      <c r="A63" s="2939"/>
      <c r="B63" s="2939"/>
      <c r="C63" s="552"/>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row>
    <row r="64" spans="1:32" ht="177" customHeight="1" x14ac:dyDescent="0.3">
      <c r="A64" s="2939" t="s">
        <v>830</v>
      </c>
      <c r="B64" s="2939"/>
      <c r="C64" s="1355" t="s">
        <v>3962</v>
      </c>
      <c r="D64" s="1355"/>
      <c r="E64" s="1355"/>
      <c r="F64" s="1355"/>
      <c r="G64" s="1355"/>
      <c r="H64" s="1355"/>
      <c r="I64" s="1355"/>
      <c r="J64" s="1355"/>
      <c r="K64" s="1355"/>
      <c r="L64" s="1355"/>
      <c r="M64" s="1355"/>
      <c r="N64" s="1355"/>
      <c r="O64" s="1355"/>
      <c r="P64" s="1355"/>
      <c r="Q64" s="1355"/>
      <c r="R64" s="1355"/>
      <c r="S64" s="1355"/>
      <c r="T64" s="1355"/>
      <c r="U64" s="1355"/>
      <c r="V64" s="1355"/>
      <c r="W64" s="1355"/>
      <c r="X64" s="1355"/>
      <c r="Y64" s="1355"/>
      <c r="Z64" s="1355"/>
      <c r="AA64" s="1355"/>
      <c r="AB64" s="1355"/>
      <c r="AC64" s="1355"/>
      <c r="AD64" s="1355"/>
      <c r="AE64" s="1355"/>
      <c r="AF64" s="1355"/>
    </row>
    <row r="65" spans="1:32" x14ac:dyDescent="0.3">
      <c r="A65" s="552"/>
      <c r="B65" s="552"/>
      <c r="C65" s="552"/>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row>
    <row r="67" spans="1:32" x14ac:dyDescent="0.3">
      <c r="A67" s="1141" t="s">
        <v>14</v>
      </c>
      <c r="B67" s="1141"/>
      <c r="C67" s="1141"/>
      <c r="D67" s="1141"/>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row>
    <row r="68" spans="1:32" x14ac:dyDescent="0.3">
      <c r="B68" s="232"/>
      <c r="S68" s="1"/>
    </row>
    <row r="69" spans="1:32" x14ac:dyDescent="0.3">
      <c r="B69" s="232" t="s">
        <v>1496</v>
      </c>
      <c r="S69" s="1"/>
    </row>
    <row r="70" spans="1:32" ht="15" thickBot="1" x14ac:dyDescent="0.3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ht="44.25" customHeight="1" x14ac:dyDescent="0.3">
      <c r="A71" s="1252" t="s">
        <v>3963</v>
      </c>
      <c r="B71" s="1253"/>
      <c r="C71" s="1253"/>
      <c r="D71" s="1253"/>
      <c r="E71" s="1253"/>
      <c r="F71" s="1253"/>
      <c r="G71" s="1253"/>
      <c r="H71" s="1253"/>
      <c r="I71" s="1278" t="s">
        <v>16</v>
      </c>
      <c r="J71" s="1278"/>
      <c r="K71" s="1278"/>
      <c r="L71" s="1278"/>
      <c r="M71" s="1278"/>
      <c r="N71" s="1278"/>
      <c r="O71" s="1278"/>
      <c r="P71" s="1278"/>
      <c r="Q71" s="1278" t="s">
        <v>17</v>
      </c>
      <c r="R71" s="1278"/>
      <c r="S71" s="1278"/>
      <c r="T71" s="1278"/>
      <c r="U71" s="1278"/>
      <c r="V71" s="1278"/>
      <c r="W71" s="1278"/>
      <c r="X71" s="1278"/>
      <c r="Y71" s="1278" t="s">
        <v>1554</v>
      </c>
      <c r="Z71" s="1253"/>
      <c r="AA71" s="1253"/>
      <c r="AB71" s="1253"/>
      <c r="AC71" s="1253"/>
      <c r="AD71" s="1253"/>
      <c r="AE71" s="1253"/>
      <c r="AF71" s="1254"/>
    </row>
    <row r="72" spans="1:32" x14ac:dyDescent="0.3">
      <c r="A72" s="1454" t="s">
        <v>3964</v>
      </c>
      <c r="B72" s="949"/>
      <c r="C72" s="949"/>
      <c r="D72" s="949"/>
      <c r="E72" s="949"/>
      <c r="F72" s="949"/>
      <c r="G72" s="949"/>
      <c r="H72" s="949"/>
      <c r="I72" s="2803">
        <f>ROUND((Q43/1000*1/Q45*Q41*Q55-Q53)*Q54,3)</f>
        <v>3.6999999999999998E-2</v>
      </c>
      <c r="J72" s="2803"/>
      <c r="K72" s="2803"/>
      <c r="L72" s="2803"/>
      <c r="M72" s="2803"/>
      <c r="N72" s="2803"/>
      <c r="O72" s="2803"/>
      <c r="P72" s="2803"/>
      <c r="Q72" s="2804">
        <f>ROUND(Q43/1000*1/Q45*Q50*Q41*Q55-Q52,2)</f>
        <v>605</v>
      </c>
      <c r="R72" s="2804"/>
      <c r="S72" s="2804"/>
      <c r="T72" s="2804"/>
      <c r="U72" s="2804"/>
      <c r="V72" s="2804"/>
      <c r="W72" s="2804"/>
      <c r="X72" s="2804"/>
      <c r="Y72" s="2963">
        <f>ROUND(Q72*$Q$56,2)</f>
        <v>12100</v>
      </c>
      <c r="Z72" s="2963"/>
      <c r="AA72" s="2963"/>
      <c r="AB72" s="2963"/>
      <c r="AC72" s="2963"/>
      <c r="AD72" s="2963"/>
      <c r="AE72" s="2963"/>
      <c r="AF72" s="2964"/>
    </row>
    <row r="73" spans="1:32" x14ac:dyDescent="0.3">
      <c r="A73" s="1454" t="s">
        <v>3965</v>
      </c>
      <c r="B73" s="949"/>
      <c r="C73" s="949"/>
      <c r="D73" s="949"/>
      <c r="E73" s="949"/>
      <c r="F73" s="949"/>
      <c r="G73" s="949"/>
      <c r="H73" s="949"/>
      <c r="I73" s="2803">
        <f>ROUND((Q42/1000*1/Q48*Q55*Q41-Q53)*Q54,3)</f>
        <v>3.2000000000000001E-2</v>
      </c>
      <c r="J73" s="2803"/>
      <c r="K73" s="2803"/>
      <c r="L73" s="2803"/>
      <c r="M73" s="2803"/>
      <c r="N73" s="2803"/>
      <c r="O73" s="2803"/>
      <c r="P73" s="2803"/>
      <c r="Q73" s="2804">
        <f>ROUND(Q42/1000*1/Q48*Q51*Q41*Q55-Q52,2)</f>
        <v>789.2</v>
      </c>
      <c r="R73" s="2804"/>
      <c r="S73" s="2804"/>
      <c r="T73" s="2804"/>
      <c r="U73" s="2804"/>
      <c r="V73" s="2804"/>
      <c r="W73" s="2804"/>
      <c r="X73" s="2804"/>
      <c r="Y73" s="2963">
        <f t="shared" ref="Y73:Y74" si="0">ROUND(Q73*$Q$56,2)</f>
        <v>15784</v>
      </c>
      <c r="Z73" s="2963"/>
      <c r="AA73" s="2963"/>
      <c r="AB73" s="2963"/>
      <c r="AC73" s="2963"/>
      <c r="AD73" s="2963"/>
      <c r="AE73" s="2963"/>
      <c r="AF73" s="2964"/>
    </row>
    <row r="74" spans="1:32" x14ac:dyDescent="0.3">
      <c r="A74" s="1454" t="s">
        <v>3966</v>
      </c>
      <c r="B74" s="949"/>
      <c r="C74" s="949"/>
      <c r="D74" s="949"/>
      <c r="E74" s="949"/>
      <c r="F74" s="949"/>
      <c r="G74" s="949"/>
      <c r="H74" s="949"/>
      <c r="I74" s="2803">
        <f>ROUND((Q42/1000*1/Q47*Q55*Q41-Q53)*Q54,3)</f>
        <v>3.3000000000000002E-2</v>
      </c>
      <c r="J74" s="2803"/>
      <c r="K74" s="2803"/>
      <c r="L74" s="2803"/>
      <c r="M74" s="2803"/>
      <c r="N74" s="2803"/>
      <c r="O74" s="2803"/>
      <c r="P74" s="2803"/>
      <c r="Q74" s="2804">
        <f>ROUND(Q42/1000*1/Q47*Q51*Q41*Q55-Q52,2)</f>
        <v>824.63</v>
      </c>
      <c r="R74" s="2804"/>
      <c r="S74" s="2804"/>
      <c r="T74" s="2804"/>
      <c r="U74" s="2804"/>
      <c r="V74" s="2804"/>
      <c r="W74" s="2804"/>
      <c r="X74" s="2804"/>
      <c r="Y74" s="2963">
        <f t="shared" si="0"/>
        <v>16492.599999999999</v>
      </c>
      <c r="Z74" s="2963"/>
      <c r="AA74" s="2963"/>
      <c r="AB74" s="2963"/>
      <c r="AC74" s="2963"/>
      <c r="AD74" s="2963"/>
      <c r="AE74" s="2963"/>
      <c r="AF74" s="2964"/>
    </row>
    <row r="75" spans="1:32" x14ac:dyDescent="0.3">
      <c r="A75" s="1454" t="s">
        <v>3967</v>
      </c>
      <c r="B75" s="949"/>
      <c r="C75" s="949"/>
      <c r="D75" s="949"/>
      <c r="E75" s="949"/>
      <c r="F75" s="949"/>
      <c r="G75" s="949"/>
      <c r="H75" s="949"/>
      <c r="I75" s="2803">
        <f>ROUND(((Q43/1000*1/Q45*Q41*Q55*M59+Q42/1000*1/Q48*Q41*Q55*M60+Q42/1000*1/Q47*Q41*Q55*M61)-Q53)*Q54,3)</f>
        <v>3.3000000000000002E-2</v>
      </c>
      <c r="J75" s="2803"/>
      <c r="K75" s="2803"/>
      <c r="L75" s="2803"/>
      <c r="M75" s="2803"/>
      <c r="N75" s="2803"/>
      <c r="O75" s="2803"/>
      <c r="P75" s="2803"/>
      <c r="Q75" s="2804">
        <f>ROUND((Q43/1000*1/Q45*Q50*Q41*Q55*M59+Q42/1000*1/Q48*Q51*Q41*Q55*M60+Q42/1000*1/Q47*Q51*Q41*Q55*M61)-Q52,2)</f>
        <v>772.44</v>
      </c>
      <c r="R75" s="2804"/>
      <c r="S75" s="2804"/>
      <c r="T75" s="2804"/>
      <c r="U75" s="2804"/>
      <c r="V75" s="2804"/>
      <c r="W75" s="2804"/>
      <c r="X75" s="2804"/>
      <c r="Y75" s="2963">
        <f>ROUND(Q75*$Q$56,2)</f>
        <v>15448.8</v>
      </c>
      <c r="Z75" s="2963"/>
      <c r="AA75" s="2963"/>
      <c r="AB75" s="2963"/>
      <c r="AC75" s="2963"/>
      <c r="AD75" s="2963"/>
      <c r="AE75" s="2963"/>
      <c r="AF75" s="2964"/>
    </row>
    <row r="76" spans="1:32" ht="15" thickBot="1" x14ac:dyDescent="0.35">
      <c r="A76" s="1247" t="s">
        <v>3968</v>
      </c>
      <c r="B76" s="1248"/>
      <c r="C76" s="1248"/>
      <c r="D76" s="1248"/>
      <c r="E76" s="1248"/>
      <c r="F76" s="1248"/>
      <c r="G76" s="1248"/>
      <c r="H76" s="1248"/>
      <c r="I76" s="2699">
        <f>ROUND(((Q43/1000*1/Q46*Q41*Q55*M59+Q42/1000*1/Q49*Q41*Q55*M60+Q42/1000*1/Q47*Q41*Q55*M61)-Q53)*Q54,3)</f>
        <v>0.03</v>
      </c>
      <c r="J76" s="2699"/>
      <c r="K76" s="2699"/>
      <c r="L76" s="2699"/>
      <c r="M76" s="2699"/>
      <c r="N76" s="2699"/>
      <c r="O76" s="2699"/>
      <c r="P76" s="2699"/>
      <c r="Q76" s="2700">
        <f>ROUND((Q43/1000*1/Q46*Q50*Q41*Q55*M59+Q42/1000*1/Q49*Q51*Q41*Q55*M60+Q42/1000*1/Q47*Q51*Q41*Q55*M61)-Q52,2)</f>
        <v>698.79</v>
      </c>
      <c r="R76" s="2700"/>
      <c r="S76" s="2700"/>
      <c r="T76" s="2700"/>
      <c r="U76" s="2700"/>
      <c r="V76" s="2700"/>
      <c r="W76" s="2700"/>
      <c r="X76" s="2700"/>
      <c r="Y76" s="2965">
        <f>ROUND(Q76*$Q$56,2)</f>
        <v>13975.8</v>
      </c>
      <c r="Z76" s="2965"/>
      <c r="AA76" s="2965"/>
      <c r="AB76" s="2965"/>
      <c r="AC76" s="2965"/>
      <c r="AD76" s="2965"/>
      <c r="AE76" s="2965"/>
      <c r="AF76" s="2966"/>
    </row>
    <row r="77" spans="1:32" x14ac:dyDescent="0.3">
      <c r="B77" s="232"/>
      <c r="S77" s="1"/>
    </row>
    <row r="78" spans="1:32" x14ac:dyDescent="0.3">
      <c r="B78" s="232"/>
      <c r="S78" s="1"/>
    </row>
    <row r="79" spans="1:32" x14ac:dyDescent="0.3">
      <c r="B79" s="232" t="s">
        <v>1497</v>
      </c>
    </row>
    <row r="80" spans="1:32" x14ac:dyDescent="0.3">
      <c r="B80" s="232"/>
      <c r="Z80" s="1"/>
    </row>
    <row r="81" spans="1:32" x14ac:dyDescent="0.3">
      <c r="A81" s="3"/>
      <c r="B81" s="3"/>
      <c r="C81" s="1" t="s">
        <v>3969</v>
      </c>
      <c r="D81" s="10"/>
      <c r="E81" s="10"/>
      <c r="F81" s="10"/>
      <c r="G81" s="10"/>
      <c r="H81" s="10"/>
      <c r="I81" s="10"/>
      <c r="J81" s="10"/>
      <c r="K81" s="10"/>
      <c r="L81" s="10"/>
      <c r="M81" s="547"/>
      <c r="N81" s="547"/>
      <c r="O81" s="547"/>
      <c r="P81" s="547"/>
      <c r="Q81" s="547"/>
      <c r="R81" s="547"/>
      <c r="S81" s="547"/>
      <c r="T81" s="1782" t="s">
        <v>3964</v>
      </c>
      <c r="U81" s="1783"/>
      <c r="V81" s="1783"/>
      <c r="W81" s="1783"/>
      <c r="X81" s="1783"/>
      <c r="Y81" s="1783"/>
      <c r="Z81" s="1784"/>
      <c r="AA81" s="3"/>
      <c r="AB81" s="3"/>
      <c r="AC81" s="3"/>
      <c r="AD81" s="3"/>
      <c r="AE81" s="3"/>
      <c r="AF81" s="3"/>
    </row>
    <row r="82" spans="1:32" x14ac:dyDescent="0.3">
      <c r="A82" s="3"/>
      <c r="B82" s="3"/>
      <c r="C82" s="7"/>
      <c r="D82" s="547"/>
      <c r="E82" s="547"/>
      <c r="F82" s="547"/>
      <c r="G82" s="547"/>
      <c r="H82" s="3"/>
      <c r="I82" s="3"/>
      <c r="J82" s="3"/>
      <c r="K82" s="3"/>
      <c r="L82" s="3"/>
      <c r="M82" s="3"/>
      <c r="N82" s="3"/>
      <c r="O82" s="3"/>
      <c r="P82" s="3"/>
      <c r="Q82" s="3"/>
      <c r="R82" s="3"/>
      <c r="S82" s="3"/>
      <c r="T82" s="845"/>
      <c r="U82" s="845"/>
      <c r="V82" s="845"/>
      <c r="W82" s="829"/>
      <c r="X82" s="829"/>
      <c r="Y82" s="829"/>
      <c r="Z82" s="829"/>
      <c r="AA82" s="438"/>
      <c r="AB82" s="438"/>
      <c r="AC82" s="438"/>
      <c r="AD82" s="438"/>
      <c r="AE82" s="438"/>
      <c r="AF82" s="3"/>
    </row>
    <row r="83" spans="1:32" x14ac:dyDescent="0.3">
      <c r="A83" s="3"/>
      <c r="B83" s="3"/>
      <c r="C83" s="1" t="s">
        <v>3970</v>
      </c>
      <c r="D83" s="10"/>
      <c r="E83" s="10"/>
      <c r="F83" s="10"/>
      <c r="G83" s="10"/>
      <c r="H83" s="10"/>
      <c r="I83" s="10"/>
      <c r="J83" s="10"/>
      <c r="K83" s="10"/>
      <c r="L83" s="10"/>
      <c r="M83" s="547"/>
      <c r="N83" s="547"/>
      <c r="O83" s="547"/>
      <c r="P83" s="547"/>
      <c r="Q83" s="547"/>
      <c r="R83" s="547"/>
      <c r="S83" s="547"/>
      <c r="T83" s="2928">
        <v>36000</v>
      </c>
      <c r="U83" s="2929"/>
      <c r="V83" s="2929"/>
      <c r="W83" s="2929"/>
      <c r="X83" s="2929"/>
      <c r="Y83" s="2929"/>
      <c r="Z83" s="2930"/>
      <c r="AA83" s="3"/>
      <c r="AB83" s="3"/>
      <c r="AC83" s="3"/>
      <c r="AD83" s="3"/>
      <c r="AE83" s="3"/>
      <c r="AF83" s="3"/>
    </row>
    <row r="84" spans="1:32" x14ac:dyDescent="0.3">
      <c r="A84" s="3"/>
      <c r="B84" s="3"/>
      <c r="C84" s="7"/>
      <c r="D84" s="547"/>
      <c r="E84" s="547"/>
      <c r="F84" s="547"/>
      <c r="G84" s="547"/>
      <c r="H84" s="547"/>
      <c r="I84" s="547"/>
      <c r="J84" s="547"/>
      <c r="K84" s="547"/>
      <c r="L84" s="547"/>
      <c r="M84" s="547"/>
      <c r="N84" s="547"/>
      <c r="O84" s="547"/>
      <c r="P84" s="547"/>
      <c r="Q84" s="547"/>
      <c r="R84" s="547"/>
      <c r="S84" s="547"/>
      <c r="T84" s="845"/>
      <c r="U84" s="845"/>
      <c r="V84" s="845"/>
      <c r="W84" s="845"/>
      <c r="X84" s="845"/>
      <c r="Y84" s="845"/>
      <c r="Z84" s="845"/>
      <c r="AA84" s="3"/>
      <c r="AB84" s="3"/>
      <c r="AC84" s="3"/>
      <c r="AD84" s="3"/>
      <c r="AE84" s="3"/>
      <c r="AF84" s="3"/>
    </row>
    <row r="85" spans="1:32" x14ac:dyDescent="0.3">
      <c r="A85" s="3"/>
      <c r="B85" s="3"/>
      <c r="C85" s="1" t="s">
        <v>3971</v>
      </c>
      <c r="D85" s="10"/>
      <c r="E85" s="10"/>
      <c r="F85" s="10"/>
      <c r="G85" s="10"/>
      <c r="H85" s="10"/>
      <c r="I85" s="10"/>
      <c r="J85" s="10"/>
      <c r="K85" s="10"/>
      <c r="L85" s="10"/>
      <c r="M85" s="547"/>
      <c r="N85" s="547"/>
      <c r="O85" s="547"/>
      <c r="P85" s="547"/>
      <c r="Q85" s="547"/>
      <c r="R85" s="547"/>
      <c r="S85" s="547"/>
      <c r="T85" s="2960">
        <v>13</v>
      </c>
      <c r="U85" s="2961"/>
      <c r="V85" s="2961"/>
      <c r="W85" s="2961"/>
      <c r="X85" s="2961"/>
      <c r="Y85" s="2961"/>
      <c r="Z85" s="2962"/>
      <c r="AA85" s="3"/>
      <c r="AB85" s="3"/>
      <c r="AC85" s="3"/>
      <c r="AD85" s="3"/>
      <c r="AE85" s="3"/>
      <c r="AF85" s="3"/>
    </row>
    <row r="86" spans="1:32" x14ac:dyDescent="0.3">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 thickBot="1" x14ac:dyDescent="0.3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41.25" customHeight="1" x14ac:dyDescent="0.3">
      <c r="A88" s="1252" t="s">
        <v>15</v>
      </c>
      <c r="B88" s="1253"/>
      <c r="C88" s="1253"/>
      <c r="D88" s="1253"/>
      <c r="E88" s="1253"/>
      <c r="F88" s="1253"/>
      <c r="G88" s="1253"/>
      <c r="H88" s="1253"/>
      <c r="I88" s="1278" t="s">
        <v>16</v>
      </c>
      <c r="J88" s="1278"/>
      <c r="K88" s="1278"/>
      <c r="L88" s="1278"/>
      <c r="M88" s="1278"/>
      <c r="N88" s="1278"/>
      <c r="O88" s="1278"/>
      <c r="P88" s="1278"/>
      <c r="Q88" s="1278" t="s">
        <v>17</v>
      </c>
      <c r="R88" s="1278"/>
      <c r="S88" s="1278"/>
      <c r="T88" s="1278"/>
      <c r="U88" s="1278"/>
      <c r="V88" s="1278"/>
      <c r="W88" s="1278"/>
      <c r="X88" s="2158"/>
      <c r="Y88" s="1278" t="s">
        <v>1554</v>
      </c>
      <c r="Z88" s="1253"/>
      <c r="AA88" s="1253"/>
      <c r="AB88" s="1253"/>
      <c r="AC88" s="1253"/>
      <c r="AD88" s="1253"/>
      <c r="AE88" s="1253"/>
      <c r="AF88" s="1254"/>
    </row>
    <row r="89" spans="1:32" ht="15" thickBot="1" x14ac:dyDescent="0.35">
      <c r="A89" s="1247" t="s">
        <v>1074</v>
      </c>
      <c r="B89" s="1248"/>
      <c r="C89" s="1248"/>
      <c r="D89" s="1248"/>
      <c r="E89" s="1248"/>
      <c r="F89" s="1248"/>
      <c r="G89" s="1248"/>
      <c r="H89" s="1248"/>
      <c r="I89" s="1280">
        <f>ROUND((IF(T83="",IF(T81="Central AC",Q43,Q42),T83)/1000*(1/IF(T85="",IF(T81="Central AC",Q45,IF(T81="Room AC",Q48,Q47)),T85))*Q41*Q55-Q53)*Q54,3)</f>
        <v>3.6999999999999998E-2</v>
      </c>
      <c r="J89" s="1280"/>
      <c r="K89" s="1280"/>
      <c r="L89" s="1280"/>
      <c r="M89" s="1280"/>
      <c r="N89" s="1280"/>
      <c r="O89" s="1280"/>
      <c r="P89" s="1280"/>
      <c r="Q89" s="2926">
        <f>ROUND(IF(T83="",IF(T81="Central AC",Q43,Q42),T83)/1000*(1/IF(T85="",IF(T81="Central AC",Q45,IF(T81="Room AC",Q48,Q47)),T85))*Q41*Q55*IF(T81="Central AC",Q50,Q51)-Q52,2)</f>
        <v>605</v>
      </c>
      <c r="R89" s="2926"/>
      <c r="S89" s="2926"/>
      <c r="T89" s="2926"/>
      <c r="U89" s="2926"/>
      <c r="V89" s="2926"/>
      <c r="W89" s="2926"/>
      <c r="X89" s="2927"/>
      <c r="Y89" s="2958">
        <f>ROUND(Q89*Q56,2)</f>
        <v>12100</v>
      </c>
      <c r="Z89" s="2958"/>
      <c r="AA89" s="2958"/>
      <c r="AB89" s="2958"/>
      <c r="AC89" s="2958"/>
      <c r="AD89" s="2958"/>
      <c r="AE89" s="2958"/>
      <c r="AF89" s="2959"/>
    </row>
    <row r="92" spans="1:32" x14ac:dyDescent="0.3">
      <c r="A92" s="869" t="s">
        <v>1514</v>
      </c>
      <c r="B92" s="870"/>
      <c r="C92" s="870"/>
      <c r="D92" s="870"/>
      <c r="E92" s="870"/>
      <c r="F92" s="870"/>
      <c r="G92" s="870"/>
      <c r="H92" s="870"/>
      <c r="I92" s="870"/>
      <c r="J92" s="870"/>
      <c r="K92" s="870"/>
      <c r="L92" s="870"/>
      <c r="M92" s="870"/>
      <c r="N92" s="870"/>
      <c r="O92" s="870"/>
      <c r="P92" s="870"/>
      <c r="Q92" s="870"/>
      <c r="R92" s="870"/>
      <c r="S92" s="870"/>
      <c r="T92" s="870"/>
      <c r="U92" s="870"/>
      <c r="V92" s="870"/>
      <c r="W92" s="870"/>
      <c r="X92" s="870"/>
      <c r="Y92" s="870"/>
      <c r="Z92" s="870"/>
      <c r="AA92" s="870"/>
      <c r="AB92" s="870"/>
      <c r="AC92" s="870"/>
      <c r="AD92" s="870"/>
      <c r="AE92" s="870"/>
      <c r="AF92" s="871"/>
    </row>
    <row r="94" spans="1:32" x14ac:dyDescent="0.3">
      <c r="A94" s="368" t="s">
        <v>803</v>
      </c>
      <c r="B94" s="953" t="s">
        <v>3927</v>
      </c>
      <c r="C94" s="953"/>
      <c r="D94" s="953"/>
      <c r="E94" s="953"/>
      <c r="F94" s="953"/>
      <c r="G94" s="953"/>
      <c r="H94" s="953"/>
      <c r="I94" s="953"/>
      <c r="J94" s="953"/>
      <c r="K94" s="953"/>
      <c r="L94" s="953"/>
      <c r="M94" s="953"/>
      <c r="N94" s="953"/>
      <c r="O94" s="953"/>
      <c r="P94" s="953"/>
      <c r="Q94" s="953"/>
      <c r="R94" s="953"/>
      <c r="S94" s="953"/>
      <c r="T94" s="953"/>
      <c r="U94" s="953"/>
      <c r="V94" s="953"/>
      <c r="W94" s="953"/>
      <c r="X94" s="953"/>
      <c r="Y94" s="953"/>
      <c r="Z94" s="953"/>
      <c r="AA94" s="953"/>
      <c r="AB94" s="953"/>
      <c r="AC94" s="953"/>
      <c r="AD94" s="953"/>
      <c r="AE94" s="953"/>
      <c r="AF94" s="953"/>
    </row>
    <row r="95" spans="1:32" ht="36.75" customHeight="1" x14ac:dyDescent="0.3">
      <c r="A95" s="368" t="s">
        <v>803</v>
      </c>
      <c r="B95" s="953" t="s">
        <v>3910</v>
      </c>
      <c r="C95" s="953"/>
      <c r="D95" s="953"/>
      <c r="E95" s="953"/>
      <c r="F95" s="953"/>
      <c r="G95" s="953"/>
      <c r="H95" s="953"/>
      <c r="I95" s="953"/>
      <c r="J95" s="953"/>
      <c r="K95" s="953"/>
      <c r="L95" s="953"/>
      <c r="M95" s="953"/>
      <c r="N95" s="953"/>
      <c r="O95" s="953"/>
      <c r="P95" s="953"/>
      <c r="Q95" s="953"/>
      <c r="R95" s="953"/>
      <c r="S95" s="953"/>
      <c r="T95" s="953"/>
      <c r="U95" s="953"/>
      <c r="V95" s="953"/>
      <c r="W95" s="953"/>
      <c r="X95" s="953"/>
      <c r="Y95" s="953"/>
      <c r="Z95" s="953"/>
      <c r="AA95" s="953"/>
      <c r="AB95" s="953"/>
      <c r="AC95" s="953"/>
      <c r="AD95" s="953"/>
      <c r="AE95" s="953"/>
      <c r="AF95" s="953"/>
    </row>
    <row r="96" spans="1:32" x14ac:dyDescent="0.3">
      <c r="A96" s="368" t="s">
        <v>803</v>
      </c>
      <c r="B96" s="889" t="s">
        <v>3972</v>
      </c>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row>
    <row r="97" spans="1:32" ht="50.25" customHeight="1" x14ac:dyDescent="0.3">
      <c r="A97" s="368" t="s">
        <v>803</v>
      </c>
      <c r="B97" s="889" t="s">
        <v>3973</v>
      </c>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row>
    <row r="98" spans="1:32" ht="71.25" customHeight="1" x14ac:dyDescent="0.3">
      <c r="A98" s="368" t="s">
        <v>803</v>
      </c>
      <c r="B98" s="889" t="s">
        <v>3974</v>
      </c>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c r="AB98" s="889"/>
      <c r="AC98" s="889"/>
      <c r="AD98" s="889"/>
      <c r="AE98" s="889"/>
      <c r="AF98" s="889"/>
    </row>
    <row r="99" spans="1:32" ht="33.75" customHeight="1" x14ac:dyDescent="0.3">
      <c r="A99" s="368" t="s">
        <v>803</v>
      </c>
      <c r="B99" s="889" t="s">
        <v>3975</v>
      </c>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row>
    <row r="100" spans="1:32" ht="50.25" customHeight="1" x14ac:dyDescent="0.3">
      <c r="A100" s="368" t="s">
        <v>803</v>
      </c>
      <c r="B100" s="889" t="s">
        <v>3976</v>
      </c>
      <c r="C100" s="889"/>
      <c r="D100" s="889"/>
      <c r="E100" s="889"/>
      <c r="F100" s="889"/>
      <c r="G100" s="889"/>
      <c r="H100" s="889"/>
      <c r="I100" s="889"/>
      <c r="J100" s="889"/>
      <c r="K100" s="889"/>
      <c r="L100" s="889"/>
      <c r="M100" s="889"/>
      <c r="N100" s="889"/>
      <c r="O100" s="889"/>
      <c r="P100" s="889"/>
      <c r="Q100" s="889"/>
      <c r="R100" s="889"/>
      <c r="S100" s="889"/>
      <c r="T100" s="889"/>
      <c r="U100" s="889"/>
      <c r="V100" s="889"/>
      <c r="W100" s="889"/>
      <c r="X100" s="889"/>
      <c r="Y100" s="889"/>
      <c r="Z100" s="889"/>
      <c r="AA100" s="889"/>
      <c r="AB100" s="889"/>
      <c r="AC100" s="889"/>
      <c r="AD100" s="889"/>
      <c r="AE100" s="889"/>
      <c r="AF100" s="889"/>
    </row>
    <row r="101" spans="1:32" ht="33" customHeight="1" x14ac:dyDescent="0.3">
      <c r="A101" s="368" t="s">
        <v>803</v>
      </c>
      <c r="B101" s="889" t="s">
        <v>3977</v>
      </c>
      <c r="C101" s="889"/>
      <c r="D101" s="889"/>
      <c r="E101" s="889"/>
      <c r="F101" s="889"/>
      <c r="G101" s="889"/>
      <c r="H101" s="889"/>
      <c r="I101" s="889"/>
      <c r="J101" s="889"/>
      <c r="K101" s="889"/>
      <c r="L101" s="889"/>
      <c r="M101" s="889"/>
      <c r="N101" s="889"/>
      <c r="O101" s="889"/>
      <c r="P101" s="889"/>
      <c r="Q101" s="889"/>
      <c r="R101" s="889"/>
      <c r="S101" s="889"/>
      <c r="T101" s="889"/>
      <c r="U101" s="889"/>
      <c r="V101" s="889"/>
      <c r="W101" s="889"/>
      <c r="X101" s="889"/>
      <c r="Y101" s="889"/>
      <c r="Z101" s="889"/>
      <c r="AA101" s="889"/>
      <c r="AB101" s="889"/>
      <c r="AC101" s="889"/>
      <c r="AD101" s="889"/>
      <c r="AE101" s="889"/>
      <c r="AF101" s="889"/>
    </row>
    <row r="102" spans="1:32" ht="31.5" customHeight="1" x14ac:dyDescent="0.3">
      <c r="A102" s="368" t="s">
        <v>803</v>
      </c>
      <c r="B102" s="889" t="s">
        <v>3978</v>
      </c>
      <c r="C102" s="889"/>
      <c r="D102" s="889"/>
      <c r="E102" s="889"/>
      <c r="F102" s="889"/>
      <c r="G102" s="889"/>
      <c r="H102" s="889"/>
      <c r="I102" s="889"/>
      <c r="J102" s="889"/>
      <c r="K102" s="889"/>
      <c r="L102" s="889"/>
      <c r="M102" s="889"/>
      <c r="N102" s="889"/>
      <c r="O102" s="889"/>
      <c r="P102" s="889"/>
      <c r="Q102" s="889"/>
      <c r="R102" s="889"/>
      <c r="S102" s="889"/>
      <c r="T102" s="889"/>
      <c r="U102" s="889"/>
      <c r="V102" s="889"/>
      <c r="W102" s="889"/>
      <c r="X102" s="889"/>
      <c r="Y102" s="889"/>
      <c r="Z102" s="889"/>
      <c r="AA102" s="889"/>
      <c r="AB102" s="889"/>
      <c r="AC102" s="889"/>
      <c r="AD102" s="889"/>
      <c r="AE102" s="889"/>
      <c r="AF102" s="889"/>
    </row>
    <row r="103" spans="1:32" x14ac:dyDescent="0.3">
      <c r="A103" s="368"/>
      <c r="B103" s="503"/>
      <c r="C103" s="503"/>
      <c r="D103" s="503"/>
      <c r="E103" s="503"/>
      <c r="F103" s="503"/>
      <c r="G103" s="503"/>
      <c r="H103" s="503"/>
      <c r="I103" s="503"/>
      <c r="J103" s="503"/>
      <c r="K103" s="503"/>
      <c r="L103" s="503"/>
      <c r="M103" s="503"/>
      <c r="N103" s="503"/>
      <c r="O103" s="503"/>
      <c r="P103" s="503"/>
      <c r="Q103" s="503"/>
      <c r="R103" s="503"/>
      <c r="S103" s="503"/>
      <c r="T103" s="503"/>
      <c r="U103" s="503"/>
      <c r="V103" s="503"/>
      <c r="W103" s="503"/>
      <c r="X103" s="503"/>
      <c r="Y103" s="503"/>
      <c r="Z103" s="503"/>
      <c r="AA103" s="503"/>
      <c r="AB103" s="503"/>
      <c r="AC103" s="503"/>
      <c r="AD103" s="503"/>
      <c r="AE103" s="503"/>
      <c r="AF103" s="503"/>
    </row>
    <row r="104" spans="1:32" x14ac:dyDescent="0.3">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3">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3">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3">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3">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3">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3">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3">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2:32" x14ac:dyDescent="0.3">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2:32" x14ac:dyDescent="0.3">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2:32" x14ac:dyDescent="0.3">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2:32" x14ac:dyDescent="0.3">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sheetData>
  <sheetProtection algorithmName="SHA-512" hashValue="1EpNWc8Qdw1z7cehiHZCZv1Pepaj7E3/0gpaaBs9a+c3DwyuKwVM1eJE64/7T8aH666XNvW7lvsZaZctq+bFEQ==" saltValue="+k6OjcBBtmwJhQQgtD8i+A==" spinCount="100000" sheet="1" objects="1" scenarios="1"/>
  <mergeCells count="151">
    <mergeCell ref="B16:AF16"/>
    <mergeCell ref="B18:I18"/>
    <mergeCell ref="A41:D41"/>
    <mergeCell ref="E41:P41"/>
    <mergeCell ref="Q41:T41"/>
    <mergeCell ref="U41:W41"/>
    <mergeCell ref="X41:AF41"/>
    <mergeCell ref="A42:D43"/>
    <mergeCell ref="E42:P42"/>
    <mergeCell ref="Q42:T42"/>
    <mergeCell ref="U42:W42"/>
    <mergeCell ref="X42:AF42"/>
    <mergeCell ref="E43:P43"/>
    <mergeCell ref="Q43:T43"/>
    <mergeCell ref="U43:W43"/>
    <mergeCell ref="X43:AF43"/>
    <mergeCell ref="A3:AF3"/>
    <mergeCell ref="A1:AF1"/>
    <mergeCell ref="B5:AF5"/>
    <mergeCell ref="A7:AF7"/>
    <mergeCell ref="B9:I9"/>
    <mergeCell ref="B10:AF10"/>
    <mergeCell ref="B12:I12"/>
    <mergeCell ref="B13:AF13"/>
    <mergeCell ref="B15:I15"/>
    <mergeCell ref="A44:D44"/>
    <mergeCell ref="E44:P44"/>
    <mergeCell ref="Q44:T44"/>
    <mergeCell ref="U44:W44"/>
    <mergeCell ref="X44:AF44"/>
    <mergeCell ref="B19:AF19"/>
    <mergeCell ref="B22:AF22"/>
    <mergeCell ref="A24:AF24"/>
    <mergeCell ref="A39:AF39"/>
    <mergeCell ref="A40:D40"/>
    <mergeCell ref="E40:P40"/>
    <mergeCell ref="Q40:T40"/>
    <mergeCell ref="U40:W40"/>
    <mergeCell ref="X40:AF40"/>
    <mergeCell ref="A45:D47"/>
    <mergeCell ref="E45:P45"/>
    <mergeCell ref="Q45:T45"/>
    <mergeCell ref="U45:W45"/>
    <mergeCell ref="X45:AF45"/>
    <mergeCell ref="E46:P46"/>
    <mergeCell ref="Q46:T46"/>
    <mergeCell ref="U46:W46"/>
    <mergeCell ref="X46:AF46"/>
    <mergeCell ref="E47:P47"/>
    <mergeCell ref="Q47:T47"/>
    <mergeCell ref="U47:W47"/>
    <mergeCell ref="X47:AF47"/>
    <mergeCell ref="A48:D49"/>
    <mergeCell ref="E48:P48"/>
    <mergeCell ref="Q48:T48"/>
    <mergeCell ref="U48:W48"/>
    <mergeCell ref="X48:AF48"/>
    <mergeCell ref="E49:P49"/>
    <mergeCell ref="Q49:T49"/>
    <mergeCell ref="U49:W49"/>
    <mergeCell ref="X49:AF49"/>
    <mergeCell ref="A50:D51"/>
    <mergeCell ref="E50:P50"/>
    <mergeCell ref="Q50:T50"/>
    <mergeCell ref="U50:W50"/>
    <mergeCell ref="X50:AF50"/>
    <mergeCell ref="E51:P51"/>
    <mergeCell ref="Q51:T51"/>
    <mergeCell ref="U51:W51"/>
    <mergeCell ref="X51:AF51"/>
    <mergeCell ref="A53:D53"/>
    <mergeCell ref="E53:P53"/>
    <mergeCell ref="Q53:T53"/>
    <mergeCell ref="U53:W53"/>
    <mergeCell ref="X53:AF53"/>
    <mergeCell ref="A52:D52"/>
    <mergeCell ref="E52:P52"/>
    <mergeCell ref="Q52:T52"/>
    <mergeCell ref="U52:W52"/>
    <mergeCell ref="X52:AF52"/>
    <mergeCell ref="U56:W56"/>
    <mergeCell ref="X56:AF56"/>
    <mergeCell ref="A55:D55"/>
    <mergeCell ref="E55:P55"/>
    <mergeCell ref="Q55:T55"/>
    <mergeCell ref="U55:W55"/>
    <mergeCell ref="X55:AF55"/>
    <mergeCell ref="A54:D54"/>
    <mergeCell ref="E54:P54"/>
    <mergeCell ref="Q54:T54"/>
    <mergeCell ref="U54:W54"/>
    <mergeCell ref="X54:AF54"/>
    <mergeCell ref="C59:L59"/>
    <mergeCell ref="M59:Q59"/>
    <mergeCell ref="C60:L60"/>
    <mergeCell ref="M60:Q60"/>
    <mergeCell ref="C61:L61"/>
    <mergeCell ref="M61:Q61"/>
    <mergeCell ref="A56:D56"/>
    <mergeCell ref="E56:P56"/>
    <mergeCell ref="Q56:T56"/>
    <mergeCell ref="A71:H71"/>
    <mergeCell ref="I71:P71"/>
    <mergeCell ref="Q71:X71"/>
    <mergeCell ref="Y71:AF71"/>
    <mergeCell ref="A72:H72"/>
    <mergeCell ref="I72:P72"/>
    <mergeCell ref="Q72:X72"/>
    <mergeCell ref="Y72:AF72"/>
    <mergeCell ref="C62:Q62"/>
    <mergeCell ref="A63:B63"/>
    <mergeCell ref="A64:B64"/>
    <mergeCell ref="C64:AF64"/>
    <mergeCell ref="A67:AF67"/>
    <mergeCell ref="A75:H75"/>
    <mergeCell ref="I75:P75"/>
    <mergeCell ref="Q75:X75"/>
    <mergeCell ref="Y75:AF75"/>
    <mergeCell ref="A76:H76"/>
    <mergeCell ref="I76:P76"/>
    <mergeCell ref="Q76:X76"/>
    <mergeCell ref="Y76:AF76"/>
    <mergeCell ref="A73:H73"/>
    <mergeCell ref="I73:P73"/>
    <mergeCell ref="Q73:X73"/>
    <mergeCell ref="Y73:AF73"/>
    <mergeCell ref="A74:H74"/>
    <mergeCell ref="I74:P74"/>
    <mergeCell ref="Q74:X74"/>
    <mergeCell ref="Y74:AF74"/>
    <mergeCell ref="A89:H89"/>
    <mergeCell ref="I89:P89"/>
    <mergeCell ref="Q89:X89"/>
    <mergeCell ref="Y89:AF89"/>
    <mergeCell ref="A92:AF92"/>
    <mergeCell ref="T81:Z81"/>
    <mergeCell ref="T83:Z83"/>
    <mergeCell ref="T85:Z85"/>
    <mergeCell ref="A88:H88"/>
    <mergeCell ref="I88:P88"/>
    <mergeCell ref="Q88:X88"/>
    <mergeCell ref="Y88:AF88"/>
    <mergeCell ref="B99:AF99"/>
    <mergeCell ref="B100:AF100"/>
    <mergeCell ref="B101:AF101"/>
    <mergeCell ref="B102:AF102"/>
    <mergeCell ref="B94:AF94"/>
    <mergeCell ref="B95:AF95"/>
    <mergeCell ref="B96:AF96"/>
    <mergeCell ref="B97:AF97"/>
    <mergeCell ref="B98:AF98"/>
  </mergeCells>
  <conditionalFormatting sqref="T85:Z85">
    <cfRule type="expression" dxfId="1" priority="1">
      <formula>$T$81&lt;&gt;"Central AC"</formula>
    </cfRule>
    <cfRule type="expression" dxfId="0" priority="2">
      <formula>$T$81="Central AC"</formula>
    </cfRule>
  </conditionalFormatting>
  <dataValidations count="1">
    <dataValidation type="list" allowBlank="1" showInputMessage="1" showErrorMessage="1" sqref="T81:Z81" xr:uid="{00000000-0002-0000-5400-000000000000}">
      <formula1>"Central AC, Room AC, Ductless Mini Split"</formula1>
    </dataValidation>
  </dataValidations>
  <hyperlinks>
    <hyperlink ref="A2" location="TOC!A1" display="Return to TOC" xr:uid="{00000000-0004-0000-54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7" tint="0.79998168889431442"/>
    <pageSetUpPr autoPageBreaks="0"/>
  </sheetPr>
  <dimension ref="A1:AF65"/>
  <sheetViews>
    <sheetView workbookViewId="0">
      <selection sqref="A1:AF1"/>
    </sheetView>
  </sheetViews>
  <sheetFormatPr defaultColWidth="2.6640625" defaultRowHeight="14.4" x14ac:dyDescent="0.3"/>
  <cols>
    <col min="1" max="1" width="2.6640625" style="418"/>
    <col min="2" max="3" width="2.6640625" style="419"/>
    <col min="4" max="4" width="2.6640625" style="420"/>
    <col min="5" max="32" width="2.6640625" style="415"/>
  </cols>
  <sheetData>
    <row r="1" spans="1:32" ht="18" x14ac:dyDescent="0.3">
      <c r="A1" s="2722" t="s">
        <v>3053</v>
      </c>
      <c r="B1" s="2722"/>
      <c r="C1" s="2722"/>
      <c r="D1" s="2722"/>
      <c r="E1" s="2722"/>
      <c r="F1" s="2722"/>
      <c r="G1" s="2722"/>
      <c r="H1" s="2722"/>
      <c r="I1" s="2722"/>
      <c r="J1" s="2722"/>
      <c r="K1" s="2722"/>
      <c r="L1" s="2722"/>
      <c r="M1" s="2722"/>
      <c r="N1" s="2722"/>
      <c r="O1" s="2722"/>
      <c r="P1" s="2722"/>
      <c r="Q1" s="2722"/>
      <c r="R1" s="2722"/>
      <c r="S1" s="2722"/>
      <c r="T1" s="2722"/>
      <c r="U1" s="2722"/>
      <c r="V1" s="2722"/>
      <c r="W1" s="2722"/>
      <c r="X1" s="2722"/>
      <c r="Y1" s="2722"/>
      <c r="Z1" s="2722"/>
      <c r="AA1" s="2722"/>
      <c r="AB1" s="2722"/>
      <c r="AC1" s="2722"/>
      <c r="AD1" s="2722"/>
      <c r="AE1" s="2722"/>
      <c r="AF1" s="2722"/>
    </row>
    <row r="2" spans="1:32" ht="14.4" customHeight="1" x14ac:dyDescent="0.3">
      <c r="A2" s="228" t="s">
        <v>1456</v>
      </c>
      <c r="B2"/>
      <c r="C2"/>
      <c r="D2"/>
      <c r="E2"/>
      <c r="F2"/>
      <c r="G2"/>
      <c r="H2"/>
      <c r="I2"/>
      <c r="J2"/>
      <c r="K2"/>
      <c r="L2"/>
      <c r="M2"/>
      <c r="N2"/>
      <c r="O2"/>
      <c r="P2"/>
      <c r="Q2"/>
      <c r="R2"/>
      <c r="S2"/>
      <c r="T2"/>
      <c r="U2"/>
      <c r="V2"/>
      <c r="W2"/>
      <c r="X2"/>
      <c r="Y2"/>
      <c r="Z2"/>
      <c r="AA2"/>
      <c r="AB2"/>
      <c r="AC2"/>
      <c r="AD2"/>
      <c r="AE2"/>
      <c r="AF2"/>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3079</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c r="B6"/>
      <c r="C6"/>
      <c r="D6"/>
      <c r="E6"/>
      <c r="F6"/>
      <c r="G6"/>
      <c r="H6"/>
      <c r="I6"/>
      <c r="J6"/>
      <c r="K6"/>
      <c r="L6"/>
      <c r="M6"/>
      <c r="N6"/>
      <c r="O6"/>
      <c r="P6"/>
      <c r="Q6"/>
      <c r="R6"/>
      <c r="S6"/>
      <c r="T6"/>
      <c r="U6"/>
      <c r="V6"/>
      <c r="W6"/>
      <c r="X6"/>
      <c r="Y6"/>
      <c r="Z6"/>
      <c r="AA6"/>
      <c r="AB6"/>
      <c r="AC6"/>
      <c r="AD6"/>
      <c r="AE6"/>
      <c r="AF6"/>
    </row>
    <row r="7" spans="1:32" x14ac:dyDescent="0.3">
      <c r="A7" s="2719" t="s">
        <v>2</v>
      </c>
      <c r="B7" s="2720"/>
      <c r="C7" s="2720"/>
      <c r="D7" s="2720"/>
      <c r="E7" s="2720"/>
      <c r="F7" s="2720"/>
      <c r="G7" s="2720"/>
      <c r="H7" s="2720"/>
      <c r="I7" s="2720"/>
      <c r="J7" s="2720"/>
      <c r="K7" s="2720"/>
      <c r="L7" s="2720"/>
      <c r="M7" s="2720"/>
      <c r="N7" s="2720"/>
      <c r="O7" s="2720"/>
      <c r="P7" s="2720"/>
      <c r="Q7" s="2720"/>
      <c r="R7" s="2720"/>
      <c r="S7" s="2720"/>
      <c r="T7" s="2720"/>
      <c r="U7" s="2720"/>
      <c r="V7" s="2720"/>
      <c r="W7" s="2720"/>
      <c r="X7" s="2720"/>
      <c r="Y7" s="2720"/>
      <c r="Z7" s="2720"/>
      <c r="AA7" s="2720"/>
      <c r="AB7" s="2720"/>
      <c r="AC7" s="2720"/>
      <c r="AD7" s="2720"/>
      <c r="AE7" s="2720"/>
      <c r="AF7" s="2721"/>
    </row>
    <row r="8" spans="1:32" x14ac:dyDescent="0.3">
      <c r="A8" s="66"/>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row>
    <row r="9" spans="1:32" x14ac:dyDescent="0.3">
      <c r="A9" s="405"/>
      <c r="B9" s="406" t="s">
        <v>3</v>
      </c>
      <c r="C9" s="406"/>
      <c r="D9" s="406"/>
      <c r="E9" s="406"/>
      <c r="F9" s="406"/>
      <c r="G9" s="406"/>
      <c r="H9" s="406"/>
      <c r="I9" s="406"/>
      <c r="J9" s="405"/>
      <c r="K9" s="405"/>
      <c r="L9" s="405"/>
      <c r="M9" s="405"/>
      <c r="N9" s="405"/>
      <c r="O9" s="405"/>
      <c r="P9" s="405"/>
      <c r="Q9" s="405"/>
      <c r="R9" s="405"/>
      <c r="S9" s="405"/>
      <c r="T9" s="405"/>
      <c r="U9" s="405"/>
      <c r="V9" s="405"/>
      <c r="W9" s="405"/>
      <c r="X9" s="405"/>
      <c r="Y9" s="405"/>
      <c r="Z9" s="405"/>
      <c r="AA9" s="405"/>
      <c r="AB9" s="405"/>
      <c r="AC9" s="405"/>
      <c r="AD9" s="405"/>
      <c r="AE9" s="405"/>
      <c r="AF9" s="405"/>
    </row>
    <row r="10" spans="1:32" x14ac:dyDescent="0.3">
      <c r="A10" s="407"/>
      <c r="B10" s="2723" t="s">
        <v>3054</v>
      </c>
      <c r="C10" s="2723"/>
      <c r="D10" s="2723"/>
      <c r="E10" s="2723"/>
      <c r="F10" s="2723"/>
      <c r="G10" s="2723"/>
      <c r="H10" s="2723"/>
      <c r="I10" s="2723"/>
      <c r="J10" s="2723"/>
      <c r="K10" s="2723"/>
      <c r="L10" s="2723"/>
      <c r="M10" s="2723"/>
      <c r="N10" s="2723"/>
      <c r="O10" s="2723"/>
      <c r="P10" s="2723"/>
      <c r="Q10" s="2723"/>
      <c r="R10" s="2723"/>
      <c r="S10" s="2723"/>
      <c r="T10" s="2723"/>
      <c r="U10" s="2723"/>
      <c r="V10" s="2723"/>
      <c r="W10" s="2723"/>
      <c r="X10" s="2723"/>
      <c r="Y10" s="2723"/>
      <c r="Z10" s="2723"/>
      <c r="AA10" s="2723"/>
      <c r="AB10" s="2723"/>
      <c r="AC10" s="2723"/>
      <c r="AD10" s="2723"/>
      <c r="AE10" s="2723"/>
      <c r="AF10" s="2723"/>
    </row>
    <row r="11" spans="1:32" x14ac:dyDescent="0.3">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row>
    <row r="12" spans="1:32" x14ac:dyDescent="0.3">
      <c r="A12" s="405"/>
      <c r="B12" s="406" t="s">
        <v>4</v>
      </c>
      <c r="C12" s="406"/>
      <c r="D12" s="406"/>
      <c r="E12" s="406"/>
      <c r="F12" s="406"/>
      <c r="G12" s="406"/>
      <c r="H12" s="406"/>
      <c r="I12" s="406"/>
      <c r="J12" s="405"/>
      <c r="K12" s="405"/>
      <c r="L12" s="405"/>
      <c r="M12" s="405"/>
      <c r="N12" s="405"/>
      <c r="O12" s="405"/>
      <c r="P12" s="405"/>
      <c r="Q12" s="405"/>
      <c r="R12" s="405"/>
      <c r="S12" s="405"/>
      <c r="T12" s="405"/>
      <c r="U12" s="405"/>
      <c r="V12" s="405"/>
      <c r="W12" s="405"/>
      <c r="X12" s="405"/>
      <c r="Y12" s="405"/>
      <c r="Z12" s="405"/>
      <c r="AA12" s="405"/>
      <c r="AB12" s="405"/>
      <c r="AC12" s="405"/>
      <c r="AD12" s="405"/>
      <c r="AE12" s="405"/>
      <c r="AF12" s="405"/>
    </row>
    <row r="13" spans="1:32" ht="15" customHeight="1" x14ac:dyDescent="0.3">
      <c r="A13" s="405"/>
      <c r="B13" s="2723" t="s">
        <v>3055</v>
      </c>
      <c r="C13" s="2723"/>
      <c r="D13" s="2723"/>
      <c r="E13" s="2723"/>
      <c r="F13" s="2723"/>
      <c r="G13" s="2723"/>
      <c r="H13" s="2723"/>
      <c r="I13" s="2723"/>
      <c r="J13" s="2723"/>
      <c r="K13" s="2723"/>
      <c r="L13" s="2723"/>
      <c r="M13" s="2723"/>
      <c r="N13" s="2723"/>
      <c r="O13" s="2723"/>
      <c r="P13" s="2723"/>
      <c r="Q13" s="2723"/>
      <c r="R13" s="2723"/>
      <c r="S13" s="2723"/>
      <c r="T13" s="2723"/>
      <c r="U13" s="2723"/>
      <c r="V13" s="2723"/>
      <c r="W13" s="2723"/>
      <c r="X13" s="2723"/>
      <c r="Y13" s="2723"/>
      <c r="Z13" s="2723"/>
      <c r="AA13" s="2723"/>
      <c r="AB13" s="2723"/>
      <c r="AC13" s="2723"/>
      <c r="AD13" s="2723"/>
      <c r="AE13" s="2723"/>
      <c r="AF13" s="2723"/>
    </row>
    <row r="14" spans="1:32" x14ac:dyDescent="0.3">
      <c r="A14" s="405"/>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c r="AC14" s="405"/>
      <c r="AD14" s="405"/>
      <c r="AE14" s="405"/>
      <c r="AF14" s="405"/>
    </row>
    <row r="15" spans="1:32" x14ac:dyDescent="0.3">
      <c r="A15" s="405"/>
      <c r="B15" s="406" t="s">
        <v>5</v>
      </c>
      <c r="C15" s="406"/>
      <c r="D15" s="406"/>
      <c r="E15" s="406"/>
      <c r="F15" s="406"/>
      <c r="G15" s="406"/>
      <c r="H15" s="406"/>
      <c r="I15" s="406"/>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row>
    <row r="16" spans="1:32" x14ac:dyDescent="0.3">
      <c r="A16" s="405"/>
      <c r="B16" s="2723" t="s">
        <v>3075</v>
      </c>
      <c r="C16" s="2723"/>
      <c r="D16" s="2723"/>
      <c r="E16" s="2723"/>
      <c r="F16" s="2723"/>
      <c r="G16" s="2723"/>
      <c r="H16" s="2723"/>
      <c r="I16" s="2723"/>
      <c r="J16" s="2723"/>
      <c r="K16" s="2723"/>
      <c r="L16" s="2723"/>
      <c r="M16" s="2723"/>
      <c r="N16" s="2723"/>
      <c r="O16" s="2723"/>
      <c r="P16" s="2723"/>
      <c r="Q16" s="2723"/>
      <c r="R16" s="2723"/>
      <c r="S16" s="2723"/>
      <c r="T16" s="2723"/>
      <c r="U16" s="2723"/>
      <c r="V16" s="2723"/>
      <c r="W16" s="2723"/>
      <c r="X16" s="2723"/>
      <c r="Y16" s="2723"/>
      <c r="Z16" s="2723"/>
      <c r="AA16" s="2723"/>
      <c r="AB16" s="2723"/>
      <c r="AC16" s="2723"/>
      <c r="AD16" s="2723"/>
      <c r="AE16" s="2723"/>
      <c r="AF16" s="2723"/>
    </row>
    <row r="17" spans="1:32" x14ac:dyDescent="0.3">
      <c r="A17" s="405"/>
      <c r="B17" s="405"/>
      <c r="C17" s="405"/>
      <c r="D17" s="405"/>
      <c r="E17" s="405"/>
      <c r="F17" s="405"/>
      <c r="G17" s="405"/>
      <c r="H17" s="405"/>
      <c r="I17" s="405"/>
      <c r="J17" s="405"/>
      <c r="K17" s="405"/>
      <c r="L17" s="405"/>
      <c r="M17" s="405"/>
      <c r="N17" s="405"/>
      <c r="O17" s="405"/>
      <c r="P17" s="405"/>
      <c r="Q17" s="405"/>
      <c r="R17" s="405"/>
      <c r="S17" s="405"/>
      <c r="T17" s="405"/>
      <c r="U17" s="405"/>
      <c r="V17" s="405"/>
      <c r="W17" s="405"/>
      <c r="X17" s="405"/>
      <c r="Y17" s="405"/>
      <c r="Z17" s="405"/>
      <c r="AA17" s="405"/>
      <c r="AB17" s="405"/>
      <c r="AC17" s="405"/>
      <c r="AD17" s="405"/>
      <c r="AE17" s="405"/>
      <c r="AF17" s="405"/>
    </row>
    <row r="18" spans="1:32" x14ac:dyDescent="0.3">
      <c r="A18" s="405"/>
      <c r="B18" s="406" t="s">
        <v>6</v>
      </c>
      <c r="C18" s="406"/>
      <c r="D18" s="406"/>
      <c r="E18" s="406"/>
      <c r="F18" s="406"/>
      <c r="G18" s="406"/>
      <c r="H18" s="406"/>
      <c r="I18" s="406"/>
      <c r="J18" s="405"/>
      <c r="K18" s="405"/>
      <c r="L18" s="405"/>
      <c r="M18" s="405"/>
      <c r="N18" s="405"/>
      <c r="O18" s="405"/>
      <c r="P18" s="405"/>
      <c r="Q18" s="405"/>
      <c r="R18" s="405"/>
      <c r="S18" s="405"/>
      <c r="T18" s="405"/>
      <c r="U18" s="405"/>
      <c r="V18" s="405"/>
      <c r="W18" s="405"/>
      <c r="X18" s="405"/>
      <c r="Y18" s="405"/>
      <c r="Z18" s="405"/>
      <c r="AA18" s="405"/>
      <c r="AB18" s="405"/>
      <c r="AC18" s="405"/>
      <c r="AD18" s="405"/>
      <c r="AE18" s="405"/>
      <c r="AF18" s="405"/>
    </row>
    <row r="19" spans="1:32" x14ac:dyDescent="0.3">
      <c r="A19" s="405"/>
      <c r="B19" s="2723" t="s">
        <v>3076</v>
      </c>
      <c r="C19" s="2723"/>
      <c r="D19" s="2723"/>
      <c r="E19" s="2723"/>
      <c r="F19" s="2723"/>
      <c r="G19" s="2723"/>
      <c r="H19" s="2723"/>
      <c r="I19" s="2723"/>
      <c r="J19" s="2723"/>
      <c r="K19" s="2723"/>
      <c r="L19" s="2723"/>
      <c r="M19" s="2723"/>
      <c r="N19" s="2723"/>
      <c r="O19" s="2723"/>
      <c r="P19" s="2723"/>
      <c r="Q19" s="2723"/>
      <c r="R19" s="2723"/>
      <c r="S19" s="2723"/>
      <c r="T19" s="2723"/>
      <c r="U19" s="2723"/>
      <c r="V19" s="2723"/>
      <c r="W19" s="2723"/>
      <c r="X19" s="2723"/>
      <c r="Y19" s="2723"/>
      <c r="Z19" s="2723"/>
      <c r="AA19" s="2723"/>
      <c r="AB19" s="2723"/>
      <c r="AC19" s="2723"/>
      <c r="AD19" s="2723"/>
      <c r="AE19" s="2723"/>
      <c r="AF19" s="2723"/>
    </row>
    <row r="20" spans="1:32" x14ac:dyDescent="0.3">
      <c r="A20" s="405"/>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05"/>
      <c r="AC20" s="405"/>
      <c r="AD20" s="405"/>
      <c r="AE20" s="405"/>
      <c r="AF20" s="405"/>
    </row>
    <row r="21" spans="1:32" x14ac:dyDescent="0.3">
      <c r="A21" s="405"/>
      <c r="B21" s="406" t="s">
        <v>13</v>
      </c>
      <c r="C21" s="406"/>
      <c r="D21" s="406"/>
      <c r="E21" s="406"/>
      <c r="F21" s="406"/>
      <c r="G21" s="406"/>
      <c r="H21" s="406"/>
      <c r="I21" s="406"/>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row>
    <row r="22" spans="1:32" x14ac:dyDescent="0.3">
      <c r="A22" s="405"/>
      <c r="B22" s="2723" t="s">
        <v>3077</v>
      </c>
      <c r="C22" s="2723"/>
      <c r="D22" s="2723"/>
      <c r="E22" s="2723"/>
      <c r="F22" s="2723"/>
      <c r="G22" s="2723"/>
      <c r="H22" s="2723"/>
      <c r="I22" s="2723"/>
      <c r="J22" s="2723"/>
      <c r="K22" s="2723"/>
      <c r="L22" s="2723"/>
      <c r="M22" s="2723"/>
      <c r="N22" s="2723"/>
      <c r="O22" s="2723"/>
      <c r="P22" s="2723"/>
      <c r="Q22" s="2723"/>
      <c r="R22" s="2723"/>
      <c r="S22" s="2723"/>
      <c r="T22" s="2723"/>
      <c r="U22" s="2723"/>
      <c r="V22" s="2723"/>
      <c r="W22" s="2723"/>
      <c r="X22" s="2723"/>
      <c r="Y22" s="2723"/>
      <c r="Z22" s="2723"/>
      <c r="AA22" s="2723"/>
      <c r="AB22" s="2723"/>
      <c r="AC22" s="2723"/>
      <c r="AD22" s="2723"/>
      <c r="AE22" s="2723"/>
      <c r="AF22" s="2723"/>
    </row>
    <row r="23" spans="1:32" x14ac:dyDescent="0.3">
      <c r="A23" s="405"/>
      <c r="B23" s="408"/>
      <c r="C23" s="408"/>
      <c r="D23" s="408"/>
      <c r="E23" s="408"/>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row>
    <row r="24" spans="1:32" x14ac:dyDescent="0.3">
      <c r="A24" s="405"/>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row>
    <row r="25" spans="1:32" x14ac:dyDescent="0.3">
      <c r="A25" s="2719" t="s">
        <v>7</v>
      </c>
      <c r="B25" s="2720"/>
      <c r="C25" s="2720"/>
      <c r="D25" s="2720"/>
      <c r="E25" s="2720"/>
      <c r="F25" s="2720"/>
      <c r="G25" s="2720"/>
      <c r="H25" s="2720"/>
      <c r="I25" s="2720"/>
      <c r="J25" s="2720"/>
      <c r="K25" s="2720"/>
      <c r="L25" s="2720"/>
      <c r="M25" s="2720"/>
      <c r="N25" s="2720"/>
      <c r="O25" s="2720"/>
      <c r="P25" s="2720"/>
      <c r="Q25" s="2720"/>
      <c r="R25" s="2720"/>
      <c r="S25" s="2720"/>
      <c r="T25" s="2720"/>
      <c r="U25" s="2720"/>
      <c r="V25" s="2720"/>
      <c r="W25" s="2720"/>
      <c r="X25" s="2720"/>
      <c r="Y25" s="2720"/>
      <c r="Z25" s="2720"/>
      <c r="AA25" s="2720"/>
      <c r="AB25" s="2720"/>
      <c r="AC25" s="2720"/>
      <c r="AD25" s="2720"/>
      <c r="AE25" s="2720"/>
      <c r="AF25" s="2721"/>
    </row>
    <row r="26" spans="1:32" x14ac:dyDescent="0.3">
      <c r="A26" s="405"/>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row>
    <row r="27" spans="1:32" ht="15.6" x14ac:dyDescent="0.3">
      <c r="A27" s="2707" t="s">
        <v>3083</v>
      </c>
      <c r="B27" s="2707"/>
      <c r="C27" s="2707"/>
      <c r="D27" s="2707"/>
      <c r="E27" s="2707"/>
      <c r="F27" s="2707"/>
      <c r="G27" s="421" t="s">
        <v>3084</v>
      </c>
      <c r="H27" s="421"/>
      <c r="I27" s="421"/>
      <c r="J27" s="421"/>
      <c r="K27" s="405"/>
      <c r="L27" s="405"/>
      <c r="M27" s="405"/>
      <c r="N27" s="405"/>
      <c r="O27" s="405"/>
      <c r="P27" s="405"/>
      <c r="Q27" s="405"/>
      <c r="R27" s="405"/>
      <c r="S27" s="405"/>
      <c r="T27" s="405"/>
      <c r="U27" s="405"/>
      <c r="V27" s="405"/>
      <c r="W27" s="405"/>
      <c r="X27" s="405"/>
      <c r="Y27" s="405"/>
      <c r="Z27" s="405"/>
      <c r="AA27" s="405"/>
      <c r="AB27" s="405"/>
      <c r="AC27" s="405"/>
      <c r="AD27" s="405"/>
      <c r="AE27" s="405"/>
      <c r="AF27" s="405"/>
    </row>
    <row r="28" spans="1:32" ht="15.6" x14ac:dyDescent="0.3">
      <c r="A28" s="2707" t="s">
        <v>3085</v>
      </c>
      <c r="B28" s="2707"/>
      <c r="C28" s="2707"/>
      <c r="D28" s="2707"/>
      <c r="E28" s="2707"/>
      <c r="F28" s="2707"/>
      <c r="G28" s="421" t="s">
        <v>3086</v>
      </c>
      <c r="H28" s="421"/>
      <c r="I28" s="421"/>
      <c r="J28" s="421"/>
      <c r="K28" s="405"/>
      <c r="L28" s="405"/>
      <c r="M28" s="405"/>
      <c r="N28" s="405"/>
      <c r="O28" s="405"/>
      <c r="P28" s="405"/>
      <c r="Q28" s="405"/>
      <c r="R28" s="405"/>
      <c r="S28" s="405"/>
      <c r="T28" s="405"/>
      <c r="U28" s="405"/>
      <c r="V28" s="405"/>
      <c r="W28" s="405"/>
      <c r="X28" s="405"/>
      <c r="Y28" s="405"/>
      <c r="Z28" s="405"/>
      <c r="AA28" s="405"/>
      <c r="AB28" s="405"/>
      <c r="AC28" s="405"/>
      <c r="AD28" s="405"/>
      <c r="AE28" s="405"/>
      <c r="AF28" s="405"/>
    </row>
    <row r="29" spans="1:32" ht="15.6" x14ac:dyDescent="0.3">
      <c r="A29" s="2707" t="s">
        <v>3087</v>
      </c>
      <c r="B29" s="2707"/>
      <c r="C29" s="2707"/>
      <c r="D29" s="2707"/>
      <c r="E29" s="2707"/>
      <c r="F29" s="2707"/>
      <c r="G29" s="421" t="s">
        <v>3118</v>
      </c>
      <c r="H29" s="421"/>
      <c r="I29" s="421"/>
      <c r="J29" s="421"/>
      <c r="K29" s="405"/>
      <c r="L29" s="405"/>
      <c r="M29" s="405"/>
      <c r="N29" s="405"/>
      <c r="O29" s="405"/>
      <c r="P29" s="405"/>
      <c r="Q29" s="405"/>
      <c r="R29" s="405"/>
      <c r="S29" s="405"/>
      <c r="T29" s="405"/>
      <c r="U29" s="405"/>
      <c r="V29" s="405"/>
      <c r="W29" s="405"/>
      <c r="X29" s="405"/>
      <c r="Y29" s="405"/>
      <c r="Z29" s="405"/>
      <c r="AA29" s="405"/>
      <c r="AB29" s="405"/>
      <c r="AC29" s="405"/>
      <c r="AD29" s="405"/>
      <c r="AE29" s="405"/>
      <c r="AF29" s="405"/>
    </row>
    <row r="30" spans="1:32" x14ac:dyDescent="0.3">
      <c r="A30" s="405"/>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row>
    <row r="31" spans="1:32" x14ac:dyDescent="0.3">
      <c r="A31" s="2724" t="s">
        <v>8</v>
      </c>
      <c r="B31" s="2724"/>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2724"/>
      <c r="AB31" s="2724"/>
      <c r="AC31" s="2724"/>
      <c r="AD31" s="2724"/>
      <c r="AE31" s="2724"/>
      <c r="AF31" s="2724"/>
    </row>
    <row r="32" spans="1:32" x14ac:dyDescent="0.3">
      <c r="A32" s="2725" t="s">
        <v>9</v>
      </c>
      <c r="B32" s="2725"/>
      <c r="C32" s="2725"/>
      <c r="D32" s="2725"/>
      <c r="E32" s="2725" t="s">
        <v>3</v>
      </c>
      <c r="F32" s="2725"/>
      <c r="G32" s="2725"/>
      <c r="H32" s="2725"/>
      <c r="I32" s="2725"/>
      <c r="J32" s="2725"/>
      <c r="K32" s="2725"/>
      <c r="L32" s="2725"/>
      <c r="M32" s="2725"/>
      <c r="N32" s="2725"/>
      <c r="O32" s="2725"/>
      <c r="P32" s="2725"/>
      <c r="Q32" s="2725" t="s">
        <v>10</v>
      </c>
      <c r="R32" s="2725"/>
      <c r="S32" s="2725"/>
      <c r="T32" s="2725"/>
      <c r="U32" s="2726" t="s">
        <v>11</v>
      </c>
      <c r="V32" s="2727"/>
      <c r="W32" s="2728"/>
      <c r="X32" s="2726" t="s">
        <v>1466</v>
      </c>
      <c r="Y32" s="2727"/>
      <c r="Z32" s="2727"/>
      <c r="AA32" s="2727"/>
      <c r="AB32" s="2727"/>
      <c r="AC32" s="2727"/>
      <c r="AD32" s="2727"/>
      <c r="AE32" s="2727"/>
      <c r="AF32" s="2728"/>
    </row>
    <row r="33" spans="1:32" x14ac:dyDescent="0.3">
      <c r="A33" s="2713" t="s">
        <v>70</v>
      </c>
      <c r="B33" s="2714"/>
      <c r="C33" s="2714"/>
      <c r="D33" s="2715"/>
      <c r="E33" s="1316" t="s">
        <v>2720</v>
      </c>
      <c r="F33" s="1317"/>
      <c r="G33" s="1317"/>
      <c r="H33" s="1317"/>
      <c r="I33" s="1317"/>
      <c r="J33" s="1317"/>
      <c r="K33" s="1317"/>
      <c r="L33" s="1317"/>
      <c r="M33" s="1317"/>
      <c r="N33" s="1317"/>
      <c r="O33" s="1317"/>
      <c r="P33" s="1318"/>
      <c r="Q33" s="2713" t="s">
        <v>3056</v>
      </c>
      <c r="R33" s="2714"/>
      <c r="S33" s="2714"/>
      <c r="T33" s="2715"/>
      <c r="U33" s="2713" t="s">
        <v>3057</v>
      </c>
      <c r="V33" s="2714"/>
      <c r="W33" s="2715"/>
      <c r="X33" s="2716"/>
      <c r="Y33" s="2717"/>
      <c r="Z33" s="2717"/>
      <c r="AA33" s="2717"/>
      <c r="AB33" s="2717"/>
      <c r="AC33" s="2717"/>
      <c r="AD33" s="2717"/>
      <c r="AE33" s="2717"/>
      <c r="AF33" s="2718"/>
    </row>
    <row r="34" spans="1:32" ht="47.25" customHeight="1" x14ac:dyDescent="0.3">
      <c r="A34" s="2713" t="s">
        <v>3081</v>
      </c>
      <c r="B34" s="2714"/>
      <c r="C34" s="2714"/>
      <c r="D34" s="2715"/>
      <c r="E34" s="1316" t="s">
        <v>3039</v>
      </c>
      <c r="F34" s="1317"/>
      <c r="G34" s="1317"/>
      <c r="H34" s="1317"/>
      <c r="I34" s="1317"/>
      <c r="J34" s="1317"/>
      <c r="K34" s="1317"/>
      <c r="L34" s="1317"/>
      <c r="M34" s="1317"/>
      <c r="N34" s="1317"/>
      <c r="O34" s="1317"/>
      <c r="P34" s="1318"/>
      <c r="Q34" s="2710" t="s">
        <v>3056</v>
      </c>
      <c r="R34" s="2711"/>
      <c r="S34" s="2711"/>
      <c r="T34" s="2712"/>
      <c r="U34" s="2713" t="s">
        <v>3058</v>
      </c>
      <c r="V34" s="2714"/>
      <c r="W34" s="2715"/>
      <c r="X34" s="2716" t="s">
        <v>3041</v>
      </c>
      <c r="Y34" s="2717"/>
      <c r="Z34" s="2717"/>
      <c r="AA34" s="2717"/>
      <c r="AB34" s="2717"/>
      <c r="AC34" s="2717"/>
      <c r="AD34" s="2717"/>
      <c r="AE34" s="2717"/>
      <c r="AF34" s="2718"/>
    </row>
    <row r="35" spans="1:32" ht="50.25" customHeight="1" x14ac:dyDescent="0.3">
      <c r="A35" s="2713" t="s">
        <v>3082</v>
      </c>
      <c r="B35" s="2714"/>
      <c r="C35" s="2714"/>
      <c r="D35" s="2715"/>
      <c r="E35" s="1316" t="s">
        <v>3042</v>
      </c>
      <c r="F35" s="1317"/>
      <c r="G35" s="1317"/>
      <c r="H35" s="1317"/>
      <c r="I35" s="1317"/>
      <c r="J35" s="1317"/>
      <c r="K35" s="1317"/>
      <c r="L35" s="1317"/>
      <c r="M35" s="1317"/>
      <c r="N35" s="1317"/>
      <c r="O35" s="1317"/>
      <c r="P35" s="1318"/>
      <c r="Q35" s="2710" t="s">
        <v>3056</v>
      </c>
      <c r="R35" s="2711"/>
      <c r="S35" s="2711"/>
      <c r="T35" s="2712"/>
      <c r="U35" s="2713" t="s">
        <v>3058</v>
      </c>
      <c r="V35" s="2714"/>
      <c r="W35" s="2715"/>
      <c r="X35" s="2716" t="s">
        <v>3041</v>
      </c>
      <c r="Y35" s="2717"/>
      <c r="Z35" s="2717"/>
      <c r="AA35" s="2717"/>
      <c r="AB35" s="2717"/>
      <c r="AC35" s="2717"/>
      <c r="AD35" s="2717"/>
      <c r="AE35" s="2717"/>
      <c r="AF35" s="2718"/>
    </row>
    <row r="36" spans="1:32" ht="42.75" customHeight="1" x14ac:dyDescent="0.3">
      <c r="A36" s="2713" t="s">
        <v>21</v>
      </c>
      <c r="B36" s="2714"/>
      <c r="C36" s="2714"/>
      <c r="D36" s="2715"/>
      <c r="E36" s="1322" t="s">
        <v>3059</v>
      </c>
      <c r="F36" s="1323"/>
      <c r="G36" s="1323"/>
      <c r="H36" s="1323"/>
      <c r="I36" s="1323"/>
      <c r="J36" s="1323"/>
      <c r="K36" s="1323"/>
      <c r="L36" s="1323"/>
      <c r="M36" s="1323"/>
      <c r="N36" s="1323"/>
      <c r="O36" s="1323"/>
      <c r="P36" s="1324"/>
      <c r="Q36" s="2981">
        <f>ROUND(3185/8760,2)</f>
        <v>0.36</v>
      </c>
      <c r="R36" s="2982"/>
      <c r="S36" s="2982"/>
      <c r="T36" s="2983"/>
      <c r="U36" s="2713" t="s">
        <v>20</v>
      </c>
      <c r="V36" s="2714"/>
      <c r="W36" s="2715"/>
      <c r="X36" s="2984" t="s">
        <v>3094</v>
      </c>
      <c r="Y36" s="2985"/>
      <c r="Z36" s="2985"/>
      <c r="AA36" s="2985"/>
      <c r="AB36" s="2985"/>
      <c r="AC36" s="2985"/>
      <c r="AD36" s="2985"/>
      <c r="AE36" s="2985"/>
      <c r="AF36" s="2986"/>
    </row>
    <row r="37" spans="1:32" ht="91.5" customHeight="1" x14ac:dyDescent="0.3">
      <c r="A37" s="2713" t="s">
        <v>24</v>
      </c>
      <c r="B37" s="2714"/>
      <c r="C37" s="2714"/>
      <c r="D37" s="2715"/>
      <c r="E37" s="1384" t="s">
        <v>3045</v>
      </c>
      <c r="F37" s="1384"/>
      <c r="G37" s="1384"/>
      <c r="H37" s="1384"/>
      <c r="I37" s="1384"/>
      <c r="J37" s="1384"/>
      <c r="K37" s="1384"/>
      <c r="L37" s="1384"/>
      <c r="M37" s="1384"/>
      <c r="N37" s="1384"/>
      <c r="O37" s="1384"/>
      <c r="P37" s="1384"/>
      <c r="Q37" s="2737">
        <v>3185</v>
      </c>
      <c r="R37" s="2738"/>
      <c r="S37" s="2738"/>
      <c r="T37" s="2739"/>
      <c r="U37" s="2713" t="s">
        <v>790</v>
      </c>
      <c r="V37" s="2714"/>
      <c r="W37" s="2714"/>
      <c r="X37" s="1322" t="s">
        <v>3060</v>
      </c>
      <c r="Y37" s="1323"/>
      <c r="Z37" s="1323"/>
      <c r="AA37" s="1323"/>
      <c r="AB37" s="1323"/>
      <c r="AC37" s="1323"/>
      <c r="AD37" s="1323"/>
      <c r="AE37" s="1323"/>
      <c r="AF37" s="1324"/>
    </row>
    <row r="38" spans="1:32" x14ac:dyDescent="0.3">
      <c r="A38" s="2713" t="s">
        <v>159</v>
      </c>
      <c r="B38" s="2714"/>
      <c r="C38" s="2714"/>
      <c r="D38" s="2715"/>
      <c r="E38" s="1322" t="s">
        <v>3061</v>
      </c>
      <c r="F38" s="1323"/>
      <c r="G38" s="1323"/>
      <c r="H38" s="1323"/>
      <c r="I38" s="1323"/>
      <c r="J38" s="1323"/>
      <c r="K38" s="1323"/>
      <c r="L38" s="1323"/>
      <c r="M38" s="1323"/>
      <c r="N38" s="1323"/>
      <c r="O38" s="1323"/>
      <c r="P38" s="1324"/>
      <c r="Q38" s="2713">
        <v>0.47299999999999998</v>
      </c>
      <c r="R38" s="2714"/>
      <c r="S38" s="2714"/>
      <c r="T38" s="2715"/>
      <c r="U38" s="2713" t="s">
        <v>3062</v>
      </c>
      <c r="V38" s="2714"/>
      <c r="W38" s="2715"/>
      <c r="X38" s="2987"/>
      <c r="Y38" s="2988"/>
      <c r="Z38" s="2988"/>
      <c r="AA38" s="2988"/>
      <c r="AB38" s="2988"/>
      <c r="AC38" s="2988"/>
      <c r="AD38" s="2988"/>
      <c r="AE38" s="2988"/>
      <c r="AF38" s="2989"/>
    </row>
    <row r="39" spans="1:32" ht="48.75" customHeight="1" x14ac:dyDescent="0.3">
      <c r="A39" s="2713" t="s">
        <v>2562</v>
      </c>
      <c r="B39" s="2714"/>
      <c r="C39" s="2714"/>
      <c r="D39" s="2715"/>
      <c r="E39" s="1316" t="s">
        <v>2050</v>
      </c>
      <c r="F39" s="1317"/>
      <c r="G39" s="1317"/>
      <c r="H39" s="1317"/>
      <c r="I39" s="1317"/>
      <c r="J39" s="1317"/>
      <c r="K39" s="1317"/>
      <c r="L39" s="1317"/>
      <c r="M39" s="1317"/>
      <c r="N39" s="1317"/>
      <c r="O39" s="1317"/>
      <c r="P39" s="1318"/>
      <c r="Q39" s="2713">
        <f>'Master EUL'!X25</f>
        <v>12</v>
      </c>
      <c r="R39" s="2714"/>
      <c r="S39" s="2714"/>
      <c r="T39" s="2715"/>
      <c r="U39" s="2713" t="s">
        <v>38</v>
      </c>
      <c r="V39" s="2714"/>
      <c r="W39" s="2714"/>
      <c r="X39" s="2716" t="s">
        <v>3099</v>
      </c>
      <c r="Y39" s="2735"/>
      <c r="Z39" s="2735"/>
      <c r="AA39" s="2735"/>
      <c r="AB39" s="2735"/>
      <c r="AC39" s="2735"/>
      <c r="AD39" s="2735"/>
      <c r="AE39" s="2735"/>
      <c r="AF39" s="2736"/>
    </row>
    <row r="40" spans="1:32" x14ac:dyDescent="0.3">
      <c r="A40" s="405"/>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row>
    <row r="41" spans="1:32" x14ac:dyDescent="0.3">
      <c r="A41" s="405"/>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row>
    <row r="42" spans="1:32" x14ac:dyDescent="0.3">
      <c r="A42" s="2719" t="s">
        <v>14</v>
      </c>
      <c r="B42" s="2720"/>
      <c r="C42" s="2720"/>
      <c r="D42" s="2720"/>
      <c r="E42" s="2720"/>
      <c r="F42" s="2720"/>
      <c r="G42" s="2720"/>
      <c r="H42" s="2720"/>
      <c r="I42" s="2720"/>
      <c r="J42" s="2720"/>
      <c r="K42" s="2720"/>
      <c r="L42" s="2720"/>
      <c r="M42" s="2720"/>
      <c r="N42" s="2720"/>
      <c r="O42" s="2720"/>
      <c r="P42" s="2720"/>
      <c r="Q42" s="2720"/>
      <c r="R42" s="2720"/>
      <c r="S42" s="2720"/>
      <c r="T42" s="2720"/>
      <c r="U42" s="2720"/>
      <c r="V42" s="2720"/>
      <c r="W42" s="2720"/>
      <c r="X42" s="2720"/>
      <c r="Y42" s="2720"/>
      <c r="Z42" s="2720"/>
      <c r="AA42" s="2720"/>
      <c r="AB42" s="2720"/>
      <c r="AC42" s="2720"/>
      <c r="AD42" s="2720"/>
      <c r="AE42" s="2720"/>
      <c r="AF42" s="2721"/>
    </row>
    <row r="43" spans="1:32" x14ac:dyDescent="0.3">
      <c r="A43" s="66"/>
      <c r="B43" s="409"/>
      <c r="C43" s="409"/>
      <c r="D43" s="409"/>
      <c r="E43" s="66"/>
      <c r="F43" s="405"/>
      <c r="G43" s="405"/>
      <c r="H43" s="405"/>
      <c r="I43" s="66"/>
      <c r="J43" s="405"/>
      <c r="K43" s="405"/>
      <c r="L43" s="405"/>
      <c r="M43" s="66"/>
      <c r="N43" s="405"/>
      <c r="O43" s="405"/>
      <c r="P43" s="405"/>
      <c r="Q43" s="66"/>
      <c r="R43" s="405"/>
      <c r="S43" s="405"/>
      <c r="T43" s="405"/>
      <c r="U43" s="66"/>
      <c r="V43" s="405"/>
      <c r="W43" s="405"/>
      <c r="X43" s="405"/>
      <c r="Y43" s="66"/>
      <c r="Z43" s="405"/>
      <c r="AA43" s="405"/>
      <c r="AB43" s="405"/>
      <c r="AC43" s="66"/>
      <c r="AD43" s="66"/>
      <c r="AE43" s="66"/>
      <c r="AF43" s="66"/>
    </row>
    <row r="44" spans="1:32" ht="48.75" customHeight="1" x14ac:dyDescent="0.3">
      <c r="A44" s="2990" t="s">
        <v>3063</v>
      </c>
      <c r="B44" s="2990"/>
      <c r="C44" s="2990"/>
      <c r="D44" s="2990"/>
      <c r="E44" s="2995" t="s">
        <v>3088</v>
      </c>
      <c r="F44" s="2995"/>
      <c r="G44" s="2995"/>
      <c r="H44" s="2995"/>
      <c r="I44" s="2995" t="s">
        <v>3089</v>
      </c>
      <c r="J44" s="2995"/>
      <c r="K44" s="2995"/>
      <c r="L44" s="2995"/>
      <c r="M44" s="2990" t="s">
        <v>3090</v>
      </c>
      <c r="N44" s="2990"/>
      <c r="O44" s="2990"/>
      <c r="P44" s="2990"/>
      <c r="Q44" s="2990" t="s">
        <v>3091</v>
      </c>
      <c r="R44" s="2990"/>
      <c r="S44" s="2990"/>
      <c r="T44" s="2990"/>
      <c r="U44" s="2990" t="s">
        <v>3064</v>
      </c>
      <c r="V44" s="2990"/>
      <c r="W44" s="2990"/>
      <c r="X44" s="2990"/>
      <c r="Y44" s="2990" t="s">
        <v>3065</v>
      </c>
      <c r="Z44" s="2990"/>
      <c r="AA44" s="2990"/>
      <c r="AB44" s="2990"/>
      <c r="AC44" s="2990" t="s">
        <v>3066</v>
      </c>
      <c r="AD44" s="2990"/>
      <c r="AE44" s="2990"/>
      <c r="AF44" s="2990"/>
    </row>
    <row r="45" spans="1:32" x14ac:dyDescent="0.3">
      <c r="A45" s="2991" t="s">
        <v>3067</v>
      </c>
      <c r="B45" s="2991"/>
      <c r="C45" s="2991"/>
      <c r="D45" s="2991"/>
      <c r="E45" s="2992">
        <v>25</v>
      </c>
      <c r="F45" s="2992"/>
      <c r="G45" s="2992"/>
      <c r="H45" s="2992"/>
      <c r="I45" s="2993">
        <f>2/361</f>
        <v>5.5401662049861496E-3</v>
      </c>
      <c r="J45" s="2993"/>
      <c r="K45" s="2993"/>
      <c r="L45" s="2993"/>
      <c r="M45" s="2991">
        <v>1.35</v>
      </c>
      <c r="N45" s="2991"/>
      <c r="O45" s="2991"/>
      <c r="P45" s="2991"/>
      <c r="Q45" s="2991">
        <v>2</v>
      </c>
      <c r="R45" s="2991"/>
      <c r="S45" s="2991"/>
      <c r="T45" s="2991"/>
      <c r="U45" s="2994">
        <f t="shared" ref="U45:U51" si="0">(E45*0.473)/24 * (1/M45)*$Q$37</f>
        <v>1162.426697530864</v>
      </c>
      <c r="V45" s="2994"/>
      <c r="W45" s="2994"/>
      <c r="X45" s="2994"/>
      <c r="Y45" s="2994">
        <f t="shared" ref="Y45:Y51" si="1">(E45*0.473)/24 * (1/Q45)*$Q$37</f>
        <v>784.63802083333326</v>
      </c>
      <c r="Z45" s="2994"/>
      <c r="AA45" s="2994"/>
      <c r="AB45" s="2994"/>
      <c r="AC45" s="2994">
        <f>U45-Y45</f>
        <v>377.78867669753072</v>
      </c>
      <c r="AD45" s="2994"/>
      <c r="AE45" s="2994"/>
      <c r="AF45" s="2994"/>
    </row>
    <row r="46" spans="1:32" x14ac:dyDescent="0.3">
      <c r="A46" s="2991" t="s">
        <v>3068</v>
      </c>
      <c r="B46" s="2991"/>
      <c r="C46" s="2991"/>
      <c r="D46" s="2991"/>
      <c r="E46" s="2992">
        <v>30.25</v>
      </c>
      <c r="F46" s="2992"/>
      <c r="G46" s="2992"/>
      <c r="H46" s="2992"/>
      <c r="I46" s="2993">
        <f>72/361</f>
        <v>0.1994459833795014</v>
      </c>
      <c r="J46" s="2993"/>
      <c r="K46" s="2993"/>
      <c r="L46" s="2993"/>
      <c r="M46" s="2991">
        <v>1.35</v>
      </c>
      <c r="N46" s="2991"/>
      <c r="O46" s="2991"/>
      <c r="P46" s="2991"/>
      <c r="Q46" s="2991">
        <v>2</v>
      </c>
      <c r="R46" s="2991"/>
      <c r="S46" s="2991"/>
      <c r="T46" s="2991"/>
      <c r="U46" s="2994">
        <f t="shared" si="0"/>
        <v>1406.5363040123455</v>
      </c>
      <c r="V46" s="2994"/>
      <c r="W46" s="2994"/>
      <c r="X46" s="2994"/>
      <c r="Y46" s="2994">
        <f t="shared" si="1"/>
        <v>949.41200520833331</v>
      </c>
      <c r="Z46" s="2994"/>
      <c r="AA46" s="2994"/>
      <c r="AB46" s="2994"/>
      <c r="AC46" s="2994">
        <f t="shared" ref="AC46:AC51" si="2">U46-Y46</f>
        <v>457.12429880401214</v>
      </c>
      <c r="AD46" s="2994"/>
      <c r="AE46" s="2994"/>
      <c r="AF46" s="2994"/>
    </row>
    <row r="47" spans="1:32" x14ac:dyDescent="0.3">
      <c r="A47" s="2991" t="s">
        <v>3069</v>
      </c>
      <c r="B47" s="2991"/>
      <c r="C47" s="2991"/>
      <c r="D47" s="2991"/>
      <c r="E47" s="2992">
        <v>44.473684210526315</v>
      </c>
      <c r="F47" s="2992"/>
      <c r="G47" s="2992"/>
      <c r="H47" s="2992"/>
      <c r="I47" s="2993">
        <f>19/361</f>
        <v>5.2631578947368418E-2</v>
      </c>
      <c r="J47" s="2993"/>
      <c r="K47" s="2993"/>
      <c r="L47" s="2993"/>
      <c r="M47" s="2991">
        <v>1.5</v>
      </c>
      <c r="N47" s="2991"/>
      <c r="O47" s="2991"/>
      <c r="P47" s="2991"/>
      <c r="Q47" s="2991">
        <v>2</v>
      </c>
      <c r="R47" s="2991"/>
      <c r="S47" s="2991"/>
      <c r="T47" s="2991"/>
      <c r="U47" s="2994">
        <f t="shared" si="0"/>
        <v>1861.106323099415</v>
      </c>
      <c r="V47" s="2994"/>
      <c r="W47" s="2994"/>
      <c r="X47" s="2994"/>
      <c r="Y47" s="2994">
        <f t="shared" si="1"/>
        <v>1395.8297423245615</v>
      </c>
      <c r="Z47" s="2994"/>
      <c r="AA47" s="2994"/>
      <c r="AB47" s="2994"/>
      <c r="AC47" s="2994">
        <f t="shared" si="2"/>
        <v>465.27658077485353</v>
      </c>
      <c r="AD47" s="2994"/>
      <c r="AE47" s="2994"/>
      <c r="AF47" s="2994"/>
    </row>
    <row r="48" spans="1:32" x14ac:dyDescent="0.3">
      <c r="A48" s="2991" t="s">
        <v>3070</v>
      </c>
      <c r="B48" s="2991"/>
      <c r="C48" s="2991"/>
      <c r="D48" s="2991"/>
      <c r="E48" s="2992">
        <v>50</v>
      </c>
      <c r="F48" s="2992"/>
      <c r="G48" s="2992"/>
      <c r="H48" s="2992"/>
      <c r="I48" s="2993">
        <f>84/361</f>
        <v>0.23268698060941828</v>
      </c>
      <c r="J48" s="2993"/>
      <c r="K48" s="2993"/>
      <c r="L48" s="2993"/>
      <c r="M48" s="2991">
        <v>1.6</v>
      </c>
      <c r="N48" s="2991"/>
      <c r="O48" s="2991"/>
      <c r="P48" s="2991"/>
      <c r="Q48" s="2991">
        <v>2</v>
      </c>
      <c r="R48" s="2991"/>
      <c r="S48" s="2991"/>
      <c r="T48" s="2991"/>
      <c r="U48" s="2994">
        <f t="shared" si="0"/>
        <v>1961.5950520833333</v>
      </c>
      <c r="V48" s="2994"/>
      <c r="W48" s="2994"/>
      <c r="X48" s="2994"/>
      <c r="Y48" s="2994">
        <f t="shared" si="1"/>
        <v>1569.2760416666665</v>
      </c>
      <c r="Z48" s="2994"/>
      <c r="AA48" s="2994"/>
      <c r="AB48" s="2994"/>
      <c r="AC48" s="2994">
        <f t="shared" si="2"/>
        <v>392.31901041666674</v>
      </c>
      <c r="AD48" s="2994"/>
      <c r="AE48" s="2994"/>
      <c r="AF48" s="2994"/>
    </row>
    <row r="49" spans="1:32" x14ac:dyDescent="0.3">
      <c r="A49" s="2991" t="s">
        <v>3071</v>
      </c>
      <c r="B49" s="2991"/>
      <c r="C49" s="2991"/>
      <c r="D49" s="2991"/>
      <c r="E49" s="2992">
        <v>68.779444444444451</v>
      </c>
      <c r="F49" s="2992"/>
      <c r="G49" s="2992"/>
      <c r="H49" s="2992"/>
      <c r="I49" s="2993">
        <f>144/361</f>
        <v>0.39889196675900279</v>
      </c>
      <c r="J49" s="2993"/>
      <c r="K49" s="2993"/>
      <c r="L49" s="2993"/>
      <c r="M49" s="2991">
        <v>1.7</v>
      </c>
      <c r="N49" s="2991"/>
      <c r="O49" s="2991"/>
      <c r="P49" s="2991"/>
      <c r="Q49" s="2991">
        <v>2</v>
      </c>
      <c r="R49" s="2991"/>
      <c r="S49" s="2991"/>
      <c r="T49" s="2991"/>
      <c r="U49" s="2994">
        <f t="shared" si="0"/>
        <v>2539.6219841367106</v>
      </c>
      <c r="V49" s="2994"/>
      <c r="W49" s="2994"/>
      <c r="X49" s="2994"/>
      <c r="Y49" s="2994">
        <f t="shared" si="1"/>
        <v>2158.6786865162039</v>
      </c>
      <c r="Z49" s="2994"/>
      <c r="AA49" s="2994"/>
      <c r="AB49" s="2994"/>
      <c r="AC49" s="2994">
        <f t="shared" si="2"/>
        <v>380.94329762050666</v>
      </c>
      <c r="AD49" s="2994"/>
      <c r="AE49" s="2994"/>
      <c r="AF49" s="2994"/>
    </row>
    <row r="50" spans="1:32" x14ac:dyDescent="0.3">
      <c r="A50" s="2991" t="s">
        <v>3072</v>
      </c>
      <c r="B50" s="2991"/>
      <c r="C50" s="2991"/>
      <c r="D50" s="2991"/>
      <c r="E50" s="2992">
        <v>106.11824999999999</v>
      </c>
      <c r="F50" s="2992"/>
      <c r="G50" s="2992"/>
      <c r="H50" s="2992"/>
      <c r="I50" s="2993">
        <f>40/361</f>
        <v>0.11080332409972299</v>
      </c>
      <c r="J50" s="2993"/>
      <c r="K50" s="2993"/>
      <c r="L50" s="2993"/>
      <c r="M50" s="2991">
        <v>2.5</v>
      </c>
      <c r="N50" s="2991"/>
      <c r="O50" s="2991"/>
      <c r="P50" s="2991"/>
      <c r="Q50" s="2991">
        <v>2.8</v>
      </c>
      <c r="R50" s="2991"/>
      <c r="S50" s="2991"/>
      <c r="T50" s="2991"/>
      <c r="U50" s="2994">
        <f t="shared" si="0"/>
        <v>2664.4612369374995</v>
      </c>
      <c r="V50" s="2994"/>
      <c r="W50" s="2994"/>
      <c r="X50" s="2994"/>
      <c r="Y50" s="2994">
        <f t="shared" si="1"/>
        <v>2378.9832472656244</v>
      </c>
      <c r="Z50" s="2994"/>
      <c r="AA50" s="2994"/>
      <c r="AB50" s="2994"/>
      <c r="AC50" s="2994">
        <f t="shared" si="2"/>
        <v>285.47798967187509</v>
      </c>
      <c r="AD50" s="2994"/>
      <c r="AE50" s="2994"/>
      <c r="AF50" s="2994"/>
    </row>
    <row r="51" spans="1:32" x14ac:dyDescent="0.3">
      <c r="A51" s="2999" t="s">
        <v>49</v>
      </c>
      <c r="B51" s="2999"/>
      <c r="C51" s="2999"/>
      <c r="D51" s="2999"/>
      <c r="E51" s="3000">
        <f>SUMPRODUCT(I45:L50,E45:H50)</f>
        <v>59.34063711911358</v>
      </c>
      <c r="F51" s="3000"/>
      <c r="G51" s="3000"/>
      <c r="H51" s="3000"/>
      <c r="I51" s="3001"/>
      <c r="J51" s="3001"/>
      <c r="K51" s="3001"/>
      <c r="L51" s="3001"/>
      <c r="M51" s="3000">
        <f>SUMPRODUCT(I45:L50,M45:P50)</f>
        <v>1.6831024930747924</v>
      </c>
      <c r="N51" s="3000"/>
      <c r="O51" s="3000"/>
      <c r="P51" s="3000"/>
      <c r="Q51" s="3000">
        <f>SUMPRODUCT(I45:L50,Q45:T50)</f>
        <v>2.0886426592797784</v>
      </c>
      <c r="R51" s="3000"/>
      <c r="S51" s="3000"/>
      <c r="T51" s="3000"/>
      <c r="U51" s="3002">
        <f t="shared" si="0"/>
        <v>2213.0996896841398</v>
      </c>
      <c r="V51" s="3002"/>
      <c r="W51" s="3002"/>
      <c r="X51" s="3002"/>
      <c r="Y51" s="3002">
        <f t="shared" si="1"/>
        <v>1783.3943918462646</v>
      </c>
      <c r="Z51" s="3002"/>
      <c r="AA51" s="3002"/>
      <c r="AB51" s="3002"/>
      <c r="AC51" s="3002">
        <f t="shared" si="2"/>
        <v>429.70529783787515</v>
      </c>
      <c r="AD51" s="3002"/>
      <c r="AE51" s="3002"/>
      <c r="AF51" s="3002"/>
    </row>
    <row r="52" spans="1:32" ht="54" customHeight="1" x14ac:dyDescent="0.3">
      <c r="A52" s="2996" t="s">
        <v>830</v>
      </c>
      <c r="B52" s="2996"/>
      <c r="C52" s="2997" t="s">
        <v>3073</v>
      </c>
      <c r="D52" s="2998"/>
      <c r="E52" s="2998"/>
      <c r="F52" s="2998"/>
      <c r="G52" s="2998"/>
      <c r="H52" s="2998"/>
      <c r="I52" s="2998"/>
      <c r="J52" s="2998"/>
      <c r="K52" s="2998"/>
      <c r="L52" s="2998"/>
      <c r="M52" s="2998"/>
      <c r="N52" s="2998"/>
      <c r="O52" s="2998"/>
      <c r="P52" s="2998"/>
      <c r="Q52" s="2998"/>
      <c r="R52" s="2998"/>
      <c r="S52" s="2998"/>
      <c r="T52" s="2998"/>
      <c r="U52" s="2998"/>
      <c r="V52" s="2998"/>
      <c r="W52" s="2998"/>
      <c r="X52" s="2998"/>
      <c r="Y52" s="2998"/>
      <c r="Z52" s="2998"/>
      <c r="AA52" s="2998"/>
      <c r="AB52" s="2998"/>
      <c r="AC52" s="2998"/>
      <c r="AD52" s="2998"/>
      <c r="AE52" s="2998"/>
      <c r="AF52" s="2998"/>
    </row>
    <row r="53" spans="1:32" ht="15" thickBot="1" x14ac:dyDescent="0.35"/>
    <row r="54" spans="1:32" x14ac:dyDescent="0.3">
      <c r="A54" s="2759" t="s">
        <v>15</v>
      </c>
      <c r="B54" s="2708"/>
      <c r="C54" s="2708"/>
      <c r="D54" s="2708"/>
      <c r="E54" s="2708"/>
      <c r="F54" s="2708"/>
      <c r="G54" s="2708"/>
      <c r="H54" s="2708"/>
      <c r="I54" s="2708" t="s">
        <v>16</v>
      </c>
      <c r="J54" s="2708"/>
      <c r="K54" s="2708"/>
      <c r="L54" s="2708"/>
      <c r="M54" s="2708"/>
      <c r="N54" s="2708"/>
      <c r="O54" s="2708"/>
      <c r="P54" s="2708"/>
      <c r="Q54" s="2708" t="s">
        <v>17</v>
      </c>
      <c r="R54" s="2708"/>
      <c r="S54" s="2708"/>
      <c r="T54" s="2708"/>
      <c r="U54" s="2708"/>
      <c r="V54" s="2708"/>
      <c r="W54" s="2708"/>
      <c r="X54" s="2753"/>
      <c r="Y54" s="2708" t="s">
        <v>1826</v>
      </c>
      <c r="Z54" s="2708"/>
      <c r="AA54" s="2708"/>
      <c r="AB54" s="2708"/>
      <c r="AC54" s="2708"/>
      <c r="AD54" s="2708"/>
      <c r="AE54" s="2708"/>
      <c r="AF54" s="2709"/>
    </row>
    <row r="55" spans="1:32" ht="15" thickBot="1" x14ac:dyDescent="0.35">
      <c r="A55" s="2754" t="s">
        <v>3033</v>
      </c>
      <c r="B55" s="2755"/>
      <c r="C55" s="2755"/>
      <c r="D55" s="2755"/>
      <c r="E55" s="2755"/>
      <c r="F55" s="2755"/>
      <c r="G55" s="2755"/>
      <c r="H55" s="2755"/>
      <c r="I55" s="2756">
        <f>ROUND((E51*0.473)/24 * (1/M51-1/Q51)*$Q$36,3)</f>
        <v>4.9000000000000002E-2</v>
      </c>
      <c r="J55" s="2756"/>
      <c r="K55" s="2756"/>
      <c r="L55" s="2756"/>
      <c r="M55" s="2756"/>
      <c r="N55" s="2756"/>
      <c r="O55" s="2756"/>
      <c r="P55" s="2756"/>
      <c r="Q55" s="2757">
        <f>ROUND(AC51,2)</f>
        <v>429.71</v>
      </c>
      <c r="R55" s="2757"/>
      <c r="S55" s="2757"/>
      <c r="T55" s="2757"/>
      <c r="U55" s="2757"/>
      <c r="V55" s="2757"/>
      <c r="W55" s="2757"/>
      <c r="X55" s="2758"/>
      <c r="Y55" s="1562">
        <f>ROUND($Q$55*$Q$39,2)</f>
        <v>5156.5200000000004</v>
      </c>
      <c r="Z55" s="1562"/>
      <c r="AA55" s="1562"/>
      <c r="AB55" s="1562"/>
      <c r="AC55" s="1562"/>
      <c r="AD55" s="1562"/>
      <c r="AE55" s="1562"/>
      <c r="AF55" s="1563"/>
    </row>
    <row r="58" spans="1:32" x14ac:dyDescent="0.3">
      <c r="A58" s="1141" t="s">
        <v>1514</v>
      </c>
      <c r="B58" s="1141"/>
      <c r="C58" s="1141"/>
      <c r="D58" s="1141"/>
      <c r="E58" s="1141"/>
      <c r="F58" s="1141"/>
      <c r="G58" s="1141"/>
      <c r="H58" s="1141"/>
      <c r="I58" s="1141"/>
      <c r="J58" s="1141"/>
      <c r="K58" s="1141"/>
      <c r="L58" s="1141"/>
      <c r="M58" s="1141"/>
      <c r="N58" s="1141"/>
      <c r="O58" s="1141"/>
      <c r="P58" s="1141"/>
      <c r="Q58" s="1141"/>
      <c r="R58" s="1141"/>
      <c r="S58" s="1141"/>
      <c r="T58" s="1141"/>
      <c r="U58" s="1141"/>
      <c r="V58" s="1141"/>
      <c r="W58" s="1141"/>
      <c r="X58" s="1141"/>
      <c r="Y58" s="1141"/>
      <c r="Z58" s="1141"/>
      <c r="AA58" s="1141"/>
      <c r="AB58" s="1141"/>
      <c r="AC58" s="1141"/>
      <c r="AD58" s="1141"/>
      <c r="AE58" s="1141"/>
      <c r="AF58" s="1141"/>
    </row>
    <row r="59" spans="1:32" x14ac:dyDescent="0.3">
      <c r="A59"/>
      <c r="B59"/>
      <c r="C59"/>
      <c r="D59"/>
      <c r="E59"/>
      <c r="F59"/>
      <c r="G59"/>
      <c r="H59"/>
      <c r="I59"/>
      <c r="J59"/>
      <c r="K59"/>
      <c r="L59"/>
      <c r="M59"/>
      <c r="N59"/>
      <c r="O59"/>
      <c r="P59"/>
      <c r="Q59"/>
      <c r="R59"/>
      <c r="S59"/>
      <c r="T59"/>
      <c r="U59"/>
      <c r="V59"/>
      <c r="W59"/>
      <c r="X59"/>
      <c r="Y59"/>
      <c r="Z59"/>
      <c r="AA59"/>
      <c r="AB59"/>
      <c r="AC59"/>
      <c r="AD59"/>
      <c r="AE59"/>
      <c r="AF59"/>
    </row>
    <row r="60" spans="1:32" x14ac:dyDescent="0.3">
      <c r="A60" s="368" t="s">
        <v>803</v>
      </c>
      <c r="B60" s="953" t="s">
        <v>3095</v>
      </c>
      <c r="C60" s="953"/>
      <c r="D60" s="953"/>
      <c r="E60" s="953"/>
      <c r="F60" s="953"/>
      <c r="G60" s="953"/>
      <c r="H60" s="953"/>
      <c r="I60" s="953"/>
      <c r="J60" s="953"/>
      <c r="K60" s="953"/>
      <c r="L60" s="953"/>
      <c r="M60" s="953"/>
      <c r="N60" s="953"/>
      <c r="O60" s="953"/>
      <c r="P60" s="953"/>
      <c r="Q60" s="953"/>
      <c r="R60" s="953"/>
      <c r="S60" s="953"/>
      <c r="T60" s="953"/>
      <c r="U60" s="953"/>
      <c r="V60" s="953"/>
      <c r="W60" s="953"/>
      <c r="X60" s="953"/>
      <c r="Y60" s="953"/>
      <c r="Z60" s="953"/>
      <c r="AA60" s="953"/>
      <c r="AB60" s="953"/>
      <c r="AC60" s="953"/>
      <c r="AD60" s="953"/>
      <c r="AE60" s="953"/>
      <c r="AF60" s="953"/>
    </row>
    <row r="61" spans="1:32" x14ac:dyDescent="0.3">
      <c r="A61" s="368" t="s">
        <v>803</v>
      </c>
      <c r="B61" s="953" t="s">
        <v>3100</v>
      </c>
      <c r="C61" s="953"/>
      <c r="D61" s="953"/>
      <c r="E61" s="953"/>
      <c r="F61" s="953"/>
      <c r="G61" s="953"/>
      <c r="H61" s="953"/>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row>
    <row r="62" spans="1:32" ht="31.5" customHeight="1" x14ac:dyDescent="0.3">
      <c r="A62" s="368" t="s">
        <v>803</v>
      </c>
      <c r="B62" s="953" t="s">
        <v>3098</v>
      </c>
      <c r="C62" s="953"/>
      <c r="D62" s="953"/>
      <c r="E62" s="953"/>
      <c r="F62" s="953"/>
      <c r="G62" s="953"/>
      <c r="H62" s="953"/>
      <c r="I62" s="953"/>
      <c r="J62" s="953"/>
      <c r="K62" s="953"/>
      <c r="L62" s="953"/>
      <c r="M62" s="953"/>
      <c r="N62" s="953"/>
      <c r="O62" s="953"/>
      <c r="P62" s="953"/>
      <c r="Q62" s="953"/>
      <c r="R62" s="953"/>
      <c r="S62" s="953"/>
      <c r="T62" s="953"/>
      <c r="U62" s="953"/>
      <c r="V62" s="953"/>
      <c r="W62" s="953"/>
      <c r="X62" s="953"/>
      <c r="Y62" s="953"/>
      <c r="Z62" s="953"/>
      <c r="AA62" s="953"/>
      <c r="AB62" s="953"/>
      <c r="AC62" s="953"/>
      <c r="AD62" s="953"/>
      <c r="AE62" s="953"/>
      <c r="AF62" s="953"/>
    </row>
    <row r="63" spans="1:32" ht="31.5" customHeight="1" x14ac:dyDescent="0.3">
      <c r="A63" s="368" t="s">
        <v>803</v>
      </c>
      <c r="B63" s="953" t="s">
        <v>3097</v>
      </c>
      <c r="C63" s="953"/>
      <c r="D63" s="953"/>
      <c r="E63" s="953"/>
      <c r="F63" s="953"/>
      <c r="G63" s="953"/>
      <c r="H63" s="953"/>
      <c r="I63" s="953"/>
      <c r="J63" s="953"/>
      <c r="K63" s="953"/>
      <c r="L63" s="953"/>
      <c r="M63" s="953"/>
      <c r="N63" s="953"/>
      <c r="O63" s="953"/>
      <c r="P63" s="953"/>
      <c r="Q63" s="953"/>
      <c r="R63" s="953"/>
      <c r="S63" s="953"/>
      <c r="T63" s="953"/>
      <c r="U63" s="953"/>
      <c r="V63" s="953"/>
      <c r="W63" s="953"/>
      <c r="X63" s="953"/>
      <c r="Y63" s="953"/>
      <c r="Z63" s="953"/>
      <c r="AA63" s="953"/>
      <c r="AB63" s="953"/>
      <c r="AC63" s="953"/>
      <c r="AD63" s="953"/>
      <c r="AE63" s="953"/>
      <c r="AF63" s="953"/>
    </row>
    <row r="64" spans="1:32" ht="63" customHeight="1" x14ac:dyDescent="0.3">
      <c r="A64" s="368" t="s">
        <v>803</v>
      </c>
      <c r="B64" s="953" t="s">
        <v>3096</v>
      </c>
      <c r="C64" s="953"/>
      <c r="D64" s="953"/>
      <c r="E64" s="953"/>
      <c r="F64" s="953"/>
      <c r="G64" s="953"/>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row>
    <row r="65" spans="1:1" x14ac:dyDescent="0.3">
      <c r="A65" s="368"/>
    </row>
  </sheetData>
  <sheetProtection algorithmName="SHA-512" hashValue="mTMFVgoa5tOmH53jgN5njdokHndLLS+5HU6vJjyGAqwEmRhmvLvLiWkwiD5VxFQ3cx2KObgpl8OkPEMe7pgSzQ==" saltValue="T4vXGYLB5BoXJDyIR0hjrw==" spinCount="100000" sheet="1" objects="1" scenarios="1"/>
  <mergeCells count="135">
    <mergeCell ref="A52:B52"/>
    <mergeCell ref="C52:AF52"/>
    <mergeCell ref="A54:H54"/>
    <mergeCell ref="I54:P54"/>
    <mergeCell ref="Q54:X54"/>
    <mergeCell ref="A55:H55"/>
    <mergeCell ref="I55:P55"/>
    <mergeCell ref="Q55:X55"/>
    <mergeCell ref="Y50:AB50"/>
    <mergeCell ref="AC50:AF50"/>
    <mergeCell ref="A51:D51"/>
    <mergeCell ref="E51:H51"/>
    <mergeCell ref="I51:L51"/>
    <mergeCell ref="M51:P51"/>
    <mergeCell ref="Q51:T51"/>
    <mergeCell ref="U51:X51"/>
    <mergeCell ref="Y51:AB51"/>
    <mergeCell ref="AC51:AF51"/>
    <mergeCell ref="A50:D50"/>
    <mergeCell ref="E50:H50"/>
    <mergeCell ref="I50:L50"/>
    <mergeCell ref="M50:P50"/>
    <mergeCell ref="Q50:T50"/>
    <mergeCell ref="U50:X50"/>
    <mergeCell ref="Y48:AB48"/>
    <mergeCell ref="AC48:AF48"/>
    <mergeCell ref="A49:D49"/>
    <mergeCell ref="E49:H49"/>
    <mergeCell ref="I49:L49"/>
    <mergeCell ref="M49:P49"/>
    <mergeCell ref="Q49:T49"/>
    <mergeCell ref="U49:X49"/>
    <mergeCell ref="Y49:AB49"/>
    <mergeCell ref="AC49:AF49"/>
    <mergeCell ref="A48:D48"/>
    <mergeCell ref="E48:H48"/>
    <mergeCell ref="I48:L48"/>
    <mergeCell ref="M48:P48"/>
    <mergeCell ref="Q48:T48"/>
    <mergeCell ref="U48:X48"/>
    <mergeCell ref="Y46:AB46"/>
    <mergeCell ref="AC46:AF46"/>
    <mergeCell ref="A47:D47"/>
    <mergeCell ref="E47:H47"/>
    <mergeCell ref="I47:L47"/>
    <mergeCell ref="M47:P47"/>
    <mergeCell ref="Q47:T47"/>
    <mergeCell ref="U47:X47"/>
    <mergeCell ref="Y47:AB47"/>
    <mergeCell ref="AC47:AF47"/>
    <mergeCell ref="A46:D46"/>
    <mergeCell ref="E46:H46"/>
    <mergeCell ref="I46:L46"/>
    <mergeCell ref="M46:P46"/>
    <mergeCell ref="Q46:T46"/>
    <mergeCell ref="U46:X46"/>
    <mergeCell ref="Y44:AB44"/>
    <mergeCell ref="AC44:AF44"/>
    <mergeCell ref="A45:D45"/>
    <mergeCell ref="E45:H45"/>
    <mergeCell ref="I45:L45"/>
    <mergeCell ref="M45:P45"/>
    <mergeCell ref="Q45:T45"/>
    <mergeCell ref="U45:X45"/>
    <mergeCell ref="Y45:AB45"/>
    <mergeCell ref="AC45:AF45"/>
    <mergeCell ref="A44:D44"/>
    <mergeCell ref="E44:H44"/>
    <mergeCell ref="I44:L44"/>
    <mergeCell ref="M44:P44"/>
    <mergeCell ref="Q44:T44"/>
    <mergeCell ref="U44:X44"/>
    <mergeCell ref="A39:D39"/>
    <mergeCell ref="E39:P39"/>
    <mergeCell ref="Q39:T39"/>
    <mergeCell ref="U39:W39"/>
    <mergeCell ref="X39:AF39"/>
    <mergeCell ref="A42:AF42"/>
    <mergeCell ref="A37:D37"/>
    <mergeCell ref="E37:P37"/>
    <mergeCell ref="Q37:T37"/>
    <mergeCell ref="U37:W37"/>
    <mergeCell ref="X37:AF37"/>
    <mergeCell ref="A38:D38"/>
    <mergeCell ref="E38:P38"/>
    <mergeCell ref="Q38:T38"/>
    <mergeCell ref="U38:W38"/>
    <mergeCell ref="X38:AF38"/>
    <mergeCell ref="Q34:T34"/>
    <mergeCell ref="U34:W34"/>
    <mergeCell ref="X34:AF34"/>
    <mergeCell ref="A35:D35"/>
    <mergeCell ref="E35:P35"/>
    <mergeCell ref="Q35:T35"/>
    <mergeCell ref="U35:W35"/>
    <mergeCell ref="X35:AF35"/>
    <mergeCell ref="A36:D36"/>
    <mergeCell ref="E36:P36"/>
    <mergeCell ref="Q36:T36"/>
    <mergeCell ref="U36:W36"/>
    <mergeCell ref="X36:AF36"/>
    <mergeCell ref="A1:AF1"/>
    <mergeCell ref="A7:AF7"/>
    <mergeCell ref="B10:AF10"/>
    <mergeCell ref="B13:AF13"/>
    <mergeCell ref="B16:AF16"/>
    <mergeCell ref="A25:AF25"/>
    <mergeCell ref="A3:AF3"/>
    <mergeCell ref="B5:AF5"/>
    <mergeCell ref="B19:AF19"/>
    <mergeCell ref="B22:AF22"/>
    <mergeCell ref="Y54:AF54"/>
    <mergeCell ref="Y55:AF55"/>
    <mergeCell ref="A58:AF58"/>
    <mergeCell ref="B60:AF60"/>
    <mergeCell ref="B62:AF62"/>
    <mergeCell ref="B64:AF64"/>
    <mergeCell ref="B63:AF63"/>
    <mergeCell ref="B61:AF61"/>
    <mergeCell ref="A27:F27"/>
    <mergeCell ref="A28:F28"/>
    <mergeCell ref="A31:AF31"/>
    <mergeCell ref="A32:D32"/>
    <mergeCell ref="E32:P32"/>
    <mergeCell ref="Q32:T32"/>
    <mergeCell ref="U32:W32"/>
    <mergeCell ref="X32:AF32"/>
    <mergeCell ref="A29:F29"/>
    <mergeCell ref="A33:D33"/>
    <mergeCell ref="E33:P33"/>
    <mergeCell ref="Q33:T33"/>
    <mergeCell ref="U33:W33"/>
    <mergeCell ref="X33:AF33"/>
    <mergeCell ref="A34:D34"/>
    <mergeCell ref="E34:P34"/>
  </mergeCells>
  <hyperlinks>
    <hyperlink ref="A2" location="TOC!A1" display="Return to TOC" xr:uid="{00000000-0004-0000-55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9">
    <tabColor theme="8" tint="0.79998168889431442"/>
    <pageSetUpPr autoPageBreaks="0"/>
  </sheetPr>
  <dimension ref="A1:BP167"/>
  <sheetViews>
    <sheetView zoomScaleNormal="100" workbookViewId="0">
      <selection activeCell="A2" sqref="A2"/>
    </sheetView>
  </sheetViews>
  <sheetFormatPr defaultColWidth="2.6640625" defaultRowHeight="14.4" x14ac:dyDescent="0.3"/>
  <cols>
    <col min="12" max="12" width="2.6640625" customWidth="1"/>
    <col min="14" max="16" width="2.6640625" customWidth="1"/>
    <col min="18" max="18" width="2.6640625" customWidth="1"/>
    <col min="21" max="21" width="2.6640625" customWidth="1"/>
    <col min="24" max="24" width="2.6640625" customWidth="1"/>
    <col min="28" max="28" width="2.6640625" customWidth="1"/>
    <col min="32" max="32" width="2.6640625" customWidth="1"/>
    <col min="36" max="36" width="2.6640625" customWidth="1"/>
    <col min="40" max="40" width="2.6640625" customWidth="1"/>
  </cols>
  <sheetData>
    <row r="1" spans="1:32" s="1" customFormat="1" ht="18" x14ac:dyDescent="0.3">
      <c r="A1" s="1131" t="s">
        <v>865</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ht="14.4" customHeight="1" x14ac:dyDescent="0.3">
      <c r="A2" s="228" t="s">
        <v>1456</v>
      </c>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0" customHeight="1" x14ac:dyDescent="0.3">
      <c r="A5" s="121"/>
      <c r="B5" s="1258" t="s">
        <v>5660</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ht="14.4" customHeight="1" x14ac:dyDescent="0.3">
      <c r="A6" s="228"/>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3">
      <c r="B9" s="1144" t="s">
        <v>3</v>
      </c>
      <c r="C9" s="1144"/>
      <c r="D9" s="1144"/>
      <c r="E9" s="1144"/>
      <c r="F9" s="1144"/>
      <c r="G9" s="1144"/>
      <c r="H9" s="1144"/>
      <c r="I9" s="1144"/>
    </row>
    <row r="10" spans="1:32" s="4" customFormat="1" ht="48" customHeight="1" x14ac:dyDescent="0.3">
      <c r="B10" s="872" t="s">
        <v>2948</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1" spans="1:32" s="1" customFormat="1" x14ac:dyDescent="0.3"/>
    <row r="12" spans="1:32" s="1" customFormat="1" x14ac:dyDescent="0.3">
      <c r="B12" s="1144" t="s">
        <v>4</v>
      </c>
      <c r="C12" s="1144"/>
      <c r="D12" s="1144"/>
      <c r="E12" s="1144"/>
      <c r="F12" s="1144"/>
      <c r="G12" s="1144"/>
      <c r="H12" s="1144"/>
      <c r="I12" s="1144"/>
    </row>
    <row r="13" spans="1:32" s="1" customFormat="1" ht="30" customHeight="1" x14ac:dyDescent="0.3">
      <c r="B13" s="872" t="s">
        <v>5637</v>
      </c>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row>
    <row r="14" spans="1:32" s="1" customFormat="1" x14ac:dyDescent="0.3">
      <c r="B14" s="872" t="s">
        <v>1516</v>
      </c>
      <c r="C14" s="872"/>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2"/>
    </row>
    <row r="15" spans="1:32" s="1" customFormat="1" x14ac:dyDescent="0.3"/>
    <row r="16" spans="1:32" s="1" customFormat="1" x14ac:dyDescent="0.3">
      <c r="B16" s="1144" t="s">
        <v>5</v>
      </c>
      <c r="C16" s="1144"/>
      <c r="D16" s="1144"/>
      <c r="E16" s="1144"/>
      <c r="F16" s="1144"/>
      <c r="G16" s="1144"/>
      <c r="H16" s="1144"/>
      <c r="I16" s="1144"/>
    </row>
    <row r="17" spans="1:32" s="1" customFormat="1" x14ac:dyDescent="0.3">
      <c r="B17" s="1142" t="s">
        <v>3080</v>
      </c>
      <c r="C17" s="1142"/>
      <c r="D17" s="1142"/>
      <c r="E17" s="1142"/>
      <c r="F17" s="1142"/>
      <c r="G17" s="1142"/>
      <c r="H17" s="1142"/>
      <c r="I17" s="1142"/>
      <c r="J17" s="1142"/>
      <c r="K17" s="1142"/>
      <c r="L17" s="1142"/>
      <c r="M17" s="1142"/>
      <c r="N17" s="1142"/>
      <c r="O17" s="1142"/>
      <c r="P17" s="1142"/>
      <c r="Q17" s="1142"/>
      <c r="R17" s="1142"/>
      <c r="S17" s="1142"/>
      <c r="T17" s="1142"/>
      <c r="U17" s="1142"/>
      <c r="V17" s="1142"/>
      <c r="W17" s="1142"/>
      <c r="X17" s="1142"/>
      <c r="Y17" s="1142"/>
      <c r="Z17" s="1142"/>
      <c r="AA17" s="1142"/>
      <c r="AB17" s="1142"/>
      <c r="AC17" s="1142"/>
      <c r="AD17" s="1142"/>
      <c r="AE17" s="1142"/>
      <c r="AF17" s="1142"/>
    </row>
    <row r="18" spans="1:32" s="1" customFormat="1" x14ac:dyDescent="0.3"/>
    <row r="19" spans="1:32" s="1" customFormat="1" x14ac:dyDescent="0.3">
      <c r="B19" s="1144" t="s">
        <v>6</v>
      </c>
      <c r="C19" s="1144"/>
      <c r="D19" s="1144"/>
      <c r="E19" s="1144"/>
      <c r="F19" s="1144"/>
      <c r="G19" s="1144"/>
      <c r="H19" s="1144"/>
      <c r="I19" s="1144"/>
    </row>
    <row r="20" spans="1:32" s="1" customFormat="1" ht="51" customHeight="1" x14ac:dyDescent="0.3">
      <c r="B20" s="889" t="s">
        <v>5661</v>
      </c>
      <c r="C20" s="889"/>
      <c r="D20" s="889"/>
      <c r="E20" s="889"/>
      <c r="F20" s="889"/>
      <c r="G20" s="889"/>
      <c r="H20" s="889"/>
      <c r="I20" s="889"/>
      <c r="J20" s="889"/>
      <c r="K20" s="889"/>
      <c r="L20" s="889"/>
      <c r="M20" s="889"/>
      <c r="N20" s="889"/>
      <c r="O20" s="889"/>
      <c r="P20" s="889"/>
      <c r="Q20" s="889"/>
      <c r="R20" s="889"/>
      <c r="S20" s="889"/>
      <c r="T20" s="889"/>
      <c r="U20" s="889"/>
      <c r="V20" s="889"/>
      <c r="W20" s="889"/>
      <c r="X20" s="889"/>
      <c r="Y20" s="889"/>
      <c r="Z20" s="889"/>
      <c r="AA20" s="889"/>
      <c r="AB20" s="889"/>
      <c r="AC20" s="889"/>
      <c r="AD20" s="889"/>
      <c r="AE20" s="889"/>
      <c r="AF20" s="889"/>
    </row>
    <row r="21" spans="1:32" s="1" customFormat="1" x14ac:dyDescent="0.3">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2" s="1" customFormat="1" ht="75.75" customHeight="1" x14ac:dyDescent="0.3">
      <c r="B22" s="1291" t="s">
        <v>5667</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s="1" customFormat="1" x14ac:dyDescent="0.3">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row>
    <row r="24" spans="1:32" s="1" customFormat="1" ht="49.5" customHeight="1" x14ac:dyDescent="0.3">
      <c r="B24" s="1291" t="s">
        <v>6461</v>
      </c>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row>
    <row r="25" spans="1:32" s="1" customFormat="1" x14ac:dyDescent="0.3">
      <c r="B25" s="267"/>
      <c r="C25" s="267"/>
      <c r="D25" s="267"/>
      <c r="E25" s="267"/>
      <c r="F25" s="267"/>
      <c r="G25" s="267"/>
      <c r="H25" s="267"/>
      <c r="I25" s="267"/>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s="1" customFormat="1" x14ac:dyDescent="0.3">
      <c r="B26" s="1518" t="s">
        <v>13</v>
      </c>
      <c r="C26" s="1518"/>
      <c r="D26" s="1518"/>
      <c r="E26" s="1518"/>
      <c r="F26" s="1518"/>
      <c r="G26" s="1518"/>
      <c r="H26" s="1518"/>
      <c r="I26" s="1518"/>
      <c r="J26" s="1518"/>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s="1" customFormat="1" ht="66" customHeight="1" x14ac:dyDescent="0.3">
      <c r="B27" s="1291" t="s">
        <v>5668</v>
      </c>
      <c r="C27" s="996"/>
      <c r="D27" s="996"/>
      <c r="E27" s="996"/>
      <c r="F27" s="996"/>
      <c r="G27" s="996"/>
      <c r="H27" s="996"/>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row>
    <row r="28" spans="1:32" s="1" customFormat="1" x14ac:dyDescent="0.3"/>
    <row r="29" spans="1:32" s="1" customFormat="1" x14ac:dyDescent="0.3">
      <c r="A29" s="1141" t="s">
        <v>7</v>
      </c>
      <c r="B29" s="1141"/>
      <c r="C29" s="1141"/>
      <c r="D29" s="1141"/>
      <c r="E29" s="1141"/>
      <c r="F29" s="1141"/>
      <c r="G29" s="1141"/>
      <c r="H29" s="1141"/>
      <c r="I29" s="1141"/>
      <c r="J29" s="1141"/>
      <c r="K29" s="1141"/>
      <c r="L29" s="1141"/>
      <c r="M29" s="1141"/>
      <c r="N29" s="1141"/>
      <c r="O29" s="1141"/>
      <c r="P29" s="1141"/>
      <c r="Q29" s="1141"/>
      <c r="R29" s="1141"/>
      <c r="S29" s="1141"/>
      <c r="T29" s="1141"/>
      <c r="U29" s="1141"/>
      <c r="V29" s="1141"/>
      <c r="W29" s="1141"/>
      <c r="X29" s="1141"/>
      <c r="Y29" s="1141"/>
      <c r="Z29" s="1141"/>
      <c r="AA29" s="1141"/>
      <c r="AB29" s="1141"/>
      <c r="AC29" s="1141"/>
      <c r="AD29" s="1141"/>
      <c r="AE29" s="1141"/>
      <c r="AF29" s="1141"/>
    </row>
    <row r="30" spans="1:32" s="1" customFormat="1" x14ac:dyDescent="0.3"/>
    <row r="31" spans="1:32" s="1" customFormat="1" x14ac:dyDescent="0.3">
      <c r="B31" s="231" t="s">
        <v>2135</v>
      </c>
    </row>
    <row r="32" spans="1:32" s="1" customFormat="1" x14ac:dyDescent="0.3"/>
    <row r="33" spans="2:32" s="1" customFormat="1" x14ac:dyDescent="0.3">
      <c r="AF33" s="71" t="s">
        <v>1463</v>
      </c>
    </row>
    <row r="34" spans="2:32" s="1" customFormat="1" x14ac:dyDescent="0.3">
      <c r="AF34" s="71"/>
    </row>
    <row r="35" spans="2:32" s="1" customFormat="1" x14ac:dyDescent="0.3">
      <c r="B35" s="231" t="s">
        <v>2136</v>
      </c>
    </row>
    <row r="36" spans="2:32" s="1" customFormat="1" x14ac:dyDescent="0.3"/>
    <row r="37" spans="2:32" s="1" customFormat="1" x14ac:dyDescent="0.3">
      <c r="AF37" s="71" t="s">
        <v>1464</v>
      </c>
    </row>
    <row r="38" spans="2:32" s="1" customFormat="1" x14ac:dyDescent="0.3">
      <c r="AF38" s="71"/>
    </row>
    <row r="39" spans="2:32" s="1" customFormat="1" x14ac:dyDescent="0.3">
      <c r="B39" s="51" t="s">
        <v>2025</v>
      </c>
    </row>
    <row r="40" spans="2:32" s="1" customFormat="1" x14ac:dyDescent="0.3"/>
    <row r="41" spans="2:32" s="1" customFormat="1" x14ac:dyDescent="0.3">
      <c r="AF41" s="71" t="s">
        <v>1465</v>
      </c>
    </row>
    <row r="42" spans="2:32" s="1" customFormat="1" x14ac:dyDescent="0.3"/>
    <row r="43" spans="2:32" s="1" customFormat="1" x14ac:dyDescent="0.3">
      <c r="B43" s="51" t="s">
        <v>2026</v>
      </c>
    </row>
    <row r="44" spans="2:32" s="1" customFormat="1" x14ac:dyDescent="0.3"/>
    <row r="45" spans="2:32" s="1" customFormat="1" x14ac:dyDescent="0.3">
      <c r="AF45" s="71" t="s">
        <v>1517</v>
      </c>
    </row>
    <row r="46" spans="2:32" s="1" customFormat="1" x14ac:dyDescent="0.3"/>
    <row r="47" spans="2:32" s="1" customFormat="1" x14ac:dyDescent="0.3">
      <c r="B47" s="267" t="s">
        <v>4553</v>
      </c>
      <c r="AF47" s="71"/>
    </row>
    <row r="48" spans="2:32" s="1" customFormat="1" x14ac:dyDescent="0.3">
      <c r="AF48" s="71"/>
    </row>
    <row r="49" spans="1:68" s="1" customFormat="1" x14ac:dyDescent="0.3">
      <c r="AF49" s="71" t="s">
        <v>1556</v>
      </c>
    </row>
    <row r="50" spans="1:68" s="1" customFormat="1" x14ac:dyDescent="0.3">
      <c r="AF50" s="71"/>
    </row>
    <row r="51" spans="1:68" s="1" customFormat="1" x14ac:dyDescent="0.3">
      <c r="B51" s="267" t="s">
        <v>4554</v>
      </c>
      <c r="AF51" s="71"/>
    </row>
    <row r="52" spans="1:68" s="1" customFormat="1" x14ac:dyDescent="0.3">
      <c r="AF52" s="71"/>
    </row>
    <row r="53" spans="1:68" s="1" customFormat="1" x14ac:dyDescent="0.3">
      <c r="AF53" s="71" t="s">
        <v>1558</v>
      </c>
    </row>
    <row r="54" spans="1:68" s="1" customFormat="1" x14ac:dyDescent="0.3">
      <c r="AF54" s="71"/>
    </row>
    <row r="55" spans="1:68" s="1" customFormat="1" x14ac:dyDescent="0.3">
      <c r="B55" s="51" t="s">
        <v>2897</v>
      </c>
      <c r="AF55" s="71"/>
    </row>
    <row r="56" spans="1:68" s="1" customFormat="1" x14ac:dyDescent="0.3">
      <c r="AF56" s="71"/>
      <c r="AL56" s="51"/>
      <c r="BP56" s="71"/>
    </row>
    <row r="57" spans="1:68" s="1" customFormat="1" x14ac:dyDescent="0.3">
      <c r="AF57" s="71" t="s">
        <v>1607</v>
      </c>
      <c r="AL57" s="51"/>
      <c r="BP57" s="71"/>
    </row>
    <row r="58" spans="1:68" s="1" customFormat="1" x14ac:dyDescent="0.3">
      <c r="AF58" s="71"/>
      <c r="AL58" s="51"/>
      <c r="BP58" s="71"/>
    </row>
    <row r="59" spans="1:68" s="1" customFormat="1" x14ac:dyDescent="0.3">
      <c r="AF59" s="71" t="s">
        <v>1608</v>
      </c>
      <c r="BP59" s="71"/>
    </row>
    <row r="60" spans="1:68" s="1" customFormat="1" x14ac:dyDescent="0.3">
      <c r="AF60" s="71"/>
      <c r="BP60" s="71"/>
    </row>
    <row r="61" spans="1:68" s="1" customFormat="1" x14ac:dyDescent="0.3">
      <c r="BP61" s="71"/>
    </row>
    <row r="62" spans="1:68" s="1" customFormat="1" x14ac:dyDescent="0.3">
      <c r="A62" s="1141" t="s">
        <v>8</v>
      </c>
      <c r="B62" s="1141"/>
      <c r="C62" s="1141"/>
      <c r="D62" s="1141"/>
      <c r="E62" s="1141"/>
      <c r="F62" s="1141"/>
      <c r="G62" s="1141"/>
      <c r="H62" s="1141"/>
      <c r="I62" s="1141"/>
      <c r="J62" s="1141"/>
      <c r="K62" s="1141"/>
      <c r="L62" s="1141"/>
      <c r="M62" s="1141"/>
      <c r="N62" s="1141"/>
      <c r="O62" s="1141"/>
      <c r="P62" s="1141"/>
      <c r="Q62" s="1141"/>
      <c r="R62" s="1141"/>
      <c r="S62" s="1141"/>
      <c r="T62" s="1141"/>
      <c r="U62" s="1141"/>
      <c r="V62" s="1141"/>
      <c r="W62" s="1141"/>
      <c r="X62" s="1141"/>
      <c r="Y62" s="1141"/>
      <c r="Z62" s="1141"/>
      <c r="AA62" s="1141"/>
      <c r="AB62" s="1141"/>
      <c r="AC62" s="1141"/>
      <c r="AD62" s="1141"/>
      <c r="AE62" s="1141"/>
      <c r="AF62" s="1141"/>
      <c r="BP62" s="71"/>
    </row>
    <row r="63" spans="1:68" s="1" customFormat="1" x14ac:dyDescent="0.3">
      <c r="A63" s="1143" t="s">
        <v>9</v>
      </c>
      <c r="B63" s="1143"/>
      <c r="C63" s="1143"/>
      <c r="D63" s="1143"/>
      <c r="E63" s="1143" t="s">
        <v>3</v>
      </c>
      <c r="F63" s="1143"/>
      <c r="G63" s="1143"/>
      <c r="H63" s="1143"/>
      <c r="I63" s="1143"/>
      <c r="J63" s="1143"/>
      <c r="K63" s="1143"/>
      <c r="L63" s="1143"/>
      <c r="M63" s="1143"/>
      <c r="N63" s="1143"/>
      <c r="O63" s="1143"/>
      <c r="P63" s="1143"/>
      <c r="Q63" s="1143" t="s">
        <v>10</v>
      </c>
      <c r="R63" s="1143"/>
      <c r="S63" s="1143"/>
      <c r="T63" s="1143"/>
      <c r="U63" s="1259" t="s">
        <v>11</v>
      </c>
      <c r="V63" s="1260"/>
      <c r="W63" s="1421"/>
      <c r="X63" s="1259" t="s">
        <v>1466</v>
      </c>
      <c r="Y63" s="1260"/>
      <c r="Z63" s="1260"/>
      <c r="AA63" s="1260"/>
      <c r="AB63" s="1260"/>
      <c r="AC63" s="1260"/>
      <c r="AD63" s="1260"/>
      <c r="AE63" s="1260"/>
      <c r="AF63" s="1421"/>
    </row>
    <row r="64" spans="1:68" s="1" customFormat="1" ht="31.5" customHeight="1" x14ac:dyDescent="0.3">
      <c r="A64" s="1154" t="s">
        <v>1519</v>
      </c>
      <c r="B64" s="1155" t="s">
        <v>272</v>
      </c>
      <c r="C64" s="1155" t="s">
        <v>272</v>
      </c>
      <c r="D64" s="1156" t="s">
        <v>272</v>
      </c>
      <c r="E64" s="1148" t="s">
        <v>2949</v>
      </c>
      <c r="F64" s="1149" t="s">
        <v>517</v>
      </c>
      <c r="G64" s="1149" t="s">
        <v>517</v>
      </c>
      <c r="H64" s="1149" t="s">
        <v>517</v>
      </c>
      <c r="I64" s="1149" t="s">
        <v>517</v>
      </c>
      <c r="J64" s="1149" t="s">
        <v>517</v>
      </c>
      <c r="K64" s="1149" t="s">
        <v>517</v>
      </c>
      <c r="L64" s="1149" t="s">
        <v>517</v>
      </c>
      <c r="M64" s="1149" t="s">
        <v>517</v>
      </c>
      <c r="N64" s="1149" t="s">
        <v>517</v>
      </c>
      <c r="O64" s="1149" t="s">
        <v>517</v>
      </c>
      <c r="P64" s="1150" t="s">
        <v>517</v>
      </c>
      <c r="Q64" s="2137" t="s">
        <v>516</v>
      </c>
      <c r="R64" s="2138" t="s">
        <v>229</v>
      </c>
      <c r="S64" s="2138" t="s">
        <v>229</v>
      </c>
      <c r="T64" s="2139" t="s">
        <v>229</v>
      </c>
      <c r="U64" s="1243" t="s">
        <v>18</v>
      </c>
      <c r="V64" s="1244"/>
      <c r="W64" s="1245"/>
      <c r="X64" s="1148" t="s">
        <v>1579</v>
      </c>
      <c r="Y64" s="1149"/>
      <c r="Z64" s="1149"/>
      <c r="AA64" s="1149"/>
      <c r="AB64" s="1149"/>
      <c r="AC64" s="1149"/>
      <c r="AD64" s="1149"/>
      <c r="AE64" s="1149"/>
      <c r="AF64" s="1150"/>
    </row>
    <row r="65" spans="1:55" s="1" customFormat="1" ht="62.25" customHeight="1" x14ac:dyDescent="0.3">
      <c r="A65" s="1154" t="s">
        <v>1520</v>
      </c>
      <c r="B65" s="1155" t="s">
        <v>272</v>
      </c>
      <c r="C65" s="1155" t="s">
        <v>272</v>
      </c>
      <c r="D65" s="1156" t="s">
        <v>272</v>
      </c>
      <c r="E65" s="1148" t="s">
        <v>2950</v>
      </c>
      <c r="F65" s="1149"/>
      <c r="G65" s="1149"/>
      <c r="H65" s="1149"/>
      <c r="I65" s="1149"/>
      <c r="J65" s="1149"/>
      <c r="K65" s="1149"/>
      <c r="L65" s="1149"/>
      <c r="M65" s="1149"/>
      <c r="N65" s="1149"/>
      <c r="O65" s="1149"/>
      <c r="P65" s="1150"/>
      <c r="Q65" s="2140" t="s">
        <v>516</v>
      </c>
      <c r="R65" s="2141" t="s">
        <v>229</v>
      </c>
      <c r="S65" s="2141" t="s">
        <v>229</v>
      </c>
      <c r="T65" s="2142" t="s">
        <v>229</v>
      </c>
      <c r="U65" s="1352" t="s">
        <v>18</v>
      </c>
      <c r="V65" s="1353"/>
      <c r="W65" s="1354"/>
      <c r="X65" s="1163" t="s">
        <v>5662</v>
      </c>
      <c r="Y65" s="1164"/>
      <c r="Z65" s="1164"/>
      <c r="AA65" s="1164"/>
      <c r="AB65" s="1164"/>
      <c r="AC65" s="1164"/>
      <c r="AD65" s="1164"/>
      <c r="AE65" s="1164"/>
      <c r="AF65" s="1165"/>
      <c r="AN65" s="224"/>
      <c r="AO65" s="224"/>
      <c r="AP65" s="224"/>
      <c r="AQ65" s="224"/>
      <c r="AR65" s="392"/>
      <c r="AS65" s="392"/>
      <c r="AT65" s="392"/>
      <c r="AU65" s="392"/>
      <c r="AV65" s="392"/>
      <c r="AW65" s="392"/>
      <c r="AX65" s="392"/>
      <c r="AY65" s="392"/>
      <c r="AZ65" s="392"/>
      <c r="BA65" s="392"/>
      <c r="BB65" s="392"/>
      <c r="BC65" s="392"/>
    </row>
    <row r="66" spans="1:55" s="1" customFormat="1" ht="46.5" customHeight="1" x14ac:dyDescent="0.3">
      <c r="A66" s="1154" t="s">
        <v>1521</v>
      </c>
      <c r="B66" s="1155" t="s">
        <v>518</v>
      </c>
      <c r="C66" s="1155" t="s">
        <v>518</v>
      </c>
      <c r="D66" s="1156" t="s">
        <v>518</v>
      </c>
      <c r="E66" s="1148" t="s">
        <v>2841</v>
      </c>
      <c r="F66" s="1149" t="s">
        <v>514</v>
      </c>
      <c r="G66" s="1149" t="s">
        <v>514</v>
      </c>
      <c r="H66" s="1149" t="s">
        <v>514</v>
      </c>
      <c r="I66" s="1149" t="s">
        <v>514</v>
      </c>
      <c r="J66" s="1149" t="s">
        <v>514</v>
      </c>
      <c r="K66" s="1149" t="s">
        <v>514</v>
      </c>
      <c r="L66" s="1149" t="s">
        <v>514</v>
      </c>
      <c r="M66" s="1149" t="s">
        <v>514</v>
      </c>
      <c r="N66" s="1149" t="s">
        <v>514</v>
      </c>
      <c r="O66" s="1149" t="s">
        <v>514</v>
      </c>
      <c r="P66" s="1150" t="s">
        <v>514</v>
      </c>
      <c r="Q66" s="2140" t="s">
        <v>516</v>
      </c>
      <c r="R66" s="2141" t="s">
        <v>515</v>
      </c>
      <c r="S66" s="2141" t="s">
        <v>515</v>
      </c>
      <c r="T66" s="2142" t="s">
        <v>515</v>
      </c>
      <c r="U66" s="1352" t="s">
        <v>18</v>
      </c>
      <c r="V66" s="1353"/>
      <c r="W66" s="1354"/>
      <c r="X66" s="1399" t="s">
        <v>1483</v>
      </c>
      <c r="Y66" s="1399"/>
      <c r="Z66" s="1399"/>
      <c r="AA66" s="1399"/>
      <c r="AB66" s="1399"/>
      <c r="AC66" s="1399"/>
      <c r="AD66" s="1399"/>
      <c r="AE66" s="1399"/>
      <c r="AF66" s="1399"/>
      <c r="AN66" s="224"/>
      <c r="AO66" s="224"/>
      <c r="AP66" s="224"/>
      <c r="AQ66" s="224"/>
      <c r="AR66" s="392"/>
      <c r="AS66" s="392"/>
      <c r="AT66" s="392"/>
      <c r="AU66" s="392"/>
      <c r="AV66" s="392"/>
      <c r="AW66" s="392"/>
      <c r="AX66" s="392"/>
      <c r="AY66" s="392"/>
      <c r="AZ66" s="392"/>
      <c r="BA66" s="392"/>
      <c r="BB66" s="392"/>
      <c r="BC66" s="392"/>
    </row>
    <row r="67" spans="1:55" s="1" customFormat="1" ht="32.1" customHeight="1" x14ac:dyDescent="0.3">
      <c r="A67" s="1154" t="s">
        <v>1522</v>
      </c>
      <c r="B67" s="1155"/>
      <c r="C67" s="1155"/>
      <c r="D67" s="1156"/>
      <c r="E67" s="1148" t="s">
        <v>1845</v>
      </c>
      <c r="F67" s="1149"/>
      <c r="G67" s="1149"/>
      <c r="H67" s="1149"/>
      <c r="I67" s="1149"/>
      <c r="J67" s="1149"/>
      <c r="K67" s="1149"/>
      <c r="L67" s="1149"/>
      <c r="M67" s="1149"/>
      <c r="N67" s="1149"/>
      <c r="O67" s="1149"/>
      <c r="P67" s="1150"/>
      <c r="Q67" s="1330">
        <v>0.97</v>
      </c>
      <c r="R67" s="1331"/>
      <c r="S67" s="1331"/>
      <c r="T67" s="1332"/>
      <c r="U67" s="1365" t="s">
        <v>20</v>
      </c>
      <c r="V67" s="1353"/>
      <c r="W67" s="1354"/>
      <c r="X67" s="1385" t="s">
        <v>1518</v>
      </c>
      <c r="Y67" s="1385"/>
      <c r="Z67" s="1385"/>
      <c r="AA67" s="1385"/>
      <c r="AB67" s="1385"/>
      <c r="AC67" s="1385"/>
      <c r="AD67" s="1385"/>
      <c r="AE67" s="1385"/>
      <c r="AF67" s="1385"/>
    </row>
    <row r="68" spans="1:55" s="1" customFormat="1" ht="50.1" customHeight="1" x14ac:dyDescent="0.3">
      <c r="A68" s="1154" t="s">
        <v>443</v>
      </c>
      <c r="B68" s="1155" t="s">
        <v>443</v>
      </c>
      <c r="C68" s="1155" t="s">
        <v>443</v>
      </c>
      <c r="D68" s="1156" t="s">
        <v>443</v>
      </c>
      <c r="E68" s="1148" t="s">
        <v>1460</v>
      </c>
      <c r="F68" s="1149" t="s">
        <v>444</v>
      </c>
      <c r="G68" s="1149" t="s">
        <v>444</v>
      </c>
      <c r="H68" s="1149" t="s">
        <v>444</v>
      </c>
      <c r="I68" s="1149" t="s">
        <v>444</v>
      </c>
      <c r="J68" s="1149" t="s">
        <v>444</v>
      </c>
      <c r="K68" s="1149" t="s">
        <v>444</v>
      </c>
      <c r="L68" s="1149" t="s">
        <v>444</v>
      </c>
      <c r="M68" s="1149" t="s">
        <v>444</v>
      </c>
      <c r="N68" s="1149" t="s">
        <v>444</v>
      </c>
      <c r="O68" s="1149" t="s">
        <v>444</v>
      </c>
      <c r="P68" s="1150" t="s">
        <v>444</v>
      </c>
      <c r="Q68" s="1166" t="s">
        <v>864</v>
      </c>
      <c r="R68" s="1167">
        <v>0.12</v>
      </c>
      <c r="S68" s="1167">
        <v>0.12</v>
      </c>
      <c r="T68" s="1168">
        <v>0.12</v>
      </c>
      <c r="U68" s="1166" t="s">
        <v>20</v>
      </c>
      <c r="V68" s="1167"/>
      <c r="W68" s="1168"/>
      <c r="X68" s="1385" t="s">
        <v>2842</v>
      </c>
      <c r="Y68" s="1385"/>
      <c r="Z68" s="1385"/>
      <c r="AA68" s="1385"/>
      <c r="AB68" s="1385"/>
      <c r="AC68" s="1385"/>
      <c r="AD68" s="1385"/>
      <c r="AE68" s="1385"/>
      <c r="AF68" s="1385"/>
    </row>
    <row r="69" spans="1:55" s="1" customFormat="1" ht="45" customHeight="1" x14ac:dyDescent="0.3">
      <c r="A69" s="1154" t="s">
        <v>1524</v>
      </c>
      <c r="B69" s="1155"/>
      <c r="C69" s="1155"/>
      <c r="D69" s="1156"/>
      <c r="E69" s="1148" t="s">
        <v>1525</v>
      </c>
      <c r="F69" s="1149"/>
      <c r="G69" s="1149"/>
      <c r="H69" s="1149"/>
      <c r="I69" s="1149"/>
      <c r="J69" s="1149"/>
      <c r="K69" s="1149"/>
      <c r="L69" s="1149"/>
      <c r="M69" s="1149"/>
      <c r="N69" s="1149"/>
      <c r="O69" s="1149"/>
      <c r="P69" s="1150"/>
      <c r="Q69" s="1166" t="s">
        <v>864</v>
      </c>
      <c r="R69" s="1167">
        <v>0.12</v>
      </c>
      <c r="S69" s="1167">
        <v>0.12</v>
      </c>
      <c r="T69" s="1168">
        <v>0.12</v>
      </c>
      <c r="U69" s="1365" t="s">
        <v>1598</v>
      </c>
      <c r="V69" s="1353"/>
      <c r="W69" s="1354"/>
      <c r="X69" s="1385" t="s">
        <v>1526</v>
      </c>
      <c r="Y69" s="1385"/>
      <c r="Z69" s="1385"/>
      <c r="AA69" s="1385"/>
      <c r="AB69" s="1385"/>
      <c r="AC69" s="1385"/>
      <c r="AD69" s="1385"/>
      <c r="AE69" s="1385"/>
      <c r="AF69" s="1385"/>
    </row>
    <row r="70" spans="1:55" s="1" customFormat="1" ht="50.1" customHeight="1" x14ac:dyDescent="0.3">
      <c r="A70" s="1154" t="s">
        <v>1958</v>
      </c>
      <c r="B70" s="1155"/>
      <c r="C70" s="1155"/>
      <c r="D70" s="1156"/>
      <c r="E70" s="2183" t="s">
        <v>2898</v>
      </c>
      <c r="F70" s="1149"/>
      <c r="G70" s="1149"/>
      <c r="H70" s="1149"/>
      <c r="I70" s="1149"/>
      <c r="J70" s="1149"/>
      <c r="K70" s="1149"/>
      <c r="L70" s="1149"/>
      <c r="M70" s="1149"/>
      <c r="N70" s="1149"/>
      <c r="O70" s="1149"/>
      <c r="P70" s="1150"/>
      <c r="Q70" s="1166" t="s">
        <v>1905</v>
      </c>
      <c r="R70" s="1167"/>
      <c r="S70" s="1167"/>
      <c r="T70" s="1168"/>
      <c r="U70" s="1166" t="s">
        <v>20</v>
      </c>
      <c r="V70" s="1167"/>
      <c r="W70" s="1168"/>
      <c r="X70" s="1385" t="s">
        <v>2900</v>
      </c>
      <c r="Y70" s="1385"/>
      <c r="Z70" s="1385"/>
      <c r="AA70" s="1385"/>
      <c r="AB70" s="1385"/>
      <c r="AC70" s="1385"/>
      <c r="AD70" s="1385"/>
      <c r="AE70" s="1385"/>
      <c r="AF70" s="1385"/>
    </row>
    <row r="71" spans="1:55" s="1" customFormat="1" ht="50.1" customHeight="1" x14ac:dyDescent="0.3">
      <c r="A71" s="1154" t="s">
        <v>1959</v>
      </c>
      <c r="B71" s="1155"/>
      <c r="C71" s="1155"/>
      <c r="D71" s="1156"/>
      <c r="E71" s="2183" t="s">
        <v>2899</v>
      </c>
      <c r="F71" s="1149"/>
      <c r="G71" s="1149"/>
      <c r="H71" s="1149"/>
      <c r="I71" s="1149"/>
      <c r="J71" s="1149"/>
      <c r="K71" s="1149"/>
      <c r="L71" s="1149"/>
      <c r="M71" s="1149"/>
      <c r="N71" s="1149"/>
      <c r="O71" s="1149"/>
      <c r="P71" s="1150"/>
      <c r="Q71" s="1166" t="s">
        <v>1905</v>
      </c>
      <c r="R71" s="1167"/>
      <c r="S71" s="1167"/>
      <c r="T71" s="1168"/>
      <c r="U71" s="1166" t="s">
        <v>20</v>
      </c>
      <c r="V71" s="1167"/>
      <c r="W71" s="1168"/>
      <c r="X71" s="1385" t="s">
        <v>2901</v>
      </c>
      <c r="Y71" s="1385"/>
      <c r="Z71" s="1385"/>
      <c r="AA71" s="1385"/>
      <c r="AB71" s="1385"/>
      <c r="AC71" s="1385"/>
      <c r="AD71" s="1385"/>
      <c r="AE71" s="1385"/>
      <c r="AF71" s="1385"/>
    </row>
    <row r="72" spans="1:55" s="1" customFormat="1" ht="46.5" customHeight="1" x14ac:dyDescent="0.3">
      <c r="A72" s="1154" t="s">
        <v>1532</v>
      </c>
      <c r="B72" s="1155"/>
      <c r="C72" s="1155"/>
      <c r="D72" s="1156"/>
      <c r="E72" s="1148" t="s">
        <v>1533</v>
      </c>
      <c r="F72" s="1149"/>
      <c r="G72" s="1149"/>
      <c r="H72" s="1149"/>
      <c r="I72" s="1149"/>
      <c r="J72" s="1149"/>
      <c r="K72" s="1149"/>
      <c r="L72" s="1149"/>
      <c r="M72" s="1149"/>
      <c r="N72" s="1149"/>
      <c r="O72" s="1149"/>
      <c r="P72" s="1150"/>
      <c r="Q72" s="1166" t="s">
        <v>864</v>
      </c>
      <c r="R72" s="1167"/>
      <c r="S72" s="1167"/>
      <c r="T72" s="1168"/>
      <c r="U72" s="3065" t="s">
        <v>20</v>
      </c>
      <c r="V72" s="1167"/>
      <c r="W72" s="1168"/>
      <c r="X72" s="1163" t="s">
        <v>4555</v>
      </c>
      <c r="Y72" s="1164"/>
      <c r="Z72" s="1164"/>
      <c r="AA72" s="1164"/>
      <c r="AB72" s="1164"/>
      <c r="AC72" s="1164"/>
      <c r="AD72" s="1164"/>
      <c r="AE72" s="1164"/>
      <c r="AF72" s="1165"/>
    </row>
    <row r="73" spans="1:55" s="1" customFormat="1" ht="46.5" customHeight="1" x14ac:dyDescent="0.3">
      <c r="A73" s="1154" t="s">
        <v>2178</v>
      </c>
      <c r="B73" s="1155"/>
      <c r="C73" s="1155"/>
      <c r="D73" s="1156"/>
      <c r="E73" s="1148" t="s">
        <v>2179</v>
      </c>
      <c r="F73" s="1149"/>
      <c r="G73" s="1149"/>
      <c r="H73" s="1149"/>
      <c r="I73" s="1149"/>
      <c r="J73" s="1149"/>
      <c r="K73" s="1149"/>
      <c r="L73" s="1149"/>
      <c r="M73" s="1149"/>
      <c r="N73" s="1149"/>
      <c r="O73" s="1149"/>
      <c r="P73" s="1150"/>
      <c r="Q73" s="1333">
        <v>0.85</v>
      </c>
      <c r="R73" s="1334"/>
      <c r="S73" s="1334"/>
      <c r="T73" s="1335"/>
      <c r="U73" s="1365" t="s">
        <v>20</v>
      </c>
      <c r="V73" s="1353"/>
      <c r="W73" s="1354"/>
      <c r="X73" s="1385" t="s">
        <v>4556</v>
      </c>
      <c r="Y73" s="1385"/>
      <c r="Z73" s="1385"/>
      <c r="AA73" s="1385"/>
      <c r="AB73" s="1385"/>
      <c r="AC73" s="1385"/>
      <c r="AD73" s="1385"/>
      <c r="AE73" s="1385"/>
      <c r="AF73" s="1385"/>
    </row>
    <row r="74" spans="1:55" s="1" customFormat="1" ht="50.1" customHeight="1" x14ac:dyDescent="0.3">
      <c r="A74" s="1154" t="s">
        <v>1528</v>
      </c>
      <c r="B74" s="1155"/>
      <c r="C74" s="1155"/>
      <c r="D74" s="1156"/>
      <c r="E74" s="1148" t="s">
        <v>1531</v>
      </c>
      <c r="F74" s="1149"/>
      <c r="G74" s="1149"/>
      <c r="H74" s="1149"/>
      <c r="I74" s="1149"/>
      <c r="J74" s="1149"/>
      <c r="K74" s="1149"/>
      <c r="L74" s="1149"/>
      <c r="M74" s="1149"/>
      <c r="N74" s="1149"/>
      <c r="O74" s="1149"/>
      <c r="P74" s="1150"/>
      <c r="Q74" s="1330">
        <v>1.3</v>
      </c>
      <c r="R74" s="1331"/>
      <c r="S74" s="1331"/>
      <c r="T74" s="1332"/>
      <c r="U74" s="1261" t="s">
        <v>20</v>
      </c>
      <c r="V74" s="1244"/>
      <c r="W74" s="1245"/>
      <c r="X74" s="1186" t="s">
        <v>2842</v>
      </c>
      <c r="Y74" s="1186"/>
      <c r="Z74" s="1186"/>
      <c r="AA74" s="1186"/>
      <c r="AB74" s="1186"/>
      <c r="AC74" s="1186"/>
      <c r="AD74" s="1186"/>
      <c r="AE74" s="1186"/>
      <c r="AF74" s="1186"/>
    </row>
    <row r="75" spans="1:55" s="1" customFormat="1" ht="46.5" customHeight="1" x14ac:dyDescent="0.3">
      <c r="A75" s="1154" t="s">
        <v>1529</v>
      </c>
      <c r="B75" s="1155"/>
      <c r="C75" s="1155"/>
      <c r="D75" s="1156"/>
      <c r="E75" s="1148" t="s">
        <v>1530</v>
      </c>
      <c r="F75" s="1149"/>
      <c r="G75" s="1149"/>
      <c r="H75" s="1149"/>
      <c r="I75" s="1149"/>
      <c r="J75" s="1149"/>
      <c r="K75" s="1149"/>
      <c r="L75" s="1149"/>
      <c r="M75" s="1149"/>
      <c r="N75" s="1149"/>
      <c r="O75" s="1149"/>
      <c r="P75" s="1150"/>
      <c r="Q75" s="1151">
        <v>1.35</v>
      </c>
      <c r="R75" s="1152"/>
      <c r="S75" s="1152"/>
      <c r="T75" s="1153"/>
      <c r="U75" s="1261" t="s">
        <v>20</v>
      </c>
      <c r="V75" s="1244"/>
      <c r="W75" s="1245"/>
      <c r="X75" s="1186" t="s">
        <v>2842</v>
      </c>
      <c r="Y75" s="1186"/>
      <c r="Z75" s="1186"/>
      <c r="AA75" s="1186"/>
      <c r="AB75" s="1186"/>
      <c r="AC75" s="1186"/>
      <c r="AD75" s="1186"/>
      <c r="AE75" s="1186"/>
      <c r="AF75" s="1186"/>
    </row>
    <row r="76" spans="1:55" s="1" customFormat="1" ht="28.95" customHeight="1" x14ac:dyDescent="0.3">
      <c r="A76" s="2970" t="s">
        <v>34</v>
      </c>
      <c r="B76" s="1350" t="s">
        <v>34</v>
      </c>
      <c r="C76" s="1350" t="s">
        <v>34</v>
      </c>
      <c r="D76" s="1351" t="s">
        <v>34</v>
      </c>
      <c r="E76" s="1163" t="s">
        <v>644</v>
      </c>
      <c r="F76" s="1164" t="s">
        <v>234</v>
      </c>
      <c r="G76" s="1164" t="s">
        <v>234</v>
      </c>
      <c r="H76" s="1164" t="s">
        <v>234</v>
      </c>
      <c r="I76" s="1164" t="s">
        <v>234</v>
      </c>
      <c r="J76" s="1164" t="s">
        <v>234</v>
      </c>
      <c r="K76" s="1164" t="s">
        <v>234</v>
      </c>
      <c r="L76" s="1164" t="s">
        <v>234</v>
      </c>
      <c r="M76" s="1164" t="s">
        <v>234</v>
      </c>
      <c r="N76" s="1164" t="s">
        <v>234</v>
      </c>
      <c r="O76" s="1164" t="s">
        <v>234</v>
      </c>
      <c r="P76" s="1165" t="s">
        <v>234</v>
      </c>
      <c r="Q76" s="1166">
        <v>1</v>
      </c>
      <c r="R76" s="1167">
        <v>0.96</v>
      </c>
      <c r="S76" s="1167">
        <v>0.96</v>
      </c>
      <c r="T76" s="1168">
        <v>0.96</v>
      </c>
      <c r="U76" s="1352" t="s">
        <v>20</v>
      </c>
      <c r="V76" s="1353"/>
      <c r="W76" s="1354"/>
      <c r="X76" s="1349" t="s">
        <v>1600</v>
      </c>
      <c r="Y76" s="1350"/>
      <c r="Z76" s="1350"/>
      <c r="AA76" s="1350"/>
      <c r="AB76" s="1350"/>
      <c r="AC76" s="1350"/>
      <c r="AD76" s="1350"/>
      <c r="AE76" s="1350"/>
      <c r="AF76" s="1351"/>
    </row>
    <row r="77" spans="1:55" s="1" customFormat="1" ht="28.95" customHeight="1" x14ac:dyDescent="0.3">
      <c r="A77" s="1349" t="s">
        <v>4557</v>
      </c>
      <c r="B77" s="1350" t="s">
        <v>26</v>
      </c>
      <c r="C77" s="1350" t="s">
        <v>26</v>
      </c>
      <c r="D77" s="1351" t="s">
        <v>26</v>
      </c>
      <c r="E77" s="1163" t="s">
        <v>1534</v>
      </c>
      <c r="F77" s="1164" t="s">
        <v>208</v>
      </c>
      <c r="G77" s="1164" t="s">
        <v>208</v>
      </c>
      <c r="H77" s="1164" t="s">
        <v>208</v>
      </c>
      <c r="I77" s="1164" t="s">
        <v>208</v>
      </c>
      <c r="J77" s="1164" t="s">
        <v>208</v>
      </c>
      <c r="K77" s="1164" t="s">
        <v>208</v>
      </c>
      <c r="L77" s="1164" t="s">
        <v>208</v>
      </c>
      <c r="M77" s="1164" t="s">
        <v>208</v>
      </c>
      <c r="N77" s="1164" t="s">
        <v>208</v>
      </c>
      <c r="O77" s="1164" t="s">
        <v>208</v>
      </c>
      <c r="P77" s="1165" t="s">
        <v>208</v>
      </c>
      <c r="Q77" s="1166" t="s">
        <v>864</v>
      </c>
      <c r="R77" s="1167">
        <v>0.12</v>
      </c>
      <c r="S77" s="1167">
        <v>0.12</v>
      </c>
      <c r="T77" s="1168">
        <v>0.12</v>
      </c>
      <c r="U77" s="1352" t="s">
        <v>38</v>
      </c>
      <c r="V77" s="1353"/>
      <c r="W77" s="1354"/>
      <c r="X77" s="1163" t="s">
        <v>2496</v>
      </c>
      <c r="Y77" s="1164"/>
      <c r="Z77" s="1164"/>
      <c r="AA77" s="1164"/>
      <c r="AB77" s="1164"/>
      <c r="AC77" s="1164"/>
      <c r="AD77" s="1164"/>
      <c r="AE77" s="1164"/>
      <c r="AF77" s="1165"/>
    </row>
    <row r="78" spans="1:55" s="1" customFormat="1" ht="32.1" customHeight="1" x14ac:dyDescent="0.3">
      <c r="A78" s="1349" t="s">
        <v>3584</v>
      </c>
      <c r="B78" s="1350" t="s">
        <v>26</v>
      </c>
      <c r="C78" s="1350" t="s">
        <v>26</v>
      </c>
      <c r="D78" s="1351" t="s">
        <v>26</v>
      </c>
      <c r="E78" s="1349" t="s">
        <v>2051</v>
      </c>
      <c r="F78" s="1350" t="s">
        <v>208</v>
      </c>
      <c r="G78" s="1350" t="s">
        <v>208</v>
      </c>
      <c r="H78" s="1350" t="s">
        <v>208</v>
      </c>
      <c r="I78" s="1350" t="s">
        <v>208</v>
      </c>
      <c r="J78" s="1350" t="s">
        <v>208</v>
      </c>
      <c r="K78" s="1350" t="s">
        <v>208</v>
      </c>
      <c r="L78" s="1350" t="s">
        <v>208</v>
      </c>
      <c r="M78" s="1350" t="s">
        <v>208</v>
      </c>
      <c r="N78" s="1350" t="s">
        <v>208</v>
      </c>
      <c r="O78" s="1350" t="s">
        <v>208</v>
      </c>
      <c r="P78" s="1351" t="s">
        <v>208</v>
      </c>
      <c r="Q78" s="1166" t="s">
        <v>864</v>
      </c>
      <c r="R78" s="1167">
        <v>0.12</v>
      </c>
      <c r="S78" s="1167">
        <v>0.12</v>
      </c>
      <c r="T78" s="1168">
        <v>0.12</v>
      </c>
      <c r="U78" s="1352" t="s">
        <v>38</v>
      </c>
      <c r="V78" s="1353"/>
      <c r="W78" s="1354"/>
      <c r="X78" s="1163" t="s">
        <v>2193</v>
      </c>
      <c r="Y78" s="1164"/>
      <c r="Z78" s="1164"/>
      <c r="AA78" s="1164"/>
      <c r="AB78" s="1164"/>
      <c r="AC78" s="1164"/>
      <c r="AD78" s="1164"/>
      <c r="AE78" s="1164"/>
      <c r="AF78" s="1165"/>
    </row>
    <row r="79" spans="1:55" s="1" customFormat="1" ht="32.1" customHeight="1" x14ac:dyDescent="0.3">
      <c r="A79" s="2854" t="s">
        <v>4558</v>
      </c>
      <c r="B79" s="2854"/>
      <c r="C79" s="2854"/>
      <c r="D79" s="2854"/>
      <c r="E79" s="2854"/>
      <c r="F79" s="2854"/>
      <c r="G79" s="2854"/>
      <c r="H79" s="2854"/>
      <c r="I79" s="2854"/>
      <c r="J79" s="2854"/>
      <c r="K79" s="2854"/>
      <c r="L79" s="2854"/>
      <c r="M79" s="2854"/>
      <c r="N79" s="2854"/>
      <c r="O79" s="2854"/>
      <c r="P79" s="2854"/>
      <c r="Q79" s="2854"/>
      <c r="R79" s="2854"/>
      <c r="S79" s="2854"/>
      <c r="T79" s="2854"/>
      <c r="U79" s="2854"/>
      <c r="V79" s="2854"/>
      <c r="W79" s="2854"/>
      <c r="X79" s="2854"/>
      <c r="Y79" s="2854"/>
      <c r="Z79" s="2854"/>
      <c r="AA79" s="2854"/>
      <c r="AB79" s="2854"/>
      <c r="AC79" s="2854"/>
      <c r="AD79" s="2854"/>
      <c r="AE79" s="2854"/>
      <c r="AF79" s="2854"/>
    </row>
    <row r="80" spans="1:55" s="1" customFormat="1" ht="67.5" customHeight="1" x14ac:dyDescent="0.3">
      <c r="A80" s="1355" t="s">
        <v>4559</v>
      </c>
      <c r="B80" s="1355"/>
      <c r="C80" s="1355"/>
      <c r="D80" s="1355"/>
      <c r="E80" s="1355"/>
      <c r="F80" s="1355"/>
      <c r="G80" s="1355"/>
      <c r="H80" s="1355"/>
      <c r="I80" s="1355"/>
      <c r="J80" s="1355"/>
      <c r="K80" s="1355"/>
      <c r="L80" s="1355"/>
      <c r="M80" s="1355"/>
      <c r="N80" s="1355"/>
      <c r="O80" s="1355"/>
      <c r="P80" s="1355"/>
      <c r="Q80" s="1355"/>
      <c r="R80" s="1355"/>
      <c r="S80" s="1355"/>
      <c r="T80" s="1355"/>
      <c r="U80" s="1355"/>
      <c r="V80" s="1355"/>
      <c r="W80" s="1355"/>
      <c r="X80" s="1355"/>
      <c r="Y80" s="1355"/>
      <c r="Z80" s="1355"/>
      <c r="AA80" s="1355"/>
      <c r="AB80" s="1355"/>
      <c r="AC80" s="1355"/>
      <c r="AD80" s="1355"/>
      <c r="AE80" s="1355"/>
      <c r="AF80" s="1355"/>
    </row>
    <row r="81" spans="1:32" s="1" customFormat="1" ht="14.4" customHeight="1" x14ac:dyDescent="0.3">
      <c r="A81" s="482" t="s">
        <v>4560</v>
      </c>
      <c r="B81" s="483"/>
      <c r="C81" s="483"/>
      <c r="D81" s="483"/>
      <c r="E81" s="484"/>
      <c r="F81" s="484"/>
      <c r="G81" s="484"/>
      <c r="H81" s="484"/>
      <c r="I81" s="484"/>
      <c r="J81" s="484"/>
      <c r="K81" s="484"/>
      <c r="L81" s="484"/>
      <c r="M81" s="484"/>
      <c r="N81" s="484"/>
      <c r="O81" s="484"/>
      <c r="P81" s="484"/>
      <c r="Q81" s="485"/>
      <c r="R81" s="485"/>
      <c r="S81" s="485"/>
      <c r="T81" s="485"/>
      <c r="U81" s="486"/>
      <c r="V81" s="486"/>
      <c r="W81" s="486"/>
      <c r="X81" s="486"/>
      <c r="Y81" s="486"/>
      <c r="Z81" s="486"/>
      <c r="AA81" s="486"/>
      <c r="AB81" s="486"/>
      <c r="AC81" s="486"/>
      <c r="AD81" s="486"/>
      <c r="AE81" s="486"/>
      <c r="AF81" s="486"/>
    </row>
    <row r="82" spans="1:32" x14ac:dyDescent="0.3">
      <c r="A82" s="1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row>
    <row r="83" spans="1:32" ht="15" customHeight="1" x14ac:dyDescent="0.3">
      <c r="B83" s="23" t="s">
        <v>1536</v>
      </c>
    </row>
    <row r="84" spans="1:32" ht="69.599999999999994" customHeight="1" x14ac:dyDescent="0.3">
      <c r="B84" s="3047" t="s">
        <v>1537</v>
      </c>
      <c r="C84" s="3047"/>
      <c r="D84" s="3047"/>
      <c r="E84" s="3047"/>
      <c r="F84" s="3047"/>
      <c r="G84" s="3047" t="s">
        <v>1553</v>
      </c>
      <c r="H84" s="3047"/>
      <c r="I84" s="3047"/>
      <c r="J84" s="3047"/>
      <c r="K84" s="3047"/>
      <c r="L84" s="3047" t="s">
        <v>1550</v>
      </c>
      <c r="M84" s="3047"/>
      <c r="N84" s="3047"/>
      <c r="O84" s="3047"/>
      <c r="P84" s="3047"/>
      <c r="Q84" s="3047" t="s">
        <v>1551</v>
      </c>
      <c r="R84" s="3047"/>
      <c r="S84" s="3047"/>
      <c r="T84" s="3047"/>
      <c r="U84" s="3047"/>
      <c r="V84" s="3047" t="s">
        <v>1552</v>
      </c>
      <c r="W84" s="3047"/>
      <c r="X84" s="3047"/>
      <c r="Y84" s="3047"/>
      <c r="Z84" s="3047"/>
      <c r="AA84" s="3047" t="s">
        <v>1542</v>
      </c>
      <c r="AB84" s="3047"/>
      <c r="AC84" s="3047"/>
      <c r="AD84" s="3047"/>
      <c r="AE84" s="3047"/>
    </row>
    <row r="85" spans="1:32" ht="15" customHeight="1" x14ac:dyDescent="0.3">
      <c r="B85" s="3048">
        <v>40</v>
      </c>
      <c r="C85" s="3048"/>
      <c r="D85" s="3048"/>
      <c r="E85" s="3048"/>
      <c r="F85" s="3048"/>
      <c r="G85" s="3048" t="s">
        <v>1538</v>
      </c>
      <c r="H85" s="3048"/>
      <c r="I85" s="3048"/>
      <c r="J85" s="3048"/>
      <c r="K85" s="3048"/>
      <c r="L85" s="3048">
        <v>2.9000000000000001E-2</v>
      </c>
      <c r="M85" s="3048"/>
      <c r="N85" s="3048"/>
      <c r="O85" s="3048"/>
      <c r="P85" s="3048"/>
      <c r="Q85" s="3048">
        <v>1.2E-2</v>
      </c>
      <c r="R85" s="3048"/>
      <c r="S85" s="3048"/>
      <c r="T85" s="3048"/>
      <c r="U85" s="3048"/>
      <c r="V85" s="3048">
        <v>6.0000000000000001E-3</v>
      </c>
      <c r="W85" s="3048"/>
      <c r="X85" s="3048"/>
      <c r="Y85" s="3048"/>
      <c r="Z85" s="3048"/>
      <c r="AA85" s="3040">
        <v>0.06</v>
      </c>
      <c r="AB85" s="3040"/>
      <c r="AC85" s="3040"/>
      <c r="AD85" s="3040"/>
      <c r="AE85" s="3040"/>
    </row>
    <row r="86" spans="1:32" ht="15" customHeight="1" x14ac:dyDescent="0.3">
      <c r="B86" s="3048">
        <v>60</v>
      </c>
      <c r="C86" s="3048"/>
      <c r="D86" s="3048"/>
      <c r="E86" s="3048"/>
      <c r="F86" s="3048"/>
      <c r="G86" s="3048" t="s">
        <v>1539</v>
      </c>
      <c r="H86" s="3048"/>
      <c r="I86" s="3048"/>
      <c r="J86" s="3048"/>
      <c r="K86" s="3048"/>
      <c r="L86" s="3048">
        <v>4.2999999999999997E-2</v>
      </c>
      <c r="M86" s="3048"/>
      <c r="N86" s="3048"/>
      <c r="O86" s="3048"/>
      <c r="P86" s="3048"/>
      <c r="Q86" s="3066">
        <v>0.02</v>
      </c>
      <c r="R86" s="3066"/>
      <c r="S86" s="3066"/>
      <c r="T86" s="3066"/>
      <c r="U86" s="3066"/>
      <c r="V86" s="3048">
        <v>8.0000000000000002E-3</v>
      </c>
      <c r="W86" s="3048"/>
      <c r="X86" s="3048"/>
      <c r="Y86" s="3048"/>
      <c r="Z86" s="3048"/>
      <c r="AA86" s="3040">
        <v>0.56999999999999995</v>
      </c>
      <c r="AB86" s="3040"/>
      <c r="AC86" s="3040"/>
      <c r="AD86" s="3040"/>
      <c r="AE86" s="3040"/>
    </row>
    <row r="87" spans="1:32" x14ac:dyDescent="0.3">
      <c r="B87" s="3048">
        <v>75</v>
      </c>
      <c r="C87" s="3048"/>
      <c r="D87" s="3048"/>
      <c r="E87" s="3048"/>
      <c r="F87" s="3048"/>
      <c r="G87" s="3048" t="s">
        <v>1540</v>
      </c>
      <c r="H87" s="3048"/>
      <c r="I87" s="3048"/>
      <c r="J87" s="3048"/>
      <c r="K87" s="3048"/>
      <c r="L87" s="3048">
        <v>5.2999999999999999E-2</v>
      </c>
      <c r="M87" s="3048"/>
      <c r="N87" s="3048"/>
      <c r="O87" s="3048"/>
      <c r="P87" s="3048"/>
      <c r="Q87" s="3048">
        <v>2.8000000000000001E-2</v>
      </c>
      <c r="R87" s="3048"/>
      <c r="S87" s="3048"/>
      <c r="T87" s="3048"/>
      <c r="U87" s="3048"/>
      <c r="V87" s="3048">
        <v>1.2999999999999999E-2</v>
      </c>
      <c r="W87" s="3048"/>
      <c r="X87" s="3048"/>
      <c r="Y87" s="3048"/>
      <c r="Z87" s="3048"/>
      <c r="AA87" s="3040">
        <v>0.28999999999999998</v>
      </c>
      <c r="AB87" s="3040"/>
      <c r="AC87" s="3040"/>
      <c r="AD87" s="3040"/>
      <c r="AE87" s="3040"/>
    </row>
    <row r="88" spans="1:32" x14ac:dyDescent="0.3">
      <c r="B88" s="3048">
        <v>100</v>
      </c>
      <c r="C88" s="3048"/>
      <c r="D88" s="3048"/>
      <c r="E88" s="3048"/>
      <c r="F88" s="3048"/>
      <c r="G88" s="3048" t="s">
        <v>1541</v>
      </c>
      <c r="H88" s="3048"/>
      <c r="I88" s="3048"/>
      <c r="J88" s="3048"/>
      <c r="K88" s="3048"/>
      <c r="L88" s="3048">
        <v>7.1999999999999995E-2</v>
      </c>
      <c r="M88" s="3048"/>
      <c r="N88" s="3048"/>
      <c r="O88" s="3048"/>
      <c r="P88" s="3048"/>
      <c r="Q88" s="3048">
        <v>4.4999999999999998E-2</v>
      </c>
      <c r="R88" s="3048"/>
      <c r="S88" s="3048"/>
      <c r="T88" s="3048"/>
      <c r="U88" s="3048"/>
      <c r="V88" s="3048">
        <v>1.7000000000000001E-2</v>
      </c>
      <c r="W88" s="3048"/>
      <c r="X88" s="3048"/>
      <c r="Y88" s="3048"/>
      <c r="Z88" s="3048"/>
      <c r="AA88" s="3040">
        <v>0.08</v>
      </c>
      <c r="AB88" s="3040"/>
      <c r="AC88" s="3040"/>
      <c r="AD88" s="3040"/>
      <c r="AE88" s="3040"/>
    </row>
    <row r="89" spans="1:32" x14ac:dyDescent="0.3">
      <c r="B89" s="3041" t="s">
        <v>1549</v>
      </c>
      <c r="C89" s="3042"/>
      <c r="D89" s="3042"/>
      <c r="E89" s="3042"/>
      <c r="F89" s="3042"/>
      <c r="G89" s="3042"/>
      <c r="H89" s="3042"/>
      <c r="I89" s="3042"/>
      <c r="J89" s="3042"/>
      <c r="K89" s="3043"/>
      <c r="L89" s="3038">
        <f>SUMPRODUCT(L85:P88,$AA85:$AE88)</f>
        <v>4.7379999999999992E-2</v>
      </c>
      <c r="M89" s="3038"/>
      <c r="N89" s="3038"/>
      <c r="O89" s="3038"/>
      <c r="P89" s="3038"/>
      <c r="Q89" s="3038">
        <f t="shared" ref="Q89" si="0">SUMPRODUCT(Q85:U88,$AA85:$AE88)</f>
        <v>2.3839999999999997E-2</v>
      </c>
      <c r="R89" s="3038"/>
      <c r="S89" s="3038"/>
      <c r="T89" s="3038"/>
      <c r="U89" s="3038"/>
      <c r="V89" s="3038">
        <f t="shared" ref="V89" si="1">SUMPRODUCT(V85:Z88,$AA85:$AE88)</f>
        <v>1.005E-2</v>
      </c>
      <c r="W89" s="3038"/>
      <c r="X89" s="3038"/>
      <c r="Y89" s="3038"/>
      <c r="Z89" s="3038"/>
      <c r="AA89" s="3039" t="s">
        <v>20</v>
      </c>
      <c r="AB89" s="3040"/>
      <c r="AC89" s="3040"/>
      <c r="AD89" s="3040"/>
      <c r="AE89" s="3040"/>
    </row>
    <row r="90" spans="1:32" x14ac:dyDescent="0.3">
      <c r="B90" s="233" t="s">
        <v>1543</v>
      </c>
      <c r="C90" s="233"/>
      <c r="D90" s="233"/>
      <c r="E90" s="233"/>
      <c r="F90" s="233"/>
      <c r="G90" s="233"/>
      <c r="H90" s="234"/>
      <c r="I90" s="234"/>
      <c r="J90" s="234"/>
      <c r="K90" s="234"/>
      <c r="L90" s="234"/>
      <c r="M90" s="234"/>
      <c r="N90" s="234"/>
      <c r="O90" s="235"/>
      <c r="P90" s="235"/>
      <c r="Q90" s="235"/>
      <c r="R90" s="235"/>
      <c r="S90" s="235"/>
      <c r="T90" s="235"/>
      <c r="U90" s="235"/>
      <c r="V90" s="235"/>
      <c r="W90" s="235"/>
      <c r="X90" s="235"/>
      <c r="Y90" s="235"/>
      <c r="Z90" s="235"/>
      <c r="AA90" s="235"/>
      <c r="AB90" s="235"/>
      <c r="AC90" s="235"/>
      <c r="AD90" s="235"/>
      <c r="AE90" s="235"/>
      <c r="AF90" s="235"/>
    </row>
    <row r="91" spans="1:32" ht="28.5" customHeight="1" x14ac:dyDescent="0.3">
      <c r="A91" s="18"/>
      <c r="B91" s="3064" t="s">
        <v>3093</v>
      </c>
      <c r="C91" s="3064"/>
      <c r="D91" s="3064"/>
      <c r="E91" s="3064"/>
      <c r="F91" s="3064"/>
      <c r="G91" s="3064"/>
      <c r="H91" s="3064"/>
      <c r="I91" s="3064"/>
      <c r="J91" s="3064"/>
      <c r="K91" s="3064"/>
      <c r="L91" s="3064"/>
      <c r="M91" s="3064"/>
      <c r="N91" s="3064"/>
      <c r="O91" s="3064"/>
      <c r="P91" s="3064"/>
      <c r="Q91" s="3064"/>
      <c r="R91" s="3064"/>
      <c r="S91" s="3064"/>
      <c r="T91" s="3064"/>
      <c r="U91" s="3064"/>
      <c r="V91" s="3064"/>
      <c r="W91" s="3064"/>
      <c r="X91" s="3064"/>
      <c r="Y91" s="3064"/>
      <c r="Z91" s="3064"/>
      <c r="AA91" s="3064"/>
      <c r="AB91" s="3064"/>
      <c r="AC91" s="3064"/>
      <c r="AD91" s="3064"/>
      <c r="AE91" s="3064"/>
      <c r="AF91" s="236"/>
    </row>
    <row r="92" spans="1:32" x14ac:dyDescent="0.3">
      <c r="A92" s="18"/>
    </row>
    <row r="93" spans="1:32" s="40" customFormat="1" x14ac:dyDescent="0.3">
      <c r="A93"/>
      <c r="B93" s="23" t="s">
        <v>1548</v>
      </c>
      <c r="C93"/>
      <c r="D93"/>
      <c r="E93"/>
      <c r="F93"/>
      <c r="G93"/>
      <c r="H93"/>
      <c r="I93"/>
      <c r="J93"/>
      <c r="K93"/>
      <c r="L93"/>
      <c r="M93"/>
      <c r="N93"/>
      <c r="O93"/>
      <c r="P93"/>
      <c r="Q93"/>
      <c r="R93"/>
      <c r="S93"/>
      <c r="T93"/>
      <c r="U93"/>
      <c r="V93"/>
      <c r="W93"/>
      <c r="X93"/>
      <c r="Y93"/>
      <c r="Z93"/>
      <c r="AA93"/>
      <c r="AB93"/>
      <c r="AC93"/>
      <c r="AD93"/>
      <c r="AE93"/>
    </row>
    <row r="94" spans="1:32" s="40" customFormat="1" ht="15" customHeight="1" x14ac:dyDescent="0.3">
      <c r="A94"/>
      <c r="B94" s="3047"/>
      <c r="C94" s="3047"/>
      <c r="D94" s="3047"/>
      <c r="E94" s="3047"/>
      <c r="F94" s="3047"/>
      <c r="G94" s="3047" t="s">
        <v>21</v>
      </c>
      <c r="H94" s="3047"/>
      <c r="I94" s="3047"/>
      <c r="J94" s="3047"/>
      <c r="K94" s="3047"/>
      <c r="L94" s="3047" t="s">
        <v>1546</v>
      </c>
      <c r="M94" s="3047"/>
      <c r="N94" s="3047"/>
      <c r="O94" s="3047"/>
      <c r="P94" s="3047"/>
      <c r="Q94" s="3047" t="s">
        <v>1577</v>
      </c>
      <c r="R94" s="3047"/>
      <c r="S94" s="3047"/>
      <c r="T94" s="3047"/>
      <c r="U94" s="3047"/>
      <c r="V94" s="3044" t="s">
        <v>1547</v>
      </c>
      <c r="W94" s="3045"/>
      <c r="X94" s="3045"/>
      <c r="Y94" s="3045"/>
      <c r="Z94" s="3046"/>
      <c r="AA94" s="3044" t="s">
        <v>1844</v>
      </c>
      <c r="AB94" s="3045"/>
      <c r="AC94" s="3045"/>
      <c r="AD94" s="3045"/>
      <c r="AE94" s="3046"/>
    </row>
    <row r="95" spans="1:32" s="40" customFormat="1" x14ac:dyDescent="0.3">
      <c r="A95"/>
      <c r="B95" s="3047" t="s">
        <v>1544</v>
      </c>
      <c r="C95" s="3047"/>
      <c r="D95" s="3047"/>
      <c r="E95" s="3047"/>
      <c r="F95" s="3047"/>
      <c r="G95" s="3048">
        <v>0.16</v>
      </c>
      <c r="H95" s="3048"/>
      <c r="I95" s="3048"/>
      <c r="J95" s="3048"/>
      <c r="K95" s="3048"/>
      <c r="L95" s="3049">
        <v>0.48</v>
      </c>
      <c r="M95" s="3049"/>
      <c r="N95" s="3049"/>
      <c r="O95" s="3049"/>
      <c r="P95" s="3049"/>
      <c r="Q95" s="3048">
        <v>2.2999999999999998</v>
      </c>
      <c r="R95" s="3048"/>
      <c r="S95" s="3048"/>
      <c r="T95" s="3048"/>
      <c r="U95" s="3048"/>
      <c r="V95" s="3048">
        <f>ROUND(15000/(Q95*365),0)</f>
        <v>18</v>
      </c>
      <c r="W95" s="3048"/>
      <c r="X95" s="3048"/>
      <c r="Y95" s="3048"/>
      <c r="Z95" s="3048"/>
      <c r="AA95" s="3048">
        <f>ROUND(2500/(Q95*365),0)</f>
        <v>3</v>
      </c>
      <c r="AB95" s="3048"/>
      <c r="AC95" s="3048"/>
      <c r="AD95" s="3048"/>
      <c r="AE95" s="3048"/>
    </row>
    <row r="96" spans="1:32" s="40" customFormat="1" x14ac:dyDescent="0.3">
      <c r="A96"/>
      <c r="B96" s="3047" t="s">
        <v>1545</v>
      </c>
      <c r="C96" s="3047"/>
      <c r="D96" s="3047"/>
      <c r="E96" s="3047"/>
      <c r="F96" s="3047"/>
      <c r="G96" s="3048">
        <v>0.24</v>
      </c>
      <c r="H96" s="3048"/>
      <c r="I96" s="3048"/>
      <c r="J96" s="3048"/>
      <c r="K96" s="3048"/>
      <c r="L96" s="3049">
        <v>1</v>
      </c>
      <c r="M96" s="3049"/>
      <c r="N96" s="3049"/>
      <c r="O96" s="3049"/>
      <c r="P96" s="3049"/>
      <c r="Q96" s="3048">
        <f>ROUND(Q95*1.5,1)</f>
        <v>3.5</v>
      </c>
      <c r="R96" s="3048"/>
      <c r="S96" s="3048"/>
      <c r="T96" s="3048"/>
      <c r="U96" s="3048"/>
      <c r="V96" s="3048">
        <f>ROUND(15000/(Q96*365),0)</f>
        <v>12</v>
      </c>
      <c r="W96" s="3048"/>
      <c r="X96" s="3048"/>
      <c r="Y96" s="3048"/>
      <c r="Z96" s="3048"/>
      <c r="AA96" s="3048">
        <f>ROUND(2500/(Q96*365),0)</f>
        <v>2</v>
      </c>
      <c r="AB96" s="3048"/>
      <c r="AC96" s="3048"/>
      <c r="AD96" s="3048"/>
      <c r="AE96" s="3048"/>
    </row>
    <row r="97" spans="1:32" s="40" customFormat="1" ht="28.5" customHeight="1" x14ac:dyDescent="0.3">
      <c r="A97"/>
      <c r="B97" s="3037" t="s">
        <v>3092</v>
      </c>
      <c r="C97" s="3037"/>
      <c r="D97" s="3037"/>
      <c r="E97" s="3037"/>
      <c r="F97" s="3037"/>
      <c r="G97" s="3037"/>
      <c r="H97" s="3037"/>
      <c r="I97" s="3037"/>
      <c r="J97" s="3037"/>
      <c r="K97" s="3037"/>
      <c r="L97" s="3037"/>
      <c r="M97" s="3037"/>
      <c r="N97" s="3037"/>
      <c r="O97" s="3037"/>
      <c r="P97" s="3037"/>
      <c r="Q97" s="3037"/>
      <c r="R97" s="3037"/>
      <c r="S97" s="3037"/>
      <c r="T97" s="3037"/>
      <c r="U97" s="3037"/>
      <c r="V97" s="3037"/>
      <c r="W97" s="3037"/>
      <c r="X97" s="3037"/>
      <c r="Y97" s="3037"/>
      <c r="Z97" s="3037"/>
      <c r="AA97" s="3037"/>
      <c r="AB97" s="3037"/>
      <c r="AC97" s="3037"/>
      <c r="AD97" s="3037"/>
      <c r="AE97" s="3037"/>
    </row>
    <row r="99" spans="1:32" s="1" customFormat="1" x14ac:dyDescent="0.3">
      <c r="A99" s="1290" t="s">
        <v>5666</v>
      </c>
      <c r="B99" s="1290"/>
      <c r="C99" s="1290"/>
      <c r="D99" s="1290"/>
      <c r="E99" s="1290"/>
      <c r="F99" s="1290"/>
      <c r="G99" s="1290"/>
      <c r="H99" s="1290"/>
      <c r="I99" s="1290"/>
      <c r="J99" s="1290"/>
      <c r="K99" s="1290"/>
      <c r="L99" s="1290"/>
      <c r="M99" s="1290"/>
      <c r="N99" s="1290"/>
      <c r="O99" s="1290"/>
      <c r="P99" s="1290"/>
      <c r="Q99" s="1290"/>
      <c r="R99" s="1290"/>
      <c r="S99" s="1290"/>
      <c r="T99" s="1290"/>
      <c r="U99" s="1290"/>
      <c r="V99" s="1290"/>
      <c r="W99" s="1290"/>
      <c r="X99" s="1290"/>
      <c r="Y99" s="1290"/>
      <c r="Z99" s="1290"/>
      <c r="AA99" s="1290"/>
      <c r="AB99" s="1290"/>
      <c r="AC99" s="1290"/>
      <c r="AD99" s="1290"/>
      <c r="AE99" s="1290"/>
      <c r="AF99" s="1290"/>
    </row>
    <row r="100" spans="1:32" s="1" customFormat="1"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s="1" customFormat="1" x14ac:dyDescent="0.3">
      <c r="A101" s="57"/>
      <c r="B101" s="498" t="s">
        <v>4561</v>
      </c>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ht="15" thickBot="1" x14ac:dyDescent="0.35">
      <c r="A102" s="493"/>
      <c r="B102" s="492"/>
      <c r="C102" s="492"/>
      <c r="D102" s="169"/>
      <c r="E102" s="169"/>
      <c r="F102" s="169"/>
      <c r="G102" s="169"/>
      <c r="H102" s="169"/>
      <c r="I102" s="169"/>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ht="32.1" customHeight="1" x14ac:dyDescent="0.3">
      <c r="A103" s="3022" t="s">
        <v>15</v>
      </c>
      <c r="B103" s="3023"/>
      <c r="C103" s="3023"/>
      <c r="D103" s="3023"/>
      <c r="E103" s="3023"/>
      <c r="F103" s="3023"/>
      <c r="G103" s="3023"/>
      <c r="H103" s="3024"/>
      <c r="I103" s="1311" t="s">
        <v>2780</v>
      </c>
      <c r="J103" s="1311"/>
      <c r="K103" s="1311"/>
      <c r="L103" s="1311"/>
      <c r="M103" s="1311"/>
      <c r="N103" s="1311"/>
      <c r="O103" s="1311"/>
      <c r="P103" s="1311"/>
      <c r="Q103" s="1311" t="s">
        <v>2781</v>
      </c>
      <c r="R103" s="1312"/>
      <c r="S103" s="1312"/>
      <c r="T103" s="1312"/>
      <c r="U103" s="1312"/>
      <c r="V103" s="1312"/>
      <c r="W103" s="1312"/>
      <c r="X103" s="1312"/>
      <c r="Y103" s="3028" t="s">
        <v>1554</v>
      </c>
      <c r="Z103" s="3029"/>
      <c r="AA103" s="3029"/>
      <c r="AB103" s="3029"/>
      <c r="AC103" s="3029"/>
      <c r="AD103" s="3029"/>
      <c r="AE103" s="3029"/>
      <c r="AF103" s="3030"/>
    </row>
    <row r="104" spans="1:32" x14ac:dyDescent="0.3">
      <c r="A104" s="3025"/>
      <c r="B104" s="3026"/>
      <c r="C104" s="3026"/>
      <c r="D104" s="3026"/>
      <c r="E104" s="3026"/>
      <c r="F104" s="3026"/>
      <c r="G104" s="3026"/>
      <c r="H104" s="3027"/>
      <c r="I104" s="2536" t="s">
        <v>3630</v>
      </c>
      <c r="J104" s="2537"/>
      <c r="K104" s="2537"/>
      <c r="L104" s="2538"/>
      <c r="M104" s="2536" t="s">
        <v>3631</v>
      </c>
      <c r="N104" s="2537"/>
      <c r="O104" s="2537"/>
      <c r="P104" s="2538"/>
      <c r="Q104" s="2536" t="s">
        <v>3630</v>
      </c>
      <c r="R104" s="2537"/>
      <c r="S104" s="2537"/>
      <c r="T104" s="2538"/>
      <c r="U104" s="2536" t="s">
        <v>3631</v>
      </c>
      <c r="V104" s="2537"/>
      <c r="W104" s="2537"/>
      <c r="X104" s="2538"/>
      <c r="Y104" s="2536"/>
      <c r="Z104" s="2537"/>
      <c r="AA104" s="2537"/>
      <c r="AB104" s="2537"/>
      <c r="AC104" s="2537"/>
      <c r="AD104" s="2537"/>
      <c r="AE104" s="2537"/>
      <c r="AF104" s="3031"/>
    </row>
    <row r="105" spans="1:32" x14ac:dyDescent="0.3">
      <c r="A105" s="2641" t="s">
        <v>1233</v>
      </c>
      <c r="B105" s="993"/>
      <c r="C105" s="993"/>
      <c r="D105" s="993"/>
      <c r="E105" s="993"/>
      <c r="F105" s="993"/>
      <c r="G105" s="993"/>
      <c r="H105" s="993"/>
      <c r="I105" s="3032">
        <f>ROUND((L89-V89)*Q67*G95*(1+L95*Q73*(Q74-1))*Q76,3)</f>
        <v>7.0000000000000001E-3</v>
      </c>
      <c r="J105" s="3033"/>
      <c r="K105" s="3033"/>
      <c r="L105" s="3034"/>
      <c r="M105" s="3032">
        <f>ROUND((Q89-V89)*Q67*G95*(1+L95*Q73*(Q74-1))*Q76,3)</f>
        <v>2E-3</v>
      </c>
      <c r="N105" s="3033"/>
      <c r="O105" s="3033"/>
      <c r="P105" s="3034"/>
      <c r="Q105" s="3008">
        <f>ROUND((L89-V89)*Q67*Q95*365*(1+L95*Q73*(Q75-1))*Q76,2)</f>
        <v>34.74</v>
      </c>
      <c r="R105" s="3035"/>
      <c r="S105" s="3035"/>
      <c r="T105" s="3036"/>
      <c r="U105" s="3008">
        <f>ROUND((Q89-V89)*Q67*Q95*365*(1+L95*Q73*(Q75-1))*Q76,2)</f>
        <v>12.83</v>
      </c>
      <c r="V105" s="3035"/>
      <c r="W105" s="3035"/>
      <c r="X105" s="3036"/>
      <c r="Y105" s="3009">
        <f>ROUND(Q105*AA95+U105*(V95-AA95),2)</f>
        <v>296.67</v>
      </c>
      <c r="Z105" s="3009"/>
      <c r="AA105" s="3009"/>
      <c r="AB105" s="3009"/>
      <c r="AC105" s="3009"/>
      <c r="AD105" s="3009"/>
      <c r="AE105" s="3009"/>
      <c r="AF105" s="3010"/>
    </row>
    <row r="106" spans="1:32" ht="15" thickBot="1" x14ac:dyDescent="0.35">
      <c r="A106" s="2647" t="s">
        <v>1234</v>
      </c>
      <c r="B106" s="1475"/>
      <c r="C106" s="1475"/>
      <c r="D106" s="1475"/>
      <c r="E106" s="1475"/>
      <c r="F106" s="1475"/>
      <c r="G106" s="1475"/>
      <c r="H106" s="1475"/>
      <c r="I106" s="3058">
        <f>ROUND((L89-V89)*Q67*G96*(1+L96*Q73*(Q74-1))*Q76,3)</f>
        <v>1.0999999999999999E-2</v>
      </c>
      <c r="J106" s="3059"/>
      <c r="K106" s="3059"/>
      <c r="L106" s="3060"/>
      <c r="M106" s="3058">
        <f>ROUND((Q89-V89)*Q67*G96*(1+L96*Q73*(Q74-1))*Q76,3)</f>
        <v>4.0000000000000001E-3</v>
      </c>
      <c r="N106" s="3059"/>
      <c r="O106" s="3059"/>
      <c r="P106" s="3060"/>
      <c r="Q106" s="3061">
        <f>ROUND((L89-V89)*Q67*Q96*365*(1+L96*Q73*(Q75-1))*Q76,2)</f>
        <v>60.02</v>
      </c>
      <c r="R106" s="3062"/>
      <c r="S106" s="3062"/>
      <c r="T106" s="3063"/>
      <c r="U106" s="3061">
        <f>ROUND((Q89-V89)*Q67*Q96*365*(1+L96*Q73*(Q75-1))*Q76,2)</f>
        <v>22.17</v>
      </c>
      <c r="V106" s="3062"/>
      <c r="W106" s="3062"/>
      <c r="X106" s="3063"/>
      <c r="Y106" s="3055">
        <f>ROUND(Q106*AA96+U106*(V96-AA96),2)</f>
        <v>341.74</v>
      </c>
      <c r="Z106" s="3055"/>
      <c r="AA106" s="3055"/>
      <c r="AB106" s="3055"/>
      <c r="AC106" s="3055"/>
      <c r="AD106" s="3055"/>
      <c r="AE106" s="3055"/>
      <c r="AF106" s="3056"/>
    </row>
    <row r="109" spans="1:32" x14ac:dyDescent="0.3">
      <c r="B109" s="232" t="s">
        <v>1562</v>
      </c>
    </row>
    <row r="111" spans="1:32" x14ac:dyDescent="0.3">
      <c r="B111" t="s">
        <v>1565</v>
      </c>
    </row>
    <row r="112" spans="1:32" ht="15.6" x14ac:dyDescent="0.35">
      <c r="D112" s="2495">
        <v>60</v>
      </c>
      <c r="E112" s="2496"/>
      <c r="F112" s="2496"/>
      <c r="G112" s="2496"/>
      <c r="H112" s="2497"/>
      <c r="I112" s="237"/>
      <c r="J112" s="237"/>
      <c r="K112" s="237"/>
      <c r="M112" t="s">
        <v>1566</v>
      </c>
      <c r="P112" s="3005">
        <f>VLOOKUP(D112,B84:AE88,11,FALSE)</f>
        <v>4.2999999999999997E-2</v>
      </c>
      <c r="Q112" s="3006"/>
      <c r="R112" s="3007"/>
      <c r="T112" t="s">
        <v>1564</v>
      </c>
      <c r="W112" s="3005">
        <f>VLOOKUP(D112,B84:AE88,16,FALSE)</f>
        <v>0.02</v>
      </c>
      <c r="X112" s="3006"/>
      <c r="Y112" s="3007"/>
      <c r="AA112" t="s">
        <v>1561</v>
      </c>
      <c r="AD112" s="2570">
        <f>VLOOKUP(D112,B84:AE88,21,FALSE)</f>
        <v>8.0000000000000002E-3</v>
      </c>
      <c r="AE112" s="1001"/>
      <c r="AF112" s="2571"/>
    </row>
    <row r="113" spans="1:32" ht="15" thickBot="1" x14ac:dyDescent="0.35"/>
    <row r="114" spans="1:32" ht="32.1" customHeight="1" x14ac:dyDescent="0.3">
      <c r="A114" s="3022" t="s">
        <v>15</v>
      </c>
      <c r="B114" s="3023"/>
      <c r="C114" s="3023"/>
      <c r="D114" s="3023"/>
      <c r="E114" s="3023"/>
      <c r="F114" s="3023"/>
      <c r="G114" s="3023"/>
      <c r="H114" s="3024"/>
      <c r="I114" s="1311" t="s">
        <v>2780</v>
      </c>
      <c r="J114" s="1311"/>
      <c r="K114" s="1311"/>
      <c r="L114" s="1311"/>
      <c r="M114" s="1311"/>
      <c r="N114" s="1311"/>
      <c r="O114" s="1311"/>
      <c r="P114" s="1311"/>
      <c r="Q114" s="1311" t="s">
        <v>2781</v>
      </c>
      <c r="R114" s="1312"/>
      <c r="S114" s="1312"/>
      <c r="T114" s="1312"/>
      <c r="U114" s="1312"/>
      <c r="V114" s="1312"/>
      <c r="W114" s="1312"/>
      <c r="X114" s="1312"/>
      <c r="Y114" s="3028" t="s">
        <v>1554</v>
      </c>
      <c r="Z114" s="3029"/>
      <c r="AA114" s="3029"/>
      <c r="AB114" s="3029"/>
      <c r="AC114" s="3029"/>
      <c r="AD114" s="3029"/>
      <c r="AE114" s="3029"/>
      <c r="AF114" s="3030"/>
    </row>
    <row r="115" spans="1:32" x14ac:dyDescent="0.3">
      <c r="A115" s="3025"/>
      <c r="B115" s="3026"/>
      <c r="C115" s="3026"/>
      <c r="D115" s="3026"/>
      <c r="E115" s="3026"/>
      <c r="F115" s="3026"/>
      <c r="G115" s="3026"/>
      <c r="H115" s="3027"/>
      <c r="I115" s="2536" t="s">
        <v>3630</v>
      </c>
      <c r="J115" s="2537"/>
      <c r="K115" s="2537"/>
      <c r="L115" s="2538"/>
      <c r="M115" s="2536" t="s">
        <v>3631</v>
      </c>
      <c r="N115" s="2537"/>
      <c r="O115" s="2537"/>
      <c r="P115" s="2538"/>
      <c r="Q115" s="2536" t="s">
        <v>3630</v>
      </c>
      <c r="R115" s="2537"/>
      <c r="S115" s="2537"/>
      <c r="T115" s="2538"/>
      <c r="U115" s="2536" t="s">
        <v>3631</v>
      </c>
      <c r="V115" s="2537"/>
      <c r="W115" s="2537"/>
      <c r="X115" s="2538"/>
      <c r="Y115" s="2536"/>
      <c r="Z115" s="2537"/>
      <c r="AA115" s="2537"/>
      <c r="AB115" s="2537"/>
      <c r="AC115" s="2537"/>
      <c r="AD115" s="2537"/>
      <c r="AE115" s="2537"/>
      <c r="AF115" s="3031"/>
    </row>
    <row r="116" spans="1:32" x14ac:dyDescent="0.3">
      <c r="A116" s="2641" t="s">
        <v>1233</v>
      </c>
      <c r="B116" s="993"/>
      <c r="C116" s="993"/>
      <c r="D116" s="993"/>
      <c r="E116" s="993"/>
      <c r="F116" s="993"/>
      <c r="G116" s="993"/>
      <c r="H116" s="993"/>
      <c r="I116" s="3011">
        <f>ROUND((P112-AD112)*Q67*G95*(1+L95*Q73*(Q74-1))*Q76,3)</f>
        <v>6.0000000000000001E-3</v>
      </c>
      <c r="J116" s="3012"/>
      <c r="K116" s="3012"/>
      <c r="L116" s="3013"/>
      <c r="M116" s="3011">
        <f>ROUND((W112-AD112)*Q67*G95*(1+L95*Q73*(Q74-1))*Q76,3)</f>
        <v>2E-3</v>
      </c>
      <c r="N116" s="3012"/>
      <c r="O116" s="3012"/>
      <c r="P116" s="3013"/>
      <c r="Q116" s="3014">
        <f>ROUND((P112-AD112)*Q67*Q95*365*(1+L95*Q73*(Q75-1))*Q76,2)</f>
        <v>32.57</v>
      </c>
      <c r="R116" s="3015"/>
      <c r="S116" s="3015"/>
      <c r="T116" s="3016"/>
      <c r="U116" s="3014">
        <f>ROUND((W112-AD112)*Q67*Q95*365*(1+L95*Q73*(Q75-1))*Q76,2)</f>
        <v>11.17</v>
      </c>
      <c r="V116" s="3015"/>
      <c r="W116" s="3015"/>
      <c r="X116" s="3016"/>
      <c r="Y116" s="3053">
        <f>ROUND(Q116*AA95+U116*(V95-AA95),2)</f>
        <v>265.26</v>
      </c>
      <c r="Z116" s="3053"/>
      <c r="AA116" s="3053"/>
      <c r="AB116" s="3053"/>
      <c r="AC116" s="3053"/>
      <c r="AD116" s="3053"/>
      <c r="AE116" s="3053"/>
      <c r="AF116" s="3054"/>
    </row>
    <row r="117" spans="1:32" ht="15" thickBot="1" x14ac:dyDescent="0.35">
      <c r="A117" s="2647" t="s">
        <v>1234</v>
      </c>
      <c r="B117" s="1475"/>
      <c r="C117" s="1475"/>
      <c r="D117" s="1475"/>
      <c r="E117" s="1475"/>
      <c r="F117" s="1475"/>
      <c r="G117" s="1475"/>
      <c r="H117" s="1475"/>
      <c r="I117" s="3017">
        <f>ROUND((P112-AD112)*Q67*G96*(1+L96*Q73*(Q74-1))*Q76,3)</f>
        <v>0.01</v>
      </c>
      <c r="J117" s="3018"/>
      <c r="K117" s="3018"/>
      <c r="L117" s="3019"/>
      <c r="M117" s="3017">
        <f>ROUND((W112-AD112)*Q67*G96*(1+L96*Q73*(Q74-1))*Q76,3)</f>
        <v>4.0000000000000001E-3</v>
      </c>
      <c r="N117" s="3018"/>
      <c r="O117" s="3018"/>
      <c r="P117" s="3019"/>
      <c r="Q117" s="2927">
        <f>ROUND((P112-AD112)*Q67*Q96*365*(1+L96*Q73*(Q75-1))*Q76,2)</f>
        <v>56.27</v>
      </c>
      <c r="R117" s="3020"/>
      <c r="S117" s="3020"/>
      <c r="T117" s="3021"/>
      <c r="U117" s="2927">
        <f>ROUND((W112-AD112)*Q67*Q96*365*(1+L96*Q73*(Q75-1))*Q76,2)</f>
        <v>19.29</v>
      </c>
      <c r="V117" s="3020"/>
      <c r="W117" s="3020"/>
      <c r="X117" s="3021"/>
      <c r="Y117" s="3003">
        <f>ROUND(Q117*AA96+U117*(V96-AA96),2)</f>
        <v>305.44</v>
      </c>
      <c r="Z117" s="3003"/>
      <c r="AA117" s="3003"/>
      <c r="AB117" s="3003"/>
      <c r="AC117" s="3003"/>
      <c r="AD117" s="3003"/>
      <c r="AE117" s="3003"/>
      <c r="AF117" s="3004"/>
    </row>
    <row r="120" spans="1:32" s="1" customFormat="1" x14ac:dyDescent="0.3">
      <c r="A120" s="3057" t="s">
        <v>6462</v>
      </c>
      <c r="B120" s="3057"/>
      <c r="C120" s="3057"/>
      <c r="D120" s="3057"/>
      <c r="E120" s="3057"/>
      <c r="F120" s="3057"/>
      <c r="G120" s="3057"/>
      <c r="H120" s="3057"/>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57"/>
      <c r="AD120" s="3057"/>
      <c r="AE120" s="3057"/>
      <c r="AF120" s="3057"/>
    </row>
    <row r="121" spans="1:32" s="1" customFormat="1" x14ac:dyDescent="0.3">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s="1" customFormat="1" x14ac:dyDescent="0.3">
      <c r="A122" s="3"/>
      <c r="B122" s="498" t="s">
        <v>4563</v>
      </c>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 thickBot="1" x14ac:dyDescent="0.35">
      <c r="A123" s="134"/>
      <c r="B123" s="146"/>
      <c r="C123" s="146"/>
      <c r="D123" s="40"/>
      <c r="E123" s="40"/>
      <c r="F123" s="40"/>
      <c r="G123" s="40"/>
      <c r="H123" s="40"/>
      <c r="I123" s="40"/>
    </row>
    <row r="124" spans="1:32" ht="32.1" customHeight="1" x14ac:dyDescent="0.3">
      <c r="A124" s="1252" t="s">
        <v>15</v>
      </c>
      <c r="B124" s="1253"/>
      <c r="C124" s="1253"/>
      <c r="D124" s="1253"/>
      <c r="E124" s="1253"/>
      <c r="F124" s="1253"/>
      <c r="G124" s="1253"/>
      <c r="H124" s="1253"/>
      <c r="I124" s="1278" t="s">
        <v>2780</v>
      </c>
      <c r="J124" s="1278"/>
      <c r="K124" s="1278"/>
      <c r="L124" s="1278"/>
      <c r="M124" s="1278"/>
      <c r="N124" s="1278"/>
      <c r="O124" s="1278"/>
      <c r="P124" s="1278"/>
      <c r="Q124" s="1278" t="s">
        <v>2781</v>
      </c>
      <c r="R124" s="1253"/>
      <c r="S124" s="1253"/>
      <c r="T124" s="1253"/>
      <c r="U124" s="1253"/>
      <c r="V124" s="1253"/>
      <c r="W124" s="1253"/>
      <c r="X124" s="1279"/>
      <c r="Y124" s="1278" t="s">
        <v>1554</v>
      </c>
      <c r="Z124" s="1253"/>
      <c r="AA124" s="1253"/>
      <c r="AB124" s="1253"/>
      <c r="AC124" s="1253"/>
      <c r="AD124" s="1253"/>
      <c r="AE124" s="1253"/>
      <c r="AF124" s="1254"/>
    </row>
    <row r="125" spans="1:32" x14ac:dyDescent="0.3">
      <c r="A125" s="1454" t="s">
        <v>1233</v>
      </c>
      <c r="B125" s="949"/>
      <c r="C125" s="949"/>
      <c r="D125" s="949"/>
      <c r="E125" s="949"/>
      <c r="F125" s="949"/>
      <c r="G125" s="949"/>
      <c r="H125" s="949"/>
      <c r="I125" s="2934">
        <f>ROUND((Q89-V89)*Q67*G95*(1+L95*Q73*(Q74-1))*Q76,3)</f>
        <v>2E-3</v>
      </c>
      <c r="J125" s="2934"/>
      <c r="K125" s="2934"/>
      <c r="L125" s="2934"/>
      <c r="M125" s="2934"/>
      <c r="N125" s="2934"/>
      <c r="O125" s="2934"/>
      <c r="P125" s="2934"/>
      <c r="Q125" s="2935">
        <f>ROUND((Q89-V89)*Q67*Q95*365*(1+L95*Q73*(Q75-1))*Q76,2)</f>
        <v>12.83</v>
      </c>
      <c r="R125" s="2935"/>
      <c r="S125" s="2935"/>
      <c r="T125" s="2935"/>
      <c r="U125" s="2935"/>
      <c r="V125" s="2935"/>
      <c r="W125" s="2935"/>
      <c r="X125" s="3008"/>
      <c r="Y125" s="3009">
        <f>ROUND(Q125*V95,2)</f>
        <v>230.94</v>
      </c>
      <c r="Z125" s="3009"/>
      <c r="AA125" s="3009"/>
      <c r="AB125" s="3009"/>
      <c r="AC125" s="3009"/>
      <c r="AD125" s="3009"/>
      <c r="AE125" s="3009"/>
      <c r="AF125" s="3010"/>
    </row>
    <row r="126" spans="1:32" ht="15" thickBot="1" x14ac:dyDescent="0.35">
      <c r="A126" s="1247" t="s">
        <v>1234</v>
      </c>
      <c r="B126" s="1248"/>
      <c r="C126" s="1248"/>
      <c r="D126" s="1248"/>
      <c r="E126" s="1248"/>
      <c r="F126" s="1248"/>
      <c r="G126" s="1248"/>
      <c r="H126" s="1248"/>
      <c r="I126" s="2699">
        <f>ROUND((Q89-V89)*Q67*G96*(1+L96*Q73*(Q74-1))*Q76,3)</f>
        <v>4.0000000000000001E-3</v>
      </c>
      <c r="J126" s="2699"/>
      <c r="K126" s="2699"/>
      <c r="L126" s="2699"/>
      <c r="M126" s="2699"/>
      <c r="N126" s="2699"/>
      <c r="O126" s="2699"/>
      <c r="P126" s="2699"/>
      <c r="Q126" s="2700">
        <f>ROUND((Q89-V89)*Q67*Q96*365*(1+L96*Q73*(Q75-1))*Q76,2)</f>
        <v>22.17</v>
      </c>
      <c r="R126" s="2700"/>
      <c r="S126" s="2700"/>
      <c r="T126" s="2700"/>
      <c r="U126" s="2700"/>
      <c r="V126" s="2700"/>
      <c r="W126" s="2700"/>
      <c r="X126" s="2701"/>
      <c r="Y126" s="2702">
        <f>ROUND(Q126*V96,2)</f>
        <v>266.04000000000002</v>
      </c>
      <c r="Z126" s="2702"/>
      <c r="AA126" s="2702"/>
      <c r="AB126" s="2702"/>
      <c r="AC126" s="2702"/>
      <c r="AD126" s="2702"/>
      <c r="AE126" s="2702"/>
      <c r="AF126" s="2703"/>
    </row>
    <row r="129" spans="1:32" x14ac:dyDescent="0.3">
      <c r="B129" s="232" t="s">
        <v>1562</v>
      </c>
    </row>
    <row r="131" spans="1:32" x14ac:dyDescent="0.3">
      <c r="B131" t="s">
        <v>1565</v>
      </c>
    </row>
    <row r="132" spans="1:32" ht="15.6" x14ac:dyDescent="0.35">
      <c r="D132" s="2495">
        <v>60</v>
      </c>
      <c r="E132" s="2496"/>
      <c r="F132" s="2496"/>
      <c r="G132" s="2496"/>
      <c r="H132" s="2497"/>
      <c r="N132" t="s">
        <v>1560</v>
      </c>
      <c r="Q132" s="3005">
        <f>VLOOKUP(D132,B84:AE88,16,FALSE)</f>
        <v>0.02</v>
      </c>
      <c r="R132" s="3006"/>
      <c r="S132" s="3007"/>
      <c r="V132" t="s">
        <v>1561</v>
      </c>
      <c r="Y132" s="2570">
        <f>VLOOKUP(D132,B84:AE88,21,FALSE)</f>
        <v>8.0000000000000002E-3</v>
      </c>
      <c r="Z132" s="1001"/>
      <c r="AA132" s="2571"/>
    </row>
    <row r="133" spans="1:32" ht="15" thickBot="1" x14ac:dyDescent="0.35"/>
    <row r="134" spans="1:32" ht="32.4" customHeight="1" x14ac:dyDescent="0.3">
      <c r="A134" s="1252" t="s">
        <v>15</v>
      </c>
      <c r="B134" s="1253"/>
      <c r="C134" s="1253"/>
      <c r="D134" s="1253"/>
      <c r="E134" s="1253"/>
      <c r="F134" s="1253"/>
      <c r="G134" s="1253"/>
      <c r="H134" s="1253"/>
      <c r="I134" s="2158" t="s">
        <v>2780</v>
      </c>
      <c r="J134" s="2382"/>
      <c r="K134" s="2382"/>
      <c r="L134" s="2382"/>
      <c r="M134" s="2382"/>
      <c r="N134" s="2382"/>
      <c r="O134" s="2382"/>
      <c r="P134" s="2383"/>
      <c r="Q134" s="2158" t="s">
        <v>2781</v>
      </c>
      <c r="R134" s="2382"/>
      <c r="S134" s="2382"/>
      <c r="T134" s="2382"/>
      <c r="U134" s="2382"/>
      <c r="V134" s="2382"/>
      <c r="W134" s="2382"/>
      <c r="X134" s="2383"/>
      <c r="Y134" s="2158" t="s">
        <v>1554</v>
      </c>
      <c r="Z134" s="2382"/>
      <c r="AA134" s="2382"/>
      <c r="AB134" s="2382"/>
      <c r="AC134" s="2382"/>
      <c r="AD134" s="2382"/>
      <c r="AE134" s="2382"/>
      <c r="AF134" s="2384"/>
    </row>
    <row r="135" spans="1:32" x14ac:dyDescent="0.3">
      <c r="A135" s="1454" t="s">
        <v>1233</v>
      </c>
      <c r="B135" s="949"/>
      <c r="C135" s="949"/>
      <c r="D135" s="949"/>
      <c r="E135" s="949"/>
      <c r="F135" s="949"/>
      <c r="G135" s="949"/>
      <c r="H135" s="949"/>
      <c r="I135" s="3051">
        <f>ROUND((Q132-Y132)*Q67*G95*(1+L95*Q73*(Q74-1))*Q76,3)</f>
        <v>2E-3</v>
      </c>
      <c r="J135" s="3051"/>
      <c r="K135" s="3051"/>
      <c r="L135" s="3051"/>
      <c r="M135" s="3051"/>
      <c r="N135" s="3051"/>
      <c r="O135" s="3051"/>
      <c r="P135" s="3051"/>
      <c r="Q135" s="3052">
        <f>ROUND((Q132-Y132)*Q67*Q95*365*(1+L95*Q73*(Q75-1))*Q76,2)</f>
        <v>11.17</v>
      </c>
      <c r="R135" s="3052"/>
      <c r="S135" s="3052"/>
      <c r="T135" s="3052"/>
      <c r="U135" s="3052"/>
      <c r="V135" s="3052"/>
      <c r="W135" s="3052"/>
      <c r="X135" s="3014"/>
      <c r="Y135" s="3053">
        <f>ROUND(Q135*V95,2)</f>
        <v>201.06</v>
      </c>
      <c r="Z135" s="3053"/>
      <c r="AA135" s="3053"/>
      <c r="AB135" s="3053"/>
      <c r="AC135" s="3053"/>
      <c r="AD135" s="3053"/>
      <c r="AE135" s="3053"/>
      <c r="AF135" s="3054"/>
    </row>
    <row r="136" spans="1:32" ht="15" thickBot="1" x14ac:dyDescent="0.35">
      <c r="A136" s="1247" t="s">
        <v>1234</v>
      </c>
      <c r="B136" s="1248"/>
      <c r="C136" s="1248"/>
      <c r="D136" s="1248"/>
      <c r="E136" s="1248"/>
      <c r="F136" s="1248"/>
      <c r="G136" s="1248"/>
      <c r="H136" s="1248"/>
      <c r="I136" s="1280">
        <f>ROUND((Q132-Y132)*Q67*G96*(1+L96*Q73*(Q74-1))*Q76,3)</f>
        <v>4.0000000000000001E-3</v>
      </c>
      <c r="J136" s="1280"/>
      <c r="K136" s="1280"/>
      <c r="L136" s="1280"/>
      <c r="M136" s="1280"/>
      <c r="N136" s="1280"/>
      <c r="O136" s="1280"/>
      <c r="P136" s="1280"/>
      <c r="Q136" s="2926">
        <f>ROUND((Q132-Y132)*Q67*Q96*365*(1+L96*Q73*(Q75-1))*Q76,2)</f>
        <v>19.29</v>
      </c>
      <c r="R136" s="2926"/>
      <c r="S136" s="2926"/>
      <c r="T136" s="2926"/>
      <c r="U136" s="2926"/>
      <c r="V136" s="2926"/>
      <c r="W136" s="2926"/>
      <c r="X136" s="2927"/>
      <c r="Y136" s="3003">
        <f>ROUND(Q136*V96,2)</f>
        <v>231.48</v>
      </c>
      <c r="Z136" s="3003"/>
      <c r="AA136" s="3003"/>
      <c r="AB136" s="3003"/>
      <c r="AC136" s="3003"/>
      <c r="AD136" s="3003"/>
      <c r="AE136" s="3003"/>
      <c r="AF136" s="3004"/>
    </row>
    <row r="138" spans="1:32" x14ac:dyDescent="0.3">
      <c r="F138" s="238"/>
      <c r="G138" s="238"/>
      <c r="H138" s="238"/>
    </row>
    <row r="139" spans="1:32" x14ac:dyDescent="0.3">
      <c r="A139" s="1141" t="s">
        <v>1514</v>
      </c>
      <c r="B139" s="1141"/>
      <c r="C139" s="1141"/>
      <c r="D139" s="1141"/>
      <c r="E139" s="1141"/>
      <c r="F139" s="1141"/>
      <c r="G139" s="1141"/>
      <c r="H139" s="1141"/>
      <c r="I139" s="1141"/>
      <c r="J139" s="1141"/>
      <c r="K139" s="1141"/>
      <c r="L139" s="1141"/>
      <c r="M139" s="1141"/>
      <c r="N139" s="1141"/>
      <c r="O139" s="1141"/>
      <c r="P139" s="1141"/>
      <c r="Q139" s="1141"/>
      <c r="R139" s="1141"/>
      <c r="S139" s="1141"/>
      <c r="T139" s="1141"/>
      <c r="U139" s="1141"/>
      <c r="V139" s="1141"/>
      <c r="W139" s="1141"/>
      <c r="X139" s="1141"/>
      <c r="Y139" s="1141"/>
      <c r="Z139" s="1141"/>
      <c r="AA139" s="1141"/>
      <c r="AB139" s="1141"/>
      <c r="AC139" s="1141"/>
      <c r="AD139" s="1141"/>
      <c r="AE139" s="1141"/>
      <c r="AF139" s="1141"/>
    </row>
    <row r="141" spans="1:32" ht="36" customHeight="1" x14ac:dyDescent="0.3">
      <c r="A141" s="370" t="s">
        <v>803</v>
      </c>
      <c r="B141" s="884" t="s">
        <v>5663</v>
      </c>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row>
    <row r="142" spans="1:32" s="1" customFormat="1" ht="53.4" customHeight="1" x14ac:dyDescent="0.3">
      <c r="A142" s="370" t="s">
        <v>803</v>
      </c>
      <c r="B142" s="889" t="s">
        <v>5665</v>
      </c>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row>
    <row r="143" spans="1:32" s="1" customFormat="1" ht="33" customHeight="1" x14ac:dyDescent="0.3">
      <c r="A143" s="370" t="s">
        <v>803</v>
      </c>
      <c r="B143" s="884" t="s">
        <v>4551</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row>
    <row r="144" spans="1:32" s="1" customFormat="1" ht="32.4" customHeight="1" x14ac:dyDescent="0.3">
      <c r="A144" s="370" t="s">
        <v>803</v>
      </c>
      <c r="B144" s="884" t="s">
        <v>4552</v>
      </c>
      <c r="C144" s="884"/>
      <c r="D144" s="884"/>
      <c r="E144" s="884"/>
      <c r="F144" s="884"/>
      <c r="G144" s="884"/>
      <c r="H144" s="884"/>
      <c r="I144" s="884"/>
      <c r="J144" s="884"/>
      <c r="K144" s="884"/>
      <c r="L144" s="884"/>
      <c r="M144" s="884"/>
      <c r="N144" s="884"/>
      <c r="O144" s="884"/>
      <c r="P144" s="884"/>
      <c r="Q144" s="884"/>
      <c r="R144" s="884"/>
      <c r="S144" s="884"/>
      <c r="T144" s="884"/>
      <c r="U144" s="884"/>
      <c r="V144" s="884"/>
      <c r="W144" s="884"/>
      <c r="X144" s="884"/>
      <c r="Y144" s="884"/>
      <c r="Z144" s="884"/>
      <c r="AA144" s="884"/>
      <c r="AB144" s="884"/>
      <c r="AC144" s="884"/>
      <c r="AD144" s="884"/>
      <c r="AE144" s="884"/>
      <c r="AF144" s="884"/>
    </row>
    <row r="145" spans="1:32" ht="142.5" customHeight="1" x14ac:dyDescent="0.3">
      <c r="A145" s="368" t="s">
        <v>803</v>
      </c>
      <c r="B145" s="884" t="s">
        <v>2843</v>
      </c>
      <c r="C145" s="884"/>
      <c r="D145" s="884"/>
      <c r="E145" s="884"/>
      <c r="F145" s="884"/>
      <c r="G145" s="884"/>
      <c r="H145" s="884"/>
      <c r="I145" s="884"/>
      <c r="J145" s="884"/>
      <c r="K145" s="884"/>
      <c r="L145" s="884"/>
      <c r="M145" s="884"/>
      <c r="N145" s="884"/>
      <c r="O145" s="884"/>
      <c r="P145" s="884"/>
      <c r="Q145" s="884"/>
      <c r="R145" s="884"/>
      <c r="S145" s="884"/>
      <c r="T145" s="884"/>
      <c r="U145" s="884"/>
      <c r="V145" s="884"/>
      <c r="W145" s="884"/>
      <c r="X145" s="884"/>
      <c r="Y145" s="884"/>
      <c r="Z145" s="884"/>
      <c r="AA145" s="884"/>
      <c r="AB145" s="884"/>
      <c r="AC145" s="884"/>
      <c r="AD145" s="884"/>
      <c r="AE145" s="884"/>
      <c r="AF145" s="884"/>
    </row>
    <row r="146" spans="1:32" x14ac:dyDescent="0.3">
      <c r="A146" s="368" t="s">
        <v>803</v>
      </c>
      <c r="B146" s="889" t="s">
        <v>1567</v>
      </c>
      <c r="C146" s="889"/>
      <c r="D146" s="889"/>
      <c r="E146" s="889"/>
      <c r="F146" s="889"/>
      <c r="G146" s="889"/>
      <c r="H146" s="889"/>
      <c r="I146" s="889"/>
      <c r="J146" s="889"/>
      <c r="K146" s="889"/>
      <c r="L146" s="889"/>
      <c r="M146" s="889"/>
      <c r="N146" s="889"/>
      <c r="O146" s="889"/>
      <c r="P146" s="889"/>
      <c r="Q146" s="889"/>
      <c r="R146" s="889"/>
      <c r="S146" s="889"/>
      <c r="T146" s="889"/>
      <c r="U146" s="889"/>
      <c r="V146" s="889"/>
      <c r="W146" s="889"/>
      <c r="X146" s="889"/>
      <c r="Y146" s="889"/>
      <c r="Z146" s="889"/>
      <c r="AA146" s="889"/>
      <c r="AB146" s="889"/>
      <c r="AC146" s="889"/>
      <c r="AD146" s="889"/>
      <c r="AE146" s="889"/>
      <c r="AF146" s="889"/>
    </row>
    <row r="147" spans="1:32" ht="48.75" customHeight="1" x14ac:dyDescent="0.3">
      <c r="A147" s="368" t="s">
        <v>803</v>
      </c>
      <c r="B147" s="889" t="s">
        <v>3340</v>
      </c>
      <c r="C147" s="889"/>
      <c r="D147" s="889"/>
      <c r="E147" s="889"/>
      <c r="F147" s="889"/>
      <c r="G147" s="889"/>
      <c r="H147" s="889"/>
      <c r="I147" s="889"/>
      <c r="J147" s="889"/>
      <c r="K147" s="889"/>
      <c r="L147" s="889"/>
      <c r="M147" s="889"/>
      <c r="N147" s="889"/>
      <c r="O147" s="889"/>
      <c r="P147" s="889"/>
      <c r="Q147" s="889"/>
      <c r="R147" s="889"/>
      <c r="S147" s="889"/>
      <c r="T147" s="889"/>
      <c r="U147" s="889"/>
      <c r="V147" s="889"/>
      <c r="W147" s="889"/>
      <c r="X147" s="889"/>
      <c r="Y147" s="889"/>
      <c r="Z147" s="889"/>
      <c r="AA147" s="889"/>
      <c r="AB147" s="889"/>
      <c r="AC147" s="889"/>
      <c r="AD147" s="889"/>
      <c r="AE147" s="889"/>
      <c r="AF147" s="889"/>
    </row>
    <row r="148" spans="1:32" x14ac:dyDescent="0.3">
      <c r="A148" s="368" t="s">
        <v>803</v>
      </c>
      <c r="B148" s="3050" t="s">
        <v>1568</v>
      </c>
      <c r="C148" s="3050"/>
      <c r="D148" s="3050"/>
      <c r="E148" s="3050"/>
      <c r="F148" s="3050"/>
      <c r="G148" s="3050"/>
      <c r="H148" s="3050"/>
      <c r="I148" s="3050"/>
      <c r="J148" s="3050"/>
      <c r="K148" s="3050"/>
      <c r="L148" s="3050"/>
      <c r="M148" s="3050"/>
      <c r="N148" s="3050"/>
      <c r="O148" s="3050"/>
      <c r="P148" s="3050"/>
      <c r="Q148" s="3050"/>
      <c r="R148" s="3050"/>
      <c r="S148" s="3050"/>
      <c r="T148" s="3050"/>
      <c r="U148" s="3050"/>
      <c r="V148" s="3050"/>
      <c r="W148" s="3050"/>
      <c r="X148" s="3050"/>
      <c r="Y148" s="3050"/>
      <c r="Z148" s="3050"/>
      <c r="AA148" s="3050"/>
      <c r="AB148" s="3050"/>
      <c r="AC148" s="3050"/>
      <c r="AD148" s="3050"/>
      <c r="AE148" s="3050"/>
      <c r="AF148" s="3050"/>
    </row>
    <row r="149" spans="1:32" ht="32.25" customHeight="1" x14ac:dyDescent="0.3">
      <c r="A149" s="368" t="s">
        <v>803</v>
      </c>
      <c r="B149" s="3050" t="s">
        <v>1849</v>
      </c>
      <c r="C149" s="3050"/>
      <c r="D149" s="3050"/>
      <c r="E149" s="3050"/>
      <c r="F149" s="3050"/>
      <c r="G149" s="3050"/>
      <c r="H149" s="3050"/>
      <c r="I149" s="3050"/>
      <c r="J149" s="3050"/>
      <c r="K149" s="3050"/>
      <c r="L149" s="3050"/>
      <c r="M149" s="3050"/>
      <c r="N149" s="3050"/>
      <c r="O149" s="3050"/>
      <c r="P149" s="3050"/>
      <c r="Q149" s="3050"/>
      <c r="R149" s="3050"/>
      <c r="S149" s="3050"/>
      <c r="T149" s="3050"/>
      <c r="U149" s="3050"/>
      <c r="V149" s="3050"/>
      <c r="W149" s="3050"/>
      <c r="X149" s="3050"/>
      <c r="Y149" s="3050"/>
      <c r="Z149" s="3050"/>
      <c r="AA149" s="3050"/>
      <c r="AB149" s="3050"/>
      <c r="AC149" s="3050"/>
      <c r="AD149" s="3050"/>
      <c r="AE149" s="3050"/>
      <c r="AF149" s="3050"/>
    </row>
    <row r="150" spans="1:32" x14ac:dyDescent="0.3">
      <c r="A150" s="368" t="s">
        <v>803</v>
      </c>
      <c r="B150" s="889" t="s">
        <v>2844</v>
      </c>
      <c r="C150" s="889"/>
      <c r="D150" s="889"/>
      <c r="E150" s="889"/>
      <c r="F150" s="889"/>
      <c r="G150" s="889"/>
      <c r="H150" s="889"/>
      <c r="I150" s="889"/>
      <c r="J150" s="889"/>
      <c r="K150" s="889"/>
      <c r="L150" s="889"/>
      <c r="M150" s="889"/>
      <c r="N150" s="889"/>
      <c r="O150" s="889"/>
      <c r="P150" s="889"/>
      <c r="Q150" s="889"/>
      <c r="R150" s="889"/>
      <c r="S150" s="889"/>
      <c r="T150" s="889"/>
      <c r="U150" s="889"/>
      <c r="V150" s="889"/>
      <c r="W150" s="889"/>
      <c r="X150" s="889"/>
      <c r="Y150" s="889"/>
      <c r="Z150" s="889"/>
      <c r="AA150" s="889"/>
      <c r="AB150" s="889"/>
      <c r="AC150" s="889"/>
      <c r="AD150" s="889"/>
      <c r="AE150" s="889"/>
      <c r="AF150" s="889"/>
    </row>
    <row r="151" spans="1:32" x14ac:dyDescent="0.3">
      <c r="A151" s="368" t="s">
        <v>803</v>
      </c>
      <c r="B151" s="889" t="s">
        <v>1569</v>
      </c>
      <c r="C151" s="889"/>
      <c r="D151" s="889"/>
      <c r="E151" s="889"/>
      <c r="F151" s="889"/>
      <c r="G151" s="889"/>
      <c r="H151" s="889"/>
      <c r="I151" s="889"/>
      <c r="J151" s="889"/>
      <c r="K151" s="889"/>
      <c r="L151" s="889"/>
      <c r="M151" s="889"/>
      <c r="N151" s="889"/>
      <c r="O151" s="889"/>
      <c r="P151" s="889"/>
      <c r="Q151" s="889"/>
      <c r="R151" s="889"/>
      <c r="S151" s="889"/>
      <c r="T151" s="889"/>
      <c r="U151" s="889"/>
      <c r="V151" s="889"/>
      <c r="W151" s="889"/>
      <c r="X151" s="889"/>
      <c r="Y151" s="889"/>
      <c r="Z151" s="889"/>
      <c r="AA151" s="889"/>
      <c r="AB151" s="889"/>
      <c r="AC151" s="889"/>
      <c r="AD151" s="889"/>
      <c r="AE151" s="889"/>
      <c r="AF151" s="889"/>
    </row>
    <row r="152" spans="1:32" ht="47.25" customHeight="1" x14ac:dyDescent="0.3">
      <c r="A152" s="368" t="s">
        <v>803</v>
      </c>
      <c r="B152" s="889" t="s">
        <v>1843</v>
      </c>
      <c r="C152" s="889"/>
      <c r="D152" s="889"/>
      <c r="E152" s="889"/>
      <c r="F152" s="889"/>
      <c r="G152" s="889"/>
      <c r="H152" s="889"/>
      <c r="I152" s="889"/>
      <c r="J152" s="889"/>
      <c r="K152" s="889"/>
      <c r="L152" s="889"/>
      <c r="M152" s="889"/>
      <c r="N152" s="889"/>
      <c r="O152" s="889"/>
      <c r="P152" s="889"/>
      <c r="Q152" s="889"/>
      <c r="R152" s="889"/>
      <c r="S152" s="889"/>
      <c r="T152" s="889"/>
      <c r="U152" s="889"/>
      <c r="V152" s="889"/>
      <c r="W152" s="889"/>
      <c r="X152" s="889"/>
      <c r="Y152" s="889"/>
      <c r="Z152" s="889"/>
      <c r="AA152" s="889"/>
      <c r="AB152" s="889"/>
      <c r="AC152" s="889"/>
      <c r="AD152" s="889"/>
      <c r="AE152" s="889"/>
      <c r="AF152" s="889"/>
    </row>
    <row r="153" spans="1:32" x14ac:dyDescent="0.3">
      <c r="A153" s="368" t="s">
        <v>803</v>
      </c>
      <c r="B153" s="889" t="s">
        <v>1570</v>
      </c>
      <c r="C153" s="889"/>
      <c r="D153" s="889"/>
      <c r="E153" s="889"/>
      <c r="F153" s="889"/>
      <c r="G153" s="889"/>
      <c r="H153" s="889"/>
      <c r="I153" s="889"/>
      <c r="J153" s="889"/>
      <c r="K153" s="889"/>
      <c r="L153" s="889"/>
      <c r="M153" s="889"/>
      <c r="N153" s="889"/>
      <c r="O153" s="889"/>
      <c r="P153" s="889"/>
      <c r="Q153" s="889"/>
      <c r="R153" s="889"/>
      <c r="S153" s="889"/>
      <c r="T153" s="889"/>
      <c r="U153" s="889"/>
      <c r="V153" s="889"/>
      <c r="W153" s="889"/>
      <c r="X153" s="889"/>
      <c r="Y153" s="889"/>
      <c r="Z153" s="889"/>
      <c r="AA153" s="889"/>
      <c r="AB153" s="889"/>
      <c r="AC153" s="889"/>
      <c r="AD153" s="889"/>
      <c r="AE153" s="889"/>
      <c r="AF153" s="889"/>
    </row>
    <row r="154" spans="1:32" ht="33.75" customHeight="1" x14ac:dyDescent="0.3">
      <c r="A154" s="368" t="s">
        <v>803</v>
      </c>
      <c r="B154" s="889" t="s">
        <v>1850</v>
      </c>
      <c r="C154" s="889"/>
      <c r="D154" s="889"/>
      <c r="E154" s="889"/>
      <c r="F154" s="889"/>
      <c r="G154" s="889"/>
      <c r="H154" s="889"/>
      <c r="I154" s="889"/>
      <c r="J154" s="889"/>
      <c r="K154" s="889"/>
      <c r="L154" s="889"/>
      <c r="M154" s="889"/>
      <c r="N154" s="889"/>
      <c r="O154" s="889"/>
      <c r="P154" s="889"/>
      <c r="Q154" s="889"/>
      <c r="R154" s="889"/>
      <c r="S154" s="889"/>
      <c r="T154" s="889"/>
      <c r="U154" s="889"/>
      <c r="V154" s="889"/>
      <c r="W154" s="889"/>
      <c r="X154" s="889"/>
      <c r="Y154" s="889"/>
      <c r="Z154" s="889"/>
      <c r="AA154" s="889"/>
      <c r="AB154" s="889"/>
      <c r="AC154" s="889"/>
      <c r="AD154" s="889"/>
      <c r="AE154" s="889"/>
      <c r="AF154" s="889"/>
    </row>
    <row r="155" spans="1:32" x14ac:dyDescent="0.3">
      <c r="A155" s="368" t="s">
        <v>803</v>
      </c>
      <c r="B155" s="889" t="s">
        <v>1571</v>
      </c>
      <c r="C155" s="889"/>
      <c r="D155" s="889"/>
      <c r="E155" s="889"/>
      <c r="F155" s="889"/>
      <c r="G155" s="889"/>
      <c r="H155" s="889"/>
      <c r="I155" s="889"/>
      <c r="J155" s="889"/>
      <c r="K155" s="889"/>
      <c r="L155" s="889"/>
      <c r="M155" s="889"/>
      <c r="N155" s="889"/>
      <c r="O155" s="889"/>
      <c r="P155" s="889"/>
      <c r="Q155" s="889"/>
      <c r="R155" s="889"/>
      <c r="S155" s="889"/>
      <c r="T155" s="889"/>
      <c r="U155" s="889"/>
      <c r="V155" s="889"/>
      <c r="W155" s="889"/>
      <c r="X155" s="889"/>
      <c r="Y155" s="889"/>
      <c r="Z155" s="889"/>
      <c r="AA155" s="889"/>
      <c r="AB155" s="889"/>
      <c r="AC155" s="889"/>
      <c r="AD155" s="889"/>
      <c r="AE155" s="889"/>
      <c r="AF155" s="889"/>
    </row>
    <row r="156" spans="1:32" ht="30.6" customHeight="1" x14ac:dyDescent="0.3">
      <c r="A156" s="368" t="s">
        <v>803</v>
      </c>
      <c r="B156" s="889" t="s">
        <v>1885</v>
      </c>
      <c r="C156" s="889"/>
      <c r="D156" s="889"/>
      <c r="E156" s="889"/>
      <c r="F156" s="889"/>
      <c r="G156" s="889"/>
      <c r="H156" s="889"/>
      <c r="I156" s="889"/>
      <c r="J156" s="889"/>
      <c r="K156" s="889"/>
      <c r="L156" s="889"/>
      <c r="M156" s="889"/>
      <c r="N156" s="889"/>
      <c r="O156" s="889"/>
      <c r="P156" s="889"/>
      <c r="Q156" s="889"/>
      <c r="R156" s="889"/>
      <c r="S156" s="889"/>
      <c r="T156" s="889"/>
      <c r="U156" s="889"/>
      <c r="V156" s="889"/>
      <c r="W156" s="889"/>
      <c r="X156" s="889"/>
      <c r="Y156" s="889"/>
      <c r="Z156" s="889"/>
      <c r="AA156" s="889"/>
      <c r="AB156" s="889"/>
      <c r="AC156" s="889"/>
      <c r="AD156" s="889"/>
      <c r="AE156" s="889"/>
      <c r="AF156" s="889"/>
    </row>
    <row r="157" spans="1:32" ht="29.4" customHeight="1" x14ac:dyDescent="0.3">
      <c r="A157" s="368" t="s">
        <v>803</v>
      </c>
      <c r="B157" s="889" t="s">
        <v>1572</v>
      </c>
      <c r="C157" s="889"/>
      <c r="D157" s="889"/>
      <c r="E157" s="889"/>
      <c r="F157" s="889"/>
      <c r="G157" s="889"/>
      <c r="H157" s="889"/>
      <c r="I157" s="889"/>
      <c r="J157" s="889"/>
      <c r="K157" s="889"/>
      <c r="L157" s="889"/>
      <c r="M157" s="889"/>
      <c r="N157" s="889"/>
      <c r="O157" s="889"/>
      <c r="P157" s="889"/>
      <c r="Q157" s="889"/>
      <c r="R157" s="889"/>
      <c r="S157" s="889"/>
      <c r="T157" s="889"/>
      <c r="U157" s="889"/>
      <c r="V157" s="889"/>
      <c r="W157" s="889"/>
      <c r="X157" s="889"/>
      <c r="Y157" s="889"/>
      <c r="Z157" s="889"/>
      <c r="AA157" s="889"/>
      <c r="AB157" s="889"/>
      <c r="AC157" s="889"/>
      <c r="AD157" s="889"/>
      <c r="AE157" s="889"/>
      <c r="AF157" s="889"/>
    </row>
    <row r="158" spans="1:32" ht="30.6" customHeight="1" x14ac:dyDescent="0.3">
      <c r="A158" s="368" t="s">
        <v>803</v>
      </c>
      <c r="B158" s="889" t="s">
        <v>1573</v>
      </c>
      <c r="C158" s="889"/>
      <c r="D158" s="889"/>
      <c r="E158" s="889"/>
      <c r="F158" s="889"/>
      <c r="G158" s="889"/>
      <c r="H158" s="889"/>
      <c r="I158" s="889"/>
      <c r="J158" s="889"/>
      <c r="K158" s="889"/>
      <c r="L158" s="889"/>
      <c r="M158" s="889"/>
      <c r="N158" s="889"/>
      <c r="O158" s="889"/>
      <c r="P158" s="889"/>
      <c r="Q158" s="889"/>
      <c r="R158" s="889"/>
      <c r="S158" s="889"/>
      <c r="T158" s="889"/>
      <c r="U158" s="889"/>
      <c r="V158" s="889"/>
      <c r="W158" s="889"/>
      <c r="X158" s="889"/>
      <c r="Y158" s="889"/>
      <c r="Z158" s="889"/>
      <c r="AA158" s="889"/>
      <c r="AB158" s="889"/>
      <c r="AC158" s="889"/>
      <c r="AD158" s="889"/>
      <c r="AE158" s="889"/>
      <c r="AF158" s="889"/>
    </row>
    <row r="159" spans="1:32" ht="63" customHeight="1" x14ac:dyDescent="0.3">
      <c r="A159" s="368" t="s">
        <v>803</v>
      </c>
      <c r="B159" s="889" t="s">
        <v>2180</v>
      </c>
      <c r="C159" s="889"/>
      <c r="D159" s="889"/>
      <c r="E159" s="889"/>
      <c r="F159" s="889"/>
      <c r="G159" s="889"/>
      <c r="H159" s="889"/>
      <c r="I159" s="889"/>
      <c r="J159" s="889"/>
      <c r="K159" s="889"/>
      <c r="L159" s="889"/>
      <c r="M159" s="889"/>
      <c r="N159" s="889"/>
      <c r="O159" s="889"/>
      <c r="P159" s="889"/>
      <c r="Q159" s="889"/>
      <c r="R159" s="889"/>
      <c r="S159" s="889"/>
      <c r="T159" s="889"/>
      <c r="U159" s="889"/>
      <c r="V159" s="889"/>
      <c r="W159" s="889"/>
      <c r="X159" s="889"/>
      <c r="Y159" s="889"/>
      <c r="Z159" s="889"/>
      <c r="AA159" s="889"/>
      <c r="AB159" s="889"/>
      <c r="AC159" s="889"/>
      <c r="AD159" s="889"/>
      <c r="AE159" s="889"/>
      <c r="AF159" s="889"/>
    </row>
    <row r="160" spans="1:32" x14ac:dyDescent="0.3">
      <c r="A160" s="368" t="s">
        <v>803</v>
      </c>
      <c r="B160" s="889" t="s">
        <v>1832</v>
      </c>
      <c r="C160" s="889"/>
      <c r="D160" s="889"/>
      <c r="E160" s="889"/>
      <c r="F160" s="889"/>
      <c r="G160" s="889"/>
      <c r="H160" s="889"/>
      <c r="I160" s="889"/>
      <c r="J160" s="889"/>
      <c r="K160" s="889"/>
      <c r="L160" s="889"/>
      <c r="M160" s="889"/>
      <c r="N160" s="889"/>
      <c r="O160" s="889"/>
      <c r="P160" s="889"/>
      <c r="Q160" s="889"/>
      <c r="R160" s="889"/>
      <c r="S160" s="889"/>
      <c r="T160" s="889"/>
      <c r="U160" s="889"/>
      <c r="V160" s="889"/>
      <c r="W160" s="889"/>
      <c r="X160" s="889"/>
      <c r="Y160" s="889"/>
      <c r="Z160" s="889"/>
      <c r="AA160" s="889"/>
      <c r="AB160" s="889"/>
      <c r="AC160" s="889"/>
      <c r="AD160" s="889"/>
      <c r="AE160" s="889"/>
      <c r="AF160" s="889"/>
    </row>
    <row r="161" spans="1:32" ht="45.6" customHeight="1" x14ac:dyDescent="0.3">
      <c r="A161" s="368" t="s">
        <v>803</v>
      </c>
      <c r="B161" s="889" t="s">
        <v>1574</v>
      </c>
      <c r="C161" s="889"/>
      <c r="D161" s="889"/>
      <c r="E161" s="889"/>
      <c r="F161" s="889"/>
      <c r="G161" s="889"/>
      <c r="H161" s="889"/>
      <c r="I161" s="889"/>
      <c r="J161" s="889"/>
      <c r="K161" s="889"/>
      <c r="L161" s="889"/>
      <c r="M161" s="889"/>
      <c r="N161" s="889"/>
      <c r="O161" s="889"/>
      <c r="P161" s="889"/>
      <c r="Q161" s="889"/>
      <c r="R161" s="889"/>
      <c r="S161" s="889"/>
      <c r="T161" s="889"/>
      <c r="U161" s="889"/>
      <c r="V161" s="889"/>
      <c r="W161" s="889"/>
      <c r="X161" s="889"/>
      <c r="Y161" s="889"/>
      <c r="Z161" s="889"/>
      <c r="AA161" s="889"/>
      <c r="AB161" s="889"/>
      <c r="AC161" s="889"/>
      <c r="AD161" s="889"/>
      <c r="AE161" s="889"/>
      <c r="AF161" s="889"/>
    </row>
    <row r="162" spans="1:32" ht="29.4" customHeight="1" x14ac:dyDescent="0.3">
      <c r="A162" s="368" t="s">
        <v>803</v>
      </c>
      <c r="B162" s="889" t="s">
        <v>1352</v>
      </c>
      <c r="C162" s="889"/>
      <c r="D162" s="889"/>
      <c r="E162" s="889"/>
      <c r="F162" s="889"/>
      <c r="G162" s="889"/>
      <c r="H162" s="889"/>
      <c r="I162" s="889"/>
      <c r="J162" s="889"/>
      <c r="K162" s="889"/>
      <c r="L162" s="889"/>
      <c r="M162" s="889"/>
      <c r="N162" s="889"/>
      <c r="O162" s="889"/>
      <c r="P162" s="889"/>
      <c r="Q162" s="889"/>
      <c r="R162" s="889"/>
      <c r="S162" s="889"/>
      <c r="T162" s="889"/>
      <c r="U162" s="889"/>
      <c r="V162" s="889"/>
      <c r="W162" s="889"/>
      <c r="X162" s="889"/>
      <c r="Y162" s="889"/>
      <c r="Z162" s="889"/>
      <c r="AA162" s="889"/>
      <c r="AB162" s="889"/>
      <c r="AC162" s="889"/>
      <c r="AD162" s="889"/>
      <c r="AE162" s="889"/>
      <c r="AF162" s="889"/>
    </row>
    <row r="163" spans="1:32" ht="29.4" customHeight="1" x14ac:dyDescent="0.3">
      <c r="A163" s="368" t="s">
        <v>803</v>
      </c>
      <c r="B163" s="889" t="s">
        <v>1575</v>
      </c>
      <c r="C163" s="889"/>
      <c r="D163" s="889"/>
      <c r="E163" s="889"/>
      <c r="F163" s="889"/>
      <c r="G163" s="889"/>
      <c r="H163" s="889"/>
      <c r="I163" s="889"/>
      <c r="J163" s="889"/>
      <c r="K163" s="889"/>
      <c r="L163" s="889"/>
      <c r="M163" s="889"/>
      <c r="N163" s="889"/>
      <c r="O163" s="889"/>
      <c r="P163" s="889"/>
      <c r="Q163" s="889"/>
      <c r="R163" s="889"/>
      <c r="S163" s="889"/>
      <c r="T163" s="889"/>
      <c r="U163" s="889"/>
      <c r="V163" s="889"/>
      <c r="W163" s="889"/>
      <c r="X163" s="889"/>
      <c r="Y163" s="889"/>
      <c r="Z163" s="889"/>
      <c r="AA163" s="889"/>
      <c r="AB163" s="889"/>
      <c r="AC163" s="889"/>
      <c r="AD163" s="889"/>
      <c r="AE163" s="889"/>
      <c r="AF163" s="889"/>
    </row>
    <row r="164" spans="1:32" x14ac:dyDescent="0.3">
      <c r="A164" s="368" t="s">
        <v>803</v>
      </c>
      <c r="B164" s="889" t="s">
        <v>1510</v>
      </c>
      <c r="C164" s="889"/>
      <c r="D164" s="889"/>
      <c r="E164" s="889"/>
      <c r="F164" s="889"/>
      <c r="G164" s="889"/>
      <c r="H164" s="889"/>
      <c r="I164" s="889"/>
      <c r="J164" s="889"/>
      <c r="K164" s="889"/>
      <c r="L164" s="889"/>
      <c r="M164" s="889"/>
      <c r="N164" s="889"/>
      <c r="O164" s="889"/>
      <c r="P164" s="889"/>
      <c r="Q164" s="889"/>
      <c r="R164" s="889"/>
      <c r="S164" s="889"/>
      <c r="T164" s="889"/>
      <c r="U164" s="889"/>
      <c r="V164" s="889"/>
      <c r="W164" s="889"/>
      <c r="X164" s="889"/>
      <c r="Y164" s="889"/>
      <c r="Z164" s="889"/>
      <c r="AA164" s="889"/>
      <c r="AB164" s="889"/>
      <c r="AC164" s="889"/>
      <c r="AD164" s="889"/>
      <c r="AE164" s="889"/>
      <c r="AF164" s="889"/>
    </row>
    <row r="165" spans="1:32" ht="44.4" customHeight="1" x14ac:dyDescent="0.3">
      <c r="A165" s="368" t="s">
        <v>803</v>
      </c>
      <c r="B165" s="889" t="s">
        <v>1576</v>
      </c>
      <c r="C165" s="889"/>
      <c r="D165" s="889"/>
      <c r="E165" s="889"/>
      <c r="F165" s="889"/>
      <c r="G165" s="889"/>
      <c r="H165" s="889"/>
      <c r="I165" s="889"/>
      <c r="J165" s="889"/>
      <c r="K165" s="889"/>
      <c r="L165" s="889"/>
      <c r="M165" s="889"/>
      <c r="N165" s="889"/>
      <c r="O165" s="889"/>
      <c r="P165" s="889"/>
      <c r="Q165" s="889"/>
      <c r="R165" s="889"/>
      <c r="S165" s="889"/>
      <c r="T165" s="889"/>
      <c r="U165" s="889"/>
      <c r="V165" s="889"/>
      <c r="W165" s="889"/>
      <c r="X165" s="889"/>
      <c r="Y165" s="889"/>
      <c r="Z165" s="889"/>
      <c r="AA165" s="889"/>
      <c r="AB165" s="889"/>
      <c r="AC165" s="889"/>
      <c r="AD165" s="889"/>
      <c r="AE165" s="889"/>
      <c r="AF165" s="889"/>
    </row>
    <row r="166" spans="1:32" ht="38.25" customHeight="1" x14ac:dyDescent="0.3">
      <c r="A166" s="368" t="s">
        <v>803</v>
      </c>
      <c r="B166" s="889" t="s">
        <v>5664</v>
      </c>
      <c r="C166" s="889"/>
      <c r="D166" s="889"/>
      <c r="E166" s="889"/>
      <c r="F166" s="889"/>
      <c r="G166" s="889"/>
      <c r="H166" s="889"/>
      <c r="I166" s="889"/>
      <c r="J166" s="889"/>
      <c r="K166" s="889"/>
      <c r="L166" s="889"/>
      <c r="M166" s="889"/>
      <c r="N166" s="889"/>
      <c r="O166" s="889"/>
      <c r="P166" s="889"/>
      <c r="Q166" s="889"/>
      <c r="R166" s="889"/>
      <c r="S166" s="889"/>
      <c r="T166" s="889"/>
      <c r="U166" s="889"/>
      <c r="V166" s="889"/>
      <c r="W166" s="889"/>
      <c r="X166" s="889"/>
      <c r="Y166" s="889"/>
      <c r="Z166" s="889"/>
      <c r="AA166" s="889"/>
      <c r="AB166" s="889"/>
      <c r="AC166" s="889"/>
      <c r="AD166" s="889"/>
      <c r="AE166" s="889"/>
      <c r="AF166" s="889"/>
    </row>
    <row r="167" spans="1:32" ht="33" customHeight="1" x14ac:dyDescent="0.3">
      <c r="A167" s="368" t="s">
        <v>803</v>
      </c>
      <c r="B167" s="889" t="s">
        <v>1851</v>
      </c>
      <c r="C167" s="889"/>
      <c r="D167" s="889"/>
      <c r="E167" s="889"/>
      <c r="F167" s="889"/>
      <c r="G167" s="889"/>
      <c r="H167" s="889"/>
      <c r="I167" s="889"/>
      <c r="J167" s="889"/>
      <c r="K167" s="889"/>
      <c r="L167" s="889"/>
      <c r="M167" s="889"/>
      <c r="N167" s="889"/>
      <c r="O167" s="889"/>
      <c r="P167" s="889"/>
      <c r="Q167" s="889"/>
      <c r="R167" s="889"/>
      <c r="S167" s="889"/>
      <c r="T167" s="889"/>
      <c r="U167" s="889"/>
      <c r="V167" s="889"/>
      <c r="W167" s="889"/>
      <c r="X167" s="889"/>
      <c r="Y167" s="889"/>
      <c r="Z167" s="889"/>
      <c r="AA167" s="889"/>
      <c r="AB167" s="889"/>
      <c r="AC167" s="889"/>
      <c r="AD167" s="889"/>
      <c r="AE167" s="889"/>
      <c r="AF167" s="889"/>
    </row>
  </sheetData>
  <sheetProtection algorithmName="SHA-512" hashValue="YM/xD41PsWsEyP8KG0V0XpuAEKfxZAPgBlVMqEnX3eRNOe5+9R564dKqx6VG3Xuv7V2Gkb5Af6MjS//gYyF+Zg==" saltValue="PIItNZEj+Nya8A/q8VZkrg==" spinCount="100000" sheet="1" objects="1" scenarios="1"/>
  <mergeCells count="257">
    <mergeCell ref="B166:AF166"/>
    <mergeCell ref="B167:AF167"/>
    <mergeCell ref="U78:W78"/>
    <mergeCell ref="X78:AF78"/>
    <mergeCell ref="Q78:T78"/>
    <mergeCell ref="A78:D78"/>
    <mergeCell ref="E78:P78"/>
    <mergeCell ref="A76:D76"/>
    <mergeCell ref="E76:P76"/>
    <mergeCell ref="Q76:T76"/>
    <mergeCell ref="L85:P85"/>
    <mergeCell ref="L86:P86"/>
    <mergeCell ref="L87:P87"/>
    <mergeCell ref="L88:P88"/>
    <mergeCell ref="B84:F84"/>
    <mergeCell ref="L84:P84"/>
    <mergeCell ref="Q85:U85"/>
    <mergeCell ref="Q86:U86"/>
    <mergeCell ref="Q87:U87"/>
    <mergeCell ref="Q88:U88"/>
    <mergeCell ref="Q84:U84"/>
    <mergeCell ref="B85:F85"/>
    <mergeCell ref="B86:F86"/>
    <mergeCell ref="B87:F87"/>
    <mergeCell ref="A66:D66"/>
    <mergeCell ref="E66:P66"/>
    <mergeCell ref="Q66:T66"/>
    <mergeCell ref="U66:W66"/>
    <mergeCell ref="X66:AF66"/>
    <mergeCell ref="U77:W77"/>
    <mergeCell ref="X77:AF77"/>
    <mergeCell ref="U76:W76"/>
    <mergeCell ref="X76:AF76"/>
    <mergeCell ref="A77:D77"/>
    <mergeCell ref="E77:P77"/>
    <mergeCell ref="A73:D73"/>
    <mergeCell ref="E73:P73"/>
    <mergeCell ref="Q73:T73"/>
    <mergeCell ref="U73:W73"/>
    <mergeCell ref="X73:AF73"/>
    <mergeCell ref="Q74:T74"/>
    <mergeCell ref="U74:W74"/>
    <mergeCell ref="X74:AF74"/>
    <mergeCell ref="A75:D75"/>
    <mergeCell ref="E75:P75"/>
    <mergeCell ref="Q75:T75"/>
    <mergeCell ref="U75:W75"/>
    <mergeCell ref="X75:AF75"/>
    <mergeCell ref="I103:P103"/>
    <mergeCell ref="Q103:X103"/>
    <mergeCell ref="A105:H105"/>
    <mergeCell ref="A67:D67"/>
    <mergeCell ref="E67:P67"/>
    <mergeCell ref="Q67:T67"/>
    <mergeCell ref="U67:W67"/>
    <mergeCell ref="X67:AF67"/>
    <mergeCell ref="Q77:T77"/>
    <mergeCell ref="B96:F96"/>
    <mergeCell ref="B88:F88"/>
    <mergeCell ref="U68:W68"/>
    <mergeCell ref="X68:AF68"/>
    <mergeCell ref="G84:K84"/>
    <mergeCell ref="G85:K85"/>
    <mergeCell ref="G86:K86"/>
    <mergeCell ref="G87:K87"/>
    <mergeCell ref="G88:K88"/>
    <mergeCell ref="A74:D74"/>
    <mergeCell ref="E74:P74"/>
    <mergeCell ref="E68:P68"/>
    <mergeCell ref="G96:K96"/>
    <mergeCell ref="AA94:AE94"/>
    <mergeCell ref="AA96:AE96"/>
    <mergeCell ref="A1:AF1"/>
    <mergeCell ref="A7:AF7"/>
    <mergeCell ref="B9:I9"/>
    <mergeCell ref="B10:AF10"/>
    <mergeCell ref="B12:I12"/>
    <mergeCell ref="B13:AF13"/>
    <mergeCell ref="A62:AF62"/>
    <mergeCell ref="A63:D63"/>
    <mergeCell ref="E63:P63"/>
    <mergeCell ref="Q63:T63"/>
    <mergeCell ref="U63:W63"/>
    <mergeCell ref="X63:AF63"/>
    <mergeCell ref="B27:AF27"/>
    <mergeCell ref="A29:AF29"/>
    <mergeCell ref="B16:I16"/>
    <mergeCell ref="B17:AF17"/>
    <mergeCell ref="B19:I19"/>
    <mergeCell ref="A3:AF3"/>
    <mergeCell ref="B5:AF5"/>
    <mergeCell ref="B14:AF14"/>
    <mergeCell ref="B20:AF20"/>
    <mergeCell ref="B22:AF22"/>
    <mergeCell ref="B24:AF24"/>
    <mergeCell ref="X65:AF65"/>
    <mergeCell ref="B26:J26"/>
    <mergeCell ref="A72:D72"/>
    <mergeCell ref="E72:P72"/>
    <mergeCell ref="Q72:T72"/>
    <mergeCell ref="U72:W72"/>
    <mergeCell ref="X72:AF72"/>
    <mergeCell ref="A69:D69"/>
    <mergeCell ref="E69:P69"/>
    <mergeCell ref="Q69:T69"/>
    <mergeCell ref="U69:W69"/>
    <mergeCell ref="X69:AF69"/>
    <mergeCell ref="A64:D64"/>
    <mergeCell ref="E64:P64"/>
    <mergeCell ref="Q64:T64"/>
    <mergeCell ref="U64:W64"/>
    <mergeCell ref="X64:AF64"/>
    <mergeCell ref="A68:D68"/>
    <mergeCell ref="A71:D71"/>
    <mergeCell ref="Q68:T68"/>
    <mergeCell ref="A65:D65"/>
    <mergeCell ref="E65:P65"/>
    <mergeCell ref="Q65:T65"/>
    <mergeCell ref="U65:W65"/>
    <mergeCell ref="V85:Z85"/>
    <mergeCell ref="V86:Z86"/>
    <mergeCell ref="V87:Z87"/>
    <mergeCell ref="V88:Z88"/>
    <mergeCell ref="AA84:AE84"/>
    <mergeCell ref="AA85:AE85"/>
    <mergeCell ref="AA86:AE86"/>
    <mergeCell ref="AA87:AE87"/>
    <mergeCell ref="AA88:AE88"/>
    <mergeCell ref="V84:Z84"/>
    <mergeCell ref="B91:AE91"/>
    <mergeCell ref="L96:P96"/>
    <mergeCell ref="Q96:U96"/>
    <mergeCell ref="V96:Z96"/>
    <mergeCell ref="B94:F94"/>
    <mergeCell ref="G94:K94"/>
    <mergeCell ref="L94:P94"/>
    <mergeCell ref="Q94:U94"/>
    <mergeCell ref="V95:Z95"/>
    <mergeCell ref="AA95:AE95"/>
    <mergeCell ref="Y105:AF105"/>
    <mergeCell ref="Y106:AF106"/>
    <mergeCell ref="A120:AF120"/>
    <mergeCell ref="A124:H124"/>
    <mergeCell ref="I124:P124"/>
    <mergeCell ref="Q124:X124"/>
    <mergeCell ref="Y124:AF124"/>
    <mergeCell ref="D112:H112"/>
    <mergeCell ref="W112:Y112"/>
    <mergeCell ref="AD112:AF112"/>
    <mergeCell ref="I114:P114"/>
    <mergeCell ref="Q114:X114"/>
    <mergeCell ref="Y116:AF116"/>
    <mergeCell ref="A117:H117"/>
    <mergeCell ref="A106:H106"/>
    <mergeCell ref="I106:L106"/>
    <mergeCell ref="M106:P106"/>
    <mergeCell ref="Q106:T106"/>
    <mergeCell ref="U106:X106"/>
    <mergeCell ref="A114:H115"/>
    <mergeCell ref="Y114:AF115"/>
    <mergeCell ref="I115:L115"/>
    <mergeCell ref="M115:P115"/>
    <mergeCell ref="Q115:T115"/>
    <mergeCell ref="B145:AF145"/>
    <mergeCell ref="B146:AF146"/>
    <mergeCell ref="Y134:AF134"/>
    <mergeCell ref="A135:H135"/>
    <mergeCell ref="I135:P135"/>
    <mergeCell ref="Q135:X135"/>
    <mergeCell ref="Y135:AF135"/>
    <mergeCell ref="A136:H136"/>
    <mergeCell ref="I136:P136"/>
    <mergeCell ref="Q136:X136"/>
    <mergeCell ref="Y136:AF136"/>
    <mergeCell ref="A134:H134"/>
    <mergeCell ref="I134:P134"/>
    <mergeCell ref="Q134:X134"/>
    <mergeCell ref="B142:AF142"/>
    <mergeCell ref="B143:AF143"/>
    <mergeCell ref="B144:AF144"/>
    <mergeCell ref="A139:AF139"/>
    <mergeCell ref="B141:AF141"/>
    <mergeCell ref="B159:AF159"/>
    <mergeCell ref="B165:AF165"/>
    <mergeCell ref="B147:AF147"/>
    <mergeCell ref="B148:AF148"/>
    <mergeCell ref="B150:AF150"/>
    <mergeCell ref="B151:AF151"/>
    <mergeCell ref="B153:AF153"/>
    <mergeCell ref="B155:AF155"/>
    <mergeCell ref="B156:AF156"/>
    <mergeCell ref="B157:AF157"/>
    <mergeCell ref="B158:AF158"/>
    <mergeCell ref="B160:AF160"/>
    <mergeCell ref="B161:AF161"/>
    <mergeCell ref="B162:AF162"/>
    <mergeCell ref="B163:AF163"/>
    <mergeCell ref="B164:AF164"/>
    <mergeCell ref="B152:AF152"/>
    <mergeCell ref="B149:AF149"/>
    <mergeCell ref="B154:AF154"/>
    <mergeCell ref="E71:P71"/>
    <mergeCell ref="Q71:T71"/>
    <mergeCell ref="U71:W71"/>
    <mergeCell ref="X71:AF71"/>
    <mergeCell ref="A70:D70"/>
    <mergeCell ref="E70:P70"/>
    <mergeCell ref="Q70:T70"/>
    <mergeCell ref="U70:W70"/>
    <mergeCell ref="X70:AF70"/>
    <mergeCell ref="A79:AF79"/>
    <mergeCell ref="A103:H104"/>
    <mergeCell ref="Y103:AF104"/>
    <mergeCell ref="I104:L104"/>
    <mergeCell ref="M104:P104"/>
    <mergeCell ref="Q104:T104"/>
    <mergeCell ref="U104:X104"/>
    <mergeCell ref="I105:L105"/>
    <mergeCell ref="M105:P105"/>
    <mergeCell ref="Q105:T105"/>
    <mergeCell ref="U105:X105"/>
    <mergeCell ref="A80:AF80"/>
    <mergeCell ref="A99:AF99"/>
    <mergeCell ref="B97:AE97"/>
    <mergeCell ref="L89:P89"/>
    <mergeCell ref="Q89:U89"/>
    <mergeCell ref="V89:Z89"/>
    <mergeCell ref="AA89:AE89"/>
    <mergeCell ref="B89:K89"/>
    <mergeCell ref="V94:Z94"/>
    <mergeCell ref="B95:F95"/>
    <mergeCell ref="G95:K95"/>
    <mergeCell ref="L95:P95"/>
    <mergeCell ref="Q95:U95"/>
    <mergeCell ref="U115:X115"/>
    <mergeCell ref="A116:H116"/>
    <mergeCell ref="Y117:AF117"/>
    <mergeCell ref="P112:R112"/>
    <mergeCell ref="D132:H132"/>
    <mergeCell ref="Y132:AA132"/>
    <mergeCell ref="A125:H125"/>
    <mergeCell ref="I125:P125"/>
    <mergeCell ref="Q125:X125"/>
    <mergeCell ref="Y125:AF125"/>
    <mergeCell ref="A126:H126"/>
    <mergeCell ref="I126:P126"/>
    <mergeCell ref="Q126:X126"/>
    <mergeCell ref="Y126:AF126"/>
    <mergeCell ref="I116:L116"/>
    <mergeCell ref="M116:P116"/>
    <mergeCell ref="Q116:T116"/>
    <mergeCell ref="U116:X116"/>
    <mergeCell ref="I117:L117"/>
    <mergeCell ref="M117:P117"/>
    <mergeCell ref="Q117:T117"/>
    <mergeCell ref="U117:X117"/>
    <mergeCell ref="Q132:S132"/>
  </mergeCells>
  <hyperlinks>
    <hyperlink ref="A2" location="TOC!A1" display="Return to TOC" xr:uid="{00000000-0004-0000-56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3:AF34 AF53 AF37:AF40 AF57:AF59 AF47:AF49 AF43:AF44 AF41:AF42 AF45"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600-000000000000}">
          <x14:formula1>
            <xm:f>Dropdown!$A$6:$A$9</xm:f>
          </x14:formula1>
          <xm:sqref>D132:H132 D112:K112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2">
    <pageSetUpPr autoPageBreaks="0" fitToPage="1"/>
  </sheetPr>
  <dimension ref="A1:AP302"/>
  <sheetViews>
    <sheetView zoomScaleNormal="100" workbookViewId="0">
      <selection activeCell="A2" sqref="A2"/>
    </sheetView>
  </sheetViews>
  <sheetFormatPr defaultColWidth="2.6640625" defaultRowHeight="14.4" x14ac:dyDescent="0.3"/>
  <cols>
    <col min="8" max="8" width="2.6640625" customWidth="1"/>
    <col min="32" max="32" width="2.6640625" customWidth="1"/>
  </cols>
  <sheetData>
    <row r="1" spans="1:32" ht="18" customHeight="1" thickBot="1" x14ac:dyDescent="0.35">
      <c r="A1" s="979" t="s">
        <v>806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row>
    <row r="2" spans="1:32" x14ac:dyDescent="0.3">
      <c r="A2" s="228" t="s">
        <v>1456</v>
      </c>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33.75" customHeight="1" x14ac:dyDescent="0.3">
      <c r="A5" s="121"/>
      <c r="B5" s="889" t="s">
        <v>5955</v>
      </c>
      <c r="C5" s="889"/>
      <c r="D5" s="889"/>
      <c r="E5" s="889"/>
      <c r="F5" s="889"/>
      <c r="G5" s="889"/>
      <c r="H5" s="889"/>
      <c r="I5" s="889"/>
      <c r="J5" s="889"/>
      <c r="K5" s="889"/>
      <c r="L5" s="889"/>
      <c r="M5" s="889"/>
      <c r="N5" s="889"/>
      <c r="O5" s="889"/>
      <c r="P5" s="889"/>
      <c r="Q5" s="889"/>
      <c r="R5" s="889"/>
      <c r="S5" s="889"/>
      <c r="T5" s="889"/>
      <c r="U5" s="889"/>
      <c r="V5" s="889"/>
      <c r="W5" s="889"/>
      <c r="X5" s="889"/>
      <c r="Y5" s="889"/>
      <c r="Z5" s="889"/>
      <c r="AA5" s="889"/>
      <c r="AB5" s="889"/>
      <c r="AC5" s="889"/>
      <c r="AD5" s="889"/>
      <c r="AE5" s="889"/>
      <c r="AF5" s="889"/>
    </row>
    <row r="6" spans="1:32" ht="14.4" customHeight="1" x14ac:dyDescent="0.3">
      <c r="A6" s="228"/>
    </row>
    <row r="7" spans="1:32" x14ac:dyDescent="0.3">
      <c r="A7" s="958" t="s">
        <v>2130</v>
      </c>
      <c r="B7" s="959"/>
      <c r="C7" s="959"/>
      <c r="D7" s="959"/>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60"/>
    </row>
    <row r="8" spans="1:32" ht="63.75" customHeight="1" x14ac:dyDescent="0.3">
      <c r="A8" s="868" t="s">
        <v>3442</v>
      </c>
      <c r="B8" s="868"/>
      <c r="C8" s="868"/>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row>
    <row r="9" spans="1:32"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row>
    <row r="10" spans="1:32" x14ac:dyDescent="0.3">
      <c r="A10" s="981" t="s">
        <v>3431</v>
      </c>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row>
    <row r="11" spans="1:32" ht="141.9" customHeight="1" x14ac:dyDescent="0.3">
      <c r="A11" s="863" t="s">
        <v>5613</v>
      </c>
      <c r="B11" s="863"/>
      <c r="C11" s="863"/>
      <c r="D11" s="863"/>
      <c r="E11" s="863"/>
      <c r="F11" s="863"/>
      <c r="G11" s="863"/>
      <c r="H11" s="863"/>
      <c r="I11" s="863"/>
      <c r="J11" s="863"/>
      <c r="K11" s="863"/>
      <c r="L11" s="863"/>
      <c r="M11" s="863"/>
      <c r="N11" s="863"/>
      <c r="O11" s="863"/>
      <c r="P11" s="863"/>
      <c r="Q11" s="863"/>
      <c r="R11" s="863"/>
      <c r="S11" s="863"/>
      <c r="T11" s="863"/>
      <c r="U11" s="863"/>
      <c r="V11" s="863"/>
      <c r="W11" s="863"/>
      <c r="X11" s="863"/>
      <c r="Y11" s="863"/>
      <c r="Z11" s="863"/>
      <c r="AA11" s="863"/>
      <c r="AB11" s="863"/>
      <c r="AC11" s="863"/>
      <c r="AD11" s="863"/>
      <c r="AE11" s="863"/>
      <c r="AF11" s="863"/>
    </row>
    <row r="12" spans="1:32" ht="81" customHeight="1" x14ac:dyDescent="0.3">
      <c r="A12" s="368" t="s">
        <v>803</v>
      </c>
      <c r="B12" s="953" t="s">
        <v>3441</v>
      </c>
      <c r="C12" s="953"/>
      <c r="D12" s="953"/>
      <c r="E12" s="953"/>
      <c r="F12" s="953"/>
      <c r="G12" s="953"/>
      <c r="H12" s="953"/>
      <c r="I12" s="953"/>
      <c r="J12" s="953"/>
      <c r="K12" s="953"/>
      <c r="L12" s="953"/>
      <c r="M12" s="953"/>
      <c r="N12" s="953"/>
      <c r="O12" s="953"/>
      <c r="P12" s="953"/>
      <c r="Q12" s="953"/>
      <c r="R12" s="953"/>
      <c r="S12" s="953"/>
      <c r="T12" s="953"/>
      <c r="U12" s="953"/>
      <c r="V12" s="953"/>
      <c r="W12" s="953"/>
      <c r="X12" s="953"/>
      <c r="Y12" s="953"/>
      <c r="Z12" s="953"/>
      <c r="AA12" s="953"/>
      <c r="AB12" s="953"/>
      <c r="AC12" s="953"/>
      <c r="AD12" s="953"/>
      <c r="AE12" s="953"/>
      <c r="AF12" s="953"/>
    </row>
    <row r="13" spans="1:32" ht="49.5" customHeight="1" x14ac:dyDescent="0.3">
      <c r="A13" s="368" t="s">
        <v>803</v>
      </c>
      <c r="B13" s="953" t="s">
        <v>3420</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4" spans="1:32" ht="33.75" customHeight="1" x14ac:dyDescent="0.3">
      <c r="A14" s="368" t="s">
        <v>803</v>
      </c>
      <c r="B14" s="953" t="s">
        <v>5611</v>
      </c>
      <c r="C14" s="953"/>
      <c r="D14" s="953"/>
      <c r="E14" s="953"/>
      <c r="F14" s="953"/>
      <c r="G14" s="953"/>
      <c r="H14" s="953"/>
      <c r="I14" s="953"/>
      <c r="J14" s="953"/>
      <c r="K14" s="953"/>
      <c r="L14" s="953"/>
      <c r="M14" s="953"/>
      <c r="N14" s="953"/>
      <c r="O14" s="953"/>
      <c r="P14" s="953"/>
      <c r="Q14" s="953"/>
      <c r="R14" s="953"/>
      <c r="S14" s="953"/>
      <c r="T14" s="953"/>
      <c r="U14" s="953"/>
      <c r="V14" s="953"/>
      <c r="W14" s="953"/>
      <c r="X14" s="953"/>
      <c r="Y14" s="953"/>
      <c r="Z14" s="953"/>
      <c r="AA14" s="953"/>
      <c r="AB14" s="953"/>
      <c r="AC14" s="953"/>
      <c r="AD14" s="953"/>
      <c r="AE14" s="953"/>
      <c r="AF14" s="953"/>
    </row>
    <row r="15" spans="1:32" x14ac:dyDescent="0.3">
      <c r="A15" s="368"/>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row>
    <row r="16" spans="1:32" ht="120.75" customHeight="1" x14ac:dyDescent="0.3">
      <c r="A16" s="952" t="s">
        <v>5612</v>
      </c>
      <c r="B16" s="952"/>
      <c r="C16" s="952"/>
      <c r="D16" s="952"/>
      <c r="E16" s="952"/>
      <c r="F16" s="952"/>
      <c r="G16" s="952"/>
      <c r="H16" s="952"/>
      <c r="I16" s="952"/>
      <c r="J16" s="952"/>
      <c r="K16" s="952"/>
      <c r="L16" s="952"/>
      <c r="M16" s="952"/>
      <c r="N16" s="952"/>
      <c r="O16" s="952"/>
      <c r="P16" s="952"/>
      <c r="Q16" s="952"/>
      <c r="R16" s="952"/>
      <c r="S16" s="952"/>
      <c r="T16" s="952"/>
      <c r="U16" s="952"/>
      <c r="V16" s="952"/>
      <c r="W16" s="952"/>
      <c r="X16" s="952"/>
      <c r="Y16" s="952"/>
      <c r="Z16" s="952"/>
      <c r="AA16" s="952"/>
      <c r="AB16" s="952"/>
      <c r="AC16" s="952"/>
      <c r="AD16" s="952"/>
      <c r="AE16" s="952"/>
      <c r="AF16" s="952"/>
    </row>
    <row r="17" spans="1:32" x14ac:dyDescent="0.3">
      <c r="A17" s="368"/>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7"/>
      <c r="AF17" s="127"/>
    </row>
    <row r="18" spans="1:32" ht="14.4" customHeight="1" x14ac:dyDescent="0.3">
      <c r="B18" s="315" t="s">
        <v>3429</v>
      </c>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row>
    <row r="19" spans="1:32" ht="16.2" x14ac:dyDescent="0.3">
      <c r="A19" s="368"/>
      <c r="B19" s="951" t="s">
        <v>1495</v>
      </c>
      <c r="C19" s="951"/>
      <c r="D19" s="951"/>
      <c r="E19" s="951" t="s">
        <v>3421</v>
      </c>
      <c r="F19" s="951"/>
      <c r="G19" s="951" t="s">
        <v>3425</v>
      </c>
      <c r="H19" s="951"/>
      <c r="I19" s="951"/>
      <c r="J19" s="951" t="s">
        <v>11</v>
      </c>
      <c r="K19" s="951"/>
      <c r="L19" s="951"/>
      <c r="M19" s="951"/>
      <c r="N19" s="951"/>
      <c r="O19" s="125"/>
      <c r="P19" s="125"/>
      <c r="Q19" s="125"/>
      <c r="R19" s="125"/>
      <c r="S19" s="125"/>
      <c r="T19" s="125"/>
      <c r="U19" s="125"/>
      <c r="V19" s="125"/>
      <c r="W19" s="125"/>
      <c r="X19" s="125"/>
      <c r="Y19" s="125"/>
      <c r="Z19" s="125"/>
      <c r="AA19" s="125"/>
      <c r="AB19" s="125"/>
      <c r="AC19" s="125"/>
      <c r="AD19" s="125"/>
      <c r="AE19" s="125"/>
      <c r="AF19" s="125"/>
    </row>
    <row r="20" spans="1:32" x14ac:dyDescent="0.3">
      <c r="A20" s="368"/>
      <c r="B20" s="949" t="s">
        <v>657</v>
      </c>
      <c r="C20" s="949"/>
      <c r="D20" s="949"/>
      <c r="E20" s="950" t="s">
        <v>5617</v>
      </c>
      <c r="F20" s="950"/>
      <c r="G20" s="950">
        <v>213</v>
      </c>
      <c r="H20" s="950"/>
      <c r="I20" s="950"/>
      <c r="J20" s="951" t="s">
        <v>5614</v>
      </c>
      <c r="K20" s="951"/>
      <c r="L20" s="951"/>
      <c r="M20" s="951"/>
      <c r="N20" s="951"/>
      <c r="O20" s="125"/>
      <c r="P20" s="125"/>
      <c r="Q20" s="125"/>
      <c r="R20" s="125"/>
      <c r="S20" s="125"/>
      <c r="T20" s="125"/>
      <c r="U20" s="125"/>
      <c r="V20" s="125"/>
      <c r="W20" s="125"/>
      <c r="X20" s="125"/>
      <c r="Y20" s="125"/>
      <c r="Z20" s="125"/>
      <c r="AA20" s="125"/>
      <c r="AB20" s="125"/>
      <c r="AC20" s="125"/>
      <c r="AD20" s="125"/>
      <c r="AE20" s="125"/>
      <c r="AF20" s="125"/>
    </row>
    <row r="21" spans="1:32" x14ac:dyDescent="0.3">
      <c r="A21" s="368"/>
      <c r="B21" s="949"/>
      <c r="C21" s="949"/>
      <c r="D21" s="949"/>
      <c r="E21" s="950" t="s">
        <v>5618</v>
      </c>
      <c r="F21" s="950"/>
      <c r="G21" s="950">
        <v>218</v>
      </c>
      <c r="H21" s="950"/>
      <c r="I21" s="950"/>
      <c r="J21" s="951" t="s">
        <v>5615</v>
      </c>
      <c r="K21" s="951"/>
      <c r="L21" s="951"/>
      <c r="M21" s="951"/>
      <c r="N21" s="951"/>
      <c r="O21" s="125"/>
      <c r="P21" s="125"/>
      <c r="Q21" s="125"/>
      <c r="R21" s="125"/>
      <c r="S21" s="125"/>
      <c r="T21" s="125"/>
      <c r="U21" s="125"/>
      <c r="V21" s="125"/>
      <c r="W21" s="125"/>
      <c r="X21" s="125"/>
      <c r="Y21" s="125"/>
      <c r="Z21" s="125"/>
      <c r="AA21" s="125"/>
      <c r="AB21" s="125"/>
      <c r="AC21" s="125"/>
      <c r="AD21" s="125"/>
      <c r="AE21" s="125"/>
      <c r="AF21" s="125"/>
    </row>
    <row r="22" spans="1:32" x14ac:dyDescent="0.3">
      <c r="A22" s="368"/>
      <c r="B22" s="949"/>
      <c r="C22" s="949"/>
      <c r="D22" s="949"/>
      <c r="E22" s="950" t="s">
        <v>5619</v>
      </c>
      <c r="F22" s="950"/>
      <c r="G22" s="950">
        <v>223</v>
      </c>
      <c r="H22" s="950"/>
      <c r="I22" s="950"/>
      <c r="J22" s="951" t="s">
        <v>5616</v>
      </c>
      <c r="K22" s="951"/>
      <c r="L22" s="951"/>
      <c r="M22" s="951"/>
      <c r="N22" s="951"/>
      <c r="O22" s="125"/>
      <c r="P22" s="125"/>
      <c r="Q22" s="125"/>
      <c r="R22" s="125"/>
      <c r="S22" s="125"/>
      <c r="T22" s="125"/>
      <c r="U22" s="125"/>
      <c r="V22" s="125"/>
      <c r="W22" s="125"/>
      <c r="X22" s="125"/>
      <c r="Y22" s="125"/>
      <c r="Z22" s="125"/>
      <c r="AA22" s="125"/>
      <c r="AB22" s="125"/>
      <c r="AC22" s="125"/>
      <c r="AD22" s="125"/>
      <c r="AE22" s="125"/>
      <c r="AF22" s="125"/>
    </row>
    <row r="23" spans="1:32" x14ac:dyDescent="0.3">
      <c r="A23" s="368"/>
      <c r="B23" s="949" t="s">
        <v>658</v>
      </c>
      <c r="C23" s="949"/>
      <c r="D23" s="949"/>
      <c r="E23" s="950" t="s">
        <v>5617</v>
      </c>
      <c r="F23" s="950"/>
      <c r="G23" s="950">
        <v>621</v>
      </c>
      <c r="H23" s="950"/>
      <c r="I23" s="950"/>
      <c r="J23" s="951" t="s">
        <v>5614</v>
      </c>
      <c r="K23" s="951"/>
      <c r="L23" s="951"/>
      <c r="M23" s="951"/>
      <c r="N23" s="951"/>
      <c r="O23" s="125"/>
      <c r="P23" s="125"/>
      <c r="Q23" s="125"/>
      <c r="R23" s="125"/>
      <c r="S23" s="125"/>
      <c r="T23" s="125"/>
      <c r="U23" s="125"/>
      <c r="V23" s="125"/>
      <c r="W23" s="125"/>
      <c r="X23" s="125"/>
      <c r="Y23" s="125"/>
      <c r="Z23" s="125"/>
      <c r="AA23" s="125"/>
      <c r="AB23" s="125"/>
      <c r="AC23" s="125"/>
      <c r="AD23" s="125"/>
      <c r="AE23" s="125"/>
      <c r="AF23" s="125"/>
    </row>
    <row r="24" spans="1:32" x14ac:dyDescent="0.3">
      <c r="A24" s="368"/>
      <c r="B24" s="949"/>
      <c r="C24" s="949"/>
      <c r="D24" s="949"/>
      <c r="E24" s="950" t="s">
        <v>5618</v>
      </c>
      <c r="F24" s="950"/>
      <c r="G24" s="950">
        <v>635</v>
      </c>
      <c r="H24" s="950"/>
      <c r="I24" s="950"/>
      <c r="J24" s="951" t="s">
        <v>5615</v>
      </c>
      <c r="K24" s="951"/>
      <c r="L24" s="951"/>
      <c r="M24" s="951"/>
      <c r="N24" s="951"/>
      <c r="O24" s="125"/>
      <c r="P24" s="125"/>
      <c r="Q24" s="125"/>
      <c r="R24" s="125"/>
      <c r="S24" s="125"/>
      <c r="T24" s="125"/>
      <c r="U24" s="125"/>
      <c r="V24" s="125"/>
      <c r="W24" s="125"/>
      <c r="X24" s="125"/>
      <c r="Y24" s="125"/>
      <c r="Z24" s="125"/>
      <c r="AA24" s="125"/>
      <c r="AB24" s="125"/>
      <c r="AC24" s="125"/>
      <c r="AD24" s="125"/>
      <c r="AE24" s="125"/>
      <c r="AF24" s="125"/>
    </row>
    <row r="25" spans="1:32" x14ac:dyDescent="0.3">
      <c r="A25" s="368"/>
      <c r="B25" s="949"/>
      <c r="C25" s="949"/>
      <c r="D25" s="949"/>
      <c r="E25" s="950" t="s">
        <v>5619</v>
      </c>
      <c r="F25" s="950"/>
      <c r="G25" s="950">
        <v>650</v>
      </c>
      <c r="H25" s="950"/>
      <c r="I25" s="950"/>
      <c r="J25" s="951" t="s">
        <v>5616</v>
      </c>
      <c r="K25" s="951"/>
      <c r="L25" s="951"/>
      <c r="M25" s="951"/>
      <c r="N25" s="951"/>
      <c r="O25" s="125"/>
      <c r="P25" s="125"/>
      <c r="Q25" s="125"/>
      <c r="R25" s="125"/>
      <c r="S25" s="125"/>
      <c r="T25" s="125"/>
      <c r="U25" s="125"/>
      <c r="V25" s="125"/>
      <c r="W25" s="125"/>
      <c r="X25" s="125"/>
      <c r="Y25" s="125"/>
      <c r="Z25" s="125"/>
      <c r="AA25" s="125"/>
      <c r="AB25" s="125"/>
      <c r="AC25" s="125"/>
      <c r="AD25" s="125"/>
      <c r="AE25" s="125"/>
      <c r="AF25" s="125"/>
    </row>
    <row r="26" spans="1:32" x14ac:dyDescent="0.3">
      <c r="A26" s="368"/>
      <c r="B26" s="949" t="s">
        <v>3424</v>
      </c>
      <c r="C26" s="949"/>
      <c r="D26" s="949"/>
      <c r="E26" s="950" t="s">
        <v>5617</v>
      </c>
      <c r="F26" s="950"/>
      <c r="G26" s="950">
        <v>0</v>
      </c>
      <c r="H26" s="950"/>
      <c r="I26" s="950"/>
      <c r="J26" s="951" t="s">
        <v>5614</v>
      </c>
      <c r="K26" s="951"/>
      <c r="L26" s="951"/>
      <c r="M26" s="951"/>
      <c r="N26" s="951"/>
      <c r="O26" s="125"/>
      <c r="P26" s="125"/>
      <c r="Q26" s="125"/>
      <c r="R26" s="125"/>
      <c r="S26" s="125"/>
      <c r="T26" s="125"/>
      <c r="U26" s="125"/>
      <c r="V26" s="125"/>
      <c r="W26" s="125"/>
      <c r="X26" s="125"/>
      <c r="Y26" s="125"/>
      <c r="Z26" s="125"/>
      <c r="AA26" s="125"/>
      <c r="AB26" s="125"/>
      <c r="AC26" s="125"/>
      <c r="AD26" s="125"/>
      <c r="AE26" s="125"/>
      <c r="AF26" s="125"/>
    </row>
    <row r="27" spans="1:32" x14ac:dyDescent="0.3">
      <c r="A27" s="368"/>
      <c r="B27" s="949"/>
      <c r="C27" s="949"/>
      <c r="D27" s="949"/>
      <c r="E27" s="950" t="s">
        <v>5618</v>
      </c>
      <c r="F27" s="950"/>
      <c r="G27" s="950">
        <v>0</v>
      </c>
      <c r="H27" s="950"/>
      <c r="I27" s="950"/>
      <c r="J27" s="951" t="s">
        <v>5615</v>
      </c>
      <c r="K27" s="951"/>
      <c r="L27" s="951"/>
      <c r="M27" s="951"/>
      <c r="N27" s="951"/>
      <c r="O27" s="125"/>
      <c r="P27" s="125"/>
      <c r="Q27" s="125"/>
      <c r="R27" s="125"/>
      <c r="S27" s="125"/>
      <c r="T27" s="125"/>
      <c r="U27" s="125"/>
      <c r="V27" s="125"/>
      <c r="W27" s="125"/>
      <c r="X27" s="125"/>
      <c r="Y27" s="125"/>
      <c r="Z27" s="125"/>
      <c r="AA27" s="125"/>
      <c r="AB27" s="125"/>
      <c r="AC27" s="125"/>
      <c r="AD27" s="125"/>
      <c r="AE27" s="125"/>
      <c r="AF27" s="125"/>
    </row>
    <row r="28" spans="1:32" x14ac:dyDescent="0.3">
      <c r="A28" s="368"/>
      <c r="B28" s="949"/>
      <c r="C28" s="949"/>
      <c r="D28" s="949"/>
      <c r="E28" s="950" t="s">
        <v>5619</v>
      </c>
      <c r="F28" s="950"/>
      <c r="G28" s="950">
        <v>0</v>
      </c>
      <c r="H28" s="950"/>
      <c r="I28" s="950"/>
      <c r="J28" s="951" t="s">
        <v>5616</v>
      </c>
      <c r="K28" s="951"/>
      <c r="L28" s="951"/>
      <c r="M28" s="951"/>
      <c r="N28" s="951"/>
      <c r="O28" s="125"/>
      <c r="P28" s="125"/>
      <c r="Q28" s="125"/>
      <c r="R28" s="125"/>
      <c r="S28" s="125"/>
      <c r="T28" s="125"/>
      <c r="U28" s="125"/>
      <c r="V28" s="125"/>
      <c r="W28" s="125"/>
      <c r="X28" s="125"/>
      <c r="Y28" s="125"/>
      <c r="Z28" s="125"/>
      <c r="AA28" s="125"/>
      <c r="AB28" s="125"/>
      <c r="AC28" s="125"/>
      <c r="AD28" s="125"/>
      <c r="AE28" s="125"/>
      <c r="AF28" s="125"/>
    </row>
    <row r="29" spans="1:32" s="235" customFormat="1" ht="13.5" customHeight="1" x14ac:dyDescent="0.25">
      <c r="A29" s="462"/>
      <c r="B29" s="235" t="s">
        <v>3440</v>
      </c>
      <c r="H29" s="946">
        <v>2.3E-2</v>
      </c>
      <c r="I29" s="946"/>
      <c r="J29" s="947" t="s">
        <v>3430</v>
      </c>
      <c r="K29" s="947"/>
      <c r="L29" s="947"/>
      <c r="M29" s="947"/>
      <c r="N29" s="947"/>
      <c r="O29" s="947"/>
      <c r="P29" s="947"/>
      <c r="Q29" s="947"/>
      <c r="R29" s="947"/>
      <c r="S29" s="947"/>
      <c r="T29" s="947"/>
      <c r="U29" s="947"/>
      <c r="V29" s="947"/>
      <c r="W29" s="947"/>
      <c r="X29" s="947"/>
      <c r="Y29" s="947"/>
      <c r="Z29" s="947"/>
      <c r="AA29" s="947"/>
      <c r="AB29" s="947"/>
      <c r="AC29" s="947"/>
      <c r="AD29" s="947"/>
      <c r="AE29" s="947"/>
      <c r="AF29" s="947"/>
    </row>
    <row r="30" spans="1:32" s="235" customFormat="1" ht="36.75" customHeight="1" x14ac:dyDescent="0.25">
      <c r="A30" s="462"/>
      <c r="B30" s="948" t="s">
        <v>5620</v>
      </c>
      <c r="C30" s="948"/>
      <c r="D30" s="948"/>
      <c r="E30" s="948"/>
      <c r="F30" s="948"/>
      <c r="G30" s="948"/>
      <c r="H30" s="948"/>
      <c r="I30" s="948"/>
      <c r="J30" s="948"/>
      <c r="K30" s="948"/>
      <c r="L30" s="948"/>
      <c r="M30" s="948"/>
      <c r="N30" s="948"/>
      <c r="O30" s="948"/>
      <c r="P30" s="948"/>
      <c r="Q30" s="948"/>
      <c r="R30" s="948"/>
      <c r="S30" s="948"/>
      <c r="T30" s="948"/>
      <c r="U30" s="948"/>
      <c r="V30" s="948"/>
      <c r="W30" s="948"/>
      <c r="X30" s="948"/>
      <c r="Y30" s="948"/>
      <c r="Z30" s="948"/>
      <c r="AA30" s="948"/>
      <c r="AB30" s="948"/>
      <c r="AC30" s="948"/>
      <c r="AD30" s="948"/>
      <c r="AE30" s="948"/>
      <c r="AF30" s="948"/>
    </row>
    <row r="31" spans="1:32" s="235" customFormat="1" ht="12" x14ac:dyDescent="0.25">
      <c r="A31" s="462"/>
      <c r="B31" s="948" t="s">
        <v>3426</v>
      </c>
      <c r="C31" s="948"/>
      <c r="D31" s="948"/>
      <c r="E31" s="948"/>
      <c r="F31" s="948"/>
      <c r="G31" s="948"/>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48"/>
    </row>
    <row r="32" spans="1:32" s="235" customFormat="1" ht="12" x14ac:dyDescent="0.25">
      <c r="A32" s="462"/>
      <c r="B32" s="948" t="s">
        <v>3427</v>
      </c>
      <c r="C32" s="948"/>
      <c r="D32" s="948"/>
      <c r="E32" s="948"/>
      <c r="F32" s="948"/>
      <c r="G32" s="948"/>
      <c r="H32" s="948"/>
      <c r="I32" s="948"/>
      <c r="J32" s="948"/>
      <c r="K32" s="948"/>
      <c r="L32" s="948"/>
      <c r="M32" s="948"/>
      <c r="N32" s="948"/>
      <c r="O32" s="948"/>
      <c r="P32" s="948"/>
      <c r="Q32" s="948"/>
      <c r="R32" s="948"/>
      <c r="S32" s="948"/>
      <c r="T32" s="948"/>
      <c r="U32" s="948"/>
      <c r="V32" s="948"/>
      <c r="W32" s="948"/>
      <c r="X32" s="948"/>
      <c r="Y32" s="948"/>
      <c r="Z32" s="948"/>
      <c r="AA32" s="948"/>
      <c r="AB32" s="948"/>
      <c r="AC32" s="948"/>
      <c r="AD32" s="948"/>
      <c r="AE32" s="948"/>
      <c r="AF32" s="948"/>
    </row>
    <row r="33" spans="1:32" s="235" customFormat="1" ht="12" x14ac:dyDescent="0.25">
      <c r="A33" s="462"/>
      <c r="B33" s="948" t="s">
        <v>3428</v>
      </c>
      <c r="C33" s="948"/>
      <c r="D33" s="948"/>
      <c r="E33" s="948"/>
      <c r="F33" s="948"/>
      <c r="G33" s="948"/>
      <c r="H33" s="948"/>
      <c r="I33" s="948"/>
      <c r="J33" s="948"/>
      <c r="K33" s="948"/>
      <c r="L33" s="948"/>
      <c r="M33" s="948"/>
      <c r="N33" s="948"/>
      <c r="O33" s="948"/>
      <c r="P33" s="948"/>
      <c r="Q33" s="948"/>
      <c r="R33" s="948"/>
      <c r="S33" s="948"/>
      <c r="T33" s="948"/>
      <c r="U33" s="948"/>
      <c r="V33" s="948"/>
      <c r="W33" s="948"/>
      <c r="X33" s="948"/>
      <c r="Y33" s="948"/>
      <c r="Z33" s="948"/>
      <c r="AA33" s="948"/>
      <c r="AB33" s="948"/>
      <c r="AC33" s="948"/>
      <c r="AD33" s="948"/>
      <c r="AE33" s="948"/>
      <c r="AF33" s="948"/>
    </row>
    <row r="34" spans="1:32" x14ac:dyDescent="0.3">
      <c r="A34" s="368"/>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row>
    <row r="35" spans="1:32" ht="30.9" customHeight="1" x14ac:dyDescent="0.3">
      <c r="A35" s="952" t="s">
        <v>5621</v>
      </c>
      <c r="B35" s="952"/>
      <c r="C35" s="952"/>
      <c r="D35" s="952"/>
      <c r="E35" s="952"/>
      <c r="F35" s="952"/>
      <c r="G35" s="952"/>
      <c r="H35" s="952"/>
      <c r="I35" s="952"/>
      <c r="J35" s="952"/>
      <c r="K35" s="952"/>
      <c r="L35" s="952"/>
      <c r="M35" s="952"/>
      <c r="N35" s="952"/>
      <c r="O35" s="952"/>
      <c r="P35" s="952"/>
      <c r="Q35" s="952"/>
      <c r="R35" s="952"/>
      <c r="S35" s="952"/>
      <c r="T35" s="952"/>
      <c r="U35" s="952"/>
      <c r="V35" s="952"/>
      <c r="W35" s="952"/>
      <c r="X35" s="952"/>
      <c r="Y35" s="952"/>
      <c r="Z35" s="952"/>
      <c r="AA35" s="952"/>
      <c r="AB35" s="952"/>
      <c r="AC35" s="952"/>
      <c r="AD35" s="952"/>
      <c r="AE35" s="952"/>
      <c r="AF35" s="952"/>
    </row>
    <row r="36" spans="1:32" x14ac:dyDescent="0.3">
      <c r="A36" s="368"/>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7"/>
      <c r="AF36" s="127"/>
    </row>
    <row r="37" spans="1:32" ht="14.4" customHeight="1" x14ac:dyDescent="0.3">
      <c r="B37" s="315" t="s">
        <v>3432</v>
      </c>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row>
    <row r="38" spans="1:32" ht="16.2" x14ac:dyDescent="0.3">
      <c r="A38" s="368"/>
      <c r="B38" s="951" t="s">
        <v>1495</v>
      </c>
      <c r="C38" s="951"/>
      <c r="D38" s="951"/>
      <c r="E38" s="951" t="s">
        <v>3421</v>
      </c>
      <c r="F38" s="951"/>
      <c r="G38" s="951" t="s">
        <v>3425</v>
      </c>
      <c r="H38" s="951"/>
      <c r="I38" s="951"/>
      <c r="J38" s="951" t="s">
        <v>11</v>
      </c>
      <c r="K38" s="951"/>
      <c r="L38" s="951"/>
      <c r="M38" s="951"/>
      <c r="N38" s="951"/>
      <c r="O38" s="951"/>
      <c r="P38" s="125"/>
      <c r="Q38" s="125"/>
      <c r="R38" s="125"/>
      <c r="S38" s="125"/>
      <c r="T38" s="125"/>
      <c r="U38" s="125"/>
      <c r="V38" s="125"/>
      <c r="W38" s="125"/>
      <c r="X38" s="125"/>
      <c r="Y38" s="125"/>
      <c r="Z38" s="125"/>
      <c r="AA38" s="125"/>
      <c r="AB38" s="125"/>
      <c r="AC38" s="125"/>
      <c r="AD38" s="125"/>
      <c r="AE38" s="125"/>
      <c r="AF38" s="125"/>
    </row>
    <row r="39" spans="1:32" x14ac:dyDescent="0.3">
      <c r="A39" s="368"/>
      <c r="B39" s="949" t="s">
        <v>657</v>
      </c>
      <c r="C39" s="949"/>
      <c r="D39" s="949"/>
      <c r="E39" s="950" t="s">
        <v>5617</v>
      </c>
      <c r="F39" s="950"/>
      <c r="G39" s="950">
        <v>0.114</v>
      </c>
      <c r="H39" s="950"/>
      <c r="I39" s="950"/>
      <c r="J39" s="951" t="s">
        <v>5622</v>
      </c>
      <c r="K39" s="951"/>
      <c r="L39" s="951"/>
      <c r="M39" s="951"/>
      <c r="N39" s="951"/>
      <c r="O39" s="951"/>
      <c r="P39" s="125"/>
      <c r="Q39" s="125"/>
      <c r="R39" s="125"/>
      <c r="S39" s="125"/>
      <c r="T39" s="125"/>
      <c r="U39" s="125"/>
      <c r="V39" s="125"/>
      <c r="W39" s="125"/>
      <c r="X39" s="125"/>
      <c r="Y39" s="125"/>
      <c r="Z39" s="125"/>
      <c r="AA39" s="125"/>
      <c r="AB39" s="125"/>
      <c r="AC39" s="125"/>
      <c r="AD39" s="125"/>
      <c r="AE39" s="125"/>
      <c r="AF39" s="125"/>
    </row>
    <row r="40" spans="1:32" x14ac:dyDescent="0.3">
      <c r="A40" s="368"/>
      <c r="B40" s="949"/>
      <c r="C40" s="949"/>
      <c r="D40" s="949"/>
      <c r="E40" s="950" t="s">
        <v>5618</v>
      </c>
      <c r="F40" s="950"/>
      <c r="G40" s="950">
        <v>0.11700000000000001</v>
      </c>
      <c r="H40" s="950"/>
      <c r="I40" s="950"/>
      <c r="J40" s="951" t="s">
        <v>5623</v>
      </c>
      <c r="K40" s="951"/>
      <c r="L40" s="951"/>
      <c r="M40" s="951"/>
      <c r="N40" s="951"/>
      <c r="O40" s="951"/>
      <c r="P40" s="125"/>
      <c r="Q40" s="125"/>
      <c r="R40" s="125"/>
      <c r="S40" s="125"/>
      <c r="T40" s="125"/>
      <c r="U40" s="125"/>
      <c r="V40" s="125"/>
      <c r="W40" s="125"/>
      <c r="X40" s="125"/>
      <c r="Y40" s="125"/>
      <c r="Z40" s="125"/>
      <c r="AA40" s="125"/>
      <c r="AB40" s="125"/>
      <c r="AC40" s="125"/>
      <c r="AD40" s="125"/>
      <c r="AE40" s="125"/>
      <c r="AF40" s="125"/>
    </row>
    <row r="41" spans="1:32" x14ac:dyDescent="0.3">
      <c r="A41" s="368"/>
      <c r="B41" s="949"/>
      <c r="C41" s="949"/>
      <c r="D41" s="949"/>
      <c r="E41" s="950" t="s">
        <v>5619</v>
      </c>
      <c r="F41" s="950"/>
      <c r="G41" s="950">
        <v>0.121</v>
      </c>
      <c r="H41" s="950"/>
      <c r="I41" s="950"/>
      <c r="J41" s="951" t="s">
        <v>5624</v>
      </c>
      <c r="K41" s="951"/>
      <c r="L41" s="951"/>
      <c r="M41" s="951"/>
      <c r="N41" s="951"/>
      <c r="O41" s="951"/>
      <c r="P41" s="125"/>
      <c r="Q41" s="125"/>
      <c r="R41" s="125"/>
      <c r="S41" s="125"/>
      <c r="T41" s="125"/>
      <c r="U41" s="125"/>
      <c r="V41" s="125"/>
      <c r="W41" s="125"/>
      <c r="X41" s="125"/>
      <c r="Y41" s="125"/>
      <c r="Z41" s="125"/>
      <c r="AA41" s="125"/>
      <c r="AB41" s="125"/>
      <c r="AC41" s="125"/>
      <c r="AD41" s="125"/>
      <c r="AE41" s="125"/>
      <c r="AF41" s="125"/>
    </row>
    <row r="42" spans="1:32" x14ac:dyDescent="0.3">
      <c r="A42" s="368"/>
      <c r="B42" s="949" t="s">
        <v>658</v>
      </c>
      <c r="C42" s="949"/>
      <c r="D42" s="949"/>
      <c r="E42" s="950" t="s">
        <v>5617</v>
      </c>
      <c r="F42" s="950"/>
      <c r="G42" s="950">
        <v>0.153</v>
      </c>
      <c r="H42" s="950"/>
      <c r="I42" s="950"/>
      <c r="J42" s="951" t="s">
        <v>5622</v>
      </c>
      <c r="K42" s="951"/>
      <c r="L42" s="951"/>
      <c r="M42" s="951"/>
      <c r="N42" s="951"/>
      <c r="O42" s="951"/>
      <c r="P42" s="125"/>
      <c r="Q42" s="125"/>
      <c r="R42" s="125"/>
      <c r="S42" s="125"/>
      <c r="T42" s="125"/>
      <c r="U42" s="125"/>
      <c r="V42" s="125"/>
      <c r="W42" s="125"/>
      <c r="X42" s="125"/>
      <c r="Y42" s="125"/>
      <c r="Z42" s="125"/>
      <c r="AA42" s="125"/>
      <c r="AB42" s="125"/>
      <c r="AC42" s="125"/>
      <c r="AD42" s="125"/>
      <c r="AE42" s="125"/>
      <c r="AF42" s="125"/>
    </row>
    <row r="43" spans="1:32" x14ac:dyDescent="0.3">
      <c r="A43" s="368"/>
      <c r="B43" s="949"/>
      <c r="C43" s="949"/>
      <c r="D43" s="949"/>
      <c r="E43" s="950" t="s">
        <v>5618</v>
      </c>
      <c r="F43" s="950"/>
      <c r="G43" s="950">
        <v>0.158</v>
      </c>
      <c r="H43" s="950"/>
      <c r="I43" s="950"/>
      <c r="J43" s="951" t="s">
        <v>5623</v>
      </c>
      <c r="K43" s="951"/>
      <c r="L43" s="951"/>
      <c r="M43" s="951"/>
      <c r="N43" s="951"/>
      <c r="O43" s="951"/>
      <c r="P43" s="125"/>
      <c r="Q43" s="125"/>
      <c r="R43" s="125"/>
      <c r="S43" s="125"/>
      <c r="T43" s="125"/>
      <c r="U43" s="125"/>
      <c r="V43" s="125"/>
      <c r="W43" s="125"/>
      <c r="X43" s="125"/>
      <c r="Y43" s="125"/>
      <c r="Z43" s="125"/>
      <c r="AA43" s="125"/>
      <c r="AB43" s="125"/>
      <c r="AC43" s="125"/>
      <c r="AD43" s="125"/>
      <c r="AE43" s="125"/>
      <c r="AF43" s="125"/>
    </row>
    <row r="44" spans="1:32" x14ac:dyDescent="0.3">
      <c r="A44" s="368"/>
      <c r="B44" s="949"/>
      <c r="C44" s="949"/>
      <c r="D44" s="949"/>
      <c r="E44" s="950" t="s">
        <v>5619</v>
      </c>
      <c r="F44" s="950"/>
      <c r="G44" s="950">
        <v>0.16300000000000001</v>
      </c>
      <c r="H44" s="950"/>
      <c r="I44" s="950"/>
      <c r="J44" s="951" t="s">
        <v>5624</v>
      </c>
      <c r="K44" s="951"/>
      <c r="L44" s="951"/>
      <c r="M44" s="951"/>
      <c r="N44" s="951"/>
      <c r="O44" s="951"/>
      <c r="P44" s="125"/>
      <c r="Q44" s="125"/>
      <c r="R44" s="125"/>
      <c r="S44" s="125"/>
      <c r="T44" s="125"/>
      <c r="U44" s="125"/>
      <c r="V44" s="125"/>
      <c r="W44" s="125"/>
      <c r="X44" s="125"/>
      <c r="Y44" s="125"/>
      <c r="Z44" s="125"/>
      <c r="AA44" s="125"/>
      <c r="AB44" s="125"/>
      <c r="AC44" s="125"/>
      <c r="AD44" s="125"/>
      <c r="AE44" s="125"/>
      <c r="AF44" s="125"/>
    </row>
    <row r="45" spans="1:32" x14ac:dyDescent="0.3">
      <c r="A45" s="368"/>
      <c r="B45" s="949" t="s">
        <v>3424</v>
      </c>
      <c r="C45" s="949"/>
      <c r="D45" s="949"/>
      <c r="E45" s="950" t="s">
        <v>5617</v>
      </c>
      <c r="F45" s="950"/>
      <c r="G45" s="950">
        <v>0.16700000000000001</v>
      </c>
      <c r="H45" s="950"/>
      <c r="I45" s="950"/>
      <c r="J45" s="951" t="s">
        <v>5622</v>
      </c>
      <c r="K45" s="951"/>
      <c r="L45" s="951"/>
      <c r="M45" s="951"/>
      <c r="N45" s="951"/>
      <c r="O45" s="951"/>
      <c r="P45" s="125"/>
      <c r="Q45" s="125"/>
      <c r="R45" s="125"/>
      <c r="S45" s="125"/>
      <c r="T45" s="125"/>
      <c r="U45" s="125"/>
      <c r="V45" s="125"/>
      <c r="W45" s="125"/>
      <c r="X45" s="125"/>
      <c r="Y45" s="125"/>
      <c r="Z45" s="125"/>
      <c r="AA45" s="125"/>
      <c r="AB45" s="125"/>
      <c r="AC45" s="125"/>
      <c r="AD45" s="125"/>
      <c r="AE45" s="125"/>
      <c r="AF45" s="125"/>
    </row>
    <row r="46" spans="1:32" x14ac:dyDescent="0.3">
      <c r="A46" s="368"/>
      <c r="B46" s="949"/>
      <c r="C46" s="949"/>
      <c r="D46" s="949"/>
      <c r="E46" s="950" t="s">
        <v>5618</v>
      </c>
      <c r="F46" s="950"/>
      <c r="G46" s="950">
        <v>0.17199999999999999</v>
      </c>
      <c r="H46" s="950"/>
      <c r="I46" s="950"/>
      <c r="J46" s="951" t="s">
        <v>5623</v>
      </c>
      <c r="K46" s="951"/>
      <c r="L46" s="951"/>
      <c r="M46" s="951"/>
      <c r="N46" s="951"/>
      <c r="O46" s="951"/>
      <c r="P46" s="125"/>
      <c r="Q46" s="125"/>
      <c r="R46" s="125"/>
      <c r="S46" s="125"/>
      <c r="T46" s="125"/>
      <c r="U46" s="125"/>
      <c r="V46" s="125"/>
      <c r="W46" s="125"/>
      <c r="X46" s="125"/>
      <c r="Y46" s="125"/>
      <c r="Z46" s="125"/>
      <c r="AA46" s="125"/>
      <c r="AB46" s="125"/>
      <c r="AC46" s="125"/>
      <c r="AD46" s="125"/>
      <c r="AE46" s="125"/>
      <c r="AF46" s="125"/>
    </row>
    <row r="47" spans="1:32" x14ac:dyDescent="0.3">
      <c r="A47" s="368"/>
      <c r="B47" s="949"/>
      <c r="C47" s="949"/>
      <c r="D47" s="949"/>
      <c r="E47" s="950" t="s">
        <v>5619</v>
      </c>
      <c r="F47" s="950"/>
      <c r="G47" s="950">
        <v>0.17699999999999999</v>
      </c>
      <c r="H47" s="950"/>
      <c r="I47" s="950"/>
      <c r="J47" s="951" t="s">
        <v>5624</v>
      </c>
      <c r="K47" s="951"/>
      <c r="L47" s="951"/>
      <c r="M47" s="951"/>
      <c r="N47" s="951"/>
      <c r="O47" s="951"/>
      <c r="P47" s="125"/>
      <c r="Q47" s="125"/>
      <c r="R47" s="125"/>
      <c r="S47" s="125"/>
      <c r="T47" s="125"/>
      <c r="U47" s="125"/>
      <c r="V47" s="125"/>
      <c r="W47" s="125"/>
      <c r="X47" s="125"/>
      <c r="Y47" s="125"/>
      <c r="Z47" s="125"/>
      <c r="AA47" s="125"/>
      <c r="AB47" s="125"/>
      <c r="AC47" s="125"/>
      <c r="AD47" s="125"/>
      <c r="AE47" s="125"/>
      <c r="AF47" s="125"/>
    </row>
    <row r="48" spans="1:32" x14ac:dyDescent="0.3">
      <c r="A48" s="368"/>
      <c r="B48" s="235" t="s">
        <v>3440</v>
      </c>
      <c r="C48" s="235"/>
      <c r="D48" s="235"/>
      <c r="E48" s="235"/>
      <c r="F48" s="235"/>
      <c r="G48" s="235"/>
      <c r="H48" s="946">
        <v>0.03</v>
      </c>
      <c r="I48" s="946"/>
      <c r="J48" s="947" t="s">
        <v>5625</v>
      </c>
      <c r="K48" s="947"/>
      <c r="L48" s="947"/>
      <c r="M48" s="947"/>
      <c r="N48" s="947"/>
      <c r="O48" s="947"/>
      <c r="P48" s="947"/>
      <c r="Q48" s="947"/>
      <c r="R48" s="947"/>
      <c r="S48" s="947"/>
      <c r="T48" s="947"/>
      <c r="U48" s="947"/>
      <c r="V48" s="947"/>
      <c r="W48" s="947"/>
      <c r="X48" s="947"/>
      <c r="Y48" s="947"/>
      <c r="Z48" s="947"/>
      <c r="AA48" s="947"/>
      <c r="AB48" s="947"/>
      <c r="AC48" s="947"/>
      <c r="AD48" s="947"/>
      <c r="AE48" s="947"/>
      <c r="AF48" s="947"/>
    </row>
    <row r="49" spans="1:33" ht="140.25" customHeight="1" x14ac:dyDescent="0.3">
      <c r="A49" s="368"/>
      <c r="B49" s="948" t="s">
        <v>5626</v>
      </c>
      <c r="C49" s="948"/>
      <c r="D49" s="948"/>
      <c r="E49" s="948"/>
      <c r="F49" s="948"/>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row>
    <row r="50" spans="1:33" x14ac:dyDescent="0.3">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row>
    <row r="51" spans="1:33" x14ac:dyDescent="0.3">
      <c r="A51" s="958" t="s">
        <v>2129</v>
      </c>
      <c r="B51" s="959"/>
      <c r="C51" s="959"/>
      <c r="D51" s="959"/>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60"/>
    </row>
    <row r="52" spans="1:33" ht="168" customHeight="1" x14ac:dyDescent="0.3">
      <c r="A52" s="868" t="s">
        <v>3685</v>
      </c>
      <c r="B52" s="868"/>
      <c r="C52" s="868"/>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row>
    <row r="53" spans="1:33" x14ac:dyDescent="0.3">
      <c r="A53" s="129"/>
      <c r="B53" s="129"/>
      <c r="C53" s="129"/>
      <c r="D53" s="129"/>
      <c r="E53" s="129"/>
      <c r="F53" s="129"/>
      <c r="G53" s="129"/>
      <c r="H53" s="12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row>
    <row r="54" spans="1:33" ht="78.75" customHeight="1" x14ac:dyDescent="0.3">
      <c r="A54" s="863" t="s">
        <v>5627</v>
      </c>
      <c r="B54" s="863"/>
      <c r="C54" s="863"/>
      <c r="D54" s="863"/>
      <c r="E54" s="863"/>
      <c r="F54" s="863"/>
      <c r="G54" s="863"/>
      <c r="H54" s="863"/>
      <c r="I54" s="863"/>
      <c r="J54" s="863"/>
      <c r="K54" s="863"/>
      <c r="L54" s="863"/>
      <c r="M54" s="863"/>
      <c r="N54" s="863"/>
      <c r="O54" s="863"/>
      <c r="P54" s="863"/>
      <c r="Q54" s="863"/>
      <c r="R54" s="863"/>
      <c r="S54" s="863"/>
      <c r="T54" s="863"/>
      <c r="U54" s="863"/>
      <c r="V54" s="863"/>
      <c r="W54" s="863"/>
      <c r="X54" s="863"/>
      <c r="Y54" s="863"/>
      <c r="Z54" s="863"/>
      <c r="AA54" s="863"/>
      <c r="AB54" s="863"/>
      <c r="AC54" s="863"/>
      <c r="AD54" s="863"/>
      <c r="AE54" s="863"/>
      <c r="AF54" s="863"/>
    </row>
    <row r="55" spans="1:33" x14ac:dyDescent="0.3">
      <c r="A55" s="129"/>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row>
    <row r="56" spans="1:33" s="94" customFormat="1" x14ac:dyDescent="0.3">
      <c r="A56" s="576" t="s">
        <v>4310</v>
      </c>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row>
    <row r="57" spans="1:33" s="94" customFormat="1" ht="78" customHeight="1" x14ac:dyDescent="0.3">
      <c r="A57" s="884" t="s">
        <v>5628</v>
      </c>
      <c r="B57" s="884"/>
      <c r="C57" s="884"/>
      <c r="D57" s="884"/>
      <c r="E57" s="884"/>
      <c r="F57" s="884"/>
      <c r="G57" s="884"/>
      <c r="H57" s="884"/>
      <c r="I57" s="884"/>
      <c r="J57" s="884"/>
      <c r="K57" s="884"/>
      <c r="L57" s="884"/>
      <c r="M57" s="884"/>
      <c r="N57" s="884"/>
      <c r="O57" s="884"/>
      <c r="P57" s="884"/>
      <c r="Q57" s="884"/>
      <c r="R57" s="884"/>
      <c r="S57" s="884"/>
      <c r="T57" s="884"/>
      <c r="U57" s="884"/>
      <c r="V57" s="884"/>
      <c r="W57" s="884"/>
      <c r="X57" s="884"/>
      <c r="Y57" s="884"/>
      <c r="Z57" s="884"/>
      <c r="AA57" s="884"/>
      <c r="AB57" s="884"/>
      <c r="AC57" s="884"/>
      <c r="AD57" s="884"/>
      <c r="AE57" s="884"/>
      <c r="AF57" s="884"/>
    </row>
    <row r="58" spans="1:33" s="94" customFormat="1" x14ac:dyDescent="0.3">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row>
    <row r="59" spans="1:33" s="94" customFormat="1" ht="52.5" customHeight="1" x14ac:dyDescent="0.3">
      <c r="A59" s="508"/>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77" t="s">
        <v>1463</v>
      </c>
    </row>
    <row r="60" spans="1:33" s="94" customFormat="1" x14ac:dyDescent="0.3">
      <c r="A60" s="508"/>
      <c r="B60" s="543" t="s">
        <v>4311</v>
      </c>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188"/>
    </row>
    <row r="61" spans="1:33" s="94" customFormat="1" ht="18.75" customHeight="1" x14ac:dyDescent="0.3">
      <c r="A61" s="508"/>
      <c r="B61" s="543"/>
      <c r="C61" s="889" t="s">
        <v>4330</v>
      </c>
      <c r="D61" s="889"/>
      <c r="E61" s="889"/>
      <c r="F61" s="889"/>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503"/>
    </row>
    <row r="62" spans="1:33" s="94" customFormat="1" ht="33.75" customHeight="1" x14ac:dyDescent="0.3">
      <c r="A62" s="508"/>
      <c r="B62" s="543"/>
      <c r="C62" s="889" t="s">
        <v>4331</v>
      </c>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503"/>
    </row>
    <row r="63" spans="1:33" s="94" customFormat="1" ht="33.75" customHeight="1" x14ac:dyDescent="0.3">
      <c r="A63" s="508"/>
      <c r="B63" s="543"/>
      <c r="C63" s="889" t="s">
        <v>4332</v>
      </c>
      <c r="D63" s="889"/>
      <c r="E63" s="889"/>
      <c r="F63" s="889"/>
      <c r="G63" s="889"/>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503"/>
    </row>
    <row r="64" spans="1:33" s="94" customFormat="1" ht="50.25" customHeight="1" x14ac:dyDescent="0.3">
      <c r="A64" s="508"/>
      <c r="B64" s="543"/>
      <c r="C64" s="889" t="s">
        <v>4345</v>
      </c>
      <c r="D64" s="889"/>
      <c r="E64" s="889"/>
      <c r="F64" s="889"/>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503"/>
    </row>
    <row r="65" spans="1:33" s="94" customFormat="1" ht="48.75" customHeight="1" x14ac:dyDescent="0.3">
      <c r="A65" s="508"/>
      <c r="B65" s="543"/>
      <c r="C65" s="889" t="s">
        <v>4346</v>
      </c>
      <c r="D65" s="889"/>
      <c r="E65" s="889"/>
      <c r="F65" s="889"/>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503"/>
    </row>
    <row r="66" spans="1:33" s="94" customFormat="1" x14ac:dyDescent="0.3">
      <c r="A66" s="508"/>
      <c r="B66" s="508"/>
      <c r="C66" s="508"/>
      <c r="D66" s="508"/>
      <c r="E66" s="508"/>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row>
    <row r="67" spans="1:33" s="94" customFormat="1" x14ac:dyDescent="0.3">
      <c r="A67" s="576" t="s">
        <v>4312</v>
      </c>
      <c r="B67" s="508"/>
      <c r="C67" s="508"/>
      <c r="D67" s="508"/>
      <c r="E67" s="508"/>
      <c r="F67" s="508"/>
      <c r="G67" s="508"/>
      <c r="H67" s="508"/>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row>
    <row r="68" spans="1:33" s="94" customFormat="1" ht="153.75" customHeight="1" x14ac:dyDescent="0.3">
      <c r="A68" s="889" t="s">
        <v>4333</v>
      </c>
      <c r="B68" s="889"/>
      <c r="C68" s="889"/>
      <c r="D68" s="889"/>
      <c r="E68" s="889"/>
      <c r="F68" s="889"/>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row>
    <row r="69" spans="1:33" s="94" customFormat="1" x14ac:dyDescent="0.3"/>
    <row r="70" spans="1:33" s="94" customFormat="1" ht="105.75" customHeight="1" x14ac:dyDescent="0.3">
      <c r="A70" s="508"/>
      <c r="B70" s="508"/>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77" t="s">
        <v>1464</v>
      </c>
    </row>
    <row r="71" spans="1:33" s="94" customFormat="1" x14ac:dyDescent="0.3">
      <c r="A71" s="508"/>
      <c r="B71" s="543" t="s">
        <v>4311</v>
      </c>
      <c r="D71" s="508"/>
      <c r="E71" s="508"/>
      <c r="F71" s="508"/>
      <c r="G71" s="508"/>
      <c r="H71" s="508"/>
      <c r="I71" s="508"/>
      <c r="J71" s="508"/>
      <c r="K71" s="508"/>
      <c r="L71" s="508"/>
      <c r="M71" s="508"/>
      <c r="N71" s="508"/>
      <c r="O71" s="508"/>
      <c r="P71" s="508"/>
      <c r="Q71" s="508"/>
      <c r="R71" s="508"/>
      <c r="S71" s="508"/>
      <c r="T71" s="508"/>
      <c r="U71" s="508"/>
      <c r="V71" s="508"/>
      <c r="W71" s="508"/>
      <c r="X71" s="508"/>
      <c r="Y71" s="508"/>
      <c r="Z71" s="508"/>
      <c r="AA71" s="508"/>
      <c r="AB71" s="508"/>
      <c r="AC71" s="508"/>
      <c r="AD71" s="508"/>
      <c r="AE71" s="508"/>
      <c r="AF71" s="188"/>
    </row>
    <row r="72" spans="1:33" s="94" customFormat="1" ht="18.75" customHeight="1" x14ac:dyDescent="0.3">
      <c r="A72" s="508"/>
      <c r="B72" s="543"/>
      <c r="C72" s="889" t="s">
        <v>4330</v>
      </c>
      <c r="D72" s="889"/>
      <c r="E72" s="889"/>
      <c r="F72" s="889"/>
      <c r="G72" s="889"/>
      <c r="H72" s="889"/>
      <c r="I72" s="889"/>
      <c r="J72" s="889"/>
      <c r="K72" s="889"/>
      <c r="L72" s="889"/>
      <c r="M72" s="889"/>
      <c r="N72" s="889"/>
      <c r="O72" s="889"/>
      <c r="P72" s="889"/>
      <c r="Q72" s="889"/>
      <c r="R72" s="889"/>
      <c r="S72" s="889"/>
      <c r="T72" s="889"/>
      <c r="U72" s="889"/>
      <c r="V72" s="889"/>
      <c r="W72" s="889"/>
      <c r="X72" s="889"/>
      <c r="Y72" s="889"/>
      <c r="Z72" s="889"/>
      <c r="AA72" s="889"/>
      <c r="AB72" s="889"/>
      <c r="AC72" s="889"/>
      <c r="AD72" s="889"/>
      <c r="AE72" s="889"/>
      <c r="AF72" s="889"/>
      <c r="AG72" s="503"/>
    </row>
    <row r="73" spans="1:33" s="94" customFormat="1" ht="33.75" customHeight="1" x14ac:dyDescent="0.3">
      <c r="A73" s="508"/>
      <c r="B73" s="543"/>
      <c r="C73" s="889" t="s">
        <v>4334</v>
      </c>
      <c r="D73" s="889"/>
      <c r="E73" s="889"/>
      <c r="F73" s="889"/>
      <c r="G73" s="889"/>
      <c r="H73" s="889"/>
      <c r="I73" s="889"/>
      <c r="J73" s="889"/>
      <c r="K73" s="889"/>
      <c r="L73" s="889"/>
      <c r="M73" s="889"/>
      <c r="N73" s="889"/>
      <c r="O73" s="889"/>
      <c r="P73" s="889"/>
      <c r="Q73" s="889"/>
      <c r="R73" s="889"/>
      <c r="S73" s="889"/>
      <c r="T73" s="889"/>
      <c r="U73" s="889"/>
      <c r="V73" s="889"/>
      <c r="W73" s="889"/>
      <c r="X73" s="889"/>
      <c r="Y73" s="889"/>
      <c r="Z73" s="889"/>
      <c r="AA73" s="889"/>
      <c r="AB73" s="889"/>
      <c r="AC73" s="889"/>
      <c r="AD73" s="889"/>
      <c r="AE73" s="889"/>
      <c r="AF73" s="889"/>
      <c r="AG73" s="503"/>
    </row>
    <row r="74" spans="1:33" s="94" customFormat="1" ht="33.75" customHeight="1" x14ac:dyDescent="0.3">
      <c r="A74" s="508"/>
      <c r="B74" s="543"/>
      <c r="C74" s="889" t="s">
        <v>4335</v>
      </c>
      <c r="D74" s="889"/>
      <c r="E74" s="889"/>
      <c r="F74" s="889"/>
      <c r="G74" s="889"/>
      <c r="H74" s="889"/>
      <c r="I74" s="889"/>
      <c r="J74" s="889"/>
      <c r="K74" s="889"/>
      <c r="L74" s="889"/>
      <c r="M74" s="889"/>
      <c r="N74" s="889"/>
      <c r="O74" s="889"/>
      <c r="P74" s="889"/>
      <c r="Q74" s="889"/>
      <c r="R74" s="889"/>
      <c r="S74" s="889"/>
      <c r="T74" s="889"/>
      <c r="U74" s="889"/>
      <c r="V74" s="889"/>
      <c r="W74" s="889"/>
      <c r="X74" s="889"/>
      <c r="Y74" s="889"/>
      <c r="Z74" s="889"/>
      <c r="AA74" s="889"/>
      <c r="AB74" s="889"/>
      <c r="AC74" s="889"/>
      <c r="AD74" s="889"/>
      <c r="AE74" s="889"/>
      <c r="AF74" s="889"/>
      <c r="AG74" s="503"/>
    </row>
    <row r="75" spans="1:33" s="94" customFormat="1" ht="33.75" customHeight="1" x14ac:dyDescent="0.3">
      <c r="A75" s="508"/>
      <c r="B75" s="543"/>
      <c r="C75" s="889" t="s">
        <v>4336</v>
      </c>
      <c r="D75" s="889"/>
      <c r="E75" s="889"/>
      <c r="F75" s="889"/>
      <c r="G75" s="889"/>
      <c r="H75" s="889"/>
      <c r="I75" s="889"/>
      <c r="J75" s="889"/>
      <c r="K75" s="889"/>
      <c r="L75" s="889"/>
      <c r="M75" s="889"/>
      <c r="N75" s="889"/>
      <c r="O75" s="889"/>
      <c r="P75" s="889"/>
      <c r="Q75" s="889"/>
      <c r="R75" s="889"/>
      <c r="S75" s="889"/>
      <c r="T75" s="889"/>
      <c r="U75" s="889"/>
      <c r="V75" s="889"/>
      <c r="W75" s="889"/>
      <c r="X75" s="889"/>
      <c r="Y75" s="889"/>
      <c r="Z75" s="889"/>
      <c r="AA75" s="889"/>
      <c r="AB75" s="889"/>
      <c r="AC75" s="889"/>
      <c r="AD75" s="889"/>
      <c r="AE75" s="889"/>
      <c r="AF75" s="889"/>
      <c r="AG75" s="503"/>
    </row>
    <row r="76" spans="1:33" s="94" customFormat="1" ht="33.75" customHeight="1" x14ac:dyDescent="0.3">
      <c r="A76" s="508"/>
      <c r="B76" s="543"/>
      <c r="C76" s="889" t="s">
        <v>4337</v>
      </c>
      <c r="D76" s="889"/>
      <c r="E76" s="889"/>
      <c r="F76" s="889"/>
      <c r="G76" s="889"/>
      <c r="H76" s="889"/>
      <c r="I76" s="889"/>
      <c r="J76" s="889"/>
      <c r="K76" s="889"/>
      <c r="L76" s="889"/>
      <c r="M76" s="889"/>
      <c r="N76" s="889"/>
      <c r="O76" s="889"/>
      <c r="P76" s="889"/>
      <c r="Q76" s="889"/>
      <c r="R76" s="889"/>
      <c r="S76" s="889"/>
      <c r="T76" s="889"/>
      <c r="U76" s="889"/>
      <c r="V76" s="889"/>
      <c r="W76" s="889"/>
      <c r="X76" s="889"/>
      <c r="Y76" s="889"/>
      <c r="Z76" s="889"/>
      <c r="AA76" s="889"/>
      <c r="AB76" s="889"/>
      <c r="AC76" s="889"/>
      <c r="AD76" s="889"/>
      <c r="AE76" s="889"/>
      <c r="AF76" s="889"/>
      <c r="AG76" s="503"/>
    </row>
    <row r="77" spans="1:33" s="94" customFormat="1" ht="111.75" customHeight="1" x14ac:dyDescent="0.3">
      <c r="A77" s="508"/>
      <c r="B77" s="543"/>
      <c r="C77" s="889" t="s">
        <v>4347</v>
      </c>
      <c r="D77" s="889"/>
      <c r="E77" s="889"/>
      <c r="F77" s="889"/>
      <c r="G77" s="889"/>
      <c r="H77" s="889"/>
      <c r="I77" s="889"/>
      <c r="J77" s="889"/>
      <c r="K77" s="889"/>
      <c r="L77" s="889"/>
      <c r="M77" s="889"/>
      <c r="N77" s="889"/>
      <c r="O77" s="889"/>
      <c r="P77" s="889"/>
      <c r="Q77" s="889"/>
      <c r="R77" s="889"/>
      <c r="S77" s="889"/>
      <c r="T77" s="889"/>
      <c r="U77" s="889"/>
      <c r="V77" s="889"/>
      <c r="W77" s="889"/>
      <c r="X77" s="889"/>
      <c r="Y77" s="889"/>
      <c r="Z77" s="889"/>
      <c r="AA77" s="889"/>
      <c r="AB77" s="889"/>
      <c r="AC77" s="889"/>
      <c r="AD77" s="889"/>
      <c r="AE77" s="889"/>
      <c r="AF77" s="889"/>
      <c r="AG77" s="503"/>
    </row>
    <row r="78" spans="1:33" s="94" customFormat="1" ht="112.5" customHeight="1" x14ac:dyDescent="0.3">
      <c r="A78" s="508"/>
      <c r="B78" s="543"/>
      <c r="C78" s="889" t="s">
        <v>4348</v>
      </c>
      <c r="D78" s="889"/>
      <c r="E78" s="889"/>
      <c r="F78" s="889"/>
      <c r="G78" s="889"/>
      <c r="H78" s="889"/>
      <c r="I78" s="889"/>
      <c r="J78" s="889"/>
      <c r="K78" s="889"/>
      <c r="L78" s="889"/>
      <c r="M78" s="889"/>
      <c r="N78" s="889"/>
      <c r="O78" s="889"/>
      <c r="P78" s="889"/>
      <c r="Q78" s="889"/>
      <c r="R78" s="889"/>
      <c r="S78" s="889"/>
      <c r="T78" s="889"/>
      <c r="U78" s="889"/>
      <c r="V78" s="889"/>
      <c r="W78" s="889"/>
      <c r="X78" s="889"/>
      <c r="Y78" s="889"/>
      <c r="Z78" s="889"/>
      <c r="AA78" s="889"/>
      <c r="AB78" s="889"/>
      <c r="AC78" s="889"/>
      <c r="AD78" s="889"/>
      <c r="AE78" s="889"/>
      <c r="AF78" s="889"/>
      <c r="AG78" s="503"/>
    </row>
    <row r="79" spans="1:33" s="94" customFormat="1" ht="66.75" customHeight="1" x14ac:dyDescent="0.3">
      <c r="A79" s="508"/>
      <c r="B79" s="543"/>
      <c r="C79" s="889" t="s">
        <v>4349</v>
      </c>
      <c r="D79" s="889"/>
      <c r="E79" s="889"/>
      <c r="F79" s="889"/>
      <c r="G79" s="889"/>
      <c r="H79" s="889"/>
      <c r="I79" s="889"/>
      <c r="J79" s="889"/>
      <c r="K79" s="889"/>
      <c r="L79" s="889"/>
      <c r="M79" s="889"/>
      <c r="N79" s="889"/>
      <c r="O79" s="889"/>
      <c r="P79" s="889"/>
      <c r="Q79" s="889"/>
      <c r="R79" s="889"/>
      <c r="S79" s="889"/>
      <c r="T79" s="889"/>
      <c r="U79" s="889"/>
      <c r="V79" s="889"/>
      <c r="W79" s="889"/>
      <c r="X79" s="889"/>
      <c r="Y79" s="889"/>
      <c r="Z79" s="889"/>
      <c r="AA79" s="889"/>
      <c r="AB79" s="889"/>
      <c r="AC79" s="889"/>
      <c r="AD79" s="889"/>
      <c r="AE79" s="889"/>
      <c r="AF79" s="889"/>
      <c r="AG79" s="503"/>
    </row>
    <row r="80" spans="1:33" s="94" customFormat="1" ht="65.25" customHeight="1" x14ac:dyDescent="0.3">
      <c r="A80" s="508"/>
      <c r="B80" s="543"/>
      <c r="C80" s="889" t="s">
        <v>4350</v>
      </c>
      <c r="D80" s="889"/>
      <c r="E80" s="889"/>
      <c r="F80" s="889"/>
      <c r="G80" s="889"/>
      <c r="H80" s="889"/>
      <c r="I80" s="889"/>
      <c r="J80" s="889"/>
      <c r="K80" s="889"/>
      <c r="L80" s="889"/>
      <c r="M80" s="889"/>
      <c r="N80" s="889"/>
      <c r="O80" s="889"/>
      <c r="P80" s="889"/>
      <c r="Q80" s="889"/>
      <c r="R80" s="889"/>
      <c r="S80" s="889"/>
      <c r="T80" s="889"/>
      <c r="U80" s="889"/>
      <c r="V80" s="889"/>
      <c r="W80" s="889"/>
      <c r="X80" s="889"/>
      <c r="Y80" s="889"/>
      <c r="Z80" s="889"/>
      <c r="AA80" s="889"/>
      <c r="AB80" s="889"/>
      <c r="AC80" s="889"/>
      <c r="AD80" s="889"/>
      <c r="AE80" s="889"/>
      <c r="AF80" s="889"/>
      <c r="AG80" s="503"/>
    </row>
    <row r="81" spans="1:38" s="94" customFormat="1" x14ac:dyDescent="0.3"/>
    <row r="82" spans="1:38" s="94" customFormat="1" ht="32.25" customHeight="1" x14ac:dyDescent="0.3">
      <c r="A82" s="889" t="s">
        <v>4313</v>
      </c>
      <c r="B82" s="889"/>
      <c r="C82" s="889"/>
      <c r="D82" s="889"/>
      <c r="E82" s="889"/>
      <c r="F82" s="889"/>
      <c r="G82" s="889"/>
      <c r="H82" s="889"/>
      <c r="I82" s="889"/>
      <c r="J82" s="889"/>
      <c r="K82" s="889"/>
      <c r="L82" s="889"/>
      <c r="M82" s="889"/>
      <c r="N82" s="889"/>
      <c r="O82" s="889"/>
      <c r="P82" s="889"/>
      <c r="Q82" s="889"/>
      <c r="R82" s="889"/>
      <c r="S82" s="889"/>
      <c r="T82" s="889"/>
      <c r="U82" s="889"/>
      <c r="V82" s="889"/>
      <c r="W82" s="889"/>
      <c r="X82" s="889"/>
      <c r="Y82" s="889"/>
      <c r="Z82" s="889"/>
      <c r="AA82" s="889"/>
      <c r="AB82" s="889"/>
      <c r="AC82" s="889"/>
      <c r="AD82" s="889"/>
      <c r="AE82" s="889"/>
      <c r="AF82" s="889"/>
      <c r="AG82" s="503"/>
      <c r="AL82" s="494"/>
    </row>
    <row r="83" spans="1:38" s="94" customFormat="1" x14ac:dyDescent="0.3">
      <c r="A83" s="503"/>
      <c r="B83" s="503"/>
      <c r="C83" s="503"/>
      <c r="D83" s="503"/>
      <c r="E83" s="503"/>
      <c r="F83" s="503"/>
      <c r="G83" s="503"/>
      <c r="H83" s="503"/>
      <c r="I83" s="503"/>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L83" s="494"/>
    </row>
    <row r="84" spans="1:38" s="94" customFormat="1" x14ac:dyDescent="0.3">
      <c r="A84" s="494"/>
      <c r="B84" s="494"/>
      <c r="C84" s="506" t="s">
        <v>4314</v>
      </c>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row>
    <row r="85" spans="1:38" s="94" customFormat="1" x14ac:dyDescent="0.3">
      <c r="A85" s="494"/>
      <c r="B85" s="494"/>
      <c r="C85" s="578" t="s">
        <v>4315</v>
      </c>
      <c r="D85" s="494"/>
      <c r="E85" s="494"/>
      <c r="F85" s="494"/>
      <c r="G85" s="494"/>
      <c r="H85" s="494"/>
      <c r="I85" s="494"/>
      <c r="J85" s="494"/>
      <c r="K85" s="494"/>
      <c r="L85" s="494"/>
      <c r="M85" s="494"/>
      <c r="N85" s="494"/>
      <c r="O85" s="494"/>
      <c r="P85" s="494"/>
      <c r="Q85" s="494"/>
      <c r="R85" s="494"/>
      <c r="S85" s="578" t="s">
        <v>4316</v>
      </c>
      <c r="T85" s="494"/>
      <c r="U85" s="494"/>
      <c r="V85" s="494"/>
      <c r="W85" s="494"/>
      <c r="X85" s="494"/>
      <c r="Y85" s="494"/>
      <c r="Z85" s="494"/>
      <c r="AA85" s="494"/>
      <c r="AB85" s="494"/>
      <c r="AC85" s="494"/>
      <c r="AD85" s="494"/>
      <c r="AE85" s="494"/>
      <c r="AF85" s="494"/>
      <c r="AG85" s="494"/>
    </row>
    <row r="86" spans="1:38" s="94" customFormat="1" x14ac:dyDescent="0.3">
      <c r="A86" s="494"/>
      <c r="B86" s="494"/>
      <c r="C86" s="995" t="s">
        <v>4201</v>
      </c>
      <c r="D86" s="995"/>
      <c r="E86" s="995"/>
      <c r="F86" s="995"/>
      <c r="G86" s="995"/>
      <c r="H86" s="995"/>
      <c r="I86" s="995"/>
      <c r="J86" s="995"/>
      <c r="K86" s="995"/>
      <c r="L86" s="995"/>
      <c r="M86" s="995"/>
      <c r="N86" s="995"/>
      <c r="O86" s="995"/>
      <c r="P86" s="995"/>
      <c r="Q86" s="494"/>
      <c r="R86" s="494"/>
      <c r="S86" s="995" t="s">
        <v>4203</v>
      </c>
      <c r="T86" s="995"/>
      <c r="U86" s="995"/>
      <c r="V86" s="995"/>
      <c r="W86" s="995"/>
      <c r="X86" s="995"/>
      <c r="Y86" s="995"/>
      <c r="Z86" s="995"/>
      <c r="AA86" s="995"/>
      <c r="AB86" s="995"/>
      <c r="AC86" s="995"/>
      <c r="AD86" s="995"/>
      <c r="AE86" s="995"/>
      <c r="AF86" s="995"/>
      <c r="AG86" s="494"/>
    </row>
    <row r="87" spans="1:38" s="94" customFormat="1" x14ac:dyDescent="0.3">
      <c r="A87" s="494"/>
      <c r="B87" s="494"/>
      <c r="C87" s="996" t="s">
        <v>4317</v>
      </c>
      <c r="D87" s="996"/>
      <c r="E87" s="996"/>
      <c r="F87" s="996"/>
      <c r="G87" s="996"/>
      <c r="H87" s="996"/>
      <c r="I87" s="996"/>
      <c r="J87" s="996"/>
      <c r="K87" s="996"/>
      <c r="L87" s="996"/>
      <c r="M87" s="996"/>
      <c r="N87" s="996"/>
      <c r="O87" s="996"/>
      <c r="P87" s="996"/>
      <c r="Q87" s="494"/>
      <c r="R87" s="494"/>
      <c r="S87" s="996" t="s">
        <v>4317</v>
      </c>
      <c r="T87" s="996"/>
      <c r="U87" s="996"/>
      <c r="V87" s="996"/>
      <c r="W87" s="996"/>
      <c r="X87" s="996"/>
      <c r="Y87" s="996"/>
      <c r="Z87" s="996"/>
      <c r="AA87" s="996"/>
      <c r="AB87" s="996"/>
      <c r="AC87" s="996"/>
      <c r="AD87" s="996"/>
      <c r="AE87" s="996"/>
      <c r="AF87" s="996"/>
      <c r="AG87" s="494"/>
    </row>
    <row r="88" spans="1:38" s="94" customFormat="1" x14ac:dyDescent="0.3">
      <c r="A88" s="494"/>
      <c r="B88" s="494"/>
      <c r="C88" s="995" t="s">
        <v>4185</v>
      </c>
      <c r="D88" s="995"/>
      <c r="E88" s="995"/>
      <c r="F88" s="995"/>
      <c r="G88" s="995"/>
      <c r="H88" s="995"/>
      <c r="I88" s="995"/>
      <c r="J88" s="995"/>
      <c r="K88" s="995"/>
      <c r="L88" s="995"/>
      <c r="M88" s="995"/>
      <c r="N88" s="995"/>
      <c r="O88" s="995"/>
      <c r="P88" s="995"/>
      <c r="Q88" s="494"/>
      <c r="R88" s="494"/>
      <c r="S88" s="995" t="s">
        <v>1149</v>
      </c>
      <c r="T88" s="995"/>
      <c r="U88" s="995"/>
      <c r="V88" s="995"/>
      <c r="W88" s="995"/>
      <c r="X88" s="995"/>
      <c r="Y88" s="995"/>
      <c r="Z88" s="995"/>
      <c r="AA88" s="995"/>
      <c r="AB88" s="995"/>
      <c r="AC88" s="995"/>
      <c r="AD88" s="995"/>
      <c r="AE88" s="995"/>
      <c r="AF88" s="995"/>
      <c r="AG88" s="494"/>
    </row>
    <row r="89" spans="1:38" s="94" customFormat="1" x14ac:dyDescent="0.3">
      <c r="A89" s="494"/>
      <c r="B89" s="494"/>
      <c r="C89" s="995" t="s">
        <v>1082</v>
      </c>
      <c r="D89" s="995"/>
      <c r="E89" s="995"/>
      <c r="F89" s="995"/>
      <c r="G89" s="995"/>
      <c r="H89" s="995"/>
      <c r="I89" s="995"/>
      <c r="J89" s="995"/>
      <c r="K89" s="995"/>
      <c r="L89" s="995"/>
      <c r="M89" s="995"/>
      <c r="N89" s="995"/>
      <c r="O89" s="995"/>
      <c r="P89" s="995"/>
      <c r="Q89" s="494"/>
      <c r="R89" s="494"/>
      <c r="S89" s="996" t="s">
        <v>4318</v>
      </c>
      <c r="T89" s="996"/>
      <c r="U89" s="996"/>
      <c r="V89" s="996"/>
      <c r="W89" s="996"/>
      <c r="X89" s="996"/>
      <c r="Y89" s="996"/>
      <c r="Z89" s="996"/>
      <c r="AA89" s="996"/>
      <c r="AB89" s="996"/>
      <c r="AC89" s="996"/>
      <c r="AD89" s="996"/>
      <c r="AE89" s="996"/>
      <c r="AF89" s="996"/>
      <c r="AG89" s="494"/>
    </row>
    <row r="90" spans="1:38" s="94" customFormat="1" x14ac:dyDescent="0.3">
      <c r="A90" s="494"/>
      <c r="B90" s="494"/>
      <c r="C90" s="995" t="s">
        <v>1045</v>
      </c>
      <c r="D90" s="995"/>
      <c r="E90" s="995"/>
      <c r="F90" s="995"/>
      <c r="G90" s="995"/>
      <c r="H90" s="995"/>
      <c r="I90" s="995"/>
      <c r="J90" s="995"/>
      <c r="K90" s="995"/>
      <c r="L90" s="995"/>
      <c r="M90" s="995"/>
      <c r="N90" s="995"/>
      <c r="O90" s="995"/>
      <c r="P90" s="995"/>
      <c r="Q90" s="494"/>
      <c r="R90" s="494"/>
      <c r="S90" s="996" t="s">
        <v>4319</v>
      </c>
      <c r="T90" s="996"/>
      <c r="U90" s="996"/>
      <c r="V90" s="996"/>
      <c r="W90" s="996"/>
      <c r="X90" s="996"/>
      <c r="Y90" s="996"/>
      <c r="Z90" s="996"/>
      <c r="AA90" s="996"/>
      <c r="AB90" s="996"/>
      <c r="AC90" s="996"/>
      <c r="AD90" s="996"/>
      <c r="AE90" s="996"/>
      <c r="AF90" s="996"/>
      <c r="AG90" s="494"/>
    </row>
    <row r="91" spans="1:38" s="94" customFormat="1" x14ac:dyDescent="0.3">
      <c r="A91" s="494"/>
      <c r="B91" s="494"/>
      <c r="C91" s="995" t="s">
        <v>3448</v>
      </c>
      <c r="D91" s="995"/>
      <c r="E91" s="995"/>
      <c r="F91" s="995"/>
      <c r="G91" s="995"/>
      <c r="H91" s="995"/>
      <c r="I91" s="995"/>
      <c r="J91" s="995"/>
      <c r="K91" s="995"/>
      <c r="L91" s="995"/>
      <c r="M91" s="995"/>
      <c r="N91" s="995"/>
      <c r="O91" s="995"/>
      <c r="P91" s="995"/>
      <c r="Q91" s="494"/>
      <c r="R91" s="494"/>
      <c r="S91" s="996" t="s">
        <v>4320</v>
      </c>
      <c r="T91" s="996"/>
      <c r="U91" s="996"/>
      <c r="V91" s="996"/>
      <c r="W91" s="996"/>
      <c r="X91" s="996"/>
      <c r="Y91" s="996"/>
      <c r="Z91" s="996"/>
      <c r="AA91" s="996"/>
      <c r="AB91" s="996"/>
      <c r="AC91" s="996"/>
      <c r="AD91" s="996"/>
      <c r="AE91" s="996"/>
      <c r="AF91" s="996"/>
      <c r="AG91" s="494"/>
    </row>
    <row r="92" spans="1:38" s="94" customFormat="1" x14ac:dyDescent="0.3">
      <c r="A92" s="494"/>
      <c r="B92" s="494"/>
      <c r="C92" s="995" t="s">
        <v>1090</v>
      </c>
      <c r="D92" s="995"/>
      <c r="E92" s="995"/>
      <c r="F92" s="995"/>
      <c r="G92" s="995"/>
      <c r="H92" s="995"/>
      <c r="I92" s="995"/>
      <c r="J92" s="995"/>
      <c r="K92" s="995"/>
      <c r="L92" s="995"/>
      <c r="M92" s="995"/>
      <c r="N92" s="995"/>
      <c r="O92" s="995"/>
      <c r="P92" s="995"/>
      <c r="Q92" s="494"/>
      <c r="R92" s="494"/>
      <c r="S92" s="995" t="s">
        <v>5051</v>
      </c>
      <c r="T92" s="995"/>
      <c r="U92" s="995"/>
      <c r="V92" s="995"/>
      <c r="W92" s="995"/>
      <c r="X92" s="995"/>
      <c r="Y92" s="995"/>
      <c r="Z92" s="995"/>
      <c r="AA92" s="995"/>
      <c r="AB92" s="995"/>
      <c r="AC92" s="995"/>
      <c r="AD92" s="995"/>
      <c r="AE92" s="995"/>
      <c r="AF92" s="995"/>
      <c r="AG92" s="494"/>
    </row>
    <row r="93" spans="1:38" s="94" customFormat="1" x14ac:dyDescent="0.3">
      <c r="A93" s="494"/>
      <c r="B93" s="494"/>
      <c r="C93" s="995" t="s">
        <v>1089</v>
      </c>
      <c r="D93" s="995"/>
      <c r="E93" s="995"/>
      <c r="F93" s="995"/>
      <c r="G93" s="995"/>
      <c r="H93" s="995"/>
      <c r="I93" s="995"/>
      <c r="J93" s="995"/>
      <c r="K93" s="995"/>
      <c r="L93" s="995"/>
      <c r="M93" s="995"/>
      <c r="N93" s="995"/>
      <c r="O93" s="995"/>
      <c r="P93" s="995"/>
      <c r="Q93" s="494"/>
      <c r="R93" s="494"/>
      <c r="S93" s="995" t="s">
        <v>4321</v>
      </c>
      <c r="T93" s="995"/>
      <c r="U93" s="995"/>
      <c r="V93" s="995"/>
      <c r="W93" s="995"/>
      <c r="X93" s="995"/>
      <c r="Y93" s="995"/>
      <c r="Z93" s="995"/>
      <c r="AA93" s="995"/>
      <c r="AB93" s="995"/>
      <c r="AC93" s="995"/>
      <c r="AD93" s="995"/>
      <c r="AE93" s="995"/>
      <c r="AF93" s="995"/>
      <c r="AG93" s="494"/>
    </row>
    <row r="94" spans="1:38" s="94" customFormat="1" x14ac:dyDescent="0.3">
      <c r="A94" s="494"/>
      <c r="B94" s="494"/>
      <c r="C94" s="995" t="s">
        <v>1347</v>
      </c>
      <c r="D94" s="995"/>
      <c r="E94" s="995"/>
      <c r="F94" s="995"/>
      <c r="G94" s="995"/>
      <c r="H94" s="995"/>
      <c r="I94" s="995"/>
      <c r="J94" s="995"/>
      <c r="K94" s="995"/>
      <c r="L94" s="995"/>
      <c r="M94" s="995"/>
      <c r="N94" s="995"/>
      <c r="O94" s="995"/>
      <c r="P94" s="995"/>
      <c r="Q94" s="494"/>
      <c r="R94" s="494"/>
      <c r="S94" s="995" t="s">
        <v>1121</v>
      </c>
      <c r="T94" s="995"/>
      <c r="U94" s="995"/>
      <c r="V94" s="995"/>
      <c r="W94" s="995"/>
      <c r="X94" s="995"/>
      <c r="Y94" s="995"/>
      <c r="Z94" s="995"/>
      <c r="AA94" s="995"/>
      <c r="AB94" s="995"/>
      <c r="AC94" s="995"/>
      <c r="AD94" s="995"/>
      <c r="AE94" s="995"/>
      <c r="AF94" s="995"/>
      <c r="AG94" s="494"/>
    </row>
    <row r="95" spans="1:38" s="94" customFormat="1" x14ac:dyDescent="0.3">
      <c r="A95" s="494"/>
      <c r="B95" s="494"/>
      <c r="C95" s="996" t="s">
        <v>4322</v>
      </c>
      <c r="D95" s="996"/>
      <c r="E95" s="996"/>
      <c r="F95" s="996"/>
      <c r="G95" s="996"/>
      <c r="H95" s="996"/>
      <c r="I95" s="996"/>
      <c r="J95" s="996"/>
      <c r="K95" s="996"/>
      <c r="L95" s="996"/>
      <c r="M95" s="996"/>
      <c r="N95" s="996"/>
      <c r="O95" s="996"/>
      <c r="P95" s="996"/>
      <c r="Q95" s="494"/>
      <c r="R95" s="494"/>
      <c r="S95" s="995" t="s">
        <v>1340</v>
      </c>
      <c r="T95" s="995"/>
      <c r="U95" s="995"/>
      <c r="V95" s="995"/>
      <c r="W95" s="995"/>
      <c r="X95" s="995"/>
      <c r="Y95" s="995"/>
      <c r="Z95" s="995"/>
      <c r="AA95" s="995"/>
      <c r="AB95" s="995"/>
      <c r="AC95" s="995"/>
      <c r="AD95" s="995"/>
      <c r="AE95" s="995"/>
      <c r="AF95" s="995"/>
      <c r="AG95" s="494"/>
    </row>
    <row r="96" spans="1:38" s="94" customFormat="1" x14ac:dyDescent="0.3">
      <c r="A96" s="494"/>
      <c r="B96" s="494"/>
      <c r="C96" s="996" t="s">
        <v>4324</v>
      </c>
      <c r="D96" s="996"/>
      <c r="E96" s="996"/>
      <c r="F96" s="996"/>
      <c r="G96" s="996"/>
      <c r="H96" s="996"/>
      <c r="I96" s="996"/>
      <c r="J96" s="996"/>
      <c r="K96" s="996"/>
      <c r="L96" s="996"/>
      <c r="M96" s="996"/>
      <c r="N96" s="996"/>
      <c r="O96" s="996"/>
      <c r="P96" s="996"/>
      <c r="Q96" s="494"/>
      <c r="R96" s="511"/>
      <c r="S96" s="996" t="s">
        <v>4323</v>
      </c>
      <c r="T96" s="996"/>
      <c r="U96" s="996"/>
      <c r="V96" s="996"/>
      <c r="W96" s="996"/>
      <c r="X96" s="996"/>
      <c r="Y96" s="996"/>
      <c r="Z96" s="996"/>
      <c r="AA96" s="996"/>
      <c r="AB96" s="996"/>
      <c r="AC96" s="996"/>
      <c r="AD96" s="996"/>
      <c r="AE96" s="996"/>
      <c r="AF96" s="996"/>
      <c r="AG96" s="511"/>
    </row>
    <row r="97" spans="1:42" s="94" customFormat="1" ht="30.75" customHeight="1" x14ac:dyDescent="0.3">
      <c r="A97" s="494"/>
      <c r="B97" s="494"/>
      <c r="C97" s="998" t="s">
        <v>4325</v>
      </c>
      <c r="D97" s="998"/>
      <c r="E97" s="998"/>
      <c r="F97" s="998"/>
      <c r="G97" s="998"/>
      <c r="H97" s="998"/>
      <c r="I97" s="998"/>
      <c r="J97" s="998"/>
      <c r="K97" s="998"/>
      <c r="L97" s="998"/>
      <c r="M97" s="998"/>
      <c r="N97" s="998"/>
      <c r="O97" s="998"/>
      <c r="P97" s="998"/>
      <c r="Q97" s="998"/>
      <c r="R97" s="998"/>
      <c r="S97" s="998"/>
      <c r="T97" s="998"/>
      <c r="U97" s="998"/>
      <c r="V97" s="998"/>
      <c r="W97" s="998"/>
      <c r="X97" s="998"/>
      <c r="Y97" s="998"/>
      <c r="Z97" s="998"/>
      <c r="AA97" s="998"/>
      <c r="AB97" s="998"/>
      <c r="AC97" s="998"/>
      <c r="AD97" s="998"/>
      <c r="AE97" s="998"/>
      <c r="AF97" s="998"/>
      <c r="AG97" s="511"/>
    </row>
    <row r="98" spans="1:42" s="94" customFormat="1" x14ac:dyDescent="0.3">
      <c r="A98" s="494"/>
      <c r="B98" s="494"/>
      <c r="C98" s="323" t="s">
        <v>4326</v>
      </c>
      <c r="D98" s="494"/>
      <c r="E98" s="494"/>
      <c r="F98" s="494"/>
      <c r="G98" s="494"/>
      <c r="H98" s="494"/>
      <c r="I98" s="494"/>
      <c r="J98" s="494"/>
      <c r="K98" s="494"/>
      <c r="L98" s="494"/>
      <c r="M98" s="494"/>
      <c r="N98" s="494"/>
      <c r="O98" s="494"/>
      <c r="P98" s="494"/>
      <c r="Q98" s="494"/>
      <c r="R98" s="511"/>
      <c r="S98" s="511"/>
      <c r="T98" s="511"/>
      <c r="U98" s="511"/>
      <c r="V98" s="511"/>
      <c r="W98" s="511"/>
      <c r="X98" s="511"/>
      <c r="Y98" s="511"/>
      <c r="Z98" s="511"/>
      <c r="AA98" s="511"/>
      <c r="AB98" s="511"/>
      <c r="AC98" s="511"/>
      <c r="AD98" s="511"/>
      <c r="AE98" s="511"/>
      <c r="AF98" s="511"/>
      <c r="AG98" s="511"/>
    </row>
    <row r="99" spans="1:42" s="94" customFormat="1" x14ac:dyDescent="0.3">
      <c r="A99" s="494"/>
      <c r="B99" s="494"/>
      <c r="C99" s="323"/>
      <c r="D99" s="494"/>
      <c r="E99" s="494"/>
      <c r="F99" s="494"/>
      <c r="G99" s="494"/>
      <c r="H99" s="494"/>
      <c r="I99" s="494"/>
      <c r="J99" s="494"/>
      <c r="K99" s="494"/>
      <c r="L99" s="494"/>
      <c r="M99" s="494"/>
      <c r="N99" s="494"/>
      <c r="O99" s="494"/>
      <c r="P99" s="494"/>
      <c r="Q99" s="494"/>
      <c r="R99" s="511"/>
      <c r="S99" s="511"/>
      <c r="T99" s="511"/>
      <c r="U99" s="511"/>
      <c r="V99" s="511"/>
      <c r="W99" s="511"/>
      <c r="X99" s="511"/>
      <c r="Y99" s="511"/>
      <c r="Z99" s="511"/>
      <c r="AA99" s="511"/>
      <c r="AB99" s="511"/>
      <c r="AC99" s="511"/>
      <c r="AD99" s="511"/>
      <c r="AE99" s="511"/>
      <c r="AF99" s="511"/>
      <c r="AG99" s="511"/>
    </row>
    <row r="100" spans="1:42" s="94" customFormat="1" x14ac:dyDescent="0.3">
      <c r="A100" s="494" t="s">
        <v>4327</v>
      </c>
      <c r="B100" s="494"/>
      <c r="C100" s="323"/>
      <c r="D100" s="494"/>
      <c r="E100" s="494"/>
      <c r="F100" s="494"/>
      <c r="G100" s="494"/>
      <c r="H100" s="494"/>
      <c r="I100" s="494"/>
      <c r="J100" s="494"/>
      <c r="K100" s="494"/>
      <c r="L100" s="494"/>
      <c r="M100" s="494"/>
      <c r="N100" s="494"/>
      <c r="O100" s="494"/>
      <c r="P100" s="494"/>
      <c r="Q100" s="494"/>
      <c r="R100" s="511"/>
      <c r="S100" s="511"/>
      <c r="T100" s="511"/>
      <c r="U100" s="511"/>
      <c r="V100" s="511"/>
      <c r="W100" s="511"/>
      <c r="X100" s="511"/>
      <c r="Y100" s="511"/>
      <c r="Z100" s="511"/>
      <c r="AA100" s="511"/>
      <c r="AB100" s="511"/>
      <c r="AC100" s="511"/>
      <c r="AD100" s="511"/>
      <c r="AE100" s="511"/>
      <c r="AF100" s="511"/>
      <c r="AG100" s="511"/>
    </row>
    <row r="101" spans="1:42" s="94" customFormat="1" x14ac:dyDescent="0.3">
      <c r="A101" s="494"/>
      <c r="B101" s="494"/>
      <c r="C101" s="494" t="s">
        <v>4328</v>
      </c>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494"/>
      <c r="AF101" s="494"/>
      <c r="AG101" s="494"/>
    </row>
    <row r="102" spans="1:42" s="94" customFormat="1" x14ac:dyDescent="0.3">
      <c r="A102" s="494"/>
      <c r="B102" s="494"/>
      <c r="C102" s="494" t="s">
        <v>4329</v>
      </c>
      <c r="D102" s="494"/>
      <c r="E102" s="494"/>
      <c r="F102" s="494"/>
      <c r="G102" s="494"/>
      <c r="H102" s="494"/>
      <c r="I102" s="494"/>
      <c r="J102" s="494"/>
      <c r="K102" s="494"/>
      <c r="L102" s="494"/>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row>
    <row r="103" spans="1:42" s="94" customFormat="1" x14ac:dyDescent="0.3">
      <c r="A103" s="494"/>
      <c r="B103" s="494"/>
      <c r="C103" s="494"/>
      <c r="D103" s="494"/>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row>
    <row r="104" spans="1:42" x14ac:dyDescent="0.3">
      <c r="A104" s="883" t="s">
        <v>5629</v>
      </c>
      <c r="B104" s="883"/>
      <c r="C104" s="883"/>
      <c r="D104" s="883"/>
      <c r="E104" s="883"/>
      <c r="F104" s="883"/>
      <c r="G104" s="883"/>
      <c r="H104" s="883"/>
      <c r="I104" s="883"/>
      <c r="J104" s="883"/>
      <c r="K104" s="883"/>
      <c r="L104" s="883"/>
      <c r="M104" s="883"/>
      <c r="N104" s="883"/>
      <c r="O104" s="883"/>
      <c r="P104" s="883"/>
      <c r="Q104" s="883"/>
      <c r="R104" s="883"/>
      <c r="S104" s="883"/>
      <c r="T104" s="883"/>
      <c r="U104" s="883"/>
      <c r="V104" s="883"/>
      <c r="W104" s="883"/>
      <c r="X104" s="883"/>
      <c r="Y104" s="883"/>
      <c r="Z104" s="883"/>
      <c r="AA104" s="883"/>
      <c r="AB104" s="883"/>
      <c r="AC104" s="883"/>
      <c r="AD104" s="883"/>
      <c r="AE104" s="883"/>
      <c r="AF104" s="883"/>
    </row>
    <row r="105" spans="1:42" ht="24.75" customHeight="1" x14ac:dyDescent="0.3">
      <c r="A105" s="313"/>
      <c r="B105" s="313"/>
      <c r="C105" s="313"/>
      <c r="D105" s="313"/>
      <c r="E105" s="313"/>
      <c r="F105" s="313"/>
      <c r="G105" s="313"/>
      <c r="H105" s="314"/>
      <c r="I105" s="314"/>
      <c r="J105" s="314"/>
      <c r="K105" s="914" t="s">
        <v>810</v>
      </c>
      <c r="L105" s="915"/>
      <c r="M105" s="915"/>
      <c r="N105" s="916"/>
      <c r="O105" s="457"/>
      <c r="P105" s="458"/>
      <c r="Q105" s="458"/>
      <c r="R105" s="458"/>
      <c r="S105" s="458"/>
      <c r="T105" s="458"/>
      <c r="U105" s="122"/>
      <c r="V105" s="122"/>
      <c r="W105" s="122"/>
      <c r="X105" s="122"/>
      <c r="Y105" s="122"/>
      <c r="Z105" s="313"/>
      <c r="AA105" s="313"/>
      <c r="AB105" s="313"/>
      <c r="AC105" s="313"/>
      <c r="AD105" s="313"/>
      <c r="AE105" s="313"/>
      <c r="AF105" s="586"/>
      <c r="AG105" s="94"/>
      <c r="AH105" s="94"/>
      <c r="AI105" s="94"/>
      <c r="AJ105" s="94"/>
      <c r="AK105" s="94"/>
      <c r="AL105" s="94"/>
      <c r="AM105" s="94"/>
      <c r="AN105" s="94"/>
      <c r="AO105" s="94"/>
      <c r="AP105" s="94"/>
    </row>
    <row r="106" spans="1:42" x14ac:dyDescent="0.3">
      <c r="A106" s="59"/>
      <c r="B106" s="59"/>
      <c r="C106" s="59"/>
      <c r="D106" s="59"/>
      <c r="E106" s="59"/>
      <c r="F106" s="59"/>
      <c r="G106" s="59"/>
      <c r="H106" s="128"/>
      <c r="I106" s="128"/>
      <c r="J106" s="128"/>
      <c r="K106" s="918">
        <v>0.06</v>
      </c>
      <c r="L106" s="919"/>
      <c r="M106" s="919"/>
      <c r="N106" s="920"/>
      <c r="O106" s="591"/>
      <c r="P106" s="592"/>
      <c r="Q106" s="592"/>
      <c r="R106" s="592"/>
      <c r="S106" s="592"/>
      <c r="T106" s="592"/>
      <c r="U106" s="121"/>
      <c r="V106" s="121"/>
      <c r="W106" s="121"/>
      <c r="X106" s="121"/>
      <c r="Y106" s="121"/>
      <c r="Z106" s="59"/>
      <c r="AA106" s="59"/>
      <c r="AB106" s="59"/>
      <c r="AC106" s="59"/>
      <c r="AD106" s="59"/>
      <c r="AE106" s="59"/>
      <c r="AF106" s="169"/>
      <c r="AG106" s="94"/>
      <c r="AH106" s="94"/>
      <c r="AI106" s="94"/>
      <c r="AJ106" s="94"/>
      <c r="AK106" s="94"/>
      <c r="AL106" s="94"/>
      <c r="AM106" s="94"/>
      <c r="AN106" s="94"/>
      <c r="AO106" s="94"/>
      <c r="AP106" s="94"/>
    </row>
    <row r="107" spans="1:42" x14ac:dyDescent="0.3">
      <c r="A107" s="59"/>
      <c r="B107" s="59"/>
      <c r="C107" s="59"/>
      <c r="D107" s="59"/>
      <c r="E107" s="59"/>
      <c r="F107" s="59"/>
      <c r="G107" s="59"/>
      <c r="H107" s="128"/>
      <c r="I107" s="128"/>
      <c r="J107" s="128"/>
      <c r="K107" s="128"/>
      <c r="L107" s="128"/>
      <c r="M107" s="593"/>
      <c r="N107" s="593"/>
      <c r="O107" s="593"/>
      <c r="P107" s="593"/>
      <c r="Q107" s="593"/>
      <c r="R107" s="593"/>
      <c r="S107" s="593"/>
      <c r="T107" s="593"/>
      <c r="U107" s="593"/>
      <c r="V107" s="593"/>
      <c r="W107" s="593"/>
      <c r="X107" s="593"/>
      <c r="Y107" s="593"/>
      <c r="Z107" s="593"/>
      <c r="AA107" s="593"/>
      <c r="AB107" s="593"/>
      <c r="AC107" s="593"/>
      <c r="AD107" s="593"/>
      <c r="AE107" s="59"/>
      <c r="AF107" s="59"/>
      <c r="AG107" s="59"/>
      <c r="AH107" s="59"/>
      <c r="AI107" s="59"/>
      <c r="AJ107" s="59"/>
      <c r="AK107" s="59"/>
      <c r="AL107" s="59"/>
      <c r="AM107" s="59"/>
      <c r="AN107" s="169"/>
      <c r="AO107" s="94"/>
      <c r="AP107" s="94"/>
    </row>
    <row r="108" spans="1:42" ht="39" customHeight="1" x14ac:dyDescent="0.3">
      <c r="A108" s="59"/>
      <c r="B108" s="59"/>
      <c r="C108" s="59"/>
      <c r="D108" s="59"/>
      <c r="E108" s="59"/>
      <c r="F108" s="59"/>
      <c r="G108" s="921" t="s">
        <v>3434</v>
      </c>
      <c r="H108" s="922"/>
      <c r="I108" s="922"/>
      <c r="J108" s="922"/>
      <c r="K108" s="922"/>
      <c r="L108" s="922"/>
      <c r="M108" s="922"/>
      <c r="N108" s="922"/>
      <c r="O108" s="922"/>
      <c r="P108" s="921" t="s">
        <v>3437</v>
      </c>
      <c r="Q108" s="922"/>
      <c r="R108" s="922"/>
      <c r="S108" s="922"/>
      <c r="T108" s="922"/>
      <c r="U108" s="922"/>
      <c r="V108" s="922"/>
      <c r="W108" s="922"/>
      <c r="X108" s="922"/>
      <c r="Y108" s="913" t="s">
        <v>3438</v>
      </c>
      <c r="Z108" s="913"/>
      <c r="AA108" s="913"/>
      <c r="AB108" s="913"/>
      <c r="AC108" s="913"/>
      <c r="AD108" s="913"/>
      <c r="AE108" s="913"/>
      <c r="AF108" s="913"/>
      <c r="AG108" s="913"/>
      <c r="AH108" s="913" t="s">
        <v>3439</v>
      </c>
      <c r="AI108" s="913"/>
      <c r="AJ108" s="913"/>
      <c r="AK108" s="913"/>
      <c r="AL108" s="913"/>
      <c r="AM108" s="913"/>
      <c r="AN108" s="913"/>
      <c r="AO108" s="913"/>
      <c r="AP108" s="913"/>
    </row>
    <row r="109" spans="1:42" ht="28.95" customHeight="1" x14ac:dyDescent="0.3">
      <c r="A109" s="59"/>
      <c r="B109" s="59"/>
      <c r="C109" s="59"/>
      <c r="D109" s="59"/>
      <c r="E109" s="59"/>
      <c r="F109" s="59"/>
      <c r="G109" s="922" t="s">
        <v>657</v>
      </c>
      <c r="H109" s="922"/>
      <c r="I109" s="922"/>
      <c r="J109" s="922" t="s">
        <v>658</v>
      </c>
      <c r="K109" s="922"/>
      <c r="L109" s="922"/>
      <c r="M109" s="922" t="s">
        <v>3424</v>
      </c>
      <c r="N109" s="922"/>
      <c r="O109" s="922"/>
      <c r="P109" s="922" t="s">
        <v>657</v>
      </c>
      <c r="Q109" s="922"/>
      <c r="R109" s="922"/>
      <c r="S109" s="922" t="s">
        <v>658</v>
      </c>
      <c r="T109" s="922"/>
      <c r="U109" s="922"/>
      <c r="V109" s="922" t="s">
        <v>3424</v>
      </c>
      <c r="W109" s="922"/>
      <c r="X109" s="922"/>
      <c r="Y109" s="922" t="s">
        <v>657</v>
      </c>
      <c r="Z109" s="922"/>
      <c r="AA109" s="922"/>
      <c r="AB109" s="922" t="s">
        <v>658</v>
      </c>
      <c r="AC109" s="922"/>
      <c r="AD109" s="922"/>
      <c r="AE109" s="922" t="s">
        <v>3424</v>
      </c>
      <c r="AF109" s="922"/>
      <c r="AG109" s="922"/>
      <c r="AH109" s="922" t="s">
        <v>657</v>
      </c>
      <c r="AI109" s="922"/>
      <c r="AJ109" s="922"/>
      <c r="AK109" s="922" t="s">
        <v>658</v>
      </c>
      <c r="AL109" s="922"/>
      <c r="AM109" s="922"/>
      <c r="AN109" s="922" t="s">
        <v>3424</v>
      </c>
      <c r="AO109" s="922"/>
      <c r="AP109" s="922"/>
    </row>
    <row r="110" spans="1:42" ht="28.95" customHeight="1" x14ac:dyDescent="0.3">
      <c r="A110" s="912" t="s">
        <v>807</v>
      </c>
      <c r="B110" s="912"/>
      <c r="C110" s="912"/>
      <c r="D110" s="913" t="s">
        <v>3433</v>
      </c>
      <c r="E110" s="913"/>
      <c r="F110" s="913"/>
      <c r="G110" s="914" t="s">
        <v>3435</v>
      </c>
      <c r="H110" s="915"/>
      <c r="I110" s="916"/>
      <c r="J110" s="917" t="s">
        <v>3435</v>
      </c>
      <c r="K110" s="917"/>
      <c r="L110" s="917"/>
      <c r="M110" s="917" t="s">
        <v>3435</v>
      </c>
      <c r="N110" s="917"/>
      <c r="O110" s="917"/>
      <c r="P110" s="917" t="s">
        <v>3436</v>
      </c>
      <c r="Q110" s="917"/>
      <c r="R110" s="917"/>
      <c r="S110" s="917" t="s">
        <v>3436</v>
      </c>
      <c r="T110" s="917"/>
      <c r="U110" s="917"/>
      <c r="V110" s="917" t="s">
        <v>3436</v>
      </c>
      <c r="W110" s="917"/>
      <c r="X110" s="917"/>
      <c r="Y110" s="909" t="s">
        <v>2122</v>
      </c>
      <c r="Z110" s="910"/>
      <c r="AA110" s="911"/>
      <c r="AB110" s="909" t="s">
        <v>2122</v>
      </c>
      <c r="AC110" s="910"/>
      <c r="AD110" s="911"/>
      <c r="AE110" s="909" t="s">
        <v>2122</v>
      </c>
      <c r="AF110" s="910"/>
      <c r="AG110" s="911"/>
      <c r="AH110" s="909" t="s">
        <v>2123</v>
      </c>
      <c r="AI110" s="910"/>
      <c r="AJ110" s="911"/>
      <c r="AK110" s="909" t="s">
        <v>2123</v>
      </c>
      <c r="AL110" s="910"/>
      <c r="AM110" s="911"/>
      <c r="AN110" s="909" t="s">
        <v>2123</v>
      </c>
      <c r="AO110" s="910"/>
      <c r="AP110" s="911"/>
    </row>
    <row r="111" spans="1:42" x14ac:dyDescent="0.3">
      <c r="A111" s="905">
        <v>2022</v>
      </c>
      <c r="B111" s="906"/>
      <c r="C111" s="907"/>
      <c r="D111" s="908">
        <v>1</v>
      </c>
      <c r="E111" s="908"/>
      <c r="F111" s="908"/>
      <c r="G111" s="896">
        <v>213</v>
      </c>
      <c r="H111" s="897"/>
      <c r="I111" s="898"/>
      <c r="J111" s="896">
        <v>621</v>
      </c>
      <c r="K111" s="897"/>
      <c r="L111" s="898"/>
      <c r="M111" s="896">
        <v>0</v>
      </c>
      <c r="N111" s="897"/>
      <c r="O111" s="898"/>
      <c r="P111" s="902">
        <v>0.114</v>
      </c>
      <c r="Q111" s="903"/>
      <c r="R111" s="904"/>
      <c r="S111" s="902">
        <v>0.153</v>
      </c>
      <c r="T111" s="903"/>
      <c r="U111" s="904"/>
      <c r="V111" s="902">
        <v>0.16700000000000001</v>
      </c>
      <c r="W111" s="903"/>
      <c r="X111" s="904"/>
      <c r="Y111" s="896">
        <v>213</v>
      </c>
      <c r="Z111" s="897"/>
      <c r="AA111" s="898"/>
      <c r="AB111" s="896">
        <v>621</v>
      </c>
      <c r="AC111" s="897"/>
      <c r="AD111" s="898"/>
      <c r="AE111" s="896">
        <v>0</v>
      </c>
      <c r="AF111" s="897"/>
      <c r="AG111" s="898"/>
      <c r="AH111" s="902">
        <v>0.114</v>
      </c>
      <c r="AI111" s="903"/>
      <c r="AJ111" s="904"/>
      <c r="AK111" s="902">
        <v>0.153</v>
      </c>
      <c r="AL111" s="903"/>
      <c r="AM111" s="904"/>
      <c r="AN111" s="902">
        <v>0.16700000000000001</v>
      </c>
      <c r="AO111" s="903"/>
      <c r="AP111" s="904"/>
    </row>
    <row r="112" spans="1:42" x14ac:dyDescent="0.3">
      <c r="A112" s="905">
        <f>A111+1</f>
        <v>2023</v>
      </c>
      <c r="B112" s="906"/>
      <c r="C112" s="907"/>
      <c r="D112" s="908">
        <v>2</v>
      </c>
      <c r="E112" s="908"/>
      <c r="F112" s="908"/>
      <c r="G112" s="896">
        <v>200.94339622641508</v>
      </c>
      <c r="H112" s="897"/>
      <c r="I112" s="898"/>
      <c r="J112" s="896">
        <v>585.84905660377353</v>
      </c>
      <c r="K112" s="897"/>
      <c r="L112" s="898"/>
      <c r="M112" s="896">
        <v>0</v>
      </c>
      <c r="N112" s="897"/>
      <c r="O112" s="898"/>
      <c r="P112" s="902">
        <v>0.11037735849056604</v>
      </c>
      <c r="Q112" s="903"/>
      <c r="R112" s="904"/>
      <c r="S112" s="902">
        <v>0.1490566037735849</v>
      </c>
      <c r="T112" s="903"/>
      <c r="U112" s="904"/>
      <c r="V112" s="902">
        <v>0.16226415094339622</v>
      </c>
      <c r="W112" s="903"/>
      <c r="X112" s="904"/>
      <c r="Y112" s="896">
        <v>414</v>
      </c>
      <c r="Z112" s="897"/>
      <c r="AA112" s="898"/>
      <c r="AB112" s="896">
        <v>1207</v>
      </c>
      <c r="AC112" s="897"/>
      <c r="AD112" s="898"/>
      <c r="AE112" s="896">
        <v>0</v>
      </c>
      <c r="AF112" s="897"/>
      <c r="AG112" s="898"/>
      <c r="AH112" s="902">
        <v>0.224</v>
      </c>
      <c r="AI112" s="903"/>
      <c r="AJ112" s="904"/>
      <c r="AK112" s="902">
        <v>0.30199999999999999</v>
      </c>
      <c r="AL112" s="903"/>
      <c r="AM112" s="904"/>
      <c r="AN112" s="902">
        <v>0.32900000000000001</v>
      </c>
      <c r="AO112" s="903"/>
      <c r="AP112" s="904"/>
    </row>
    <row r="113" spans="1:42" x14ac:dyDescent="0.3">
      <c r="A113" s="905">
        <f t="shared" ref="A113:A135" si="0">A112+1</f>
        <v>2024</v>
      </c>
      <c r="B113" s="906"/>
      <c r="C113" s="907"/>
      <c r="D113" s="908">
        <v>3</v>
      </c>
      <c r="E113" s="908"/>
      <c r="F113" s="908"/>
      <c r="G113" s="896">
        <v>189.56924172303309</v>
      </c>
      <c r="H113" s="897"/>
      <c r="I113" s="898"/>
      <c r="J113" s="896">
        <v>552.68778924884293</v>
      </c>
      <c r="K113" s="897"/>
      <c r="L113" s="898"/>
      <c r="M113" s="896">
        <v>0</v>
      </c>
      <c r="N113" s="897"/>
      <c r="O113" s="898"/>
      <c r="P113" s="902">
        <v>0.10768956924172302</v>
      </c>
      <c r="Q113" s="903"/>
      <c r="R113" s="904"/>
      <c r="S113" s="902">
        <v>0.1450694197223211</v>
      </c>
      <c r="T113" s="903"/>
      <c r="U113" s="904"/>
      <c r="V113" s="902">
        <v>0.15752936988252045</v>
      </c>
      <c r="W113" s="903"/>
      <c r="X113" s="904"/>
      <c r="Y113" s="896">
        <v>604</v>
      </c>
      <c r="Z113" s="897"/>
      <c r="AA113" s="898"/>
      <c r="AB113" s="896">
        <v>1760</v>
      </c>
      <c r="AC113" s="897"/>
      <c r="AD113" s="898"/>
      <c r="AE113" s="896">
        <v>0</v>
      </c>
      <c r="AF113" s="897"/>
      <c r="AG113" s="898"/>
      <c r="AH113" s="902">
        <v>0.33200000000000002</v>
      </c>
      <c r="AI113" s="903"/>
      <c r="AJ113" s="904"/>
      <c r="AK113" s="902">
        <v>0.44700000000000001</v>
      </c>
      <c r="AL113" s="903"/>
      <c r="AM113" s="904"/>
      <c r="AN113" s="902">
        <v>0.48699999999999999</v>
      </c>
      <c r="AO113" s="903"/>
      <c r="AP113" s="904"/>
    </row>
    <row r="114" spans="1:42" x14ac:dyDescent="0.3">
      <c r="A114" s="905">
        <f t="shared" si="0"/>
        <v>2025</v>
      </c>
      <c r="B114" s="906"/>
      <c r="C114" s="907"/>
      <c r="D114" s="908">
        <v>4</v>
      </c>
      <c r="E114" s="908"/>
      <c r="F114" s="908"/>
      <c r="G114" s="896">
        <v>178.83890728588025</v>
      </c>
      <c r="H114" s="897"/>
      <c r="I114" s="898"/>
      <c r="J114" s="896">
        <v>521.40357476305928</v>
      </c>
      <c r="K114" s="897"/>
      <c r="L114" s="898"/>
      <c r="M114" s="896">
        <v>0</v>
      </c>
      <c r="N114" s="897"/>
      <c r="O114" s="898"/>
      <c r="P114" s="902">
        <v>0.1049524103790377</v>
      </c>
      <c r="Q114" s="903"/>
      <c r="R114" s="904"/>
      <c r="S114" s="902">
        <v>0.14105603954942669</v>
      </c>
      <c r="T114" s="903"/>
      <c r="U114" s="904"/>
      <c r="V114" s="902">
        <v>0.15281070951187889</v>
      </c>
      <c r="W114" s="903"/>
      <c r="X114" s="904"/>
      <c r="Y114" s="896">
        <v>782</v>
      </c>
      <c r="Z114" s="897"/>
      <c r="AA114" s="898"/>
      <c r="AB114" s="896">
        <v>2281</v>
      </c>
      <c r="AC114" s="897"/>
      <c r="AD114" s="898"/>
      <c r="AE114" s="896">
        <v>0</v>
      </c>
      <c r="AF114" s="897"/>
      <c r="AG114" s="898"/>
      <c r="AH114" s="902">
        <v>0.437</v>
      </c>
      <c r="AI114" s="903"/>
      <c r="AJ114" s="904"/>
      <c r="AK114" s="902">
        <v>0.58799999999999997</v>
      </c>
      <c r="AL114" s="903"/>
      <c r="AM114" s="904"/>
      <c r="AN114" s="902">
        <v>0.64</v>
      </c>
      <c r="AO114" s="903"/>
      <c r="AP114" s="904"/>
    </row>
    <row r="115" spans="1:42" x14ac:dyDescent="0.3">
      <c r="A115" s="905">
        <f t="shared" si="0"/>
        <v>2026</v>
      </c>
      <c r="B115" s="906"/>
      <c r="C115" s="907"/>
      <c r="D115" s="908">
        <v>5</v>
      </c>
      <c r="E115" s="908"/>
      <c r="F115" s="908"/>
      <c r="G115" s="896">
        <v>168.71595026969834</v>
      </c>
      <c r="H115" s="897"/>
      <c r="I115" s="898"/>
      <c r="J115" s="896">
        <v>491.89016487081068</v>
      </c>
      <c r="K115" s="897"/>
      <c r="L115" s="898"/>
      <c r="M115" s="896">
        <v>0</v>
      </c>
      <c r="N115" s="897"/>
      <c r="O115" s="898"/>
      <c r="P115" s="902">
        <v>0.10218008255770464</v>
      </c>
      <c r="Q115" s="903"/>
      <c r="R115" s="904"/>
      <c r="S115" s="902">
        <v>0.13703220374017752</v>
      </c>
      <c r="T115" s="903"/>
      <c r="U115" s="904"/>
      <c r="V115" s="902">
        <v>0.14812151502550983</v>
      </c>
      <c r="W115" s="903"/>
      <c r="X115" s="904"/>
      <c r="Y115" s="896">
        <v>951</v>
      </c>
      <c r="Z115" s="897"/>
      <c r="AA115" s="898"/>
      <c r="AB115" s="896">
        <v>2773</v>
      </c>
      <c r="AC115" s="897"/>
      <c r="AD115" s="898"/>
      <c r="AE115" s="896">
        <v>0</v>
      </c>
      <c r="AF115" s="897"/>
      <c r="AG115" s="898"/>
      <c r="AH115" s="902">
        <v>0.53900000000000003</v>
      </c>
      <c r="AI115" s="903"/>
      <c r="AJ115" s="904"/>
      <c r="AK115" s="902">
        <v>0.72499999999999998</v>
      </c>
      <c r="AL115" s="903"/>
      <c r="AM115" s="904"/>
      <c r="AN115" s="902">
        <v>0.78800000000000003</v>
      </c>
      <c r="AO115" s="903"/>
      <c r="AP115" s="904"/>
    </row>
    <row r="116" spans="1:42" x14ac:dyDescent="0.3">
      <c r="A116" s="905">
        <f t="shared" si="0"/>
        <v>2027</v>
      </c>
      <c r="B116" s="906"/>
      <c r="C116" s="907"/>
      <c r="D116" s="908">
        <v>6</v>
      </c>
      <c r="E116" s="908"/>
      <c r="F116" s="908"/>
      <c r="G116" s="896">
        <v>159.16599082047011</v>
      </c>
      <c r="H116" s="897"/>
      <c r="I116" s="898"/>
      <c r="J116" s="896">
        <v>464.04732534982134</v>
      </c>
      <c r="K116" s="897"/>
      <c r="L116" s="898"/>
      <c r="M116" s="896">
        <v>0</v>
      </c>
      <c r="N116" s="897"/>
      <c r="O116" s="898"/>
      <c r="P116" s="902">
        <v>9.9385336991185569E-2</v>
      </c>
      <c r="Q116" s="903"/>
      <c r="R116" s="904"/>
      <c r="S116" s="902">
        <v>0.13301195477015812</v>
      </c>
      <c r="T116" s="903"/>
      <c r="U116" s="904"/>
      <c r="V116" s="902">
        <v>0.14422082736314898</v>
      </c>
      <c r="W116" s="903"/>
      <c r="X116" s="904"/>
      <c r="Y116" s="896">
        <v>1110</v>
      </c>
      <c r="Z116" s="897"/>
      <c r="AA116" s="898"/>
      <c r="AB116" s="896">
        <v>3237</v>
      </c>
      <c r="AC116" s="897"/>
      <c r="AD116" s="898"/>
      <c r="AE116" s="896">
        <v>0</v>
      </c>
      <c r="AF116" s="897"/>
      <c r="AG116" s="898"/>
      <c r="AH116" s="902">
        <v>0.63900000000000001</v>
      </c>
      <c r="AI116" s="903"/>
      <c r="AJ116" s="904"/>
      <c r="AK116" s="902">
        <v>0.85799999999999998</v>
      </c>
      <c r="AL116" s="903"/>
      <c r="AM116" s="904"/>
      <c r="AN116" s="902">
        <v>0.93200000000000005</v>
      </c>
      <c r="AO116" s="903"/>
      <c r="AP116" s="904"/>
    </row>
    <row r="117" spans="1:42" x14ac:dyDescent="0.3">
      <c r="A117" s="905">
        <f t="shared" si="0"/>
        <v>2028</v>
      </c>
      <c r="B117" s="906"/>
      <c r="C117" s="907"/>
      <c r="D117" s="908">
        <v>7</v>
      </c>
      <c r="E117" s="908"/>
      <c r="F117" s="908"/>
      <c r="G117" s="896">
        <v>150.15659511365104</v>
      </c>
      <c r="H117" s="897"/>
      <c r="I117" s="898"/>
      <c r="J117" s="896">
        <v>437.78049561303897</v>
      </c>
      <c r="K117" s="897"/>
      <c r="L117" s="898"/>
      <c r="M117" s="896">
        <v>0</v>
      </c>
      <c r="N117" s="897"/>
      <c r="O117" s="898"/>
      <c r="P117" s="902">
        <v>9.6579594040235653E-2</v>
      </c>
      <c r="Q117" s="903"/>
      <c r="R117" s="904"/>
      <c r="S117" s="902">
        <v>0.12900777890046075</v>
      </c>
      <c r="T117" s="903"/>
      <c r="U117" s="904"/>
      <c r="V117" s="902">
        <v>0.14028714754749558</v>
      </c>
      <c r="W117" s="903"/>
      <c r="X117" s="904"/>
      <c r="Y117" s="896">
        <v>1260</v>
      </c>
      <c r="Z117" s="897"/>
      <c r="AA117" s="898"/>
      <c r="AB117" s="896">
        <v>3675</v>
      </c>
      <c r="AC117" s="897"/>
      <c r="AD117" s="898"/>
      <c r="AE117" s="896">
        <v>0</v>
      </c>
      <c r="AF117" s="897"/>
      <c r="AG117" s="898"/>
      <c r="AH117" s="902">
        <v>0.73499999999999999</v>
      </c>
      <c r="AI117" s="903"/>
      <c r="AJ117" s="904"/>
      <c r="AK117" s="902">
        <v>0.98699999999999999</v>
      </c>
      <c r="AL117" s="903"/>
      <c r="AM117" s="904"/>
      <c r="AN117" s="902">
        <v>1.0720000000000001</v>
      </c>
      <c r="AO117" s="903"/>
      <c r="AP117" s="904"/>
    </row>
    <row r="118" spans="1:42" x14ac:dyDescent="0.3">
      <c r="A118" s="905">
        <f t="shared" si="0"/>
        <v>2029</v>
      </c>
      <c r="B118" s="906"/>
      <c r="C118" s="907"/>
      <c r="D118" s="908">
        <v>8</v>
      </c>
      <c r="E118" s="908"/>
      <c r="F118" s="908"/>
      <c r="G118" s="896">
        <v>141.65716520155758</v>
      </c>
      <c r="H118" s="897"/>
      <c r="I118" s="898"/>
      <c r="J118" s="896">
        <v>413.00046755947068</v>
      </c>
      <c r="K118" s="897"/>
      <c r="L118" s="898"/>
      <c r="M118" s="896">
        <v>0</v>
      </c>
      <c r="N118" s="897"/>
      <c r="O118" s="898"/>
      <c r="P118" s="902">
        <v>9.377305302074937E-2</v>
      </c>
      <c r="Q118" s="903"/>
      <c r="R118" s="904"/>
      <c r="S118" s="902">
        <v>0.12503073736099918</v>
      </c>
      <c r="T118" s="903"/>
      <c r="U118" s="904"/>
      <c r="V118" s="902">
        <v>0.13633670829257888</v>
      </c>
      <c r="W118" s="903"/>
      <c r="X118" s="904"/>
      <c r="Y118" s="896">
        <v>1402</v>
      </c>
      <c r="Z118" s="897"/>
      <c r="AA118" s="898"/>
      <c r="AB118" s="896">
        <v>4088</v>
      </c>
      <c r="AC118" s="897"/>
      <c r="AD118" s="898"/>
      <c r="AE118" s="896">
        <v>0</v>
      </c>
      <c r="AF118" s="897"/>
      <c r="AG118" s="898"/>
      <c r="AH118" s="902">
        <v>0.82899999999999996</v>
      </c>
      <c r="AI118" s="903"/>
      <c r="AJ118" s="904"/>
      <c r="AK118" s="902">
        <v>1.1120000000000001</v>
      </c>
      <c r="AL118" s="903"/>
      <c r="AM118" s="904"/>
      <c r="AN118" s="902">
        <v>1.2090000000000001</v>
      </c>
      <c r="AO118" s="903"/>
      <c r="AP118" s="904"/>
    </row>
    <row r="119" spans="1:42" x14ac:dyDescent="0.3">
      <c r="A119" s="905">
        <f t="shared" si="0"/>
        <v>2030</v>
      </c>
      <c r="B119" s="906"/>
      <c r="C119" s="907"/>
      <c r="D119" s="908">
        <v>9</v>
      </c>
      <c r="E119" s="908"/>
      <c r="F119" s="908"/>
      <c r="G119" s="896">
        <v>133.63883509580904</v>
      </c>
      <c r="H119" s="897"/>
      <c r="I119" s="898"/>
      <c r="J119" s="896">
        <v>389.62308260327427</v>
      </c>
      <c r="K119" s="897"/>
      <c r="L119" s="898"/>
      <c r="M119" s="896">
        <v>0</v>
      </c>
      <c r="N119" s="897"/>
      <c r="O119" s="898"/>
      <c r="P119" s="902">
        <v>9.0974793844564833E-2</v>
      </c>
      <c r="Q119" s="903"/>
      <c r="R119" s="904"/>
      <c r="S119" s="902">
        <v>0.12171800004031434</v>
      </c>
      <c r="T119" s="903"/>
      <c r="U119" s="904"/>
      <c r="V119" s="902">
        <v>0.13238401035312539</v>
      </c>
      <c r="W119" s="903"/>
      <c r="X119" s="904"/>
      <c r="Y119" s="896">
        <v>1536</v>
      </c>
      <c r="Z119" s="897"/>
      <c r="AA119" s="898"/>
      <c r="AB119" s="896">
        <v>4477</v>
      </c>
      <c r="AC119" s="897"/>
      <c r="AD119" s="898"/>
      <c r="AE119" s="896">
        <v>0</v>
      </c>
      <c r="AF119" s="897"/>
      <c r="AG119" s="898"/>
      <c r="AH119" s="902">
        <v>0.92</v>
      </c>
      <c r="AI119" s="903"/>
      <c r="AJ119" s="904"/>
      <c r="AK119" s="902">
        <v>1.234</v>
      </c>
      <c r="AL119" s="903"/>
      <c r="AM119" s="904"/>
      <c r="AN119" s="902">
        <v>1.341</v>
      </c>
      <c r="AO119" s="903"/>
      <c r="AP119" s="904"/>
    </row>
    <row r="120" spans="1:42" x14ac:dyDescent="0.3">
      <c r="A120" s="905">
        <f t="shared" si="0"/>
        <v>2031</v>
      </c>
      <c r="B120" s="906"/>
      <c r="C120" s="907"/>
      <c r="D120" s="908">
        <v>10</v>
      </c>
      <c r="E120" s="908"/>
      <c r="F120" s="908"/>
      <c r="G120" s="896">
        <v>126.07437273189532</v>
      </c>
      <c r="H120" s="897"/>
      <c r="I120" s="898"/>
      <c r="J120" s="896">
        <v>367.56894585214553</v>
      </c>
      <c r="K120" s="897"/>
      <c r="L120" s="898"/>
      <c r="M120" s="896">
        <v>0</v>
      </c>
      <c r="N120" s="897"/>
      <c r="O120" s="898"/>
      <c r="P120" s="902">
        <v>8.8192871065973719E-2</v>
      </c>
      <c r="Q120" s="903"/>
      <c r="R120" s="904"/>
      <c r="S120" s="902">
        <v>0.11837969270600501</v>
      </c>
      <c r="T120" s="903"/>
      <c r="U120" s="904"/>
      <c r="V120" s="902">
        <v>0.12844196658601542</v>
      </c>
      <c r="W120" s="903"/>
      <c r="X120" s="904"/>
      <c r="Y120" s="896">
        <v>1662</v>
      </c>
      <c r="Z120" s="897"/>
      <c r="AA120" s="898"/>
      <c r="AB120" s="896">
        <v>4845</v>
      </c>
      <c r="AC120" s="897"/>
      <c r="AD120" s="898"/>
      <c r="AE120" s="896">
        <v>0</v>
      </c>
      <c r="AF120" s="897"/>
      <c r="AG120" s="898"/>
      <c r="AH120" s="902">
        <v>1.008</v>
      </c>
      <c r="AI120" s="903"/>
      <c r="AJ120" s="904"/>
      <c r="AK120" s="902">
        <v>1.3520000000000001</v>
      </c>
      <c r="AL120" s="903"/>
      <c r="AM120" s="904"/>
      <c r="AN120" s="902">
        <v>1.4690000000000001</v>
      </c>
      <c r="AO120" s="903"/>
      <c r="AP120" s="904"/>
    </row>
    <row r="121" spans="1:42" x14ac:dyDescent="0.3">
      <c r="A121" s="905">
        <f t="shared" si="0"/>
        <v>2032</v>
      </c>
      <c r="B121" s="906"/>
      <c r="C121" s="907"/>
      <c r="D121" s="908">
        <v>11</v>
      </c>
      <c r="E121" s="908"/>
      <c r="F121" s="908"/>
      <c r="G121" s="896">
        <v>118.93808748292011</v>
      </c>
      <c r="H121" s="897"/>
      <c r="I121" s="898"/>
      <c r="J121" s="896">
        <v>346.76315646428822</v>
      </c>
      <c r="K121" s="897"/>
      <c r="L121" s="898"/>
      <c r="M121" s="896">
        <v>0</v>
      </c>
      <c r="N121" s="897"/>
      <c r="O121" s="898"/>
      <c r="P121" s="902">
        <v>8.543440086801303E-2</v>
      </c>
      <c r="Q121" s="903"/>
      <c r="R121" s="904"/>
      <c r="S121" s="902">
        <v>0.11502932404451427</v>
      </c>
      <c r="T121" s="903"/>
      <c r="U121" s="904"/>
      <c r="V121" s="902">
        <v>0.12508043002898642</v>
      </c>
      <c r="W121" s="903"/>
      <c r="X121" s="904"/>
      <c r="Y121" s="896">
        <v>1781</v>
      </c>
      <c r="Z121" s="897"/>
      <c r="AA121" s="898"/>
      <c r="AB121" s="896">
        <v>5192</v>
      </c>
      <c r="AC121" s="897"/>
      <c r="AD121" s="898"/>
      <c r="AE121" s="896">
        <v>0</v>
      </c>
      <c r="AF121" s="897"/>
      <c r="AG121" s="898"/>
      <c r="AH121" s="902">
        <v>1.0940000000000001</v>
      </c>
      <c r="AI121" s="903"/>
      <c r="AJ121" s="904"/>
      <c r="AK121" s="902">
        <v>1.4670000000000001</v>
      </c>
      <c r="AL121" s="903"/>
      <c r="AM121" s="904"/>
      <c r="AN121" s="902">
        <v>1.5940000000000001</v>
      </c>
      <c r="AO121" s="903"/>
      <c r="AP121" s="904"/>
    </row>
    <row r="122" spans="1:42" x14ac:dyDescent="0.3">
      <c r="A122" s="905">
        <f t="shared" si="0"/>
        <v>2033</v>
      </c>
      <c r="B122" s="906"/>
      <c r="C122" s="907"/>
      <c r="D122" s="908">
        <v>12</v>
      </c>
      <c r="E122" s="908"/>
      <c r="F122" s="908"/>
      <c r="G122" s="896">
        <v>112.20574290841517</v>
      </c>
      <c r="H122" s="897"/>
      <c r="I122" s="898"/>
      <c r="J122" s="896">
        <v>327.13505326819637</v>
      </c>
      <c r="K122" s="897"/>
      <c r="L122" s="898"/>
      <c r="M122" s="896">
        <v>0</v>
      </c>
      <c r="N122" s="897"/>
      <c r="O122" s="898"/>
      <c r="P122" s="902">
        <v>8.3232429011876052E-2</v>
      </c>
      <c r="Q122" s="903"/>
      <c r="R122" s="904"/>
      <c r="S122" s="902">
        <v>0.11167895538302355</v>
      </c>
      <c r="T122" s="903"/>
      <c r="U122" s="904"/>
      <c r="V122" s="902">
        <v>0.12168791836546436</v>
      </c>
      <c r="W122" s="903"/>
      <c r="X122" s="904"/>
      <c r="Y122" s="896">
        <v>1893</v>
      </c>
      <c r="Z122" s="897"/>
      <c r="AA122" s="898"/>
      <c r="AB122" s="896">
        <v>5519</v>
      </c>
      <c r="AC122" s="897"/>
      <c r="AD122" s="898"/>
      <c r="AE122" s="896">
        <v>0</v>
      </c>
      <c r="AF122" s="897"/>
      <c r="AG122" s="898"/>
      <c r="AH122" s="902">
        <v>1.177</v>
      </c>
      <c r="AI122" s="903"/>
      <c r="AJ122" s="904"/>
      <c r="AK122" s="902">
        <v>1.579</v>
      </c>
      <c r="AL122" s="903"/>
      <c r="AM122" s="904"/>
      <c r="AN122" s="902">
        <v>1.716</v>
      </c>
      <c r="AO122" s="903"/>
      <c r="AP122" s="904"/>
    </row>
    <row r="123" spans="1:42" x14ac:dyDescent="0.3">
      <c r="A123" s="905">
        <f t="shared" si="0"/>
        <v>2034</v>
      </c>
      <c r="B123" s="906"/>
      <c r="C123" s="907"/>
      <c r="D123" s="908">
        <v>13</v>
      </c>
      <c r="E123" s="908"/>
      <c r="F123" s="908"/>
      <c r="G123" s="896">
        <v>105.8544744419011</v>
      </c>
      <c r="H123" s="897"/>
      <c r="I123" s="898"/>
      <c r="J123" s="896">
        <v>308.61797478131729</v>
      </c>
      <c r="K123" s="897"/>
      <c r="L123" s="898"/>
      <c r="M123" s="896">
        <v>0</v>
      </c>
      <c r="N123" s="897"/>
      <c r="O123" s="898"/>
      <c r="P123" s="902">
        <v>8.1006006263051086E-2</v>
      </c>
      <c r="Q123" s="903"/>
      <c r="R123" s="904"/>
      <c r="S123" s="902">
        <v>0.10833932125978611</v>
      </c>
      <c r="T123" s="903"/>
      <c r="U123" s="904"/>
      <c r="V123" s="902">
        <v>0.11827870853132612</v>
      </c>
      <c r="W123" s="903"/>
      <c r="X123" s="904"/>
      <c r="Y123" s="896">
        <v>1999</v>
      </c>
      <c r="Z123" s="897"/>
      <c r="AA123" s="898"/>
      <c r="AB123" s="896">
        <v>5827</v>
      </c>
      <c r="AC123" s="897"/>
      <c r="AD123" s="898"/>
      <c r="AE123" s="896">
        <v>0</v>
      </c>
      <c r="AF123" s="897"/>
      <c r="AG123" s="898"/>
      <c r="AH123" s="902">
        <v>1.258</v>
      </c>
      <c r="AI123" s="903"/>
      <c r="AJ123" s="904"/>
      <c r="AK123" s="902">
        <v>1.6870000000000001</v>
      </c>
      <c r="AL123" s="903"/>
      <c r="AM123" s="904"/>
      <c r="AN123" s="902">
        <v>1.8340000000000001</v>
      </c>
      <c r="AO123" s="903"/>
      <c r="AP123" s="904"/>
    </row>
    <row r="124" spans="1:42" x14ac:dyDescent="0.3">
      <c r="A124" s="905">
        <f t="shared" si="0"/>
        <v>2035</v>
      </c>
      <c r="B124" s="906"/>
      <c r="C124" s="907"/>
      <c r="D124" s="908">
        <v>14</v>
      </c>
      <c r="E124" s="908"/>
      <c r="F124" s="908"/>
      <c r="G124" s="896">
        <v>99.862711737642542</v>
      </c>
      <c r="H124" s="897"/>
      <c r="I124" s="898"/>
      <c r="J124" s="896">
        <v>291.14903281256346</v>
      </c>
      <c r="K124" s="897"/>
      <c r="L124" s="898"/>
      <c r="M124" s="896">
        <v>0</v>
      </c>
      <c r="N124" s="897"/>
      <c r="O124" s="898"/>
      <c r="P124" s="902">
        <v>7.8764955736732145E-2</v>
      </c>
      <c r="Q124" s="903"/>
      <c r="R124" s="904"/>
      <c r="S124" s="902">
        <v>0.10548878000455199</v>
      </c>
      <c r="T124" s="903"/>
      <c r="U124" s="904"/>
      <c r="V124" s="902">
        <v>0.11486556044940105</v>
      </c>
      <c r="W124" s="903"/>
      <c r="X124" s="904"/>
      <c r="Y124" s="896">
        <v>2099</v>
      </c>
      <c r="Z124" s="897"/>
      <c r="AA124" s="898"/>
      <c r="AB124" s="896">
        <v>6119</v>
      </c>
      <c r="AC124" s="897"/>
      <c r="AD124" s="898"/>
      <c r="AE124" s="896">
        <v>0</v>
      </c>
      <c r="AF124" s="897"/>
      <c r="AG124" s="898"/>
      <c r="AH124" s="902">
        <v>1.337</v>
      </c>
      <c r="AI124" s="903"/>
      <c r="AJ124" s="904"/>
      <c r="AK124" s="902">
        <v>1.7929999999999999</v>
      </c>
      <c r="AL124" s="903"/>
      <c r="AM124" s="904"/>
      <c r="AN124" s="902">
        <v>1.9490000000000001</v>
      </c>
      <c r="AO124" s="903"/>
      <c r="AP124" s="904"/>
    </row>
    <row r="125" spans="1:42" x14ac:dyDescent="0.3">
      <c r="A125" s="905">
        <f t="shared" si="0"/>
        <v>2036</v>
      </c>
      <c r="B125" s="906"/>
      <c r="C125" s="907"/>
      <c r="D125" s="908">
        <v>15</v>
      </c>
      <c r="E125" s="908"/>
      <c r="F125" s="908"/>
      <c r="G125" s="896">
        <v>94.210105412870334</v>
      </c>
      <c r="H125" s="897"/>
      <c r="I125" s="898"/>
      <c r="J125" s="896">
        <v>274.66889887977686</v>
      </c>
      <c r="K125" s="897"/>
      <c r="L125" s="898"/>
      <c r="M125" s="896">
        <v>0</v>
      </c>
      <c r="N125" s="897"/>
      <c r="O125" s="898"/>
      <c r="P125" s="902">
        <v>7.6518066837683404E-2</v>
      </c>
      <c r="Q125" s="903"/>
      <c r="R125" s="904"/>
      <c r="S125" s="902">
        <v>0.10261382373608412</v>
      </c>
      <c r="T125" s="903"/>
      <c r="U125" s="904"/>
      <c r="V125" s="902">
        <v>0.11145984302367758</v>
      </c>
      <c r="W125" s="903"/>
      <c r="X125" s="904"/>
      <c r="Y125" s="896">
        <v>2193</v>
      </c>
      <c r="Z125" s="897"/>
      <c r="AA125" s="898"/>
      <c r="AB125" s="896">
        <v>6393</v>
      </c>
      <c r="AC125" s="897"/>
      <c r="AD125" s="898"/>
      <c r="AE125" s="896">
        <v>0</v>
      </c>
      <c r="AF125" s="897"/>
      <c r="AG125" s="898"/>
      <c r="AH125" s="902">
        <v>1.413</v>
      </c>
      <c r="AI125" s="903"/>
      <c r="AJ125" s="904"/>
      <c r="AK125" s="902">
        <v>1.8959999999999999</v>
      </c>
      <c r="AL125" s="903"/>
      <c r="AM125" s="904"/>
      <c r="AN125" s="902">
        <v>2.0609999999999999</v>
      </c>
      <c r="AO125" s="903"/>
      <c r="AP125" s="904"/>
    </row>
    <row r="126" spans="1:42" x14ac:dyDescent="0.3">
      <c r="A126" s="905">
        <f t="shared" si="0"/>
        <v>2037</v>
      </c>
      <c r="B126" s="906"/>
      <c r="C126" s="907"/>
      <c r="D126" s="908">
        <v>16</v>
      </c>
      <c r="E126" s="908"/>
      <c r="F126" s="908"/>
      <c r="G126" s="896">
        <v>88.877457936670098</v>
      </c>
      <c r="H126" s="897"/>
      <c r="I126" s="898"/>
      <c r="J126" s="896">
        <v>259.12160271677055</v>
      </c>
      <c r="K126" s="897"/>
      <c r="L126" s="898"/>
      <c r="M126" s="896">
        <v>0</v>
      </c>
      <c r="N126" s="897"/>
      <c r="O126" s="898"/>
      <c r="P126" s="902">
        <v>7.4273180810926182E-2</v>
      </c>
      <c r="Q126" s="903"/>
      <c r="R126" s="904"/>
      <c r="S126" s="902">
        <v>9.9726349515794135E-2</v>
      </c>
      <c r="T126" s="903"/>
      <c r="U126" s="904"/>
      <c r="V126" s="902">
        <v>0.1084889157912405</v>
      </c>
      <c r="W126" s="903"/>
      <c r="X126" s="904"/>
      <c r="Y126" s="896">
        <v>2282</v>
      </c>
      <c r="Z126" s="897"/>
      <c r="AA126" s="898"/>
      <c r="AB126" s="896">
        <v>6652</v>
      </c>
      <c r="AC126" s="897"/>
      <c r="AD126" s="898"/>
      <c r="AE126" s="896">
        <v>0</v>
      </c>
      <c r="AF126" s="897"/>
      <c r="AG126" s="898"/>
      <c r="AH126" s="902">
        <v>1.4870000000000001</v>
      </c>
      <c r="AI126" s="903"/>
      <c r="AJ126" s="904"/>
      <c r="AK126" s="902">
        <v>1.9950000000000001</v>
      </c>
      <c r="AL126" s="903"/>
      <c r="AM126" s="904"/>
      <c r="AN126" s="902">
        <v>2.169</v>
      </c>
      <c r="AO126" s="903"/>
      <c r="AP126" s="904"/>
    </row>
    <row r="127" spans="1:42" x14ac:dyDescent="0.3">
      <c r="A127" s="905">
        <f t="shared" si="0"/>
        <v>2038</v>
      </c>
      <c r="B127" s="906"/>
      <c r="C127" s="907"/>
      <c r="D127" s="908">
        <v>17</v>
      </c>
      <c r="E127" s="908"/>
      <c r="F127" s="908"/>
      <c r="G127" s="896">
        <v>83.846658430820867</v>
      </c>
      <c r="H127" s="897"/>
      <c r="I127" s="898"/>
      <c r="J127" s="896">
        <v>244.45434218563267</v>
      </c>
      <c r="K127" s="897"/>
      <c r="L127" s="898"/>
      <c r="M127" s="896">
        <v>0</v>
      </c>
      <c r="N127" s="897"/>
      <c r="O127" s="898"/>
      <c r="P127" s="902">
        <v>7.2037269919437638E-2</v>
      </c>
      <c r="Q127" s="903"/>
      <c r="R127" s="904"/>
      <c r="S127" s="902">
        <v>9.6836985793342406E-2</v>
      </c>
      <c r="T127" s="903"/>
      <c r="U127" s="904"/>
      <c r="V127" s="902">
        <v>0.10549720403502344</v>
      </c>
      <c r="W127" s="903"/>
      <c r="X127" s="904"/>
      <c r="Y127" s="896">
        <v>2366</v>
      </c>
      <c r="Z127" s="897"/>
      <c r="AA127" s="898"/>
      <c r="AB127" s="896">
        <v>6897</v>
      </c>
      <c r="AC127" s="897"/>
      <c r="AD127" s="898"/>
      <c r="AE127" s="896">
        <v>0</v>
      </c>
      <c r="AF127" s="897"/>
      <c r="AG127" s="898"/>
      <c r="AH127" s="902">
        <v>1.5589999999999999</v>
      </c>
      <c r="AI127" s="903"/>
      <c r="AJ127" s="904"/>
      <c r="AK127" s="902">
        <v>2.0920000000000001</v>
      </c>
      <c r="AL127" s="903"/>
      <c r="AM127" s="904"/>
      <c r="AN127" s="902">
        <v>2.2749999999999999</v>
      </c>
      <c r="AO127" s="903"/>
      <c r="AP127" s="904"/>
    </row>
    <row r="128" spans="1:42" x14ac:dyDescent="0.3">
      <c r="A128" s="905">
        <f t="shared" si="0"/>
        <v>2039</v>
      </c>
      <c r="B128" s="906"/>
      <c r="C128" s="907"/>
      <c r="D128" s="908">
        <v>18</v>
      </c>
      <c r="E128" s="908"/>
      <c r="F128" s="908"/>
      <c r="G128" s="896">
        <v>79.10062116115175</v>
      </c>
      <c r="H128" s="897"/>
      <c r="I128" s="898"/>
      <c r="J128" s="896">
        <v>230.61730394871003</v>
      </c>
      <c r="K128" s="897"/>
      <c r="L128" s="898"/>
      <c r="M128" s="896">
        <v>0</v>
      </c>
      <c r="N128" s="897"/>
      <c r="O128" s="898"/>
      <c r="P128" s="902">
        <v>6.9816510696227838E-2</v>
      </c>
      <c r="Q128" s="903"/>
      <c r="R128" s="904"/>
      <c r="S128" s="902">
        <v>9.3955197905030013E-2</v>
      </c>
      <c r="T128" s="903"/>
      <c r="U128" s="904"/>
      <c r="V128" s="902">
        <v>0.10249657953276002</v>
      </c>
      <c r="W128" s="903"/>
      <c r="X128" s="904"/>
      <c r="Y128" s="896">
        <v>2445</v>
      </c>
      <c r="Z128" s="897"/>
      <c r="AA128" s="898"/>
      <c r="AB128" s="896">
        <v>7127</v>
      </c>
      <c r="AC128" s="897"/>
      <c r="AD128" s="898"/>
      <c r="AE128" s="896">
        <v>0</v>
      </c>
      <c r="AF128" s="897"/>
      <c r="AG128" s="898"/>
      <c r="AH128" s="902">
        <v>1.629</v>
      </c>
      <c r="AI128" s="903"/>
      <c r="AJ128" s="904"/>
      <c r="AK128" s="902">
        <v>2.1859999999999999</v>
      </c>
      <c r="AL128" s="903"/>
      <c r="AM128" s="904"/>
      <c r="AN128" s="902">
        <v>2.3769999999999998</v>
      </c>
      <c r="AO128" s="903"/>
      <c r="AP128" s="904"/>
    </row>
    <row r="129" spans="1:42" x14ac:dyDescent="0.3">
      <c r="A129" s="905">
        <f t="shared" si="0"/>
        <v>2040</v>
      </c>
      <c r="B129" s="906"/>
      <c r="C129" s="907"/>
      <c r="D129" s="908">
        <v>19</v>
      </c>
      <c r="E129" s="908"/>
      <c r="F129" s="908"/>
      <c r="G129" s="896">
        <v>74.623227510520522</v>
      </c>
      <c r="H129" s="897"/>
      <c r="I129" s="898"/>
      <c r="J129" s="896">
        <v>217.56349429123588</v>
      </c>
      <c r="K129" s="897"/>
      <c r="L129" s="898"/>
      <c r="M129" s="896">
        <v>0</v>
      </c>
      <c r="N129" s="897"/>
      <c r="O129" s="898"/>
      <c r="P129" s="902">
        <v>6.7966695479065642E-2</v>
      </c>
      <c r="Q129" s="903"/>
      <c r="R129" s="904"/>
      <c r="S129" s="902">
        <v>9.1439729484722329E-2</v>
      </c>
      <c r="T129" s="903"/>
      <c r="U129" s="904"/>
      <c r="V129" s="902">
        <v>9.9497636680694015E-2</v>
      </c>
      <c r="W129" s="903"/>
      <c r="X129" s="904"/>
      <c r="Y129" s="896">
        <v>2519</v>
      </c>
      <c r="Z129" s="897"/>
      <c r="AA129" s="898"/>
      <c r="AB129" s="896">
        <v>7345</v>
      </c>
      <c r="AC129" s="897"/>
      <c r="AD129" s="898"/>
      <c r="AE129" s="896">
        <v>0</v>
      </c>
      <c r="AF129" s="897"/>
      <c r="AG129" s="898"/>
      <c r="AH129" s="902">
        <v>1.6970000000000001</v>
      </c>
      <c r="AI129" s="903"/>
      <c r="AJ129" s="904"/>
      <c r="AK129" s="902">
        <v>2.2770000000000001</v>
      </c>
      <c r="AL129" s="903"/>
      <c r="AM129" s="904"/>
      <c r="AN129" s="902">
        <v>2.4769999999999999</v>
      </c>
      <c r="AO129" s="903"/>
      <c r="AP129" s="904"/>
    </row>
    <row r="130" spans="1:42" x14ac:dyDescent="0.3">
      <c r="A130" s="905">
        <f t="shared" si="0"/>
        <v>2041</v>
      </c>
      <c r="B130" s="906"/>
      <c r="C130" s="907"/>
      <c r="D130" s="908">
        <v>20</v>
      </c>
      <c r="E130" s="908"/>
      <c r="F130" s="908"/>
      <c r="G130" s="896">
        <v>70.399271236340113</v>
      </c>
      <c r="H130" s="897"/>
      <c r="I130" s="898"/>
      <c r="J130" s="896">
        <v>205.24857952003384</v>
      </c>
      <c r="K130" s="897"/>
      <c r="L130" s="898"/>
      <c r="M130" s="896">
        <v>0</v>
      </c>
      <c r="N130" s="897"/>
      <c r="O130" s="898"/>
      <c r="P130" s="902">
        <v>6.6102602099849875E-2</v>
      </c>
      <c r="Q130" s="903"/>
      <c r="R130" s="904"/>
      <c r="S130" s="902">
        <v>8.8907999824298076E-2</v>
      </c>
      <c r="T130" s="903"/>
      <c r="U130" s="904"/>
      <c r="V130" s="902">
        <v>9.684031207628005E-2</v>
      </c>
      <c r="W130" s="903"/>
      <c r="X130" s="904"/>
      <c r="Y130" s="896">
        <v>2590</v>
      </c>
      <c r="Z130" s="897"/>
      <c r="AA130" s="898"/>
      <c r="AB130" s="896">
        <v>7550</v>
      </c>
      <c r="AC130" s="897"/>
      <c r="AD130" s="898"/>
      <c r="AE130" s="896">
        <v>0</v>
      </c>
      <c r="AF130" s="897"/>
      <c r="AG130" s="898"/>
      <c r="AH130" s="902">
        <v>1.7629999999999999</v>
      </c>
      <c r="AI130" s="903"/>
      <c r="AJ130" s="904"/>
      <c r="AK130" s="902">
        <v>2.3660000000000001</v>
      </c>
      <c r="AL130" s="903"/>
      <c r="AM130" s="904"/>
      <c r="AN130" s="902">
        <v>2.5739999999999998</v>
      </c>
      <c r="AO130" s="903"/>
      <c r="AP130" s="904"/>
    </row>
    <row r="131" spans="1:42" x14ac:dyDescent="0.3">
      <c r="A131" s="905">
        <f t="shared" si="0"/>
        <v>2042</v>
      </c>
      <c r="B131" s="906"/>
      <c r="C131" s="907"/>
      <c r="D131" s="908">
        <v>21</v>
      </c>
      <c r="E131" s="908"/>
      <c r="F131" s="908"/>
      <c r="G131" s="896">
        <v>66.414406826735956</v>
      </c>
      <c r="H131" s="897"/>
      <c r="I131" s="898"/>
      <c r="J131" s="896">
        <v>193.63073539625833</v>
      </c>
      <c r="K131" s="897"/>
      <c r="L131" s="898"/>
      <c r="M131" s="896">
        <v>0</v>
      </c>
      <c r="N131" s="897"/>
      <c r="O131" s="898"/>
      <c r="P131" s="902">
        <v>6.4231773738533351E-2</v>
      </c>
      <c r="Q131" s="903"/>
      <c r="R131" s="904"/>
      <c r="S131" s="902">
        <v>8.6369909347445359E-2</v>
      </c>
      <c r="T131" s="903"/>
      <c r="U131" s="904"/>
      <c r="V131" s="902">
        <v>9.4165027519597447E-2</v>
      </c>
      <c r="W131" s="903"/>
      <c r="X131" s="904"/>
      <c r="Y131" s="896">
        <v>2656</v>
      </c>
      <c r="Z131" s="897"/>
      <c r="AA131" s="898"/>
      <c r="AB131" s="896">
        <v>7744</v>
      </c>
      <c r="AC131" s="897"/>
      <c r="AD131" s="898"/>
      <c r="AE131" s="896">
        <v>0</v>
      </c>
      <c r="AF131" s="897"/>
      <c r="AG131" s="898"/>
      <c r="AH131" s="902">
        <v>1.827</v>
      </c>
      <c r="AI131" s="903"/>
      <c r="AJ131" s="904"/>
      <c r="AK131" s="902">
        <v>2.4529999999999998</v>
      </c>
      <c r="AL131" s="903"/>
      <c r="AM131" s="904"/>
      <c r="AN131" s="902">
        <v>2.6680000000000001</v>
      </c>
      <c r="AO131" s="903"/>
      <c r="AP131" s="904"/>
    </row>
    <row r="132" spans="1:42" x14ac:dyDescent="0.3">
      <c r="A132" s="905">
        <f t="shared" si="0"/>
        <v>2043</v>
      </c>
      <c r="B132" s="906"/>
      <c r="C132" s="907"/>
      <c r="D132" s="908">
        <v>22</v>
      </c>
      <c r="E132" s="908"/>
      <c r="F132" s="908"/>
      <c r="G132" s="896">
        <v>62.655100779939566</v>
      </c>
      <c r="H132" s="897"/>
      <c r="I132" s="898"/>
      <c r="J132" s="896">
        <v>182.67050509080971</v>
      </c>
      <c r="K132" s="897"/>
      <c r="L132" s="898"/>
      <c r="M132" s="896">
        <v>0</v>
      </c>
      <c r="N132" s="897"/>
      <c r="O132" s="898"/>
      <c r="P132" s="902">
        <v>6.2360945377216842E-2</v>
      </c>
      <c r="Q132" s="903"/>
      <c r="R132" s="904"/>
      <c r="S132" s="902">
        <v>8.3834289775975471E-2</v>
      </c>
      <c r="T132" s="903"/>
      <c r="U132" s="904"/>
      <c r="V132" s="902">
        <v>9.1482330246766219E-2</v>
      </c>
      <c r="W132" s="903"/>
      <c r="X132" s="904"/>
      <c r="Y132" s="896">
        <v>2719</v>
      </c>
      <c r="Z132" s="897"/>
      <c r="AA132" s="898"/>
      <c r="AB132" s="896">
        <v>7926</v>
      </c>
      <c r="AC132" s="897"/>
      <c r="AD132" s="898"/>
      <c r="AE132" s="896">
        <v>0</v>
      </c>
      <c r="AF132" s="897"/>
      <c r="AG132" s="898"/>
      <c r="AH132" s="902">
        <v>1.89</v>
      </c>
      <c r="AI132" s="903"/>
      <c r="AJ132" s="904"/>
      <c r="AK132" s="902">
        <v>2.5369999999999999</v>
      </c>
      <c r="AL132" s="903"/>
      <c r="AM132" s="904"/>
      <c r="AN132" s="902">
        <v>2.7589999999999999</v>
      </c>
      <c r="AO132" s="903"/>
      <c r="AP132" s="904"/>
    </row>
    <row r="133" spans="1:42" x14ac:dyDescent="0.3">
      <c r="A133" s="905">
        <f t="shared" si="0"/>
        <v>2044</v>
      </c>
      <c r="B133" s="906"/>
      <c r="C133" s="907"/>
      <c r="D133" s="908">
        <v>23</v>
      </c>
      <c r="E133" s="908"/>
      <c r="F133" s="908"/>
      <c r="G133" s="896">
        <v>59.108585641452414</v>
      </c>
      <c r="H133" s="897"/>
      <c r="I133" s="898"/>
      <c r="J133" s="896">
        <v>172.33066518000916</v>
      </c>
      <c r="K133" s="897"/>
      <c r="L133" s="898"/>
      <c r="M133" s="896">
        <v>0</v>
      </c>
      <c r="N133" s="897"/>
      <c r="O133" s="898"/>
      <c r="P133" s="902">
        <v>6.0496111125993554E-2</v>
      </c>
      <c r="Q133" s="903"/>
      <c r="R133" s="904"/>
      <c r="S133" s="902">
        <v>8.1586498491018816E-2</v>
      </c>
      <c r="T133" s="903"/>
      <c r="U133" s="904"/>
      <c r="V133" s="902">
        <v>8.8801631010632737E-2</v>
      </c>
      <c r="W133" s="903"/>
      <c r="X133" s="904"/>
      <c r="Y133" s="896">
        <v>2778</v>
      </c>
      <c r="Z133" s="897"/>
      <c r="AA133" s="898"/>
      <c r="AB133" s="896">
        <v>8099</v>
      </c>
      <c r="AC133" s="897"/>
      <c r="AD133" s="898"/>
      <c r="AE133" s="896">
        <v>0</v>
      </c>
      <c r="AF133" s="897"/>
      <c r="AG133" s="898"/>
      <c r="AH133" s="902">
        <v>1.95</v>
      </c>
      <c r="AI133" s="903"/>
      <c r="AJ133" s="904"/>
      <c r="AK133" s="902">
        <v>2.6179999999999999</v>
      </c>
      <c r="AL133" s="903"/>
      <c r="AM133" s="904"/>
      <c r="AN133" s="902">
        <v>2.8479999999999999</v>
      </c>
      <c r="AO133" s="903"/>
      <c r="AP133" s="904"/>
    </row>
    <row r="134" spans="1:42" x14ac:dyDescent="0.3">
      <c r="A134" s="905">
        <f t="shared" si="0"/>
        <v>2045</v>
      </c>
      <c r="B134" s="906"/>
      <c r="C134" s="907"/>
      <c r="D134" s="908">
        <v>24</v>
      </c>
      <c r="E134" s="908"/>
      <c r="F134" s="908"/>
      <c r="G134" s="896">
        <v>55.762816642879628</v>
      </c>
      <c r="H134" s="897"/>
      <c r="I134" s="898"/>
      <c r="J134" s="896">
        <v>162.57609922642371</v>
      </c>
      <c r="K134" s="897"/>
      <c r="L134" s="898"/>
      <c r="M134" s="896">
        <v>0</v>
      </c>
      <c r="N134" s="897"/>
      <c r="O134" s="898"/>
      <c r="P134" s="902">
        <v>5.8904383777689751E-2</v>
      </c>
      <c r="Q134" s="903"/>
      <c r="R134" s="904"/>
      <c r="S134" s="902">
        <v>7.9324570153955526E-2</v>
      </c>
      <c r="T134" s="903"/>
      <c r="U134" s="904"/>
      <c r="V134" s="902">
        <v>8.6393096207278308E-2</v>
      </c>
      <c r="W134" s="903"/>
      <c r="X134" s="904"/>
      <c r="Y134" s="896">
        <v>2834</v>
      </c>
      <c r="Z134" s="897"/>
      <c r="AA134" s="898"/>
      <c r="AB134" s="896">
        <v>8261</v>
      </c>
      <c r="AC134" s="897"/>
      <c r="AD134" s="898"/>
      <c r="AE134" s="896">
        <v>0</v>
      </c>
      <c r="AF134" s="897"/>
      <c r="AG134" s="898"/>
      <c r="AH134" s="902">
        <v>2.0089999999999999</v>
      </c>
      <c r="AI134" s="903"/>
      <c r="AJ134" s="904"/>
      <c r="AK134" s="902">
        <v>2.6970000000000001</v>
      </c>
      <c r="AL134" s="903"/>
      <c r="AM134" s="904"/>
      <c r="AN134" s="902">
        <v>2.9340000000000002</v>
      </c>
      <c r="AO134" s="903"/>
      <c r="AP134" s="904"/>
    </row>
    <row r="135" spans="1:42" x14ac:dyDescent="0.3">
      <c r="A135" s="905">
        <f t="shared" si="0"/>
        <v>2046</v>
      </c>
      <c r="B135" s="906"/>
      <c r="C135" s="907"/>
      <c r="D135" s="908">
        <v>25</v>
      </c>
      <c r="E135" s="908"/>
      <c r="F135" s="908"/>
      <c r="G135" s="899">
        <v>52.606430795169466</v>
      </c>
      <c r="H135" s="900"/>
      <c r="I135" s="901"/>
      <c r="J135" s="899">
        <v>153.37367851549408</v>
      </c>
      <c r="K135" s="900"/>
      <c r="L135" s="901"/>
      <c r="M135" s="899">
        <v>0</v>
      </c>
      <c r="N135" s="900"/>
      <c r="O135" s="901"/>
      <c r="P135" s="902">
        <v>5.7299023213517923E-2</v>
      </c>
      <c r="Q135" s="903"/>
      <c r="R135" s="904"/>
      <c r="S135" s="902">
        <v>7.705730708024823E-2</v>
      </c>
      <c r="T135" s="903"/>
      <c r="U135" s="904"/>
      <c r="V135" s="902">
        <v>8.3972706433603855E-2</v>
      </c>
      <c r="W135" s="903"/>
      <c r="X135" s="904"/>
      <c r="Y135" s="899">
        <v>2886</v>
      </c>
      <c r="Z135" s="900"/>
      <c r="AA135" s="901"/>
      <c r="AB135" s="899">
        <v>8415</v>
      </c>
      <c r="AC135" s="900"/>
      <c r="AD135" s="901"/>
      <c r="AE135" s="899">
        <v>0</v>
      </c>
      <c r="AF135" s="900"/>
      <c r="AG135" s="901"/>
      <c r="AH135" s="902">
        <v>2.0670000000000002</v>
      </c>
      <c r="AI135" s="903"/>
      <c r="AJ135" s="904"/>
      <c r="AK135" s="902">
        <v>2.7749999999999999</v>
      </c>
      <c r="AL135" s="903"/>
      <c r="AM135" s="904"/>
      <c r="AN135" s="902">
        <v>3.0179999999999998</v>
      </c>
      <c r="AO135" s="903"/>
      <c r="AP135" s="904"/>
    </row>
    <row r="136" spans="1:42" x14ac:dyDescent="0.3">
      <c r="A136" s="45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261"/>
      <c r="AF136" s="261"/>
    </row>
    <row r="137" spans="1:42" x14ac:dyDescent="0.3">
      <c r="A137" s="883" t="s">
        <v>5630</v>
      </c>
      <c r="B137" s="883"/>
      <c r="C137" s="883"/>
      <c r="D137" s="883"/>
      <c r="E137" s="883"/>
      <c r="F137" s="883"/>
      <c r="G137" s="883"/>
      <c r="H137" s="883"/>
      <c r="I137" s="883"/>
      <c r="J137" s="883"/>
      <c r="K137" s="883"/>
      <c r="L137" s="883"/>
      <c r="M137" s="883"/>
      <c r="N137" s="883"/>
      <c r="O137" s="883"/>
      <c r="P137" s="883"/>
      <c r="Q137" s="883"/>
      <c r="R137" s="883"/>
      <c r="S137" s="883"/>
      <c r="T137" s="883"/>
      <c r="U137" s="883"/>
      <c r="V137" s="883"/>
      <c r="W137" s="883"/>
      <c r="X137" s="883"/>
      <c r="Y137" s="883"/>
      <c r="Z137" s="883"/>
      <c r="AA137" s="883"/>
      <c r="AB137" s="883"/>
      <c r="AC137" s="883"/>
      <c r="AD137" s="883"/>
      <c r="AE137" s="883"/>
      <c r="AF137" s="883"/>
    </row>
    <row r="138" spans="1:42" ht="23.25" customHeight="1" x14ac:dyDescent="0.3">
      <c r="A138" s="635"/>
      <c r="B138" s="635"/>
      <c r="C138" s="635"/>
      <c r="D138" s="635"/>
      <c r="E138" s="635"/>
      <c r="F138" s="635"/>
      <c r="G138" s="635"/>
      <c r="H138" s="636"/>
      <c r="I138" s="636"/>
      <c r="J138" s="636"/>
      <c r="K138" s="941" t="s">
        <v>810</v>
      </c>
      <c r="L138" s="942"/>
      <c r="M138" s="942"/>
      <c r="N138" s="943"/>
      <c r="O138" s="637"/>
      <c r="P138" s="638"/>
      <c r="Q138" s="638"/>
      <c r="R138" s="638"/>
      <c r="S138" s="638"/>
      <c r="T138" s="638"/>
      <c r="U138" s="639"/>
      <c r="V138" s="639"/>
      <c r="W138" s="639"/>
      <c r="X138" s="639"/>
      <c r="Y138" s="639"/>
      <c r="Z138" s="635"/>
      <c r="AA138" s="635"/>
      <c r="AB138" s="635"/>
      <c r="AC138" s="635"/>
      <c r="AD138" s="635"/>
      <c r="AE138" s="635"/>
      <c r="AF138" s="640"/>
      <c r="AG138" s="641"/>
      <c r="AH138" s="641"/>
      <c r="AI138" s="641"/>
      <c r="AJ138" s="641"/>
      <c r="AK138" s="641"/>
      <c r="AL138" s="641"/>
      <c r="AM138" s="641"/>
      <c r="AN138" s="641"/>
      <c r="AO138" s="641"/>
      <c r="AP138" s="641"/>
    </row>
    <row r="139" spans="1:42" x14ac:dyDescent="0.3">
      <c r="A139" s="642"/>
      <c r="B139" s="642"/>
      <c r="C139" s="642"/>
      <c r="D139" s="642"/>
      <c r="E139" s="642"/>
      <c r="F139" s="642"/>
      <c r="G139" s="642"/>
      <c r="H139" s="643"/>
      <c r="I139" s="643"/>
      <c r="J139" s="643"/>
      <c r="K139" s="975">
        <v>0.06</v>
      </c>
      <c r="L139" s="976"/>
      <c r="M139" s="976"/>
      <c r="N139" s="977"/>
      <c r="O139" s="644"/>
      <c r="P139" s="645"/>
      <c r="Q139" s="645"/>
      <c r="R139" s="645"/>
      <c r="S139" s="645"/>
      <c r="T139" s="645"/>
      <c r="U139" s="646"/>
      <c r="V139" s="646"/>
      <c r="W139" s="646"/>
      <c r="X139" s="646"/>
      <c r="Y139" s="646"/>
      <c r="Z139" s="642"/>
      <c r="AA139" s="642"/>
      <c r="AB139" s="642"/>
      <c r="AC139" s="642"/>
      <c r="AD139" s="642"/>
      <c r="AE139" s="642"/>
      <c r="AF139" s="647"/>
      <c r="AG139" s="641"/>
      <c r="AH139" s="641"/>
      <c r="AI139" s="641"/>
      <c r="AJ139" s="641"/>
      <c r="AK139" s="641"/>
      <c r="AL139" s="641"/>
      <c r="AM139" s="641"/>
      <c r="AN139" s="641"/>
      <c r="AO139" s="641"/>
      <c r="AP139" s="641"/>
    </row>
    <row r="140" spans="1:42" x14ac:dyDescent="0.3">
      <c r="A140" s="642"/>
      <c r="B140" s="642"/>
      <c r="C140" s="642"/>
      <c r="D140" s="642"/>
      <c r="E140" s="642"/>
      <c r="F140" s="642"/>
      <c r="G140" s="642"/>
      <c r="H140" s="643"/>
      <c r="I140" s="643"/>
      <c r="J140" s="643"/>
      <c r="K140" s="643"/>
      <c r="L140" s="643"/>
      <c r="M140" s="648"/>
      <c r="N140" s="648"/>
      <c r="O140" s="648"/>
      <c r="P140" s="648"/>
      <c r="Q140" s="648"/>
      <c r="R140" s="648"/>
      <c r="S140" s="648"/>
      <c r="T140" s="648"/>
      <c r="U140" s="648"/>
      <c r="V140" s="648"/>
      <c r="W140" s="648"/>
      <c r="X140" s="648"/>
      <c r="Y140" s="648"/>
      <c r="Z140" s="648"/>
      <c r="AA140" s="648"/>
      <c r="AB140" s="648"/>
      <c r="AC140" s="648"/>
      <c r="AD140" s="648"/>
      <c r="AE140" s="642"/>
      <c r="AF140" s="642"/>
      <c r="AG140" s="642"/>
      <c r="AH140" s="642"/>
      <c r="AI140" s="642"/>
      <c r="AJ140" s="642"/>
      <c r="AK140" s="642"/>
      <c r="AL140" s="642"/>
      <c r="AM140" s="642"/>
      <c r="AN140" s="647"/>
      <c r="AO140" s="641"/>
      <c r="AP140" s="641"/>
    </row>
    <row r="141" spans="1:42" ht="40.5" customHeight="1" x14ac:dyDescent="0.3">
      <c r="A141" s="59"/>
      <c r="B141" s="59"/>
      <c r="C141" s="59"/>
      <c r="D141" s="59"/>
      <c r="E141" s="59"/>
      <c r="F141" s="59"/>
      <c r="G141" s="978" t="s">
        <v>3434</v>
      </c>
      <c r="H141" s="945"/>
      <c r="I141" s="945"/>
      <c r="J141" s="945"/>
      <c r="K141" s="945"/>
      <c r="L141" s="945"/>
      <c r="M141" s="945"/>
      <c r="N141" s="945"/>
      <c r="O141" s="945"/>
      <c r="P141" s="978" t="s">
        <v>3437</v>
      </c>
      <c r="Q141" s="945"/>
      <c r="R141" s="945"/>
      <c r="S141" s="945"/>
      <c r="T141" s="945"/>
      <c r="U141" s="945"/>
      <c r="V141" s="945"/>
      <c r="W141" s="945"/>
      <c r="X141" s="945"/>
      <c r="Y141" s="940" t="s">
        <v>3438</v>
      </c>
      <c r="Z141" s="940"/>
      <c r="AA141" s="940"/>
      <c r="AB141" s="940"/>
      <c r="AC141" s="940"/>
      <c r="AD141" s="940"/>
      <c r="AE141" s="940"/>
      <c r="AF141" s="940"/>
      <c r="AG141" s="940"/>
      <c r="AH141" s="940" t="s">
        <v>3439</v>
      </c>
      <c r="AI141" s="940"/>
      <c r="AJ141" s="940"/>
      <c r="AK141" s="940"/>
      <c r="AL141" s="940"/>
      <c r="AM141" s="940"/>
      <c r="AN141" s="940"/>
      <c r="AO141" s="940"/>
      <c r="AP141" s="940"/>
    </row>
    <row r="142" spans="1:42" ht="28.95" customHeight="1" x14ac:dyDescent="0.3">
      <c r="A142" s="59"/>
      <c r="B142" s="59"/>
      <c r="C142" s="59"/>
      <c r="D142" s="59"/>
      <c r="E142" s="59"/>
      <c r="F142" s="59"/>
      <c r="G142" s="945" t="s">
        <v>657</v>
      </c>
      <c r="H142" s="945"/>
      <c r="I142" s="945"/>
      <c r="J142" s="945" t="s">
        <v>658</v>
      </c>
      <c r="K142" s="945"/>
      <c r="L142" s="945"/>
      <c r="M142" s="945" t="s">
        <v>3424</v>
      </c>
      <c r="N142" s="945"/>
      <c r="O142" s="945"/>
      <c r="P142" s="945" t="s">
        <v>657</v>
      </c>
      <c r="Q142" s="945"/>
      <c r="R142" s="945"/>
      <c r="S142" s="945" t="s">
        <v>658</v>
      </c>
      <c r="T142" s="945"/>
      <c r="U142" s="945"/>
      <c r="V142" s="945" t="s">
        <v>3424</v>
      </c>
      <c r="W142" s="945"/>
      <c r="X142" s="945"/>
      <c r="Y142" s="945" t="s">
        <v>657</v>
      </c>
      <c r="Z142" s="945"/>
      <c r="AA142" s="945"/>
      <c r="AB142" s="945" t="s">
        <v>658</v>
      </c>
      <c r="AC142" s="945"/>
      <c r="AD142" s="945"/>
      <c r="AE142" s="945" t="s">
        <v>3424</v>
      </c>
      <c r="AF142" s="945"/>
      <c r="AG142" s="945"/>
      <c r="AH142" s="945" t="s">
        <v>657</v>
      </c>
      <c r="AI142" s="945"/>
      <c r="AJ142" s="945"/>
      <c r="AK142" s="945" t="s">
        <v>658</v>
      </c>
      <c r="AL142" s="945"/>
      <c r="AM142" s="945"/>
      <c r="AN142" s="945" t="s">
        <v>3424</v>
      </c>
      <c r="AO142" s="945"/>
      <c r="AP142" s="945"/>
    </row>
    <row r="143" spans="1:42" ht="28.95" customHeight="1" x14ac:dyDescent="0.3">
      <c r="A143" s="939" t="s">
        <v>807</v>
      </c>
      <c r="B143" s="939"/>
      <c r="C143" s="939"/>
      <c r="D143" s="940" t="s">
        <v>3433</v>
      </c>
      <c r="E143" s="940"/>
      <c r="F143" s="940"/>
      <c r="G143" s="941" t="s">
        <v>3435</v>
      </c>
      <c r="H143" s="942"/>
      <c r="I143" s="943"/>
      <c r="J143" s="944" t="s">
        <v>3435</v>
      </c>
      <c r="K143" s="944"/>
      <c r="L143" s="944"/>
      <c r="M143" s="944" t="s">
        <v>3435</v>
      </c>
      <c r="N143" s="944"/>
      <c r="O143" s="944"/>
      <c r="P143" s="944" t="s">
        <v>3436</v>
      </c>
      <c r="Q143" s="944"/>
      <c r="R143" s="944"/>
      <c r="S143" s="944" t="s">
        <v>3436</v>
      </c>
      <c r="T143" s="944"/>
      <c r="U143" s="944"/>
      <c r="V143" s="944" t="s">
        <v>3436</v>
      </c>
      <c r="W143" s="944"/>
      <c r="X143" s="944"/>
      <c r="Y143" s="936" t="s">
        <v>2122</v>
      </c>
      <c r="Z143" s="937"/>
      <c r="AA143" s="938"/>
      <c r="AB143" s="936" t="s">
        <v>2122</v>
      </c>
      <c r="AC143" s="937"/>
      <c r="AD143" s="938"/>
      <c r="AE143" s="936" t="s">
        <v>2122</v>
      </c>
      <c r="AF143" s="937"/>
      <c r="AG143" s="938"/>
      <c r="AH143" s="936" t="s">
        <v>2123</v>
      </c>
      <c r="AI143" s="937"/>
      <c r="AJ143" s="938"/>
      <c r="AK143" s="936" t="s">
        <v>2123</v>
      </c>
      <c r="AL143" s="937"/>
      <c r="AM143" s="938"/>
      <c r="AN143" s="936" t="s">
        <v>2123</v>
      </c>
      <c r="AO143" s="937"/>
      <c r="AP143" s="938"/>
    </row>
    <row r="144" spans="1:42" x14ac:dyDescent="0.3">
      <c r="A144" s="929">
        <v>2023</v>
      </c>
      <c r="B144" s="930"/>
      <c r="C144" s="931"/>
      <c r="D144" s="932">
        <v>1</v>
      </c>
      <c r="E144" s="932"/>
      <c r="F144" s="932"/>
      <c r="G144" s="923">
        <v>218</v>
      </c>
      <c r="H144" s="924"/>
      <c r="I144" s="925"/>
      <c r="J144" s="923">
        <v>635</v>
      </c>
      <c r="K144" s="924"/>
      <c r="L144" s="925"/>
      <c r="M144" s="923">
        <v>0</v>
      </c>
      <c r="N144" s="924"/>
      <c r="O144" s="925"/>
      <c r="P144" s="926">
        <v>0.11700000000000001</v>
      </c>
      <c r="Q144" s="927"/>
      <c r="R144" s="928"/>
      <c r="S144" s="926">
        <v>0.158</v>
      </c>
      <c r="T144" s="927"/>
      <c r="U144" s="928"/>
      <c r="V144" s="926">
        <v>0.17199999999999999</v>
      </c>
      <c r="W144" s="927"/>
      <c r="X144" s="928"/>
      <c r="Y144" s="923">
        <v>218</v>
      </c>
      <c r="Z144" s="924"/>
      <c r="AA144" s="925"/>
      <c r="AB144" s="923">
        <v>635</v>
      </c>
      <c r="AC144" s="924"/>
      <c r="AD144" s="925"/>
      <c r="AE144" s="923">
        <v>0</v>
      </c>
      <c r="AF144" s="924"/>
      <c r="AG144" s="925"/>
      <c r="AH144" s="926">
        <v>0.11700000000000001</v>
      </c>
      <c r="AI144" s="927"/>
      <c r="AJ144" s="928"/>
      <c r="AK144" s="926">
        <v>0.158</v>
      </c>
      <c r="AL144" s="927"/>
      <c r="AM144" s="928"/>
      <c r="AN144" s="926">
        <v>0.17199999999999999</v>
      </c>
      <c r="AO144" s="927"/>
      <c r="AP144" s="928"/>
    </row>
    <row r="145" spans="1:42" x14ac:dyDescent="0.3">
      <c r="A145" s="929">
        <f t="shared" ref="A145:A160" si="1">A144+1</f>
        <v>2024</v>
      </c>
      <c r="B145" s="930"/>
      <c r="C145" s="931"/>
      <c r="D145" s="932">
        <v>2</v>
      </c>
      <c r="E145" s="932"/>
      <c r="F145" s="932"/>
      <c r="G145" s="923">
        <v>205.66037735849056</v>
      </c>
      <c r="H145" s="924"/>
      <c r="I145" s="925"/>
      <c r="J145" s="923">
        <v>599.05660377358492</v>
      </c>
      <c r="K145" s="924"/>
      <c r="L145" s="925"/>
      <c r="M145" s="923">
        <v>0</v>
      </c>
      <c r="N145" s="924"/>
      <c r="O145" s="925"/>
      <c r="P145" s="926">
        <v>0.1141509433962264</v>
      </c>
      <c r="Q145" s="927"/>
      <c r="R145" s="928"/>
      <c r="S145" s="926">
        <v>0.15377358490566037</v>
      </c>
      <c r="T145" s="927"/>
      <c r="U145" s="928"/>
      <c r="V145" s="926">
        <v>0.16698113207547169</v>
      </c>
      <c r="W145" s="927"/>
      <c r="X145" s="928"/>
      <c r="Y145" s="923">
        <v>424</v>
      </c>
      <c r="Z145" s="924"/>
      <c r="AA145" s="925"/>
      <c r="AB145" s="923">
        <v>1234</v>
      </c>
      <c r="AC145" s="924"/>
      <c r="AD145" s="925"/>
      <c r="AE145" s="923">
        <v>0</v>
      </c>
      <c r="AF145" s="924"/>
      <c r="AG145" s="925"/>
      <c r="AH145" s="926">
        <v>0.23100000000000001</v>
      </c>
      <c r="AI145" s="927"/>
      <c r="AJ145" s="928"/>
      <c r="AK145" s="926">
        <v>0.312</v>
      </c>
      <c r="AL145" s="927"/>
      <c r="AM145" s="928"/>
      <c r="AN145" s="926">
        <v>0.33900000000000002</v>
      </c>
      <c r="AO145" s="927"/>
      <c r="AP145" s="928"/>
    </row>
    <row r="146" spans="1:42" x14ac:dyDescent="0.3">
      <c r="A146" s="929">
        <f t="shared" si="1"/>
        <v>2025</v>
      </c>
      <c r="B146" s="930"/>
      <c r="C146" s="931"/>
      <c r="D146" s="932">
        <v>3</v>
      </c>
      <c r="E146" s="932"/>
      <c r="F146" s="932"/>
      <c r="G146" s="923">
        <v>194.01922392310428</v>
      </c>
      <c r="H146" s="924"/>
      <c r="I146" s="925"/>
      <c r="J146" s="923">
        <v>565.14773940904229</v>
      </c>
      <c r="K146" s="924"/>
      <c r="L146" s="925"/>
      <c r="M146" s="923">
        <v>0</v>
      </c>
      <c r="N146" s="924"/>
      <c r="O146" s="925"/>
      <c r="P146" s="926">
        <v>0.11124955500177998</v>
      </c>
      <c r="Q146" s="927"/>
      <c r="R146" s="928"/>
      <c r="S146" s="926">
        <v>0.1495194019223923</v>
      </c>
      <c r="T146" s="927"/>
      <c r="U146" s="928"/>
      <c r="V146" s="926">
        <v>0.16197935208259165</v>
      </c>
      <c r="W146" s="927"/>
      <c r="X146" s="928"/>
      <c r="Y146" s="923">
        <v>618</v>
      </c>
      <c r="Z146" s="924"/>
      <c r="AA146" s="925"/>
      <c r="AB146" s="923">
        <v>1799</v>
      </c>
      <c r="AC146" s="924"/>
      <c r="AD146" s="925"/>
      <c r="AE146" s="923">
        <v>0</v>
      </c>
      <c r="AF146" s="924"/>
      <c r="AG146" s="925"/>
      <c r="AH146" s="926">
        <v>0.34200000000000003</v>
      </c>
      <c r="AI146" s="927"/>
      <c r="AJ146" s="928"/>
      <c r="AK146" s="926">
        <v>0.46100000000000002</v>
      </c>
      <c r="AL146" s="927"/>
      <c r="AM146" s="928"/>
      <c r="AN146" s="926">
        <v>0.501</v>
      </c>
      <c r="AO146" s="927"/>
      <c r="AP146" s="928"/>
    </row>
    <row r="147" spans="1:42" x14ac:dyDescent="0.3">
      <c r="A147" s="929">
        <f t="shared" si="1"/>
        <v>2026</v>
      </c>
      <c r="B147" s="930"/>
      <c r="C147" s="931"/>
      <c r="D147" s="932">
        <v>4</v>
      </c>
      <c r="E147" s="932"/>
      <c r="F147" s="932"/>
      <c r="G147" s="923">
        <v>183.03700370104175</v>
      </c>
      <c r="H147" s="924"/>
      <c r="I147" s="925"/>
      <c r="J147" s="923">
        <v>533.15824472551151</v>
      </c>
      <c r="K147" s="924"/>
      <c r="L147" s="925"/>
      <c r="M147" s="923">
        <v>0</v>
      </c>
      <c r="N147" s="924"/>
      <c r="O147" s="925"/>
      <c r="P147" s="926">
        <v>0.10831088751116691</v>
      </c>
      <c r="Q147" s="927"/>
      <c r="R147" s="928"/>
      <c r="S147" s="926">
        <v>0.14525413596458817</v>
      </c>
      <c r="T147" s="927"/>
      <c r="U147" s="928"/>
      <c r="V147" s="926">
        <v>0.15700880592704039</v>
      </c>
      <c r="W147" s="927"/>
      <c r="X147" s="928"/>
      <c r="Y147" s="923">
        <v>801</v>
      </c>
      <c r="Z147" s="924"/>
      <c r="AA147" s="925"/>
      <c r="AB147" s="923">
        <v>2332</v>
      </c>
      <c r="AC147" s="924"/>
      <c r="AD147" s="925"/>
      <c r="AE147" s="923">
        <v>0</v>
      </c>
      <c r="AF147" s="924"/>
      <c r="AG147" s="925"/>
      <c r="AH147" s="926">
        <v>0.45100000000000001</v>
      </c>
      <c r="AI147" s="927"/>
      <c r="AJ147" s="928"/>
      <c r="AK147" s="926">
        <v>0.60699999999999998</v>
      </c>
      <c r="AL147" s="927"/>
      <c r="AM147" s="928"/>
      <c r="AN147" s="926">
        <v>0.65800000000000003</v>
      </c>
      <c r="AO147" s="927"/>
      <c r="AP147" s="928"/>
    </row>
    <row r="148" spans="1:42" x14ac:dyDescent="0.3">
      <c r="A148" s="929">
        <f t="shared" si="1"/>
        <v>2027</v>
      </c>
      <c r="B148" s="930"/>
      <c r="C148" s="931"/>
      <c r="D148" s="932">
        <v>5</v>
      </c>
      <c r="E148" s="932"/>
      <c r="F148" s="932"/>
      <c r="G148" s="923">
        <v>172.67641858588846</v>
      </c>
      <c r="H148" s="924"/>
      <c r="I148" s="925"/>
      <c r="J148" s="923">
        <v>502.97947615614294</v>
      </c>
      <c r="K148" s="924"/>
      <c r="L148" s="925"/>
      <c r="M148" s="923">
        <v>0</v>
      </c>
      <c r="N148" s="924"/>
      <c r="O148" s="925"/>
      <c r="P148" s="926">
        <v>0.10534845721065672</v>
      </c>
      <c r="Q148" s="927"/>
      <c r="R148" s="928"/>
      <c r="S148" s="926">
        <v>0.14099267205636762</v>
      </c>
      <c r="T148" s="927"/>
      <c r="U148" s="928"/>
      <c r="V148" s="926">
        <v>0.15287407700493794</v>
      </c>
      <c r="W148" s="927"/>
      <c r="X148" s="928"/>
      <c r="Y148" s="923">
        <v>973</v>
      </c>
      <c r="Z148" s="924"/>
      <c r="AA148" s="925"/>
      <c r="AB148" s="923">
        <v>2835</v>
      </c>
      <c r="AC148" s="924"/>
      <c r="AD148" s="925"/>
      <c r="AE148" s="923">
        <v>0</v>
      </c>
      <c r="AF148" s="924"/>
      <c r="AG148" s="925"/>
      <c r="AH148" s="926">
        <v>0.55600000000000005</v>
      </c>
      <c r="AI148" s="927"/>
      <c r="AJ148" s="928"/>
      <c r="AK148" s="926">
        <v>0.748</v>
      </c>
      <c r="AL148" s="927"/>
      <c r="AM148" s="928"/>
      <c r="AN148" s="926">
        <v>0.81100000000000005</v>
      </c>
      <c r="AO148" s="927"/>
      <c r="AP148" s="928"/>
    </row>
    <row r="149" spans="1:42" x14ac:dyDescent="0.3">
      <c r="A149" s="929">
        <f t="shared" si="1"/>
        <v>2028</v>
      </c>
      <c r="B149" s="930"/>
      <c r="C149" s="931"/>
      <c r="D149" s="932">
        <v>6</v>
      </c>
      <c r="E149" s="932"/>
      <c r="F149" s="932"/>
      <c r="G149" s="923">
        <v>162.90228168480041</v>
      </c>
      <c r="H149" s="924"/>
      <c r="I149" s="925"/>
      <c r="J149" s="923">
        <v>474.50893976994615</v>
      </c>
      <c r="K149" s="924"/>
      <c r="L149" s="925"/>
      <c r="M149" s="923">
        <v>0</v>
      </c>
      <c r="N149" s="924"/>
      <c r="O149" s="925"/>
      <c r="P149" s="926">
        <v>0.1023743696826498</v>
      </c>
      <c r="Q149" s="927"/>
      <c r="R149" s="928"/>
      <c r="S149" s="926">
        <v>0.1367482456344884</v>
      </c>
      <c r="T149" s="927"/>
      <c r="U149" s="928"/>
      <c r="V149" s="926">
        <v>0.14870437640034534</v>
      </c>
      <c r="W149" s="927"/>
      <c r="X149" s="928"/>
      <c r="Y149" s="923">
        <v>1136</v>
      </c>
      <c r="Z149" s="924"/>
      <c r="AA149" s="925"/>
      <c r="AB149" s="923">
        <v>3310</v>
      </c>
      <c r="AC149" s="924"/>
      <c r="AD149" s="925"/>
      <c r="AE149" s="923">
        <v>0</v>
      </c>
      <c r="AF149" s="924"/>
      <c r="AG149" s="925"/>
      <c r="AH149" s="926">
        <v>0.65800000000000003</v>
      </c>
      <c r="AI149" s="927"/>
      <c r="AJ149" s="928"/>
      <c r="AK149" s="926">
        <v>0.88400000000000001</v>
      </c>
      <c r="AL149" s="927"/>
      <c r="AM149" s="928"/>
      <c r="AN149" s="926">
        <v>0.96</v>
      </c>
      <c r="AO149" s="927"/>
      <c r="AP149" s="928"/>
    </row>
    <row r="150" spans="1:42" x14ac:dyDescent="0.3">
      <c r="A150" s="929">
        <f t="shared" si="1"/>
        <v>2029</v>
      </c>
      <c r="B150" s="930"/>
      <c r="C150" s="931"/>
      <c r="D150" s="932">
        <v>7</v>
      </c>
      <c r="E150" s="932"/>
      <c r="F150" s="932"/>
      <c r="G150" s="923">
        <v>153.68139781584944</v>
      </c>
      <c r="H150" s="924"/>
      <c r="I150" s="925"/>
      <c r="J150" s="923">
        <v>447.64994317919445</v>
      </c>
      <c r="K150" s="924"/>
      <c r="L150" s="925"/>
      <c r="M150" s="923">
        <v>0</v>
      </c>
      <c r="N150" s="924"/>
      <c r="O150" s="925"/>
      <c r="P150" s="926">
        <v>9.9399436201994346E-2</v>
      </c>
      <c r="Q150" s="927"/>
      <c r="R150" s="928"/>
      <c r="S150" s="926">
        <v>0.13253258160265916</v>
      </c>
      <c r="T150" s="927"/>
      <c r="U150" s="928"/>
      <c r="V150" s="926">
        <v>0.14451691079013362</v>
      </c>
      <c r="W150" s="927"/>
      <c r="X150" s="928"/>
      <c r="Y150" s="923">
        <v>1290</v>
      </c>
      <c r="Z150" s="924"/>
      <c r="AA150" s="925"/>
      <c r="AB150" s="923">
        <v>3758</v>
      </c>
      <c r="AC150" s="924"/>
      <c r="AD150" s="925"/>
      <c r="AE150" s="923">
        <v>0</v>
      </c>
      <c r="AF150" s="924"/>
      <c r="AG150" s="925"/>
      <c r="AH150" s="926">
        <v>0.75800000000000001</v>
      </c>
      <c r="AI150" s="927"/>
      <c r="AJ150" s="928"/>
      <c r="AK150" s="926">
        <v>1.0169999999999999</v>
      </c>
      <c r="AL150" s="927"/>
      <c r="AM150" s="928"/>
      <c r="AN150" s="926">
        <v>1.1040000000000001</v>
      </c>
      <c r="AO150" s="927"/>
      <c r="AP150" s="928"/>
    </row>
    <row r="151" spans="1:42" x14ac:dyDescent="0.3">
      <c r="A151" s="929">
        <f t="shared" si="1"/>
        <v>2030</v>
      </c>
      <c r="B151" s="930"/>
      <c r="C151" s="931"/>
      <c r="D151" s="932">
        <v>8</v>
      </c>
      <c r="E151" s="932"/>
      <c r="F151" s="932"/>
      <c r="G151" s="923">
        <v>144.98245076966924</v>
      </c>
      <c r="H151" s="924"/>
      <c r="I151" s="925"/>
      <c r="J151" s="923">
        <v>422.31126715018337</v>
      </c>
      <c r="K151" s="924"/>
      <c r="L151" s="925"/>
      <c r="M151" s="923">
        <v>0</v>
      </c>
      <c r="N151" s="924"/>
      <c r="O151" s="925"/>
      <c r="P151" s="926">
        <v>9.6433281475238719E-2</v>
      </c>
      <c r="Q151" s="927"/>
      <c r="R151" s="928"/>
      <c r="S151" s="926">
        <v>0.12902108004273319</v>
      </c>
      <c r="T151" s="927"/>
      <c r="U151" s="928"/>
      <c r="V151" s="926">
        <v>0.14032705097431289</v>
      </c>
      <c r="W151" s="927"/>
      <c r="X151" s="928"/>
      <c r="Y151" s="923">
        <v>1435</v>
      </c>
      <c r="Z151" s="924"/>
      <c r="AA151" s="925"/>
      <c r="AB151" s="923">
        <v>4180</v>
      </c>
      <c r="AC151" s="924"/>
      <c r="AD151" s="925"/>
      <c r="AE151" s="923">
        <v>0</v>
      </c>
      <c r="AF151" s="924"/>
      <c r="AG151" s="925"/>
      <c r="AH151" s="926">
        <v>0.85399999999999998</v>
      </c>
      <c r="AI151" s="927"/>
      <c r="AJ151" s="928"/>
      <c r="AK151" s="926">
        <v>1.1459999999999999</v>
      </c>
      <c r="AL151" s="927"/>
      <c r="AM151" s="928"/>
      <c r="AN151" s="926">
        <v>1.244</v>
      </c>
      <c r="AO151" s="927"/>
      <c r="AP151" s="928"/>
    </row>
    <row r="152" spans="1:42" x14ac:dyDescent="0.3">
      <c r="A152" s="929">
        <f t="shared" si="1"/>
        <v>2031</v>
      </c>
      <c r="B152" s="930"/>
      <c r="C152" s="931"/>
      <c r="D152" s="932">
        <v>9</v>
      </c>
      <c r="E152" s="932"/>
      <c r="F152" s="932"/>
      <c r="G152" s="923">
        <v>136.77589695251817</v>
      </c>
      <c r="H152" s="924"/>
      <c r="I152" s="925"/>
      <c r="J152" s="923">
        <v>398.40685580205985</v>
      </c>
      <c r="K152" s="924"/>
      <c r="L152" s="925"/>
      <c r="M152" s="923">
        <v>0</v>
      </c>
      <c r="N152" s="924"/>
      <c r="O152" s="925"/>
      <c r="P152" s="926">
        <v>9.3484443329932138E-2</v>
      </c>
      <c r="Q152" s="927"/>
      <c r="R152" s="928"/>
      <c r="S152" s="926">
        <v>0.12548247426836531</v>
      </c>
      <c r="T152" s="927"/>
      <c r="U152" s="928"/>
      <c r="V152" s="926">
        <v>0.13614848458117634</v>
      </c>
      <c r="W152" s="927"/>
      <c r="X152" s="928"/>
      <c r="Y152" s="923">
        <v>1572</v>
      </c>
      <c r="Z152" s="924"/>
      <c r="AA152" s="925"/>
      <c r="AB152" s="923">
        <v>4578</v>
      </c>
      <c r="AC152" s="924"/>
      <c r="AD152" s="925"/>
      <c r="AE152" s="923">
        <v>0</v>
      </c>
      <c r="AF152" s="924"/>
      <c r="AG152" s="925"/>
      <c r="AH152" s="926">
        <v>0.94799999999999995</v>
      </c>
      <c r="AI152" s="927"/>
      <c r="AJ152" s="928"/>
      <c r="AK152" s="926">
        <v>1.2709999999999999</v>
      </c>
      <c r="AL152" s="927"/>
      <c r="AM152" s="928"/>
      <c r="AN152" s="926">
        <v>1.381</v>
      </c>
      <c r="AO152" s="927"/>
      <c r="AP152" s="928"/>
    </row>
    <row r="153" spans="1:42" x14ac:dyDescent="0.3">
      <c r="A153" s="929">
        <f t="shared" si="1"/>
        <v>2032</v>
      </c>
      <c r="B153" s="930"/>
      <c r="C153" s="931"/>
      <c r="D153" s="932">
        <v>10</v>
      </c>
      <c r="E153" s="932"/>
      <c r="F153" s="932"/>
      <c r="G153" s="923">
        <v>129.03386504954545</v>
      </c>
      <c r="H153" s="924"/>
      <c r="I153" s="925"/>
      <c r="J153" s="923">
        <v>375.85552434156585</v>
      </c>
      <c r="K153" s="924"/>
      <c r="L153" s="925"/>
      <c r="M153" s="923">
        <v>0</v>
      </c>
      <c r="N153" s="924"/>
      <c r="O153" s="925"/>
      <c r="P153" s="926">
        <v>9.0560464920093828E-2</v>
      </c>
      <c r="Q153" s="927"/>
      <c r="R153" s="928"/>
      <c r="S153" s="926">
        <v>0.12193108348718515</v>
      </c>
      <c r="T153" s="927"/>
      <c r="U153" s="928"/>
      <c r="V153" s="926">
        <v>0.13258525583072561</v>
      </c>
      <c r="W153" s="927"/>
      <c r="X153" s="928"/>
      <c r="Y153" s="923">
        <v>1701</v>
      </c>
      <c r="Z153" s="924"/>
      <c r="AA153" s="925"/>
      <c r="AB153" s="923">
        <v>4954</v>
      </c>
      <c r="AC153" s="924"/>
      <c r="AD153" s="925"/>
      <c r="AE153" s="923">
        <v>0</v>
      </c>
      <c r="AF153" s="924"/>
      <c r="AG153" s="925"/>
      <c r="AH153" s="926">
        <v>1.038</v>
      </c>
      <c r="AI153" s="927"/>
      <c r="AJ153" s="928"/>
      <c r="AK153" s="926">
        <v>1.393</v>
      </c>
      <c r="AL153" s="927"/>
      <c r="AM153" s="928"/>
      <c r="AN153" s="926">
        <v>1.5129999999999999</v>
      </c>
      <c r="AO153" s="927"/>
      <c r="AP153" s="928"/>
    </row>
    <row r="154" spans="1:42" x14ac:dyDescent="0.3">
      <c r="A154" s="929">
        <f t="shared" si="1"/>
        <v>2033</v>
      </c>
      <c r="B154" s="930"/>
      <c r="C154" s="931"/>
      <c r="D154" s="932">
        <v>11</v>
      </c>
      <c r="E154" s="932"/>
      <c r="F154" s="932"/>
      <c r="G154" s="923">
        <v>121.73006136749569</v>
      </c>
      <c r="H154" s="924"/>
      <c r="I154" s="925"/>
      <c r="J154" s="923">
        <v>354.58068334109987</v>
      </c>
      <c r="K154" s="924"/>
      <c r="L154" s="925"/>
      <c r="M154" s="923">
        <v>0</v>
      </c>
      <c r="N154" s="924"/>
      <c r="O154" s="925"/>
      <c r="P154" s="926">
        <v>8.8226374752588627E-2</v>
      </c>
      <c r="Q154" s="927"/>
      <c r="R154" s="928"/>
      <c r="S154" s="926">
        <v>0.11837969270600499</v>
      </c>
      <c r="T154" s="927"/>
      <c r="U154" s="928"/>
      <c r="V154" s="926">
        <v>0.12898919346739224</v>
      </c>
      <c r="W154" s="927"/>
      <c r="X154" s="928"/>
      <c r="Y154" s="923">
        <v>1822</v>
      </c>
      <c r="Z154" s="924"/>
      <c r="AA154" s="925"/>
      <c r="AB154" s="923">
        <v>5309</v>
      </c>
      <c r="AC154" s="924"/>
      <c r="AD154" s="925"/>
      <c r="AE154" s="923">
        <v>0</v>
      </c>
      <c r="AF154" s="924"/>
      <c r="AG154" s="925"/>
      <c r="AH154" s="926">
        <v>1.127</v>
      </c>
      <c r="AI154" s="927"/>
      <c r="AJ154" s="928"/>
      <c r="AK154" s="926">
        <v>1.512</v>
      </c>
      <c r="AL154" s="927"/>
      <c r="AM154" s="928"/>
      <c r="AN154" s="926">
        <v>1.6419999999999999</v>
      </c>
      <c r="AO154" s="927"/>
      <c r="AP154" s="928"/>
    </row>
    <row r="155" spans="1:42" x14ac:dyDescent="0.3">
      <c r="A155" s="929">
        <f t="shared" si="1"/>
        <v>2034</v>
      </c>
      <c r="B155" s="930"/>
      <c r="C155" s="931"/>
      <c r="D155" s="932">
        <v>12</v>
      </c>
      <c r="E155" s="932"/>
      <c r="F155" s="932"/>
      <c r="G155" s="923">
        <v>114.83968053537328</v>
      </c>
      <c r="H155" s="924"/>
      <c r="I155" s="925"/>
      <c r="J155" s="923">
        <v>334.51007862367908</v>
      </c>
      <c r="K155" s="924"/>
      <c r="L155" s="925"/>
      <c r="M155" s="923">
        <v>0</v>
      </c>
      <c r="N155" s="924"/>
      <c r="O155" s="925"/>
      <c r="P155" s="926">
        <v>8.5866366638834152E-2</v>
      </c>
      <c r="Q155" s="927"/>
      <c r="R155" s="928"/>
      <c r="S155" s="926">
        <v>0.11483968053537329</v>
      </c>
      <c r="T155" s="927"/>
      <c r="U155" s="928"/>
      <c r="V155" s="926">
        <v>0.1253754310432057</v>
      </c>
      <c r="W155" s="927"/>
      <c r="X155" s="928"/>
      <c r="Y155" s="923">
        <v>1937</v>
      </c>
      <c r="Z155" s="924"/>
      <c r="AA155" s="925"/>
      <c r="AB155" s="923">
        <v>5643</v>
      </c>
      <c r="AC155" s="924"/>
      <c r="AD155" s="925"/>
      <c r="AE155" s="923">
        <v>0</v>
      </c>
      <c r="AF155" s="924"/>
      <c r="AG155" s="925"/>
      <c r="AH155" s="926">
        <v>1.212</v>
      </c>
      <c r="AI155" s="927"/>
      <c r="AJ155" s="928"/>
      <c r="AK155" s="926">
        <v>1.6259999999999999</v>
      </c>
      <c r="AL155" s="927"/>
      <c r="AM155" s="928"/>
      <c r="AN155" s="926">
        <v>1.7669999999999999</v>
      </c>
      <c r="AO155" s="927"/>
      <c r="AP155" s="928"/>
    </row>
    <row r="156" spans="1:42" x14ac:dyDescent="0.3">
      <c r="A156" s="929">
        <f t="shared" si="1"/>
        <v>2035</v>
      </c>
      <c r="B156" s="930"/>
      <c r="C156" s="931"/>
      <c r="D156" s="932">
        <v>13</v>
      </c>
      <c r="E156" s="932"/>
      <c r="F156" s="932"/>
      <c r="G156" s="923">
        <v>108.3393212597861</v>
      </c>
      <c r="H156" s="924"/>
      <c r="I156" s="925"/>
      <c r="J156" s="923">
        <v>315.57554587139532</v>
      </c>
      <c r="K156" s="924"/>
      <c r="L156" s="925"/>
      <c r="M156" s="923">
        <v>0</v>
      </c>
      <c r="N156" s="924"/>
      <c r="O156" s="925"/>
      <c r="P156" s="926">
        <v>8.3490853080936095E-2</v>
      </c>
      <c r="Q156" s="927"/>
      <c r="R156" s="928"/>
      <c r="S156" s="926">
        <v>0.11181810680482511</v>
      </c>
      <c r="T156" s="927"/>
      <c r="U156" s="928"/>
      <c r="V156" s="926">
        <v>0.12175749407636512</v>
      </c>
      <c r="W156" s="927"/>
      <c r="X156" s="928"/>
      <c r="Y156" s="923">
        <v>2046</v>
      </c>
      <c r="Z156" s="924"/>
      <c r="AA156" s="925"/>
      <c r="AB156" s="923">
        <v>5959</v>
      </c>
      <c r="AC156" s="924"/>
      <c r="AD156" s="925"/>
      <c r="AE156" s="923">
        <v>0</v>
      </c>
      <c r="AF156" s="924"/>
      <c r="AG156" s="925"/>
      <c r="AH156" s="926">
        <v>1.296</v>
      </c>
      <c r="AI156" s="927"/>
      <c r="AJ156" s="928"/>
      <c r="AK156" s="926">
        <v>1.738</v>
      </c>
      <c r="AL156" s="927"/>
      <c r="AM156" s="928"/>
      <c r="AN156" s="926">
        <v>1.889</v>
      </c>
      <c r="AO156" s="927"/>
      <c r="AP156" s="928"/>
    </row>
    <row r="157" spans="1:42" x14ac:dyDescent="0.3">
      <c r="A157" s="929">
        <f t="shared" si="1"/>
        <v>2036</v>
      </c>
      <c r="B157" s="930"/>
      <c r="C157" s="931"/>
      <c r="D157" s="932">
        <v>14</v>
      </c>
      <c r="E157" s="932"/>
      <c r="F157" s="932"/>
      <c r="G157" s="923">
        <v>102.20690684885481</v>
      </c>
      <c r="H157" s="924"/>
      <c r="I157" s="925"/>
      <c r="J157" s="923">
        <v>297.71277912395783</v>
      </c>
      <c r="K157" s="924"/>
      <c r="L157" s="925"/>
      <c r="M157" s="923">
        <v>0</v>
      </c>
      <c r="N157" s="924"/>
      <c r="O157" s="925"/>
      <c r="P157" s="926">
        <v>8.11091508479444E-2</v>
      </c>
      <c r="Q157" s="927"/>
      <c r="R157" s="928"/>
      <c r="S157" s="926">
        <v>0.10877065316024916</v>
      </c>
      <c r="T157" s="927"/>
      <c r="U157" s="928"/>
      <c r="V157" s="926">
        <v>0.11814743360509822</v>
      </c>
      <c r="W157" s="927"/>
      <c r="X157" s="928"/>
      <c r="Y157" s="923">
        <v>2148</v>
      </c>
      <c r="Z157" s="924"/>
      <c r="AA157" s="925"/>
      <c r="AB157" s="923">
        <v>6256</v>
      </c>
      <c r="AC157" s="924"/>
      <c r="AD157" s="925"/>
      <c r="AE157" s="923">
        <v>0</v>
      </c>
      <c r="AF157" s="924"/>
      <c r="AG157" s="925"/>
      <c r="AH157" s="926">
        <v>1.377</v>
      </c>
      <c r="AI157" s="927"/>
      <c r="AJ157" s="928"/>
      <c r="AK157" s="926">
        <v>1.847</v>
      </c>
      <c r="AL157" s="927"/>
      <c r="AM157" s="928"/>
      <c r="AN157" s="926">
        <v>2.0070000000000001</v>
      </c>
      <c r="AO157" s="927"/>
      <c r="AP157" s="928"/>
    </row>
    <row r="158" spans="1:42" x14ac:dyDescent="0.3">
      <c r="A158" s="929">
        <f t="shared" si="1"/>
        <v>2037</v>
      </c>
      <c r="B158" s="930"/>
      <c r="C158" s="931"/>
      <c r="D158" s="932">
        <v>15</v>
      </c>
      <c r="E158" s="932"/>
      <c r="F158" s="932"/>
      <c r="G158" s="923">
        <v>96.421610234768693</v>
      </c>
      <c r="H158" s="924"/>
      <c r="I158" s="925"/>
      <c r="J158" s="923">
        <v>280.86111238109231</v>
      </c>
      <c r="K158" s="924"/>
      <c r="L158" s="925"/>
      <c r="M158" s="923">
        <v>0</v>
      </c>
      <c r="N158" s="924"/>
      <c r="O158" s="925"/>
      <c r="P158" s="926">
        <v>7.8729571659581776E-2</v>
      </c>
      <c r="Q158" s="927"/>
      <c r="R158" s="928"/>
      <c r="S158" s="926">
        <v>0.10570993048674182</v>
      </c>
      <c r="T158" s="927"/>
      <c r="U158" s="928"/>
      <c r="V158" s="926">
        <v>0.11499825073871496</v>
      </c>
      <c r="W158" s="927"/>
      <c r="X158" s="928"/>
      <c r="Y158" s="923">
        <v>2244</v>
      </c>
      <c r="Z158" s="924"/>
      <c r="AA158" s="925"/>
      <c r="AB158" s="923">
        <v>6537</v>
      </c>
      <c r="AC158" s="924"/>
      <c r="AD158" s="925"/>
      <c r="AE158" s="923">
        <v>0</v>
      </c>
      <c r="AF158" s="924"/>
      <c r="AG158" s="925"/>
      <c r="AH158" s="926">
        <v>1.456</v>
      </c>
      <c r="AI158" s="927"/>
      <c r="AJ158" s="928"/>
      <c r="AK158" s="926">
        <v>1.9530000000000001</v>
      </c>
      <c r="AL158" s="927"/>
      <c r="AM158" s="928"/>
      <c r="AN158" s="926">
        <v>2.1219999999999999</v>
      </c>
      <c r="AO158" s="927"/>
      <c r="AP158" s="928"/>
    </row>
    <row r="159" spans="1:42" x14ac:dyDescent="0.3">
      <c r="A159" s="929">
        <f t="shared" si="1"/>
        <v>2038</v>
      </c>
      <c r="B159" s="930"/>
      <c r="C159" s="931"/>
      <c r="D159" s="932">
        <v>16</v>
      </c>
      <c r="E159" s="932"/>
      <c r="F159" s="932"/>
      <c r="G159" s="923">
        <v>90.963783240347794</v>
      </c>
      <c r="H159" s="924"/>
      <c r="I159" s="925"/>
      <c r="J159" s="923">
        <v>264.9633135670681</v>
      </c>
      <c r="K159" s="924"/>
      <c r="L159" s="925"/>
      <c r="M159" s="923">
        <v>0</v>
      </c>
      <c r="N159" s="924"/>
      <c r="O159" s="925"/>
      <c r="P159" s="926">
        <v>7.6359506114603889E-2</v>
      </c>
      <c r="Q159" s="927"/>
      <c r="R159" s="928"/>
      <c r="S159" s="926">
        <v>0.10264720494094293</v>
      </c>
      <c r="T159" s="927"/>
      <c r="U159" s="928"/>
      <c r="V159" s="926">
        <v>0.11182703627712481</v>
      </c>
      <c r="W159" s="927"/>
      <c r="X159" s="928"/>
      <c r="Y159" s="923">
        <v>2335</v>
      </c>
      <c r="Z159" s="924"/>
      <c r="AA159" s="925"/>
      <c r="AB159" s="923">
        <v>6802</v>
      </c>
      <c r="AC159" s="924"/>
      <c r="AD159" s="925"/>
      <c r="AE159" s="923">
        <v>0</v>
      </c>
      <c r="AF159" s="924"/>
      <c r="AG159" s="925"/>
      <c r="AH159" s="926">
        <v>1.532</v>
      </c>
      <c r="AI159" s="927"/>
      <c r="AJ159" s="928"/>
      <c r="AK159" s="926">
        <v>2.0550000000000002</v>
      </c>
      <c r="AL159" s="927"/>
      <c r="AM159" s="928"/>
      <c r="AN159" s="926">
        <v>2.234</v>
      </c>
      <c r="AO159" s="927"/>
      <c r="AP159" s="928"/>
    </row>
    <row r="160" spans="1:42" x14ac:dyDescent="0.3">
      <c r="A160" s="929">
        <f t="shared" si="1"/>
        <v>2039</v>
      </c>
      <c r="B160" s="930"/>
      <c r="C160" s="931"/>
      <c r="D160" s="932">
        <v>17</v>
      </c>
      <c r="E160" s="932"/>
      <c r="F160" s="932"/>
      <c r="G160" s="923">
        <v>85.814889849384741</v>
      </c>
      <c r="H160" s="924"/>
      <c r="I160" s="925"/>
      <c r="J160" s="923">
        <v>249.96539015761149</v>
      </c>
      <c r="K160" s="924"/>
      <c r="L160" s="925"/>
      <c r="M160" s="923">
        <v>0</v>
      </c>
      <c r="N160" s="924"/>
      <c r="O160" s="925"/>
      <c r="P160" s="926">
        <v>7.4005501338001517E-2</v>
      </c>
      <c r="Q160" s="927"/>
      <c r="R160" s="928"/>
      <c r="S160" s="926">
        <v>9.9592509779331831E-2</v>
      </c>
      <c r="T160" s="927"/>
      <c r="U160" s="928"/>
      <c r="V160" s="926">
        <v>0.10864637430472564</v>
      </c>
      <c r="W160" s="927"/>
      <c r="X160" s="928"/>
      <c r="Y160" s="923">
        <v>2421</v>
      </c>
      <c r="Z160" s="924"/>
      <c r="AA160" s="925"/>
      <c r="AB160" s="923">
        <v>7052</v>
      </c>
      <c r="AC160" s="924"/>
      <c r="AD160" s="925"/>
      <c r="AE160" s="923">
        <v>0</v>
      </c>
      <c r="AF160" s="924"/>
      <c r="AG160" s="925"/>
      <c r="AH160" s="926">
        <v>1.6060000000000001</v>
      </c>
      <c r="AI160" s="927"/>
      <c r="AJ160" s="928"/>
      <c r="AK160" s="926">
        <v>2.1549999999999998</v>
      </c>
      <c r="AL160" s="927"/>
      <c r="AM160" s="928"/>
      <c r="AN160" s="926">
        <v>2.343</v>
      </c>
      <c r="AO160" s="927"/>
      <c r="AP160" s="928"/>
    </row>
    <row r="161" spans="1:42" x14ac:dyDescent="0.3">
      <c r="A161" s="929">
        <f t="shared" ref="A161" si="2">A160+1</f>
        <v>2040</v>
      </c>
      <c r="B161" s="930"/>
      <c r="C161" s="931"/>
      <c r="D161" s="932">
        <v>18</v>
      </c>
      <c r="E161" s="932"/>
      <c r="F161" s="932"/>
      <c r="G161" s="923">
        <v>80.957443254136535</v>
      </c>
      <c r="H161" s="924"/>
      <c r="I161" s="925"/>
      <c r="J161" s="923">
        <v>235.81640580906742</v>
      </c>
      <c r="K161" s="924"/>
      <c r="L161" s="925"/>
      <c r="M161" s="923">
        <v>0</v>
      </c>
      <c r="N161" s="924"/>
      <c r="O161" s="925"/>
      <c r="P161" s="926">
        <v>7.204469720780958E-2</v>
      </c>
      <c r="Q161" s="927"/>
      <c r="R161" s="928"/>
      <c r="S161" s="926">
        <v>9.6926113253805665E-2</v>
      </c>
      <c r="T161" s="927"/>
      <c r="U161" s="928"/>
      <c r="V161" s="926">
        <v>0.10546749488153566</v>
      </c>
      <c r="W161" s="927"/>
      <c r="X161" s="928"/>
      <c r="Y161" s="923">
        <v>2502</v>
      </c>
      <c r="Z161" s="924"/>
      <c r="AA161" s="925"/>
      <c r="AB161" s="923">
        <v>7288</v>
      </c>
      <c r="AC161" s="924"/>
      <c r="AD161" s="925"/>
      <c r="AE161" s="923">
        <v>0</v>
      </c>
      <c r="AF161" s="924"/>
      <c r="AG161" s="925"/>
      <c r="AH161" s="926">
        <v>1.6779999999999999</v>
      </c>
      <c r="AI161" s="927"/>
      <c r="AJ161" s="928"/>
      <c r="AK161" s="926">
        <v>2.2519999999999998</v>
      </c>
      <c r="AL161" s="927"/>
      <c r="AM161" s="928"/>
      <c r="AN161" s="926">
        <v>2.448</v>
      </c>
      <c r="AO161" s="927"/>
      <c r="AP161" s="928"/>
    </row>
    <row r="162" spans="1:42" x14ac:dyDescent="0.3">
      <c r="A162" s="929">
        <f>A161+1</f>
        <v>2041</v>
      </c>
      <c r="B162" s="930"/>
      <c r="C162" s="931"/>
      <c r="D162" s="932">
        <v>19</v>
      </c>
      <c r="E162" s="932"/>
      <c r="F162" s="932"/>
      <c r="G162" s="923">
        <v>76.374946466166548</v>
      </c>
      <c r="H162" s="924"/>
      <c r="I162" s="925"/>
      <c r="J162" s="923">
        <v>222.46830736704476</v>
      </c>
      <c r="K162" s="924"/>
      <c r="L162" s="925"/>
      <c r="M162" s="923">
        <v>0</v>
      </c>
      <c r="N162" s="924"/>
      <c r="O162" s="925"/>
      <c r="P162" s="926">
        <v>7.0068758225840869E-2</v>
      </c>
      <c r="Q162" s="927"/>
      <c r="R162" s="928"/>
      <c r="S162" s="926">
        <v>9.4242479813755969E-2</v>
      </c>
      <c r="T162" s="927"/>
      <c r="U162" s="928"/>
      <c r="V162" s="926">
        <v>0.10265073080085686</v>
      </c>
      <c r="W162" s="927"/>
      <c r="X162" s="928"/>
      <c r="Y162" s="923">
        <v>2578</v>
      </c>
      <c r="Z162" s="924"/>
      <c r="AA162" s="925"/>
      <c r="AB162" s="923">
        <v>7511</v>
      </c>
      <c r="AC162" s="924"/>
      <c r="AD162" s="925"/>
      <c r="AE162" s="923">
        <v>0</v>
      </c>
      <c r="AF162" s="924"/>
      <c r="AG162" s="925"/>
      <c r="AH162" s="926">
        <v>1.748</v>
      </c>
      <c r="AI162" s="927"/>
      <c r="AJ162" s="928"/>
      <c r="AK162" s="926">
        <v>2.3460000000000001</v>
      </c>
      <c r="AL162" s="927"/>
      <c r="AM162" s="928"/>
      <c r="AN162" s="926">
        <v>2.5510000000000002</v>
      </c>
      <c r="AO162" s="927"/>
      <c r="AP162" s="928"/>
    </row>
    <row r="163" spans="1:42" x14ac:dyDescent="0.3">
      <c r="A163" s="929">
        <f>A162+1</f>
        <v>2042</v>
      </c>
      <c r="B163" s="930"/>
      <c r="C163" s="931"/>
      <c r="D163" s="932">
        <v>20</v>
      </c>
      <c r="E163" s="932"/>
      <c r="F163" s="932"/>
      <c r="G163" s="923">
        <v>72.051836288836355</v>
      </c>
      <c r="H163" s="924"/>
      <c r="I163" s="925"/>
      <c r="J163" s="923">
        <v>209.87576166702331</v>
      </c>
      <c r="K163" s="924"/>
      <c r="L163" s="925"/>
      <c r="M163" s="923">
        <v>0</v>
      </c>
      <c r="N163" s="924"/>
      <c r="O163" s="925"/>
      <c r="P163" s="926">
        <v>6.8085680162845358E-2</v>
      </c>
      <c r="Q163" s="927"/>
      <c r="R163" s="928"/>
      <c r="S163" s="926">
        <v>9.1552103908292076E-2</v>
      </c>
      <c r="T163" s="927"/>
      <c r="U163" s="928"/>
      <c r="V163" s="926">
        <v>9.9814929170773295E-2</v>
      </c>
      <c r="W163" s="927"/>
      <c r="X163" s="928"/>
      <c r="Y163" s="923">
        <v>2650</v>
      </c>
      <c r="Z163" s="924"/>
      <c r="AA163" s="925"/>
      <c r="AB163" s="923">
        <v>7720</v>
      </c>
      <c r="AC163" s="924"/>
      <c r="AD163" s="925"/>
      <c r="AE163" s="923">
        <v>0</v>
      </c>
      <c r="AF163" s="924"/>
      <c r="AG163" s="925"/>
      <c r="AH163" s="926">
        <v>1.8160000000000001</v>
      </c>
      <c r="AI163" s="927"/>
      <c r="AJ163" s="928"/>
      <c r="AK163" s="926">
        <v>2.4380000000000002</v>
      </c>
      <c r="AL163" s="927"/>
      <c r="AM163" s="928"/>
      <c r="AN163" s="926">
        <v>2.6509999999999998</v>
      </c>
      <c r="AO163" s="927"/>
      <c r="AP163" s="928"/>
    </row>
    <row r="164" spans="1:42" x14ac:dyDescent="0.3">
      <c r="A164" s="929">
        <f t="shared" ref="A164:A168" si="3">A163+1</f>
        <v>2043</v>
      </c>
      <c r="B164" s="930"/>
      <c r="C164" s="931"/>
      <c r="D164" s="932">
        <v>21</v>
      </c>
      <c r="E164" s="932"/>
      <c r="F164" s="932"/>
      <c r="G164" s="923">
        <v>67.973430461166373</v>
      </c>
      <c r="H164" s="924"/>
      <c r="I164" s="925"/>
      <c r="J164" s="923">
        <v>197.99600157266352</v>
      </c>
      <c r="K164" s="924"/>
      <c r="L164" s="925"/>
      <c r="M164" s="923">
        <v>0</v>
      </c>
      <c r="N164" s="924"/>
      <c r="O164" s="925"/>
      <c r="P164" s="926">
        <v>6.6102602099849861E-2</v>
      </c>
      <c r="Q164" s="927"/>
      <c r="R164" s="928"/>
      <c r="S164" s="926">
        <v>8.886434716253401E-2</v>
      </c>
      <c r="T164" s="927"/>
      <c r="U164" s="928"/>
      <c r="V164" s="926">
        <v>9.6971270061572204E-2</v>
      </c>
      <c r="W164" s="927"/>
      <c r="X164" s="928"/>
      <c r="Y164" s="923">
        <v>2718</v>
      </c>
      <c r="Z164" s="924"/>
      <c r="AA164" s="925"/>
      <c r="AB164" s="923">
        <v>7918</v>
      </c>
      <c r="AC164" s="924"/>
      <c r="AD164" s="925"/>
      <c r="AE164" s="923">
        <v>0</v>
      </c>
      <c r="AF164" s="924"/>
      <c r="AG164" s="925"/>
      <c r="AH164" s="926">
        <v>1.8819999999999999</v>
      </c>
      <c r="AI164" s="927"/>
      <c r="AJ164" s="928"/>
      <c r="AK164" s="926">
        <v>2.5270000000000001</v>
      </c>
      <c r="AL164" s="927"/>
      <c r="AM164" s="928"/>
      <c r="AN164" s="926">
        <v>2.7480000000000002</v>
      </c>
      <c r="AO164" s="927"/>
      <c r="AP164" s="928"/>
    </row>
    <row r="165" spans="1:42" x14ac:dyDescent="0.3">
      <c r="A165" s="929">
        <f t="shared" si="3"/>
        <v>2044</v>
      </c>
      <c r="B165" s="930"/>
      <c r="C165" s="931"/>
      <c r="D165" s="932">
        <v>22</v>
      </c>
      <c r="E165" s="932"/>
      <c r="F165" s="932"/>
      <c r="G165" s="923">
        <v>64.125877793553173</v>
      </c>
      <c r="H165" s="924"/>
      <c r="I165" s="925"/>
      <c r="J165" s="923">
        <v>186.7886807289278</v>
      </c>
      <c r="K165" s="924"/>
      <c r="L165" s="925"/>
      <c r="M165" s="923">
        <v>0</v>
      </c>
      <c r="N165" s="924"/>
      <c r="O165" s="925"/>
      <c r="P165" s="926">
        <v>6.4125877793553165E-2</v>
      </c>
      <c r="Q165" s="927"/>
      <c r="R165" s="928"/>
      <c r="S165" s="926">
        <v>8.6481688400479956E-2</v>
      </c>
      <c r="T165" s="927"/>
      <c r="U165" s="928"/>
      <c r="V165" s="926">
        <v>9.4129728871270704E-2</v>
      </c>
      <c r="W165" s="927"/>
      <c r="X165" s="928"/>
      <c r="Y165" s="923">
        <v>2783</v>
      </c>
      <c r="Z165" s="924"/>
      <c r="AA165" s="925"/>
      <c r="AB165" s="923">
        <v>8105</v>
      </c>
      <c r="AC165" s="924"/>
      <c r="AD165" s="925"/>
      <c r="AE165" s="923">
        <v>0</v>
      </c>
      <c r="AF165" s="924"/>
      <c r="AG165" s="925"/>
      <c r="AH165" s="926">
        <v>1.9470000000000001</v>
      </c>
      <c r="AI165" s="927"/>
      <c r="AJ165" s="928"/>
      <c r="AK165" s="926">
        <v>2.613</v>
      </c>
      <c r="AL165" s="927"/>
      <c r="AM165" s="928"/>
      <c r="AN165" s="926">
        <v>2.8420000000000001</v>
      </c>
      <c r="AO165" s="927"/>
      <c r="AP165" s="928"/>
    </row>
    <row r="166" spans="1:42" x14ac:dyDescent="0.3">
      <c r="A166" s="929">
        <f t="shared" si="3"/>
        <v>2045</v>
      </c>
      <c r="B166" s="930"/>
      <c r="C166" s="931"/>
      <c r="D166" s="932">
        <v>23</v>
      </c>
      <c r="E166" s="932"/>
      <c r="F166" s="932"/>
      <c r="G166" s="923">
        <v>60.496111125993551</v>
      </c>
      <c r="H166" s="924"/>
      <c r="I166" s="925"/>
      <c r="J166" s="923">
        <v>176.21573653672434</v>
      </c>
      <c r="K166" s="924"/>
      <c r="L166" s="925"/>
      <c r="M166" s="923">
        <v>0</v>
      </c>
      <c r="N166" s="924"/>
      <c r="O166" s="925"/>
      <c r="P166" s="926">
        <v>6.2438646804351142E-2</v>
      </c>
      <c r="Q166" s="927"/>
      <c r="R166" s="928"/>
      <c r="S166" s="926">
        <v>8.4084044363192875E-2</v>
      </c>
      <c r="T166" s="927"/>
      <c r="U166" s="928"/>
      <c r="V166" s="926">
        <v>9.1576681979715011E-2</v>
      </c>
      <c r="W166" s="927"/>
      <c r="X166" s="928"/>
      <c r="Y166" s="923">
        <v>2843</v>
      </c>
      <c r="Z166" s="924"/>
      <c r="AA166" s="925"/>
      <c r="AB166" s="923">
        <v>8281</v>
      </c>
      <c r="AC166" s="924"/>
      <c r="AD166" s="925"/>
      <c r="AE166" s="923">
        <v>0</v>
      </c>
      <c r="AF166" s="924"/>
      <c r="AG166" s="925"/>
      <c r="AH166" s="926">
        <v>2.0089999999999999</v>
      </c>
      <c r="AI166" s="927"/>
      <c r="AJ166" s="928"/>
      <c r="AK166" s="926">
        <v>2.6970000000000001</v>
      </c>
      <c r="AL166" s="927"/>
      <c r="AM166" s="928"/>
      <c r="AN166" s="926">
        <v>2.9329999999999998</v>
      </c>
      <c r="AO166" s="927"/>
      <c r="AP166" s="928"/>
    </row>
    <row r="167" spans="1:42" x14ac:dyDescent="0.3">
      <c r="A167" s="929">
        <f t="shared" si="3"/>
        <v>2046</v>
      </c>
      <c r="B167" s="930"/>
      <c r="C167" s="931"/>
      <c r="D167" s="932">
        <v>24</v>
      </c>
      <c r="E167" s="932"/>
      <c r="F167" s="932"/>
      <c r="G167" s="923">
        <v>57.071802949050515</v>
      </c>
      <c r="H167" s="924"/>
      <c r="I167" s="925"/>
      <c r="J167" s="923">
        <v>166.24126088370218</v>
      </c>
      <c r="K167" s="924"/>
      <c r="L167" s="925"/>
      <c r="M167" s="923">
        <v>0</v>
      </c>
      <c r="N167" s="924"/>
      <c r="O167" s="925"/>
      <c r="P167" s="926">
        <v>6.0736964606328991E-2</v>
      </c>
      <c r="Q167" s="927"/>
      <c r="R167" s="928"/>
      <c r="S167" s="926">
        <v>8.1680745505063115E-2</v>
      </c>
      <c r="T167" s="927"/>
      <c r="U167" s="928"/>
      <c r="V167" s="926">
        <v>8.9011068819620079E-2</v>
      </c>
      <c r="W167" s="927"/>
      <c r="X167" s="928"/>
      <c r="Y167" s="923">
        <v>2900</v>
      </c>
      <c r="Z167" s="924"/>
      <c r="AA167" s="925"/>
      <c r="AB167" s="923">
        <v>8448</v>
      </c>
      <c r="AC167" s="924"/>
      <c r="AD167" s="925"/>
      <c r="AE167" s="923">
        <v>0</v>
      </c>
      <c r="AF167" s="924"/>
      <c r="AG167" s="925"/>
      <c r="AH167" s="926">
        <v>2.0699999999999998</v>
      </c>
      <c r="AI167" s="927"/>
      <c r="AJ167" s="928"/>
      <c r="AK167" s="926">
        <v>2.7789999999999999</v>
      </c>
      <c r="AL167" s="927"/>
      <c r="AM167" s="928"/>
      <c r="AN167" s="926">
        <v>3.0219999999999998</v>
      </c>
      <c r="AO167" s="927"/>
      <c r="AP167" s="928"/>
    </row>
    <row r="168" spans="1:42" x14ac:dyDescent="0.3">
      <c r="A168" s="929">
        <f t="shared" si="3"/>
        <v>2047</v>
      </c>
      <c r="B168" s="930"/>
      <c r="C168" s="931"/>
      <c r="D168" s="932">
        <v>25</v>
      </c>
      <c r="E168" s="932"/>
      <c r="F168" s="932"/>
      <c r="G168" s="923">
        <v>53.841323536840115</v>
      </c>
      <c r="H168" s="924"/>
      <c r="I168" s="925"/>
      <c r="J168" s="923">
        <v>156.83137819217188</v>
      </c>
      <c r="K168" s="924"/>
      <c r="L168" s="925"/>
      <c r="M168" s="923">
        <v>0</v>
      </c>
      <c r="N168" s="924"/>
      <c r="O168" s="925"/>
      <c r="P168" s="926">
        <v>5.9027873051856819E-2</v>
      </c>
      <c r="Q168" s="927"/>
      <c r="R168" s="928"/>
      <c r="S168" s="926">
        <v>7.9280114015255393E-2</v>
      </c>
      <c r="T168" s="927"/>
      <c r="U168" s="928"/>
      <c r="V168" s="926">
        <v>8.6442491916945127E-2</v>
      </c>
      <c r="W168" s="927"/>
      <c r="X168" s="928"/>
      <c r="Y168" s="923">
        <v>2954</v>
      </c>
      <c r="Z168" s="924"/>
      <c r="AA168" s="925"/>
      <c r="AB168" s="923">
        <v>8604</v>
      </c>
      <c r="AC168" s="924"/>
      <c r="AD168" s="925"/>
      <c r="AE168" s="933">
        <v>0</v>
      </c>
      <c r="AF168" s="934"/>
      <c r="AG168" s="935"/>
      <c r="AH168" s="926">
        <v>2.129</v>
      </c>
      <c r="AI168" s="927"/>
      <c r="AJ168" s="928"/>
      <c r="AK168" s="926">
        <v>2.8580000000000001</v>
      </c>
      <c r="AL168" s="927"/>
      <c r="AM168" s="928"/>
      <c r="AN168" s="926">
        <v>3.109</v>
      </c>
      <c r="AO168" s="927"/>
      <c r="AP168" s="928"/>
    </row>
    <row r="169" spans="1:42" x14ac:dyDescent="0.3">
      <c r="A169" s="459"/>
      <c r="B169" s="459"/>
      <c r="C169" s="459"/>
      <c r="D169" s="459"/>
      <c r="E169" s="459"/>
      <c r="F169" s="459"/>
      <c r="G169" s="460"/>
      <c r="H169" s="460"/>
      <c r="I169" s="460"/>
      <c r="J169" s="460"/>
      <c r="K169" s="460"/>
      <c r="L169" s="460"/>
      <c r="M169" s="460"/>
      <c r="N169" s="460"/>
      <c r="O169" s="460"/>
      <c r="P169" s="461"/>
      <c r="Q169" s="461"/>
      <c r="R169" s="461"/>
      <c r="S169" s="461"/>
      <c r="T169" s="461"/>
      <c r="U169" s="461"/>
      <c r="V169" s="461"/>
      <c r="W169" s="461"/>
      <c r="X169" s="461"/>
      <c r="Y169" s="460"/>
      <c r="Z169" s="460"/>
      <c r="AA169" s="460"/>
      <c r="AB169" s="460"/>
      <c r="AC169" s="460"/>
      <c r="AD169" s="460"/>
      <c r="AE169" s="460"/>
      <c r="AF169" s="460"/>
      <c r="AG169" s="460"/>
      <c r="AH169" s="461"/>
      <c r="AI169" s="461"/>
      <c r="AJ169" s="461"/>
      <c r="AK169" s="461"/>
      <c r="AL169" s="461"/>
      <c r="AM169" s="461"/>
      <c r="AN169" s="461"/>
      <c r="AO169" s="461"/>
      <c r="AP169" s="461"/>
    </row>
    <row r="170" spans="1:42" x14ac:dyDescent="0.3">
      <c r="A170" s="883" t="s">
        <v>5631</v>
      </c>
      <c r="B170" s="883"/>
      <c r="C170" s="883"/>
      <c r="D170" s="883"/>
      <c r="E170" s="883"/>
      <c r="F170" s="883"/>
      <c r="G170" s="883"/>
      <c r="H170" s="883"/>
      <c r="I170" s="883"/>
      <c r="J170" s="883"/>
      <c r="K170" s="883"/>
      <c r="L170" s="883"/>
      <c r="M170" s="883"/>
      <c r="N170" s="883"/>
      <c r="O170" s="883"/>
      <c r="P170" s="883"/>
      <c r="Q170" s="883"/>
      <c r="R170" s="883"/>
      <c r="S170" s="883"/>
      <c r="T170" s="883"/>
      <c r="U170" s="883"/>
      <c r="V170" s="883"/>
      <c r="W170" s="883"/>
      <c r="X170" s="883"/>
      <c r="Y170" s="883"/>
      <c r="Z170" s="883"/>
      <c r="AA170" s="883"/>
      <c r="AB170" s="883"/>
      <c r="AC170" s="883"/>
      <c r="AD170" s="883"/>
      <c r="AE170" s="883"/>
      <c r="AF170" s="883"/>
    </row>
    <row r="171" spans="1:42" ht="23.25" customHeight="1" x14ac:dyDescent="0.3">
      <c r="A171" s="313"/>
      <c r="B171" s="313"/>
      <c r="C171" s="313"/>
      <c r="D171" s="313"/>
      <c r="E171" s="313"/>
      <c r="F171" s="313"/>
      <c r="G171" s="313"/>
      <c r="H171" s="314"/>
      <c r="I171" s="314"/>
      <c r="J171" s="314"/>
      <c r="K171" s="914" t="s">
        <v>810</v>
      </c>
      <c r="L171" s="915"/>
      <c r="M171" s="915"/>
      <c r="N171" s="916"/>
      <c r="O171" s="457"/>
      <c r="P171" s="458"/>
      <c r="Q171" s="458"/>
      <c r="R171" s="458"/>
      <c r="S171" s="458"/>
      <c r="T171" s="458"/>
      <c r="U171" s="122"/>
      <c r="V171" s="122"/>
      <c r="W171" s="122"/>
      <c r="X171" s="122"/>
      <c r="Y171" s="122"/>
      <c r="Z171" s="313"/>
      <c r="AA171" s="313"/>
      <c r="AB171" s="313"/>
      <c r="AC171" s="313"/>
      <c r="AD171" s="313"/>
      <c r="AE171" s="313"/>
      <c r="AF171" s="586"/>
      <c r="AG171" s="94"/>
      <c r="AH171" s="94"/>
      <c r="AI171" s="94"/>
      <c r="AJ171" s="94"/>
      <c r="AK171" s="94"/>
      <c r="AL171" s="94"/>
      <c r="AM171" s="94"/>
      <c r="AN171" s="94"/>
      <c r="AO171" s="94"/>
      <c r="AP171" s="94"/>
    </row>
    <row r="172" spans="1:42" x14ac:dyDescent="0.3">
      <c r="A172" s="59"/>
      <c r="B172" s="59"/>
      <c r="C172" s="59"/>
      <c r="D172" s="59"/>
      <c r="E172" s="59"/>
      <c r="F172" s="59"/>
      <c r="G172" s="59"/>
      <c r="H172" s="128"/>
      <c r="I172" s="128"/>
      <c r="J172" s="128"/>
      <c r="K172" s="918">
        <v>0.06</v>
      </c>
      <c r="L172" s="919"/>
      <c r="M172" s="919"/>
      <c r="N172" s="920"/>
      <c r="O172" s="591"/>
      <c r="P172" s="592"/>
      <c r="Q172" s="592"/>
      <c r="R172" s="592"/>
      <c r="S172" s="592"/>
      <c r="T172" s="592"/>
      <c r="U172" s="121"/>
      <c r="V172" s="121"/>
      <c r="W172" s="121"/>
      <c r="X172" s="121"/>
      <c r="Y172" s="121"/>
      <c r="Z172" s="59"/>
      <c r="AA172" s="59"/>
      <c r="AB172" s="59"/>
      <c r="AC172" s="59"/>
      <c r="AD172" s="59"/>
      <c r="AE172" s="59"/>
      <c r="AF172" s="169"/>
      <c r="AG172" s="94"/>
      <c r="AH172" s="94"/>
      <c r="AI172" s="94"/>
      <c r="AJ172" s="94"/>
      <c r="AK172" s="94"/>
      <c r="AL172" s="94"/>
      <c r="AM172" s="94"/>
      <c r="AN172" s="94"/>
      <c r="AO172" s="94"/>
      <c r="AP172" s="94"/>
    </row>
    <row r="173" spans="1:42" x14ac:dyDescent="0.3">
      <c r="A173" s="59"/>
      <c r="B173" s="59"/>
      <c r="C173" s="59"/>
      <c r="D173" s="59"/>
      <c r="E173" s="59"/>
      <c r="F173" s="59"/>
      <c r="G173" s="59"/>
      <c r="H173" s="128"/>
      <c r="I173" s="128"/>
      <c r="J173" s="128"/>
      <c r="K173" s="128"/>
      <c r="L173" s="128"/>
      <c r="M173" s="593"/>
      <c r="N173" s="593"/>
      <c r="O173" s="593"/>
      <c r="P173" s="593"/>
      <c r="Q173" s="593"/>
      <c r="R173" s="593"/>
      <c r="S173" s="593"/>
      <c r="T173" s="593"/>
      <c r="U173" s="593"/>
      <c r="V173" s="593"/>
      <c r="W173" s="593"/>
      <c r="X173" s="593"/>
      <c r="Y173" s="593"/>
      <c r="Z173" s="593"/>
      <c r="AA173" s="593"/>
      <c r="AB173" s="593"/>
      <c r="AC173" s="593"/>
      <c r="AD173" s="593"/>
      <c r="AE173" s="59"/>
      <c r="AF173" s="59"/>
      <c r="AG173" s="59"/>
      <c r="AH173" s="59"/>
      <c r="AI173" s="59"/>
      <c r="AJ173" s="59"/>
      <c r="AK173" s="59"/>
      <c r="AL173" s="59"/>
      <c r="AM173" s="59"/>
      <c r="AN173" s="169"/>
      <c r="AO173" s="94"/>
      <c r="AP173" s="94"/>
    </row>
    <row r="174" spans="1:42" ht="37.5" customHeight="1" x14ac:dyDescent="0.3">
      <c r="A174" s="59"/>
      <c r="B174" s="59"/>
      <c r="C174" s="59"/>
      <c r="D174" s="59"/>
      <c r="E174" s="59"/>
      <c r="F174" s="59"/>
      <c r="G174" s="921" t="s">
        <v>3434</v>
      </c>
      <c r="H174" s="922"/>
      <c r="I174" s="922"/>
      <c r="J174" s="922"/>
      <c r="K174" s="922"/>
      <c r="L174" s="922"/>
      <c r="M174" s="922"/>
      <c r="N174" s="922"/>
      <c r="O174" s="922"/>
      <c r="P174" s="921" t="s">
        <v>3437</v>
      </c>
      <c r="Q174" s="922"/>
      <c r="R174" s="922"/>
      <c r="S174" s="922"/>
      <c r="T174" s="922"/>
      <c r="U174" s="922"/>
      <c r="V174" s="922"/>
      <c r="W174" s="922"/>
      <c r="X174" s="922"/>
      <c r="Y174" s="913" t="s">
        <v>3438</v>
      </c>
      <c r="Z174" s="913"/>
      <c r="AA174" s="913"/>
      <c r="AB174" s="913"/>
      <c r="AC174" s="913"/>
      <c r="AD174" s="913"/>
      <c r="AE174" s="913"/>
      <c r="AF174" s="913"/>
      <c r="AG174" s="913"/>
      <c r="AH174" s="913" t="s">
        <v>3439</v>
      </c>
      <c r="AI174" s="913"/>
      <c r="AJ174" s="913"/>
      <c r="AK174" s="913"/>
      <c r="AL174" s="913"/>
      <c r="AM174" s="913"/>
      <c r="AN174" s="913"/>
      <c r="AO174" s="913"/>
      <c r="AP174" s="913"/>
    </row>
    <row r="175" spans="1:42" ht="28.95" customHeight="1" x14ac:dyDescent="0.3">
      <c r="A175" s="59"/>
      <c r="B175" s="59"/>
      <c r="C175" s="59"/>
      <c r="D175" s="59"/>
      <c r="E175" s="59"/>
      <c r="F175" s="59"/>
      <c r="G175" s="922" t="s">
        <v>657</v>
      </c>
      <c r="H175" s="922"/>
      <c r="I175" s="922"/>
      <c r="J175" s="922" t="s">
        <v>658</v>
      </c>
      <c r="K175" s="922"/>
      <c r="L175" s="922"/>
      <c r="M175" s="922" t="s">
        <v>3424</v>
      </c>
      <c r="N175" s="922"/>
      <c r="O175" s="922"/>
      <c r="P175" s="922" t="s">
        <v>657</v>
      </c>
      <c r="Q175" s="922"/>
      <c r="R175" s="922"/>
      <c r="S175" s="922" t="s">
        <v>658</v>
      </c>
      <c r="T175" s="922"/>
      <c r="U175" s="922"/>
      <c r="V175" s="922" t="s">
        <v>3424</v>
      </c>
      <c r="W175" s="922"/>
      <c r="X175" s="922"/>
      <c r="Y175" s="922" t="s">
        <v>657</v>
      </c>
      <c r="Z175" s="922"/>
      <c r="AA175" s="922"/>
      <c r="AB175" s="922" t="s">
        <v>658</v>
      </c>
      <c r="AC175" s="922"/>
      <c r="AD175" s="922"/>
      <c r="AE175" s="922" t="s">
        <v>3424</v>
      </c>
      <c r="AF175" s="922"/>
      <c r="AG175" s="922"/>
      <c r="AH175" s="922" t="s">
        <v>657</v>
      </c>
      <c r="AI175" s="922"/>
      <c r="AJ175" s="922"/>
      <c r="AK175" s="922" t="s">
        <v>658</v>
      </c>
      <c r="AL175" s="922"/>
      <c r="AM175" s="922"/>
      <c r="AN175" s="922" t="s">
        <v>3424</v>
      </c>
      <c r="AO175" s="922"/>
      <c r="AP175" s="922"/>
    </row>
    <row r="176" spans="1:42" ht="28.95" customHeight="1" x14ac:dyDescent="0.3">
      <c r="A176" s="912" t="s">
        <v>807</v>
      </c>
      <c r="B176" s="912"/>
      <c r="C176" s="912"/>
      <c r="D176" s="913" t="s">
        <v>3433</v>
      </c>
      <c r="E176" s="913"/>
      <c r="F176" s="913"/>
      <c r="G176" s="914" t="s">
        <v>3435</v>
      </c>
      <c r="H176" s="915"/>
      <c r="I176" s="916"/>
      <c r="J176" s="917" t="s">
        <v>3435</v>
      </c>
      <c r="K176" s="917"/>
      <c r="L176" s="917"/>
      <c r="M176" s="917" t="s">
        <v>3435</v>
      </c>
      <c r="N176" s="917"/>
      <c r="O176" s="917"/>
      <c r="P176" s="917" t="s">
        <v>3436</v>
      </c>
      <c r="Q176" s="917"/>
      <c r="R176" s="917"/>
      <c r="S176" s="917" t="s">
        <v>3436</v>
      </c>
      <c r="T176" s="917"/>
      <c r="U176" s="917"/>
      <c r="V176" s="917" t="s">
        <v>3436</v>
      </c>
      <c r="W176" s="917"/>
      <c r="X176" s="917"/>
      <c r="Y176" s="909" t="s">
        <v>2122</v>
      </c>
      <c r="Z176" s="910"/>
      <c r="AA176" s="911"/>
      <c r="AB176" s="909" t="s">
        <v>2122</v>
      </c>
      <c r="AC176" s="910"/>
      <c r="AD176" s="911"/>
      <c r="AE176" s="909" t="s">
        <v>2122</v>
      </c>
      <c r="AF176" s="910"/>
      <c r="AG176" s="911"/>
      <c r="AH176" s="909" t="s">
        <v>2123</v>
      </c>
      <c r="AI176" s="910"/>
      <c r="AJ176" s="911"/>
      <c r="AK176" s="909" t="s">
        <v>2123</v>
      </c>
      <c r="AL176" s="910"/>
      <c r="AM176" s="911"/>
      <c r="AN176" s="909" t="s">
        <v>2123</v>
      </c>
      <c r="AO176" s="910"/>
      <c r="AP176" s="911"/>
    </row>
    <row r="177" spans="1:42" x14ac:dyDescent="0.3">
      <c r="A177" s="905">
        <v>2024</v>
      </c>
      <c r="B177" s="906"/>
      <c r="C177" s="907"/>
      <c r="D177" s="908">
        <v>1</v>
      </c>
      <c r="E177" s="908"/>
      <c r="F177" s="908"/>
      <c r="G177" s="896">
        <v>223</v>
      </c>
      <c r="H177" s="897"/>
      <c r="I177" s="898"/>
      <c r="J177" s="896">
        <v>650</v>
      </c>
      <c r="K177" s="897"/>
      <c r="L177" s="898"/>
      <c r="M177" s="896">
        <v>0</v>
      </c>
      <c r="N177" s="897"/>
      <c r="O177" s="898"/>
      <c r="P177" s="902">
        <v>0.121</v>
      </c>
      <c r="Q177" s="903"/>
      <c r="R177" s="904"/>
      <c r="S177" s="902">
        <v>0.16300000000000001</v>
      </c>
      <c r="T177" s="903"/>
      <c r="U177" s="904"/>
      <c r="V177" s="902">
        <v>0.17699999999999999</v>
      </c>
      <c r="W177" s="903"/>
      <c r="X177" s="904"/>
      <c r="Y177" s="896">
        <v>223</v>
      </c>
      <c r="Z177" s="897"/>
      <c r="AA177" s="898"/>
      <c r="AB177" s="896">
        <v>650</v>
      </c>
      <c r="AC177" s="897"/>
      <c r="AD177" s="898"/>
      <c r="AE177" s="896">
        <v>0</v>
      </c>
      <c r="AF177" s="897"/>
      <c r="AG177" s="898"/>
      <c r="AH177" s="902">
        <v>0.121</v>
      </c>
      <c r="AI177" s="903"/>
      <c r="AJ177" s="904"/>
      <c r="AK177" s="902">
        <v>0.16300000000000001</v>
      </c>
      <c r="AL177" s="903"/>
      <c r="AM177" s="904"/>
      <c r="AN177" s="902">
        <v>0.17699999999999999</v>
      </c>
      <c r="AO177" s="903"/>
      <c r="AP177" s="904"/>
    </row>
    <row r="178" spans="1:42" x14ac:dyDescent="0.3">
      <c r="A178" s="905">
        <f>A177+1</f>
        <v>2025</v>
      </c>
      <c r="B178" s="906"/>
      <c r="C178" s="907"/>
      <c r="D178" s="908">
        <v>2</v>
      </c>
      <c r="E178" s="908"/>
      <c r="F178" s="908"/>
      <c r="G178" s="896">
        <v>210.37735849056602</v>
      </c>
      <c r="H178" s="897"/>
      <c r="I178" s="898"/>
      <c r="J178" s="896">
        <v>613.20754716981128</v>
      </c>
      <c r="K178" s="897"/>
      <c r="L178" s="898"/>
      <c r="M178" s="896">
        <v>0</v>
      </c>
      <c r="N178" s="897"/>
      <c r="O178" s="898"/>
      <c r="P178" s="902">
        <v>0.11792452830188678</v>
      </c>
      <c r="Q178" s="903"/>
      <c r="R178" s="904"/>
      <c r="S178" s="902">
        <v>0.15849056603773584</v>
      </c>
      <c r="T178" s="903"/>
      <c r="U178" s="904"/>
      <c r="V178" s="902">
        <v>0.17169811320754716</v>
      </c>
      <c r="W178" s="903"/>
      <c r="X178" s="904"/>
      <c r="Y178" s="896">
        <v>433</v>
      </c>
      <c r="Z178" s="897"/>
      <c r="AA178" s="898"/>
      <c r="AB178" s="896">
        <v>1263</v>
      </c>
      <c r="AC178" s="897"/>
      <c r="AD178" s="898"/>
      <c r="AE178" s="896">
        <v>0</v>
      </c>
      <c r="AF178" s="897"/>
      <c r="AG178" s="898"/>
      <c r="AH178" s="902">
        <v>0.23899999999999999</v>
      </c>
      <c r="AI178" s="903"/>
      <c r="AJ178" s="904"/>
      <c r="AK178" s="902">
        <v>0.32100000000000001</v>
      </c>
      <c r="AL178" s="903"/>
      <c r="AM178" s="904"/>
      <c r="AN178" s="902">
        <v>0.34899999999999998</v>
      </c>
      <c r="AO178" s="903"/>
      <c r="AP178" s="904"/>
    </row>
    <row r="179" spans="1:42" x14ac:dyDescent="0.3">
      <c r="A179" s="905">
        <f t="shared" ref="A179:A201" si="4">A178+1</f>
        <v>2026</v>
      </c>
      <c r="B179" s="906"/>
      <c r="C179" s="907"/>
      <c r="D179" s="908">
        <v>3</v>
      </c>
      <c r="E179" s="908"/>
      <c r="F179" s="908"/>
      <c r="G179" s="896">
        <v>198.46920612317547</v>
      </c>
      <c r="H179" s="897"/>
      <c r="I179" s="898"/>
      <c r="J179" s="896">
        <v>578.49768600925586</v>
      </c>
      <c r="K179" s="897"/>
      <c r="L179" s="898"/>
      <c r="M179" s="896">
        <v>0</v>
      </c>
      <c r="N179" s="897"/>
      <c r="O179" s="898"/>
      <c r="P179" s="902">
        <v>0.11480954076183694</v>
      </c>
      <c r="Q179" s="903"/>
      <c r="R179" s="904"/>
      <c r="S179" s="902">
        <v>0.15396938412246347</v>
      </c>
      <c r="T179" s="903"/>
      <c r="U179" s="904"/>
      <c r="V179" s="902">
        <v>0.16642933428266285</v>
      </c>
      <c r="W179" s="903"/>
      <c r="X179" s="904"/>
      <c r="Y179" s="896">
        <v>632</v>
      </c>
      <c r="Z179" s="897"/>
      <c r="AA179" s="898"/>
      <c r="AB179" s="896">
        <v>1842</v>
      </c>
      <c r="AC179" s="897"/>
      <c r="AD179" s="898"/>
      <c r="AE179" s="896">
        <v>0</v>
      </c>
      <c r="AF179" s="897"/>
      <c r="AG179" s="898"/>
      <c r="AH179" s="902">
        <v>0.35399999999999998</v>
      </c>
      <c r="AI179" s="903"/>
      <c r="AJ179" s="904"/>
      <c r="AK179" s="902">
        <v>0.47499999999999998</v>
      </c>
      <c r="AL179" s="903"/>
      <c r="AM179" s="904"/>
      <c r="AN179" s="902">
        <v>0.51500000000000001</v>
      </c>
      <c r="AO179" s="903"/>
      <c r="AP179" s="904"/>
    </row>
    <row r="180" spans="1:42" x14ac:dyDescent="0.3">
      <c r="A180" s="905">
        <f t="shared" si="4"/>
        <v>2027</v>
      </c>
      <c r="B180" s="906"/>
      <c r="C180" s="907"/>
      <c r="D180" s="908">
        <v>4</v>
      </c>
      <c r="E180" s="908"/>
      <c r="F180" s="908"/>
      <c r="G180" s="896">
        <v>187.23510011620326</v>
      </c>
      <c r="H180" s="897"/>
      <c r="I180" s="898"/>
      <c r="J180" s="896">
        <v>545.75253397099607</v>
      </c>
      <c r="K180" s="897"/>
      <c r="L180" s="898"/>
      <c r="M180" s="896">
        <v>0</v>
      </c>
      <c r="N180" s="897"/>
      <c r="O180" s="898"/>
      <c r="P180" s="902">
        <v>0.11166936464329612</v>
      </c>
      <c r="Q180" s="903"/>
      <c r="R180" s="904"/>
      <c r="S180" s="902">
        <v>0.14945223237974969</v>
      </c>
      <c r="T180" s="903"/>
      <c r="U180" s="904"/>
      <c r="V180" s="902">
        <v>0.16204652162523422</v>
      </c>
      <c r="W180" s="903"/>
      <c r="X180" s="904"/>
      <c r="Y180" s="896">
        <v>819</v>
      </c>
      <c r="Z180" s="897"/>
      <c r="AA180" s="898"/>
      <c r="AB180" s="896">
        <v>2387</v>
      </c>
      <c r="AC180" s="897"/>
      <c r="AD180" s="898"/>
      <c r="AE180" s="896">
        <v>0</v>
      </c>
      <c r="AF180" s="897"/>
      <c r="AG180" s="898"/>
      <c r="AH180" s="902">
        <v>0.46500000000000002</v>
      </c>
      <c r="AI180" s="903"/>
      <c r="AJ180" s="904"/>
      <c r="AK180" s="902">
        <v>0.625</v>
      </c>
      <c r="AL180" s="903"/>
      <c r="AM180" s="904"/>
      <c r="AN180" s="902">
        <v>0.67700000000000005</v>
      </c>
      <c r="AO180" s="903"/>
      <c r="AP180" s="904"/>
    </row>
    <row r="181" spans="1:42" x14ac:dyDescent="0.3">
      <c r="A181" s="905">
        <f t="shared" si="4"/>
        <v>2028</v>
      </c>
      <c r="B181" s="906"/>
      <c r="C181" s="907"/>
      <c r="D181" s="908">
        <v>5</v>
      </c>
      <c r="E181" s="908"/>
      <c r="F181" s="908"/>
      <c r="G181" s="896">
        <v>176.63688690207854</v>
      </c>
      <c r="H181" s="897"/>
      <c r="I181" s="898"/>
      <c r="J181" s="896">
        <v>514.86088110471326</v>
      </c>
      <c r="K181" s="897"/>
      <c r="L181" s="898"/>
      <c r="M181" s="896">
        <v>0</v>
      </c>
      <c r="N181" s="897"/>
      <c r="O181" s="898"/>
      <c r="P181" s="902">
        <v>0.1085168318636088</v>
      </c>
      <c r="Q181" s="903"/>
      <c r="R181" s="904"/>
      <c r="S181" s="902">
        <v>0.14495314037255774</v>
      </c>
      <c r="T181" s="903"/>
      <c r="U181" s="904"/>
      <c r="V181" s="902">
        <v>0.15762663898436607</v>
      </c>
      <c r="W181" s="903"/>
      <c r="X181" s="904"/>
      <c r="Y181" s="896">
        <v>996</v>
      </c>
      <c r="Z181" s="897"/>
      <c r="AA181" s="898"/>
      <c r="AB181" s="896">
        <v>2902</v>
      </c>
      <c r="AC181" s="897"/>
      <c r="AD181" s="898"/>
      <c r="AE181" s="896">
        <v>0</v>
      </c>
      <c r="AF181" s="897"/>
      <c r="AG181" s="898"/>
      <c r="AH181" s="902">
        <v>0.57399999999999995</v>
      </c>
      <c r="AI181" s="903"/>
      <c r="AJ181" s="904"/>
      <c r="AK181" s="902">
        <v>0.77</v>
      </c>
      <c r="AL181" s="903"/>
      <c r="AM181" s="904"/>
      <c r="AN181" s="902">
        <v>0.83499999999999996</v>
      </c>
      <c r="AO181" s="903"/>
      <c r="AP181" s="904"/>
    </row>
    <row r="182" spans="1:42" x14ac:dyDescent="0.3">
      <c r="A182" s="905">
        <f t="shared" si="4"/>
        <v>2029</v>
      </c>
      <c r="B182" s="906"/>
      <c r="C182" s="907"/>
      <c r="D182" s="908">
        <v>6</v>
      </c>
      <c r="E182" s="908"/>
      <c r="F182" s="908"/>
      <c r="G182" s="896">
        <v>166.63857254913069</v>
      </c>
      <c r="H182" s="897"/>
      <c r="I182" s="898"/>
      <c r="J182" s="896">
        <v>485.71781236293697</v>
      </c>
      <c r="K182" s="897"/>
      <c r="L182" s="898"/>
      <c r="M182" s="896">
        <v>0</v>
      </c>
      <c r="N182" s="897"/>
      <c r="O182" s="898"/>
      <c r="P182" s="902">
        <v>0.10536340237411401</v>
      </c>
      <c r="Q182" s="903"/>
      <c r="R182" s="904"/>
      <c r="S182" s="902">
        <v>0.1404845364988187</v>
      </c>
      <c r="T182" s="903"/>
      <c r="U182" s="904"/>
      <c r="V182" s="902">
        <v>0.15318792543754164</v>
      </c>
      <c r="W182" s="903"/>
      <c r="X182" s="904"/>
      <c r="Y182" s="896">
        <v>1162</v>
      </c>
      <c r="Z182" s="897"/>
      <c r="AA182" s="898"/>
      <c r="AB182" s="896">
        <v>3388</v>
      </c>
      <c r="AC182" s="897"/>
      <c r="AD182" s="898"/>
      <c r="AE182" s="896">
        <v>0</v>
      </c>
      <c r="AF182" s="897"/>
      <c r="AG182" s="898"/>
      <c r="AH182" s="902">
        <v>0.67900000000000005</v>
      </c>
      <c r="AI182" s="903"/>
      <c r="AJ182" s="904"/>
      <c r="AK182" s="902">
        <v>0.91</v>
      </c>
      <c r="AL182" s="903"/>
      <c r="AM182" s="904"/>
      <c r="AN182" s="902">
        <v>0.98799999999999999</v>
      </c>
      <c r="AO182" s="903"/>
      <c r="AP182" s="904"/>
    </row>
    <row r="183" spans="1:42" x14ac:dyDescent="0.3">
      <c r="A183" s="905">
        <f t="shared" si="4"/>
        <v>2030</v>
      </c>
      <c r="B183" s="906"/>
      <c r="C183" s="907"/>
      <c r="D183" s="908">
        <v>7</v>
      </c>
      <c r="E183" s="908"/>
      <c r="F183" s="908"/>
      <c r="G183" s="896">
        <v>157.20620051804781</v>
      </c>
      <c r="H183" s="897"/>
      <c r="I183" s="898"/>
      <c r="J183" s="896">
        <v>458.22435128578957</v>
      </c>
      <c r="K183" s="897"/>
      <c r="L183" s="898"/>
      <c r="M183" s="896">
        <v>0</v>
      </c>
      <c r="N183" s="897"/>
      <c r="O183" s="898"/>
      <c r="P183" s="902">
        <v>0.10221927836375305</v>
      </c>
      <c r="Q183" s="903"/>
      <c r="R183" s="904"/>
      <c r="S183" s="902">
        <v>0.1367623448452972</v>
      </c>
      <c r="T183" s="903"/>
      <c r="U183" s="904"/>
      <c r="V183" s="902">
        <v>0.1487466740327717</v>
      </c>
      <c r="W183" s="903"/>
      <c r="X183" s="904"/>
      <c r="Y183" s="896">
        <v>1320</v>
      </c>
      <c r="Z183" s="897"/>
      <c r="AA183" s="898"/>
      <c r="AB183" s="896">
        <v>3846</v>
      </c>
      <c r="AC183" s="897"/>
      <c r="AD183" s="898"/>
      <c r="AE183" s="896">
        <v>0</v>
      </c>
      <c r="AF183" s="897"/>
      <c r="AG183" s="898"/>
      <c r="AH183" s="902">
        <v>0.78200000000000003</v>
      </c>
      <c r="AI183" s="903"/>
      <c r="AJ183" s="904"/>
      <c r="AK183" s="902">
        <v>1.0469999999999999</v>
      </c>
      <c r="AL183" s="903"/>
      <c r="AM183" s="904"/>
      <c r="AN183" s="902">
        <v>1.137</v>
      </c>
      <c r="AO183" s="903"/>
      <c r="AP183" s="904"/>
    </row>
    <row r="184" spans="1:42" x14ac:dyDescent="0.3">
      <c r="A184" s="905">
        <f t="shared" si="4"/>
        <v>2031</v>
      </c>
      <c r="B184" s="906"/>
      <c r="C184" s="907"/>
      <c r="D184" s="908">
        <v>8</v>
      </c>
      <c r="E184" s="908"/>
      <c r="F184" s="908"/>
      <c r="G184" s="896">
        <v>148.30773633778094</v>
      </c>
      <c r="H184" s="897"/>
      <c r="I184" s="898"/>
      <c r="J184" s="896">
        <v>432.28712385451843</v>
      </c>
      <c r="K184" s="897"/>
      <c r="L184" s="898"/>
      <c r="M184" s="896">
        <v>0</v>
      </c>
      <c r="N184" s="897"/>
      <c r="O184" s="898"/>
      <c r="P184" s="902">
        <v>9.9093509929728069E-2</v>
      </c>
      <c r="Q184" s="903"/>
      <c r="R184" s="904"/>
      <c r="S184" s="902">
        <v>0.1330114227244672</v>
      </c>
      <c r="T184" s="903"/>
      <c r="U184" s="904"/>
      <c r="V184" s="902">
        <v>0.14431739365604693</v>
      </c>
      <c r="W184" s="903"/>
      <c r="X184" s="904"/>
      <c r="Y184" s="896">
        <v>1468</v>
      </c>
      <c r="Z184" s="897"/>
      <c r="AA184" s="898"/>
      <c r="AB184" s="896">
        <v>4279</v>
      </c>
      <c r="AC184" s="897"/>
      <c r="AD184" s="898"/>
      <c r="AE184" s="896">
        <v>0</v>
      </c>
      <c r="AF184" s="897"/>
      <c r="AG184" s="898"/>
      <c r="AH184" s="902">
        <v>0.88100000000000001</v>
      </c>
      <c r="AI184" s="903"/>
      <c r="AJ184" s="904"/>
      <c r="AK184" s="902">
        <v>1.18</v>
      </c>
      <c r="AL184" s="903"/>
      <c r="AM184" s="904"/>
      <c r="AN184" s="902">
        <v>1.2809999999999999</v>
      </c>
      <c r="AO184" s="903"/>
      <c r="AP184" s="904"/>
    </row>
    <row r="185" spans="1:42" x14ac:dyDescent="0.3">
      <c r="A185" s="905">
        <f t="shared" si="4"/>
        <v>2032</v>
      </c>
      <c r="B185" s="906"/>
      <c r="C185" s="907"/>
      <c r="D185" s="908">
        <v>9</v>
      </c>
      <c r="E185" s="908"/>
      <c r="F185" s="908"/>
      <c r="G185" s="896">
        <v>139.91295880922732</v>
      </c>
      <c r="H185" s="897"/>
      <c r="I185" s="898"/>
      <c r="J185" s="896">
        <v>407.81804137218722</v>
      </c>
      <c r="K185" s="897"/>
      <c r="L185" s="898"/>
      <c r="M185" s="896">
        <v>0</v>
      </c>
      <c r="N185" s="897"/>
      <c r="O185" s="898"/>
      <c r="P185" s="902">
        <v>9.5994092815299456E-2</v>
      </c>
      <c r="Q185" s="903"/>
      <c r="R185" s="904"/>
      <c r="S185" s="902">
        <v>0.12924694849641624</v>
      </c>
      <c r="T185" s="903"/>
      <c r="U185" s="904"/>
      <c r="V185" s="902">
        <v>0.14054037118056914</v>
      </c>
      <c r="W185" s="903"/>
      <c r="X185" s="904"/>
      <c r="Y185" s="896">
        <v>1608</v>
      </c>
      <c r="Z185" s="897"/>
      <c r="AA185" s="898"/>
      <c r="AB185" s="896">
        <v>4686</v>
      </c>
      <c r="AC185" s="897"/>
      <c r="AD185" s="898"/>
      <c r="AE185" s="896">
        <v>0</v>
      </c>
      <c r="AF185" s="897"/>
      <c r="AG185" s="898"/>
      <c r="AH185" s="902">
        <v>0.97699999999999998</v>
      </c>
      <c r="AI185" s="903"/>
      <c r="AJ185" s="904"/>
      <c r="AK185" s="902">
        <v>1.3089999999999999</v>
      </c>
      <c r="AL185" s="903"/>
      <c r="AM185" s="904"/>
      <c r="AN185" s="902">
        <v>1.4219999999999999</v>
      </c>
      <c r="AO185" s="903"/>
      <c r="AP185" s="904"/>
    </row>
    <row r="186" spans="1:42" x14ac:dyDescent="0.3">
      <c r="A186" s="905">
        <f t="shared" si="4"/>
        <v>2033</v>
      </c>
      <c r="B186" s="906"/>
      <c r="C186" s="907"/>
      <c r="D186" s="908">
        <v>10</v>
      </c>
      <c r="E186" s="908"/>
      <c r="F186" s="908"/>
      <c r="G186" s="896">
        <v>131.99335736719559</v>
      </c>
      <c r="H186" s="897"/>
      <c r="I186" s="898"/>
      <c r="J186" s="896">
        <v>384.73400129451625</v>
      </c>
      <c r="K186" s="897"/>
      <c r="L186" s="898"/>
      <c r="M186" s="896">
        <v>0</v>
      </c>
      <c r="N186" s="897"/>
      <c r="O186" s="898"/>
      <c r="P186" s="902">
        <v>9.351995723774395E-2</v>
      </c>
      <c r="Q186" s="903"/>
      <c r="R186" s="904"/>
      <c r="S186" s="902">
        <v>0.12548247426836528</v>
      </c>
      <c r="T186" s="903"/>
      <c r="U186" s="904"/>
      <c r="V186" s="902">
        <v>0.13672854507543578</v>
      </c>
      <c r="W186" s="903"/>
      <c r="X186" s="904"/>
      <c r="Y186" s="896">
        <v>1740</v>
      </c>
      <c r="Z186" s="897"/>
      <c r="AA186" s="898"/>
      <c r="AB186" s="896">
        <v>5071</v>
      </c>
      <c r="AC186" s="897"/>
      <c r="AD186" s="898"/>
      <c r="AE186" s="896">
        <v>0</v>
      </c>
      <c r="AF186" s="897"/>
      <c r="AG186" s="898"/>
      <c r="AH186" s="902">
        <v>1.07</v>
      </c>
      <c r="AI186" s="903"/>
      <c r="AJ186" s="904"/>
      <c r="AK186" s="902">
        <v>1.4350000000000001</v>
      </c>
      <c r="AL186" s="903"/>
      <c r="AM186" s="904"/>
      <c r="AN186" s="902">
        <v>1.5580000000000001</v>
      </c>
      <c r="AO186" s="903"/>
      <c r="AP186" s="904"/>
    </row>
    <row r="187" spans="1:42" x14ac:dyDescent="0.3">
      <c r="A187" s="905">
        <f t="shared" si="4"/>
        <v>2034</v>
      </c>
      <c r="B187" s="906"/>
      <c r="C187" s="907"/>
      <c r="D187" s="908">
        <v>11</v>
      </c>
      <c r="E187" s="908"/>
      <c r="F187" s="908"/>
      <c r="G187" s="896">
        <v>124.52203525207129</v>
      </c>
      <c r="H187" s="897"/>
      <c r="I187" s="898"/>
      <c r="J187" s="896">
        <v>362.95660499482659</v>
      </c>
      <c r="K187" s="897"/>
      <c r="L187" s="898"/>
      <c r="M187" s="896">
        <v>0</v>
      </c>
      <c r="N187" s="897"/>
      <c r="O187" s="898"/>
      <c r="P187" s="902">
        <v>9.1018348637164223E-2</v>
      </c>
      <c r="Q187" s="903"/>
      <c r="R187" s="904"/>
      <c r="S187" s="902">
        <v>0.1217300613674957</v>
      </c>
      <c r="T187" s="903"/>
      <c r="U187" s="904"/>
      <c r="V187" s="902">
        <v>0.13289795690579806</v>
      </c>
      <c r="W187" s="903"/>
      <c r="X187" s="904"/>
      <c r="Y187" s="896">
        <v>1864</v>
      </c>
      <c r="Z187" s="897"/>
      <c r="AA187" s="898"/>
      <c r="AB187" s="896">
        <v>5434</v>
      </c>
      <c r="AC187" s="897"/>
      <c r="AD187" s="898"/>
      <c r="AE187" s="896">
        <v>0</v>
      </c>
      <c r="AF187" s="897"/>
      <c r="AG187" s="898"/>
      <c r="AH187" s="902">
        <v>1.161</v>
      </c>
      <c r="AI187" s="903"/>
      <c r="AJ187" s="904"/>
      <c r="AK187" s="902">
        <v>1.5569999999999999</v>
      </c>
      <c r="AL187" s="903"/>
      <c r="AM187" s="904"/>
      <c r="AN187" s="902">
        <v>1.6910000000000001</v>
      </c>
      <c r="AO187" s="903"/>
      <c r="AP187" s="904"/>
    </row>
    <row r="188" spans="1:42" x14ac:dyDescent="0.3">
      <c r="A188" s="905">
        <f t="shared" si="4"/>
        <v>2035</v>
      </c>
      <c r="B188" s="906"/>
      <c r="C188" s="907"/>
      <c r="D188" s="908">
        <v>12</v>
      </c>
      <c r="E188" s="908"/>
      <c r="F188" s="908"/>
      <c r="G188" s="896">
        <v>117.47361816233138</v>
      </c>
      <c r="H188" s="897"/>
      <c r="I188" s="898"/>
      <c r="J188" s="896">
        <v>342.41189150455335</v>
      </c>
      <c r="K188" s="897"/>
      <c r="L188" s="898"/>
      <c r="M188" s="896">
        <v>0</v>
      </c>
      <c r="N188" s="897"/>
      <c r="O188" s="898"/>
      <c r="P188" s="902">
        <v>8.8500304265792265E-2</v>
      </c>
      <c r="Q188" s="903"/>
      <c r="R188" s="904"/>
      <c r="S188" s="902">
        <v>0.11852719321311463</v>
      </c>
      <c r="T188" s="903"/>
      <c r="U188" s="904"/>
      <c r="V188" s="902">
        <v>0.12906294372094704</v>
      </c>
      <c r="W188" s="903"/>
      <c r="X188" s="904"/>
      <c r="Y188" s="896">
        <v>1982</v>
      </c>
      <c r="Z188" s="897"/>
      <c r="AA188" s="898"/>
      <c r="AB188" s="896">
        <v>5776</v>
      </c>
      <c r="AC188" s="897"/>
      <c r="AD188" s="898"/>
      <c r="AE188" s="896">
        <v>0</v>
      </c>
      <c r="AF188" s="897"/>
      <c r="AG188" s="898"/>
      <c r="AH188" s="902">
        <v>1.25</v>
      </c>
      <c r="AI188" s="903"/>
      <c r="AJ188" s="904"/>
      <c r="AK188" s="902">
        <v>1.675</v>
      </c>
      <c r="AL188" s="903"/>
      <c r="AM188" s="904"/>
      <c r="AN188" s="902">
        <v>1.82</v>
      </c>
      <c r="AO188" s="903"/>
      <c r="AP188" s="904"/>
    </row>
    <row r="189" spans="1:42" x14ac:dyDescent="0.3">
      <c r="A189" s="905">
        <f t="shared" si="4"/>
        <v>2036</v>
      </c>
      <c r="B189" s="906"/>
      <c r="C189" s="907"/>
      <c r="D189" s="908">
        <v>13</v>
      </c>
      <c r="E189" s="908"/>
      <c r="F189" s="908"/>
      <c r="G189" s="896">
        <v>110.82416807767112</v>
      </c>
      <c r="H189" s="897"/>
      <c r="I189" s="898"/>
      <c r="J189" s="896">
        <v>323.03008632505032</v>
      </c>
      <c r="K189" s="897"/>
      <c r="L189" s="898"/>
      <c r="M189" s="896">
        <v>0</v>
      </c>
      <c r="N189" s="897"/>
      <c r="O189" s="898"/>
      <c r="P189" s="902">
        <v>8.5975699898821076E-2</v>
      </c>
      <c r="Q189" s="903"/>
      <c r="R189" s="904"/>
      <c r="S189" s="902">
        <v>0.11529689234986412</v>
      </c>
      <c r="T189" s="903"/>
      <c r="U189" s="904"/>
      <c r="V189" s="902">
        <v>0.12523627962140413</v>
      </c>
      <c r="W189" s="903"/>
      <c r="X189" s="904"/>
      <c r="Y189" s="896">
        <v>2093</v>
      </c>
      <c r="Z189" s="897"/>
      <c r="AA189" s="898"/>
      <c r="AB189" s="896">
        <v>6099</v>
      </c>
      <c r="AC189" s="897"/>
      <c r="AD189" s="898"/>
      <c r="AE189" s="896">
        <v>0</v>
      </c>
      <c r="AF189" s="897"/>
      <c r="AG189" s="898"/>
      <c r="AH189" s="902">
        <v>1.3360000000000001</v>
      </c>
      <c r="AI189" s="903"/>
      <c r="AJ189" s="904"/>
      <c r="AK189" s="902">
        <v>1.79</v>
      </c>
      <c r="AL189" s="903"/>
      <c r="AM189" s="904"/>
      <c r="AN189" s="902">
        <v>1.946</v>
      </c>
      <c r="AO189" s="903"/>
      <c r="AP189" s="904"/>
    </row>
    <row r="190" spans="1:42" x14ac:dyDescent="0.3">
      <c r="A190" s="905">
        <f t="shared" si="4"/>
        <v>2037</v>
      </c>
      <c r="B190" s="906"/>
      <c r="C190" s="907"/>
      <c r="D190" s="908">
        <v>14</v>
      </c>
      <c r="E190" s="908"/>
      <c r="F190" s="908"/>
      <c r="G190" s="896">
        <v>104.55110196006707</v>
      </c>
      <c r="H190" s="897"/>
      <c r="I190" s="898"/>
      <c r="J190" s="896">
        <v>304.74536445759463</v>
      </c>
      <c r="K190" s="897"/>
      <c r="L190" s="898"/>
      <c r="M190" s="896">
        <v>0</v>
      </c>
      <c r="N190" s="897"/>
      <c r="O190" s="898"/>
      <c r="P190" s="902">
        <v>8.3453345959156669E-2</v>
      </c>
      <c r="Q190" s="903"/>
      <c r="R190" s="904"/>
      <c r="S190" s="902">
        <v>0.11205252631594632</v>
      </c>
      <c r="T190" s="903"/>
      <c r="U190" s="904"/>
      <c r="V190" s="902">
        <v>0.12189814578303786</v>
      </c>
      <c r="W190" s="903"/>
      <c r="X190" s="904"/>
      <c r="Y190" s="896">
        <v>2197</v>
      </c>
      <c r="Z190" s="897"/>
      <c r="AA190" s="898"/>
      <c r="AB190" s="896">
        <v>6404</v>
      </c>
      <c r="AC190" s="897"/>
      <c r="AD190" s="898"/>
      <c r="AE190" s="896">
        <v>0</v>
      </c>
      <c r="AF190" s="897"/>
      <c r="AG190" s="898"/>
      <c r="AH190" s="902">
        <v>1.419</v>
      </c>
      <c r="AI190" s="903"/>
      <c r="AJ190" s="904"/>
      <c r="AK190" s="902">
        <v>1.9019999999999999</v>
      </c>
      <c r="AL190" s="903"/>
      <c r="AM190" s="904"/>
      <c r="AN190" s="902">
        <v>2.0670000000000002</v>
      </c>
      <c r="AO190" s="903"/>
      <c r="AP190" s="904"/>
    </row>
    <row r="191" spans="1:42" x14ac:dyDescent="0.3">
      <c r="A191" s="905">
        <f t="shared" si="4"/>
        <v>2038</v>
      </c>
      <c r="B191" s="906"/>
      <c r="C191" s="907"/>
      <c r="D191" s="908">
        <v>15</v>
      </c>
      <c r="E191" s="908"/>
      <c r="F191" s="908"/>
      <c r="G191" s="896">
        <v>98.633115056667052</v>
      </c>
      <c r="H191" s="897"/>
      <c r="I191" s="898"/>
      <c r="J191" s="896">
        <v>287.49562684678739</v>
      </c>
      <c r="K191" s="897"/>
      <c r="L191" s="898"/>
      <c r="M191" s="896">
        <v>0</v>
      </c>
      <c r="N191" s="897"/>
      <c r="O191" s="898"/>
      <c r="P191" s="902">
        <v>8.0941076481480134E-2</v>
      </c>
      <c r="Q191" s="903"/>
      <c r="R191" s="904"/>
      <c r="S191" s="902">
        <v>0.10880603723739954</v>
      </c>
      <c r="T191" s="903"/>
      <c r="U191" s="904"/>
      <c r="V191" s="902">
        <v>0.11853665845375234</v>
      </c>
      <c r="W191" s="903"/>
      <c r="X191" s="904"/>
      <c r="Y191" s="896">
        <v>2296</v>
      </c>
      <c r="Z191" s="897"/>
      <c r="AA191" s="898"/>
      <c r="AB191" s="896">
        <v>6692</v>
      </c>
      <c r="AC191" s="897"/>
      <c r="AD191" s="898"/>
      <c r="AE191" s="896">
        <v>0</v>
      </c>
      <c r="AF191" s="897"/>
      <c r="AG191" s="898"/>
      <c r="AH191" s="902">
        <v>1.5</v>
      </c>
      <c r="AI191" s="903"/>
      <c r="AJ191" s="904"/>
      <c r="AK191" s="902">
        <v>2.0110000000000001</v>
      </c>
      <c r="AL191" s="903"/>
      <c r="AM191" s="904"/>
      <c r="AN191" s="902">
        <v>2.1859999999999999</v>
      </c>
      <c r="AO191" s="903"/>
      <c r="AP191" s="904"/>
    </row>
    <row r="192" spans="1:42" x14ac:dyDescent="0.3">
      <c r="A192" s="905">
        <f t="shared" si="4"/>
        <v>2039</v>
      </c>
      <c r="B192" s="906"/>
      <c r="C192" s="907"/>
      <c r="D192" s="908">
        <v>16</v>
      </c>
      <c r="E192" s="908"/>
      <c r="F192" s="908"/>
      <c r="G192" s="896">
        <v>93.050108544025505</v>
      </c>
      <c r="H192" s="897"/>
      <c r="I192" s="898"/>
      <c r="J192" s="896">
        <v>271.22228947810123</v>
      </c>
      <c r="K192" s="897"/>
      <c r="L192" s="898"/>
      <c r="M192" s="896">
        <v>0</v>
      </c>
      <c r="N192" s="897"/>
      <c r="O192" s="898"/>
      <c r="P192" s="902">
        <v>7.8445831418281584E-2</v>
      </c>
      <c r="Q192" s="903"/>
      <c r="R192" s="904"/>
      <c r="S192" s="902">
        <v>0.1055680603660917</v>
      </c>
      <c r="T192" s="903"/>
      <c r="U192" s="904"/>
      <c r="V192" s="902">
        <v>0.11516515676300915</v>
      </c>
      <c r="W192" s="903"/>
      <c r="X192" s="904"/>
      <c r="Y192" s="896">
        <v>2389</v>
      </c>
      <c r="Z192" s="897"/>
      <c r="AA192" s="898"/>
      <c r="AB192" s="896">
        <v>6963</v>
      </c>
      <c r="AC192" s="897"/>
      <c r="AD192" s="898"/>
      <c r="AE192" s="896">
        <v>0</v>
      </c>
      <c r="AF192" s="897"/>
      <c r="AG192" s="898"/>
      <c r="AH192" s="902">
        <v>1.5780000000000001</v>
      </c>
      <c r="AI192" s="903"/>
      <c r="AJ192" s="904"/>
      <c r="AK192" s="902">
        <v>2.117</v>
      </c>
      <c r="AL192" s="903"/>
      <c r="AM192" s="904"/>
      <c r="AN192" s="902">
        <v>2.3010000000000002</v>
      </c>
      <c r="AO192" s="903"/>
      <c r="AP192" s="904"/>
    </row>
    <row r="193" spans="1:42" x14ac:dyDescent="0.3">
      <c r="A193" s="905">
        <f t="shared" si="4"/>
        <v>2040</v>
      </c>
      <c r="B193" s="906"/>
      <c r="C193" s="907"/>
      <c r="D193" s="908">
        <v>17</v>
      </c>
      <c r="E193" s="908"/>
      <c r="F193" s="908"/>
      <c r="G193" s="896">
        <v>87.783121267948601</v>
      </c>
      <c r="H193" s="897"/>
      <c r="I193" s="898"/>
      <c r="J193" s="896">
        <v>255.87008441330312</v>
      </c>
      <c r="K193" s="897"/>
      <c r="L193" s="898"/>
      <c r="M193" s="896">
        <v>0</v>
      </c>
      <c r="N193" s="897"/>
      <c r="O193" s="898"/>
      <c r="P193" s="902">
        <v>7.6367379040278169E-2</v>
      </c>
      <c r="Q193" s="903"/>
      <c r="R193" s="904"/>
      <c r="S193" s="902">
        <v>0.10274168004903403</v>
      </c>
      <c r="T193" s="903"/>
      <c r="U193" s="904"/>
      <c r="V193" s="902">
        <v>0.11179554457442781</v>
      </c>
      <c r="W193" s="903"/>
      <c r="X193" s="904"/>
      <c r="Y193" s="896">
        <v>2477</v>
      </c>
      <c r="Z193" s="897"/>
      <c r="AA193" s="898"/>
      <c r="AB193" s="896">
        <v>7219</v>
      </c>
      <c r="AC193" s="897"/>
      <c r="AD193" s="898"/>
      <c r="AE193" s="896">
        <v>0</v>
      </c>
      <c r="AF193" s="897"/>
      <c r="AG193" s="898"/>
      <c r="AH193" s="902">
        <v>1.655</v>
      </c>
      <c r="AI193" s="903"/>
      <c r="AJ193" s="904"/>
      <c r="AK193" s="902">
        <v>2.2200000000000002</v>
      </c>
      <c r="AL193" s="903"/>
      <c r="AM193" s="904"/>
      <c r="AN193" s="902">
        <v>2.4129999999999998</v>
      </c>
      <c r="AO193" s="903"/>
      <c r="AP193" s="904"/>
    </row>
    <row r="194" spans="1:42" x14ac:dyDescent="0.3">
      <c r="A194" s="905">
        <f t="shared" si="4"/>
        <v>2041</v>
      </c>
      <c r="B194" s="906"/>
      <c r="C194" s="907"/>
      <c r="D194" s="908">
        <v>18</v>
      </c>
      <c r="E194" s="908"/>
      <c r="F194" s="908"/>
      <c r="G194" s="896">
        <v>82.814265347121321</v>
      </c>
      <c r="H194" s="897"/>
      <c r="I194" s="898"/>
      <c r="J194" s="896">
        <v>241.38687208802179</v>
      </c>
      <c r="K194" s="897"/>
      <c r="L194" s="898"/>
      <c r="M194" s="896">
        <v>0</v>
      </c>
      <c r="N194" s="897"/>
      <c r="O194" s="898"/>
      <c r="P194" s="902">
        <v>7.4272883719391322E-2</v>
      </c>
      <c r="Q194" s="903"/>
      <c r="R194" s="904"/>
      <c r="S194" s="902">
        <v>9.9897028602581331E-2</v>
      </c>
      <c r="T194" s="903"/>
      <c r="U194" s="904"/>
      <c r="V194" s="902">
        <v>0.10880977464890827</v>
      </c>
      <c r="W194" s="903"/>
      <c r="X194" s="904"/>
      <c r="Y194" s="896">
        <v>2559</v>
      </c>
      <c r="Z194" s="897"/>
      <c r="AA194" s="898"/>
      <c r="AB194" s="896">
        <v>7460</v>
      </c>
      <c r="AC194" s="897"/>
      <c r="AD194" s="898"/>
      <c r="AE194" s="896">
        <v>0</v>
      </c>
      <c r="AF194" s="897"/>
      <c r="AG194" s="898"/>
      <c r="AH194" s="902">
        <v>1.7290000000000001</v>
      </c>
      <c r="AI194" s="903"/>
      <c r="AJ194" s="904"/>
      <c r="AK194" s="902">
        <v>2.319</v>
      </c>
      <c r="AL194" s="903"/>
      <c r="AM194" s="904"/>
      <c r="AN194" s="902">
        <v>2.5219999999999998</v>
      </c>
      <c r="AO194" s="903"/>
      <c r="AP194" s="904"/>
    </row>
    <row r="195" spans="1:42" x14ac:dyDescent="0.3">
      <c r="A195" s="905">
        <f t="shared" si="4"/>
        <v>2042</v>
      </c>
      <c r="B195" s="906"/>
      <c r="C195" s="907"/>
      <c r="D195" s="908">
        <v>19</v>
      </c>
      <c r="E195" s="908"/>
      <c r="F195" s="908"/>
      <c r="G195" s="896">
        <v>78.126665421812561</v>
      </c>
      <c r="H195" s="897"/>
      <c r="I195" s="898"/>
      <c r="J195" s="896">
        <v>227.72346423398281</v>
      </c>
      <c r="K195" s="897"/>
      <c r="L195" s="898"/>
      <c r="M195" s="896">
        <v>0</v>
      </c>
      <c r="N195" s="897"/>
      <c r="O195" s="898"/>
      <c r="P195" s="902">
        <v>7.2170820972616082E-2</v>
      </c>
      <c r="Q195" s="903"/>
      <c r="R195" s="904"/>
      <c r="S195" s="902">
        <v>9.704523014278961E-2</v>
      </c>
      <c r="T195" s="903"/>
      <c r="U195" s="904"/>
      <c r="V195" s="902">
        <v>0.10580382492101971</v>
      </c>
      <c r="W195" s="903"/>
      <c r="X195" s="904"/>
      <c r="Y195" s="896">
        <v>2638</v>
      </c>
      <c r="Z195" s="897"/>
      <c r="AA195" s="898"/>
      <c r="AB195" s="896">
        <v>7688</v>
      </c>
      <c r="AC195" s="897"/>
      <c r="AD195" s="898"/>
      <c r="AE195" s="896">
        <v>0</v>
      </c>
      <c r="AF195" s="897"/>
      <c r="AG195" s="898"/>
      <c r="AH195" s="902">
        <v>1.8009999999999999</v>
      </c>
      <c r="AI195" s="903"/>
      <c r="AJ195" s="904"/>
      <c r="AK195" s="902">
        <v>2.4169999999999998</v>
      </c>
      <c r="AL195" s="903"/>
      <c r="AM195" s="904"/>
      <c r="AN195" s="902">
        <v>2.6280000000000001</v>
      </c>
      <c r="AO195" s="903"/>
      <c r="AP195" s="904"/>
    </row>
    <row r="196" spans="1:42" x14ac:dyDescent="0.3">
      <c r="A196" s="905">
        <f t="shared" si="4"/>
        <v>2043</v>
      </c>
      <c r="B196" s="906"/>
      <c r="C196" s="907"/>
      <c r="D196" s="908">
        <v>20</v>
      </c>
      <c r="E196" s="908"/>
      <c r="F196" s="908"/>
      <c r="G196" s="896">
        <v>73.704401341332598</v>
      </c>
      <c r="H196" s="897"/>
      <c r="I196" s="898"/>
      <c r="J196" s="896">
        <v>214.83345682451207</v>
      </c>
      <c r="K196" s="897"/>
      <c r="L196" s="898"/>
      <c r="M196" s="896">
        <v>0</v>
      </c>
      <c r="N196" s="897"/>
      <c r="O196" s="898"/>
      <c r="P196" s="902">
        <v>7.0068758225840855E-2</v>
      </c>
      <c r="Q196" s="903"/>
      <c r="R196" s="904"/>
      <c r="S196" s="902">
        <v>9.4196207992286049E-2</v>
      </c>
      <c r="T196" s="903"/>
      <c r="U196" s="904"/>
      <c r="V196" s="902">
        <v>0.10278954626526654</v>
      </c>
      <c r="W196" s="903"/>
      <c r="X196" s="904"/>
      <c r="Y196" s="896">
        <v>2711</v>
      </c>
      <c r="Z196" s="897"/>
      <c r="AA196" s="898"/>
      <c r="AB196" s="896">
        <v>7903</v>
      </c>
      <c r="AC196" s="897"/>
      <c r="AD196" s="898"/>
      <c r="AE196" s="896">
        <v>0</v>
      </c>
      <c r="AF196" s="897"/>
      <c r="AG196" s="898"/>
      <c r="AH196" s="902">
        <v>1.871</v>
      </c>
      <c r="AI196" s="903"/>
      <c r="AJ196" s="904"/>
      <c r="AK196" s="902">
        <v>2.5110000000000001</v>
      </c>
      <c r="AL196" s="903"/>
      <c r="AM196" s="904"/>
      <c r="AN196" s="902">
        <v>2.73</v>
      </c>
      <c r="AO196" s="903"/>
      <c r="AP196" s="904"/>
    </row>
    <row r="197" spans="1:42" x14ac:dyDescent="0.3">
      <c r="A197" s="905">
        <f t="shared" si="4"/>
        <v>2044</v>
      </c>
      <c r="B197" s="906"/>
      <c r="C197" s="907"/>
      <c r="D197" s="908">
        <v>21</v>
      </c>
      <c r="E197" s="908"/>
      <c r="F197" s="908"/>
      <c r="G197" s="896">
        <v>69.53245409559679</v>
      </c>
      <c r="H197" s="897"/>
      <c r="I197" s="898"/>
      <c r="J197" s="896">
        <v>202.67307247595477</v>
      </c>
      <c r="K197" s="897"/>
      <c r="L197" s="898"/>
      <c r="M197" s="896">
        <v>0</v>
      </c>
      <c r="N197" s="897"/>
      <c r="O197" s="898"/>
      <c r="P197" s="902">
        <v>6.797343046116637E-2</v>
      </c>
      <c r="Q197" s="903"/>
      <c r="R197" s="904"/>
      <c r="S197" s="902">
        <v>9.1670589704508768E-2</v>
      </c>
      <c r="T197" s="903"/>
      <c r="U197" s="904"/>
      <c r="V197" s="902">
        <v>9.9777512603546975E-2</v>
      </c>
      <c r="W197" s="903"/>
      <c r="X197" s="904"/>
      <c r="Y197" s="896">
        <v>2781</v>
      </c>
      <c r="Z197" s="897"/>
      <c r="AA197" s="898"/>
      <c r="AB197" s="896">
        <v>8105</v>
      </c>
      <c r="AC197" s="897"/>
      <c r="AD197" s="898"/>
      <c r="AE197" s="896">
        <v>0</v>
      </c>
      <c r="AF197" s="897"/>
      <c r="AG197" s="898"/>
      <c r="AH197" s="902">
        <v>1.9390000000000001</v>
      </c>
      <c r="AI197" s="903"/>
      <c r="AJ197" s="904"/>
      <c r="AK197" s="902">
        <v>2.6019999999999999</v>
      </c>
      <c r="AL197" s="903"/>
      <c r="AM197" s="904"/>
      <c r="AN197" s="902">
        <v>2.83</v>
      </c>
      <c r="AO197" s="903"/>
      <c r="AP197" s="904"/>
    </row>
    <row r="198" spans="1:42" x14ac:dyDescent="0.3">
      <c r="A198" s="905">
        <f t="shared" si="4"/>
        <v>2045</v>
      </c>
      <c r="B198" s="906"/>
      <c r="C198" s="907"/>
      <c r="D198" s="908">
        <v>22</v>
      </c>
      <c r="E198" s="908"/>
      <c r="F198" s="908"/>
      <c r="G198" s="896">
        <v>65.596654807166772</v>
      </c>
      <c r="H198" s="897"/>
      <c r="I198" s="898"/>
      <c r="J198" s="896">
        <v>191.20101176976863</v>
      </c>
      <c r="K198" s="897"/>
      <c r="L198" s="898"/>
      <c r="M198" s="896">
        <v>0</v>
      </c>
      <c r="N198" s="897"/>
      <c r="O198" s="898"/>
      <c r="P198" s="902">
        <v>6.6184965612612223E-2</v>
      </c>
      <c r="Q198" s="903"/>
      <c r="R198" s="904"/>
      <c r="S198" s="902">
        <v>8.9129087024984441E-2</v>
      </c>
      <c r="T198" s="903"/>
      <c r="U198" s="904"/>
      <c r="V198" s="902">
        <v>9.7071282898497924E-2</v>
      </c>
      <c r="W198" s="903"/>
      <c r="X198" s="904"/>
      <c r="Y198" s="896">
        <v>2846</v>
      </c>
      <c r="Z198" s="897"/>
      <c r="AA198" s="898"/>
      <c r="AB198" s="896">
        <v>8297</v>
      </c>
      <c r="AC198" s="897"/>
      <c r="AD198" s="898"/>
      <c r="AE198" s="896">
        <v>0</v>
      </c>
      <c r="AF198" s="897"/>
      <c r="AG198" s="898"/>
      <c r="AH198" s="902">
        <v>2.0049999999999999</v>
      </c>
      <c r="AI198" s="903"/>
      <c r="AJ198" s="904"/>
      <c r="AK198" s="902">
        <v>2.6920000000000002</v>
      </c>
      <c r="AL198" s="903"/>
      <c r="AM198" s="904"/>
      <c r="AN198" s="902">
        <v>2.927</v>
      </c>
      <c r="AO198" s="903"/>
      <c r="AP198" s="904"/>
    </row>
    <row r="199" spans="1:42" x14ac:dyDescent="0.3">
      <c r="A199" s="905">
        <f t="shared" si="4"/>
        <v>2046</v>
      </c>
      <c r="B199" s="906"/>
      <c r="C199" s="907"/>
      <c r="D199" s="908">
        <v>23</v>
      </c>
      <c r="E199" s="908"/>
      <c r="F199" s="908"/>
      <c r="G199" s="896">
        <v>61.883636610534687</v>
      </c>
      <c r="H199" s="897"/>
      <c r="I199" s="898"/>
      <c r="J199" s="896">
        <v>180.37831299034775</v>
      </c>
      <c r="K199" s="897"/>
      <c r="L199" s="898"/>
      <c r="M199" s="896">
        <v>0</v>
      </c>
      <c r="N199" s="897"/>
      <c r="O199" s="898"/>
      <c r="P199" s="902">
        <v>6.4381182482708743E-2</v>
      </c>
      <c r="Q199" s="903"/>
      <c r="R199" s="904"/>
      <c r="S199" s="902">
        <v>8.658159023536692E-2</v>
      </c>
      <c r="T199" s="903"/>
      <c r="U199" s="904"/>
      <c r="V199" s="902">
        <v>9.4351732948797284E-2</v>
      </c>
      <c r="W199" s="903"/>
      <c r="X199" s="904"/>
      <c r="Y199" s="896">
        <v>2908</v>
      </c>
      <c r="Z199" s="897"/>
      <c r="AA199" s="898"/>
      <c r="AB199" s="896">
        <v>8477</v>
      </c>
      <c r="AC199" s="897"/>
      <c r="AD199" s="898"/>
      <c r="AE199" s="896">
        <v>0</v>
      </c>
      <c r="AF199" s="897"/>
      <c r="AG199" s="898"/>
      <c r="AH199" s="902">
        <v>2.0699999999999998</v>
      </c>
      <c r="AI199" s="903"/>
      <c r="AJ199" s="904"/>
      <c r="AK199" s="902">
        <v>2.778</v>
      </c>
      <c r="AL199" s="903"/>
      <c r="AM199" s="904"/>
      <c r="AN199" s="902">
        <v>3.0219999999999998</v>
      </c>
      <c r="AO199" s="903"/>
      <c r="AP199" s="904"/>
    </row>
    <row r="200" spans="1:42" x14ac:dyDescent="0.3">
      <c r="A200" s="905">
        <f t="shared" si="4"/>
        <v>2047</v>
      </c>
      <c r="B200" s="906"/>
      <c r="C200" s="907"/>
      <c r="D200" s="908">
        <v>24</v>
      </c>
      <c r="E200" s="908"/>
      <c r="F200" s="908"/>
      <c r="G200" s="896">
        <v>58.380789255221394</v>
      </c>
      <c r="H200" s="897"/>
      <c r="I200" s="898"/>
      <c r="J200" s="896">
        <v>170.16821980221482</v>
      </c>
      <c r="K200" s="897"/>
      <c r="L200" s="898"/>
      <c r="M200" s="896">
        <v>0</v>
      </c>
      <c r="N200" s="897"/>
      <c r="O200" s="898"/>
      <c r="P200" s="902">
        <v>6.2569545434968218E-2</v>
      </c>
      <c r="Q200" s="903"/>
      <c r="R200" s="904"/>
      <c r="S200" s="902">
        <v>8.4036920856170719E-2</v>
      </c>
      <c r="T200" s="903"/>
      <c r="U200" s="904"/>
      <c r="V200" s="902">
        <v>9.1629041431961822E-2</v>
      </c>
      <c r="W200" s="903"/>
      <c r="X200" s="904"/>
      <c r="Y200" s="896">
        <v>2967</v>
      </c>
      <c r="Z200" s="897"/>
      <c r="AA200" s="898"/>
      <c r="AB200" s="896">
        <v>8647</v>
      </c>
      <c r="AC200" s="897"/>
      <c r="AD200" s="898"/>
      <c r="AE200" s="896">
        <v>0</v>
      </c>
      <c r="AF200" s="897"/>
      <c r="AG200" s="898"/>
      <c r="AH200" s="902">
        <v>2.1320000000000001</v>
      </c>
      <c r="AI200" s="903"/>
      <c r="AJ200" s="904"/>
      <c r="AK200" s="902">
        <v>2.8620000000000001</v>
      </c>
      <c r="AL200" s="903"/>
      <c r="AM200" s="904"/>
      <c r="AN200" s="902">
        <v>3.113</v>
      </c>
      <c r="AO200" s="903"/>
      <c r="AP200" s="904"/>
    </row>
    <row r="201" spans="1:42" x14ac:dyDescent="0.3">
      <c r="A201" s="905">
        <f t="shared" si="4"/>
        <v>2048</v>
      </c>
      <c r="B201" s="906"/>
      <c r="C201" s="907"/>
      <c r="D201" s="908">
        <v>25</v>
      </c>
      <c r="E201" s="908"/>
      <c r="F201" s="908"/>
      <c r="G201" s="899">
        <v>55.076216278510756</v>
      </c>
      <c r="H201" s="900"/>
      <c r="I201" s="901"/>
      <c r="J201" s="899">
        <v>160.53605641718383</v>
      </c>
      <c r="K201" s="900"/>
      <c r="L201" s="901"/>
      <c r="M201" s="899">
        <v>0</v>
      </c>
      <c r="N201" s="900"/>
      <c r="O201" s="901"/>
      <c r="P201" s="902">
        <v>6.0756722890195722E-2</v>
      </c>
      <c r="Q201" s="903"/>
      <c r="R201" s="904"/>
      <c r="S201" s="902">
        <v>8.1749899498596693E-2</v>
      </c>
      <c r="T201" s="903"/>
      <c r="U201" s="904"/>
      <c r="V201" s="902">
        <v>8.915925594862055E-2</v>
      </c>
      <c r="W201" s="903"/>
      <c r="X201" s="904"/>
      <c r="Y201" s="899">
        <v>3022</v>
      </c>
      <c r="Z201" s="900"/>
      <c r="AA201" s="901"/>
      <c r="AB201" s="899">
        <v>8808</v>
      </c>
      <c r="AC201" s="900"/>
      <c r="AD201" s="901"/>
      <c r="AE201" s="899">
        <v>0</v>
      </c>
      <c r="AF201" s="900"/>
      <c r="AG201" s="901"/>
      <c r="AH201" s="902">
        <v>2.1930000000000001</v>
      </c>
      <c r="AI201" s="903"/>
      <c r="AJ201" s="904"/>
      <c r="AK201" s="902">
        <v>2.944</v>
      </c>
      <c r="AL201" s="903"/>
      <c r="AM201" s="904"/>
      <c r="AN201" s="902">
        <v>3.202</v>
      </c>
      <c r="AO201" s="903"/>
      <c r="AP201" s="904"/>
    </row>
    <row r="203" spans="1:42" x14ac:dyDescent="0.3">
      <c r="A203" s="958" t="s">
        <v>2128</v>
      </c>
      <c r="B203" s="959"/>
      <c r="C203" s="959"/>
      <c r="D203" s="959"/>
      <c r="E203" s="959"/>
      <c r="F203" s="959"/>
      <c r="G203" s="959"/>
      <c r="H203" s="959"/>
      <c r="I203" s="959"/>
      <c r="J203" s="959"/>
      <c r="K203" s="959"/>
      <c r="L203" s="959"/>
      <c r="M203" s="959"/>
      <c r="N203" s="959"/>
      <c r="O203" s="959"/>
      <c r="P203" s="959"/>
      <c r="Q203" s="959"/>
      <c r="R203" s="959"/>
      <c r="S203" s="959"/>
      <c r="T203" s="959"/>
      <c r="U203" s="959"/>
      <c r="V203" s="959"/>
      <c r="W203" s="959"/>
      <c r="X203" s="959"/>
      <c r="Y203" s="959"/>
      <c r="Z203" s="959"/>
      <c r="AA203" s="959"/>
      <c r="AB203" s="959"/>
      <c r="AC203" s="959"/>
      <c r="AD203" s="959"/>
      <c r="AE203" s="959"/>
      <c r="AF203" s="960"/>
    </row>
    <row r="204" spans="1:42" ht="66.75" customHeight="1" x14ac:dyDescent="0.3">
      <c r="A204" s="868" t="s">
        <v>811</v>
      </c>
      <c r="B204" s="868"/>
      <c r="C204" s="868"/>
      <c r="D204" s="868"/>
      <c r="E204" s="868"/>
      <c r="F204" s="868"/>
      <c r="G204" s="868"/>
      <c r="H204" s="868"/>
      <c r="I204" s="868"/>
      <c r="J204" s="868"/>
      <c r="K204" s="868"/>
      <c r="L204" s="868"/>
      <c r="M204" s="868"/>
      <c r="N204" s="868"/>
      <c r="O204" s="868"/>
      <c r="P204" s="868"/>
      <c r="Q204" s="868"/>
      <c r="R204" s="868"/>
      <c r="S204" s="868"/>
      <c r="T204" s="868"/>
      <c r="U204" s="868"/>
      <c r="V204" s="868"/>
      <c r="W204" s="868"/>
      <c r="X204" s="868"/>
      <c r="Y204" s="868"/>
      <c r="Z204" s="868"/>
      <c r="AA204" s="868"/>
      <c r="AB204" s="868"/>
      <c r="AC204" s="868"/>
      <c r="AD204" s="868"/>
      <c r="AE204" s="868"/>
      <c r="AF204" s="868"/>
    </row>
    <row r="205" spans="1:42" x14ac:dyDescent="0.3">
      <c r="A205" s="129"/>
      <c r="B205" s="129"/>
      <c r="C205" s="129"/>
      <c r="D205" s="129"/>
      <c r="E205" s="129"/>
      <c r="F205" s="129"/>
      <c r="G205" s="129"/>
      <c r="H205" s="129"/>
      <c r="I205" s="129"/>
      <c r="J205" s="129"/>
    </row>
    <row r="206" spans="1:42" x14ac:dyDescent="0.3">
      <c r="A206" s="982" t="s">
        <v>974</v>
      </c>
      <c r="B206" s="982"/>
      <c r="C206" s="982"/>
      <c r="D206" s="982"/>
      <c r="E206" s="982"/>
      <c r="F206" s="982"/>
      <c r="G206" s="982"/>
      <c r="H206" s="982"/>
      <c r="I206" s="982"/>
      <c r="J206" s="982"/>
      <c r="K206" s="982"/>
      <c r="L206" s="982"/>
      <c r="M206" s="982"/>
      <c r="N206" s="982"/>
      <c r="O206" s="982"/>
      <c r="P206" s="982"/>
      <c r="Q206" s="982"/>
      <c r="R206" s="982"/>
      <c r="S206" s="982"/>
      <c r="T206" s="982"/>
      <c r="U206" s="982"/>
      <c r="V206" s="982"/>
      <c r="W206" s="982"/>
      <c r="X206" s="982"/>
      <c r="Y206" s="982"/>
      <c r="Z206" s="982"/>
      <c r="AA206" s="982"/>
      <c r="AB206" s="982"/>
      <c r="AC206" s="982"/>
      <c r="AD206" s="982"/>
      <c r="AE206" s="982"/>
      <c r="AF206" s="982"/>
    </row>
    <row r="207" spans="1:42" x14ac:dyDescent="0.3">
      <c r="A207" s="982" t="s">
        <v>975</v>
      </c>
      <c r="B207" s="982"/>
      <c r="C207" s="982"/>
      <c r="D207" s="982"/>
      <c r="E207" s="982"/>
      <c r="F207" s="982"/>
      <c r="G207" s="982"/>
      <c r="H207" s="982"/>
      <c r="I207" s="982"/>
      <c r="J207" s="982"/>
      <c r="K207" s="982"/>
      <c r="L207" s="982"/>
      <c r="M207" s="982"/>
      <c r="N207" s="982"/>
      <c r="O207" s="982"/>
      <c r="P207" s="982"/>
      <c r="Q207" s="982"/>
      <c r="R207" s="982"/>
      <c r="S207" s="982"/>
      <c r="T207" s="982"/>
      <c r="U207" s="982"/>
      <c r="V207" s="982"/>
      <c r="W207" s="982"/>
      <c r="X207" s="982"/>
      <c r="Y207" s="982"/>
      <c r="Z207" s="982"/>
      <c r="AA207" s="982"/>
      <c r="AB207" s="982"/>
      <c r="AC207" s="982"/>
      <c r="AD207" s="982"/>
      <c r="AE207" s="982"/>
      <c r="AF207" s="982"/>
    </row>
    <row r="208" spans="1:42" x14ac:dyDescent="0.3">
      <c r="A208" s="31"/>
      <c r="B208" s="31"/>
      <c r="C208" s="31"/>
      <c r="D208" s="31"/>
      <c r="E208" s="31"/>
      <c r="F208" s="31"/>
      <c r="G208" s="31"/>
      <c r="H208" s="31"/>
      <c r="I208" s="31"/>
      <c r="J208" s="31"/>
    </row>
    <row r="209" spans="1:32" x14ac:dyDescent="0.3">
      <c r="G209" s="166" t="s">
        <v>812</v>
      </c>
      <c r="H209" s="94" t="s">
        <v>813</v>
      </c>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row>
    <row r="210" spans="1:32" x14ac:dyDescent="0.3">
      <c r="G210" s="166" t="s">
        <v>814</v>
      </c>
      <c r="H210" s="94" t="s">
        <v>815</v>
      </c>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row>
    <row r="211" spans="1:32" x14ac:dyDescent="0.3">
      <c r="G211" s="166" t="s">
        <v>816</v>
      </c>
      <c r="H211" s="94" t="s">
        <v>817</v>
      </c>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row>
    <row r="212" spans="1:32" ht="30" customHeight="1" x14ac:dyDescent="0.3">
      <c r="G212" s="166" t="s">
        <v>818</v>
      </c>
      <c r="H212" s="1023" t="s">
        <v>5669</v>
      </c>
      <c r="I212" s="1023"/>
      <c r="J212" s="1023"/>
      <c r="K212" s="1023"/>
      <c r="L212" s="1023"/>
      <c r="M212" s="1023"/>
      <c r="N212" s="1023"/>
      <c r="O212" s="1023"/>
      <c r="P212" s="1023"/>
      <c r="Q212" s="1023"/>
      <c r="R212" s="1023"/>
      <c r="S212" s="1023"/>
      <c r="T212" s="1023"/>
      <c r="U212" s="1023"/>
      <c r="V212" s="1023"/>
      <c r="W212" s="1023"/>
      <c r="X212" s="1023"/>
      <c r="Y212" s="1023"/>
      <c r="Z212" s="1023"/>
      <c r="AA212" s="1023"/>
      <c r="AB212" s="1023"/>
      <c r="AC212" s="1023"/>
      <c r="AD212" s="1023"/>
      <c r="AE212" s="1023"/>
      <c r="AF212" s="1023"/>
    </row>
    <row r="213" spans="1:32" x14ac:dyDescent="0.3">
      <c r="G213" s="166" t="s">
        <v>819</v>
      </c>
      <c r="H213" s="94" t="s">
        <v>2124</v>
      </c>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row>
    <row r="214" spans="1:32" x14ac:dyDescent="0.3">
      <c r="G214" s="166" t="s">
        <v>976</v>
      </c>
      <c r="H214" s="94" t="s">
        <v>5670</v>
      </c>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row>
    <row r="216" spans="1:32" x14ac:dyDescent="0.3">
      <c r="A216" s="967" t="s">
        <v>2505</v>
      </c>
      <c r="B216" s="967"/>
      <c r="C216" s="967"/>
      <c r="D216" s="967"/>
      <c r="E216" s="967"/>
      <c r="F216" s="967"/>
      <c r="G216" s="967"/>
      <c r="H216" s="967"/>
      <c r="I216" s="967"/>
      <c r="J216" s="967"/>
      <c r="K216" s="967"/>
      <c r="L216" s="967"/>
      <c r="M216" s="967"/>
      <c r="N216" s="967"/>
      <c r="O216" s="967"/>
      <c r="P216" s="967"/>
      <c r="Q216" s="967"/>
      <c r="R216" s="967"/>
      <c r="S216" s="967"/>
      <c r="T216" s="967"/>
      <c r="U216" s="967"/>
      <c r="V216" s="967"/>
      <c r="W216" s="967"/>
      <c r="X216" s="967"/>
      <c r="Y216" s="967"/>
      <c r="Z216" s="967"/>
      <c r="AA216" s="967"/>
      <c r="AB216" s="967"/>
      <c r="AC216" s="967"/>
      <c r="AD216" s="967"/>
      <c r="AE216" s="967"/>
      <c r="AF216" s="967"/>
    </row>
    <row r="217" spans="1:32" ht="91.5" customHeight="1" x14ac:dyDescent="0.3">
      <c r="A217" s="884" t="s">
        <v>5671</v>
      </c>
      <c r="B217" s="884"/>
      <c r="C217" s="884"/>
      <c r="D217" s="884"/>
      <c r="E217" s="884"/>
      <c r="F217" s="884"/>
      <c r="G217" s="884"/>
      <c r="H217" s="884"/>
      <c r="I217" s="884"/>
      <c r="J217" s="884"/>
      <c r="K217" s="884"/>
      <c r="L217" s="884"/>
      <c r="M217" s="884"/>
      <c r="N217" s="884"/>
      <c r="O217" s="884"/>
      <c r="P217" s="884"/>
      <c r="Q217" s="884"/>
      <c r="R217" s="884"/>
      <c r="S217" s="884"/>
      <c r="T217" s="884"/>
      <c r="U217" s="884"/>
      <c r="V217" s="884"/>
      <c r="W217" s="884"/>
      <c r="X217" s="884"/>
      <c r="Y217" s="884"/>
      <c r="Z217" s="884"/>
      <c r="AA217" s="884"/>
      <c r="AB217" s="884"/>
      <c r="AC217" s="884"/>
      <c r="AD217" s="884"/>
      <c r="AE217" s="884"/>
      <c r="AF217" s="884"/>
    </row>
    <row r="218" spans="1:32" x14ac:dyDescent="0.3">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row>
    <row r="219" spans="1:32" x14ac:dyDescent="0.3">
      <c r="A219" s="493" t="s">
        <v>5672</v>
      </c>
      <c r="B219" s="40"/>
      <c r="C219" s="40"/>
      <c r="D219" s="40"/>
      <c r="E219" s="40"/>
      <c r="F219" s="40"/>
      <c r="G219" s="40"/>
      <c r="H219" s="40"/>
      <c r="I219" s="40"/>
      <c r="J219" s="40"/>
      <c r="K219" s="40"/>
      <c r="L219" s="40"/>
      <c r="M219" s="40"/>
      <c r="N219" s="40"/>
      <c r="O219" s="40"/>
      <c r="P219" s="40"/>
      <c r="Q219" s="40"/>
      <c r="R219" s="40"/>
      <c r="S219" s="40"/>
      <c r="T219" s="40"/>
      <c r="U219" s="36"/>
      <c r="V219" s="36"/>
      <c r="W219" s="36"/>
      <c r="X219" s="36"/>
    </row>
    <row r="220" spans="1:32" ht="45.75" customHeight="1" x14ac:dyDescent="0.3">
      <c r="A220" s="969" t="s">
        <v>659</v>
      </c>
      <c r="B220" s="969"/>
      <c r="C220" s="969"/>
      <c r="D220" s="969"/>
      <c r="E220" s="969"/>
      <c r="F220" s="969"/>
      <c r="G220" s="969"/>
      <c r="H220" s="969"/>
      <c r="I220" s="969"/>
      <c r="J220" s="969"/>
      <c r="K220" s="969"/>
      <c r="L220" s="969"/>
      <c r="M220" s="969"/>
      <c r="N220" s="969"/>
      <c r="O220" s="969"/>
      <c r="P220" s="969"/>
      <c r="Q220" s="969"/>
      <c r="R220" s="969"/>
      <c r="S220" s="969"/>
      <c r="T220" s="969"/>
      <c r="U220" s="969"/>
      <c r="V220" s="969"/>
      <c r="W220" s="971" t="s">
        <v>2125</v>
      </c>
      <c r="X220" s="972"/>
      <c r="Y220" s="972"/>
      <c r="Z220" s="973"/>
      <c r="AA220" s="729"/>
      <c r="AB220" s="730"/>
      <c r="AC220" s="730"/>
      <c r="AD220" s="730"/>
    </row>
    <row r="221" spans="1:32" ht="32.25" customHeight="1" x14ac:dyDescent="0.3">
      <c r="A221" s="970" t="s">
        <v>660</v>
      </c>
      <c r="B221" s="970"/>
      <c r="C221" s="970"/>
      <c r="D221" s="968" t="s">
        <v>661</v>
      </c>
      <c r="E221" s="968"/>
      <c r="F221" s="968"/>
      <c r="G221" s="968"/>
      <c r="H221" s="968"/>
      <c r="I221" s="968"/>
      <c r="J221" s="968"/>
      <c r="K221" s="968"/>
      <c r="L221" s="983" t="s">
        <v>977</v>
      </c>
      <c r="M221" s="983"/>
      <c r="N221" s="983"/>
      <c r="O221" s="983"/>
      <c r="P221" s="983"/>
      <c r="Q221" s="983"/>
      <c r="R221" s="983"/>
      <c r="S221" s="983"/>
      <c r="T221" s="983"/>
      <c r="U221" s="983"/>
      <c r="V221" s="983"/>
      <c r="W221" s="974">
        <v>0.75</v>
      </c>
      <c r="X221" s="974"/>
      <c r="Y221" s="974"/>
      <c r="Z221" s="974"/>
      <c r="AA221" s="731"/>
      <c r="AB221" s="732"/>
      <c r="AC221" s="732"/>
      <c r="AD221" s="732"/>
    </row>
    <row r="222" spans="1:32" ht="47.25" customHeight="1" x14ac:dyDescent="0.3">
      <c r="A222" s="970" t="s">
        <v>662</v>
      </c>
      <c r="B222" s="970"/>
      <c r="C222" s="970"/>
      <c r="D222" s="968" t="s">
        <v>663</v>
      </c>
      <c r="E222" s="968"/>
      <c r="F222" s="968"/>
      <c r="G222" s="968"/>
      <c r="H222" s="968"/>
      <c r="I222" s="968"/>
      <c r="J222" s="968"/>
      <c r="K222" s="968"/>
      <c r="L222" s="983" t="s">
        <v>978</v>
      </c>
      <c r="M222" s="983"/>
      <c r="N222" s="983"/>
      <c r="O222" s="983"/>
      <c r="P222" s="983"/>
      <c r="Q222" s="983"/>
      <c r="R222" s="983"/>
      <c r="S222" s="983"/>
      <c r="T222" s="983"/>
      <c r="U222" s="983"/>
      <c r="V222" s="983"/>
      <c r="W222" s="974">
        <v>0.75</v>
      </c>
      <c r="X222" s="974"/>
      <c r="Y222" s="974"/>
      <c r="Z222" s="974"/>
      <c r="AA222" s="731"/>
      <c r="AB222" s="732"/>
      <c r="AC222" s="732"/>
      <c r="AD222" s="732"/>
    </row>
    <row r="223" spans="1:32" ht="53.25" customHeight="1" x14ac:dyDescent="0.3">
      <c r="A223" s="970" t="s">
        <v>664</v>
      </c>
      <c r="B223" s="970"/>
      <c r="C223" s="970"/>
      <c r="D223" s="968" t="s">
        <v>665</v>
      </c>
      <c r="E223" s="968"/>
      <c r="F223" s="968"/>
      <c r="G223" s="968"/>
      <c r="H223" s="968"/>
      <c r="I223" s="968"/>
      <c r="J223" s="968"/>
      <c r="K223" s="968"/>
      <c r="L223" s="983" t="s">
        <v>979</v>
      </c>
      <c r="M223" s="983"/>
      <c r="N223" s="983"/>
      <c r="O223" s="983"/>
      <c r="P223" s="983"/>
      <c r="Q223" s="983"/>
      <c r="R223" s="983"/>
      <c r="S223" s="983"/>
      <c r="T223" s="983"/>
      <c r="U223" s="983"/>
      <c r="V223" s="983"/>
      <c r="W223" s="974">
        <v>0.95</v>
      </c>
      <c r="X223" s="974"/>
      <c r="Y223" s="974"/>
      <c r="Z223" s="974"/>
      <c r="AA223" s="731"/>
      <c r="AB223" s="732"/>
      <c r="AC223" s="732"/>
      <c r="AD223" s="732"/>
    </row>
    <row r="224" spans="1:32" ht="28.95" customHeight="1" x14ac:dyDescent="0.3">
      <c r="A224" s="970" t="s">
        <v>666</v>
      </c>
      <c r="B224" s="970"/>
      <c r="C224" s="970"/>
      <c r="D224" s="968" t="s">
        <v>667</v>
      </c>
      <c r="E224" s="968"/>
      <c r="F224" s="968"/>
      <c r="G224" s="968"/>
      <c r="H224" s="968"/>
      <c r="I224" s="968"/>
      <c r="J224" s="968"/>
      <c r="K224" s="968"/>
      <c r="L224" s="983" t="s">
        <v>980</v>
      </c>
      <c r="M224" s="983"/>
      <c r="N224" s="983"/>
      <c r="O224" s="983"/>
      <c r="P224" s="983"/>
      <c r="Q224" s="983"/>
      <c r="R224" s="983"/>
      <c r="S224" s="983"/>
      <c r="T224" s="983"/>
      <c r="U224" s="983"/>
      <c r="V224" s="983"/>
      <c r="W224" s="974">
        <v>0.91</v>
      </c>
      <c r="X224" s="974"/>
      <c r="Y224" s="974"/>
      <c r="Z224" s="974"/>
      <c r="AA224" s="731"/>
      <c r="AB224" s="732"/>
      <c r="AC224" s="732"/>
      <c r="AD224" s="732"/>
    </row>
    <row r="225" spans="1:32" ht="28.95" customHeight="1" x14ac:dyDescent="0.3">
      <c r="A225" s="985" t="s">
        <v>5673</v>
      </c>
      <c r="B225" s="985"/>
      <c r="C225" s="985"/>
      <c r="D225" s="957" t="s">
        <v>5674</v>
      </c>
      <c r="E225" s="957"/>
      <c r="F225" s="957"/>
      <c r="G225" s="957"/>
      <c r="H225" s="957"/>
      <c r="I225" s="957"/>
      <c r="J225" s="957"/>
      <c r="K225" s="957"/>
      <c r="L225" s="987" t="s">
        <v>5675</v>
      </c>
      <c r="M225" s="987"/>
      <c r="N225" s="987"/>
      <c r="O225" s="987"/>
      <c r="P225" s="987"/>
      <c r="Q225" s="987"/>
      <c r="R225" s="987"/>
      <c r="S225" s="987"/>
      <c r="T225" s="987"/>
      <c r="U225" s="987"/>
      <c r="V225" s="987"/>
      <c r="W225" s="984">
        <v>1</v>
      </c>
      <c r="X225" s="984"/>
      <c r="Y225" s="984"/>
      <c r="Z225" s="984"/>
      <c r="AA225" s="731"/>
      <c r="AB225" s="732"/>
      <c r="AC225" s="732"/>
      <c r="AD225" s="732"/>
    </row>
    <row r="226" spans="1:32" ht="16.2" x14ac:dyDescent="0.3">
      <c r="A226" s="961" t="s">
        <v>668</v>
      </c>
      <c r="B226" s="962"/>
      <c r="C226" s="963"/>
      <c r="D226" s="1024" t="s">
        <v>669</v>
      </c>
      <c r="E226" s="1025"/>
      <c r="F226" s="1025"/>
      <c r="G226" s="1025"/>
      <c r="H226" s="1025"/>
      <c r="I226" s="1025"/>
      <c r="J226" s="1025"/>
      <c r="K226" s="1026"/>
      <c r="L226" s="987" t="s">
        <v>5680</v>
      </c>
      <c r="M226" s="987"/>
      <c r="N226" s="987"/>
      <c r="O226" s="987"/>
      <c r="P226" s="987"/>
      <c r="Q226" s="987"/>
      <c r="R226" s="987"/>
      <c r="S226" s="987"/>
      <c r="T226" s="987"/>
      <c r="U226" s="987"/>
      <c r="V226" s="987"/>
      <c r="W226" s="986">
        <v>0.57499999999999996</v>
      </c>
      <c r="X226" s="986"/>
      <c r="Y226" s="986"/>
      <c r="Z226" s="986"/>
      <c r="AA226" s="731"/>
      <c r="AB226" s="732"/>
      <c r="AC226" s="732"/>
      <c r="AD226" s="732"/>
    </row>
    <row r="227" spans="1:32" x14ac:dyDescent="0.3">
      <c r="A227" s="964"/>
      <c r="B227" s="965"/>
      <c r="C227" s="966"/>
      <c r="D227" s="1027"/>
      <c r="E227" s="1028"/>
      <c r="F227" s="1028"/>
      <c r="G227" s="1028"/>
      <c r="H227" s="1028"/>
      <c r="I227" s="1028"/>
      <c r="J227" s="1028"/>
      <c r="K227" s="1029"/>
      <c r="L227" s="987" t="s">
        <v>981</v>
      </c>
      <c r="M227" s="987"/>
      <c r="N227" s="987"/>
      <c r="O227" s="987"/>
      <c r="P227" s="987"/>
      <c r="Q227" s="987"/>
      <c r="R227" s="987"/>
      <c r="S227" s="987"/>
      <c r="T227" s="987"/>
      <c r="U227" s="987"/>
      <c r="V227" s="987"/>
      <c r="W227" s="984">
        <v>0.79</v>
      </c>
      <c r="X227" s="984"/>
      <c r="Y227" s="984"/>
      <c r="Z227" s="984"/>
      <c r="AA227" s="731"/>
      <c r="AB227" s="732"/>
      <c r="AC227" s="732"/>
      <c r="AD227" s="732"/>
    </row>
    <row r="228" spans="1:32" ht="53.25" customHeight="1" x14ac:dyDescent="0.3">
      <c r="A228" s="985" t="s">
        <v>670</v>
      </c>
      <c r="B228" s="985"/>
      <c r="C228" s="985"/>
      <c r="D228" s="957" t="s">
        <v>671</v>
      </c>
      <c r="E228" s="957"/>
      <c r="F228" s="957"/>
      <c r="G228" s="957"/>
      <c r="H228" s="957"/>
      <c r="I228" s="957"/>
      <c r="J228" s="957"/>
      <c r="K228" s="957"/>
      <c r="L228" s="987" t="s">
        <v>2506</v>
      </c>
      <c r="M228" s="987"/>
      <c r="N228" s="987"/>
      <c r="O228" s="987"/>
      <c r="P228" s="987"/>
      <c r="Q228" s="987"/>
      <c r="R228" s="987"/>
      <c r="S228" s="987"/>
      <c r="T228" s="987"/>
      <c r="U228" s="987"/>
      <c r="V228" s="987"/>
      <c r="W228" s="984">
        <v>0.65</v>
      </c>
      <c r="X228" s="984"/>
      <c r="Y228" s="984"/>
      <c r="Z228" s="984"/>
      <c r="AA228" s="731"/>
      <c r="AB228" s="732"/>
      <c r="AC228" s="732"/>
      <c r="AD228" s="732"/>
    </row>
    <row r="229" spans="1:32" ht="49.5" customHeight="1" x14ac:dyDescent="0.3">
      <c r="A229" s="985" t="s">
        <v>672</v>
      </c>
      <c r="B229" s="985"/>
      <c r="C229" s="985"/>
      <c r="D229" s="957" t="s">
        <v>673</v>
      </c>
      <c r="E229" s="957"/>
      <c r="F229" s="957"/>
      <c r="G229" s="957"/>
      <c r="H229" s="957"/>
      <c r="I229" s="957"/>
      <c r="J229" s="957"/>
      <c r="K229" s="957"/>
      <c r="L229" s="987" t="s">
        <v>2507</v>
      </c>
      <c r="M229" s="987"/>
      <c r="N229" s="987"/>
      <c r="O229" s="987"/>
      <c r="P229" s="987"/>
      <c r="Q229" s="987"/>
      <c r="R229" s="987"/>
      <c r="S229" s="987"/>
      <c r="T229" s="987"/>
      <c r="U229" s="987"/>
      <c r="V229" s="987"/>
      <c r="W229" s="984">
        <v>0.92</v>
      </c>
      <c r="X229" s="984"/>
      <c r="Y229" s="984"/>
      <c r="Z229" s="984"/>
      <c r="AA229" s="731"/>
      <c r="AB229" s="732"/>
      <c r="AC229" s="732"/>
      <c r="AD229" s="732"/>
    </row>
    <row r="230" spans="1:32" ht="34.5" customHeight="1" x14ac:dyDescent="0.3">
      <c r="A230" s="985" t="s">
        <v>674</v>
      </c>
      <c r="B230" s="985"/>
      <c r="C230" s="985"/>
      <c r="D230" s="957" t="s">
        <v>675</v>
      </c>
      <c r="E230" s="957"/>
      <c r="F230" s="957"/>
      <c r="G230" s="957"/>
      <c r="H230" s="957"/>
      <c r="I230" s="957"/>
      <c r="J230" s="957"/>
      <c r="K230" s="957"/>
      <c r="L230" s="987" t="s">
        <v>2508</v>
      </c>
      <c r="M230" s="987"/>
      <c r="N230" s="987"/>
      <c r="O230" s="987"/>
      <c r="P230" s="987"/>
      <c r="Q230" s="987"/>
      <c r="R230" s="987"/>
      <c r="S230" s="987"/>
      <c r="T230" s="987"/>
      <c r="U230" s="987"/>
      <c r="V230" s="987"/>
      <c r="W230" s="984">
        <v>1</v>
      </c>
      <c r="X230" s="984"/>
      <c r="Y230" s="984"/>
      <c r="Z230" s="984"/>
      <c r="AA230" s="731"/>
      <c r="AB230" s="732"/>
      <c r="AC230" s="732"/>
      <c r="AD230" s="732"/>
    </row>
    <row r="231" spans="1:32" ht="34.5" customHeight="1" x14ac:dyDescent="0.3">
      <c r="A231" s="985" t="s">
        <v>5676</v>
      </c>
      <c r="B231" s="985"/>
      <c r="C231" s="985"/>
      <c r="D231" s="957" t="s">
        <v>5677</v>
      </c>
      <c r="E231" s="957"/>
      <c r="F231" s="957"/>
      <c r="G231" s="957"/>
      <c r="H231" s="957"/>
      <c r="I231" s="957"/>
      <c r="J231" s="957"/>
      <c r="K231" s="957"/>
      <c r="L231" s="987" t="s">
        <v>5678</v>
      </c>
      <c r="M231" s="987"/>
      <c r="N231" s="987"/>
      <c r="O231" s="987"/>
      <c r="P231" s="987"/>
      <c r="Q231" s="987"/>
      <c r="R231" s="987"/>
      <c r="S231" s="987"/>
      <c r="T231" s="987"/>
      <c r="U231" s="987"/>
      <c r="V231" s="987"/>
      <c r="W231" s="984">
        <v>1</v>
      </c>
      <c r="X231" s="984"/>
      <c r="Y231" s="984"/>
      <c r="Z231" s="984"/>
      <c r="AA231" s="731"/>
      <c r="AB231" s="732"/>
      <c r="AC231" s="732"/>
      <c r="AD231" s="732"/>
    </row>
    <row r="232" spans="1:32" s="94" customFormat="1" ht="55.5" customHeight="1" x14ac:dyDescent="0.3">
      <c r="A232" s="990" t="s">
        <v>830</v>
      </c>
      <c r="B232" s="990"/>
      <c r="C232" s="990"/>
      <c r="D232" s="988" t="s">
        <v>3681</v>
      </c>
      <c r="E232" s="988"/>
      <c r="F232" s="988"/>
      <c r="G232" s="988"/>
      <c r="H232" s="988"/>
      <c r="I232" s="988"/>
      <c r="J232" s="988"/>
      <c r="K232" s="988"/>
      <c r="L232" s="988"/>
      <c r="M232" s="988"/>
      <c r="N232" s="988"/>
      <c r="O232" s="988"/>
      <c r="P232" s="988"/>
      <c r="Q232" s="988"/>
      <c r="R232" s="988"/>
      <c r="S232" s="988"/>
      <c r="T232" s="988"/>
      <c r="U232" s="988"/>
      <c r="V232" s="988"/>
      <c r="W232" s="988"/>
      <c r="X232" s="988"/>
      <c r="Y232" s="988"/>
      <c r="Z232" s="988"/>
      <c r="AA232" s="989"/>
      <c r="AB232" s="989"/>
      <c r="AC232" s="989"/>
      <c r="AD232" s="989"/>
      <c r="AE232" s="329"/>
      <c r="AF232" s="329"/>
    </row>
    <row r="233" spans="1:32" ht="15" customHeight="1" x14ac:dyDescent="0.3">
      <c r="A233" s="991" t="s">
        <v>2509</v>
      </c>
      <c r="B233" s="991"/>
      <c r="C233" s="991"/>
      <c r="D233" s="989" t="s">
        <v>5681</v>
      </c>
      <c r="E233" s="989"/>
      <c r="F233" s="989"/>
      <c r="G233" s="989"/>
      <c r="H233" s="989"/>
      <c r="I233" s="989"/>
      <c r="J233" s="989"/>
      <c r="K233" s="989"/>
      <c r="L233" s="989"/>
      <c r="M233" s="989"/>
      <c r="N233" s="989"/>
      <c r="O233" s="989"/>
      <c r="P233" s="989"/>
      <c r="Q233" s="989"/>
      <c r="R233" s="989"/>
      <c r="S233" s="989"/>
      <c r="T233" s="989"/>
      <c r="U233" s="989"/>
      <c r="V233" s="989"/>
      <c r="W233" s="989"/>
      <c r="X233" s="989"/>
      <c r="Y233" s="989"/>
      <c r="Z233" s="989"/>
      <c r="AA233" s="989"/>
      <c r="AB233" s="989"/>
      <c r="AC233" s="989"/>
      <c r="AD233" s="989"/>
      <c r="AE233" s="238"/>
      <c r="AF233" s="238"/>
    </row>
    <row r="234" spans="1:32" ht="55.5" customHeight="1" x14ac:dyDescent="0.3">
      <c r="A234" s="991"/>
      <c r="B234" s="991"/>
      <c r="C234" s="991"/>
      <c r="D234" s="989" t="s">
        <v>2790</v>
      </c>
      <c r="E234" s="989"/>
      <c r="F234" s="989"/>
      <c r="G234" s="989"/>
      <c r="H234" s="989"/>
      <c r="I234" s="989"/>
      <c r="J234" s="989"/>
      <c r="K234" s="989"/>
      <c r="L234" s="989"/>
      <c r="M234" s="989"/>
      <c r="N234" s="989"/>
      <c r="O234" s="989"/>
      <c r="P234" s="989"/>
      <c r="Q234" s="989"/>
      <c r="R234" s="989"/>
      <c r="S234" s="989"/>
      <c r="T234" s="989"/>
      <c r="U234" s="989"/>
      <c r="V234" s="989"/>
      <c r="W234" s="989"/>
      <c r="X234" s="989"/>
      <c r="Y234" s="989"/>
      <c r="Z234" s="989"/>
      <c r="AA234" s="989"/>
      <c r="AB234" s="989"/>
      <c r="AC234" s="989"/>
      <c r="AD234" s="989"/>
      <c r="AE234" s="238"/>
      <c r="AF234" s="238"/>
    </row>
    <row r="235" spans="1:32" ht="30.75" customHeight="1" x14ac:dyDescent="0.3">
      <c r="A235" s="991"/>
      <c r="B235" s="991"/>
      <c r="C235" s="991"/>
      <c r="D235" s="989" t="s">
        <v>2791</v>
      </c>
      <c r="E235" s="989"/>
      <c r="F235" s="989"/>
      <c r="G235" s="989"/>
      <c r="H235" s="989"/>
      <c r="I235" s="989"/>
      <c r="J235" s="989"/>
      <c r="K235" s="989"/>
      <c r="L235" s="989"/>
      <c r="M235" s="989"/>
      <c r="N235" s="989"/>
      <c r="O235" s="989"/>
      <c r="P235" s="989"/>
      <c r="Q235" s="989"/>
      <c r="R235" s="989"/>
      <c r="S235" s="989"/>
      <c r="T235" s="989"/>
      <c r="U235" s="989"/>
      <c r="V235" s="989"/>
      <c r="W235" s="989"/>
      <c r="X235" s="989"/>
      <c r="Y235" s="989"/>
      <c r="Z235" s="989"/>
      <c r="AA235" s="989"/>
      <c r="AB235" s="989"/>
      <c r="AC235" s="989"/>
      <c r="AD235" s="989"/>
      <c r="AE235" s="238"/>
      <c r="AF235" s="238"/>
    </row>
    <row r="236" spans="1:32" ht="45.75" customHeight="1" x14ac:dyDescent="0.3">
      <c r="A236" s="991"/>
      <c r="B236" s="991"/>
      <c r="C236" s="991"/>
      <c r="D236" s="989" t="s">
        <v>3682</v>
      </c>
      <c r="E236" s="989"/>
      <c r="F236" s="989"/>
      <c r="G236" s="989"/>
      <c r="H236" s="989"/>
      <c r="I236" s="989"/>
      <c r="J236" s="989"/>
      <c r="K236" s="989"/>
      <c r="L236" s="989"/>
      <c r="M236" s="989"/>
      <c r="N236" s="989"/>
      <c r="O236" s="989"/>
      <c r="P236" s="989"/>
      <c r="Q236" s="989"/>
      <c r="R236" s="989"/>
      <c r="S236" s="989"/>
      <c r="T236" s="989"/>
      <c r="U236" s="989"/>
      <c r="V236" s="989"/>
      <c r="W236" s="989"/>
      <c r="X236" s="989"/>
      <c r="Y236" s="989"/>
      <c r="Z236" s="989"/>
      <c r="AA236" s="989"/>
      <c r="AB236" s="989"/>
      <c r="AC236" s="989"/>
      <c r="AD236" s="989"/>
    </row>
    <row r="237" spans="1:32" ht="26.25" customHeight="1" x14ac:dyDescent="0.3">
      <c r="A237" s="991"/>
      <c r="B237" s="991"/>
      <c r="C237" s="991"/>
      <c r="D237" s="989" t="s">
        <v>5679</v>
      </c>
      <c r="E237" s="989"/>
      <c r="F237" s="989"/>
      <c r="G237" s="989"/>
      <c r="H237" s="989"/>
      <c r="I237" s="989"/>
      <c r="J237" s="989"/>
      <c r="K237" s="989"/>
      <c r="L237" s="989"/>
      <c r="M237" s="989"/>
      <c r="N237" s="989"/>
      <c r="O237" s="989"/>
      <c r="P237" s="989"/>
      <c r="Q237" s="989"/>
      <c r="R237" s="989"/>
      <c r="S237" s="989"/>
      <c r="T237" s="989"/>
      <c r="U237" s="989"/>
      <c r="V237" s="989"/>
      <c r="W237" s="989"/>
      <c r="X237" s="989"/>
      <c r="Y237" s="989"/>
      <c r="Z237" s="989"/>
      <c r="AA237" s="989"/>
      <c r="AB237" s="989"/>
      <c r="AC237" s="989"/>
      <c r="AD237" s="989"/>
    </row>
    <row r="238" spans="1:32" x14ac:dyDescent="0.3">
      <c r="A238" s="150"/>
      <c r="B238" s="150"/>
      <c r="C238" s="149"/>
      <c r="D238" s="504"/>
      <c r="E238" s="504"/>
      <c r="F238" s="504"/>
      <c r="G238" s="504"/>
      <c r="H238" s="504"/>
      <c r="I238" s="504"/>
      <c r="J238" s="504"/>
      <c r="K238" s="504"/>
      <c r="L238" s="504"/>
      <c r="M238" s="504"/>
      <c r="N238" s="504"/>
      <c r="O238" s="504"/>
      <c r="P238" s="504"/>
      <c r="Q238" s="504"/>
      <c r="R238" s="504"/>
      <c r="S238" s="504"/>
      <c r="T238" s="504"/>
      <c r="U238" s="504"/>
      <c r="V238" s="504"/>
      <c r="W238" s="504"/>
      <c r="X238" s="504"/>
      <c r="Y238" s="504"/>
      <c r="Z238" s="504"/>
      <c r="AA238" s="504"/>
      <c r="AB238" s="504"/>
      <c r="AC238" s="504"/>
      <c r="AD238" s="504"/>
    </row>
    <row r="239" spans="1:32" x14ac:dyDescent="0.3">
      <c r="A239" s="958" t="s">
        <v>2127</v>
      </c>
      <c r="B239" s="959"/>
      <c r="C239" s="959"/>
      <c r="D239" s="959"/>
      <c r="E239" s="959"/>
      <c r="F239" s="959"/>
      <c r="G239" s="959"/>
      <c r="H239" s="959"/>
      <c r="I239" s="959"/>
      <c r="J239" s="959"/>
      <c r="K239" s="959"/>
      <c r="L239" s="959"/>
      <c r="M239" s="959"/>
      <c r="N239" s="959"/>
      <c r="O239" s="959"/>
      <c r="P239" s="959"/>
      <c r="Q239" s="959"/>
      <c r="R239" s="959"/>
      <c r="S239" s="959"/>
      <c r="T239" s="959"/>
      <c r="U239" s="959"/>
      <c r="V239" s="959"/>
      <c r="W239" s="959"/>
      <c r="X239" s="959"/>
      <c r="Y239" s="959"/>
      <c r="Z239" s="959"/>
      <c r="AA239" s="959"/>
      <c r="AB239" s="959"/>
      <c r="AC239" s="959"/>
      <c r="AD239" s="959"/>
      <c r="AE239" s="959"/>
      <c r="AF239" s="960"/>
    </row>
    <row r="240" spans="1:32" ht="106.5" customHeight="1" x14ac:dyDescent="0.3">
      <c r="A240" s="868" t="s">
        <v>2876</v>
      </c>
      <c r="B240" s="868"/>
      <c r="C240" s="868"/>
      <c r="D240" s="868"/>
      <c r="E240" s="868"/>
      <c r="F240" s="868"/>
      <c r="G240" s="868"/>
      <c r="H240" s="868"/>
      <c r="I240" s="868"/>
      <c r="J240" s="868"/>
      <c r="K240" s="868"/>
      <c r="L240" s="868"/>
      <c r="M240" s="868"/>
      <c r="N240" s="868"/>
      <c r="O240" s="868"/>
      <c r="P240" s="868"/>
      <c r="Q240" s="868"/>
      <c r="R240" s="868"/>
      <c r="S240" s="868"/>
      <c r="T240" s="868"/>
      <c r="U240" s="868"/>
      <c r="V240" s="868"/>
      <c r="W240" s="868"/>
      <c r="X240" s="868"/>
      <c r="Y240" s="868"/>
      <c r="Z240" s="868"/>
      <c r="AA240" s="868"/>
      <c r="AB240" s="868"/>
      <c r="AC240" s="868"/>
      <c r="AD240" s="868"/>
      <c r="AE240" s="868"/>
      <c r="AF240" s="868"/>
    </row>
    <row r="241" spans="1:32" x14ac:dyDescent="0.3">
      <c r="A241" s="129"/>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29"/>
      <c r="AA241" s="129"/>
      <c r="AB241" s="129"/>
      <c r="AC241" s="129"/>
      <c r="AD241" s="129"/>
      <c r="AE241" s="129"/>
      <c r="AF241" s="129"/>
    </row>
    <row r="242" spans="1:32" ht="33.75" customHeight="1" x14ac:dyDescent="0.3">
      <c r="A242" s="884" t="s">
        <v>5608</v>
      </c>
      <c r="B242" s="884"/>
      <c r="C242" s="884"/>
      <c r="D242" s="884"/>
      <c r="E242" s="884"/>
      <c r="F242" s="884"/>
      <c r="G242" s="884"/>
      <c r="H242" s="884"/>
      <c r="I242" s="884"/>
      <c r="J242" s="884"/>
      <c r="K242" s="884"/>
      <c r="L242" s="884"/>
      <c r="M242" s="884"/>
      <c r="N242" s="884"/>
      <c r="O242" s="884"/>
      <c r="P242" s="884"/>
      <c r="Q242" s="884"/>
      <c r="R242" s="884"/>
      <c r="S242" s="884"/>
      <c r="T242" s="884"/>
      <c r="U242" s="884"/>
      <c r="V242" s="884"/>
      <c r="W242" s="884"/>
      <c r="X242" s="884"/>
      <c r="Y242" s="884"/>
      <c r="Z242" s="884"/>
      <c r="AA242" s="884"/>
      <c r="AB242" s="884"/>
      <c r="AC242" s="884"/>
      <c r="AD242" s="884"/>
      <c r="AE242" s="884"/>
      <c r="AF242" s="884"/>
    </row>
    <row r="243" spans="1:32" ht="94.5" customHeight="1" x14ac:dyDescent="0.3">
      <c r="A243" s="727" t="s">
        <v>1190</v>
      </c>
      <c r="B243" s="889" t="s">
        <v>5609</v>
      </c>
      <c r="C243" s="889"/>
      <c r="D243" s="889"/>
      <c r="E243" s="889"/>
      <c r="F243" s="889"/>
      <c r="G243" s="889"/>
      <c r="H243" s="889"/>
      <c r="I243" s="889"/>
      <c r="J243" s="889"/>
      <c r="K243" s="889"/>
      <c r="L243" s="889"/>
      <c r="M243" s="889"/>
      <c r="N243" s="889"/>
      <c r="O243" s="889"/>
      <c r="P243" s="889"/>
      <c r="Q243" s="889"/>
      <c r="R243" s="889"/>
      <c r="S243" s="889"/>
      <c r="T243" s="889"/>
      <c r="U243" s="889"/>
      <c r="V243" s="889"/>
      <c r="W243" s="889"/>
      <c r="X243" s="889"/>
      <c r="Y243" s="889"/>
      <c r="Z243" s="889"/>
      <c r="AA243" s="889"/>
      <c r="AB243" s="889"/>
      <c r="AC243" s="889"/>
      <c r="AD243" s="889"/>
      <c r="AE243" s="889"/>
      <c r="AF243" s="889"/>
    </row>
    <row r="244" spans="1:32" ht="33.75" customHeight="1" x14ac:dyDescent="0.3">
      <c r="A244" s="727" t="s">
        <v>1191</v>
      </c>
      <c r="B244" s="889" t="s">
        <v>5610</v>
      </c>
      <c r="C244" s="889"/>
      <c r="D244" s="889"/>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c r="AE244" s="889"/>
      <c r="AF244" s="889"/>
    </row>
    <row r="245" spans="1:32" ht="64.5" customHeight="1" x14ac:dyDescent="0.3">
      <c r="A245" s="387" t="s">
        <v>2878</v>
      </c>
      <c r="B245" s="889" t="s">
        <v>2877</v>
      </c>
      <c r="C245" s="889"/>
      <c r="D245" s="889"/>
      <c r="E245" s="889"/>
      <c r="F245" s="889"/>
      <c r="G245" s="889"/>
      <c r="H245" s="889"/>
      <c r="I245" s="889"/>
      <c r="J245" s="889"/>
      <c r="K245" s="889"/>
      <c r="L245" s="889"/>
      <c r="M245" s="889"/>
      <c r="N245" s="889"/>
      <c r="O245" s="889"/>
      <c r="P245" s="889"/>
      <c r="Q245" s="889"/>
      <c r="R245" s="889"/>
      <c r="S245" s="889"/>
      <c r="T245" s="889"/>
      <c r="U245" s="889"/>
      <c r="V245" s="889"/>
      <c r="W245" s="889"/>
      <c r="X245" s="889"/>
      <c r="Y245" s="889"/>
      <c r="Z245" s="889"/>
      <c r="AA245" s="889"/>
      <c r="AB245" s="889"/>
      <c r="AC245" s="889"/>
      <c r="AD245" s="889"/>
      <c r="AE245" s="889"/>
      <c r="AF245" s="889"/>
    </row>
    <row r="246" spans="1:32" x14ac:dyDescent="0.3">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row>
    <row r="247" spans="1:32" x14ac:dyDescent="0.3">
      <c r="A247" s="23" t="s">
        <v>2875</v>
      </c>
    </row>
    <row r="248" spans="1:32" x14ac:dyDescent="0.3">
      <c r="A248" s="954" t="s">
        <v>2874</v>
      </c>
      <c r="B248" s="954"/>
      <c r="C248" s="954"/>
      <c r="D248" s="954"/>
      <c r="E248" s="954"/>
      <c r="F248" s="954"/>
      <c r="G248" s="954"/>
    </row>
    <row r="249" spans="1:32" x14ac:dyDescent="0.3">
      <c r="A249" s="955" t="s">
        <v>3424</v>
      </c>
      <c r="B249" s="955"/>
      <c r="C249" s="955"/>
      <c r="D249" s="955"/>
      <c r="E249" s="956">
        <v>5.9799999999999999E-2</v>
      </c>
      <c r="F249" s="956"/>
      <c r="G249" s="956"/>
    </row>
    <row r="250" spans="1:32" x14ac:dyDescent="0.3">
      <c r="A250" s="955" t="s">
        <v>809</v>
      </c>
      <c r="B250" s="955"/>
      <c r="C250" s="955"/>
      <c r="D250" s="955"/>
      <c r="E250" s="956">
        <v>4.514E-2</v>
      </c>
      <c r="F250" s="956"/>
      <c r="G250" s="956"/>
    </row>
    <row r="251" spans="1:32" x14ac:dyDescent="0.3">
      <c r="A251" s="955" t="s">
        <v>658</v>
      </c>
      <c r="B251" s="955"/>
      <c r="C251" s="955"/>
      <c r="D251" s="955"/>
      <c r="E251" s="956">
        <v>4.8559999999999992E-2</v>
      </c>
      <c r="F251" s="956"/>
      <c r="G251" s="956"/>
    </row>
    <row r="252" spans="1:32" x14ac:dyDescent="0.3">
      <c r="A252" s="955" t="s">
        <v>808</v>
      </c>
      <c r="B252" s="955"/>
      <c r="C252" s="955"/>
      <c r="D252" s="955"/>
      <c r="E252" s="956">
        <v>8.5100000000000009E-2</v>
      </c>
      <c r="F252" s="956"/>
      <c r="G252" s="956"/>
    </row>
    <row r="253" spans="1:32" x14ac:dyDescent="0.3">
      <c r="A253" s="955" t="s">
        <v>657</v>
      </c>
      <c r="B253" s="955"/>
      <c r="C253" s="955"/>
      <c r="D253" s="955"/>
      <c r="E253" s="956">
        <v>3.952E-2</v>
      </c>
      <c r="F253" s="956"/>
      <c r="G253" s="956"/>
    </row>
    <row r="255" spans="1:32" ht="95.25" customHeight="1" x14ac:dyDescent="0.3">
      <c r="A255" s="889" t="s">
        <v>5607</v>
      </c>
      <c r="B255" s="889"/>
      <c r="C255" s="889"/>
      <c r="D255" s="889"/>
      <c r="E255" s="889"/>
      <c r="F255" s="889"/>
      <c r="G255" s="889"/>
      <c r="H255" s="889"/>
      <c r="I255" s="889"/>
      <c r="J255" s="889"/>
      <c r="K255" s="889"/>
      <c r="L255" s="889"/>
      <c r="M255" s="889"/>
      <c r="N255" s="889"/>
      <c r="O255" s="889"/>
      <c r="P255" s="889"/>
      <c r="Q255" s="889"/>
      <c r="R255" s="889"/>
      <c r="S255" s="889"/>
      <c r="T255" s="889"/>
      <c r="U255" s="889"/>
      <c r="V255" s="889"/>
      <c r="W255" s="889"/>
      <c r="X255" s="889"/>
      <c r="Y255" s="889"/>
      <c r="Z255" s="889"/>
      <c r="AA255" s="889"/>
      <c r="AB255" s="889"/>
      <c r="AC255" s="889"/>
      <c r="AD255" s="889"/>
      <c r="AE255" s="889"/>
      <c r="AF255" s="889"/>
    </row>
    <row r="257" spans="1:32" x14ac:dyDescent="0.3">
      <c r="A257" s="958" t="s">
        <v>4860</v>
      </c>
      <c r="B257" s="959"/>
      <c r="C257" s="959"/>
      <c r="D257" s="959"/>
      <c r="E257" s="959"/>
      <c r="F257" s="959"/>
      <c r="G257" s="959"/>
      <c r="H257" s="959"/>
      <c r="I257" s="959"/>
      <c r="J257" s="959"/>
      <c r="K257" s="959"/>
      <c r="L257" s="959"/>
      <c r="M257" s="959"/>
      <c r="N257" s="959"/>
      <c r="O257" s="959"/>
      <c r="P257" s="959"/>
      <c r="Q257" s="959"/>
      <c r="R257" s="959"/>
      <c r="S257" s="959"/>
      <c r="T257" s="959"/>
      <c r="U257" s="959"/>
      <c r="V257" s="959"/>
      <c r="W257" s="959"/>
      <c r="X257" s="959"/>
      <c r="Y257" s="959"/>
      <c r="Z257" s="959"/>
      <c r="AA257" s="959"/>
      <c r="AB257" s="959"/>
      <c r="AC257" s="959"/>
      <c r="AD257" s="959"/>
      <c r="AE257" s="959"/>
      <c r="AF257" s="960"/>
    </row>
    <row r="258" spans="1:32" ht="84" customHeight="1" x14ac:dyDescent="0.3">
      <c r="A258" s="1020" t="s">
        <v>5956</v>
      </c>
      <c r="B258" s="1020"/>
      <c r="C258" s="1020"/>
      <c r="D258" s="1020"/>
      <c r="E258" s="1020"/>
      <c r="F258" s="1020"/>
      <c r="G258" s="1020"/>
      <c r="H258" s="1020"/>
      <c r="I258" s="1020"/>
      <c r="J258" s="1020"/>
      <c r="K258" s="1020"/>
      <c r="L258" s="1020"/>
      <c r="M258" s="1020"/>
      <c r="N258" s="1020"/>
      <c r="O258" s="1020"/>
      <c r="P258" s="1020"/>
      <c r="Q258" s="1020"/>
      <c r="R258" s="1020"/>
      <c r="S258" s="1020"/>
      <c r="T258" s="1020"/>
      <c r="U258" s="1020"/>
      <c r="V258" s="1020"/>
      <c r="W258" s="1020"/>
      <c r="X258" s="1020"/>
      <c r="Y258" s="1020"/>
      <c r="Z258" s="1020"/>
      <c r="AA258" s="1020"/>
      <c r="AB258" s="1020"/>
      <c r="AC258" s="1020"/>
      <c r="AD258" s="1020"/>
      <c r="AE258" s="1020"/>
      <c r="AF258" s="1020"/>
    </row>
    <row r="259" spans="1:32" x14ac:dyDescent="0.3">
      <c r="A259" s="503"/>
      <c r="B259" s="503"/>
      <c r="C259" s="503"/>
      <c r="D259" s="503"/>
      <c r="E259" s="503"/>
      <c r="F259" s="503"/>
      <c r="G259" s="503"/>
      <c r="H259" s="503"/>
      <c r="I259" s="503"/>
      <c r="J259" s="503"/>
      <c r="K259" s="503"/>
      <c r="L259" s="503"/>
      <c r="M259" s="503"/>
      <c r="N259" s="503"/>
      <c r="O259" s="503"/>
      <c r="P259" s="503"/>
      <c r="Q259" s="503"/>
      <c r="R259" s="503"/>
      <c r="S259" s="503"/>
      <c r="T259" s="503"/>
      <c r="U259" s="503"/>
      <c r="V259" s="503"/>
      <c r="W259" s="503"/>
      <c r="X259" s="503"/>
      <c r="Y259" s="503"/>
      <c r="Z259" s="503"/>
      <c r="AA259" s="503"/>
      <c r="AB259" s="503"/>
      <c r="AC259" s="503"/>
      <c r="AD259" s="503"/>
      <c r="AE259" s="503"/>
      <c r="AF259" s="503"/>
    </row>
    <row r="260" spans="1:32" ht="142.5" customHeight="1" x14ac:dyDescent="0.3">
      <c r="A260" s="889" t="s">
        <v>5957</v>
      </c>
      <c r="B260" s="889"/>
      <c r="C260" s="889"/>
      <c r="D260" s="889"/>
      <c r="E260" s="889"/>
      <c r="F260" s="889"/>
      <c r="G260" s="889"/>
      <c r="H260" s="889"/>
      <c r="I260" s="889"/>
      <c r="J260" s="889"/>
      <c r="K260" s="889"/>
      <c r="L260" s="889"/>
      <c r="M260" s="889"/>
      <c r="N260" s="889"/>
      <c r="O260" s="889"/>
      <c r="P260" s="889"/>
      <c r="Q260" s="889"/>
      <c r="R260" s="889"/>
      <c r="S260" s="889"/>
      <c r="T260" s="889"/>
      <c r="U260" s="889"/>
      <c r="V260" s="889"/>
      <c r="W260" s="889"/>
      <c r="X260" s="889"/>
      <c r="Y260" s="889"/>
      <c r="Z260" s="889"/>
      <c r="AA260" s="889"/>
      <c r="AB260" s="889"/>
      <c r="AC260" s="889"/>
      <c r="AD260" s="889"/>
      <c r="AE260" s="889"/>
      <c r="AF260" s="889"/>
    </row>
    <row r="262" spans="1:32" x14ac:dyDescent="0.3">
      <c r="B262" s="23" t="s">
        <v>4861</v>
      </c>
    </row>
    <row r="263" spans="1:32" x14ac:dyDescent="0.3">
      <c r="B263" s="1013" t="s">
        <v>4862</v>
      </c>
      <c r="C263" s="1014"/>
      <c r="D263" s="1014"/>
      <c r="E263" s="1014"/>
      <c r="F263" s="1014"/>
      <c r="G263" s="1014"/>
      <c r="H263" s="1015"/>
      <c r="I263" s="1019" t="s">
        <v>4863</v>
      </c>
      <c r="J263" s="1019"/>
      <c r="K263" s="1019"/>
      <c r="L263" s="1019"/>
      <c r="M263" s="1019"/>
      <c r="N263" s="1019"/>
      <c r="O263" s="1019"/>
      <c r="P263" s="1019"/>
      <c r="Q263" s="1019"/>
      <c r="R263" s="1019"/>
      <c r="S263" s="1019"/>
      <c r="T263" s="1019"/>
      <c r="U263" s="1019"/>
      <c r="V263" s="1019"/>
    </row>
    <row r="264" spans="1:32" x14ac:dyDescent="0.3">
      <c r="B264" s="1016"/>
      <c r="C264" s="1017"/>
      <c r="D264" s="1017"/>
      <c r="E264" s="1017"/>
      <c r="F264" s="1017"/>
      <c r="G264" s="1017"/>
      <c r="H264" s="1018"/>
      <c r="I264" s="1011" t="s">
        <v>4864</v>
      </c>
      <c r="J264" s="1011"/>
      <c r="K264" s="1011"/>
      <c r="L264" s="1011"/>
      <c r="M264" s="1011"/>
      <c r="N264" s="1011"/>
      <c r="O264" s="1011"/>
      <c r="P264" s="1011" t="s">
        <v>4865</v>
      </c>
      <c r="Q264" s="1011"/>
      <c r="R264" s="1011"/>
      <c r="S264" s="1011"/>
      <c r="T264" s="1011"/>
      <c r="U264" s="1011"/>
      <c r="V264" s="1011"/>
    </row>
    <row r="265" spans="1:32" ht="15.6" x14ac:dyDescent="0.3">
      <c r="B265" s="983" t="s">
        <v>4866</v>
      </c>
      <c r="C265" s="983"/>
      <c r="D265" s="983"/>
      <c r="E265" s="983"/>
      <c r="F265" s="983"/>
      <c r="G265" s="983"/>
      <c r="H265" s="983"/>
      <c r="I265" s="993">
        <v>1491</v>
      </c>
      <c r="J265" s="993"/>
      <c r="K265" s="993"/>
      <c r="L265" s="993"/>
      <c r="M265" s="993"/>
      <c r="N265" s="993"/>
      <c r="O265" s="993"/>
      <c r="P265" s="994">
        <f>I265/2204.62</f>
        <v>0.67630702796853881</v>
      </c>
      <c r="Q265" s="994"/>
      <c r="R265" s="994"/>
      <c r="S265" s="994"/>
      <c r="T265" s="994"/>
      <c r="U265" s="994"/>
      <c r="V265" s="994"/>
    </row>
    <row r="266" spans="1:32" ht="15.6" x14ac:dyDescent="0.3">
      <c r="B266" s="983" t="s">
        <v>4867</v>
      </c>
      <c r="C266" s="983"/>
      <c r="D266" s="983"/>
      <c r="E266" s="983"/>
      <c r="F266" s="983"/>
      <c r="G266" s="983"/>
      <c r="H266" s="983"/>
      <c r="I266" s="993">
        <v>0.16400000000000001</v>
      </c>
      <c r="J266" s="993"/>
      <c r="K266" s="993"/>
      <c r="L266" s="993"/>
      <c r="M266" s="993"/>
      <c r="N266" s="993"/>
      <c r="O266" s="993"/>
      <c r="P266" s="994">
        <f t="shared" ref="P266:P271" si="5">I266/2204.62</f>
        <v>7.438923714744492E-5</v>
      </c>
      <c r="Q266" s="994"/>
      <c r="R266" s="994"/>
      <c r="S266" s="994"/>
      <c r="T266" s="994"/>
      <c r="U266" s="994"/>
      <c r="V266" s="994"/>
    </row>
    <row r="267" spans="1:32" ht="15.6" x14ac:dyDescent="0.3">
      <c r="B267" s="983" t="s">
        <v>4868</v>
      </c>
      <c r="C267" s="983"/>
      <c r="D267" s="983"/>
      <c r="E267" s="983"/>
      <c r="F267" s="983"/>
      <c r="G267" s="983"/>
      <c r="H267" s="983"/>
      <c r="I267" s="993">
        <v>2.5000000000000001E-2</v>
      </c>
      <c r="J267" s="993"/>
      <c r="K267" s="993"/>
      <c r="L267" s="993"/>
      <c r="M267" s="993"/>
      <c r="N267" s="993"/>
      <c r="O267" s="993"/>
      <c r="P267" s="994">
        <f t="shared" si="5"/>
        <v>1.1339822735890994E-5</v>
      </c>
      <c r="Q267" s="994"/>
      <c r="R267" s="994"/>
      <c r="S267" s="994"/>
      <c r="T267" s="994"/>
      <c r="U267" s="994"/>
      <c r="V267" s="994"/>
    </row>
    <row r="268" spans="1:32" ht="15.6" x14ac:dyDescent="0.3">
      <c r="B268" s="983" t="s">
        <v>4869</v>
      </c>
      <c r="C268" s="983"/>
      <c r="D268" s="983"/>
      <c r="E268" s="983"/>
      <c r="F268" s="983"/>
      <c r="G268" s="983"/>
      <c r="H268" s="983"/>
      <c r="I268" s="993">
        <v>1502.6</v>
      </c>
      <c r="J268" s="993"/>
      <c r="K268" s="993"/>
      <c r="L268" s="993"/>
      <c r="M268" s="993"/>
      <c r="N268" s="993"/>
      <c r="O268" s="993"/>
      <c r="P268" s="994">
        <f t="shared" si="5"/>
        <v>0.68156870571799222</v>
      </c>
      <c r="Q268" s="994"/>
      <c r="R268" s="994"/>
      <c r="S268" s="994"/>
      <c r="T268" s="994"/>
      <c r="U268" s="994"/>
      <c r="V268" s="994"/>
    </row>
    <row r="269" spans="1:32" ht="15.6" x14ac:dyDescent="0.3">
      <c r="B269" s="983" t="s">
        <v>4870</v>
      </c>
      <c r="C269" s="983"/>
      <c r="D269" s="983"/>
      <c r="E269" s="983"/>
      <c r="F269" s="983"/>
      <c r="G269" s="983"/>
      <c r="H269" s="983"/>
      <c r="I269" s="1021">
        <v>4.8</v>
      </c>
      <c r="J269" s="1021"/>
      <c r="K269" s="1021"/>
      <c r="L269" s="1021"/>
      <c r="M269" s="1021"/>
      <c r="N269" s="1021"/>
      <c r="O269" s="1021"/>
      <c r="P269" s="994">
        <f t="shared" si="5"/>
        <v>2.1772459652910706E-3</v>
      </c>
      <c r="Q269" s="994"/>
      <c r="R269" s="994"/>
      <c r="S269" s="994"/>
      <c r="T269" s="994"/>
      <c r="U269" s="994"/>
      <c r="V269" s="994"/>
    </row>
    <row r="270" spans="1:32" ht="15.6" x14ac:dyDescent="0.3">
      <c r="B270" s="983" t="s">
        <v>4871</v>
      </c>
      <c r="C270" s="983"/>
      <c r="D270" s="983"/>
      <c r="E270" s="983"/>
      <c r="F270" s="983"/>
      <c r="G270" s="983"/>
      <c r="H270" s="983"/>
      <c r="I270" s="993">
        <v>4.8</v>
      </c>
      <c r="J270" s="993"/>
      <c r="K270" s="993"/>
      <c r="L270" s="993"/>
      <c r="M270" s="993"/>
      <c r="N270" s="993"/>
      <c r="O270" s="993"/>
      <c r="P270" s="994">
        <f t="shared" si="5"/>
        <v>2.1772459652910706E-3</v>
      </c>
      <c r="Q270" s="994"/>
      <c r="R270" s="994"/>
      <c r="S270" s="994"/>
      <c r="T270" s="994"/>
      <c r="U270" s="994"/>
      <c r="V270" s="994"/>
    </row>
    <row r="271" spans="1:32" ht="15.6" x14ac:dyDescent="0.3">
      <c r="B271" s="983" t="s">
        <v>4872</v>
      </c>
      <c r="C271" s="983"/>
      <c r="D271" s="983"/>
      <c r="E271" s="983"/>
      <c r="F271" s="983"/>
      <c r="G271" s="983"/>
      <c r="H271" s="983"/>
      <c r="I271" s="993">
        <v>5.5190000000000001</v>
      </c>
      <c r="J271" s="993"/>
      <c r="K271" s="993"/>
      <c r="L271" s="993"/>
      <c r="M271" s="993"/>
      <c r="N271" s="993"/>
      <c r="O271" s="993"/>
      <c r="P271" s="994">
        <f t="shared" si="5"/>
        <v>2.5033792671752958E-3</v>
      </c>
      <c r="Q271" s="994"/>
      <c r="R271" s="994"/>
      <c r="S271" s="994"/>
      <c r="T271" s="994"/>
      <c r="U271" s="994"/>
      <c r="V271" s="994"/>
    </row>
    <row r="272" spans="1:32" x14ac:dyDescent="0.3">
      <c r="B272" s="1022" t="s">
        <v>830</v>
      </c>
      <c r="C272" s="1022"/>
      <c r="D272" s="1022"/>
      <c r="E272" s="948" t="s">
        <v>4873</v>
      </c>
      <c r="F272" s="948"/>
      <c r="G272" s="948"/>
      <c r="H272" s="948"/>
      <c r="I272" s="948"/>
      <c r="J272" s="948"/>
      <c r="K272" s="948"/>
      <c r="L272" s="948"/>
      <c r="M272" s="948"/>
      <c r="N272" s="948"/>
      <c r="O272" s="948"/>
      <c r="P272" s="948"/>
      <c r="Q272" s="948"/>
      <c r="R272" s="948"/>
      <c r="S272" s="948"/>
      <c r="T272" s="948"/>
      <c r="U272" s="948"/>
      <c r="V272" s="948"/>
      <c r="W272" s="948"/>
      <c r="X272" s="948"/>
      <c r="Y272" s="948"/>
      <c r="Z272" s="948"/>
      <c r="AA272" s="948"/>
      <c r="AB272" s="948"/>
      <c r="AC272" s="948"/>
      <c r="AD272" s="948"/>
      <c r="AE272" s="948"/>
      <c r="AF272" s="948"/>
    </row>
    <row r="273" spans="2:32" ht="108.75" customHeight="1" x14ac:dyDescent="0.3">
      <c r="B273" s="235"/>
      <c r="C273" s="235"/>
      <c r="D273" s="235"/>
      <c r="E273" s="998" t="s">
        <v>5958</v>
      </c>
      <c r="F273" s="998"/>
      <c r="G273" s="998"/>
      <c r="H273" s="998"/>
      <c r="I273" s="998"/>
      <c r="J273" s="998"/>
      <c r="K273" s="998"/>
      <c r="L273" s="998"/>
      <c r="M273" s="998"/>
      <c r="N273" s="998"/>
      <c r="O273" s="998"/>
      <c r="P273" s="998"/>
      <c r="Q273" s="998"/>
      <c r="R273" s="998"/>
      <c r="S273" s="998"/>
      <c r="T273" s="998"/>
      <c r="U273" s="998"/>
      <c r="V273" s="998"/>
      <c r="W273" s="998"/>
      <c r="X273" s="998"/>
      <c r="Y273" s="998"/>
      <c r="Z273" s="998"/>
      <c r="AA273" s="998"/>
      <c r="AB273" s="998"/>
      <c r="AC273" s="998"/>
      <c r="AD273" s="998"/>
      <c r="AE273" s="998"/>
      <c r="AF273" s="998"/>
    </row>
    <row r="274" spans="2:32" ht="53.25" customHeight="1" x14ac:dyDescent="0.3">
      <c r="B274" s="997" t="s">
        <v>2509</v>
      </c>
      <c r="C274" s="997"/>
      <c r="D274" s="997"/>
      <c r="E274" s="998" t="s">
        <v>5959</v>
      </c>
      <c r="F274" s="998"/>
      <c r="G274" s="998"/>
      <c r="H274" s="998"/>
      <c r="I274" s="998"/>
      <c r="J274" s="998"/>
      <c r="K274" s="998"/>
      <c r="L274" s="998"/>
      <c r="M274" s="998"/>
      <c r="N274" s="998"/>
      <c r="O274" s="998"/>
      <c r="P274" s="998"/>
      <c r="Q274" s="998"/>
      <c r="R274" s="998"/>
      <c r="S274" s="998"/>
      <c r="T274" s="998"/>
      <c r="U274" s="998"/>
      <c r="V274" s="998"/>
      <c r="W274" s="998"/>
      <c r="X274" s="998"/>
      <c r="Y274" s="998"/>
      <c r="Z274" s="998"/>
      <c r="AA274" s="998"/>
      <c r="AB274" s="998"/>
      <c r="AC274" s="998"/>
      <c r="AD274" s="998"/>
      <c r="AE274" s="998"/>
      <c r="AF274" s="998"/>
    </row>
    <row r="275" spans="2:32" ht="46.5" customHeight="1" x14ac:dyDescent="0.3">
      <c r="E275" s="998" t="s">
        <v>5960</v>
      </c>
      <c r="F275" s="998"/>
      <c r="G275" s="998"/>
      <c r="H275" s="998"/>
      <c r="I275" s="998"/>
      <c r="J275" s="998"/>
      <c r="K275" s="998"/>
      <c r="L275" s="998"/>
      <c r="M275" s="998"/>
      <c r="N275" s="998"/>
      <c r="O275" s="998"/>
      <c r="P275" s="998"/>
      <c r="Q275" s="998"/>
      <c r="R275" s="998"/>
      <c r="S275" s="998"/>
      <c r="T275" s="998"/>
      <c r="U275" s="998"/>
      <c r="V275" s="998"/>
      <c r="W275" s="998"/>
      <c r="X275" s="998"/>
      <c r="Y275" s="998"/>
      <c r="Z275" s="998"/>
      <c r="AA275" s="998"/>
      <c r="AB275" s="998"/>
      <c r="AC275" s="998"/>
      <c r="AD275" s="998"/>
      <c r="AE275" s="998"/>
      <c r="AF275" s="998"/>
    </row>
    <row r="277" spans="2:32" ht="15.6" x14ac:dyDescent="0.35">
      <c r="B277" s="23" t="s">
        <v>4874</v>
      </c>
    </row>
    <row r="278" spans="2:32" ht="15.6" x14ac:dyDescent="0.35">
      <c r="B278" s="999" t="s">
        <v>4875</v>
      </c>
      <c r="C278" s="1000"/>
      <c r="D278" s="1000"/>
      <c r="E278" s="1000"/>
      <c r="F278" s="1000"/>
      <c r="G278" s="1001">
        <v>0.43</v>
      </c>
      <c r="H278" s="1001"/>
      <c r="I278" s="1002" t="s">
        <v>4876</v>
      </c>
      <c r="J278" s="1002"/>
      <c r="K278" s="1002"/>
      <c r="L278" s="1002"/>
      <c r="M278" s="1003"/>
    </row>
    <row r="279" spans="2:32" x14ac:dyDescent="0.3">
      <c r="B279" s="948" t="s">
        <v>4877</v>
      </c>
      <c r="C279" s="948"/>
      <c r="D279" s="948"/>
      <c r="E279" s="948"/>
      <c r="F279" s="948"/>
      <c r="G279" s="948"/>
      <c r="H279" s="948"/>
      <c r="I279" s="948"/>
      <c r="J279" s="948"/>
      <c r="K279" s="948"/>
      <c r="L279" s="948"/>
      <c r="M279" s="948"/>
      <c r="N279" s="948"/>
      <c r="O279" s="948"/>
      <c r="P279" s="948"/>
      <c r="Q279" s="948"/>
      <c r="R279" s="948"/>
      <c r="S279" s="948"/>
      <c r="T279" s="948"/>
      <c r="U279" s="948"/>
      <c r="V279" s="948"/>
      <c r="W279" s="948"/>
      <c r="X279" s="948"/>
      <c r="Y279" s="948"/>
      <c r="Z279" s="948"/>
      <c r="AA279" s="948"/>
      <c r="AB279" s="948"/>
      <c r="AC279" s="948"/>
      <c r="AD279" s="948"/>
      <c r="AE279" s="948"/>
      <c r="AF279" s="948"/>
    </row>
    <row r="280" spans="2:32" ht="48" customHeight="1" x14ac:dyDescent="0.3">
      <c r="B280" s="998" t="s">
        <v>5961</v>
      </c>
      <c r="C280" s="998"/>
      <c r="D280" s="998"/>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8"/>
      <c r="AF280" s="998"/>
    </row>
    <row r="281" spans="2:32" x14ac:dyDescent="0.3">
      <c r="B281" s="617"/>
      <c r="C281" s="617"/>
      <c r="D281" s="617"/>
      <c r="E281" s="617"/>
      <c r="F281" s="617"/>
      <c r="G281" s="617"/>
      <c r="H281" s="617"/>
      <c r="I281" s="617"/>
      <c r="J281" s="617"/>
      <c r="K281" s="617"/>
      <c r="L281" s="617"/>
      <c r="M281" s="617"/>
      <c r="N281" s="617"/>
      <c r="O281" s="617"/>
      <c r="P281" s="617"/>
      <c r="Q281" s="617"/>
      <c r="R281" s="617"/>
      <c r="S281" s="617"/>
      <c r="T281" s="617"/>
      <c r="U281" s="617"/>
      <c r="V281" s="617"/>
      <c r="W281" s="617"/>
      <c r="X281" s="617"/>
      <c r="Y281" s="617"/>
      <c r="Z281" s="617"/>
      <c r="AA281" s="617"/>
      <c r="AB281" s="617"/>
      <c r="AC281" s="617"/>
      <c r="AD281" s="617"/>
      <c r="AE281" s="617"/>
      <c r="AF281" s="617"/>
    </row>
    <row r="282" spans="2:32" x14ac:dyDescent="0.3">
      <c r="B282" s="624" t="s">
        <v>4878</v>
      </c>
      <c r="C282" s="617"/>
      <c r="D282" s="617"/>
      <c r="E282" s="617"/>
      <c r="F282" s="617"/>
      <c r="G282" s="617"/>
      <c r="H282" s="617"/>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7"/>
      <c r="AE282" s="617"/>
      <c r="AF282" s="617"/>
    </row>
    <row r="284" spans="2:32" x14ac:dyDescent="0.3">
      <c r="B284" t="s">
        <v>4879</v>
      </c>
    </row>
    <row r="285" spans="2:32" x14ac:dyDescent="0.3">
      <c r="F285" s="1005">
        <v>100000000</v>
      </c>
      <c r="G285" s="1006"/>
      <c r="H285" s="1006"/>
      <c r="I285" s="1006"/>
      <c r="J285" s="1006"/>
      <c r="K285" s="1006"/>
      <c r="L285" s="1007"/>
    </row>
    <row r="286" spans="2:32" x14ac:dyDescent="0.3">
      <c r="F286" s="625"/>
      <c r="G286" s="625"/>
      <c r="H286" s="625"/>
      <c r="I286" s="625"/>
      <c r="J286" s="625"/>
      <c r="K286" s="625"/>
      <c r="L286" s="625"/>
    </row>
    <row r="287" spans="2:32" ht="15.6" x14ac:dyDescent="0.35">
      <c r="B287" s="23" t="s">
        <v>4880</v>
      </c>
    </row>
    <row r="288" spans="2:32" ht="33" customHeight="1" x14ac:dyDescent="0.3">
      <c r="B288" s="1008" t="s">
        <v>4881</v>
      </c>
      <c r="C288" s="1009"/>
      <c r="D288" s="1009"/>
      <c r="E288" s="1009"/>
      <c r="F288" s="1009"/>
      <c r="G288" s="1009"/>
      <c r="H288" s="1010"/>
      <c r="I288" s="1011" t="s">
        <v>409</v>
      </c>
      <c r="J288" s="1011"/>
      <c r="K288" s="1011"/>
      <c r="L288" s="1011"/>
      <c r="M288" s="1011"/>
      <c r="N288" s="1011"/>
      <c r="O288" s="1011"/>
      <c r="P288" s="1011" t="s">
        <v>4882</v>
      </c>
      <c r="Q288" s="1011"/>
      <c r="R288" s="1011"/>
      <c r="S288" s="1011"/>
      <c r="T288" s="1011"/>
      <c r="U288" s="1011"/>
      <c r="V288" s="1011"/>
    </row>
    <row r="289" spans="2:22" ht="15.6" x14ac:dyDescent="0.3">
      <c r="B289" s="983" t="s">
        <v>4883</v>
      </c>
      <c r="C289" s="983"/>
      <c r="D289" s="983"/>
      <c r="E289" s="983"/>
      <c r="F289" s="983"/>
      <c r="G289" s="983"/>
      <c r="H289" s="983"/>
      <c r="I289" s="1012">
        <f>($F$285/1000)*I268</f>
        <v>150260000</v>
      </c>
      <c r="J289" s="1012"/>
      <c r="K289" s="1012"/>
      <c r="L289" s="1012"/>
      <c r="M289" s="1012"/>
      <c r="N289" s="1012"/>
      <c r="O289" s="1012"/>
      <c r="P289" s="1012">
        <f>($F$285/1000)*P268</f>
        <v>68156.870571799227</v>
      </c>
      <c r="Q289" s="1012"/>
      <c r="R289" s="1012"/>
      <c r="S289" s="1012"/>
      <c r="T289" s="1012"/>
      <c r="U289" s="1012"/>
      <c r="V289" s="1012"/>
    </row>
    <row r="290" spans="2:22" x14ac:dyDescent="0.3">
      <c r="B290" s="8"/>
      <c r="C290" s="8"/>
      <c r="D290" s="8"/>
      <c r="E290" s="8"/>
      <c r="F290" s="8"/>
      <c r="G290" s="8"/>
      <c r="H290" s="8"/>
      <c r="I290" s="626"/>
      <c r="J290" s="626"/>
      <c r="K290" s="626"/>
      <c r="L290" s="626"/>
      <c r="M290" s="626"/>
      <c r="N290" s="626"/>
      <c r="O290" s="626"/>
      <c r="P290" s="626"/>
      <c r="Q290" s="626"/>
      <c r="R290" s="626"/>
      <c r="S290" s="626"/>
      <c r="T290" s="626"/>
      <c r="U290" s="626"/>
      <c r="V290" s="626"/>
    </row>
    <row r="291" spans="2:22" x14ac:dyDescent="0.3">
      <c r="B291" s="23" t="s">
        <v>4884</v>
      </c>
    </row>
    <row r="292" spans="2:22" x14ac:dyDescent="0.3">
      <c r="B292" s="1013" t="s">
        <v>4862</v>
      </c>
      <c r="C292" s="1014"/>
      <c r="D292" s="1014"/>
      <c r="E292" s="1014"/>
      <c r="F292" s="1014"/>
      <c r="G292" s="1014"/>
      <c r="H292" s="1015"/>
      <c r="I292" s="1019" t="s">
        <v>4885</v>
      </c>
      <c r="J292" s="1019"/>
      <c r="K292" s="1019"/>
      <c r="L292" s="1019"/>
      <c r="M292" s="1019"/>
      <c r="N292" s="1019"/>
      <c r="O292" s="1019"/>
      <c r="P292" s="1019"/>
      <c r="Q292" s="1019"/>
      <c r="R292" s="1019"/>
      <c r="S292" s="1019"/>
      <c r="T292" s="1019"/>
      <c r="U292" s="1019"/>
      <c r="V292" s="1019"/>
    </row>
    <row r="293" spans="2:22" x14ac:dyDescent="0.3">
      <c r="B293" s="1016"/>
      <c r="C293" s="1017"/>
      <c r="D293" s="1017"/>
      <c r="E293" s="1017"/>
      <c r="F293" s="1017"/>
      <c r="G293" s="1017"/>
      <c r="H293" s="1018"/>
      <c r="I293" s="1011" t="s">
        <v>409</v>
      </c>
      <c r="J293" s="1011"/>
      <c r="K293" s="1011"/>
      <c r="L293" s="1011"/>
      <c r="M293" s="1011"/>
      <c r="N293" s="1011"/>
      <c r="O293" s="1011"/>
      <c r="P293" s="1011" t="s">
        <v>4882</v>
      </c>
      <c r="Q293" s="1011"/>
      <c r="R293" s="1011"/>
      <c r="S293" s="1011"/>
      <c r="T293" s="1011"/>
      <c r="U293" s="1011"/>
      <c r="V293" s="1011"/>
    </row>
    <row r="294" spans="2:22" ht="15.6" x14ac:dyDescent="0.3">
      <c r="B294" s="983" t="s">
        <v>4866</v>
      </c>
      <c r="C294" s="983"/>
      <c r="D294" s="983"/>
      <c r="E294" s="983"/>
      <c r="F294" s="983"/>
      <c r="G294" s="983"/>
      <c r="H294" s="983"/>
      <c r="I294" s="992">
        <f>($F$285/1000)*I265</f>
        <v>149100000</v>
      </c>
      <c r="J294" s="992"/>
      <c r="K294" s="992"/>
      <c r="L294" s="992"/>
      <c r="M294" s="992"/>
      <c r="N294" s="992"/>
      <c r="O294" s="992"/>
      <c r="P294" s="992">
        <f>($F$285/1000)*P265</f>
        <v>67630.702796853875</v>
      </c>
      <c r="Q294" s="992"/>
      <c r="R294" s="992"/>
      <c r="S294" s="992"/>
      <c r="T294" s="992"/>
      <c r="U294" s="992"/>
      <c r="V294" s="992"/>
    </row>
    <row r="295" spans="2:22" ht="15.6" x14ac:dyDescent="0.3">
      <c r="B295" s="983" t="s">
        <v>4867</v>
      </c>
      <c r="C295" s="983"/>
      <c r="D295" s="983"/>
      <c r="E295" s="983"/>
      <c r="F295" s="983"/>
      <c r="G295" s="983"/>
      <c r="H295" s="983"/>
      <c r="I295" s="992">
        <f>($F$285/1000)*I266</f>
        <v>16400</v>
      </c>
      <c r="J295" s="992"/>
      <c r="K295" s="992"/>
      <c r="L295" s="992"/>
      <c r="M295" s="992"/>
      <c r="N295" s="992"/>
      <c r="O295" s="992"/>
      <c r="P295" s="992">
        <f>($F$285/1000)*P266</f>
        <v>7.438923714744492</v>
      </c>
      <c r="Q295" s="992"/>
      <c r="R295" s="992"/>
      <c r="S295" s="992"/>
      <c r="T295" s="992"/>
      <c r="U295" s="992"/>
      <c r="V295" s="992"/>
    </row>
    <row r="296" spans="2:22" ht="15.6" x14ac:dyDescent="0.3">
      <c r="B296" s="983" t="s">
        <v>4868</v>
      </c>
      <c r="C296" s="983"/>
      <c r="D296" s="983"/>
      <c r="E296" s="983"/>
      <c r="F296" s="983"/>
      <c r="G296" s="983"/>
      <c r="H296" s="983"/>
      <c r="I296" s="992">
        <f>($F$285/1000)*I267</f>
        <v>2500</v>
      </c>
      <c r="J296" s="992"/>
      <c r="K296" s="992"/>
      <c r="L296" s="992"/>
      <c r="M296" s="992"/>
      <c r="N296" s="992"/>
      <c r="O296" s="992"/>
      <c r="P296" s="992">
        <f>($F$285/1000)*P267</f>
        <v>1.1339822735890994</v>
      </c>
      <c r="Q296" s="992"/>
      <c r="R296" s="992"/>
      <c r="S296" s="992"/>
      <c r="T296" s="992"/>
      <c r="U296" s="992"/>
      <c r="V296" s="992"/>
    </row>
    <row r="297" spans="2:22" ht="15.6" x14ac:dyDescent="0.3">
      <c r="B297" s="983" t="s">
        <v>4870</v>
      </c>
      <c r="C297" s="983"/>
      <c r="D297" s="983"/>
      <c r="E297" s="983"/>
      <c r="F297" s="983"/>
      <c r="G297" s="983"/>
      <c r="H297" s="983"/>
      <c r="I297" s="992">
        <f>($F$285/1000)*I269</f>
        <v>480000</v>
      </c>
      <c r="J297" s="992"/>
      <c r="K297" s="992"/>
      <c r="L297" s="992"/>
      <c r="M297" s="992"/>
      <c r="N297" s="992"/>
      <c r="O297" s="992"/>
      <c r="P297" s="992">
        <f>($F$285/1000)*P269</f>
        <v>217.72459652910706</v>
      </c>
      <c r="Q297" s="992"/>
      <c r="R297" s="992"/>
      <c r="S297" s="992"/>
      <c r="T297" s="992"/>
      <c r="U297" s="992"/>
      <c r="V297" s="992"/>
    </row>
    <row r="298" spans="2:22" ht="15.6" x14ac:dyDescent="0.3">
      <c r="B298" s="983" t="s">
        <v>4871</v>
      </c>
      <c r="C298" s="983"/>
      <c r="D298" s="983"/>
      <c r="E298" s="983"/>
      <c r="F298" s="983"/>
      <c r="G298" s="983"/>
      <c r="H298" s="983"/>
      <c r="I298" s="992">
        <f>($F$285/1000)*I270</f>
        <v>480000</v>
      </c>
      <c r="J298" s="992"/>
      <c r="K298" s="992"/>
      <c r="L298" s="992"/>
      <c r="M298" s="992"/>
      <c r="N298" s="992"/>
      <c r="O298" s="992"/>
      <c r="P298" s="992">
        <f>($F$285/1000)*P270</f>
        <v>217.72459652910706</v>
      </c>
      <c r="Q298" s="992"/>
      <c r="R298" s="992"/>
      <c r="S298" s="992"/>
      <c r="T298" s="992"/>
      <c r="U298" s="992"/>
      <c r="V298" s="992"/>
    </row>
    <row r="299" spans="2:22" ht="15.6" x14ac:dyDescent="0.3">
      <c r="B299" s="983" t="s">
        <v>4872</v>
      </c>
      <c r="C299" s="983"/>
      <c r="D299" s="983"/>
      <c r="E299" s="983"/>
      <c r="F299" s="983"/>
      <c r="G299" s="983"/>
      <c r="H299" s="983"/>
      <c r="I299" s="992">
        <f>($F$285/1000)*I271</f>
        <v>551900</v>
      </c>
      <c r="J299" s="992"/>
      <c r="K299" s="992"/>
      <c r="L299" s="992"/>
      <c r="M299" s="992"/>
      <c r="N299" s="992"/>
      <c r="O299" s="992"/>
      <c r="P299" s="992">
        <f>($F$285/1000)*P271</f>
        <v>250.33792671752957</v>
      </c>
      <c r="Q299" s="992"/>
      <c r="R299" s="992"/>
      <c r="S299" s="992"/>
      <c r="T299" s="992"/>
      <c r="U299" s="992"/>
      <c r="V299" s="992"/>
    </row>
    <row r="301" spans="2:22" x14ac:dyDescent="0.3">
      <c r="B301" s="23" t="s">
        <v>4886</v>
      </c>
    </row>
    <row r="302" spans="2:22" x14ac:dyDescent="0.3">
      <c r="B302" s="983" t="s">
        <v>4887</v>
      </c>
      <c r="C302" s="983"/>
      <c r="D302" s="983"/>
      <c r="E302" s="983"/>
      <c r="F302" s="983"/>
      <c r="G302" s="983"/>
      <c r="H302" s="983"/>
      <c r="I302" s="1004">
        <f>P294/G278</f>
        <v>157280.70417872994</v>
      </c>
      <c r="J302" s="1004"/>
      <c r="K302" s="1004"/>
      <c r="L302" s="1004"/>
      <c r="M302" s="1004"/>
      <c r="N302" s="1004"/>
      <c r="O302" s="1004"/>
    </row>
  </sheetData>
  <sheetProtection algorithmName="SHA-512" hashValue="FCMtKmY8DyFjZ/ES7vTE/sLP0kBjdGr6cp3ImZXoOhsKo49GgcJVQTnfQo+wdRHBx/b95zn2OZEffJVBc+CUpw==" saltValue="jjYCM0ih+eFyvGp48VxcoA==" spinCount="100000" sheet="1" objects="1" scenarios="1"/>
  <mergeCells count="1432">
    <mergeCell ref="H212:AF212"/>
    <mergeCell ref="A225:C225"/>
    <mergeCell ref="D225:K225"/>
    <mergeCell ref="L225:V225"/>
    <mergeCell ref="W225:Z225"/>
    <mergeCell ref="A231:C231"/>
    <mergeCell ref="D231:K231"/>
    <mergeCell ref="L231:V231"/>
    <mergeCell ref="W231:Z231"/>
    <mergeCell ref="A237:C237"/>
    <mergeCell ref="D237:AD237"/>
    <mergeCell ref="D226:K227"/>
    <mergeCell ref="S96:AF96"/>
    <mergeCell ref="B13:AF13"/>
    <mergeCell ref="C94:P94"/>
    <mergeCell ref="C95:P95"/>
    <mergeCell ref="C96:P96"/>
    <mergeCell ref="C97:AF97"/>
    <mergeCell ref="C72:AF72"/>
    <mergeCell ref="C73:AF73"/>
    <mergeCell ref="C74:AF74"/>
    <mergeCell ref="C75:AF75"/>
    <mergeCell ref="C61:AF61"/>
    <mergeCell ref="C62:AF62"/>
    <mergeCell ref="C63:AF63"/>
    <mergeCell ref="C64:AF64"/>
    <mergeCell ref="C65:AF65"/>
    <mergeCell ref="A236:C236"/>
    <mergeCell ref="P109:R109"/>
    <mergeCell ref="S109:U109"/>
    <mergeCell ref="V109:X109"/>
    <mergeCell ref="D113:F113"/>
    <mergeCell ref="B296:H296"/>
    <mergeCell ref="I296:O296"/>
    <mergeCell ref="P296:V296"/>
    <mergeCell ref="B297:H297"/>
    <mergeCell ref="I297:O297"/>
    <mergeCell ref="P297:V297"/>
    <mergeCell ref="A257:AF257"/>
    <mergeCell ref="A258:AF258"/>
    <mergeCell ref="A260:AF260"/>
    <mergeCell ref="B263:H264"/>
    <mergeCell ref="I263:V263"/>
    <mergeCell ref="I264:O264"/>
    <mergeCell ref="P264:V264"/>
    <mergeCell ref="B265:H265"/>
    <mergeCell ref="I265:O265"/>
    <mergeCell ref="P265:V265"/>
    <mergeCell ref="B266:H266"/>
    <mergeCell ref="I266:O266"/>
    <mergeCell ref="P266:V266"/>
    <mergeCell ref="B267:H267"/>
    <mergeCell ref="B269:H269"/>
    <mergeCell ref="I269:O269"/>
    <mergeCell ref="P269:V269"/>
    <mergeCell ref="B270:H270"/>
    <mergeCell ref="I270:O270"/>
    <mergeCell ref="P270:V270"/>
    <mergeCell ref="B271:H271"/>
    <mergeCell ref="I271:O271"/>
    <mergeCell ref="P271:V271"/>
    <mergeCell ref="B272:D272"/>
    <mergeCell ref="E272:AF272"/>
    <mergeCell ref="E273:AF273"/>
    <mergeCell ref="B274:D274"/>
    <mergeCell ref="B299:H299"/>
    <mergeCell ref="I299:O299"/>
    <mergeCell ref="P299:V299"/>
    <mergeCell ref="E274:AF274"/>
    <mergeCell ref="E275:AF275"/>
    <mergeCell ref="B278:F278"/>
    <mergeCell ref="G278:H278"/>
    <mergeCell ref="I278:M278"/>
    <mergeCell ref="B302:H302"/>
    <mergeCell ref="I302:O302"/>
    <mergeCell ref="B279:AF279"/>
    <mergeCell ref="B280:AF280"/>
    <mergeCell ref="F285:L285"/>
    <mergeCell ref="B288:H288"/>
    <mergeCell ref="I288:O288"/>
    <mergeCell ref="P288:V288"/>
    <mergeCell ref="B289:H289"/>
    <mergeCell ref="I289:O289"/>
    <mergeCell ref="P289:V289"/>
    <mergeCell ref="B292:H293"/>
    <mergeCell ref="I292:V292"/>
    <mergeCell ref="I293:O293"/>
    <mergeCell ref="P293:V293"/>
    <mergeCell ref="B294:H294"/>
    <mergeCell ref="I294:O294"/>
    <mergeCell ref="P294:V294"/>
    <mergeCell ref="B295:H295"/>
    <mergeCell ref="I295:O295"/>
    <mergeCell ref="P295:V295"/>
    <mergeCell ref="B298:H298"/>
    <mergeCell ref="I298:O298"/>
    <mergeCell ref="P298:V298"/>
    <mergeCell ref="I267:O267"/>
    <mergeCell ref="P267:V267"/>
    <mergeCell ref="B268:H268"/>
    <mergeCell ref="I268:O268"/>
    <mergeCell ref="P268:V268"/>
    <mergeCell ref="C76:AF76"/>
    <mergeCell ref="C77:AF77"/>
    <mergeCell ref="C78:AF78"/>
    <mergeCell ref="C79:AF79"/>
    <mergeCell ref="C80:AF80"/>
    <mergeCell ref="A82:AF82"/>
    <mergeCell ref="S86:AF86"/>
    <mergeCell ref="S87:AF87"/>
    <mergeCell ref="S88:AF88"/>
    <mergeCell ref="S89:AF89"/>
    <mergeCell ref="S90:AF90"/>
    <mergeCell ref="S91:AF91"/>
    <mergeCell ref="S92:AF92"/>
    <mergeCell ref="S93:AF93"/>
    <mergeCell ref="S94:AF94"/>
    <mergeCell ref="S95:AF95"/>
    <mergeCell ref="C86:P86"/>
    <mergeCell ref="C87:P87"/>
    <mergeCell ref="C88:P88"/>
    <mergeCell ref="C89:P89"/>
    <mergeCell ref="C90:P90"/>
    <mergeCell ref="C91:P91"/>
    <mergeCell ref="C92:P92"/>
    <mergeCell ref="C93:P93"/>
    <mergeCell ref="D230:K230"/>
    <mergeCell ref="D236:AD236"/>
    <mergeCell ref="A255:AF255"/>
    <mergeCell ref="W229:Z229"/>
    <mergeCell ref="A224:C224"/>
    <mergeCell ref="A228:C228"/>
    <mergeCell ref="A229:C229"/>
    <mergeCell ref="A223:C223"/>
    <mergeCell ref="D223:K223"/>
    <mergeCell ref="D224:K224"/>
    <mergeCell ref="L224:V224"/>
    <mergeCell ref="W226:Z226"/>
    <mergeCell ref="W227:Z227"/>
    <mergeCell ref="W223:Z223"/>
    <mergeCell ref="W228:Z228"/>
    <mergeCell ref="W224:Z224"/>
    <mergeCell ref="A230:C230"/>
    <mergeCell ref="W230:Z230"/>
    <mergeCell ref="L230:V230"/>
    <mergeCell ref="D232:AD232"/>
    <mergeCell ref="A232:C232"/>
    <mergeCell ref="A233:C233"/>
    <mergeCell ref="D233:AD233"/>
    <mergeCell ref="A234:C234"/>
    <mergeCell ref="D234:AD234"/>
    <mergeCell ref="A235:C235"/>
    <mergeCell ref="D235:AD235"/>
    <mergeCell ref="L228:V228"/>
    <mergeCell ref="L229:V229"/>
    <mergeCell ref="D228:K228"/>
    <mergeCell ref="L226:V226"/>
    <mergeCell ref="L227:V227"/>
    <mergeCell ref="A253:D253"/>
    <mergeCell ref="E253:G253"/>
    <mergeCell ref="A1:AF1"/>
    <mergeCell ref="A10:AF10"/>
    <mergeCell ref="A52:AF52"/>
    <mergeCell ref="A203:AF203"/>
    <mergeCell ref="A204:AF204"/>
    <mergeCell ref="A206:AF206"/>
    <mergeCell ref="A207:AF207"/>
    <mergeCell ref="L221:V221"/>
    <mergeCell ref="L222:V222"/>
    <mergeCell ref="L223:V223"/>
    <mergeCell ref="A104:AF104"/>
    <mergeCell ref="P111:R111"/>
    <mergeCell ref="S111:U111"/>
    <mergeCell ref="A110:C110"/>
    <mergeCell ref="D110:F110"/>
    <mergeCell ref="A3:AF3"/>
    <mergeCell ref="B5:AF5"/>
    <mergeCell ref="A111:C111"/>
    <mergeCell ref="D111:F111"/>
    <mergeCell ref="J111:L111"/>
    <mergeCell ref="M111:O111"/>
    <mergeCell ref="A51:AF51"/>
    <mergeCell ref="A7:AF7"/>
    <mergeCell ref="A8:AF8"/>
    <mergeCell ref="A57:AF57"/>
    <mergeCell ref="A68:AF68"/>
    <mergeCell ref="A54:AF54"/>
    <mergeCell ref="J114:L114"/>
    <mergeCell ref="M114:O114"/>
    <mergeCell ref="P114:R114"/>
    <mergeCell ref="S114:U114"/>
    <mergeCell ref="A113:C113"/>
    <mergeCell ref="J113:L113"/>
    <mergeCell ref="M113:O113"/>
    <mergeCell ref="P113:R113"/>
    <mergeCell ref="V112:X112"/>
    <mergeCell ref="V113:X113"/>
    <mergeCell ref="V114:X114"/>
    <mergeCell ref="AE113:AG113"/>
    <mergeCell ref="J110:L110"/>
    <mergeCell ref="M110:O110"/>
    <mergeCell ref="P110:R110"/>
    <mergeCell ref="S110:U110"/>
    <mergeCell ref="A112:C112"/>
    <mergeCell ref="D112:F112"/>
    <mergeCell ref="J112:L112"/>
    <mergeCell ref="M112:O112"/>
    <mergeCell ref="P112:R112"/>
    <mergeCell ref="S112:U112"/>
    <mergeCell ref="G110:I110"/>
    <mergeCell ref="V110:X110"/>
    <mergeCell ref="V111:X111"/>
    <mergeCell ref="J22:N22"/>
    <mergeCell ref="A120:C120"/>
    <mergeCell ref="D120:F120"/>
    <mergeCell ref="J120:L120"/>
    <mergeCell ref="M120:O120"/>
    <mergeCell ref="P120:R120"/>
    <mergeCell ref="S120:U120"/>
    <mergeCell ref="G120:I120"/>
    <mergeCell ref="A119:C119"/>
    <mergeCell ref="D119:F119"/>
    <mergeCell ref="J119:L119"/>
    <mergeCell ref="M119:O119"/>
    <mergeCell ref="P119:R119"/>
    <mergeCell ref="S119:U119"/>
    <mergeCell ref="G119:I119"/>
    <mergeCell ref="S117:U117"/>
    <mergeCell ref="A118:C118"/>
    <mergeCell ref="D118:F118"/>
    <mergeCell ref="J118:L118"/>
    <mergeCell ref="M118:O118"/>
    <mergeCell ref="P118:R118"/>
    <mergeCell ref="S118:U118"/>
    <mergeCell ref="A117:C117"/>
    <mergeCell ref="D117:F117"/>
    <mergeCell ref="J117:L117"/>
    <mergeCell ref="M117:O117"/>
    <mergeCell ref="P117:R117"/>
    <mergeCell ref="G117:I117"/>
    <mergeCell ref="G118:I118"/>
    <mergeCell ref="E28:F28"/>
    <mergeCell ref="G28:I28"/>
    <mergeCell ref="J28:N28"/>
    <mergeCell ref="A124:C124"/>
    <mergeCell ref="D124:F124"/>
    <mergeCell ref="J124:L124"/>
    <mergeCell ref="M124:O124"/>
    <mergeCell ref="P124:R124"/>
    <mergeCell ref="S124:U124"/>
    <mergeCell ref="G124:I124"/>
    <mergeCell ref="A123:C123"/>
    <mergeCell ref="D123:F123"/>
    <mergeCell ref="J123:L123"/>
    <mergeCell ref="M123:O123"/>
    <mergeCell ref="P123:R123"/>
    <mergeCell ref="S123:U123"/>
    <mergeCell ref="G123:I123"/>
    <mergeCell ref="S121:U121"/>
    <mergeCell ref="A122:C122"/>
    <mergeCell ref="D122:F122"/>
    <mergeCell ref="J122:L122"/>
    <mergeCell ref="M122:O122"/>
    <mergeCell ref="P122:R122"/>
    <mergeCell ref="S122:U122"/>
    <mergeCell ref="A121:C121"/>
    <mergeCell ref="D121:F121"/>
    <mergeCell ref="J121:L121"/>
    <mergeCell ref="M121:O121"/>
    <mergeCell ref="P121:R121"/>
    <mergeCell ref="G121:I121"/>
    <mergeCell ref="G122:I122"/>
    <mergeCell ref="A128:C128"/>
    <mergeCell ref="D128:F128"/>
    <mergeCell ref="J128:L128"/>
    <mergeCell ref="M128:O128"/>
    <mergeCell ref="P128:R128"/>
    <mergeCell ref="S128:U128"/>
    <mergeCell ref="G128:I128"/>
    <mergeCell ref="A127:C127"/>
    <mergeCell ref="D127:F127"/>
    <mergeCell ref="J127:L127"/>
    <mergeCell ref="M127:O127"/>
    <mergeCell ref="P127:R127"/>
    <mergeCell ref="S127:U127"/>
    <mergeCell ref="G127:I127"/>
    <mergeCell ref="S125:U125"/>
    <mergeCell ref="A126:C126"/>
    <mergeCell ref="D126:F126"/>
    <mergeCell ref="J126:L126"/>
    <mergeCell ref="M126:O126"/>
    <mergeCell ref="P126:R126"/>
    <mergeCell ref="S126:U126"/>
    <mergeCell ref="A125:C125"/>
    <mergeCell ref="D125:F125"/>
    <mergeCell ref="J125:L125"/>
    <mergeCell ref="M125:O125"/>
    <mergeCell ref="P125:R125"/>
    <mergeCell ref="G125:I125"/>
    <mergeCell ref="G126:I126"/>
    <mergeCell ref="A131:C131"/>
    <mergeCell ref="D131:F131"/>
    <mergeCell ref="J131:L131"/>
    <mergeCell ref="M131:O131"/>
    <mergeCell ref="P131:R131"/>
    <mergeCell ref="S131:U131"/>
    <mergeCell ref="G131:I131"/>
    <mergeCell ref="S129:U129"/>
    <mergeCell ref="A130:C130"/>
    <mergeCell ref="D130:F130"/>
    <mergeCell ref="J130:L130"/>
    <mergeCell ref="M130:O130"/>
    <mergeCell ref="P130:R130"/>
    <mergeCell ref="S130:U130"/>
    <mergeCell ref="A129:C129"/>
    <mergeCell ref="D129:F129"/>
    <mergeCell ref="J129:L129"/>
    <mergeCell ref="M129:O129"/>
    <mergeCell ref="P129:R129"/>
    <mergeCell ref="G129:I129"/>
    <mergeCell ref="G130:I130"/>
    <mergeCell ref="S133:U133"/>
    <mergeCell ref="A134:C134"/>
    <mergeCell ref="D134:F134"/>
    <mergeCell ref="J134:L134"/>
    <mergeCell ref="M134:O134"/>
    <mergeCell ref="P134:R134"/>
    <mergeCell ref="S134:U134"/>
    <mergeCell ref="A133:C133"/>
    <mergeCell ref="D133:F133"/>
    <mergeCell ref="J133:L133"/>
    <mergeCell ref="M133:O133"/>
    <mergeCell ref="P133:R133"/>
    <mergeCell ref="G133:I133"/>
    <mergeCell ref="G134:I134"/>
    <mergeCell ref="A132:C132"/>
    <mergeCell ref="D132:F132"/>
    <mergeCell ref="J132:L132"/>
    <mergeCell ref="M132:O132"/>
    <mergeCell ref="P132:R132"/>
    <mergeCell ref="S132:U132"/>
    <mergeCell ref="G132:I132"/>
    <mergeCell ref="A135:C135"/>
    <mergeCell ref="A216:AF216"/>
    <mergeCell ref="A217:AF217"/>
    <mergeCell ref="D221:K221"/>
    <mergeCell ref="D222:K222"/>
    <mergeCell ref="D135:F135"/>
    <mergeCell ref="J135:L135"/>
    <mergeCell ref="M135:O135"/>
    <mergeCell ref="P135:R135"/>
    <mergeCell ref="S135:U135"/>
    <mergeCell ref="A220:V220"/>
    <mergeCell ref="A221:C221"/>
    <mergeCell ref="A222:C222"/>
    <mergeCell ref="W220:Z220"/>
    <mergeCell ref="W221:Z221"/>
    <mergeCell ref="W222:Z222"/>
    <mergeCell ref="G135:I135"/>
    <mergeCell ref="A137:AF137"/>
    <mergeCell ref="K138:N138"/>
    <mergeCell ref="K139:N139"/>
    <mergeCell ref="G141:O141"/>
    <mergeCell ref="P141:X141"/>
    <mergeCell ref="Y141:AG141"/>
    <mergeCell ref="A144:C144"/>
    <mergeCell ref="D144:F144"/>
    <mergeCell ref="G144:I144"/>
    <mergeCell ref="J144:L144"/>
    <mergeCell ref="M144:O144"/>
    <mergeCell ref="P144:R144"/>
    <mergeCell ref="AB143:AD143"/>
    <mergeCell ref="AE143:AG143"/>
    <mergeCell ref="AB145:AD145"/>
    <mergeCell ref="A248:G248"/>
    <mergeCell ref="A251:D251"/>
    <mergeCell ref="E251:G251"/>
    <mergeCell ref="A252:D252"/>
    <mergeCell ref="E252:G252"/>
    <mergeCell ref="D229:K229"/>
    <mergeCell ref="A249:D249"/>
    <mergeCell ref="E249:G249"/>
    <mergeCell ref="A250:D250"/>
    <mergeCell ref="E250:G250"/>
    <mergeCell ref="B244:AF244"/>
    <mergeCell ref="B245:AF245"/>
    <mergeCell ref="A242:AF242"/>
    <mergeCell ref="B243:AF243"/>
    <mergeCell ref="A240:AF240"/>
    <mergeCell ref="A239:AF239"/>
    <mergeCell ref="A226:C227"/>
    <mergeCell ref="E20:F20"/>
    <mergeCell ref="E21:F21"/>
    <mergeCell ref="E22:F22"/>
    <mergeCell ref="B20:D22"/>
    <mergeCell ref="A11:AF11"/>
    <mergeCell ref="B12:AF12"/>
    <mergeCell ref="B14:AF14"/>
    <mergeCell ref="G19:I19"/>
    <mergeCell ref="J19:N19"/>
    <mergeCell ref="E19:F19"/>
    <mergeCell ref="B19:D19"/>
    <mergeCell ref="E26:F26"/>
    <mergeCell ref="G26:I26"/>
    <mergeCell ref="J26:N26"/>
    <mergeCell ref="E27:F27"/>
    <mergeCell ref="G27:I27"/>
    <mergeCell ref="J27:N27"/>
    <mergeCell ref="A16:AF16"/>
    <mergeCell ref="G20:I20"/>
    <mergeCell ref="J20:N20"/>
    <mergeCell ref="G21:I21"/>
    <mergeCell ref="J21:N21"/>
    <mergeCell ref="G22:I22"/>
    <mergeCell ref="B26:D28"/>
    <mergeCell ref="E23:F23"/>
    <mergeCell ref="G23:I23"/>
    <mergeCell ref="J23:N23"/>
    <mergeCell ref="E24:F24"/>
    <mergeCell ref="G24:I24"/>
    <mergeCell ref="J24:N24"/>
    <mergeCell ref="E25:F25"/>
    <mergeCell ref="G25:I25"/>
    <mergeCell ref="J25:N25"/>
    <mergeCell ref="B23:D25"/>
    <mergeCell ref="B39:D41"/>
    <mergeCell ref="E39:F39"/>
    <mergeCell ref="G39:I39"/>
    <mergeCell ref="E40:F40"/>
    <mergeCell ref="G40:I40"/>
    <mergeCell ref="E41:F41"/>
    <mergeCell ref="G41:I41"/>
    <mergeCell ref="J39:O39"/>
    <mergeCell ref="J40:O40"/>
    <mergeCell ref="J41:O41"/>
    <mergeCell ref="H29:I29"/>
    <mergeCell ref="B30:AF30"/>
    <mergeCell ref="B31:AF31"/>
    <mergeCell ref="B32:AF32"/>
    <mergeCell ref="B33:AF33"/>
    <mergeCell ref="J29:AF29"/>
    <mergeCell ref="A35:AF35"/>
    <mergeCell ref="B38:D38"/>
    <mergeCell ref="E38:F38"/>
    <mergeCell ref="G38:I38"/>
    <mergeCell ref="J38:O38"/>
    <mergeCell ref="B45:D47"/>
    <mergeCell ref="E45:F45"/>
    <mergeCell ref="G45:I45"/>
    <mergeCell ref="E46:F46"/>
    <mergeCell ref="G46:I46"/>
    <mergeCell ref="E47:F47"/>
    <mergeCell ref="G47:I47"/>
    <mergeCell ref="J45:O45"/>
    <mergeCell ref="J46:O46"/>
    <mergeCell ref="J47:O47"/>
    <mergeCell ref="B42:D44"/>
    <mergeCell ref="E42:F42"/>
    <mergeCell ref="G42:I42"/>
    <mergeCell ref="E43:F43"/>
    <mergeCell ref="G43:I43"/>
    <mergeCell ref="E44:F44"/>
    <mergeCell ref="G44:I44"/>
    <mergeCell ref="J42:O42"/>
    <mergeCell ref="J43:O43"/>
    <mergeCell ref="J44:O44"/>
    <mergeCell ref="G109:I109"/>
    <mergeCell ref="J109:L109"/>
    <mergeCell ref="M109:O109"/>
    <mergeCell ref="G111:I111"/>
    <mergeCell ref="G112:I112"/>
    <mergeCell ref="G113:I113"/>
    <mergeCell ref="G114:I114"/>
    <mergeCell ref="G115:I115"/>
    <mergeCell ref="G116:I116"/>
    <mergeCell ref="H48:I48"/>
    <mergeCell ref="J48:AF48"/>
    <mergeCell ref="B49:AF49"/>
    <mergeCell ref="K105:N105"/>
    <mergeCell ref="K106:N106"/>
    <mergeCell ref="G108:O108"/>
    <mergeCell ref="P108:X108"/>
    <mergeCell ref="Y108:AG108"/>
    <mergeCell ref="A116:C116"/>
    <mergeCell ref="D116:F116"/>
    <mergeCell ref="J116:L116"/>
    <mergeCell ref="M116:O116"/>
    <mergeCell ref="P116:R116"/>
    <mergeCell ref="S116:U116"/>
    <mergeCell ref="A115:C115"/>
    <mergeCell ref="D115:F115"/>
    <mergeCell ref="J115:L115"/>
    <mergeCell ref="M115:O115"/>
    <mergeCell ref="P115:R115"/>
    <mergeCell ref="S115:U115"/>
    <mergeCell ref="S113:U113"/>
    <mergeCell ref="A114:C114"/>
    <mergeCell ref="D114:F114"/>
    <mergeCell ref="V124:X124"/>
    <mergeCell ref="V125:X125"/>
    <mergeCell ref="V126:X126"/>
    <mergeCell ref="V127:X127"/>
    <mergeCell ref="V128:X128"/>
    <mergeCell ref="V129:X129"/>
    <mergeCell ref="V130:X130"/>
    <mergeCell ref="V131:X131"/>
    <mergeCell ref="V132:X132"/>
    <mergeCell ref="V115:X115"/>
    <mergeCell ref="V116:X116"/>
    <mergeCell ref="V117:X117"/>
    <mergeCell ref="V118:X118"/>
    <mergeCell ref="V119:X119"/>
    <mergeCell ref="V120:X120"/>
    <mergeCell ref="V121:X121"/>
    <mergeCell ref="V122:X122"/>
    <mergeCell ref="V123:X123"/>
    <mergeCell ref="AH108:AP108"/>
    <mergeCell ref="Y110:AA110"/>
    <mergeCell ref="AB110:AD110"/>
    <mergeCell ref="AE110:AG110"/>
    <mergeCell ref="AH110:AJ110"/>
    <mergeCell ref="AK110:AM110"/>
    <mergeCell ref="AN110:AP110"/>
    <mergeCell ref="AE111:AG111"/>
    <mergeCell ref="AE112:AG112"/>
    <mergeCell ref="V133:X133"/>
    <mergeCell ref="V134:X134"/>
    <mergeCell ref="V135:X135"/>
    <mergeCell ref="Y109:AA109"/>
    <mergeCell ref="AB109:AD109"/>
    <mergeCell ref="AE109:AG109"/>
    <mergeCell ref="AH109:AJ109"/>
    <mergeCell ref="AK109:AM109"/>
    <mergeCell ref="AN109:AP109"/>
    <mergeCell ref="AB134:AD134"/>
    <mergeCell ref="AB135:AD135"/>
    <mergeCell ref="AB111:AD111"/>
    <mergeCell ref="AB112:AD112"/>
    <mergeCell ref="AB113:AD113"/>
    <mergeCell ref="AB114:AD114"/>
    <mergeCell ref="AB115:AD115"/>
    <mergeCell ref="AB116:AD116"/>
    <mergeCell ref="AB117:AD117"/>
    <mergeCell ref="AB118:AD118"/>
    <mergeCell ref="AB119:AD119"/>
    <mergeCell ref="AB120:AD120"/>
    <mergeCell ref="AB121:AD121"/>
    <mergeCell ref="AB122:AD122"/>
    <mergeCell ref="AB123:AD123"/>
    <mergeCell ref="AB124:AD124"/>
    <mergeCell ref="AB125:AD125"/>
    <mergeCell ref="AB126:AD126"/>
    <mergeCell ref="AE131:AG131"/>
    <mergeCell ref="AE114:AG114"/>
    <mergeCell ref="AE115:AG115"/>
    <mergeCell ref="AE116:AG116"/>
    <mergeCell ref="AE117:AG117"/>
    <mergeCell ref="AE118:AG118"/>
    <mergeCell ref="AE119:AG119"/>
    <mergeCell ref="AE120:AG120"/>
    <mergeCell ref="AE121:AG121"/>
    <mergeCell ref="AE122:AG122"/>
    <mergeCell ref="AB127:AD127"/>
    <mergeCell ref="AB128:AD128"/>
    <mergeCell ref="AB129:AD129"/>
    <mergeCell ref="AB130:AD130"/>
    <mergeCell ref="AB131:AD131"/>
    <mergeCell ref="AE127:AG127"/>
    <mergeCell ref="AE128:AG128"/>
    <mergeCell ref="AE129:AG129"/>
    <mergeCell ref="AE130:AG130"/>
    <mergeCell ref="AB132:AD132"/>
    <mergeCell ref="AB133:AD133"/>
    <mergeCell ref="AE132:AG132"/>
    <mergeCell ref="AE133:AG133"/>
    <mergeCell ref="AK134:AM134"/>
    <mergeCell ref="AK135:AM135"/>
    <mergeCell ref="AE134:AG134"/>
    <mergeCell ref="AE135:AG135"/>
    <mergeCell ref="AH111:AJ111"/>
    <mergeCell ref="AH112:AJ112"/>
    <mergeCell ref="AH113:AJ113"/>
    <mergeCell ref="AH114:AJ114"/>
    <mergeCell ref="AH115:AJ115"/>
    <mergeCell ref="AH116:AJ116"/>
    <mergeCell ref="AH117:AJ117"/>
    <mergeCell ref="AH118:AJ118"/>
    <mergeCell ref="AH119:AJ119"/>
    <mergeCell ref="AH120:AJ120"/>
    <mergeCell ref="AH121:AJ121"/>
    <mergeCell ref="AH122:AJ122"/>
    <mergeCell ref="AH123:AJ123"/>
    <mergeCell ref="AH124:AJ124"/>
    <mergeCell ref="AH125:AJ125"/>
    <mergeCell ref="AH126:AJ126"/>
    <mergeCell ref="AH127:AJ127"/>
    <mergeCell ref="AH128:AJ128"/>
    <mergeCell ref="AH129:AJ129"/>
    <mergeCell ref="AH130:AJ130"/>
    <mergeCell ref="AE123:AG123"/>
    <mergeCell ref="AE124:AG124"/>
    <mergeCell ref="AE125:AG125"/>
    <mergeCell ref="AE126:AG126"/>
    <mergeCell ref="AK111:AM111"/>
    <mergeCell ref="AK112:AM112"/>
    <mergeCell ref="AK113:AM113"/>
    <mergeCell ref="AK114:AM114"/>
    <mergeCell ref="AK115:AM115"/>
    <mergeCell ref="AK116:AM116"/>
    <mergeCell ref="AK117:AM117"/>
    <mergeCell ref="AK118:AM118"/>
    <mergeCell ref="AK119:AM119"/>
    <mergeCell ref="AK120:AM120"/>
    <mergeCell ref="AK121:AM121"/>
    <mergeCell ref="AK122:AM122"/>
    <mergeCell ref="AK123:AM123"/>
    <mergeCell ref="AK124:AM124"/>
    <mergeCell ref="AK125:AM125"/>
    <mergeCell ref="AK126:AM126"/>
    <mergeCell ref="AK127:AM127"/>
    <mergeCell ref="AN111:AP111"/>
    <mergeCell ref="AN112:AP112"/>
    <mergeCell ref="AN113:AP113"/>
    <mergeCell ref="AN114:AP114"/>
    <mergeCell ref="AN115:AP115"/>
    <mergeCell ref="AN116:AP116"/>
    <mergeCell ref="AN117:AP117"/>
    <mergeCell ref="AN118:AP118"/>
    <mergeCell ref="AN119:AP119"/>
    <mergeCell ref="AN120:AP120"/>
    <mergeCell ref="AN121:AP121"/>
    <mergeCell ref="AN122:AP122"/>
    <mergeCell ref="AN123:AP123"/>
    <mergeCell ref="AN124:AP124"/>
    <mergeCell ref="AN125:AP125"/>
    <mergeCell ref="AN126:AP126"/>
    <mergeCell ref="AN127:AP127"/>
    <mergeCell ref="AN128:AP128"/>
    <mergeCell ref="AN129:AP129"/>
    <mergeCell ref="AN130:AP130"/>
    <mergeCell ref="AN131:AP131"/>
    <mergeCell ref="AN132:AP132"/>
    <mergeCell ref="AN133:AP133"/>
    <mergeCell ref="AN134:AP134"/>
    <mergeCell ref="AN135:AP135"/>
    <mergeCell ref="AH141:AP141"/>
    <mergeCell ref="G142:I142"/>
    <mergeCell ref="J142:L142"/>
    <mergeCell ref="M142:O142"/>
    <mergeCell ref="P142:R142"/>
    <mergeCell ref="S142:U142"/>
    <mergeCell ref="V142:X142"/>
    <mergeCell ref="Y142:AA142"/>
    <mergeCell ref="AB142:AD142"/>
    <mergeCell ref="AE142:AG142"/>
    <mergeCell ref="AH142:AJ142"/>
    <mergeCell ref="AK142:AM142"/>
    <mergeCell ref="AN142:AP142"/>
    <mergeCell ref="AH131:AJ131"/>
    <mergeCell ref="AH132:AJ132"/>
    <mergeCell ref="AH133:AJ133"/>
    <mergeCell ref="AH134:AJ134"/>
    <mergeCell ref="AH135:AJ135"/>
    <mergeCell ref="AK128:AM128"/>
    <mergeCell ref="AK129:AM129"/>
    <mergeCell ref="AK130:AM130"/>
    <mergeCell ref="AK131:AM131"/>
    <mergeCell ref="AK132:AM132"/>
    <mergeCell ref="AK133:AM133"/>
    <mergeCell ref="AH143:AJ143"/>
    <mergeCell ref="AK143:AM143"/>
    <mergeCell ref="AN143:AP143"/>
    <mergeCell ref="S144:U144"/>
    <mergeCell ref="V144:X144"/>
    <mergeCell ref="Y144:AA144"/>
    <mergeCell ref="AB144:AD144"/>
    <mergeCell ref="AE144:AG144"/>
    <mergeCell ref="AH144:AJ144"/>
    <mergeCell ref="AK144:AM144"/>
    <mergeCell ref="AN144:AP144"/>
    <mergeCell ref="A143:C143"/>
    <mergeCell ref="D143:F143"/>
    <mergeCell ref="G143:I143"/>
    <mergeCell ref="J143:L143"/>
    <mergeCell ref="M143:O143"/>
    <mergeCell ref="P143:R143"/>
    <mergeCell ref="S143:U143"/>
    <mergeCell ref="V143:X143"/>
    <mergeCell ref="Y143:AA143"/>
    <mergeCell ref="AE145:AG145"/>
    <mergeCell ref="AH145:AJ145"/>
    <mergeCell ref="AK145:AM145"/>
    <mergeCell ref="AN145:AP145"/>
    <mergeCell ref="A146:C146"/>
    <mergeCell ref="D146:F146"/>
    <mergeCell ref="G146:I146"/>
    <mergeCell ref="J146:L146"/>
    <mergeCell ref="M146:O146"/>
    <mergeCell ref="P146:R146"/>
    <mergeCell ref="S146:U146"/>
    <mergeCell ref="V146:X146"/>
    <mergeCell ref="Y146:AA146"/>
    <mergeCell ref="AB146:AD146"/>
    <mergeCell ref="AE146:AG146"/>
    <mergeCell ref="AH146:AJ146"/>
    <mergeCell ref="AK146:AM146"/>
    <mergeCell ref="AN146:AP146"/>
    <mergeCell ref="A145:C145"/>
    <mergeCell ref="D145:F145"/>
    <mergeCell ref="G145:I145"/>
    <mergeCell ref="J145:L145"/>
    <mergeCell ref="M145:O145"/>
    <mergeCell ref="P145:R145"/>
    <mergeCell ref="S145:U145"/>
    <mergeCell ref="V145:X145"/>
    <mergeCell ref="Y145:AA145"/>
    <mergeCell ref="AB147:AD147"/>
    <mergeCell ref="AE147:AG147"/>
    <mergeCell ref="AH147:AJ147"/>
    <mergeCell ref="AK147:AM147"/>
    <mergeCell ref="AN147:AP147"/>
    <mergeCell ref="A148:C148"/>
    <mergeCell ref="D148:F148"/>
    <mergeCell ref="G148:I148"/>
    <mergeCell ref="J148:L148"/>
    <mergeCell ref="M148:O148"/>
    <mergeCell ref="P148:R148"/>
    <mergeCell ref="S148:U148"/>
    <mergeCell ref="V148:X148"/>
    <mergeCell ref="Y148:AA148"/>
    <mergeCell ref="AB148:AD148"/>
    <mergeCell ref="AE148:AG148"/>
    <mergeCell ref="AH148:AJ148"/>
    <mergeCell ref="AK148:AM148"/>
    <mergeCell ref="AN148:AP148"/>
    <mergeCell ref="A147:C147"/>
    <mergeCell ref="D147:F147"/>
    <mergeCell ref="G147:I147"/>
    <mergeCell ref="J147:L147"/>
    <mergeCell ref="M147:O147"/>
    <mergeCell ref="P147:R147"/>
    <mergeCell ref="S147:U147"/>
    <mergeCell ref="V147:X147"/>
    <mergeCell ref="Y147:AA147"/>
    <mergeCell ref="AB149:AD149"/>
    <mergeCell ref="AE149:AG149"/>
    <mergeCell ref="AH149:AJ149"/>
    <mergeCell ref="AK149:AM149"/>
    <mergeCell ref="AN149:AP149"/>
    <mergeCell ref="A150:C150"/>
    <mergeCell ref="D150:F150"/>
    <mergeCell ref="G150:I150"/>
    <mergeCell ref="J150:L150"/>
    <mergeCell ref="M150:O150"/>
    <mergeCell ref="P150:R150"/>
    <mergeCell ref="S150:U150"/>
    <mergeCell ref="V150:X150"/>
    <mergeCell ref="Y150:AA150"/>
    <mergeCell ref="AB150:AD150"/>
    <mergeCell ref="AE150:AG150"/>
    <mergeCell ref="AH150:AJ150"/>
    <mergeCell ref="AK150:AM150"/>
    <mergeCell ref="AN150:AP150"/>
    <mergeCell ref="A149:C149"/>
    <mergeCell ref="D149:F149"/>
    <mergeCell ref="G149:I149"/>
    <mergeCell ref="J149:L149"/>
    <mergeCell ref="M149:O149"/>
    <mergeCell ref="P149:R149"/>
    <mergeCell ref="S149:U149"/>
    <mergeCell ref="V149:X149"/>
    <mergeCell ref="Y149:AA149"/>
    <mergeCell ref="AB151:AD151"/>
    <mergeCell ref="AE151:AG151"/>
    <mergeCell ref="AH151:AJ151"/>
    <mergeCell ref="AK151:AM151"/>
    <mergeCell ref="AN151:AP151"/>
    <mergeCell ref="A152:C152"/>
    <mergeCell ref="D152:F152"/>
    <mergeCell ref="G152:I152"/>
    <mergeCell ref="J152:L152"/>
    <mergeCell ref="M152:O152"/>
    <mergeCell ref="P152:R152"/>
    <mergeCell ref="S152:U152"/>
    <mergeCell ref="V152:X152"/>
    <mergeCell ref="Y152:AA152"/>
    <mergeCell ref="AB152:AD152"/>
    <mergeCell ref="AE152:AG152"/>
    <mergeCell ref="AH152:AJ152"/>
    <mergeCell ref="AK152:AM152"/>
    <mergeCell ref="AN152:AP152"/>
    <mergeCell ref="A151:C151"/>
    <mergeCell ref="D151:F151"/>
    <mergeCell ref="G151:I151"/>
    <mergeCell ref="J151:L151"/>
    <mergeCell ref="M151:O151"/>
    <mergeCell ref="P151:R151"/>
    <mergeCell ref="S151:U151"/>
    <mergeCell ref="V151:X151"/>
    <mergeCell ref="Y151:AA151"/>
    <mergeCell ref="AB153:AD153"/>
    <mergeCell ref="AE153:AG153"/>
    <mergeCell ref="AH153:AJ153"/>
    <mergeCell ref="AK153:AM153"/>
    <mergeCell ref="AN153:AP153"/>
    <mergeCell ref="A154:C154"/>
    <mergeCell ref="D154:F154"/>
    <mergeCell ref="G154:I154"/>
    <mergeCell ref="J154:L154"/>
    <mergeCell ref="M154:O154"/>
    <mergeCell ref="P154:R154"/>
    <mergeCell ref="S154:U154"/>
    <mergeCell ref="V154:X154"/>
    <mergeCell ref="Y154:AA154"/>
    <mergeCell ref="AB154:AD154"/>
    <mergeCell ref="AE154:AG154"/>
    <mergeCell ref="AH154:AJ154"/>
    <mergeCell ref="AK154:AM154"/>
    <mergeCell ref="AN154:AP154"/>
    <mergeCell ref="A153:C153"/>
    <mergeCell ref="D153:F153"/>
    <mergeCell ref="G153:I153"/>
    <mergeCell ref="J153:L153"/>
    <mergeCell ref="M153:O153"/>
    <mergeCell ref="P153:R153"/>
    <mergeCell ref="S153:U153"/>
    <mergeCell ref="V153:X153"/>
    <mergeCell ref="Y153:AA153"/>
    <mergeCell ref="AB155:AD155"/>
    <mergeCell ref="AE155:AG155"/>
    <mergeCell ref="AH155:AJ155"/>
    <mergeCell ref="AK155:AM155"/>
    <mergeCell ref="AN155:AP155"/>
    <mergeCell ref="A156:C156"/>
    <mergeCell ref="D156:F156"/>
    <mergeCell ref="G156:I156"/>
    <mergeCell ref="J156:L156"/>
    <mergeCell ref="M156:O156"/>
    <mergeCell ref="P156:R156"/>
    <mergeCell ref="S156:U156"/>
    <mergeCell ref="V156:X156"/>
    <mergeCell ref="Y156:AA156"/>
    <mergeCell ref="AB156:AD156"/>
    <mergeCell ref="AE156:AG156"/>
    <mergeCell ref="AH156:AJ156"/>
    <mergeCell ref="AK156:AM156"/>
    <mergeCell ref="AN156:AP156"/>
    <mergeCell ref="A155:C155"/>
    <mergeCell ref="D155:F155"/>
    <mergeCell ref="G155:I155"/>
    <mergeCell ref="J155:L155"/>
    <mergeCell ref="M155:O155"/>
    <mergeCell ref="P155:R155"/>
    <mergeCell ref="S155:U155"/>
    <mergeCell ref="V155:X155"/>
    <mergeCell ref="Y155:AA155"/>
    <mergeCell ref="AB157:AD157"/>
    <mergeCell ref="AE157:AG157"/>
    <mergeCell ref="AH157:AJ157"/>
    <mergeCell ref="AK157:AM157"/>
    <mergeCell ref="AN157:AP157"/>
    <mergeCell ref="A158:C158"/>
    <mergeCell ref="D158:F158"/>
    <mergeCell ref="G158:I158"/>
    <mergeCell ref="J158:L158"/>
    <mergeCell ref="M158:O158"/>
    <mergeCell ref="P158:R158"/>
    <mergeCell ref="S158:U158"/>
    <mergeCell ref="V158:X158"/>
    <mergeCell ref="Y158:AA158"/>
    <mergeCell ref="AB158:AD158"/>
    <mergeCell ref="AE158:AG158"/>
    <mergeCell ref="AH158:AJ158"/>
    <mergeCell ref="AK158:AM158"/>
    <mergeCell ref="AN158:AP158"/>
    <mergeCell ref="A157:C157"/>
    <mergeCell ref="D157:F157"/>
    <mergeCell ref="G157:I157"/>
    <mergeCell ref="J157:L157"/>
    <mergeCell ref="M157:O157"/>
    <mergeCell ref="P157:R157"/>
    <mergeCell ref="S157:U157"/>
    <mergeCell ref="V157:X157"/>
    <mergeCell ref="Y157:AA157"/>
    <mergeCell ref="AB159:AD159"/>
    <mergeCell ref="AE159:AG159"/>
    <mergeCell ref="AH159:AJ159"/>
    <mergeCell ref="AK159:AM159"/>
    <mergeCell ref="AN159:AP159"/>
    <mergeCell ref="A160:C160"/>
    <mergeCell ref="D160:F160"/>
    <mergeCell ref="G160:I160"/>
    <mergeCell ref="J160:L160"/>
    <mergeCell ref="M160:O160"/>
    <mergeCell ref="P160:R160"/>
    <mergeCell ref="S160:U160"/>
    <mergeCell ref="V160:X160"/>
    <mergeCell ref="Y160:AA160"/>
    <mergeCell ref="AB160:AD160"/>
    <mergeCell ref="AE160:AG160"/>
    <mergeCell ref="AH160:AJ160"/>
    <mergeCell ref="AK160:AM160"/>
    <mergeCell ref="AN160:AP160"/>
    <mergeCell ref="A159:C159"/>
    <mergeCell ref="D159:F159"/>
    <mergeCell ref="G159:I159"/>
    <mergeCell ref="J159:L159"/>
    <mergeCell ref="M159:O159"/>
    <mergeCell ref="P159:R159"/>
    <mergeCell ref="S159:U159"/>
    <mergeCell ref="V159:X159"/>
    <mergeCell ref="Y159:AA159"/>
    <mergeCell ref="AB161:AD161"/>
    <mergeCell ref="AE161:AG161"/>
    <mergeCell ref="AH161:AJ161"/>
    <mergeCell ref="AK161:AM161"/>
    <mergeCell ref="AN161:AP161"/>
    <mergeCell ref="A162:C162"/>
    <mergeCell ref="D162:F162"/>
    <mergeCell ref="G162:I162"/>
    <mergeCell ref="J162:L162"/>
    <mergeCell ref="M162:O162"/>
    <mergeCell ref="P162:R162"/>
    <mergeCell ref="S162:U162"/>
    <mergeCell ref="V162:X162"/>
    <mergeCell ref="Y162:AA162"/>
    <mergeCell ref="AB162:AD162"/>
    <mergeCell ref="AE162:AG162"/>
    <mergeCell ref="AH162:AJ162"/>
    <mergeCell ref="AK162:AM162"/>
    <mergeCell ref="AN162:AP162"/>
    <mergeCell ref="A161:C161"/>
    <mergeCell ref="D161:F161"/>
    <mergeCell ref="G161:I161"/>
    <mergeCell ref="J161:L161"/>
    <mergeCell ref="M161:O161"/>
    <mergeCell ref="P161:R161"/>
    <mergeCell ref="S161:U161"/>
    <mergeCell ref="V161:X161"/>
    <mergeCell ref="Y161:AA161"/>
    <mergeCell ref="AB163:AD163"/>
    <mergeCell ref="AE163:AG163"/>
    <mergeCell ref="AH163:AJ163"/>
    <mergeCell ref="AK163:AM163"/>
    <mergeCell ref="AN163:AP163"/>
    <mergeCell ref="A164:C164"/>
    <mergeCell ref="D164:F164"/>
    <mergeCell ref="G164:I164"/>
    <mergeCell ref="J164:L164"/>
    <mergeCell ref="M164:O164"/>
    <mergeCell ref="P164:R164"/>
    <mergeCell ref="S164:U164"/>
    <mergeCell ref="V164:X164"/>
    <mergeCell ref="Y164:AA164"/>
    <mergeCell ref="AB164:AD164"/>
    <mergeCell ref="AE164:AG164"/>
    <mergeCell ref="AH164:AJ164"/>
    <mergeCell ref="AK164:AM164"/>
    <mergeCell ref="AN164:AP164"/>
    <mergeCell ref="A163:C163"/>
    <mergeCell ref="D163:F163"/>
    <mergeCell ref="G163:I163"/>
    <mergeCell ref="J163:L163"/>
    <mergeCell ref="M163:O163"/>
    <mergeCell ref="P163:R163"/>
    <mergeCell ref="S163:U163"/>
    <mergeCell ref="V163:X163"/>
    <mergeCell ref="Y163:AA163"/>
    <mergeCell ref="AB165:AD165"/>
    <mergeCell ref="AE165:AG165"/>
    <mergeCell ref="AH165:AJ165"/>
    <mergeCell ref="AK165:AM165"/>
    <mergeCell ref="AN165:AP165"/>
    <mergeCell ref="A166:C166"/>
    <mergeCell ref="D166:F166"/>
    <mergeCell ref="G166:I166"/>
    <mergeCell ref="J166:L166"/>
    <mergeCell ref="M166:O166"/>
    <mergeCell ref="P166:R166"/>
    <mergeCell ref="S166:U166"/>
    <mergeCell ref="V166:X166"/>
    <mergeCell ref="Y166:AA166"/>
    <mergeCell ref="AB166:AD166"/>
    <mergeCell ref="AE166:AG166"/>
    <mergeCell ref="AH166:AJ166"/>
    <mergeCell ref="AK166:AM166"/>
    <mergeCell ref="AN166:AP166"/>
    <mergeCell ref="A165:C165"/>
    <mergeCell ref="D165:F165"/>
    <mergeCell ref="G165:I165"/>
    <mergeCell ref="J165:L165"/>
    <mergeCell ref="M165:O165"/>
    <mergeCell ref="P165:R165"/>
    <mergeCell ref="S165:U165"/>
    <mergeCell ref="V165:X165"/>
    <mergeCell ref="Y165:AA165"/>
    <mergeCell ref="AB167:AD167"/>
    <mergeCell ref="AE167:AG167"/>
    <mergeCell ref="AH167:AJ167"/>
    <mergeCell ref="AK167:AM167"/>
    <mergeCell ref="AN167:AP167"/>
    <mergeCell ref="A168:C168"/>
    <mergeCell ref="D168:F168"/>
    <mergeCell ref="G168:I168"/>
    <mergeCell ref="J168:L168"/>
    <mergeCell ref="M168:O168"/>
    <mergeCell ref="P168:R168"/>
    <mergeCell ref="S168:U168"/>
    <mergeCell ref="V168:X168"/>
    <mergeCell ref="Y168:AA168"/>
    <mergeCell ref="AB168:AD168"/>
    <mergeCell ref="AE168:AG168"/>
    <mergeCell ref="AH168:AJ168"/>
    <mergeCell ref="AK168:AM168"/>
    <mergeCell ref="AN168:AP168"/>
    <mergeCell ref="A167:C167"/>
    <mergeCell ref="D167:F167"/>
    <mergeCell ref="G167:I167"/>
    <mergeCell ref="J167:L167"/>
    <mergeCell ref="M167:O167"/>
    <mergeCell ref="P167:R167"/>
    <mergeCell ref="S167:U167"/>
    <mergeCell ref="V167:X167"/>
    <mergeCell ref="Y167:AA167"/>
    <mergeCell ref="A170:AF170"/>
    <mergeCell ref="K171:N171"/>
    <mergeCell ref="K172:N172"/>
    <mergeCell ref="G174:O174"/>
    <mergeCell ref="P174:X174"/>
    <mergeCell ref="Y174:AG174"/>
    <mergeCell ref="AH174:AP174"/>
    <mergeCell ref="G175:I175"/>
    <mergeCell ref="J175:L175"/>
    <mergeCell ref="M175:O175"/>
    <mergeCell ref="P175:R175"/>
    <mergeCell ref="S175:U175"/>
    <mergeCell ref="V175:X175"/>
    <mergeCell ref="Y175:AA175"/>
    <mergeCell ref="AB175:AD175"/>
    <mergeCell ref="AE175:AG175"/>
    <mergeCell ref="AH175:AJ175"/>
    <mergeCell ref="AK175:AM175"/>
    <mergeCell ref="AN175:AP175"/>
    <mergeCell ref="AB176:AD176"/>
    <mergeCell ref="AE176:AG176"/>
    <mergeCell ref="AH176:AJ176"/>
    <mergeCell ref="AK176:AM176"/>
    <mergeCell ref="AN176:AP176"/>
    <mergeCell ref="A177:C177"/>
    <mergeCell ref="D177:F177"/>
    <mergeCell ref="G177:I177"/>
    <mergeCell ref="J177:L177"/>
    <mergeCell ref="M177:O177"/>
    <mergeCell ref="P177:R177"/>
    <mergeCell ref="S177:U177"/>
    <mergeCell ref="V177:X177"/>
    <mergeCell ref="Y177:AA177"/>
    <mergeCell ref="AB177:AD177"/>
    <mergeCell ref="AE177:AG177"/>
    <mergeCell ref="AH177:AJ177"/>
    <mergeCell ref="AK177:AM177"/>
    <mergeCell ref="AN177:AP177"/>
    <mergeCell ref="A176:C176"/>
    <mergeCell ref="D176:F176"/>
    <mergeCell ref="G176:I176"/>
    <mergeCell ref="J176:L176"/>
    <mergeCell ref="M176:O176"/>
    <mergeCell ref="P176:R176"/>
    <mergeCell ref="S176:U176"/>
    <mergeCell ref="V176:X176"/>
    <mergeCell ref="Y176:AA176"/>
    <mergeCell ref="AB178:AD178"/>
    <mergeCell ref="AE178:AG178"/>
    <mergeCell ref="AH178:AJ178"/>
    <mergeCell ref="AK178:AM178"/>
    <mergeCell ref="AN178:AP178"/>
    <mergeCell ref="A179:C179"/>
    <mergeCell ref="D179:F179"/>
    <mergeCell ref="G179:I179"/>
    <mergeCell ref="J179:L179"/>
    <mergeCell ref="M179:O179"/>
    <mergeCell ref="P179:R179"/>
    <mergeCell ref="S179:U179"/>
    <mergeCell ref="V179:X179"/>
    <mergeCell ref="Y179:AA179"/>
    <mergeCell ref="AB179:AD179"/>
    <mergeCell ref="AE179:AG179"/>
    <mergeCell ref="AH179:AJ179"/>
    <mergeCell ref="AK179:AM179"/>
    <mergeCell ref="AN179:AP179"/>
    <mergeCell ref="A178:C178"/>
    <mergeCell ref="D178:F178"/>
    <mergeCell ref="G178:I178"/>
    <mergeCell ref="J178:L178"/>
    <mergeCell ref="M178:O178"/>
    <mergeCell ref="P178:R178"/>
    <mergeCell ref="S178:U178"/>
    <mergeCell ref="V178:X178"/>
    <mergeCell ref="Y178:AA178"/>
    <mergeCell ref="AB180:AD180"/>
    <mergeCell ref="AE180:AG180"/>
    <mergeCell ref="AH180:AJ180"/>
    <mergeCell ref="AK180:AM180"/>
    <mergeCell ref="AN180:AP180"/>
    <mergeCell ref="A181:C181"/>
    <mergeCell ref="D181:F181"/>
    <mergeCell ref="G181:I181"/>
    <mergeCell ref="J181:L181"/>
    <mergeCell ref="M181:O181"/>
    <mergeCell ref="P181:R181"/>
    <mergeCell ref="S181:U181"/>
    <mergeCell ref="V181:X181"/>
    <mergeCell ref="Y181:AA181"/>
    <mergeCell ref="AB181:AD181"/>
    <mergeCell ref="AE181:AG181"/>
    <mergeCell ref="AH181:AJ181"/>
    <mergeCell ref="AK181:AM181"/>
    <mergeCell ref="AN181:AP181"/>
    <mergeCell ref="A180:C180"/>
    <mergeCell ref="D180:F180"/>
    <mergeCell ref="G180:I180"/>
    <mergeCell ref="J180:L180"/>
    <mergeCell ref="M180:O180"/>
    <mergeCell ref="P180:R180"/>
    <mergeCell ref="S180:U180"/>
    <mergeCell ref="V180:X180"/>
    <mergeCell ref="Y180:AA180"/>
    <mergeCell ref="AB182:AD182"/>
    <mergeCell ref="AE182:AG182"/>
    <mergeCell ref="AH182:AJ182"/>
    <mergeCell ref="AK182:AM182"/>
    <mergeCell ref="AN182:AP182"/>
    <mergeCell ref="A183:C183"/>
    <mergeCell ref="D183:F183"/>
    <mergeCell ref="G183:I183"/>
    <mergeCell ref="J183:L183"/>
    <mergeCell ref="M183:O183"/>
    <mergeCell ref="P183:R183"/>
    <mergeCell ref="S183:U183"/>
    <mergeCell ref="V183:X183"/>
    <mergeCell ref="Y183:AA183"/>
    <mergeCell ref="AB183:AD183"/>
    <mergeCell ref="AE183:AG183"/>
    <mergeCell ref="AH183:AJ183"/>
    <mergeCell ref="AK183:AM183"/>
    <mergeCell ref="AN183:AP183"/>
    <mergeCell ref="A182:C182"/>
    <mergeCell ref="D182:F182"/>
    <mergeCell ref="G182:I182"/>
    <mergeCell ref="J182:L182"/>
    <mergeCell ref="M182:O182"/>
    <mergeCell ref="P182:R182"/>
    <mergeCell ref="S182:U182"/>
    <mergeCell ref="V182:X182"/>
    <mergeCell ref="Y182:AA182"/>
    <mergeCell ref="AB184:AD184"/>
    <mergeCell ref="AE184:AG184"/>
    <mergeCell ref="AH184:AJ184"/>
    <mergeCell ref="AK184:AM184"/>
    <mergeCell ref="AN184:AP184"/>
    <mergeCell ref="A185:C185"/>
    <mergeCell ref="D185:F185"/>
    <mergeCell ref="G185:I185"/>
    <mergeCell ref="J185:L185"/>
    <mergeCell ref="M185:O185"/>
    <mergeCell ref="P185:R185"/>
    <mergeCell ref="S185:U185"/>
    <mergeCell ref="V185:X185"/>
    <mergeCell ref="Y185:AA185"/>
    <mergeCell ref="AB185:AD185"/>
    <mergeCell ref="AE185:AG185"/>
    <mergeCell ref="AH185:AJ185"/>
    <mergeCell ref="AK185:AM185"/>
    <mergeCell ref="AN185:AP185"/>
    <mergeCell ref="A184:C184"/>
    <mergeCell ref="D184:F184"/>
    <mergeCell ref="G184:I184"/>
    <mergeCell ref="J184:L184"/>
    <mergeCell ref="M184:O184"/>
    <mergeCell ref="P184:R184"/>
    <mergeCell ref="S184:U184"/>
    <mergeCell ref="V184:X184"/>
    <mergeCell ref="Y184:AA184"/>
    <mergeCell ref="AB186:AD186"/>
    <mergeCell ref="AE186:AG186"/>
    <mergeCell ref="AH186:AJ186"/>
    <mergeCell ref="AK186:AM186"/>
    <mergeCell ref="AN186:AP186"/>
    <mergeCell ref="A187:C187"/>
    <mergeCell ref="D187:F187"/>
    <mergeCell ref="G187:I187"/>
    <mergeCell ref="J187:L187"/>
    <mergeCell ref="M187:O187"/>
    <mergeCell ref="P187:R187"/>
    <mergeCell ref="S187:U187"/>
    <mergeCell ref="V187:X187"/>
    <mergeCell ref="Y187:AA187"/>
    <mergeCell ref="AB187:AD187"/>
    <mergeCell ref="AE187:AG187"/>
    <mergeCell ref="AH187:AJ187"/>
    <mergeCell ref="AK187:AM187"/>
    <mergeCell ref="AN187:AP187"/>
    <mergeCell ref="A186:C186"/>
    <mergeCell ref="D186:F186"/>
    <mergeCell ref="G186:I186"/>
    <mergeCell ref="J186:L186"/>
    <mergeCell ref="M186:O186"/>
    <mergeCell ref="P186:R186"/>
    <mergeCell ref="S186:U186"/>
    <mergeCell ref="V186:X186"/>
    <mergeCell ref="Y186:AA186"/>
    <mergeCell ref="AB188:AD188"/>
    <mergeCell ref="AE188:AG188"/>
    <mergeCell ref="AH188:AJ188"/>
    <mergeCell ref="AK188:AM188"/>
    <mergeCell ref="AN188:AP188"/>
    <mergeCell ref="A189:C189"/>
    <mergeCell ref="D189:F189"/>
    <mergeCell ref="G189:I189"/>
    <mergeCell ref="J189:L189"/>
    <mergeCell ref="M189:O189"/>
    <mergeCell ref="P189:R189"/>
    <mergeCell ref="S189:U189"/>
    <mergeCell ref="V189:X189"/>
    <mergeCell ref="Y189:AA189"/>
    <mergeCell ref="AB189:AD189"/>
    <mergeCell ref="AE189:AG189"/>
    <mergeCell ref="AH189:AJ189"/>
    <mergeCell ref="AK189:AM189"/>
    <mergeCell ref="AN189:AP189"/>
    <mergeCell ref="A188:C188"/>
    <mergeCell ref="D188:F188"/>
    <mergeCell ref="G188:I188"/>
    <mergeCell ref="J188:L188"/>
    <mergeCell ref="M188:O188"/>
    <mergeCell ref="P188:R188"/>
    <mergeCell ref="S188:U188"/>
    <mergeCell ref="V188:X188"/>
    <mergeCell ref="Y188:AA188"/>
    <mergeCell ref="AB190:AD190"/>
    <mergeCell ref="AE190:AG190"/>
    <mergeCell ref="AH190:AJ190"/>
    <mergeCell ref="AK190:AM190"/>
    <mergeCell ref="AN190:AP190"/>
    <mergeCell ref="A191:C191"/>
    <mergeCell ref="D191:F191"/>
    <mergeCell ref="G191:I191"/>
    <mergeCell ref="J191:L191"/>
    <mergeCell ref="M191:O191"/>
    <mergeCell ref="P191:R191"/>
    <mergeCell ref="S191:U191"/>
    <mergeCell ref="V191:X191"/>
    <mergeCell ref="Y191:AA191"/>
    <mergeCell ref="AB191:AD191"/>
    <mergeCell ref="AE191:AG191"/>
    <mergeCell ref="AH191:AJ191"/>
    <mergeCell ref="AK191:AM191"/>
    <mergeCell ref="AN191:AP191"/>
    <mergeCell ref="A190:C190"/>
    <mergeCell ref="D190:F190"/>
    <mergeCell ref="G190:I190"/>
    <mergeCell ref="J190:L190"/>
    <mergeCell ref="M190:O190"/>
    <mergeCell ref="P190:R190"/>
    <mergeCell ref="S190:U190"/>
    <mergeCell ref="V190:X190"/>
    <mergeCell ref="Y190:AA190"/>
    <mergeCell ref="AB192:AD192"/>
    <mergeCell ref="AE192:AG192"/>
    <mergeCell ref="AH192:AJ192"/>
    <mergeCell ref="AK192:AM192"/>
    <mergeCell ref="AN192:AP192"/>
    <mergeCell ref="A193:C193"/>
    <mergeCell ref="D193:F193"/>
    <mergeCell ref="G193:I193"/>
    <mergeCell ref="J193:L193"/>
    <mergeCell ref="M193:O193"/>
    <mergeCell ref="P193:R193"/>
    <mergeCell ref="S193:U193"/>
    <mergeCell ref="V193:X193"/>
    <mergeCell ref="Y193:AA193"/>
    <mergeCell ref="AB193:AD193"/>
    <mergeCell ref="AE193:AG193"/>
    <mergeCell ref="AH193:AJ193"/>
    <mergeCell ref="AK193:AM193"/>
    <mergeCell ref="AN193:AP193"/>
    <mergeCell ref="A192:C192"/>
    <mergeCell ref="D192:F192"/>
    <mergeCell ref="G192:I192"/>
    <mergeCell ref="J192:L192"/>
    <mergeCell ref="M192:O192"/>
    <mergeCell ref="P192:R192"/>
    <mergeCell ref="S192:U192"/>
    <mergeCell ref="V192:X192"/>
    <mergeCell ref="Y192:AA192"/>
    <mergeCell ref="AB194:AD194"/>
    <mergeCell ref="AE194:AG194"/>
    <mergeCell ref="AH194:AJ194"/>
    <mergeCell ref="AK194:AM194"/>
    <mergeCell ref="AN194:AP194"/>
    <mergeCell ref="A195:C195"/>
    <mergeCell ref="D195:F195"/>
    <mergeCell ref="G195:I195"/>
    <mergeCell ref="J195:L195"/>
    <mergeCell ref="M195:O195"/>
    <mergeCell ref="P195:R195"/>
    <mergeCell ref="S195:U195"/>
    <mergeCell ref="V195:X195"/>
    <mergeCell ref="Y195:AA195"/>
    <mergeCell ref="AB195:AD195"/>
    <mergeCell ref="AE195:AG195"/>
    <mergeCell ref="AH195:AJ195"/>
    <mergeCell ref="AK195:AM195"/>
    <mergeCell ref="AN195:AP195"/>
    <mergeCell ref="A194:C194"/>
    <mergeCell ref="D194:F194"/>
    <mergeCell ref="G194:I194"/>
    <mergeCell ref="J194:L194"/>
    <mergeCell ref="M194:O194"/>
    <mergeCell ref="P194:R194"/>
    <mergeCell ref="S194:U194"/>
    <mergeCell ref="V194:X194"/>
    <mergeCell ref="Y194:AA194"/>
    <mergeCell ref="AB196:AD196"/>
    <mergeCell ref="AE196:AG196"/>
    <mergeCell ref="AH196:AJ196"/>
    <mergeCell ref="AK196:AM196"/>
    <mergeCell ref="AN196:AP196"/>
    <mergeCell ref="A197:C197"/>
    <mergeCell ref="D197:F197"/>
    <mergeCell ref="G197:I197"/>
    <mergeCell ref="J197:L197"/>
    <mergeCell ref="M197:O197"/>
    <mergeCell ref="P197:R197"/>
    <mergeCell ref="S197:U197"/>
    <mergeCell ref="V197:X197"/>
    <mergeCell ref="Y197:AA197"/>
    <mergeCell ref="AB197:AD197"/>
    <mergeCell ref="AE197:AG197"/>
    <mergeCell ref="AH197:AJ197"/>
    <mergeCell ref="AK197:AM197"/>
    <mergeCell ref="AN197:AP197"/>
    <mergeCell ref="A196:C196"/>
    <mergeCell ref="D196:F196"/>
    <mergeCell ref="G196:I196"/>
    <mergeCell ref="J196:L196"/>
    <mergeCell ref="M196:O196"/>
    <mergeCell ref="P196:R196"/>
    <mergeCell ref="S196:U196"/>
    <mergeCell ref="V196:X196"/>
    <mergeCell ref="Y196:AA196"/>
    <mergeCell ref="AB198:AD198"/>
    <mergeCell ref="AE198:AG198"/>
    <mergeCell ref="AH198:AJ198"/>
    <mergeCell ref="AK198:AM198"/>
    <mergeCell ref="AN198:AP198"/>
    <mergeCell ref="A199:C199"/>
    <mergeCell ref="D199:F199"/>
    <mergeCell ref="G199:I199"/>
    <mergeCell ref="J199:L199"/>
    <mergeCell ref="M199:O199"/>
    <mergeCell ref="P199:R199"/>
    <mergeCell ref="S199:U199"/>
    <mergeCell ref="V199:X199"/>
    <mergeCell ref="Y199:AA199"/>
    <mergeCell ref="AB199:AD199"/>
    <mergeCell ref="AE199:AG199"/>
    <mergeCell ref="AH199:AJ199"/>
    <mergeCell ref="AK199:AM199"/>
    <mergeCell ref="AN199:AP199"/>
    <mergeCell ref="A198:C198"/>
    <mergeCell ref="D198:F198"/>
    <mergeCell ref="G198:I198"/>
    <mergeCell ref="J198:L198"/>
    <mergeCell ref="M198:O198"/>
    <mergeCell ref="P198:R198"/>
    <mergeCell ref="S198:U198"/>
    <mergeCell ref="V198:X198"/>
    <mergeCell ref="Y198:AA198"/>
    <mergeCell ref="AB200:AD200"/>
    <mergeCell ref="AE200:AG200"/>
    <mergeCell ref="AH200:AJ200"/>
    <mergeCell ref="AK200:AM200"/>
    <mergeCell ref="AN200:AP200"/>
    <mergeCell ref="A201:C201"/>
    <mergeCell ref="D201:F201"/>
    <mergeCell ref="G201:I201"/>
    <mergeCell ref="J201:L201"/>
    <mergeCell ref="M201:O201"/>
    <mergeCell ref="P201:R201"/>
    <mergeCell ref="S201:U201"/>
    <mergeCell ref="V201:X201"/>
    <mergeCell ref="Y201:AA201"/>
    <mergeCell ref="AB201:AD201"/>
    <mergeCell ref="AE201:AG201"/>
    <mergeCell ref="AH201:AJ201"/>
    <mergeCell ref="AK201:AM201"/>
    <mergeCell ref="AN201:AP201"/>
    <mergeCell ref="A200:C200"/>
    <mergeCell ref="D200:F200"/>
    <mergeCell ref="G200:I200"/>
    <mergeCell ref="J200:L200"/>
    <mergeCell ref="M200:O200"/>
    <mergeCell ref="P200:R200"/>
    <mergeCell ref="S200:U200"/>
    <mergeCell ref="V200:X200"/>
    <mergeCell ref="Y200:AA200"/>
    <mergeCell ref="Y132:AA132"/>
    <mergeCell ref="Y133:AA133"/>
    <mergeCell ref="Y134:AA134"/>
    <mergeCell ref="Y135:AA135"/>
    <mergeCell ref="Y111:AA111"/>
    <mergeCell ref="Y112:AA112"/>
    <mergeCell ref="Y113:AA113"/>
    <mergeCell ref="Y114:AA114"/>
    <mergeCell ref="Y115:AA115"/>
    <mergeCell ref="Y116:AA116"/>
    <mergeCell ref="Y117:AA117"/>
    <mergeCell ref="Y118:AA118"/>
    <mergeCell ref="Y119:AA119"/>
    <mergeCell ref="Y120:AA120"/>
    <mergeCell ref="Y121:AA121"/>
    <mergeCell ref="Y122:AA122"/>
    <mergeCell ref="Y123:AA123"/>
    <mergeCell ref="Y124:AA124"/>
    <mergeCell ref="Y125:AA125"/>
    <mergeCell ref="Y126:AA126"/>
    <mergeCell ref="Y127:AA127"/>
    <mergeCell ref="Y128:AA128"/>
    <mergeCell ref="Y129:AA129"/>
    <mergeCell ref="Y130:AA130"/>
    <mergeCell ref="Y131:AA131"/>
  </mergeCells>
  <hyperlinks>
    <hyperlink ref="A2" location="TOC!A1" display="Return to TOC" xr:uid="{00000000-0004-0000-0800-000000000000}"/>
    <hyperlink ref="C86:P86" location="'R_HVAC_Window AC'!A1" display="R_HVAC_Window AC" xr:uid="{00000000-0004-0000-0800-000001000000}"/>
    <hyperlink ref="C88:P88" location="'R_HVAC_Central AC Retrofit'!A1" display="R_HVAC_Central AC Retrofit" xr:uid="{00000000-0004-0000-0800-000002000000}"/>
    <hyperlink ref="C89:P89" location="R_Light_LED!A1" display="R_Light_LED" xr:uid="{00000000-0004-0000-0800-000003000000}"/>
    <hyperlink ref="C90:P90" location="'R_Light_Occupancy Sensor'!A1" display="R_Light_Occupancy Sensor" xr:uid="{00000000-0004-0000-0800-000004000000}"/>
    <hyperlink ref="C91:P91" location="'R_Light_Security Light'!A1" display="R_Light_Security Light" xr:uid="{00000000-0004-0000-0800-000005000000}"/>
    <hyperlink ref="C92:P92" location="'R_WH_Faucet Aerator'!A1" display="R_WH_Faucet Aerator" xr:uid="{00000000-0004-0000-0800-000006000000}"/>
    <hyperlink ref="C93:P93" location="R_WH_LFShowerhead!A1" display="R_WH_LFShowerhead" xr:uid="{00000000-0004-0000-0800-000007000000}"/>
    <hyperlink ref="C94:P94" location="R_Appliance_Refrigerator!A1" display="R_Appliance_Refrigerator" xr:uid="{00000000-0004-0000-0800-000008000000}"/>
    <hyperlink ref="S86:AF86" location="'C_HVAC_Window AC'!A1" display="C_HVAC_Window AC" xr:uid="{00000000-0004-0000-0800-000009000000}"/>
    <hyperlink ref="S88:AF88" location="C_Light_General!A1" display="C_Light_General" xr:uid="{00000000-0004-0000-0800-00000A000000}"/>
    <hyperlink ref="S95:AF95" location="'C_Lighting_Refrigerated Case'!A1" display="C_Lighting_Refrigerated Case" xr:uid="{00000000-0004-0000-0800-00000B000000}"/>
    <hyperlink ref="S94:AF94" location="'C_Light_Dimmable(Nonlinear LED)'!A1" display="C_Light_Dimmable(Nonlinear LED)" xr:uid="{00000000-0004-0000-0800-00000C000000}"/>
    <hyperlink ref="S93:AF93" location="'C_Light_Energy Advantage'!A1" display="C_Light_Energy Advantage**" xr:uid="{00000000-0004-0000-0800-00000D000000}"/>
    <hyperlink ref="S92:AF92" location="'C_Light_Downlight Retrofit'!A1" display="C_Light_Downlight Retrofit" xr:uid="{00000000-0004-0000-0800-00000E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243:A245 AF59 AF70" numberStoredAsText="1"/>
  </ignoredError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4">
    <tabColor theme="8" tint="0.79998168889431442"/>
    <pageSetUpPr autoPageBreaks="0"/>
  </sheetPr>
  <dimension ref="A1:BQ137"/>
  <sheetViews>
    <sheetView workbookViewId="0">
      <selection activeCell="A2" sqref="A2"/>
    </sheetView>
  </sheetViews>
  <sheetFormatPr defaultColWidth="2.6640625" defaultRowHeight="14.4" x14ac:dyDescent="0.3"/>
  <cols>
    <col min="1" max="41" width="2.6640625" style="1"/>
    <col min="42" max="42" width="2.6640625" style="1" customWidth="1"/>
    <col min="43" max="16384" width="2.6640625" style="1"/>
  </cols>
  <sheetData>
    <row r="1" spans="1:39" ht="18.600000000000001" thickBot="1" x14ac:dyDescent="0.35">
      <c r="A1" s="979" t="s">
        <v>908</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9" s="121" customFormat="1" ht="14.4" customHeight="1" x14ac:dyDescent="0.3">
      <c r="A2" s="228"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9"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9"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9" customFormat="1" ht="29.25" customHeight="1" x14ac:dyDescent="0.3">
      <c r="A5" s="121"/>
      <c r="B5" s="1258" t="s">
        <v>4548</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9" customFormat="1" ht="14.4" customHeight="1" x14ac:dyDescent="0.3">
      <c r="A6" s="228"/>
    </row>
    <row r="7" spans="1:39"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9"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9" x14ac:dyDescent="0.3">
      <c r="B9" s="1144" t="s">
        <v>3</v>
      </c>
      <c r="C9" s="1144"/>
      <c r="D9" s="1144"/>
      <c r="E9" s="1144"/>
      <c r="F9" s="1144"/>
      <c r="G9" s="1144"/>
      <c r="H9" s="1144"/>
      <c r="I9" s="1144"/>
    </row>
    <row r="10" spans="1:39" s="4" customFormat="1" ht="78" customHeight="1" x14ac:dyDescent="0.3">
      <c r="B10" s="863" t="s">
        <v>2189</v>
      </c>
      <c r="C10" s="863"/>
      <c r="D10" s="863"/>
      <c r="E10" s="863"/>
      <c r="F10" s="863"/>
      <c r="G10" s="863"/>
      <c r="H10" s="863"/>
      <c r="I10" s="863"/>
      <c r="J10" s="863"/>
      <c r="K10" s="863"/>
      <c r="L10" s="863"/>
      <c r="M10" s="863"/>
      <c r="N10" s="863"/>
      <c r="O10" s="863"/>
      <c r="P10" s="863"/>
      <c r="Q10" s="863"/>
      <c r="R10" s="863"/>
      <c r="S10" s="863"/>
      <c r="T10" s="863"/>
      <c r="U10" s="863"/>
      <c r="V10" s="863"/>
      <c r="W10" s="863"/>
      <c r="X10" s="863"/>
      <c r="Y10" s="863"/>
      <c r="Z10" s="863"/>
      <c r="AA10" s="863"/>
      <c r="AB10" s="863"/>
      <c r="AC10" s="863"/>
      <c r="AD10" s="863"/>
      <c r="AE10" s="863"/>
      <c r="AF10" s="863"/>
    </row>
    <row r="12" spans="1:39" x14ac:dyDescent="0.3">
      <c r="B12" s="1144" t="s">
        <v>4</v>
      </c>
      <c r="C12" s="1144"/>
      <c r="D12" s="1144"/>
      <c r="E12" s="1144"/>
      <c r="F12" s="1144"/>
      <c r="G12" s="1144"/>
      <c r="H12" s="1144"/>
      <c r="I12" s="1144"/>
    </row>
    <row r="13" spans="1:39" x14ac:dyDescent="0.3">
      <c r="B13" s="872" t="s">
        <v>1515</v>
      </c>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row>
    <row r="14" spans="1:39" x14ac:dyDescent="0.3">
      <c r="B14" s="121" t="s">
        <v>2182</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row>
    <row r="15" spans="1:39" x14ac:dyDescent="0.3">
      <c r="B15" s="872" t="s">
        <v>2181</v>
      </c>
      <c r="C15" s="872"/>
      <c r="D15" s="872"/>
      <c r="E15" s="872"/>
      <c r="F15" s="872"/>
      <c r="G15" s="872"/>
      <c r="H15" s="872"/>
      <c r="I15" s="872"/>
      <c r="J15" s="872"/>
      <c r="K15" s="872"/>
      <c r="L15" s="872"/>
      <c r="M15" s="872"/>
      <c r="N15" s="872"/>
      <c r="O15" s="872"/>
      <c r="P15" s="872"/>
      <c r="Q15" s="872"/>
      <c r="R15" s="872"/>
      <c r="S15" s="872"/>
      <c r="T15" s="872"/>
      <c r="U15" s="872"/>
      <c r="V15" s="872"/>
      <c r="W15" s="872"/>
      <c r="X15" s="872"/>
      <c r="Y15" s="872"/>
      <c r="Z15" s="872"/>
      <c r="AA15" s="872"/>
      <c r="AB15" s="872"/>
      <c r="AC15" s="872"/>
      <c r="AD15" s="872"/>
      <c r="AE15" s="872"/>
      <c r="AF15" s="872"/>
    </row>
    <row r="16" spans="1:39" x14ac:dyDescent="0.3">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M16" s="121"/>
    </row>
    <row r="17" spans="1:69" x14ac:dyDescent="0.3">
      <c r="B17" s="1144" t="s">
        <v>5</v>
      </c>
      <c r="C17" s="1144"/>
      <c r="D17" s="1144"/>
      <c r="E17" s="1144"/>
      <c r="F17" s="1144"/>
      <c r="G17" s="1144"/>
      <c r="H17" s="1144"/>
      <c r="I17" s="1144"/>
    </row>
    <row r="18" spans="1:69" x14ac:dyDescent="0.3">
      <c r="B18" s="1142" t="s">
        <v>3078</v>
      </c>
      <c r="C18" s="1142"/>
      <c r="D18" s="1142"/>
      <c r="E18" s="1142"/>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row>
    <row r="20" spans="1:69" x14ac:dyDescent="0.3">
      <c r="B20" s="1144" t="s">
        <v>6</v>
      </c>
      <c r="C20" s="1144"/>
      <c r="D20" s="1144"/>
      <c r="E20" s="1144"/>
      <c r="F20" s="1144"/>
      <c r="G20" s="1144"/>
      <c r="H20" s="1144"/>
      <c r="I20" s="1144"/>
    </row>
    <row r="21" spans="1:69" s="4" customFormat="1" ht="103.5" customHeight="1" x14ac:dyDescent="0.3">
      <c r="B21" s="889" t="s">
        <v>4564</v>
      </c>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row>
    <row r="22" spans="1:69" s="4" customFormat="1" x14ac:dyDescent="0.3">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row>
    <row r="23" spans="1:69" s="4" customFormat="1" ht="75" customHeight="1" x14ac:dyDescent="0.3">
      <c r="B23" s="889" t="s">
        <v>4565</v>
      </c>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row>
    <row r="24" spans="1:69" s="4" customFormat="1" x14ac:dyDescent="0.3">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row>
    <row r="25" spans="1:69" x14ac:dyDescent="0.3">
      <c r="B25" s="51" t="s">
        <v>13</v>
      </c>
      <c r="C25" s="51"/>
      <c r="D25" s="51"/>
      <c r="E25" s="51"/>
      <c r="F25" s="51"/>
      <c r="G25" s="51"/>
      <c r="H25" s="51"/>
      <c r="I25" s="51"/>
    </row>
    <row r="26" spans="1:69" ht="32.25" customHeight="1" x14ac:dyDescent="0.3">
      <c r="B26" s="872" t="s">
        <v>2183</v>
      </c>
      <c r="C26" s="1142"/>
      <c r="D26" s="1142"/>
      <c r="E26" s="1142"/>
      <c r="F26" s="1142"/>
      <c r="G26" s="1142"/>
      <c r="H26" s="1142"/>
      <c r="I26" s="1142"/>
      <c r="J26" s="1142"/>
      <c r="K26" s="1142"/>
      <c r="L26" s="1142"/>
      <c r="M26" s="1142"/>
      <c r="N26" s="1142"/>
      <c r="O26" s="1142"/>
      <c r="P26" s="1142"/>
      <c r="Q26" s="1142"/>
      <c r="R26" s="1142"/>
      <c r="S26" s="1142"/>
      <c r="T26" s="1142"/>
      <c r="U26" s="1142"/>
      <c r="V26" s="1142"/>
      <c r="W26" s="1142"/>
      <c r="X26" s="1142"/>
      <c r="Y26" s="1142"/>
      <c r="Z26" s="1142"/>
      <c r="AA26" s="1142"/>
      <c r="AB26" s="1142"/>
      <c r="AC26" s="1142"/>
      <c r="AD26" s="1142"/>
      <c r="AE26" s="1142"/>
      <c r="AF26" s="1142"/>
    </row>
    <row r="28" spans="1:69" x14ac:dyDescent="0.3">
      <c r="A28" s="1141" t="s">
        <v>7</v>
      </c>
      <c r="B28" s="1141"/>
      <c r="C28" s="1141"/>
      <c r="D28" s="1141"/>
      <c r="E28" s="1141"/>
      <c r="F28" s="1141"/>
      <c r="G28" s="1141"/>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row>
    <row r="29" spans="1:69" x14ac:dyDescent="0.3">
      <c r="AM29" s="51"/>
    </row>
    <row r="30" spans="1:69" x14ac:dyDescent="0.3">
      <c r="B30" s="231" t="s">
        <v>2135</v>
      </c>
    </row>
    <row r="31" spans="1:69" x14ac:dyDescent="0.3">
      <c r="BQ31" s="71"/>
    </row>
    <row r="32" spans="1:69" x14ac:dyDescent="0.3">
      <c r="AF32" s="71" t="s">
        <v>1463</v>
      </c>
    </row>
    <row r="33" spans="2:69" x14ac:dyDescent="0.3">
      <c r="AF33" s="71"/>
      <c r="AM33" s="51"/>
      <c r="AS33" s="71"/>
    </row>
    <row r="34" spans="2:69" x14ac:dyDescent="0.3">
      <c r="B34" s="231" t="s">
        <v>2136</v>
      </c>
      <c r="AM34" s="51"/>
      <c r="AS34" s="71"/>
    </row>
    <row r="35" spans="2:69" x14ac:dyDescent="0.3">
      <c r="AM35" s="51"/>
      <c r="AS35" s="71"/>
      <c r="BQ35" s="71"/>
    </row>
    <row r="36" spans="2:69" x14ac:dyDescent="0.3">
      <c r="AF36" s="71" t="s">
        <v>1464</v>
      </c>
      <c r="AM36" s="51"/>
      <c r="AS36" s="71"/>
    </row>
    <row r="37" spans="2:69" x14ac:dyDescent="0.3">
      <c r="AF37" s="71"/>
      <c r="AM37" s="51"/>
      <c r="AS37" s="71"/>
    </row>
    <row r="38" spans="2:69" x14ac:dyDescent="0.3">
      <c r="B38" s="51" t="s">
        <v>2025</v>
      </c>
      <c r="AM38" s="51"/>
      <c r="AS38" s="71"/>
    </row>
    <row r="40" spans="2:69" x14ac:dyDescent="0.3">
      <c r="AF40" s="71" t="s">
        <v>1465</v>
      </c>
    </row>
    <row r="42" spans="2:69" x14ac:dyDescent="0.3">
      <c r="B42" s="51" t="s">
        <v>2026</v>
      </c>
    </row>
    <row r="44" spans="2:69" x14ac:dyDescent="0.3">
      <c r="AF44" s="71" t="s">
        <v>1517</v>
      </c>
    </row>
    <row r="45" spans="2:69" x14ac:dyDescent="0.3">
      <c r="AF45" s="71"/>
    </row>
    <row r="46" spans="2:69" x14ac:dyDescent="0.3">
      <c r="B46" s="267" t="s">
        <v>4553</v>
      </c>
      <c r="AF46" s="71"/>
    </row>
    <row r="47" spans="2:69" x14ac:dyDescent="0.3">
      <c r="AF47" s="71"/>
    </row>
    <row r="48" spans="2:69" x14ac:dyDescent="0.3">
      <c r="AF48" s="71" t="s">
        <v>1556</v>
      </c>
    </row>
    <row r="49" spans="1:68" x14ac:dyDescent="0.3">
      <c r="AF49" s="71"/>
    </row>
    <row r="50" spans="1:68" x14ac:dyDescent="0.3">
      <c r="B50" s="267" t="s">
        <v>4554</v>
      </c>
      <c r="AF50" s="71"/>
    </row>
    <row r="51" spans="1:68" x14ac:dyDescent="0.3">
      <c r="AF51" s="71"/>
    </row>
    <row r="52" spans="1:68" x14ac:dyDescent="0.3">
      <c r="AF52" s="71" t="s">
        <v>1558</v>
      </c>
    </row>
    <row r="53" spans="1:68" x14ac:dyDescent="0.3">
      <c r="AF53" s="71"/>
    </row>
    <row r="54" spans="1:68" x14ac:dyDescent="0.3">
      <c r="B54" s="51" t="s">
        <v>2897</v>
      </c>
      <c r="AF54" s="71"/>
    </row>
    <row r="55" spans="1:68" x14ac:dyDescent="0.3">
      <c r="AF55" s="71"/>
      <c r="AL55" s="51"/>
      <c r="BP55" s="71"/>
    </row>
    <row r="56" spans="1:68" x14ac:dyDescent="0.3">
      <c r="AF56" s="71" t="s">
        <v>1607</v>
      </c>
      <c r="AL56" s="51"/>
      <c r="BP56" s="71"/>
    </row>
    <row r="57" spans="1:68" x14ac:dyDescent="0.3">
      <c r="AF57" s="71"/>
      <c r="AL57" s="51"/>
      <c r="BP57" s="71"/>
    </row>
    <row r="58" spans="1:68" x14ac:dyDescent="0.3">
      <c r="AF58" s="71" t="s">
        <v>1608</v>
      </c>
      <c r="BP58" s="71"/>
    </row>
    <row r="60" spans="1:68" x14ac:dyDescent="0.3">
      <c r="A60" s="1141" t="s">
        <v>8</v>
      </c>
      <c r="B60" s="1141"/>
      <c r="C60" s="1141"/>
      <c r="D60" s="1141"/>
      <c r="E60" s="1141"/>
      <c r="F60" s="1141"/>
      <c r="G60" s="1141"/>
      <c r="H60" s="1141"/>
      <c r="I60" s="1141"/>
      <c r="J60" s="1141"/>
      <c r="K60" s="1141"/>
      <c r="L60" s="1141"/>
      <c r="M60" s="1141"/>
      <c r="N60" s="1141"/>
      <c r="O60" s="1141"/>
      <c r="P60" s="1141"/>
      <c r="Q60" s="1141"/>
      <c r="R60" s="1141"/>
      <c r="S60" s="1141"/>
      <c r="T60" s="1141"/>
      <c r="U60" s="1141"/>
      <c r="V60" s="1141"/>
      <c r="W60" s="1141"/>
      <c r="X60" s="1141"/>
      <c r="Y60" s="1141"/>
      <c r="Z60" s="1141"/>
      <c r="AA60" s="1141"/>
      <c r="AB60" s="1141"/>
      <c r="AC60" s="1141"/>
      <c r="AD60" s="1141"/>
      <c r="AE60" s="1141"/>
      <c r="AF60" s="1141"/>
    </row>
    <row r="61" spans="1:68" x14ac:dyDescent="0.3">
      <c r="A61" s="1143" t="s">
        <v>9</v>
      </c>
      <c r="B61" s="1143"/>
      <c r="C61" s="1143"/>
      <c r="D61" s="1143"/>
      <c r="E61" s="1143" t="s">
        <v>3</v>
      </c>
      <c r="F61" s="1143"/>
      <c r="G61" s="1143"/>
      <c r="H61" s="1143"/>
      <c r="I61" s="1143"/>
      <c r="J61" s="1143"/>
      <c r="K61" s="1143"/>
      <c r="L61" s="1143"/>
      <c r="M61" s="1143"/>
      <c r="N61" s="1143"/>
      <c r="O61" s="1143"/>
      <c r="P61" s="1143"/>
      <c r="Q61" s="1143" t="s">
        <v>10</v>
      </c>
      <c r="R61" s="1143"/>
      <c r="S61" s="1143"/>
      <c r="T61" s="1143"/>
      <c r="U61" s="1259" t="s">
        <v>11</v>
      </c>
      <c r="V61" s="1260"/>
      <c r="W61" s="1421"/>
      <c r="X61" s="1259" t="s">
        <v>1466</v>
      </c>
      <c r="Y61" s="1260"/>
      <c r="Z61" s="1260"/>
      <c r="AA61" s="1260"/>
      <c r="AB61" s="1260"/>
      <c r="AC61" s="1260"/>
      <c r="AD61" s="1260"/>
      <c r="AE61" s="1260"/>
      <c r="AF61" s="1421"/>
    </row>
    <row r="62" spans="1:68" ht="28.95" customHeight="1" x14ac:dyDescent="0.3">
      <c r="A62" s="1154" t="s">
        <v>2185</v>
      </c>
      <c r="B62" s="1155" t="s">
        <v>272</v>
      </c>
      <c r="C62" s="1155" t="s">
        <v>272</v>
      </c>
      <c r="D62" s="1156" t="s">
        <v>272</v>
      </c>
      <c r="E62" s="1154" t="s">
        <v>2186</v>
      </c>
      <c r="F62" s="1155" t="s">
        <v>517</v>
      </c>
      <c r="G62" s="1155" t="s">
        <v>517</v>
      </c>
      <c r="H62" s="1155" t="s">
        <v>517</v>
      </c>
      <c r="I62" s="1155" t="s">
        <v>517</v>
      </c>
      <c r="J62" s="1155" t="s">
        <v>517</v>
      </c>
      <c r="K62" s="1155" t="s">
        <v>517</v>
      </c>
      <c r="L62" s="1155" t="s">
        <v>517</v>
      </c>
      <c r="M62" s="1155" t="s">
        <v>517</v>
      </c>
      <c r="N62" s="1155" t="s">
        <v>517</v>
      </c>
      <c r="O62" s="1155" t="s">
        <v>517</v>
      </c>
      <c r="P62" s="1156" t="s">
        <v>517</v>
      </c>
      <c r="Q62" s="2137">
        <f>2*R_Light_LED!$L$86</f>
        <v>8.5999999999999993E-2</v>
      </c>
      <c r="R62" s="2138" t="s">
        <v>229</v>
      </c>
      <c r="S62" s="2138" t="s">
        <v>229</v>
      </c>
      <c r="T62" s="2139" t="s">
        <v>229</v>
      </c>
      <c r="U62" s="1243" t="s">
        <v>18</v>
      </c>
      <c r="V62" s="1244"/>
      <c r="W62" s="1245"/>
      <c r="X62" s="1148" t="s">
        <v>1579</v>
      </c>
      <c r="Y62" s="1149"/>
      <c r="Z62" s="1149"/>
      <c r="AA62" s="1149"/>
      <c r="AB62" s="1149"/>
      <c r="AC62" s="1149"/>
      <c r="AD62" s="1149"/>
      <c r="AE62" s="1149"/>
      <c r="AF62" s="1150"/>
    </row>
    <row r="63" spans="1:68" ht="47.25" customHeight="1" x14ac:dyDescent="0.3">
      <c r="A63" s="1154" t="s">
        <v>2188</v>
      </c>
      <c r="B63" s="1155" t="s">
        <v>272</v>
      </c>
      <c r="C63" s="1155" t="s">
        <v>272</v>
      </c>
      <c r="D63" s="1156" t="s">
        <v>272</v>
      </c>
      <c r="E63" s="1148" t="s">
        <v>2187</v>
      </c>
      <c r="F63" s="1149"/>
      <c r="G63" s="1149"/>
      <c r="H63" s="1149"/>
      <c r="I63" s="1149"/>
      <c r="J63" s="1149"/>
      <c r="K63" s="1149"/>
      <c r="L63" s="1149"/>
      <c r="M63" s="1149"/>
      <c r="N63" s="1149"/>
      <c r="O63" s="1149"/>
      <c r="P63" s="1150"/>
      <c r="Q63" s="2140">
        <f>2*R_Light_LED!$Q$86</f>
        <v>0.04</v>
      </c>
      <c r="R63" s="2141" t="s">
        <v>229</v>
      </c>
      <c r="S63" s="2141" t="s">
        <v>229</v>
      </c>
      <c r="T63" s="2142" t="s">
        <v>229</v>
      </c>
      <c r="U63" s="1352" t="s">
        <v>18</v>
      </c>
      <c r="V63" s="1353"/>
      <c r="W63" s="1354"/>
      <c r="X63" s="1163" t="s">
        <v>4549</v>
      </c>
      <c r="Y63" s="1164"/>
      <c r="Z63" s="1164"/>
      <c r="AA63" s="1164"/>
      <c r="AB63" s="1164"/>
      <c r="AC63" s="1164"/>
      <c r="AD63" s="1164"/>
      <c r="AE63" s="1164"/>
      <c r="AF63" s="1165"/>
    </row>
    <row r="64" spans="1:68" ht="47.25" customHeight="1" x14ac:dyDescent="0.3">
      <c r="A64" s="1154" t="s">
        <v>264</v>
      </c>
      <c r="B64" s="1155"/>
      <c r="C64" s="1155"/>
      <c r="D64" s="1156"/>
      <c r="E64" s="1148" t="s">
        <v>2190</v>
      </c>
      <c r="F64" s="1149"/>
      <c r="G64" s="1149"/>
      <c r="H64" s="1149"/>
      <c r="I64" s="1149"/>
      <c r="J64" s="1149"/>
      <c r="K64" s="1149"/>
      <c r="L64" s="1149"/>
      <c r="M64" s="1149"/>
      <c r="N64" s="1149"/>
      <c r="O64" s="1149"/>
      <c r="P64" s="1150"/>
      <c r="Q64" s="1330">
        <v>0.3</v>
      </c>
      <c r="R64" s="1331"/>
      <c r="S64" s="1331"/>
      <c r="T64" s="1332"/>
      <c r="U64" s="1365" t="s">
        <v>20</v>
      </c>
      <c r="V64" s="1353"/>
      <c r="W64" s="1354"/>
      <c r="X64" s="1385" t="s">
        <v>2191</v>
      </c>
      <c r="Y64" s="1385"/>
      <c r="Z64" s="1385"/>
      <c r="AA64" s="1385"/>
      <c r="AB64" s="1385"/>
      <c r="AC64" s="1385"/>
      <c r="AD64" s="1385"/>
      <c r="AE64" s="1385"/>
      <c r="AF64" s="1385"/>
    </row>
    <row r="65" spans="1:32" ht="32.1" customHeight="1" x14ac:dyDescent="0.3">
      <c r="A65" s="1154" t="s">
        <v>1522</v>
      </c>
      <c r="B65" s="1155"/>
      <c r="C65" s="1155"/>
      <c r="D65" s="1156"/>
      <c r="E65" s="1148" t="s">
        <v>1845</v>
      </c>
      <c r="F65" s="1149"/>
      <c r="G65" s="1149"/>
      <c r="H65" s="1149"/>
      <c r="I65" s="1149"/>
      <c r="J65" s="1149"/>
      <c r="K65" s="1149"/>
      <c r="L65" s="1149"/>
      <c r="M65" s="1149"/>
      <c r="N65" s="1149"/>
      <c r="O65" s="1149"/>
      <c r="P65" s="1150"/>
      <c r="Q65" s="1330">
        <f>R_Light_LED!$Q$67</f>
        <v>0.97</v>
      </c>
      <c r="R65" s="1331"/>
      <c r="S65" s="1331"/>
      <c r="T65" s="1332"/>
      <c r="U65" s="1365" t="s">
        <v>20</v>
      </c>
      <c r="V65" s="1353"/>
      <c r="W65" s="1354"/>
      <c r="X65" s="1385" t="s">
        <v>1518</v>
      </c>
      <c r="Y65" s="1385"/>
      <c r="Z65" s="1385"/>
      <c r="AA65" s="1385"/>
      <c r="AB65" s="1385"/>
      <c r="AC65" s="1385"/>
      <c r="AD65" s="1385"/>
      <c r="AE65" s="1385"/>
      <c r="AF65" s="1385"/>
    </row>
    <row r="66" spans="1:32" ht="50.1" customHeight="1" x14ac:dyDescent="0.3">
      <c r="A66" s="1154" t="s">
        <v>443</v>
      </c>
      <c r="B66" s="1155" t="s">
        <v>443</v>
      </c>
      <c r="C66" s="1155" t="s">
        <v>443</v>
      </c>
      <c r="D66" s="1156" t="s">
        <v>443</v>
      </c>
      <c r="E66" s="1148" t="s">
        <v>1460</v>
      </c>
      <c r="F66" s="1149" t="s">
        <v>444</v>
      </c>
      <c r="G66" s="1149" t="s">
        <v>444</v>
      </c>
      <c r="H66" s="1149" t="s">
        <v>444</v>
      </c>
      <c r="I66" s="1149" t="s">
        <v>444</v>
      </c>
      <c r="J66" s="1149" t="s">
        <v>444</v>
      </c>
      <c r="K66" s="1149" t="s">
        <v>444</v>
      </c>
      <c r="L66" s="1149" t="s">
        <v>444</v>
      </c>
      <c r="M66" s="1149" t="s">
        <v>444</v>
      </c>
      <c r="N66" s="1149" t="s">
        <v>444</v>
      </c>
      <c r="O66" s="1149" t="s">
        <v>444</v>
      </c>
      <c r="P66" s="1150" t="s">
        <v>444</v>
      </c>
      <c r="Q66" s="1166">
        <f>R_Light_LED!$G$95</f>
        <v>0.16</v>
      </c>
      <c r="R66" s="1167">
        <v>0.12</v>
      </c>
      <c r="S66" s="1167">
        <v>0.12</v>
      </c>
      <c r="T66" s="1168">
        <v>0.12</v>
      </c>
      <c r="U66" s="1166" t="s">
        <v>20</v>
      </c>
      <c r="V66" s="1167"/>
      <c r="W66" s="1168"/>
      <c r="X66" s="1385" t="s">
        <v>4568</v>
      </c>
      <c r="Y66" s="1385"/>
      <c r="Z66" s="1385"/>
      <c r="AA66" s="1385"/>
      <c r="AB66" s="1385"/>
      <c r="AC66" s="1385"/>
      <c r="AD66" s="1385"/>
      <c r="AE66" s="1385"/>
      <c r="AF66" s="1385"/>
    </row>
    <row r="67" spans="1:32" ht="45" customHeight="1" x14ac:dyDescent="0.3">
      <c r="A67" s="1154" t="s">
        <v>1524</v>
      </c>
      <c r="B67" s="1155"/>
      <c r="C67" s="1155"/>
      <c r="D67" s="1156"/>
      <c r="E67" s="1148" t="s">
        <v>1525</v>
      </c>
      <c r="F67" s="1149"/>
      <c r="G67" s="1149"/>
      <c r="H67" s="1149"/>
      <c r="I67" s="1149"/>
      <c r="J67" s="1149"/>
      <c r="K67" s="1149"/>
      <c r="L67" s="1149"/>
      <c r="M67" s="1149"/>
      <c r="N67" s="1149"/>
      <c r="O67" s="1149"/>
      <c r="P67" s="1150"/>
      <c r="Q67" s="1166">
        <f>R_Light_LED!Q95</f>
        <v>2.2999999999999998</v>
      </c>
      <c r="R67" s="1167">
        <v>0.12</v>
      </c>
      <c r="S67" s="1167">
        <v>0.12</v>
      </c>
      <c r="T67" s="1168">
        <v>0.12</v>
      </c>
      <c r="U67" s="1365" t="s">
        <v>1598</v>
      </c>
      <c r="V67" s="1353"/>
      <c r="W67" s="1354"/>
      <c r="X67" s="1385" t="s">
        <v>2192</v>
      </c>
      <c r="Y67" s="1385"/>
      <c r="Z67" s="1385"/>
      <c r="AA67" s="1385"/>
      <c r="AB67" s="1385"/>
      <c r="AC67" s="1385"/>
      <c r="AD67" s="1385"/>
      <c r="AE67" s="1385"/>
      <c r="AF67" s="1385"/>
    </row>
    <row r="68" spans="1:32" ht="45" customHeight="1" x14ac:dyDescent="0.3">
      <c r="A68" s="1154" t="s">
        <v>1958</v>
      </c>
      <c r="B68" s="1155"/>
      <c r="C68" s="1155"/>
      <c r="D68" s="1156"/>
      <c r="E68" s="2183" t="s">
        <v>2898</v>
      </c>
      <c r="F68" s="1149"/>
      <c r="G68" s="1149"/>
      <c r="H68" s="1149"/>
      <c r="I68" s="1149"/>
      <c r="J68" s="1149"/>
      <c r="K68" s="1149"/>
      <c r="L68" s="1149"/>
      <c r="M68" s="1149"/>
      <c r="N68" s="1149"/>
      <c r="O68" s="1149"/>
      <c r="P68" s="1150"/>
      <c r="Q68" s="1166" t="s">
        <v>1905</v>
      </c>
      <c r="R68" s="1167"/>
      <c r="S68" s="1167"/>
      <c r="T68" s="1168"/>
      <c r="U68" s="1166" t="s">
        <v>20</v>
      </c>
      <c r="V68" s="1167"/>
      <c r="W68" s="1168"/>
      <c r="X68" s="1385" t="s">
        <v>2900</v>
      </c>
      <c r="Y68" s="1385"/>
      <c r="Z68" s="1385"/>
      <c r="AA68" s="1385"/>
      <c r="AB68" s="1385"/>
      <c r="AC68" s="1385"/>
      <c r="AD68" s="1385"/>
      <c r="AE68" s="1385"/>
      <c r="AF68" s="1385"/>
    </row>
    <row r="69" spans="1:32" ht="45" customHeight="1" x14ac:dyDescent="0.3">
      <c r="A69" s="1154" t="s">
        <v>1959</v>
      </c>
      <c r="B69" s="1155"/>
      <c r="C69" s="1155"/>
      <c r="D69" s="1156"/>
      <c r="E69" s="2183" t="s">
        <v>2899</v>
      </c>
      <c r="F69" s="1149"/>
      <c r="G69" s="1149"/>
      <c r="H69" s="1149"/>
      <c r="I69" s="1149"/>
      <c r="J69" s="1149"/>
      <c r="K69" s="1149"/>
      <c r="L69" s="1149"/>
      <c r="M69" s="1149"/>
      <c r="N69" s="1149"/>
      <c r="O69" s="1149"/>
      <c r="P69" s="1150"/>
      <c r="Q69" s="1166" t="s">
        <v>1905</v>
      </c>
      <c r="R69" s="1167"/>
      <c r="S69" s="1167"/>
      <c r="T69" s="1168"/>
      <c r="U69" s="1166" t="s">
        <v>20</v>
      </c>
      <c r="V69" s="1167"/>
      <c r="W69" s="1168"/>
      <c r="X69" s="1385" t="s">
        <v>2901</v>
      </c>
      <c r="Y69" s="1385"/>
      <c r="Z69" s="1385"/>
      <c r="AA69" s="1385"/>
      <c r="AB69" s="1385"/>
      <c r="AC69" s="1385"/>
      <c r="AD69" s="1385"/>
      <c r="AE69" s="1385"/>
      <c r="AF69" s="1385"/>
    </row>
    <row r="70" spans="1:32" ht="46.5" customHeight="1" x14ac:dyDescent="0.3">
      <c r="A70" s="1154" t="s">
        <v>1532</v>
      </c>
      <c r="B70" s="1155"/>
      <c r="C70" s="1155"/>
      <c r="D70" s="1156"/>
      <c r="E70" s="1148" t="s">
        <v>1533</v>
      </c>
      <c r="F70" s="1149"/>
      <c r="G70" s="1149"/>
      <c r="H70" s="1149"/>
      <c r="I70" s="1149"/>
      <c r="J70" s="1149"/>
      <c r="K70" s="1149"/>
      <c r="L70" s="1149"/>
      <c r="M70" s="1149"/>
      <c r="N70" s="1149"/>
      <c r="O70" s="1149"/>
      <c r="P70" s="1150"/>
      <c r="Q70" s="1333">
        <v>0.48</v>
      </c>
      <c r="R70" s="1334"/>
      <c r="S70" s="1334"/>
      <c r="T70" s="1335"/>
      <c r="U70" s="3065" t="s">
        <v>20</v>
      </c>
      <c r="V70" s="1167"/>
      <c r="W70" s="1168"/>
      <c r="X70" s="1163" t="s">
        <v>4569</v>
      </c>
      <c r="Y70" s="1164"/>
      <c r="Z70" s="1164"/>
      <c r="AA70" s="1164"/>
      <c r="AB70" s="1164"/>
      <c r="AC70" s="1164"/>
      <c r="AD70" s="1164"/>
      <c r="AE70" s="1164"/>
      <c r="AF70" s="1165"/>
    </row>
    <row r="71" spans="1:32" ht="46.5" customHeight="1" x14ac:dyDescent="0.3">
      <c r="A71" s="1154" t="s">
        <v>2178</v>
      </c>
      <c r="B71" s="1155"/>
      <c r="C71" s="1155"/>
      <c r="D71" s="1156"/>
      <c r="E71" s="1148" t="s">
        <v>2179</v>
      </c>
      <c r="F71" s="1149"/>
      <c r="G71" s="1149"/>
      <c r="H71" s="1149"/>
      <c r="I71" s="1149"/>
      <c r="J71" s="1149"/>
      <c r="K71" s="1149"/>
      <c r="L71" s="1149"/>
      <c r="M71" s="1149"/>
      <c r="N71" s="1149"/>
      <c r="O71" s="1149"/>
      <c r="P71" s="1150"/>
      <c r="Q71" s="1333">
        <f>[4]R_Light_LED!$Q$69</f>
        <v>0.85</v>
      </c>
      <c r="R71" s="1334"/>
      <c r="S71" s="1334"/>
      <c r="T71" s="1335"/>
      <c r="U71" s="1365" t="s">
        <v>20</v>
      </c>
      <c r="V71" s="1353"/>
      <c r="W71" s="1354"/>
      <c r="X71" s="1385" t="s">
        <v>4570</v>
      </c>
      <c r="Y71" s="1385"/>
      <c r="Z71" s="1385"/>
      <c r="AA71" s="1385"/>
      <c r="AB71" s="1385"/>
      <c r="AC71" s="1385"/>
      <c r="AD71" s="1385"/>
      <c r="AE71" s="1385"/>
      <c r="AF71" s="1385"/>
    </row>
    <row r="72" spans="1:32" ht="50.1" customHeight="1" x14ac:dyDescent="0.3">
      <c r="A72" s="1154" t="s">
        <v>1528</v>
      </c>
      <c r="B72" s="1155"/>
      <c r="C72" s="1155"/>
      <c r="D72" s="1156"/>
      <c r="E72" s="1148" t="s">
        <v>1531</v>
      </c>
      <c r="F72" s="1149"/>
      <c r="G72" s="1149"/>
      <c r="H72" s="1149"/>
      <c r="I72" s="1149"/>
      <c r="J72" s="1149"/>
      <c r="K72" s="1149"/>
      <c r="L72" s="1149"/>
      <c r="M72" s="1149"/>
      <c r="N72" s="1149"/>
      <c r="O72" s="1149"/>
      <c r="P72" s="1150"/>
      <c r="Q72" s="1330">
        <f>R_Light_LED!$Q$74</f>
        <v>1.3</v>
      </c>
      <c r="R72" s="1331"/>
      <c r="S72" s="1331"/>
      <c r="T72" s="1332"/>
      <c r="U72" s="1261" t="s">
        <v>20</v>
      </c>
      <c r="V72" s="1244"/>
      <c r="W72" s="1245"/>
      <c r="X72" s="1186" t="s">
        <v>2842</v>
      </c>
      <c r="Y72" s="1186"/>
      <c r="Z72" s="1186"/>
      <c r="AA72" s="1186"/>
      <c r="AB72" s="1186"/>
      <c r="AC72" s="1186"/>
      <c r="AD72" s="1186"/>
      <c r="AE72" s="1186"/>
      <c r="AF72" s="1186"/>
    </row>
    <row r="73" spans="1:32" ht="46.5" customHeight="1" x14ac:dyDescent="0.3">
      <c r="A73" s="1154" t="s">
        <v>1529</v>
      </c>
      <c r="B73" s="1155"/>
      <c r="C73" s="1155"/>
      <c r="D73" s="1156"/>
      <c r="E73" s="1148" t="s">
        <v>1530</v>
      </c>
      <c r="F73" s="1149"/>
      <c r="G73" s="1149"/>
      <c r="H73" s="1149"/>
      <c r="I73" s="1149"/>
      <c r="J73" s="1149"/>
      <c r="K73" s="1149"/>
      <c r="L73" s="1149"/>
      <c r="M73" s="1149"/>
      <c r="N73" s="1149"/>
      <c r="O73" s="1149"/>
      <c r="P73" s="1150"/>
      <c r="Q73" s="1151">
        <f>R_Light_LED!$Q$75</f>
        <v>1.35</v>
      </c>
      <c r="R73" s="1152"/>
      <c r="S73" s="1152"/>
      <c r="T73" s="1153"/>
      <c r="U73" s="1261" t="s">
        <v>20</v>
      </c>
      <c r="V73" s="1244"/>
      <c r="W73" s="1245"/>
      <c r="X73" s="1186" t="s">
        <v>2842</v>
      </c>
      <c r="Y73" s="1186"/>
      <c r="Z73" s="1186"/>
      <c r="AA73" s="1186"/>
      <c r="AB73" s="1186"/>
      <c r="AC73" s="1186"/>
      <c r="AD73" s="1186"/>
      <c r="AE73" s="1186"/>
      <c r="AF73" s="1186"/>
    </row>
    <row r="74" spans="1:32" ht="45" customHeight="1" x14ac:dyDescent="0.3">
      <c r="A74" s="1246" t="s">
        <v>34</v>
      </c>
      <c r="B74" s="1155" t="s">
        <v>34</v>
      </c>
      <c r="C74" s="1155" t="s">
        <v>34</v>
      </c>
      <c r="D74" s="1156" t="s">
        <v>34</v>
      </c>
      <c r="E74" s="1148" t="s">
        <v>644</v>
      </c>
      <c r="F74" s="1149" t="s">
        <v>234</v>
      </c>
      <c r="G74" s="1149" t="s">
        <v>234</v>
      </c>
      <c r="H74" s="1149" t="s">
        <v>234</v>
      </c>
      <c r="I74" s="1149" t="s">
        <v>234</v>
      </c>
      <c r="J74" s="1149" t="s">
        <v>234</v>
      </c>
      <c r="K74" s="1149" t="s">
        <v>234</v>
      </c>
      <c r="L74" s="1149" t="s">
        <v>234</v>
      </c>
      <c r="M74" s="1149" t="s">
        <v>234</v>
      </c>
      <c r="N74" s="1149" t="s">
        <v>234</v>
      </c>
      <c r="O74" s="1149" t="s">
        <v>234</v>
      </c>
      <c r="P74" s="1150" t="s">
        <v>234</v>
      </c>
      <c r="Q74" s="1151">
        <v>1</v>
      </c>
      <c r="R74" s="1152">
        <v>0.96</v>
      </c>
      <c r="S74" s="1152">
        <v>0.96</v>
      </c>
      <c r="T74" s="1153">
        <v>0.96</v>
      </c>
      <c r="U74" s="1243" t="s">
        <v>20</v>
      </c>
      <c r="V74" s="1244"/>
      <c r="W74" s="1245"/>
      <c r="X74" s="1148" t="s">
        <v>2039</v>
      </c>
      <c r="Y74" s="1149"/>
      <c r="Z74" s="1149"/>
      <c r="AA74" s="1149"/>
      <c r="AB74" s="1149"/>
      <c r="AC74" s="1149"/>
      <c r="AD74" s="1149"/>
      <c r="AE74" s="1149"/>
      <c r="AF74" s="1150"/>
    </row>
    <row r="75" spans="1:32" ht="52.5" customHeight="1" x14ac:dyDescent="0.3">
      <c r="A75" s="1157" t="s">
        <v>4557</v>
      </c>
      <c r="B75" s="1158"/>
      <c r="C75" s="1158"/>
      <c r="D75" s="1159"/>
      <c r="E75" s="2147" t="s">
        <v>4566</v>
      </c>
      <c r="F75" s="2148"/>
      <c r="G75" s="2148"/>
      <c r="H75" s="2148"/>
      <c r="I75" s="2148"/>
      <c r="J75" s="2148"/>
      <c r="K75" s="2148"/>
      <c r="L75" s="2148"/>
      <c r="M75" s="2148"/>
      <c r="N75" s="2148"/>
      <c r="O75" s="2148"/>
      <c r="P75" s="2149"/>
      <c r="Q75" s="1343" t="s">
        <v>3422</v>
      </c>
      <c r="R75" s="1343"/>
      <c r="S75" s="1343" t="s">
        <v>3423</v>
      </c>
      <c r="T75" s="1343"/>
      <c r="U75" s="3072" t="s">
        <v>38</v>
      </c>
      <c r="V75" s="3073"/>
      <c r="W75" s="3074"/>
      <c r="X75" s="2147" t="s">
        <v>4571</v>
      </c>
      <c r="Y75" s="2148"/>
      <c r="Z75" s="2148"/>
      <c r="AA75" s="2148"/>
      <c r="AB75" s="2148"/>
      <c r="AC75" s="2148"/>
      <c r="AD75" s="2148"/>
      <c r="AE75" s="2148"/>
      <c r="AF75" s="2149"/>
    </row>
    <row r="76" spans="1:32" ht="41.1" customHeight="1" x14ac:dyDescent="0.3">
      <c r="A76" s="1160"/>
      <c r="B76" s="1161"/>
      <c r="C76" s="1161"/>
      <c r="D76" s="1162"/>
      <c r="E76" s="2150"/>
      <c r="F76" s="2151"/>
      <c r="G76" s="2151"/>
      <c r="H76" s="2151"/>
      <c r="I76" s="2151"/>
      <c r="J76" s="2151"/>
      <c r="K76" s="2151"/>
      <c r="L76" s="2151"/>
      <c r="M76" s="2151"/>
      <c r="N76" s="2151"/>
      <c r="O76" s="2151"/>
      <c r="P76" s="2152"/>
      <c r="Q76" s="1343">
        <f>ROUND(2500/(Q67*365)/3+2500/(Q67*365),0)</f>
        <v>4</v>
      </c>
      <c r="R76" s="1343"/>
      <c r="S76" s="1343">
        <f>ROUND(2500/(Q67*365),0)/3</f>
        <v>1</v>
      </c>
      <c r="T76" s="1343"/>
      <c r="U76" s="3075"/>
      <c r="V76" s="3076"/>
      <c r="W76" s="3077"/>
      <c r="X76" s="2150"/>
      <c r="Y76" s="2151"/>
      <c r="Z76" s="2151"/>
      <c r="AA76" s="2151"/>
      <c r="AB76" s="2151"/>
      <c r="AC76" s="2151"/>
      <c r="AD76" s="2151"/>
      <c r="AE76" s="2151"/>
      <c r="AF76" s="2152"/>
    </row>
    <row r="77" spans="1:32" ht="32.1" customHeight="1" x14ac:dyDescent="0.3">
      <c r="A77" s="1154" t="s">
        <v>1869</v>
      </c>
      <c r="B77" s="1155" t="s">
        <v>26</v>
      </c>
      <c r="C77" s="1155" t="s">
        <v>26</v>
      </c>
      <c r="D77" s="1156" t="s">
        <v>26</v>
      </c>
      <c r="E77" s="1154" t="s">
        <v>2184</v>
      </c>
      <c r="F77" s="1155" t="s">
        <v>208</v>
      </c>
      <c r="G77" s="1155" t="s">
        <v>208</v>
      </c>
      <c r="H77" s="1155" t="s">
        <v>208</v>
      </c>
      <c r="I77" s="1155" t="s">
        <v>208</v>
      </c>
      <c r="J77" s="1155" t="s">
        <v>208</v>
      </c>
      <c r="K77" s="1155" t="s">
        <v>208</v>
      </c>
      <c r="L77" s="1155" t="s">
        <v>208</v>
      </c>
      <c r="M77" s="1155" t="s">
        <v>208</v>
      </c>
      <c r="N77" s="1155" t="s">
        <v>208</v>
      </c>
      <c r="O77" s="1155" t="s">
        <v>208</v>
      </c>
      <c r="P77" s="1156" t="s">
        <v>208</v>
      </c>
      <c r="Q77" s="1151">
        <f>'Master EUL'!X43</f>
        <v>8</v>
      </c>
      <c r="R77" s="1152">
        <v>0.12</v>
      </c>
      <c r="S77" s="1152">
        <v>0.12</v>
      </c>
      <c r="T77" s="1153">
        <v>0.12</v>
      </c>
      <c r="U77" s="1243" t="s">
        <v>38</v>
      </c>
      <c r="V77" s="1244"/>
      <c r="W77" s="1245"/>
      <c r="X77" s="1186" t="s">
        <v>1518</v>
      </c>
      <c r="Y77" s="1186"/>
      <c r="Z77" s="1186"/>
      <c r="AA77" s="1186"/>
      <c r="AB77" s="1186"/>
      <c r="AC77" s="1186"/>
      <c r="AD77" s="1186"/>
      <c r="AE77" s="1186"/>
      <c r="AF77" s="1186"/>
    </row>
    <row r="78" spans="1:32" ht="14.4" customHeight="1" x14ac:dyDescent="0.3">
      <c r="A78" s="2854" t="s">
        <v>4572</v>
      </c>
      <c r="B78" s="2854"/>
      <c r="C78" s="2854"/>
      <c r="D78" s="2854"/>
      <c r="E78" s="2854"/>
      <c r="F78" s="2854"/>
      <c r="G78" s="2854"/>
      <c r="H78" s="2854"/>
      <c r="I78" s="2854"/>
      <c r="J78" s="2854"/>
      <c r="K78" s="2854"/>
      <c r="L78" s="2854"/>
      <c r="M78" s="2854"/>
      <c r="N78" s="2854"/>
      <c r="O78" s="2854"/>
      <c r="P78" s="2854"/>
      <c r="Q78" s="2854"/>
      <c r="R78" s="2854"/>
      <c r="S78" s="2854"/>
      <c r="T78" s="2854"/>
      <c r="U78" s="2854"/>
      <c r="V78" s="2854"/>
      <c r="W78" s="2854"/>
      <c r="X78" s="2854"/>
      <c r="Y78" s="2854"/>
      <c r="Z78" s="2854"/>
      <c r="AA78" s="2854"/>
      <c r="AB78" s="2854"/>
      <c r="AC78" s="2854"/>
      <c r="AD78" s="2854"/>
      <c r="AE78" s="2854"/>
      <c r="AF78" s="2854"/>
    </row>
    <row r="79" spans="1:32" ht="27.6" customHeight="1" x14ac:dyDescent="0.3">
      <c r="A79" s="1355" t="s">
        <v>4573</v>
      </c>
      <c r="B79" s="1355"/>
      <c r="C79" s="1355"/>
      <c r="D79" s="1355"/>
      <c r="E79" s="1355"/>
      <c r="F79" s="1355"/>
      <c r="G79" s="1355"/>
      <c r="H79" s="1355"/>
      <c r="I79" s="1355"/>
      <c r="J79" s="1355"/>
      <c r="K79" s="1355"/>
      <c r="L79" s="1355"/>
      <c r="M79" s="1355"/>
      <c r="N79" s="1355"/>
      <c r="O79" s="1355"/>
      <c r="P79" s="1355"/>
      <c r="Q79" s="1355"/>
      <c r="R79" s="1355"/>
      <c r="S79" s="1355"/>
      <c r="T79" s="1355"/>
      <c r="U79" s="1355"/>
      <c r="V79" s="1355"/>
      <c r="W79" s="1355"/>
      <c r="X79" s="1355"/>
      <c r="Y79" s="1355"/>
      <c r="Z79" s="1355"/>
      <c r="AA79" s="1355"/>
      <c r="AB79" s="1355"/>
      <c r="AC79" s="1355"/>
      <c r="AD79" s="1355"/>
      <c r="AE79" s="1355"/>
      <c r="AF79" s="1355"/>
    </row>
    <row r="80" spans="1:32" ht="67.5" customHeight="1" x14ac:dyDescent="0.3">
      <c r="A80" s="1355" t="s">
        <v>4574</v>
      </c>
      <c r="B80" s="1355"/>
      <c r="C80" s="1355"/>
      <c r="D80" s="1355"/>
      <c r="E80" s="1355"/>
      <c r="F80" s="1355"/>
      <c r="G80" s="1355"/>
      <c r="H80" s="1355"/>
      <c r="I80" s="1355"/>
      <c r="J80" s="1355"/>
      <c r="K80" s="1355"/>
      <c r="L80" s="1355"/>
      <c r="M80" s="1355"/>
      <c r="N80" s="1355"/>
      <c r="O80" s="1355"/>
      <c r="P80" s="1355"/>
      <c r="Q80" s="1355"/>
      <c r="R80" s="1355"/>
      <c r="S80" s="1355"/>
      <c r="T80" s="1355"/>
      <c r="U80" s="1355"/>
      <c r="V80" s="1355"/>
      <c r="W80" s="1355"/>
      <c r="X80" s="1355"/>
      <c r="Y80" s="1355"/>
      <c r="Z80" s="1355"/>
      <c r="AA80" s="1355"/>
      <c r="AB80" s="1355"/>
      <c r="AC80" s="1355"/>
      <c r="AD80" s="1355"/>
      <c r="AE80" s="1355"/>
      <c r="AF80" s="1355"/>
    </row>
    <row r="81" spans="1:32" ht="43.5" customHeight="1" x14ac:dyDescent="0.3">
      <c r="A81" s="1355" t="s">
        <v>4575</v>
      </c>
      <c r="B81" s="1355"/>
      <c r="C81" s="1355"/>
      <c r="D81" s="1355"/>
      <c r="E81" s="1355"/>
      <c r="F81" s="1355"/>
      <c r="G81" s="1355"/>
      <c r="H81" s="1355"/>
      <c r="I81" s="1355"/>
      <c r="J81" s="1355"/>
      <c r="K81" s="1355"/>
      <c r="L81" s="1355"/>
      <c r="M81" s="1355"/>
      <c r="N81" s="1355"/>
      <c r="O81" s="1355"/>
      <c r="P81" s="1355"/>
      <c r="Q81" s="1355"/>
      <c r="R81" s="1355"/>
      <c r="S81" s="1355"/>
      <c r="T81" s="1355"/>
      <c r="U81" s="1355"/>
      <c r="V81" s="1355"/>
      <c r="W81" s="1355"/>
      <c r="X81" s="1355"/>
      <c r="Y81" s="1355"/>
      <c r="Z81" s="1355"/>
      <c r="AA81" s="1355"/>
      <c r="AB81" s="1355"/>
      <c r="AC81" s="1355"/>
      <c r="AD81" s="1355"/>
      <c r="AE81" s="1355"/>
      <c r="AF81" s="1355"/>
    </row>
    <row r="83" spans="1:32" x14ac:dyDescent="0.3">
      <c r="A83" s="1290" t="s">
        <v>4576</v>
      </c>
      <c r="B83" s="1290"/>
      <c r="C83" s="1290"/>
      <c r="D83" s="1290"/>
      <c r="E83" s="1290"/>
      <c r="F83" s="1290"/>
      <c r="G83" s="1290"/>
      <c r="H83" s="1290"/>
      <c r="I83" s="1290"/>
      <c r="J83" s="1290"/>
      <c r="K83" s="1290"/>
      <c r="L83" s="1290"/>
      <c r="M83" s="1290"/>
      <c r="N83" s="1290"/>
      <c r="O83" s="1290"/>
      <c r="P83" s="1290"/>
      <c r="Q83" s="1290"/>
      <c r="R83" s="1290"/>
      <c r="S83" s="1290"/>
      <c r="T83" s="1290"/>
      <c r="U83" s="1290"/>
      <c r="V83" s="1290"/>
      <c r="W83" s="1290"/>
      <c r="X83" s="1290"/>
      <c r="Y83" s="1290"/>
      <c r="Z83" s="1290"/>
      <c r="AA83" s="1290"/>
      <c r="AB83" s="1290"/>
      <c r="AC83" s="1290"/>
      <c r="AD83" s="1290"/>
      <c r="AE83" s="1290"/>
      <c r="AF83" s="1290"/>
    </row>
    <row r="84" spans="1:32" x14ac:dyDescent="0.3">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x14ac:dyDescent="0.3">
      <c r="A85" s="3"/>
      <c r="B85" s="498" t="s">
        <v>4577</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customFormat="1" ht="15" thickBot="1" x14ac:dyDescent="0.35">
      <c r="A86" s="134"/>
      <c r="B86" s="146"/>
      <c r="C86" s="146"/>
      <c r="D86" s="40"/>
      <c r="E86" s="40"/>
      <c r="F86" s="40"/>
      <c r="G86" s="40"/>
      <c r="H86" s="40"/>
      <c r="I86" s="40"/>
    </row>
    <row r="87" spans="1:32" customFormat="1" ht="32.1" customHeight="1" x14ac:dyDescent="0.3">
      <c r="A87" s="3022" t="s">
        <v>15</v>
      </c>
      <c r="B87" s="3023"/>
      <c r="C87" s="3023"/>
      <c r="D87" s="3023"/>
      <c r="E87" s="3023"/>
      <c r="F87" s="3023"/>
      <c r="G87" s="3023"/>
      <c r="H87" s="3024"/>
      <c r="I87" s="1311" t="s">
        <v>2780</v>
      </c>
      <c r="J87" s="1311"/>
      <c r="K87" s="1311"/>
      <c r="L87" s="1311"/>
      <c r="M87" s="1311"/>
      <c r="N87" s="1311"/>
      <c r="O87" s="1311"/>
      <c r="P87" s="1311"/>
      <c r="Q87" s="1311" t="s">
        <v>2781</v>
      </c>
      <c r="R87" s="1312"/>
      <c r="S87" s="1312"/>
      <c r="T87" s="1312"/>
      <c r="U87" s="1312"/>
      <c r="V87" s="1312"/>
      <c r="W87" s="1312"/>
      <c r="X87" s="1312"/>
      <c r="Y87" s="1311" t="s">
        <v>1826</v>
      </c>
      <c r="Z87" s="1312"/>
      <c r="AA87" s="1312"/>
      <c r="AB87" s="1312"/>
      <c r="AC87" s="1312"/>
      <c r="AD87" s="1312"/>
      <c r="AE87" s="1312"/>
      <c r="AF87" s="1313"/>
    </row>
    <row r="88" spans="1:32" customFormat="1" ht="32.1" customHeight="1" x14ac:dyDescent="0.3">
      <c r="A88" s="3025"/>
      <c r="B88" s="3026"/>
      <c r="C88" s="3026"/>
      <c r="D88" s="3026"/>
      <c r="E88" s="3026"/>
      <c r="F88" s="3026"/>
      <c r="G88" s="3026"/>
      <c r="H88" s="3027"/>
      <c r="I88" s="2536" t="s">
        <v>3630</v>
      </c>
      <c r="J88" s="2537"/>
      <c r="K88" s="2537"/>
      <c r="L88" s="2538"/>
      <c r="M88" s="2536" t="s">
        <v>3631</v>
      </c>
      <c r="N88" s="2537"/>
      <c r="O88" s="2537"/>
      <c r="P88" s="2538"/>
      <c r="Q88" s="2536" t="s">
        <v>3630</v>
      </c>
      <c r="R88" s="2537"/>
      <c r="S88" s="2537"/>
      <c r="T88" s="2538"/>
      <c r="U88" s="2536" t="s">
        <v>3631</v>
      </c>
      <c r="V88" s="2537"/>
      <c r="W88" s="2537"/>
      <c r="X88" s="2538"/>
      <c r="Y88" s="2536" t="s">
        <v>3422</v>
      </c>
      <c r="Z88" s="2537"/>
      <c r="AA88" s="2537"/>
      <c r="AB88" s="2538"/>
      <c r="AC88" s="2536" t="s">
        <v>3423</v>
      </c>
      <c r="AD88" s="2537"/>
      <c r="AE88" s="2537"/>
      <c r="AF88" s="3031"/>
    </row>
    <row r="89" spans="1:32" customFormat="1" ht="41.25" customHeight="1" thickBot="1" x14ac:dyDescent="0.35">
      <c r="A89" s="1474" t="s">
        <v>2194</v>
      </c>
      <c r="B89" s="1560"/>
      <c r="C89" s="1560"/>
      <c r="D89" s="1560"/>
      <c r="E89" s="1560"/>
      <c r="F89" s="1560"/>
      <c r="G89" s="1560"/>
      <c r="H89" s="1560"/>
      <c r="I89" s="1476">
        <f>ROUND(Q62*Q64*Q65*Q66*(1+Q70*Q71*(Q72-1))*Q74,3)</f>
        <v>4.0000000000000001E-3</v>
      </c>
      <c r="J89" s="1477"/>
      <c r="K89" s="1477"/>
      <c r="L89" s="1478"/>
      <c r="M89" s="1476">
        <f>ROUND(Q63*Q64*Q65*Q66*(1+Q70*Q71*(Q72-1))*Q74,3)</f>
        <v>2E-3</v>
      </c>
      <c r="N89" s="1477"/>
      <c r="O89" s="1477"/>
      <c r="P89" s="1478"/>
      <c r="Q89" s="2648">
        <f>ROUND(Q62*Q64*Q65*Q67*365*(1+Q70*Q71*(Q73-1))*Q74,2)</f>
        <v>24.01</v>
      </c>
      <c r="R89" s="2649"/>
      <c r="S89" s="2649"/>
      <c r="T89" s="2650"/>
      <c r="U89" s="2648">
        <f>ROUND(Q63*Q64*Q65*Q67*365*(1+Q70*Q71*(Q73-1))*Q74,2)</f>
        <v>11.17</v>
      </c>
      <c r="V89" s="2649"/>
      <c r="W89" s="2649"/>
      <c r="X89" s="2650"/>
      <c r="Y89" s="3067">
        <f>ROUND(Q89*Q76+U89*(Q77-Q76),2)</f>
        <v>140.72</v>
      </c>
      <c r="Z89" s="3068"/>
      <c r="AA89" s="3068"/>
      <c r="AB89" s="3069"/>
      <c r="AC89" s="3067">
        <f>ROUND(Q89*S76+U89*(Q77-S76),2)</f>
        <v>102.2</v>
      </c>
      <c r="AD89" s="3068"/>
      <c r="AE89" s="3068"/>
      <c r="AF89" s="3070"/>
    </row>
    <row r="90" spans="1:32" customFormat="1" x14ac:dyDescent="0.3"/>
    <row r="91" spans="1:32" x14ac:dyDescent="0.3">
      <c r="A91" s="1290" t="s">
        <v>4578</v>
      </c>
      <c r="B91" s="1290"/>
      <c r="C91" s="1290"/>
      <c r="D91" s="1290"/>
      <c r="E91" s="1290"/>
      <c r="F91" s="1290"/>
      <c r="G91" s="1290"/>
      <c r="H91" s="1290"/>
      <c r="I91" s="1290"/>
      <c r="J91" s="1290"/>
      <c r="K91" s="1290"/>
      <c r="L91" s="1290"/>
      <c r="M91" s="1290"/>
      <c r="N91" s="1290"/>
      <c r="O91" s="1290"/>
      <c r="P91" s="1290"/>
      <c r="Q91" s="1290"/>
      <c r="R91" s="1290"/>
      <c r="S91" s="1290"/>
      <c r="T91" s="1290"/>
      <c r="U91" s="1290"/>
      <c r="V91" s="1290"/>
      <c r="W91" s="1290"/>
      <c r="X91" s="1290"/>
      <c r="Y91" s="1290"/>
      <c r="Z91" s="1290"/>
      <c r="AA91" s="1290"/>
      <c r="AB91" s="1290"/>
      <c r="AC91" s="1290"/>
      <c r="AD91" s="1290"/>
      <c r="AE91" s="1290"/>
      <c r="AF91" s="1290"/>
    </row>
    <row r="92" spans="1:32" x14ac:dyDescent="0.3">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x14ac:dyDescent="0.3">
      <c r="A93" s="3"/>
      <c r="B93" s="498" t="s">
        <v>4579</v>
      </c>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 thickBot="1" x14ac:dyDescent="0.35"/>
    <row r="95" spans="1:32" ht="32.1" customHeight="1" x14ac:dyDescent="0.3">
      <c r="A95" s="1252" t="s">
        <v>15</v>
      </c>
      <c r="B95" s="1253"/>
      <c r="C95" s="1253"/>
      <c r="D95" s="1253"/>
      <c r="E95" s="1253"/>
      <c r="F95" s="1253"/>
      <c r="G95" s="1253"/>
      <c r="H95" s="1253"/>
      <c r="I95" s="1278" t="s">
        <v>2780</v>
      </c>
      <c r="J95" s="1278"/>
      <c r="K95" s="1278"/>
      <c r="L95" s="1278"/>
      <c r="M95" s="1278"/>
      <c r="N95" s="1278"/>
      <c r="O95" s="1278"/>
      <c r="P95" s="1278"/>
      <c r="Q95" s="1278" t="s">
        <v>2781</v>
      </c>
      <c r="R95" s="1253"/>
      <c r="S95" s="1253"/>
      <c r="T95" s="1253"/>
      <c r="U95" s="1253"/>
      <c r="V95" s="1253"/>
      <c r="W95" s="1253"/>
      <c r="X95" s="1279"/>
      <c r="Y95" s="1278" t="s">
        <v>1554</v>
      </c>
      <c r="Z95" s="1253"/>
      <c r="AA95" s="1253"/>
      <c r="AB95" s="1253"/>
      <c r="AC95" s="1253"/>
      <c r="AD95" s="1253"/>
      <c r="AE95" s="1253"/>
      <c r="AF95" s="1254"/>
    </row>
    <row r="96" spans="1:32" ht="41.25" customHeight="1" thickBot="1" x14ac:dyDescent="0.35">
      <c r="A96" s="1408" t="s">
        <v>2194</v>
      </c>
      <c r="B96" s="1409"/>
      <c r="C96" s="1409"/>
      <c r="D96" s="1409"/>
      <c r="E96" s="1409"/>
      <c r="F96" s="1409"/>
      <c r="G96" s="1409"/>
      <c r="H96" s="1409"/>
      <c r="I96" s="1303">
        <f>ROUND(Q63*Q64*Q65*Q66*(1+Q70*Q71*(Q72-1))*Q74,3)</f>
        <v>2E-3</v>
      </c>
      <c r="J96" s="1303"/>
      <c r="K96" s="1303"/>
      <c r="L96" s="1303"/>
      <c r="M96" s="1303"/>
      <c r="N96" s="1303"/>
      <c r="O96" s="1303"/>
      <c r="P96" s="1303"/>
      <c r="Q96" s="1561">
        <f>ROUND(Q63*Q64*Q65*Q67*365*(1+Q70*Q71*(Q73-1))*Q74,2)</f>
        <v>11.17</v>
      </c>
      <c r="R96" s="1561"/>
      <c r="S96" s="1561"/>
      <c r="T96" s="1561"/>
      <c r="U96" s="1561"/>
      <c r="V96" s="1561"/>
      <c r="W96" s="1561"/>
      <c r="X96" s="2648"/>
      <c r="Y96" s="2324">
        <f>ROUND(Q96*Q77,2)</f>
        <v>89.36</v>
      </c>
      <c r="Z96" s="2324"/>
      <c r="AA96" s="2324"/>
      <c r="AB96" s="2324"/>
      <c r="AC96" s="2324"/>
      <c r="AD96" s="2324"/>
      <c r="AE96" s="2324"/>
      <c r="AF96" s="2325"/>
    </row>
    <row r="97" spans="1:32" x14ac:dyDescent="0.3">
      <c r="A97" s="1355" t="s">
        <v>4567</v>
      </c>
      <c r="B97" s="1355"/>
      <c r="C97" s="1355"/>
      <c r="D97" s="1355"/>
      <c r="E97" s="1355"/>
      <c r="F97" s="1355"/>
      <c r="G97" s="1355"/>
      <c r="H97" s="1355"/>
      <c r="I97" s="1355"/>
      <c r="J97" s="1355"/>
      <c r="K97" s="1355"/>
      <c r="L97" s="1355"/>
      <c r="M97" s="1355"/>
      <c r="N97" s="1355"/>
      <c r="O97" s="1355"/>
      <c r="P97" s="1355"/>
      <c r="Q97" s="1355"/>
      <c r="R97" s="1355"/>
      <c r="S97" s="1355"/>
      <c r="T97" s="1355"/>
      <c r="U97" s="1355"/>
      <c r="V97" s="1355"/>
      <c r="W97" s="1355"/>
      <c r="X97" s="1355"/>
      <c r="Y97" s="1355"/>
      <c r="Z97" s="1355"/>
      <c r="AA97" s="1355"/>
      <c r="AB97" s="1355"/>
      <c r="AC97" s="1355"/>
      <c r="AD97" s="1355"/>
      <c r="AE97" s="1355"/>
      <c r="AF97" s="1355"/>
    </row>
    <row r="99" spans="1:32" x14ac:dyDescent="0.3">
      <c r="A99" s="1141" t="s">
        <v>2195</v>
      </c>
      <c r="B99" s="1141"/>
      <c r="C99" s="1141"/>
      <c r="D99" s="1141"/>
      <c r="E99" s="1141"/>
      <c r="F99" s="1141"/>
      <c r="G99" s="1141"/>
      <c r="H99" s="1141"/>
      <c r="I99" s="1141"/>
      <c r="J99" s="1141"/>
      <c r="K99" s="1141"/>
      <c r="L99" s="1141"/>
      <c r="M99" s="1141"/>
      <c r="N99" s="1141"/>
      <c r="O99" s="1141"/>
      <c r="P99" s="1141"/>
      <c r="Q99" s="1141"/>
      <c r="R99" s="1141"/>
      <c r="S99" s="1141"/>
      <c r="T99" s="1141"/>
      <c r="U99" s="1141"/>
      <c r="V99" s="1141"/>
      <c r="W99" s="1141"/>
      <c r="X99" s="1141"/>
      <c r="Y99" s="1141"/>
      <c r="Z99" s="1141"/>
      <c r="AA99" s="1141"/>
      <c r="AB99" s="1141"/>
      <c r="AC99" s="1141"/>
      <c r="AD99" s="1141"/>
      <c r="AE99" s="1141"/>
      <c r="AF99" s="1141"/>
    </row>
    <row r="100" spans="1:32" x14ac:dyDescent="0.3">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customFormat="1" x14ac:dyDescent="0.3">
      <c r="B101" s="232" t="s">
        <v>2196</v>
      </c>
    </row>
    <row r="102" spans="1:32" customFormat="1" x14ac:dyDescent="0.3"/>
    <row r="103" spans="1:32" customFormat="1" ht="31.5" customHeight="1" x14ac:dyDescent="0.3">
      <c r="B103" s="1404" t="s">
        <v>2200</v>
      </c>
      <c r="C103" s="1404"/>
      <c r="D103" s="1404"/>
      <c r="E103" s="1404"/>
      <c r="F103" s="1404"/>
      <c r="G103" s="1404"/>
      <c r="H103" s="1404"/>
      <c r="I103" s="1404"/>
      <c r="J103" s="1404"/>
      <c r="K103" s="1404"/>
      <c r="L103" s="1404"/>
      <c r="M103" s="1404"/>
      <c r="N103" s="1404"/>
      <c r="O103" s="1404"/>
      <c r="P103" s="1404"/>
      <c r="Q103" s="1404"/>
      <c r="R103" s="1404"/>
      <c r="S103" s="1404"/>
      <c r="T103" s="1404"/>
      <c r="U103" s="1404"/>
      <c r="V103" s="1404"/>
      <c r="W103" s="1404"/>
      <c r="X103" s="1404"/>
      <c r="Y103" s="1404"/>
      <c r="Z103" s="1404"/>
      <c r="AA103" s="1404"/>
      <c r="AB103" s="1404"/>
      <c r="AC103" s="1404"/>
      <c r="AD103" s="1404"/>
      <c r="AE103" s="1404"/>
      <c r="AF103" s="1404"/>
    </row>
    <row r="104" spans="1:32" customFormat="1" x14ac:dyDescent="0.3">
      <c r="D104" s="2495" t="s">
        <v>1578</v>
      </c>
      <c r="E104" s="2496"/>
      <c r="F104" s="2496"/>
      <c r="G104" s="2496"/>
      <c r="H104" s="2497"/>
    </row>
    <row r="105" spans="1:32" customFormat="1" x14ac:dyDescent="0.3"/>
    <row r="106" spans="1:32" customFormat="1" x14ac:dyDescent="0.3">
      <c r="B106" t="s">
        <v>2201</v>
      </c>
    </row>
    <row r="107" spans="1:32" customFormat="1" x14ac:dyDescent="0.3">
      <c r="D107" s="2495">
        <v>40</v>
      </c>
      <c r="E107" s="2496"/>
      <c r="F107" s="2496"/>
      <c r="G107" s="2496"/>
      <c r="H107" s="2497"/>
    </row>
    <row r="108" spans="1:32" customFormat="1" x14ac:dyDescent="0.3">
      <c r="D108" s="237"/>
      <c r="E108" s="237"/>
      <c r="F108" s="237"/>
      <c r="G108" s="237"/>
      <c r="H108" s="237"/>
    </row>
    <row r="109" spans="1:32" customFormat="1" x14ac:dyDescent="0.3">
      <c r="B109" s="1404" t="s">
        <v>2199</v>
      </c>
      <c r="C109" s="1404"/>
      <c r="D109" s="1404"/>
      <c r="E109" s="1404"/>
      <c r="F109" s="1404"/>
      <c r="G109" s="1404"/>
      <c r="H109" s="1404"/>
      <c r="I109" s="1404"/>
      <c r="J109" s="1404"/>
      <c r="K109" s="1404"/>
      <c r="L109" s="1404"/>
      <c r="M109" s="1404"/>
      <c r="N109" s="1404"/>
      <c r="O109" s="1404"/>
      <c r="P109" s="1404"/>
      <c r="Q109" s="1404"/>
      <c r="R109" s="1404"/>
      <c r="S109" s="1404"/>
      <c r="T109" s="1404"/>
      <c r="U109" s="1404"/>
      <c r="V109" s="1404"/>
      <c r="W109" s="1404"/>
      <c r="X109" s="1404"/>
      <c r="Y109" s="1404"/>
      <c r="Z109" s="1404"/>
      <c r="AA109" s="1404"/>
      <c r="AB109" s="1404"/>
      <c r="AC109" s="1404"/>
      <c r="AD109" s="1404"/>
      <c r="AE109" s="1404"/>
      <c r="AF109" s="1404"/>
    </row>
    <row r="110" spans="1:32" customFormat="1" x14ac:dyDescent="0.3">
      <c r="D110" s="2495" t="s">
        <v>2197</v>
      </c>
      <c r="E110" s="2496"/>
      <c r="F110" s="2496"/>
      <c r="G110" s="2496"/>
      <c r="H110" s="2497"/>
    </row>
    <row r="111" spans="1:32" customFormat="1" ht="15" thickBot="1" x14ac:dyDescent="0.35"/>
    <row r="112" spans="1:32" customFormat="1" ht="32.1" customHeight="1" x14ac:dyDescent="0.3">
      <c r="A112" s="1252" t="s">
        <v>15</v>
      </c>
      <c r="B112" s="1253"/>
      <c r="C112" s="1253"/>
      <c r="D112" s="1253"/>
      <c r="E112" s="1253"/>
      <c r="F112" s="1253"/>
      <c r="G112" s="1253"/>
      <c r="H112" s="1253"/>
      <c r="I112" s="1278" t="s">
        <v>2780</v>
      </c>
      <c r="J112" s="1278"/>
      <c r="K112" s="1278"/>
      <c r="L112" s="1278"/>
      <c r="M112" s="1278"/>
      <c r="N112" s="1278"/>
      <c r="O112" s="1278"/>
      <c r="P112" s="1278"/>
      <c r="Q112" s="1278" t="s">
        <v>2781</v>
      </c>
      <c r="R112" s="1253"/>
      <c r="S112" s="1253"/>
      <c r="T112" s="1253"/>
      <c r="U112" s="1253"/>
      <c r="V112" s="1253"/>
      <c r="W112" s="1253"/>
      <c r="X112" s="1279"/>
      <c r="Y112" s="1278" t="s">
        <v>1554</v>
      </c>
      <c r="Z112" s="1253"/>
      <c r="AA112" s="1253"/>
      <c r="AB112" s="1253"/>
      <c r="AC112" s="1253"/>
      <c r="AD112" s="1253"/>
      <c r="AE112" s="1253"/>
      <c r="AF112" s="1254"/>
    </row>
    <row r="113" spans="1:32" customFormat="1" ht="41.25" customHeight="1" thickBot="1" x14ac:dyDescent="0.35">
      <c r="A113" s="1408" t="s">
        <v>2194</v>
      </c>
      <c r="B113" s="1409"/>
      <c r="C113" s="1409"/>
      <c r="D113" s="1409"/>
      <c r="E113" s="1409"/>
      <c r="F113" s="1409"/>
      <c r="G113" s="1409"/>
      <c r="H113" s="1409"/>
      <c r="I113" s="2165">
        <f>IF(AND(D104="Yes",D110="Yes"),ROUND(D107*Q64*Q65*Q66*Q72*Q74/1000,3),IF(AND(D104="Yes",D110="No"),ROUND(D107*Q64*Q65*Q66*Q74/1000,3),"NA"))</f>
        <v>2E-3</v>
      </c>
      <c r="J113" s="2165"/>
      <c r="K113" s="2165"/>
      <c r="L113" s="2165"/>
      <c r="M113" s="2165"/>
      <c r="N113" s="2165"/>
      <c r="O113" s="2165"/>
      <c r="P113" s="2165"/>
      <c r="Q113" s="2166">
        <f>IF(AND(D104="Yes",D110="Yes"),ROUND(D107*Q64*Q65*Q67*365*Q73*Q74/1000,2),IF(AND(D104="Yes",D110="No"),ROUND(D107*Q64*Q65*Q67*365*Q74/1000,2),"NA"))</f>
        <v>9.77</v>
      </c>
      <c r="R113" s="2166"/>
      <c r="S113" s="2166"/>
      <c r="T113" s="2166"/>
      <c r="U113" s="2166"/>
      <c r="V113" s="2166"/>
      <c r="W113" s="2166"/>
      <c r="X113" s="3071"/>
      <c r="Y113" s="2167">
        <f>IF(D104="Yes",ROUND(Q113*Q77,2),"NA")</f>
        <v>78.16</v>
      </c>
      <c r="Z113" s="2167"/>
      <c r="AA113" s="2167"/>
      <c r="AB113" s="2167"/>
      <c r="AC113" s="2167"/>
      <c r="AD113" s="2167"/>
      <c r="AE113" s="2167"/>
      <c r="AF113" s="2168"/>
    </row>
    <row r="115" spans="1:32" x14ac:dyDescent="0.3">
      <c r="A115" s="1141" t="s">
        <v>1514</v>
      </c>
      <c r="B115" s="1141"/>
      <c r="C115" s="1141"/>
      <c r="D115" s="1141"/>
      <c r="E115" s="1141"/>
      <c r="F115" s="1141"/>
      <c r="G115" s="1141"/>
      <c r="H115" s="1141"/>
      <c r="I115" s="1141"/>
      <c r="J115" s="1141"/>
      <c r="K115" s="1141"/>
      <c r="L115" s="1141"/>
      <c r="M115" s="1141"/>
      <c r="N115" s="1141"/>
      <c r="O115" s="1141"/>
      <c r="P115" s="1141"/>
      <c r="Q115" s="1141"/>
      <c r="R115" s="1141"/>
      <c r="S115" s="1141"/>
      <c r="T115" s="1141"/>
      <c r="U115" s="1141"/>
      <c r="V115" s="1141"/>
      <c r="W115" s="1141"/>
      <c r="X115" s="1141"/>
      <c r="Y115" s="1141"/>
      <c r="Z115" s="1141"/>
      <c r="AA115" s="1141"/>
      <c r="AB115" s="1141"/>
      <c r="AC115" s="1141"/>
      <c r="AD115" s="1141"/>
      <c r="AE115" s="1141"/>
      <c r="AF115" s="1141"/>
    </row>
    <row r="116" spans="1:32" x14ac:dyDescent="0.3">
      <c r="A116"/>
      <c r="B116"/>
      <c r="C116"/>
      <c r="D116"/>
      <c r="E116"/>
      <c r="F116"/>
      <c r="G116"/>
      <c r="H116"/>
      <c r="I116"/>
      <c r="J116"/>
      <c r="K116"/>
      <c r="L116"/>
      <c r="M116"/>
      <c r="N116"/>
      <c r="O116"/>
      <c r="P116"/>
      <c r="Q116"/>
      <c r="R116"/>
      <c r="S116"/>
      <c r="T116"/>
      <c r="U116"/>
      <c r="V116"/>
      <c r="W116"/>
      <c r="X116"/>
      <c r="Y116"/>
      <c r="Z116"/>
      <c r="AA116"/>
      <c r="AB116"/>
      <c r="AC116"/>
      <c r="AD116"/>
      <c r="AE116"/>
      <c r="AF116"/>
    </row>
    <row r="117" spans="1:32" ht="44.4" customHeight="1" x14ac:dyDescent="0.3">
      <c r="A117" s="370" t="s">
        <v>803</v>
      </c>
      <c r="B117" s="889" t="s">
        <v>4550</v>
      </c>
      <c r="C117" s="889"/>
      <c r="D117" s="889"/>
      <c r="E117" s="889"/>
      <c r="F117" s="889"/>
      <c r="G117" s="889"/>
      <c r="H117" s="889"/>
      <c r="I117" s="889"/>
      <c r="J117" s="889"/>
      <c r="K117" s="889"/>
      <c r="L117" s="889"/>
      <c r="M117" s="889"/>
      <c r="N117" s="889"/>
      <c r="O117" s="889"/>
      <c r="P117" s="889"/>
      <c r="Q117" s="889"/>
      <c r="R117" s="889"/>
      <c r="S117" s="889"/>
      <c r="T117" s="889"/>
      <c r="U117" s="889"/>
      <c r="V117" s="889"/>
      <c r="W117" s="889"/>
      <c r="X117" s="889"/>
      <c r="Y117" s="889"/>
      <c r="Z117" s="889"/>
      <c r="AA117" s="889"/>
      <c r="AB117" s="889"/>
      <c r="AC117" s="889"/>
      <c r="AD117" s="889"/>
      <c r="AE117" s="889"/>
      <c r="AF117" s="889"/>
    </row>
    <row r="118" spans="1:32" ht="36" customHeight="1" x14ac:dyDescent="0.3">
      <c r="A118" s="370" t="s">
        <v>803</v>
      </c>
      <c r="B118" s="884" t="s">
        <v>4551</v>
      </c>
      <c r="C118" s="884"/>
      <c r="D118" s="884"/>
      <c r="E118" s="884"/>
      <c r="F118" s="884"/>
      <c r="G118" s="884"/>
      <c r="H118" s="884"/>
      <c r="I118" s="884"/>
      <c r="J118" s="884"/>
      <c r="K118" s="884"/>
      <c r="L118" s="884"/>
      <c r="M118" s="884"/>
      <c r="N118" s="884"/>
      <c r="O118" s="884"/>
      <c r="P118" s="884"/>
      <c r="Q118" s="884"/>
      <c r="R118" s="884"/>
      <c r="S118" s="884"/>
      <c r="T118" s="884"/>
      <c r="U118" s="884"/>
      <c r="V118" s="884"/>
      <c r="W118" s="884"/>
      <c r="X118" s="884"/>
      <c r="Y118" s="884"/>
      <c r="Z118" s="884"/>
      <c r="AA118" s="884"/>
      <c r="AB118" s="884"/>
      <c r="AC118" s="884"/>
      <c r="AD118" s="884"/>
      <c r="AE118" s="884"/>
      <c r="AF118" s="884"/>
    </row>
    <row r="119" spans="1:32" ht="35.4" customHeight="1" x14ac:dyDescent="0.3">
      <c r="A119" s="370" t="s">
        <v>803</v>
      </c>
      <c r="B119" s="884" t="s">
        <v>4552</v>
      </c>
      <c r="C119" s="884"/>
      <c r="D119" s="884"/>
      <c r="E119" s="884"/>
      <c r="F119" s="884"/>
      <c r="G119" s="884"/>
      <c r="H119" s="884"/>
      <c r="I119" s="884"/>
      <c r="J119" s="884"/>
      <c r="K119" s="884"/>
      <c r="L119" s="884"/>
      <c r="M119" s="884"/>
      <c r="N119" s="884"/>
      <c r="O119" s="884"/>
      <c r="P119" s="884"/>
      <c r="Q119" s="884"/>
      <c r="R119" s="884"/>
      <c r="S119" s="884"/>
      <c r="T119" s="884"/>
      <c r="U119" s="884"/>
      <c r="V119" s="884"/>
      <c r="W119" s="884"/>
      <c r="X119" s="884"/>
      <c r="Y119" s="884"/>
      <c r="Z119" s="884"/>
      <c r="AA119" s="884"/>
      <c r="AB119" s="884"/>
      <c r="AC119" s="884"/>
      <c r="AD119" s="884"/>
      <c r="AE119" s="884"/>
      <c r="AF119" s="884"/>
    </row>
    <row r="120" spans="1:32" ht="139.5" customHeight="1" x14ac:dyDescent="0.3">
      <c r="A120" s="368" t="s">
        <v>803</v>
      </c>
      <c r="B120" s="884" t="s">
        <v>2843</v>
      </c>
      <c r="C120" s="884"/>
      <c r="D120" s="884"/>
      <c r="E120" s="884"/>
      <c r="F120" s="884"/>
      <c r="G120" s="884"/>
      <c r="H120" s="884"/>
      <c r="I120" s="884"/>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row>
    <row r="121" spans="1:32" x14ac:dyDescent="0.3">
      <c r="A121" s="368" t="s">
        <v>803</v>
      </c>
      <c r="B121" s="953" t="s">
        <v>1567</v>
      </c>
      <c r="C121" s="953"/>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3"/>
      <c r="AE121" s="953"/>
      <c r="AF121" s="953"/>
    </row>
    <row r="122" spans="1:32" ht="51" customHeight="1" x14ac:dyDescent="0.3">
      <c r="A122" s="368" t="s">
        <v>803</v>
      </c>
      <c r="B122" s="953" t="s">
        <v>3340</v>
      </c>
      <c r="C122" s="953"/>
      <c r="D122" s="953"/>
      <c r="E122" s="953"/>
      <c r="F122" s="953"/>
      <c r="G122" s="953"/>
      <c r="H122" s="953"/>
      <c r="I122" s="953"/>
      <c r="J122" s="953"/>
      <c r="K122" s="953"/>
      <c r="L122" s="953"/>
      <c r="M122" s="953"/>
      <c r="N122" s="953"/>
      <c r="O122" s="953"/>
      <c r="P122" s="953"/>
      <c r="Q122" s="953"/>
      <c r="R122" s="953"/>
      <c r="S122" s="953"/>
      <c r="T122" s="953"/>
      <c r="U122" s="953"/>
      <c r="V122" s="953"/>
      <c r="W122" s="953"/>
      <c r="X122" s="953"/>
      <c r="Y122" s="953"/>
      <c r="Z122" s="953"/>
      <c r="AA122" s="953"/>
      <c r="AB122" s="953"/>
      <c r="AC122" s="953"/>
      <c r="AD122" s="953"/>
      <c r="AE122" s="953"/>
      <c r="AF122" s="953"/>
    </row>
    <row r="123" spans="1:32" x14ac:dyDescent="0.3">
      <c r="A123" s="368" t="s">
        <v>803</v>
      </c>
      <c r="B123" s="3078" t="s">
        <v>1568</v>
      </c>
      <c r="C123" s="3078"/>
      <c r="D123" s="3078"/>
      <c r="E123" s="3078"/>
      <c r="F123" s="3078"/>
      <c r="G123" s="3078"/>
      <c r="H123" s="3078"/>
      <c r="I123" s="3078"/>
      <c r="J123" s="3078"/>
      <c r="K123" s="3078"/>
      <c r="L123" s="3078"/>
      <c r="M123" s="3078"/>
      <c r="N123" s="3078"/>
      <c r="O123" s="3078"/>
      <c r="P123" s="3078"/>
      <c r="Q123" s="3078"/>
      <c r="R123" s="3078"/>
      <c r="S123" s="3078"/>
      <c r="T123" s="3078"/>
      <c r="U123" s="3078"/>
      <c r="V123" s="3078"/>
      <c r="W123" s="3078"/>
      <c r="X123" s="3078"/>
      <c r="Y123" s="3078"/>
      <c r="Z123" s="3078"/>
      <c r="AA123" s="3078"/>
      <c r="AB123" s="3078"/>
      <c r="AC123" s="3078"/>
      <c r="AD123" s="3078"/>
      <c r="AE123" s="3078"/>
      <c r="AF123" s="3078"/>
    </row>
    <row r="124" spans="1:32" ht="33" customHeight="1" x14ac:dyDescent="0.3">
      <c r="A124" s="368" t="s">
        <v>803</v>
      </c>
      <c r="B124" s="953" t="s">
        <v>1569</v>
      </c>
      <c r="C124" s="953"/>
      <c r="D124" s="953"/>
      <c r="E124" s="953"/>
      <c r="F124" s="953"/>
      <c r="G124" s="953"/>
      <c r="H124" s="953"/>
      <c r="I124" s="953"/>
      <c r="J124" s="953"/>
      <c r="K124" s="953"/>
      <c r="L124" s="953"/>
      <c r="M124" s="953"/>
      <c r="N124" s="953"/>
      <c r="O124" s="953"/>
      <c r="P124" s="953"/>
      <c r="Q124" s="953"/>
      <c r="R124" s="953"/>
      <c r="S124" s="953"/>
      <c r="T124" s="953"/>
      <c r="U124" s="953"/>
      <c r="V124" s="953"/>
      <c r="W124" s="953"/>
      <c r="X124" s="953"/>
      <c r="Y124" s="953"/>
      <c r="Z124" s="953"/>
      <c r="AA124" s="953"/>
      <c r="AB124" s="953"/>
      <c r="AC124" s="953"/>
      <c r="AD124" s="953"/>
      <c r="AE124" s="953"/>
      <c r="AF124" s="953"/>
    </row>
    <row r="125" spans="1:32" ht="48" customHeight="1" x14ac:dyDescent="0.3">
      <c r="A125" s="368" t="s">
        <v>803</v>
      </c>
      <c r="B125" s="953" t="s">
        <v>1843</v>
      </c>
      <c r="C125" s="953"/>
      <c r="D125" s="953"/>
      <c r="E125" s="953"/>
      <c r="F125" s="953"/>
      <c r="G125" s="953"/>
      <c r="H125" s="953"/>
      <c r="I125" s="953"/>
      <c r="J125" s="953"/>
      <c r="K125" s="953"/>
      <c r="L125" s="953"/>
      <c r="M125" s="953"/>
      <c r="N125" s="953"/>
      <c r="O125" s="953"/>
      <c r="P125" s="953"/>
      <c r="Q125" s="953"/>
      <c r="R125" s="953"/>
      <c r="S125" s="953"/>
      <c r="T125" s="953"/>
      <c r="U125" s="953"/>
      <c r="V125" s="953"/>
      <c r="W125" s="953"/>
      <c r="X125" s="953"/>
      <c r="Y125" s="953"/>
      <c r="Z125" s="953"/>
      <c r="AA125" s="953"/>
      <c r="AB125" s="953"/>
      <c r="AC125" s="953"/>
      <c r="AD125" s="953"/>
      <c r="AE125" s="953"/>
      <c r="AF125" s="953"/>
    </row>
    <row r="126" spans="1:32" x14ac:dyDescent="0.3">
      <c r="A126" s="368" t="s">
        <v>803</v>
      </c>
      <c r="B126" s="953" t="s">
        <v>2156</v>
      </c>
      <c r="C126" s="953"/>
      <c r="D126" s="953"/>
      <c r="E126" s="953"/>
      <c r="F126" s="953"/>
      <c r="G126" s="953"/>
      <c r="H126" s="953"/>
      <c r="I126" s="953"/>
      <c r="J126" s="953"/>
      <c r="K126" s="953"/>
      <c r="L126" s="953"/>
      <c r="M126" s="953"/>
      <c r="N126" s="953"/>
      <c r="O126" s="953"/>
      <c r="P126" s="953"/>
      <c r="Q126" s="953"/>
      <c r="R126" s="953"/>
      <c r="S126" s="953"/>
      <c r="T126" s="953"/>
      <c r="U126" s="953"/>
      <c r="V126" s="953"/>
      <c r="W126" s="953"/>
      <c r="X126" s="953"/>
      <c r="Y126" s="953"/>
      <c r="Z126" s="953"/>
      <c r="AA126" s="953"/>
      <c r="AB126" s="953"/>
      <c r="AC126" s="953"/>
      <c r="AD126" s="953"/>
      <c r="AE126" s="953"/>
      <c r="AF126" s="953"/>
    </row>
    <row r="127" spans="1:32" x14ac:dyDescent="0.3">
      <c r="A127" s="368" t="s">
        <v>803</v>
      </c>
      <c r="B127" s="953" t="s">
        <v>1570</v>
      </c>
      <c r="C127" s="953"/>
      <c r="D127" s="953"/>
      <c r="E127" s="953"/>
      <c r="F127" s="953"/>
      <c r="G127" s="953"/>
      <c r="H127" s="953"/>
      <c r="I127" s="953"/>
      <c r="J127" s="953"/>
      <c r="K127" s="953"/>
      <c r="L127" s="953"/>
      <c r="M127" s="953"/>
      <c r="N127" s="953"/>
      <c r="O127" s="953"/>
      <c r="P127" s="953"/>
      <c r="Q127" s="953"/>
      <c r="R127" s="953"/>
      <c r="S127" s="953"/>
      <c r="T127" s="953"/>
      <c r="U127" s="953"/>
      <c r="V127" s="953"/>
      <c r="W127" s="953"/>
      <c r="X127" s="953"/>
      <c r="Y127" s="953"/>
      <c r="Z127" s="953"/>
      <c r="AA127" s="953"/>
      <c r="AB127" s="953"/>
      <c r="AC127" s="953"/>
      <c r="AD127" s="953"/>
      <c r="AE127" s="953"/>
      <c r="AF127" s="953"/>
    </row>
    <row r="128" spans="1:32" ht="31.5" customHeight="1" x14ac:dyDescent="0.3">
      <c r="A128" s="368" t="s">
        <v>803</v>
      </c>
      <c r="B128" s="953" t="s">
        <v>1850</v>
      </c>
      <c r="C128" s="953"/>
      <c r="D128" s="953"/>
      <c r="E128" s="953"/>
      <c r="F128" s="953"/>
      <c r="G128" s="953"/>
      <c r="H128" s="953"/>
      <c r="I128" s="953"/>
      <c r="J128" s="953"/>
      <c r="K128" s="953"/>
      <c r="L128" s="953"/>
      <c r="M128" s="953"/>
      <c r="N128" s="953"/>
      <c r="O128" s="953"/>
      <c r="P128" s="953"/>
      <c r="Q128" s="953"/>
      <c r="R128" s="953"/>
      <c r="S128" s="953"/>
      <c r="T128" s="953"/>
      <c r="U128" s="953"/>
      <c r="V128" s="953"/>
      <c r="W128" s="953"/>
      <c r="X128" s="953"/>
      <c r="Y128" s="953"/>
      <c r="Z128" s="953"/>
      <c r="AA128" s="953"/>
      <c r="AB128" s="953"/>
      <c r="AC128" s="953"/>
      <c r="AD128" s="953"/>
      <c r="AE128" s="953"/>
      <c r="AF128" s="953"/>
    </row>
    <row r="129" spans="1:32" x14ac:dyDescent="0.3">
      <c r="A129" s="368" t="s">
        <v>803</v>
      </c>
      <c r="B129" s="953" t="s">
        <v>1571</v>
      </c>
      <c r="C129" s="953"/>
      <c r="D129" s="953"/>
      <c r="E129" s="953"/>
      <c r="F129" s="953"/>
      <c r="G129" s="953"/>
      <c r="H129" s="953"/>
      <c r="I129" s="953"/>
      <c r="J129" s="953"/>
      <c r="K129" s="953"/>
      <c r="L129" s="953"/>
      <c r="M129" s="953"/>
      <c r="N129" s="953"/>
      <c r="O129" s="953"/>
      <c r="P129" s="953"/>
      <c r="Q129" s="953"/>
      <c r="R129" s="953"/>
      <c r="S129" s="953"/>
      <c r="T129" s="953"/>
      <c r="U129" s="953"/>
      <c r="V129" s="953"/>
      <c r="W129" s="953"/>
      <c r="X129" s="953"/>
      <c r="Y129" s="953"/>
      <c r="Z129" s="953"/>
      <c r="AA129" s="953"/>
      <c r="AB129" s="953"/>
      <c r="AC129" s="953"/>
      <c r="AD129" s="953"/>
      <c r="AE129" s="953"/>
      <c r="AF129" s="953"/>
    </row>
    <row r="130" spans="1:32" x14ac:dyDescent="0.3">
      <c r="A130" s="368" t="s">
        <v>803</v>
      </c>
      <c r="B130" s="953" t="s">
        <v>1885</v>
      </c>
      <c r="C130" s="953"/>
      <c r="D130" s="953"/>
      <c r="E130" s="953"/>
      <c r="F130" s="953"/>
      <c r="G130" s="953"/>
      <c r="H130" s="953"/>
      <c r="I130" s="953"/>
      <c r="J130" s="953"/>
      <c r="K130" s="953"/>
      <c r="L130" s="953"/>
      <c r="M130" s="953"/>
      <c r="N130" s="953"/>
      <c r="O130" s="953"/>
      <c r="P130" s="953"/>
      <c r="Q130" s="953"/>
      <c r="R130" s="953"/>
      <c r="S130" s="953"/>
      <c r="T130" s="953"/>
      <c r="U130" s="953"/>
      <c r="V130" s="953"/>
      <c r="W130" s="953"/>
      <c r="X130" s="953"/>
      <c r="Y130" s="953"/>
      <c r="Z130" s="953"/>
      <c r="AA130" s="953"/>
      <c r="AB130" s="953"/>
      <c r="AC130" s="953"/>
      <c r="AD130" s="953"/>
      <c r="AE130" s="953"/>
      <c r="AF130" s="953"/>
    </row>
    <row r="131" spans="1:32" x14ac:dyDescent="0.3">
      <c r="A131" s="368" t="s">
        <v>803</v>
      </c>
      <c r="B131" s="953" t="s">
        <v>1572</v>
      </c>
      <c r="C131" s="953"/>
      <c r="D131" s="953"/>
      <c r="E131" s="953"/>
      <c r="F131" s="953"/>
      <c r="G131" s="953"/>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row>
    <row r="132" spans="1:32" ht="63" customHeight="1" x14ac:dyDescent="0.3">
      <c r="A132" s="368" t="s">
        <v>803</v>
      </c>
      <c r="B132" s="953" t="s">
        <v>2180</v>
      </c>
      <c r="C132" s="953"/>
      <c r="D132" s="953"/>
      <c r="E132" s="953"/>
      <c r="F132" s="953"/>
      <c r="G132" s="953"/>
      <c r="H132" s="953"/>
      <c r="I132" s="953"/>
      <c r="J132" s="953"/>
      <c r="K132" s="953"/>
      <c r="L132" s="953"/>
      <c r="M132" s="953"/>
      <c r="N132" s="953"/>
      <c r="O132" s="953"/>
      <c r="P132" s="953"/>
      <c r="Q132" s="953"/>
      <c r="R132" s="953"/>
      <c r="S132" s="953"/>
      <c r="T132" s="953"/>
      <c r="U132" s="953"/>
      <c r="V132" s="953"/>
      <c r="W132" s="953"/>
      <c r="X132" s="953"/>
      <c r="Y132" s="953"/>
      <c r="Z132" s="953"/>
      <c r="AA132" s="953"/>
      <c r="AB132" s="953"/>
      <c r="AC132" s="953"/>
      <c r="AD132" s="953"/>
      <c r="AE132" s="953"/>
      <c r="AF132" s="953"/>
    </row>
    <row r="133" spans="1:32" x14ac:dyDescent="0.3">
      <c r="A133" s="368" t="s">
        <v>803</v>
      </c>
      <c r="B133" s="953" t="s">
        <v>1832</v>
      </c>
      <c r="C133" s="953"/>
      <c r="D133" s="953"/>
      <c r="E133" s="953"/>
      <c r="F133" s="953"/>
      <c r="G133" s="953"/>
      <c r="H133" s="953"/>
      <c r="I133" s="953"/>
      <c r="J133" s="953"/>
      <c r="K133" s="953"/>
      <c r="L133" s="953"/>
      <c r="M133" s="953"/>
      <c r="N133" s="953"/>
      <c r="O133" s="953"/>
      <c r="P133" s="953"/>
      <c r="Q133" s="953"/>
      <c r="R133" s="953"/>
      <c r="S133" s="953"/>
      <c r="T133" s="953"/>
      <c r="U133" s="953"/>
      <c r="V133" s="953"/>
      <c r="W133" s="953"/>
      <c r="X133" s="953"/>
      <c r="Y133" s="953"/>
      <c r="Z133" s="953"/>
      <c r="AA133" s="953"/>
      <c r="AB133" s="953"/>
      <c r="AC133" s="953"/>
      <c r="AD133" s="953"/>
      <c r="AE133" s="953"/>
      <c r="AF133" s="953"/>
    </row>
    <row r="134" spans="1:32" ht="32.25" customHeight="1" x14ac:dyDescent="0.3">
      <c r="A134" s="368" t="s">
        <v>803</v>
      </c>
      <c r="B134" s="953" t="s">
        <v>1352</v>
      </c>
      <c r="C134" s="953"/>
      <c r="D134" s="953"/>
      <c r="E134" s="953"/>
      <c r="F134" s="953"/>
      <c r="G134" s="953"/>
      <c r="H134" s="953"/>
      <c r="I134" s="953"/>
      <c r="J134" s="953"/>
      <c r="K134" s="953"/>
      <c r="L134" s="953"/>
      <c r="M134" s="953"/>
      <c r="N134" s="953"/>
      <c r="O134" s="953"/>
      <c r="P134" s="953"/>
      <c r="Q134" s="953"/>
      <c r="R134" s="953"/>
      <c r="S134" s="953"/>
      <c r="T134" s="953"/>
      <c r="U134" s="953"/>
      <c r="V134" s="953"/>
      <c r="W134" s="953"/>
      <c r="X134" s="953"/>
      <c r="Y134" s="953"/>
      <c r="Z134" s="953"/>
      <c r="AA134" s="953"/>
      <c r="AB134" s="953"/>
      <c r="AC134" s="953"/>
      <c r="AD134" s="953"/>
      <c r="AE134" s="953"/>
      <c r="AF134" s="953"/>
    </row>
    <row r="135" spans="1:32" ht="33.75" customHeight="1" x14ac:dyDescent="0.3">
      <c r="A135" s="368" t="s">
        <v>803</v>
      </c>
      <c r="B135" s="953" t="s">
        <v>1575</v>
      </c>
      <c r="C135" s="953"/>
      <c r="D135" s="953"/>
      <c r="E135" s="953"/>
      <c r="F135" s="953"/>
      <c r="G135" s="953"/>
      <c r="H135" s="953"/>
      <c r="I135" s="953"/>
      <c r="J135" s="953"/>
      <c r="K135" s="953"/>
      <c r="L135" s="953"/>
      <c r="M135" s="953"/>
      <c r="N135" s="953"/>
      <c r="O135" s="953"/>
      <c r="P135" s="953"/>
      <c r="Q135" s="953"/>
      <c r="R135" s="953"/>
      <c r="S135" s="953"/>
      <c r="T135" s="953"/>
      <c r="U135" s="953"/>
      <c r="V135" s="953"/>
      <c r="W135" s="953"/>
      <c r="X135" s="953"/>
      <c r="Y135" s="953"/>
      <c r="Z135" s="953"/>
      <c r="AA135" s="953"/>
      <c r="AB135" s="953"/>
      <c r="AC135" s="953"/>
      <c r="AD135" s="953"/>
      <c r="AE135" s="953"/>
      <c r="AF135" s="953"/>
    </row>
    <row r="136" spans="1:32" x14ac:dyDescent="0.3">
      <c r="A136" s="368" t="s">
        <v>803</v>
      </c>
      <c r="B136" s="953" t="s">
        <v>1510</v>
      </c>
      <c r="C136" s="953"/>
      <c r="D136" s="953"/>
      <c r="E136" s="953"/>
      <c r="F136" s="953"/>
      <c r="G136" s="953"/>
      <c r="H136" s="953"/>
      <c r="I136" s="953"/>
      <c r="J136" s="953"/>
      <c r="K136" s="953"/>
      <c r="L136" s="953"/>
      <c r="M136" s="953"/>
      <c r="N136" s="953"/>
      <c r="O136" s="953"/>
      <c r="P136" s="953"/>
      <c r="Q136" s="953"/>
      <c r="R136" s="953"/>
      <c r="S136" s="953"/>
      <c r="T136" s="953"/>
      <c r="U136" s="953"/>
      <c r="V136" s="953"/>
      <c r="W136" s="953"/>
      <c r="X136" s="953"/>
      <c r="Y136" s="953"/>
      <c r="Z136" s="953"/>
      <c r="AA136" s="953"/>
      <c r="AB136" s="953"/>
      <c r="AC136" s="953"/>
      <c r="AD136" s="953"/>
      <c r="AE136" s="953"/>
      <c r="AF136" s="953"/>
    </row>
    <row r="137" spans="1:32" ht="35.25" customHeight="1" x14ac:dyDescent="0.3">
      <c r="A137" s="368" t="s">
        <v>803</v>
      </c>
      <c r="B137" s="953" t="s">
        <v>1851</v>
      </c>
      <c r="C137" s="953"/>
      <c r="D137" s="953"/>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row>
  </sheetData>
  <sheetProtection algorithmName="SHA-512" hashValue="dKtyzCi7QUfQYwmw9MAfGwL3/U+sGJnlUPYnu+I/s97fBcg/5evcoDp3JTVVJqQggwyg/7SLzr46LNRhtn2rfg==" saltValue="CF4AauQzVtg8mIT9C6YVWw==" spinCount="100000" sheet="1" objects="1" scenarios="1"/>
  <mergeCells count="168">
    <mergeCell ref="A3:AF3"/>
    <mergeCell ref="B5:AF5"/>
    <mergeCell ref="B137:AF137"/>
    <mergeCell ref="B126:AF126"/>
    <mergeCell ref="B133:AF133"/>
    <mergeCell ref="B134:AF134"/>
    <mergeCell ref="B135:AF135"/>
    <mergeCell ref="B136:AF136"/>
    <mergeCell ref="B129:AF129"/>
    <mergeCell ref="B130:AF130"/>
    <mergeCell ref="B131:AF131"/>
    <mergeCell ref="B132:AF132"/>
    <mergeCell ref="B124:AF124"/>
    <mergeCell ref="B125:AF125"/>
    <mergeCell ref="B127:AF127"/>
    <mergeCell ref="B128:AF128"/>
    <mergeCell ref="B120:AF120"/>
    <mergeCell ref="B121:AF121"/>
    <mergeCell ref="B122:AF122"/>
    <mergeCell ref="B123:AF123"/>
    <mergeCell ref="A112:H112"/>
    <mergeCell ref="I112:P112"/>
    <mergeCell ref="Q112:X112"/>
    <mergeCell ref="A115:AF115"/>
    <mergeCell ref="Y96:AF96"/>
    <mergeCell ref="D107:H107"/>
    <mergeCell ref="A99:AF99"/>
    <mergeCell ref="B103:AF103"/>
    <mergeCell ref="D104:H104"/>
    <mergeCell ref="B109:AF109"/>
    <mergeCell ref="D110:H110"/>
    <mergeCell ref="B117:AF117"/>
    <mergeCell ref="A80:AF80"/>
    <mergeCell ref="A83:AF83"/>
    <mergeCell ref="I87:P87"/>
    <mergeCell ref="Q87:X87"/>
    <mergeCell ref="Y87:AF87"/>
    <mergeCell ref="A89:H89"/>
    <mergeCell ref="A81:AF81"/>
    <mergeCell ref="A87:H88"/>
    <mergeCell ref="I88:L88"/>
    <mergeCell ref="M88:P88"/>
    <mergeCell ref="Q88:T88"/>
    <mergeCell ref="U88:X88"/>
    <mergeCell ref="A69:D69"/>
    <mergeCell ref="E69:P69"/>
    <mergeCell ref="Q69:T69"/>
    <mergeCell ref="U69:W69"/>
    <mergeCell ref="X69:AF69"/>
    <mergeCell ref="A77:D77"/>
    <mergeCell ref="E77:P77"/>
    <mergeCell ref="Q77:T77"/>
    <mergeCell ref="U77:W77"/>
    <mergeCell ref="X77:AF77"/>
    <mergeCell ref="A73:D73"/>
    <mergeCell ref="E73:P73"/>
    <mergeCell ref="Q73:T73"/>
    <mergeCell ref="U73:W73"/>
    <mergeCell ref="X73:AF73"/>
    <mergeCell ref="A74:D74"/>
    <mergeCell ref="E74:P74"/>
    <mergeCell ref="Q74:T74"/>
    <mergeCell ref="U74:W74"/>
    <mergeCell ref="X74:AF74"/>
    <mergeCell ref="A72:D72"/>
    <mergeCell ref="E72:P72"/>
    <mergeCell ref="Q72:T72"/>
    <mergeCell ref="U72:W72"/>
    <mergeCell ref="A67:D67"/>
    <mergeCell ref="E67:P67"/>
    <mergeCell ref="Q67:T67"/>
    <mergeCell ref="U67:W67"/>
    <mergeCell ref="X67:AF67"/>
    <mergeCell ref="A68:D68"/>
    <mergeCell ref="E68:P68"/>
    <mergeCell ref="Q68:T68"/>
    <mergeCell ref="U68:W68"/>
    <mergeCell ref="X68:AF68"/>
    <mergeCell ref="X72:AF72"/>
    <mergeCell ref="A70:D70"/>
    <mergeCell ref="E70:P70"/>
    <mergeCell ref="Q70:T70"/>
    <mergeCell ref="U70:W70"/>
    <mergeCell ref="X70:AF70"/>
    <mergeCell ref="A71:D71"/>
    <mergeCell ref="E71:P71"/>
    <mergeCell ref="Q71:T71"/>
    <mergeCell ref="U71:W71"/>
    <mergeCell ref="X71:AF71"/>
    <mergeCell ref="E61:P61"/>
    <mergeCell ref="A66:D66"/>
    <mergeCell ref="E66:P66"/>
    <mergeCell ref="Q66:T66"/>
    <mergeCell ref="U66:W66"/>
    <mergeCell ref="X66:AF66"/>
    <mergeCell ref="A65:D65"/>
    <mergeCell ref="E65:P65"/>
    <mergeCell ref="Q65:T65"/>
    <mergeCell ref="U65:W65"/>
    <mergeCell ref="X65:AF65"/>
    <mergeCell ref="A64:D64"/>
    <mergeCell ref="E64:P64"/>
    <mergeCell ref="Q64:T64"/>
    <mergeCell ref="U64:W64"/>
    <mergeCell ref="X64:AF64"/>
    <mergeCell ref="A63:D63"/>
    <mergeCell ref="E63:P63"/>
    <mergeCell ref="Q63:T63"/>
    <mergeCell ref="U63:W63"/>
    <mergeCell ref="X63:AF63"/>
    <mergeCell ref="B23:AF23"/>
    <mergeCell ref="B21:AF21"/>
    <mergeCell ref="A62:D62"/>
    <mergeCell ref="E62:P62"/>
    <mergeCell ref="Q62:T62"/>
    <mergeCell ref="U62:W62"/>
    <mergeCell ref="X62:AF62"/>
    <mergeCell ref="A1:AF1"/>
    <mergeCell ref="Q61:T61"/>
    <mergeCell ref="U61:W61"/>
    <mergeCell ref="X61:AF61"/>
    <mergeCell ref="A7:AF7"/>
    <mergeCell ref="B9:I9"/>
    <mergeCell ref="B10:AF10"/>
    <mergeCell ref="B12:I12"/>
    <mergeCell ref="B17:I17"/>
    <mergeCell ref="B13:AF13"/>
    <mergeCell ref="B15:AF15"/>
    <mergeCell ref="B18:AF18"/>
    <mergeCell ref="B20:I20"/>
    <mergeCell ref="B26:AF26"/>
    <mergeCell ref="A28:AF28"/>
    <mergeCell ref="A60:AF60"/>
    <mergeCell ref="A61:D61"/>
    <mergeCell ref="A75:D76"/>
    <mergeCell ref="E75:P76"/>
    <mergeCell ref="Q75:R75"/>
    <mergeCell ref="S75:T75"/>
    <mergeCell ref="U75:W76"/>
    <mergeCell ref="X75:AF76"/>
    <mergeCell ref="Q76:R76"/>
    <mergeCell ref="S76:T76"/>
    <mergeCell ref="A79:AF79"/>
    <mergeCell ref="A78:AF78"/>
    <mergeCell ref="B118:AF118"/>
    <mergeCell ref="B119:AF119"/>
    <mergeCell ref="Y88:AB88"/>
    <mergeCell ref="AC88:AF88"/>
    <mergeCell ref="I89:L89"/>
    <mergeCell ref="M89:P89"/>
    <mergeCell ref="Q89:T89"/>
    <mergeCell ref="U89:X89"/>
    <mergeCell ref="Y89:AB89"/>
    <mergeCell ref="AC89:AF89"/>
    <mergeCell ref="A97:AF97"/>
    <mergeCell ref="A91:AF91"/>
    <mergeCell ref="A95:H95"/>
    <mergeCell ref="I95:P95"/>
    <mergeCell ref="Q95:X95"/>
    <mergeCell ref="Y95:AF95"/>
    <mergeCell ref="A96:H96"/>
    <mergeCell ref="I96:P96"/>
    <mergeCell ref="Q96:X96"/>
    <mergeCell ref="Y112:AF112"/>
    <mergeCell ref="A113:H113"/>
    <mergeCell ref="I113:P113"/>
    <mergeCell ref="Q113:X113"/>
    <mergeCell ref="Y113:AF113"/>
  </mergeCells>
  <hyperlinks>
    <hyperlink ref="A2" location="TOC!A1" display="Return to TOC" xr:uid="{00000000-0004-0000-57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2:AF38 AF39:AF42 AF43:AF52 AF56:AF58"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700-000000000000}">
          <x14:formula1>
            <xm:f>Dropdown!$D$6:$D$7</xm:f>
          </x14:formula1>
          <xm:sqref>D104:H104 D110:H110</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79998168889431442"/>
    <pageSetUpPr autoPageBreaks="0"/>
  </sheetPr>
  <dimension ref="A1:AF97"/>
  <sheetViews>
    <sheetView workbookViewId="0">
      <selection sqref="A1:AF1"/>
    </sheetView>
  </sheetViews>
  <sheetFormatPr defaultColWidth="2.6640625" defaultRowHeight="14.4" x14ac:dyDescent="0.3"/>
  <cols>
    <col min="1" max="32" width="2.6640625" style="94"/>
  </cols>
  <sheetData>
    <row r="1" spans="1:32" ht="18" x14ac:dyDescent="0.3">
      <c r="A1" s="1131" t="s">
        <v>3450</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5763</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382"/>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50.25" customHeight="1" x14ac:dyDescent="0.3">
      <c r="A10" s="122"/>
      <c r="B10" s="1258" t="s">
        <v>3665</v>
      </c>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x14ac:dyDescent="0.3">
      <c r="A13" s="121"/>
      <c r="B13" s="1258" t="s">
        <v>3560</v>
      </c>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3080</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3">
      <c r="A19" s="121"/>
      <c r="B19" s="1258" t="s">
        <v>3627</v>
      </c>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row>
    <row r="20" spans="1:32" x14ac:dyDescent="0.3">
      <c r="A20" s="121"/>
      <c r="B20" s="1258" t="s">
        <v>3628</v>
      </c>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row>
    <row r="21" spans="1:32" x14ac:dyDescent="0.3">
      <c r="A21" s="121"/>
      <c r="B21" s="122"/>
      <c r="C21" s="122"/>
      <c r="D21" s="122"/>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row>
    <row r="22" spans="1:32" x14ac:dyDescent="0.3">
      <c r="A22" s="121"/>
      <c r="B22" s="1518" t="s">
        <v>13</v>
      </c>
      <c r="C22" s="1518"/>
      <c r="D22" s="1518"/>
      <c r="E22" s="1518"/>
      <c r="F22" s="1518"/>
      <c r="G22" s="1518"/>
      <c r="H22" s="1518"/>
      <c r="I22" s="1518"/>
      <c r="J22" s="1518"/>
      <c r="K22" s="121"/>
      <c r="L22" s="121"/>
      <c r="M22" s="121"/>
      <c r="N22" s="121"/>
      <c r="O22" s="121"/>
      <c r="P22" s="121"/>
      <c r="Q22" s="121"/>
      <c r="R22" s="121"/>
      <c r="S22" s="121"/>
      <c r="T22" s="121"/>
      <c r="U22" s="121"/>
      <c r="V22" s="121"/>
      <c r="W22" s="121"/>
      <c r="X22" s="121"/>
      <c r="Y22" s="121"/>
      <c r="Z22" s="121"/>
      <c r="AA22" s="121"/>
      <c r="AB22" s="121"/>
      <c r="AC22" s="121"/>
      <c r="AD22" s="121"/>
      <c r="AE22" s="121"/>
      <c r="AF22" s="121"/>
    </row>
    <row r="23" spans="1:32" x14ac:dyDescent="0.3">
      <c r="A23" s="121"/>
      <c r="B23" s="1258" t="s">
        <v>3666</v>
      </c>
      <c r="C23" s="1372"/>
      <c r="D23" s="1372"/>
      <c r="E23" s="1372"/>
      <c r="F23" s="1372"/>
      <c r="G23" s="1372"/>
      <c r="H23" s="1372"/>
      <c r="I23" s="1372"/>
      <c r="J23" s="1372"/>
      <c r="K23" s="1372"/>
      <c r="L23" s="1372"/>
      <c r="M23" s="1372"/>
      <c r="N23" s="1372"/>
      <c r="O23" s="1372"/>
      <c r="P23" s="1372"/>
      <c r="Q23" s="1372"/>
      <c r="R23" s="1372"/>
      <c r="S23" s="1372"/>
      <c r="T23" s="1372"/>
      <c r="U23" s="1372"/>
      <c r="V23" s="1372"/>
      <c r="W23" s="1372"/>
      <c r="X23" s="1372"/>
      <c r="Y23" s="1372"/>
      <c r="Z23" s="1372"/>
      <c r="AA23" s="1372"/>
      <c r="AB23" s="1372"/>
      <c r="AC23" s="1372"/>
      <c r="AD23" s="1372"/>
      <c r="AE23" s="1372"/>
      <c r="AF23" s="1372"/>
    </row>
    <row r="24" spans="1:32" ht="30.6" customHeight="1" x14ac:dyDescent="0.3">
      <c r="A24" s="121"/>
      <c r="B24" s="370" t="s">
        <v>803</v>
      </c>
      <c r="C24" s="889" t="s">
        <v>3620</v>
      </c>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row>
    <row r="25" spans="1:32" x14ac:dyDescent="0.3">
      <c r="A25" s="121"/>
      <c r="B25" s="370" t="s">
        <v>803</v>
      </c>
      <c r="C25" s="889" t="s">
        <v>3621</v>
      </c>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89"/>
    </row>
    <row r="26" spans="1:32" x14ac:dyDescent="0.3">
      <c r="A26" s="121"/>
      <c r="B26" s="370" t="s">
        <v>803</v>
      </c>
      <c r="C26" s="889" t="s">
        <v>3622</v>
      </c>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89"/>
    </row>
    <row r="27" spans="1:32" x14ac:dyDescent="0.3">
      <c r="A27" s="121"/>
      <c r="B27" s="370"/>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row>
    <row r="28" spans="1:32" ht="79.5" customHeight="1" x14ac:dyDescent="0.3">
      <c r="A28" s="121"/>
      <c r="B28" s="889" t="s">
        <v>3667</v>
      </c>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row>
    <row r="29" spans="1:32" x14ac:dyDescent="0.3">
      <c r="A29" s="121"/>
      <c r="B29" s="12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row>
    <row r="30" spans="1:32" ht="30.6" customHeight="1" x14ac:dyDescent="0.3">
      <c r="A30" s="121"/>
      <c r="B30" s="1258" t="s">
        <v>3629</v>
      </c>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c r="Y30" s="1372"/>
      <c r="Z30" s="1372"/>
      <c r="AA30" s="1372"/>
      <c r="AB30" s="1372"/>
      <c r="AC30" s="1372"/>
      <c r="AD30" s="1372"/>
      <c r="AE30" s="1372"/>
      <c r="AF30" s="1372"/>
    </row>
    <row r="31" spans="1:32" x14ac:dyDescent="0.3">
      <c r="A31" s="121"/>
      <c r="B31" s="12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ht="45.75" customHeight="1" x14ac:dyDescent="0.3">
      <c r="A32" s="121"/>
      <c r="B32" s="889" t="s">
        <v>5779</v>
      </c>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row>
    <row r="33" spans="1:32" x14ac:dyDescent="0.3">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3">
      <c r="A34" s="1290" t="s">
        <v>7</v>
      </c>
      <c r="B34" s="1290"/>
      <c r="C34" s="1290"/>
      <c r="D34" s="1290"/>
      <c r="E34" s="1290"/>
      <c r="F34" s="1290"/>
      <c r="G34" s="1290"/>
      <c r="H34" s="1290"/>
      <c r="I34" s="1290"/>
      <c r="J34" s="1290"/>
      <c r="K34" s="1290"/>
      <c r="L34" s="1290"/>
      <c r="M34" s="1290"/>
      <c r="N34" s="1290"/>
      <c r="O34" s="1290"/>
      <c r="P34" s="1290"/>
      <c r="Q34" s="1290"/>
      <c r="R34" s="1290"/>
      <c r="S34" s="1290"/>
      <c r="T34" s="1290"/>
      <c r="U34" s="1290"/>
      <c r="V34" s="1290"/>
      <c r="W34" s="1290"/>
      <c r="X34" s="1290"/>
      <c r="Y34" s="1290"/>
      <c r="Z34" s="1290"/>
      <c r="AA34" s="1290"/>
      <c r="AB34" s="1290"/>
      <c r="AC34" s="1290"/>
      <c r="AD34" s="1290"/>
      <c r="AE34" s="1290"/>
      <c r="AF34" s="1290"/>
    </row>
    <row r="35" spans="1:32" x14ac:dyDescent="0.3">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row>
    <row r="36" spans="1:32" x14ac:dyDescent="0.3">
      <c r="A36" s="121"/>
      <c r="B36" s="372" t="s">
        <v>2137</v>
      </c>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row>
    <row r="38" spans="1:32"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272" t="s">
        <v>1463</v>
      </c>
    </row>
    <row r="39" spans="1:32" x14ac:dyDescent="0.3">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272"/>
    </row>
    <row r="40" spans="1:32" x14ac:dyDescent="0.3">
      <c r="A40" s="121"/>
      <c r="B40" s="267" t="s">
        <v>2025</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x14ac:dyDescent="0.3">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row>
    <row r="42" spans="1:32"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272" t="s">
        <v>1464</v>
      </c>
    </row>
    <row r="43" spans="1:32" x14ac:dyDescent="0.3">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3">
      <c r="A44" s="121"/>
      <c r="B44" s="267" t="s">
        <v>1811</v>
      </c>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272"/>
    </row>
    <row r="45" spans="1:32" x14ac:dyDescent="0.3">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row>
    <row r="46" spans="1:32" x14ac:dyDescent="0.3">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t="s">
        <v>1465</v>
      </c>
    </row>
    <row r="47" spans="1:32" x14ac:dyDescent="0.3">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272"/>
    </row>
    <row r="48" spans="1:32" x14ac:dyDescent="0.3">
      <c r="A48" s="121"/>
      <c r="B48" s="267" t="s">
        <v>2897</v>
      </c>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272"/>
    </row>
    <row r="49" spans="1:32" x14ac:dyDescent="0.3">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row>
    <row r="50" spans="1:32"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272" t="s">
        <v>1517</v>
      </c>
    </row>
    <row r="51" spans="1:32" x14ac:dyDescent="0.3">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3">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272" t="s">
        <v>1556</v>
      </c>
    </row>
    <row r="53" spans="1:32"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row>
    <row r="54" spans="1:32" x14ac:dyDescent="0.3">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row>
    <row r="55" spans="1:32" x14ac:dyDescent="0.3">
      <c r="A55" s="1290" t="s">
        <v>8</v>
      </c>
      <c r="B55" s="1290"/>
      <c r="C55" s="1290"/>
      <c r="D55" s="1290"/>
      <c r="E55" s="1290"/>
      <c r="F55" s="1290"/>
      <c r="G55" s="1290"/>
      <c r="H55" s="1290"/>
      <c r="I55" s="1290"/>
      <c r="J55" s="1290"/>
      <c r="K55" s="1290"/>
      <c r="L55" s="1290"/>
      <c r="M55" s="1290"/>
      <c r="N55" s="1290"/>
      <c r="O55" s="1290"/>
      <c r="P55" s="1290"/>
      <c r="Q55" s="1290"/>
      <c r="R55" s="1290"/>
      <c r="S55" s="1290"/>
      <c r="T55" s="1290"/>
      <c r="U55" s="1290"/>
      <c r="V55" s="1290"/>
      <c r="W55" s="1290"/>
      <c r="X55" s="1290"/>
      <c r="Y55" s="1290"/>
      <c r="Z55" s="1290"/>
      <c r="AA55" s="1290"/>
      <c r="AB55" s="1290"/>
      <c r="AC55" s="1290"/>
      <c r="AD55" s="1290"/>
      <c r="AE55" s="1290"/>
      <c r="AF55" s="1290"/>
    </row>
    <row r="56" spans="1:32" x14ac:dyDescent="0.3">
      <c r="A56" s="1405" t="s">
        <v>9</v>
      </c>
      <c r="B56" s="1405"/>
      <c r="C56" s="1405"/>
      <c r="D56" s="1405"/>
      <c r="E56" s="1405" t="s">
        <v>3</v>
      </c>
      <c r="F56" s="1405"/>
      <c r="G56" s="1405"/>
      <c r="H56" s="1405"/>
      <c r="I56" s="1405"/>
      <c r="J56" s="1405"/>
      <c r="K56" s="1405"/>
      <c r="L56" s="1405"/>
      <c r="M56" s="1405"/>
      <c r="N56" s="1405"/>
      <c r="O56" s="1405"/>
      <c r="P56" s="1405"/>
      <c r="Q56" s="1405" t="s">
        <v>10</v>
      </c>
      <c r="R56" s="1405"/>
      <c r="S56" s="1405"/>
      <c r="T56" s="1405"/>
      <c r="U56" s="1366" t="s">
        <v>11</v>
      </c>
      <c r="V56" s="1367"/>
      <c r="W56" s="1368"/>
      <c r="X56" s="1366" t="s">
        <v>1466</v>
      </c>
      <c r="Y56" s="1367"/>
      <c r="Z56" s="1367"/>
      <c r="AA56" s="1367"/>
      <c r="AB56" s="1367"/>
      <c r="AC56" s="1367"/>
      <c r="AD56" s="1367"/>
      <c r="AE56" s="1367"/>
      <c r="AF56" s="1368"/>
    </row>
    <row r="57" spans="1:32" ht="30" customHeight="1" x14ac:dyDescent="0.3">
      <c r="A57" s="1349" t="s">
        <v>3576</v>
      </c>
      <c r="B57" s="1350" t="s">
        <v>272</v>
      </c>
      <c r="C57" s="1350" t="s">
        <v>272</v>
      </c>
      <c r="D57" s="1351" t="s">
        <v>272</v>
      </c>
      <c r="E57" s="1163" t="s">
        <v>3561</v>
      </c>
      <c r="F57" s="1164" t="s">
        <v>517</v>
      </c>
      <c r="G57" s="1164" t="s">
        <v>517</v>
      </c>
      <c r="H57" s="1164" t="s">
        <v>517</v>
      </c>
      <c r="I57" s="1164" t="s">
        <v>517</v>
      </c>
      <c r="J57" s="1164" t="s">
        <v>517</v>
      </c>
      <c r="K57" s="1164" t="s">
        <v>517</v>
      </c>
      <c r="L57" s="1164" t="s">
        <v>517</v>
      </c>
      <c r="M57" s="1164" t="s">
        <v>517</v>
      </c>
      <c r="N57" s="1164" t="s">
        <v>517</v>
      </c>
      <c r="O57" s="1164" t="s">
        <v>517</v>
      </c>
      <c r="P57" s="1165" t="s">
        <v>517</v>
      </c>
      <c r="Q57" s="3098" t="s">
        <v>516</v>
      </c>
      <c r="R57" s="3099"/>
      <c r="S57" s="3099"/>
      <c r="T57" s="3100"/>
      <c r="U57" s="1352" t="s">
        <v>269</v>
      </c>
      <c r="V57" s="1353"/>
      <c r="W57" s="1354"/>
      <c r="X57" s="1385" t="s">
        <v>3562</v>
      </c>
      <c r="Y57" s="1385"/>
      <c r="Z57" s="1385"/>
      <c r="AA57" s="1385"/>
      <c r="AB57" s="1385"/>
      <c r="AC57" s="1385"/>
      <c r="AD57" s="1385"/>
      <c r="AE57" s="1385"/>
      <c r="AF57" s="1385"/>
    </row>
    <row r="58" spans="1:32" ht="30" customHeight="1" x14ac:dyDescent="0.3">
      <c r="A58" s="1349" t="s">
        <v>3577</v>
      </c>
      <c r="B58" s="1350" t="s">
        <v>518</v>
      </c>
      <c r="C58" s="1350" t="s">
        <v>518</v>
      </c>
      <c r="D58" s="1351" t="s">
        <v>518</v>
      </c>
      <c r="E58" s="1163" t="s">
        <v>3563</v>
      </c>
      <c r="F58" s="1164" t="s">
        <v>514</v>
      </c>
      <c r="G58" s="1164" t="s">
        <v>514</v>
      </c>
      <c r="H58" s="1164" t="s">
        <v>514</v>
      </c>
      <c r="I58" s="1164" t="s">
        <v>514</v>
      </c>
      <c r="J58" s="1164" t="s">
        <v>514</v>
      </c>
      <c r="K58" s="1164" t="s">
        <v>514</v>
      </c>
      <c r="L58" s="1164" t="s">
        <v>514</v>
      </c>
      <c r="M58" s="1164" t="s">
        <v>514</v>
      </c>
      <c r="N58" s="1164" t="s">
        <v>514</v>
      </c>
      <c r="O58" s="1164" t="s">
        <v>514</v>
      </c>
      <c r="P58" s="1165" t="s">
        <v>514</v>
      </c>
      <c r="Q58" s="3098" t="s">
        <v>516</v>
      </c>
      <c r="R58" s="3099"/>
      <c r="S58" s="3099"/>
      <c r="T58" s="3100"/>
      <c r="U58" s="1352" t="s">
        <v>269</v>
      </c>
      <c r="V58" s="1353"/>
      <c r="W58" s="1354"/>
      <c r="X58" s="1385" t="s">
        <v>3564</v>
      </c>
      <c r="Y58" s="1385"/>
      <c r="Z58" s="1385"/>
      <c r="AA58" s="1385"/>
      <c r="AB58" s="1385"/>
      <c r="AC58" s="1385"/>
      <c r="AD58" s="1385"/>
      <c r="AE58" s="1385"/>
      <c r="AF58" s="1385"/>
    </row>
    <row r="59" spans="1:32" ht="48.75" customHeight="1" x14ac:dyDescent="0.3">
      <c r="A59" s="1349" t="s">
        <v>1522</v>
      </c>
      <c r="B59" s="1350"/>
      <c r="C59" s="1350"/>
      <c r="D59" s="1351"/>
      <c r="E59" s="1163" t="s">
        <v>1845</v>
      </c>
      <c r="F59" s="1164"/>
      <c r="G59" s="1164"/>
      <c r="H59" s="1164"/>
      <c r="I59" s="1164"/>
      <c r="J59" s="1164"/>
      <c r="K59" s="1164"/>
      <c r="L59" s="1164"/>
      <c r="M59" s="1164"/>
      <c r="N59" s="1164"/>
      <c r="O59" s="1164"/>
      <c r="P59" s="1165"/>
      <c r="Q59" s="1330">
        <v>0.97</v>
      </c>
      <c r="R59" s="1331"/>
      <c r="S59" s="1331"/>
      <c r="T59" s="1332"/>
      <c r="U59" s="1365" t="s">
        <v>20</v>
      </c>
      <c r="V59" s="1353"/>
      <c r="W59" s="1354"/>
      <c r="X59" s="1385" t="s">
        <v>3578</v>
      </c>
      <c r="Y59" s="1385"/>
      <c r="Z59" s="1385"/>
      <c r="AA59" s="1385"/>
      <c r="AB59" s="1385"/>
      <c r="AC59" s="1385"/>
      <c r="AD59" s="1385"/>
      <c r="AE59" s="1385"/>
      <c r="AF59" s="1385"/>
    </row>
    <row r="60" spans="1:32" ht="104.25" customHeight="1" x14ac:dyDescent="0.3">
      <c r="A60" s="1157" t="s">
        <v>3579</v>
      </c>
      <c r="B60" s="1158"/>
      <c r="C60" s="1158"/>
      <c r="D60" s="1159"/>
      <c r="E60" s="1163" t="s">
        <v>3565</v>
      </c>
      <c r="F60" s="1164"/>
      <c r="G60" s="1164"/>
      <c r="H60" s="1164"/>
      <c r="I60" s="1164"/>
      <c r="J60" s="1164"/>
      <c r="K60" s="1164"/>
      <c r="L60" s="1164"/>
      <c r="M60" s="1164"/>
      <c r="N60" s="1164"/>
      <c r="O60" s="1164"/>
      <c r="P60" s="1165"/>
      <c r="Q60" s="1166">
        <v>0.48</v>
      </c>
      <c r="R60" s="1167"/>
      <c r="S60" s="1167"/>
      <c r="T60" s="1168"/>
      <c r="U60" s="3065" t="s">
        <v>20</v>
      </c>
      <c r="V60" s="1167"/>
      <c r="W60" s="1168"/>
      <c r="X60" s="1163" t="s">
        <v>3902</v>
      </c>
      <c r="Y60" s="1164"/>
      <c r="Z60" s="1164"/>
      <c r="AA60" s="1164"/>
      <c r="AB60" s="1164"/>
      <c r="AC60" s="1164"/>
      <c r="AD60" s="1164"/>
      <c r="AE60" s="1164"/>
      <c r="AF60" s="1165"/>
    </row>
    <row r="61" spans="1:32" ht="45" customHeight="1" x14ac:dyDescent="0.3">
      <c r="A61" s="1160"/>
      <c r="B61" s="1161"/>
      <c r="C61" s="1161"/>
      <c r="D61" s="1162"/>
      <c r="E61" s="1163" t="s">
        <v>3566</v>
      </c>
      <c r="F61" s="1164"/>
      <c r="G61" s="1164"/>
      <c r="H61" s="1164"/>
      <c r="I61" s="1164"/>
      <c r="J61" s="1164"/>
      <c r="K61" s="1164"/>
      <c r="L61" s="1164"/>
      <c r="M61" s="1164"/>
      <c r="N61" s="1164"/>
      <c r="O61" s="1164"/>
      <c r="P61" s="1165"/>
      <c r="Q61" s="1166">
        <v>0</v>
      </c>
      <c r="R61" s="1167"/>
      <c r="S61" s="1167"/>
      <c r="T61" s="1168"/>
      <c r="U61" s="3065" t="s">
        <v>20</v>
      </c>
      <c r="V61" s="1167"/>
      <c r="W61" s="1168"/>
      <c r="X61" s="1163" t="s">
        <v>3567</v>
      </c>
      <c r="Y61" s="1164"/>
      <c r="Z61" s="1164"/>
      <c r="AA61" s="1164"/>
      <c r="AB61" s="1164"/>
      <c r="AC61" s="1164"/>
      <c r="AD61" s="1164"/>
      <c r="AE61" s="1164"/>
      <c r="AF61" s="1165"/>
    </row>
    <row r="62" spans="1:32" ht="45" customHeight="1" x14ac:dyDescent="0.3">
      <c r="A62" s="1349" t="s">
        <v>3580</v>
      </c>
      <c r="B62" s="1350"/>
      <c r="C62" s="1350"/>
      <c r="D62" s="1351"/>
      <c r="E62" s="1163" t="s">
        <v>1531</v>
      </c>
      <c r="F62" s="1164"/>
      <c r="G62" s="1164"/>
      <c r="H62" s="1164"/>
      <c r="I62" s="1164"/>
      <c r="J62" s="1164"/>
      <c r="K62" s="1164"/>
      <c r="L62" s="1164"/>
      <c r="M62" s="1164"/>
      <c r="N62" s="1164"/>
      <c r="O62" s="1164"/>
      <c r="P62" s="1165"/>
      <c r="Q62" s="1330">
        <v>1.3</v>
      </c>
      <c r="R62" s="1331"/>
      <c r="S62" s="1331"/>
      <c r="T62" s="1332"/>
      <c r="U62" s="1365" t="s">
        <v>20</v>
      </c>
      <c r="V62" s="1353"/>
      <c r="W62" s="1354"/>
      <c r="X62" s="1385" t="s">
        <v>3568</v>
      </c>
      <c r="Y62" s="1385"/>
      <c r="Z62" s="1385"/>
      <c r="AA62" s="1385"/>
      <c r="AB62" s="1385"/>
      <c r="AC62" s="1385"/>
      <c r="AD62" s="1385"/>
      <c r="AE62" s="1385"/>
      <c r="AF62" s="1385"/>
    </row>
    <row r="63" spans="1:32" ht="45" customHeight="1" x14ac:dyDescent="0.3">
      <c r="A63" s="1349" t="s">
        <v>3581</v>
      </c>
      <c r="B63" s="1350"/>
      <c r="C63" s="1350"/>
      <c r="D63" s="1351"/>
      <c r="E63" s="1163" t="s">
        <v>1530</v>
      </c>
      <c r="F63" s="1164"/>
      <c r="G63" s="1164"/>
      <c r="H63" s="1164"/>
      <c r="I63" s="1164"/>
      <c r="J63" s="1164"/>
      <c r="K63" s="1164"/>
      <c r="L63" s="1164"/>
      <c r="M63" s="1164"/>
      <c r="N63" s="1164"/>
      <c r="O63" s="1164"/>
      <c r="P63" s="1165"/>
      <c r="Q63" s="1166">
        <v>1.35</v>
      </c>
      <c r="R63" s="1167"/>
      <c r="S63" s="1167"/>
      <c r="T63" s="1168"/>
      <c r="U63" s="1365" t="s">
        <v>20</v>
      </c>
      <c r="V63" s="1353"/>
      <c r="W63" s="1354"/>
      <c r="X63" s="1385" t="s">
        <v>3568</v>
      </c>
      <c r="Y63" s="1385"/>
      <c r="Z63" s="1385"/>
      <c r="AA63" s="1385"/>
      <c r="AB63" s="1385"/>
      <c r="AC63" s="1385"/>
      <c r="AD63" s="1385"/>
      <c r="AE63" s="1385"/>
      <c r="AF63" s="1385"/>
    </row>
    <row r="64" spans="1:32" ht="30" customHeight="1" x14ac:dyDescent="0.3">
      <c r="A64" s="1349" t="s">
        <v>443</v>
      </c>
      <c r="B64" s="1350" t="s">
        <v>443</v>
      </c>
      <c r="C64" s="1350" t="s">
        <v>443</v>
      </c>
      <c r="D64" s="1351" t="s">
        <v>443</v>
      </c>
      <c r="E64" s="1163" t="s">
        <v>1460</v>
      </c>
      <c r="F64" s="1164" t="s">
        <v>444</v>
      </c>
      <c r="G64" s="1164" t="s">
        <v>444</v>
      </c>
      <c r="H64" s="1164" t="s">
        <v>444</v>
      </c>
      <c r="I64" s="1164" t="s">
        <v>444</v>
      </c>
      <c r="J64" s="1164" t="s">
        <v>444</v>
      </c>
      <c r="K64" s="1164" t="s">
        <v>444</v>
      </c>
      <c r="L64" s="1164" t="s">
        <v>444</v>
      </c>
      <c r="M64" s="1164" t="s">
        <v>444</v>
      </c>
      <c r="N64" s="1164" t="s">
        <v>444</v>
      </c>
      <c r="O64" s="1164" t="s">
        <v>444</v>
      </c>
      <c r="P64" s="1165" t="s">
        <v>444</v>
      </c>
      <c r="Q64" s="1166" t="s">
        <v>516</v>
      </c>
      <c r="R64" s="1167"/>
      <c r="S64" s="1167"/>
      <c r="T64" s="1168"/>
      <c r="U64" s="1166" t="s">
        <v>20</v>
      </c>
      <c r="V64" s="1167"/>
      <c r="W64" s="1168"/>
      <c r="X64" s="1385" t="s">
        <v>3582</v>
      </c>
      <c r="Y64" s="1385"/>
      <c r="Z64" s="1385"/>
      <c r="AA64" s="1385"/>
      <c r="AB64" s="1385"/>
      <c r="AC64" s="1385"/>
      <c r="AD64" s="1385"/>
      <c r="AE64" s="1385"/>
      <c r="AF64" s="1385"/>
    </row>
    <row r="65" spans="1:32" ht="45" customHeight="1" x14ac:dyDescent="0.3">
      <c r="A65" s="1349" t="s">
        <v>1524</v>
      </c>
      <c r="B65" s="1350"/>
      <c r="C65" s="1350"/>
      <c r="D65" s="1351"/>
      <c r="E65" s="1163" t="s">
        <v>3569</v>
      </c>
      <c r="F65" s="1164"/>
      <c r="G65" s="1164"/>
      <c r="H65" s="1164"/>
      <c r="I65" s="1164"/>
      <c r="J65" s="1164"/>
      <c r="K65" s="1164"/>
      <c r="L65" s="1164"/>
      <c r="M65" s="1164"/>
      <c r="N65" s="1164"/>
      <c r="O65" s="1164"/>
      <c r="P65" s="1165"/>
      <c r="Q65" s="1166" t="s">
        <v>516</v>
      </c>
      <c r="R65" s="1167"/>
      <c r="S65" s="1167"/>
      <c r="T65" s="1168"/>
      <c r="U65" s="1365" t="s">
        <v>37</v>
      </c>
      <c r="V65" s="1353"/>
      <c r="W65" s="1354"/>
      <c r="X65" s="1385" t="s">
        <v>3570</v>
      </c>
      <c r="Y65" s="1385"/>
      <c r="Z65" s="1385"/>
      <c r="AA65" s="1385"/>
      <c r="AB65" s="1385"/>
      <c r="AC65" s="1385"/>
      <c r="AD65" s="1385"/>
      <c r="AE65" s="1385"/>
      <c r="AF65" s="1385"/>
    </row>
    <row r="66" spans="1:32" ht="30" customHeight="1" x14ac:dyDescent="0.3">
      <c r="A66" s="2970" t="s">
        <v>3583</v>
      </c>
      <c r="B66" s="1350" t="s">
        <v>34</v>
      </c>
      <c r="C66" s="1350" t="s">
        <v>34</v>
      </c>
      <c r="D66" s="1351" t="s">
        <v>34</v>
      </c>
      <c r="E66" s="1163" t="s">
        <v>644</v>
      </c>
      <c r="F66" s="1164" t="s">
        <v>234</v>
      </c>
      <c r="G66" s="1164" t="s">
        <v>234</v>
      </c>
      <c r="H66" s="1164" t="s">
        <v>234</v>
      </c>
      <c r="I66" s="1164" t="s">
        <v>234</v>
      </c>
      <c r="J66" s="1164" t="s">
        <v>234</v>
      </c>
      <c r="K66" s="1164" t="s">
        <v>234</v>
      </c>
      <c r="L66" s="1164" t="s">
        <v>234</v>
      </c>
      <c r="M66" s="1164" t="s">
        <v>234</v>
      </c>
      <c r="N66" s="1164" t="s">
        <v>234</v>
      </c>
      <c r="O66" s="1164" t="s">
        <v>234</v>
      </c>
      <c r="P66" s="1165" t="s">
        <v>234</v>
      </c>
      <c r="Q66" s="1166">
        <v>1</v>
      </c>
      <c r="R66" s="1167">
        <v>0.96</v>
      </c>
      <c r="S66" s="1167">
        <v>0.96</v>
      </c>
      <c r="T66" s="1168">
        <v>0.96</v>
      </c>
      <c r="U66" s="1352" t="s">
        <v>20</v>
      </c>
      <c r="V66" s="1353"/>
      <c r="W66" s="1354"/>
      <c r="X66" s="1349"/>
      <c r="Y66" s="1350"/>
      <c r="Z66" s="1350"/>
      <c r="AA66" s="1350"/>
      <c r="AB66" s="1350"/>
      <c r="AC66" s="1350"/>
      <c r="AD66" s="1350"/>
      <c r="AE66" s="1350"/>
      <c r="AF66" s="1351"/>
    </row>
    <row r="67" spans="1:32" ht="30" customHeight="1" x14ac:dyDescent="0.3">
      <c r="A67" s="1349" t="s">
        <v>3584</v>
      </c>
      <c r="B67" s="1350" t="s">
        <v>26</v>
      </c>
      <c r="C67" s="1350" t="s">
        <v>26</v>
      </c>
      <c r="D67" s="1351" t="s">
        <v>26</v>
      </c>
      <c r="E67" s="1349" t="s">
        <v>2051</v>
      </c>
      <c r="F67" s="1350" t="s">
        <v>208</v>
      </c>
      <c r="G67" s="1350" t="s">
        <v>208</v>
      </c>
      <c r="H67" s="1350" t="s">
        <v>208</v>
      </c>
      <c r="I67" s="1350" t="s">
        <v>208</v>
      </c>
      <c r="J67" s="1350" t="s">
        <v>208</v>
      </c>
      <c r="K67" s="1350" t="s">
        <v>208</v>
      </c>
      <c r="L67" s="1350" t="s">
        <v>208</v>
      </c>
      <c r="M67" s="1350" t="s">
        <v>208</v>
      </c>
      <c r="N67" s="1350" t="s">
        <v>208</v>
      </c>
      <c r="O67" s="1350" t="s">
        <v>208</v>
      </c>
      <c r="P67" s="1351" t="s">
        <v>208</v>
      </c>
      <c r="Q67" s="1166" t="s">
        <v>516</v>
      </c>
      <c r="R67" s="1167"/>
      <c r="S67" s="1167"/>
      <c r="T67" s="1168"/>
      <c r="U67" s="1352" t="s">
        <v>38</v>
      </c>
      <c r="V67" s="1353"/>
      <c r="W67" s="1354"/>
      <c r="X67" s="1163" t="s">
        <v>3619</v>
      </c>
      <c r="Y67" s="1164"/>
      <c r="Z67" s="1164"/>
      <c r="AA67" s="1164"/>
      <c r="AB67" s="1164"/>
      <c r="AC67" s="1164"/>
      <c r="AD67" s="1164"/>
      <c r="AE67" s="1164"/>
      <c r="AF67" s="1165"/>
    </row>
    <row r="68" spans="1:32" ht="45" customHeight="1" x14ac:dyDescent="0.3">
      <c r="A68" s="2854" t="s">
        <v>3585</v>
      </c>
      <c r="B68" s="2854"/>
      <c r="C68" s="2854"/>
      <c r="D68" s="2854"/>
      <c r="E68" s="2854"/>
      <c r="F68" s="2854"/>
      <c r="G68" s="2854"/>
      <c r="H68" s="2854"/>
      <c r="I68" s="2854"/>
      <c r="J68" s="2854"/>
      <c r="K68" s="2854"/>
      <c r="L68" s="2854"/>
      <c r="M68" s="2854"/>
      <c r="N68" s="2854"/>
      <c r="O68" s="2854"/>
      <c r="P68" s="2854"/>
      <c r="Q68" s="2854"/>
      <c r="R68" s="2854"/>
      <c r="S68" s="2854"/>
      <c r="T68" s="2854"/>
      <c r="U68" s="2854"/>
      <c r="V68" s="2854"/>
      <c r="W68" s="2854"/>
      <c r="X68" s="2854"/>
      <c r="Y68" s="2854"/>
      <c r="Z68" s="2854"/>
      <c r="AA68" s="2854"/>
      <c r="AB68" s="2854"/>
      <c r="AC68" s="2854"/>
      <c r="AD68" s="2854"/>
      <c r="AE68" s="2854"/>
      <c r="AF68" s="2854"/>
    </row>
    <row r="69" spans="1:32" ht="30" customHeight="1" x14ac:dyDescent="0.3">
      <c r="A69" s="1355" t="s">
        <v>3586</v>
      </c>
      <c r="B69" s="1355"/>
      <c r="C69" s="1355"/>
      <c r="D69" s="1355"/>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row>
    <row r="70" spans="1:32" x14ac:dyDescent="0.3">
      <c r="A70" s="482" t="s">
        <v>3587</v>
      </c>
      <c r="B70" s="483"/>
      <c r="C70" s="483"/>
      <c r="D70" s="483"/>
      <c r="E70" s="484"/>
      <c r="F70" s="484"/>
      <c r="G70" s="484"/>
      <c r="H70" s="484"/>
      <c r="I70" s="484"/>
      <c r="J70" s="484"/>
      <c r="K70" s="484"/>
      <c r="L70" s="484"/>
      <c r="M70" s="484"/>
      <c r="N70" s="484"/>
      <c r="O70" s="484"/>
      <c r="P70" s="484"/>
      <c r="Q70" s="485"/>
      <c r="R70" s="485"/>
      <c r="S70" s="485"/>
      <c r="T70" s="485"/>
      <c r="U70" s="486"/>
      <c r="V70" s="486"/>
      <c r="W70" s="486"/>
      <c r="X70" s="486"/>
      <c r="Y70" s="486"/>
      <c r="Z70" s="486"/>
      <c r="AA70" s="486"/>
      <c r="AB70" s="486"/>
      <c r="AC70" s="486"/>
      <c r="AD70" s="486"/>
      <c r="AE70" s="486"/>
      <c r="AF70" s="486"/>
    </row>
    <row r="71" spans="1:32" x14ac:dyDescent="0.3">
      <c r="A71" s="487"/>
    </row>
    <row r="72" spans="1:32" x14ac:dyDescent="0.3">
      <c r="A72" s="487"/>
      <c r="B72" s="276" t="s">
        <v>3571</v>
      </c>
    </row>
    <row r="73" spans="1:32" ht="15.6" x14ac:dyDescent="0.3">
      <c r="B73" s="3089" t="s">
        <v>15</v>
      </c>
      <c r="C73" s="3090"/>
      <c r="D73" s="3090"/>
      <c r="E73" s="3090"/>
      <c r="F73" s="3090"/>
      <c r="G73" s="3090"/>
      <c r="H73" s="3090"/>
      <c r="I73" s="3091"/>
      <c r="J73" s="3092" t="s">
        <v>3588</v>
      </c>
      <c r="K73" s="3093"/>
      <c r="L73" s="3093"/>
      <c r="M73" s="3094"/>
      <c r="N73" s="3092" t="s">
        <v>3589</v>
      </c>
      <c r="O73" s="3093"/>
      <c r="P73" s="3093"/>
      <c r="Q73" s="3094"/>
      <c r="R73" s="3092" t="s">
        <v>1524</v>
      </c>
      <c r="S73" s="3093"/>
      <c r="T73" s="3093"/>
      <c r="U73" s="3094"/>
      <c r="V73" s="3092" t="s">
        <v>443</v>
      </c>
      <c r="W73" s="3093"/>
      <c r="X73" s="3093"/>
      <c r="Y73" s="3094"/>
      <c r="Z73" s="3092" t="s">
        <v>2562</v>
      </c>
      <c r="AA73" s="3093"/>
      <c r="AB73" s="3093"/>
      <c r="AC73" s="3094"/>
    </row>
    <row r="74" spans="1:32" ht="28.5" customHeight="1" x14ac:dyDescent="0.3">
      <c r="B74" s="3095" t="s">
        <v>3623</v>
      </c>
      <c r="C74" s="3096"/>
      <c r="D74" s="3096"/>
      <c r="E74" s="3096"/>
      <c r="F74" s="3096"/>
      <c r="G74" s="3096"/>
      <c r="H74" s="3096"/>
      <c r="I74" s="3097"/>
      <c r="J74" s="3098">
        <v>31</v>
      </c>
      <c r="K74" s="3099"/>
      <c r="L74" s="3099"/>
      <c r="M74" s="3100"/>
      <c r="N74" s="3098">
        <v>18</v>
      </c>
      <c r="O74" s="3099"/>
      <c r="P74" s="3099"/>
      <c r="Q74" s="3100"/>
      <c r="R74" s="1166">
        <f>ROUND(2.2*365,0)</f>
        <v>803</v>
      </c>
      <c r="S74" s="1167"/>
      <c r="T74" s="1167"/>
      <c r="U74" s="1168"/>
      <c r="V74" s="1166">
        <v>0.16</v>
      </c>
      <c r="W74" s="1167"/>
      <c r="X74" s="1167"/>
      <c r="Y74" s="1168"/>
      <c r="Z74" s="1166">
        <f>ROUND((24000/R74)/3,0)</f>
        <v>10</v>
      </c>
      <c r="AA74" s="1167"/>
      <c r="AB74" s="1167"/>
      <c r="AC74" s="1168"/>
    </row>
    <row r="75" spans="1:32" ht="32.25" customHeight="1" x14ac:dyDescent="0.3">
      <c r="B75" s="3104" t="s">
        <v>3624</v>
      </c>
      <c r="C75" s="3105"/>
      <c r="D75" s="3105"/>
      <c r="E75" s="3105"/>
      <c r="F75" s="3105"/>
      <c r="G75" s="3105"/>
      <c r="H75" s="3105"/>
      <c r="I75" s="3106"/>
      <c r="J75" s="3098">
        <v>31</v>
      </c>
      <c r="K75" s="3099"/>
      <c r="L75" s="3099"/>
      <c r="M75" s="3100"/>
      <c r="N75" s="3098">
        <v>16</v>
      </c>
      <c r="O75" s="3099"/>
      <c r="P75" s="3099"/>
      <c r="Q75" s="3100"/>
      <c r="R75" s="1166">
        <f>ROUND(2.2*365,0)</f>
        <v>803</v>
      </c>
      <c r="S75" s="1167"/>
      <c r="T75" s="1167"/>
      <c r="U75" s="1168"/>
      <c r="V75" s="1166">
        <v>0.16</v>
      </c>
      <c r="W75" s="1167"/>
      <c r="X75" s="1167"/>
      <c r="Y75" s="1168"/>
      <c r="Z75" s="1166">
        <v>25</v>
      </c>
      <c r="AA75" s="1167"/>
      <c r="AB75" s="1167"/>
      <c r="AC75" s="1168"/>
    </row>
    <row r="76" spans="1:32" ht="26.25" customHeight="1" x14ac:dyDescent="0.3">
      <c r="B76" s="3095" t="s">
        <v>3573</v>
      </c>
      <c r="C76" s="3096"/>
      <c r="D76" s="3096"/>
      <c r="E76" s="3096"/>
      <c r="F76" s="3096"/>
      <c r="G76" s="3096"/>
      <c r="H76" s="3096"/>
      <c r="I76" s="3097"/>
      <c r="J76" s="3098">
        <f>J74*2</f>
        <v>62</v>
      </c>
      <c r="K76" s="3099"/>
      <c r="L76" s="3099"/>
      <c r="M76" s="3100"/>
      <c r="N76" s="3098">
        <v>32</v>
      </c>
      <c r="O76" s="3099"/>
      <c r="P76" s="3099"/>
      <c r="Q76" s="3100"/>
      <c r="R76" s="1166">
        <f>ROUND(1.1*365,0)</f>
        <v>402</v>
      </c>
      <c r="S76" s="1167"/>
      <c r="T76" s="1167"/>
      <c r="U76" s="1168"/>
      <c r="V76" s="1166">
        <v>0.12</v>
      </c>
      <c r="W76" s="1167"/>
      <c r="X76" s="1167"/>
      <c r="Y76" s="1168"/>
      <c r="Z76" s="1166">
        <v>25</v>
      </c>
      <c r="AA76" s="1167"/>
      <c r="AB76" s="1167"/>
      <c r="AC76" s="1168"/>
    </row>
    <row r="79" spans="1:32" x14ac:dyDescent="0.3">
      <c r="A79" s="1053" t="s">
        <v>14</v>
      </c>
      <c r="B79" s="1054"/>
      <c r="C79" s="1054"/>
      <c r="D79" s="1054"/>
      <c r="E79" s="1054"/>
      <c r="F79" s="1054"/>
      <c r="G79" s="1054"/>
      <c r="H79" s="1054"/>
      <c r="I79" s="1054"/>
      <c r="J79" s="1054"/>
      <c r="K79" s="1054"/>
      <c r="L79" s="1054"/>
      <c r="M79" s="1054"/>
      <c r="N79" s="1054"/>
      <c r="O79" s="1054"/>
      <c r="P79" s="1054"/>
      <c r="Q79" s="1054"/>
      <c r="R79" s="1054"/>
      <c r="S79" s="1054"/>
      <c r="T79" s="1054"/>
      <c r="U79" s="1054"/>
      <c r="V79" s="1054"/>
      <c r="W79" s="1054"/>
      <c r="X79" s="1054"/>
      <c r="Y79" s="1054"/>
      <c r="Z79" s="1054"/>
      <c r="AA79" s="1054"/>
      <c r="AB79" s="1054"/>
      <c r="AC79" s="1054"/>
      <c r="AD79" s="1054"/>
      <c r="AE79" s="1054"/>
      <c r="AF79" s="1055"/>
    </row>
    <row r="80" spans="1:32" ht="15" thickBot="1" x14ac:dyDescent="0.3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row>
    <row r="81" spans="1:32" ht="15" thickBot="1" x14ac:dyDescent="0.35">
      <c r="A81" s="3101" t="s">
        <v>15</v>
      </c>
      <c r="B81" s="3102"/>
      <c r="C81" s="3102"/>
      <c r="D81" s="3102"/>
      <c r="E81" s="3102"/>
      <c r="F81" s="3102"/>
      <c r="G81" s="3102"/>
      <c r="H81" s="3102"/>
      <c r="I81" s="3102" t="s">
        <v>16</v>
      </c>
      <c r="J81" s="3102"/>
      <c r="K81" s="3102"/>
      <c r="L81" s="3102"/>
      <c r="M81" s="3102"/>
      <c r="N81" s="3102"/>
      <c r="O81" s="3102"/>
      <c r="P81" s="3102"/>
      <c r="Q81" s="3102" t="s">
        <v>17</v>
      </c>
      <c r="R81" s="3102"/>
      <c r="S81" s="3102"/>
      <c r="T81" s="3102"/>
      <c r="U81" s="3102"/>
      <c r="V81" s="3102"/>
      <c r="W81" s="3102"/>
      <c r="X81" s="3102"/>
      <c r="Y81" s="3102" t="s">
        <v>1826</v>
      </c>
      <c r="Z81" s="3102"/>
      <c r="AA81" s="3102"/>
      <c r="AB81" s="3102"/>
      <c r="AC81" s="3102"/>
      <c r="AD81" s="3102"/>
      <c r="AE81" s="3102"/>
      <c r="AF81" s="3103"/>
    </row>
    <row r="82" spans="1:32" ht="50.25" customHeight="1" x14ac:dyDescent="0.3">
      <c r="A82" s="3081" t="s">
        <v>3625</v>
      </c>
      <c r="B82" s="3082"/>
      <c r="C82" s="3082"/>
      <c r="D82" s="3082"/>
      <c r="E82" s="3082"/>
      <c r="F82" s="3082"/>
      <c r="G82" s="3082"/>
      <c r="H82" s="3082"/>
      <c r="I82" s="3083">
        <f>ROUND(((J74-N74)/1000)*Q59*V74*(1+Q60*(Q62-1))*Q66, 3)</f>
        <v>2E-3</v>
      </c>
      <c r="J82" s="3083"/>
      <c r="K82" s="3083"/>
      <c r="L82" s="3083"/>
      <c r="M82" s="3083"/>
      <c r="N82" s="3083"/>
      <c r="O82" s="3083"/>
      <c r="P82" s="3083"/>
      <c r="Q82" s="3084">
        <f>ROUND(((J74-N74)/1000)*Q59*R74*(1+Q60*(Q63-1))*Q66, 2)</f>
        <v>11.83</v>
      </c>
      <c r="R82" s="3084"/>
      <c r="S82" s="3084"/>
      <c r="T82" s="3084"/>
      <c r="U82" s="3084"/>
      <c r="V82" s="3084"/>
      <c r="W82" s="3084"/>
      <c r="X82" s="3084"/>
      <c r="Y82" s="3085">
        <f>ROUND(Q82*Z74, 2)</f>
        <v>118.3</v>
      </c>
      <c r="Z82" s="3085"/>
      <c r="AA82" s="3085"/>
      <c r="AB82" s="3085"/>
      <c r="AC82" s="3085"/>
      <c r="AD82" s="3085"/>
      <c r="AE82" s="3085"/>
      <c r="AF82" s="3086"/>
    </row>
    <row r="83" spans="1:32" x14ac:dyDescent="0.3">
      <c r="A83" s="3087" t="s">
        <v>3626</v>
      </c>
      <c r="B83" s="3088"/>
      <c r="C83" s="3088"/>
      <c r="D83" s="3088"/>
      <c r="E83" s="3088"/>
      <c r="F83" s="3088"/>
      <c r="G83" s="3088"/>
      <c r="H83" s="3088"/>
      <c r="I83" s="3083">
        <f>ROUND(((J75-N75)/1000)*Q59*V75*(1+Q60*(Q62-1))*Q66, 3)</f>
        <v>3.0000000000000001E-3</v>
      </c>
      <c r="J83" s="3083"/>
      <c r="K83" s="3083"/>
      <c r="L83" s="3083"/>
      <c r="M83" s="3083"/>
      <c r="N83" s="3083"/>
      <c r="O83" s="3083"/>
      <c r="P83" s="3083"/>
      <c r="Q83" s="3084">
        <f>ROUND(((J75-N75)/1000)*Q59*R75*(1+Q60*(Q63-1))*Q66, 2)</f>
        <v>13.65</v>
      </c>
      <c r="R83" s="3084"/>
      <c r="S83" s="3084"/>
      <c r="T83" s="3084"/>
      <c r="U83" s="3084"/>
      <c r="V83" s="3084"/>
      <c r="W83" s="3084"/>
      <c r="X83" s="3084"/>
      <c r="Y83" s="3085">
        <f>ROUND(Q83*Z75, 2)</f>
        <v>341.25</v>
      </c>
      <c r="Z83" s="3085"/>
      <c r="AA83" s="3085"/>
      <c r="AB83" s="3085"/>
      <c r="AC83" s="3085"/>
      <c r="AD83" s="3085"/>
      <c r="AE83" s="3085"/>
      <c r="AF83" s="3086"/>
    </row>
    <row r="84" spans="1:32" ht="15" thickBot="1" x14ac:dyDescent="0.35">
      <c r="A84" s="2754" t="s">
        <v>3573</v>
      </c>
      <c r="B84" s="2755"/>
      <c r="C84" s="2755"/>
      <c r="D84" s="2755"/>
      <c r="E84" s="2755"/>
      <c r="F84" s="2755"/>
      <c r="G84" s="2755"/>
      <c r="H84" s="2755"/>
      <c r="I84" s="2756">
        <f>ROUND(((J76-N76)/1000)*Q59*V76*(1+Q61*(Q62-1))*Q66, 3)</f>
        <v>3.0000000000000001E-3</v>
      </c>
      <c r="J84" s="2756"/>
      <c r="K84" s="2756"/>
      <c r="L84" s="2756"/>
      <c r="M84" s="2756"/>
      <c r="N84" s="2756"/>
      <c r="O84" s="2756"/>
      <c r="P84" s="2756"/>
      <c r="Q84" s="2757">
        <f>ROUND(((J76-N76)/1000)*Q59*R76*(1+Q61*(Q63-1))*Q66, 2)</f>
        <v>11.7</v>
      </c>
      <c r="R84" s="2757"/>
      <c r="S84" s="2757"/>
      <c r="T84" s="2757"/>
      <c r="U84" s="2757"/>
      <c r="V84" s="2757"/>
      <c r="W84" s="2757"/>
      <c r="X84" s="2757"/>
      <c r="Y84" s="3079">
        <f>ROUND(Q84*Z76, 2)</f>
        <v>292.5</v>
      </c>
      <c r="Z84" s="3079"/>
      <c r="AA84" s="3079"/>
      <c r="AB84" s="3079"/>
      <c r="AC84" s="3079"/>
      <c r="AD84" s="3079"/>
      <c r="AE84" s="3079"/>
      <c r="AF84" s="3080"/>
    </row>
    <row r="87" spans="1:32" x14ac:dyDescent="0.3">
      <c r="A87" s="1290" t="s">
        <v>1514</v>
      </c>
      <c r="B87" s="1290"/>
      <c r="C87" s="1290"/>
      <c r="D87" s="1290"/>
      <c r="E87" s="1290"/>
      <c r="F87" s="1290"/>
      <c r="G87" s="1290"/>
      <c r="H87" s="1290"/>
      <c r="I87" s="1290"/>
      <c r="J87" s="1290"/>
      <c r="K87" s="1290"/>
      <c r="L87" s="1290"/>
      <c r="M87" s="1290"/>
      <c r="N87" s="1290"/>
      <c r="O87" s="1290"/>
      <c r="P87" s="1290"/>
      <c r="Q87" s="1290"/>
      <c r="R87" s="1290"/>
      <c r="S87" s="1290"/>
      <c r="T87" s="1290"/>
      <c r="U87" s="1290"/>
      <c r="V87" s="1290"/>
      <c r="W87" s="1290"/>
      <c r="X87" s="1290"/>
      <c r="Y87" s="1290"/>
      <c r="Z87" s="1290"/>
      <c r="AA87" s="1290"/>
      <c r="AB87" s="1290"/>
      <c r="AC87" s="1290"/>
      <c r="AD87" s="1290"/>
      <c r="AE87" s="1290"/>
      <c r="AF87" s="1290"/>
    </row>
    <row r="89" spans="1:32" x14ac:dyDescent="0.3">
      <c r="A89" s="370" t="s">
        <v>803</v>
      </c>
      <c r="B89" s="884" t="s">
        <v>5770</v>
      </c>
      <c r="C89" s="884"/>
      <c r="D89" s="884"/>
      <c r="E89" s="884"/>
      <c r="F89" s="884"/>
      <c r="G89" s="884"/>
      <c r="H89" s="884"/>
      <c r="I89" s="884"/>
      <c r="J89" s="884"/>
      <c r="K89" s="884"/>
      <c r="L89" s="884"/>
      <c r="M89" s="884"/>
      <c r="N89" s="884"/>
      <c r="O89" s="884"/>
      <c r="P89" s="884"/>
      <c r="Q89" s="884"/>
      <c r="R89" s="884"/>
      <c r="S89" s="884"/>
      <c r="T89" s="884"/>
      <c r="U89" s="884"/>
      <c r="V89" s="884"/>
      <c r="W89" s="884"/>
      <c r="X89" s="884"/>
      <c r="Y89" s="884"/>
      <c r="Z89" s="884"/>
      <c r="AA89" s="884"/>
      <c r="AB89" s="884"/>
      <c r="AC89" s="884"/>
      <c r="AD89" s="884"/>
      <c r="AE89" s="884"/>
      <c r="AF89" s="884"/>
    </row>
    <row r="90" spans="1:32" ht="15" customHeight="1" x14ac:dyDescent="0.3">
      <c r="A90" s="370" t="s">
        <v>803</v>
      </c>
      <c r="B90" s="889" t="s">
        <v>5780</v>
      </c>
      <c r="C90" s="889"/>
      <c r="D90" s="889"/>
      <c r="E90" s="889"/>
      <c r="F90" s="889"/>
      <c r="G90" s="889"/>
      <c r="H90" s="889"/>
      <c r="I90" s="889"/>
      <c r="J90" s="889"/>
      <c r="K90" s="889"/>
      <c r="L90" s="889"/>
      <c r="M90" s="889"/>
      <c r="N90" s="889"/>
      <c r="O90" s="889"/>
      <c r="P90" s="889"/>
      <c r="Q90" s="889"/>
      <c r="R90" s="889"/>
      <c r="S90" s="889"/>
      <c r="T90" s="889"/>
      <c r="U90" s="889"/>
      <c r="V90" s="889"/>
      <c r="W90" s="889"/>
      <c r="X90" s="889"/>
      <c r="Y90" s="889"/>
      <c r="Z90" s="889"/>
      <c r="AA90" s="889"/>
      <c r="AB90" s="889"/>
      <c r="AC90" s="889"/>
      <c r="AD90" s="889"/>
      <c r="AE90" s="889"/>
      <c r="AF90" s="889"/>
    </row>
    <row r="91" spans="1:32" ht="33" customHeight="1" x14ac:dyDescent="0.3">
      <c r="A91" s="370" t="s">
        <v>803</v>
      </c>
      <c r="B91" s="889" t="s">
        <v>5781</v>
      </c>
      <c r="C91" s="889"/>
      <c r="D91" s="889"/>
      <c r="E91" s="889"/>
      <c r="F91" s="889"/>
      <c r="G91" s="889"/>
      <c r="H91" s="889"/>
      <c r="I91" s="889"/>
      <c r="J91" s="889"/>
      <c r="K91" s="889"/>
      <c r="L91" s="889"/>
      <c r="M91" s="889"/>
      <c r="N91" s="889"/>
      <c r="O91" s="889"/>
      <c r="P91" s="889"/>
      <c r="Q91" s="889"/>
      <c r="R91" s="889"/>
      <c r="S91" s="889"/>
      <c r="T91" s="889"/>
      <c r="U91" s="889"/>
      <c r="V91" s="889"/>
      <c r="W91" s="889"/>
      <c r="X91" s="889"/>
      <c r="Y91" s="889"/>
      <c r="Z91" s="889"/>
      <c r="AA91" s="889"/>
      <c r="AB91" s="889"/>
      <c r="AC91" s="889"/>
      <c r="AD91" s="889"/>
      <c r="AE91" s="889"/>
      <c r="AF91" s="889"/>
    </row>
    <row r="92" spans="1:32" ht="33" customHeight="1" x14ac:dyDescent="0.3">
      <c r="A92" s="370" t="s">
        <v>803</v>
      </c>
      <c r="B92" s="889" t="s">
        <v>5782</v>
      </c>
      <c r="C92" s="889"/>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c r="AE92" s="889"/>
      <c r="AF92" s="889"/>
    </row>
    <row r="93" spans="1:32" ht="18" customHeight="1" x14ac:dyDescent="0.3">
      <c r="A93" s="370" t="s">
        <v>803</v>
      </c>
      <c r="B93" s="889" t="s">
        <v>5687</v>
      </c>
      <c r="C93" s="889"/>
      <c r="D93" s="889"/>
      <c r="E93" s="889"/>
      <c r="F93" s="889"/>
      <c r="G93" s="889"/>
      <c r="H93" s="889"/>
      <c r="I93" s="889"/>
      <c r="J93" s="889"/>
      <c r="K93" s="889"/>
      <c r="L93" s="889"/>
      <c r="M93" s="889"/>
      <c r="N93" s="889"/>
      <c r="O93" s="889"/>
      <c r="P93" s="889"/>
      <c r="Q93" s="889"/>
      <c r="R93" s="889"/>
      <c r="S93" s="889"/>
      <c r="T93" s="889"/>
      <c r="U93" s="889"/>
      <c r="V93" s="889"/>
      <c r="W93" s="889"/>
      <c r="X93" s="889"/>
      <c r="Y93" s="889"/>
      <c r="Z93" s="889"/>
      <c r="AA93" s="889"/>
      <c r="AB93" s="889"/>
      <c r="AC93" s="889"/>
      <c r="AD93" s="889"/>
      <c r="AE93" s="889"/>
      <c r="AF93" s="889"/>
    </row>
    <row r="94" spans="1:32" ht="140.25" customHeight="1" x14ac:dyDescent="0.3">
      <c r="A94" s="370" t="s">
        <v>803</v>
      </c>
      <c r="B94" s="889" t="s">
        <v>2843</v>
      </c>
      <c r="C94" s="889"/>
      <c r="D94" s="889"/>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c r="AE94" s="889"/>
      <c r="AF94" s="889"/>
    </row>
    <row r="95" spans="1:32" ht="35.25" customHeight="1" x14ac:dyDescent="0.3">
      <c r="A95" s="370" t="s">
        <v>803</v>
      </c>
      <c r="B95" s="889" t="s">
        <v>3910</v>
      </c>
      <c r="C95" s="889"/>
      <c r="D95" s="889"/>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c r="AE95" s="889"/>
      <c r="AF95" s="889"/>
    </row>
    <row r="96" spans="1:32" ht="93" customHeight="1" x14ac:dyDescent="0.3">
      <c r="A96" s="370" t="s">
        <v>803</v>
      </c>
      <c r="B96" s="889" t="s">
        <v>3575</v>
      </c>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row>
    <row r="97" spans="1:32" ht="31.5" customHeight="1" x14ac:dyDescent="0.3">
      <c r="A97" s="370" t="s">
        <v>803</v>
      </c>
      <c r="B97" s="889" t="s">
        <v>1833</v>
      </c>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row>
  </sheetData>
  <sheetProtection algorithmName="SHA-512" hashValue="2Mo0YjAmOzk8Z3xMhFbFmAO5AW3UzeJLA+46845vOvRR5MBY+HCaRdBeMtW219SvtxJEbqU893dcRe5nFWcdrQ==" saltValue="qZgr02qw2Zpc7VYDKGanpQ==" spinCount="100000" sheet="1" objects="1" scenarios="1"/>
  <mergeCells count="135">
    <mergeCell ref="A1:AF1"/>
    <mergeCell ref="A3:AF3"/>
    <mergeCell ref="B5:AF5"/>
    <mergeCell ref="A7:AF7"/>
    <mergeCell ref="B9:I9"/>
    <mergeCell ref="B18:I18"/>
    <mergeCell ref="B19:AF19"/>
    <mergeCell ref="B20:AF20"/>
    <mergeCell ref="B22:J22"/>
    <mergeCell ref="A55:AF55"/>
    <mergeCell ref="B23:AF23"/>
    <mergeCell ref="B10:AF10"/>
    <mergeCell ref="B12:I12"/>
    <mergeCell ref="B13:AF13"/>
    <mergeCell ref="B15:I15"/>
    <mergeCell ref="B16:AF16"/>
    <mergeCell ref="C24:AF24"/>
    <mergeCell ref="C25:AF25"/>
    <mergeCell ref="C26:AF26"/>
    <mergeCell ref="B30:AF30"/>
    <mergeCell ref="A34:AF34"/>
    <mergeCell ref="B28:AF28"/>
    <mergeCell ref="B32:AF32"/>
    <mergeCell ref="A58:D58"/>
    <mergeCell ref="E58:P58"/>
    <mergeCell ref="Q58:T58"/>
    <mergeCell ref="U58:W58"/>
    <mergeCell ref="X58:AF58"/>
    <mergeCell ref="E56:P56"/>
    <mergeCell ref="Q56:T56"/>
    <mergeCell ref="U56:W56"/>
    <mergeCell ref="X56:AF56"/>
    <mergeCell ref="E57:P57"/>
    <mergeCell ref="Q57:T57"/>
    <mergeCell ref="U57:W57"/>
    <mergeCell ref="X57:AF57"/>
    <mergeCell ref="A56:D56"/>
    <mergeCell ref="A57:D57"/>
    <mergeCell ref="E60:P60"/>
    <mergeCell ref="Q60:T60"/>
    <mergeCell ref="U60:W60"/>
    <mergeCell ref="X60:AF60"/>
    <mergeCell ref="A60:D61"/>
    <mergeCell ref="A59:D59"/>
    <mergeCell ref="E59:P59"/>
    <mergeCell ref="Q59:T59"/>
    <mergeCell ref="U59:W59"/>
    <mergeCell ref="X59:AF59"/>
    <mergeCell ref="A62:D62"/>
    <mergeCell ref="E62:P62"/>
    <mergeCell ref="Q62:T62"/>
    <mergeCell ref="U62:W62"/>
    <mergeCell ref="X62:AF62"/>
    <mergeCell ref="E61:P61"/>
    <mergeCell ref="Q61:T61"/>
    <mergeCell ref="U61:W61"/>
    <mergeCell ref="X61:AF61"/>
    <mergeCell ref="B75:I75"/>
    <mergeCell ref="J75:M75"/>
    <mergeCell ref="N75:Q75"/>
    <mergeCell ref="R75:U75"/>
    <mergeCell ref="V75:Y75"/>
    <mergeCell ref="Z75:AC75"/>
    <mergeCell ref="A63:D63"/>
    <mergeCell ref="E63:P63"/>
    <mergeCell ref="Q63:T63"/>
    <mergeCell ref="U63:W63"/>
    <mergeCell ref="X63:AF63"/>
    <mergeCell ref="A64:D64"/>
    <mergeCell ref="E64:P64"/>
    <mergeCell ref="Q64:T64"/>
    <mergeCell ref="U64:W64"/>
    <mergeCell ref="X64:AF64"/>
    <mergeCell ref="A65:D65"/>
    <mergeCell ref="E65:P65"/>
    <mergeCell ref="Q65:T65"/>
    <mergeCell ref="U65:W65"/>
    <mergeCell ref="X65:AF65"/>
    <mergeCell ref="A66:D66"/>
    <mergeCell ref="E66:P66"/>
    <mergeCell ref="Q66:T66"/>
    <mergeCell ref="B76:I76"/>
    <mergeCell ref="J76:M76"/>
    <mergeCell ref="N76:Q76"/>
    <mergeCell ref="R76:U76"/>
    <mergeCell ref="V76:Y76"/>
    <mergeCell ref="Z76:AC76"/>
    <mergeCell ref="A79:AF79"/>
    <mergeCell ref="A81:H81"/>
    <mergeCell ref="I81:P81"/>
    <mergeCell ref="Q81:X81"/>
    <mergeCell ref="Y81:AF81"/>
    <mergeCell ref="U66:W66"/>
    <mergeCell ref="X66:AF66"/>
    <mergeCell ref="A67:D67"/>
    <mergeCell ref="E67:P67"/>
    <mergeCell ref="Q67:T67"/>
    <mergeCell ref="U67:W67"/>
    <mergeCell ref="X67:AF67"/>
    <mergeCell ref="A68:AF68"/>
    <mergeCell ref="A69:AF69"/>
    <mergeCell ref="B73:I73"/>
    <mergeCell ref="J73:M73"/>
    <mergeCell ref="N73:Q73"/>
    <mergeCell ref="R73:U73"/>
    <mergeCell ref="V73:Y73"/>
    <mergeCell ref="Z73:AC73"/>
    <mergeCell ref="B74:I74"/>
    <mergeCell ref="J74:M74"/>
    <mergeCell ref="N74:Q74"/>
    <mergeCell ref="R74:U74"/>
    <mergeCell ref="V74:Y74"/>
    <mergeCell ref="Z74:AC74"/>
    <mergeCell ref="A82:H82"/>
    <mergeCell ref="I82:P82"/>
    <mergeCell ref="Q82:X82"/>
    <mergeCell ref="Y82:AF82"/>
    <mergeCell ref="A83:H83"/>
    <mergeCell ref="I83:P83"/>
    <mergeCell ref="Q83:X83"/>
    <mergeCell ref="Y83:AF83"/>
    <mergeCell ref="B95:AF95"/>
    <mergeCell ref="B90:AF90"/>
    <mergeCell ref="B96:AF96"/>
    <mergeCell ref="B97:AF97"/>
    <mergeCell ref="A84:H84"/>
    <mergeCell ref="I84:P84"/>
    <mergeCell ref="Q84:X84"/>
    <mergeCell ref="Y84:AF84"/>
    <mergeCell ref="A87:AF87"/>
    <mergeCell ref="B91:AF91"/>
    <mergeCell ref="B92:AF92"/>
    <mergeCell ref="B93:AF93"/>
    <mergeCell ref="B94:AF94"/>
    <mergeCell ref="B89:AF89"/>
  </mergeCells>
  <hyperlinks>
    <hyperlink ref="A2" location="TOC!A1" display="Return to TOC" xr:uid="{00000000-0004-0000-58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38:AF52" numberStoredAsText="1"/>
  </ignoredError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79998168889431442"/>
    <pageSetUpPr autoPageBreaks="0"/>
  </sheetPr>
  <dimension ref="A1:AF119"/>
  <sheetViews>
    <sheetView workbookViewId="0">
      <selection activeCell="A2" sqref="A2"/>
    </sheetView>
  </sheetViews>
  <sheetFormatPr defaultColWidth="2.6640625" defaultRowHeight="14.4" x14ac:dyDescent="0.3"/>
  <sheetData>
    <row r="1" spans="1:32" ht="18" x14ac:dyDescent="0.3">
      <c r="A1" s="1131" t="s">
        <v>3451</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5763</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45.75" customHeight="1" x14ac:dyDescent="0.3">
      <c r="A10" s="122"/>
      <c r="B10" s="1258" t="s">
        <v>3677</v>
      </c>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x14ac:dyDescent="0.3">
      <c r="A13" s="121"/>
      <c r="B13" s="1258" t="s">
        <v>3590</v>
      </c>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3310</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3155" t="s">
        <v>6</v>
      </c>
      <c r="C18" s="3155"/>
      <c r="D18" s="3155"/>
      <c r="E18" s="3155"/>
      <c r="F18" s="3155"/>
      <c r="G18" s="3155"/>
      <c r="H18" s="3155"/>
      <c r="I18" s="3155"/>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row>
    <row r="19" spans="1:32" ht="14.4" customHeight="1" x14ac:dyDescent="0.3">
      <c r="A19" s="121"/>
      <c r="B19" s="1146" t="s">
        <v>4580</v>
      </c>
      <c r="C19" s="1146"/>
      <c r="D19" s="1146"/>
      <c r="E19" s="1146"/>
      <c r="F19" s="1146"/>
      <c r="G19" s="1146"/>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row>
    <row r="20" spans="1:32" x14ac:dyDescent="0.3">
      <c r="A20" s="121"/>
      <c r="B20" s="505"/>
      <c r="C20" s="503"/>
      <c r="D20" s="503"/>
      <c r="E20" s="503"/>
      <c r="F20" s="503"/>
      <c r="G20" s="503"/>
      <c r="H20" s="503"/>
      <c r="I20" s="503"/>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row>
    <row r="21" spans="1:32" ht="33.75" customHeight="1" x14ac:dyDescent="0.3">
      <c r="A21" s="121"/>
      <c r="B21" s="494"/>
      <c r="C21" s="889" t="s">
        <v>4586</v>
      </c>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89"/>
    </row>
    <row r="22" spans="1:32" x14ac:dyDescent="0.3">
      <c r="A22" s="121"/>
      <c r="B22" s="503"/>
      <c r="C22" s="503"/>
      <c r="D22" s="503"/>
      <c r="E22" s="503"/>
      <c r="F22" s="503"/>
      <c r="G22" s="503"/>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row>
    <row r="23" spans="1:32" ht="49.5" customHeight="1" x14ac:dyDescent="0.3">
      <c r="A23" s="121"/>
      <c r="B23" s="494"/>
      <c r="C23" s="889" t="s">
        <v>4587</v>
      </c>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89"/>
    </row>
    <row r="24" spans="1:32" x14ac:dyDescent="0.3">
      <c r="A24" s="121"/>
      <c r="B24" s="503"/>
      <c r="C24" s="503"/>
      <c r="D24" s="503"/>
      <c r="E24" s="503"/>
      <c r="F24" s="503"/>
      <c r="G24" s="503"/>
      <c r="H24" s="503"/>
      <c r="I24" s="503"/>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row>
    <row r="25" spans="1:32" ht="14.4" customHeight="1" x14ac:dyDescent="0.3">
      <c r="A25" s="121"/>
      <c r="B25" s="1146" t="s">
        <v>4581</v>
      </c>
      <c r="C25" s="1146"/>
      <c r="D25" s="1146"/>
      <c r="E25" s="1146"/>
      <c r="F25" s="1146"/>
      <c r="G25" s="1146"/>
      <c r="H25" s="1146"/>
      <c r="I25" s="1146"/>
      <c r="J25" s="1146"/>
      <c r="K25" s="1146"/>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row>
    <row r="26" spans="1:32" x14ac:dyDescent="0.3">
      <c r="A26" s="121"/>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row>
    <row r="27" spans="1:32" ht="30" customHeight="1" x14ac:dyDescent="0.3">
      <c r="A27" s="121"/>
      <c r="C27" s="889" t="s">
        <v>3668</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89"/>
    </row>
    <row r="28" spans="1:32" x14ac:dyDescent="0.3">
      <c r="A28" s="121"/>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row>
    <row r="29" spans="1:32" ht="33.75" customHeight="1" x14ac:dyDescent="0.3">
      <c r="A29" s="121"/>
      <c r="B29" s="125"/>
      <c r="C29" s="889" t="s">
        <v>3669</v>
      </c>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row>
    <row r="30" spans="1:32" x14ac:dyDescent="0.3">
      <c r="A30" s="121"/>
      <c r="B30" s="506"/>
      <c r="C30" s="506"/>
      <c r="D30" s="506"/>
      <c r="E30" s="506"/>
      <c r="F30" s="506"/>
      <c r="G30" s="506"/>
      <c r="H30" s="506"/>
      <c r="I30" s="506"/>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row>
    <row r="31" spans="1:32" x14ac:dyDescent="0.3">
      <c r="A31" s="121"/>
      <c r="B31" s="3155" t="s">
        <v>13</v>
      </c>
      <c r="C31" s="3155"/>
      <c r="D31" s="3155"/>
      <c r="E31" s="3155"/>
      <c r="F31" s="3155"/>
      <c r="G31" s="3155"/>
      <c r="H31" s="3155"/>
      <c r="I31" s="3155"/>
      <c r="J31" s="3155"/>
      <c r="K31" s="494"/>
      <c r="L31" s="494"/>
      <c r="M31" s="494"/>
      <c r="N31" s="494"/>
      <c r="O31" s="494"/>
      <c r="P31" s="494"/>
      <c r="Q31" s="494"/>
      <c r="R31" s="494"/>
      <c r="S31" s="494"/>
      <c r="T31" s="494"/>
      <c r="U31" s="494"/>
      <c r="V31" s="494"/>
      <c r="W31" s="494"/>
      <c r="X31" s="494"/>
      <c r="Y31" s="494"/>
      <c r="Z31" s="494"/>
      <c r="AA31" s="494"/>
      <c r="AB31" s="494"/>
      <c r="AC31" s="494"/>
      <c r="AD31" s="494"/>
      <c r="AE31" s="494"/>
      <c r="AF31" s="494"/>
    </row>
    <row r="32" spans="1:32" x14ac:dyDescent="0.3">
      <c r="A32" s="121"/>
      <c r="B32" s="889" t="s">
        <v>3670</v>
      </c>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row>
    <row r="33" spans="1:32" x14ac:dyDescent="0.3">
      <c r="A33" s="121"/>
      <c r="B33" s="889" t="s">
        <v>3671</v>
      </c>
      <c r="C33" s="996"/>
      <c r="D33" s="996"/>
      <c r="E33" s="996"/>
      <c r="F33" s="996"/>
      <c r="G33" s="996"/>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row>
    <row r="34" spans="1:32" x14ac:dyDescent="0.3">
      <c r="A34" s="121"/>
      <c r="B34" s="503"/>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494"/>
      <c r="AF34" s="494"/>
    </row>
    <row r="35" spans="1:32" ht="45" customHeight="1" x14ac:dyDescent="0.3">
      <c r="A35" s="121"/>
      <c r="B35" s="889" t="s">
        <v>5779</v>
      </c>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row>
    <row r="36" spans="1:32"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row>
    <row r="37" spans="1:32" x14ac:dyDescent="0.3">
      <c r="A37" s="1290" t="s">
        <v>7</v>
      </c>
      <c r="B37" s="1290"/>
      <c r="C37" s="1290"/>
      <c r="D37" s="1290"/>
      <c r="E37" s="1290"/>
      <c r="F37" s="1290"/>
      <c r="G37" s="1290"/>
      <c r="H37" s="1290"/>
      <c r="I37" s="1290"/>
      <c r="J37" s="1290"/>
      <c r="K37" s="1290"/>
      <c r="L37" s="1290"/>
      <c r="M37" s="1290"/>
      <c r="N37" s="1290"/>
      <c r="O37" s="1290"/>
      <c r="P37" s="1290"/>
      <c r="Q37" s="1290"/>
      <c r="R37" s="1290"/>
      <c r="S37" s="1290"/>
      <c r="T37" s="1290"/>
      <c r="U37" s="1290"/>
      <c r="V37" s="1290"/>
      <c r="W37" s="1290"/>
      <c r="X37" s="1290"/>
      <c r="Y37" s="1290"/>
      <c r="Z37" s="1290"/>
      <c r="AA37" s="1290"/>
      <c r="AB37" s="1290"/>
      <c r="AC37" s="1290"/>
      <c r="AD37" s="1290"/>
      <c r="AE37" s="1290"/>
      <c r="AF37" s="1290"/>
    </row>
    <row r="38" spans="1:32"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3">
      <c r="A39" s="121"/>
      <c r="B39" s="372" t="s">
        <v>2135</v>
      </c>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x14ac:dyDescent="0.3">
      <c r="A40" s="121"/>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x14ac:dyDescent="0.3">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272" t="s">
        <v>1463</v>
      </c>
    </row>
    <row r="42" spans="1:32" x14ac:dyDescent="0.3">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272"/>
    </row>
    <row r="43" spans="1:32" x14ac:dyDescent="0.3">
      <c r="A43" s="121"/>
      <c r="B43" s="372" t="s">
        <v>2136</v>
      </c>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row>
    <row r="44" spans="1:32" x14ac:dyDescent="0.3">
      <c r="A44" s="121"/>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row>
    <row r="45" spans="1:32" x14ac:dyDescent="0.3">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272" t="s">
        <v>1464</v>
      </c>
    </row>
    <row r="46" spans="1:32" x14ac:dyDescent="0.3">
      <c r="A46" s="121"/>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272"/>
    </row>
    <row r="47" spans="1:32" x14ac:dyDescent="0.3">
      <c r="A47" s="121"/>
      <c r="B47" s="267" t="s">
        <v>2025</v>
      </c>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row>
    <row r="48" spans="1:32" x14ac:dyDescent="0.3">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row>
    <row r="49" spans="1:32" x14ac:dyDescent="0.3">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272" t="s">
        <v>1465</v>
      </c>
    </row>
    <row r="50" spans="1:32"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row>
    <row r="51" spans="1:32" x14ac:dyDescent="0.3">
      <c r="A51" s="121"/>
      <c r="B51" s="267" t="s">
        <v>2026</v>
      </c>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row>
    <row r="52" spans="1:32" x14ac:dyDescent="0.3">
      <c r="A52" s="121"/>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row>
    <row r="53" spans="1:32" x14ac:dyDescent="0.3">
      <c r="A53" s="121"/>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272" t="s">
        <v>1517</v>
      </c>
    </row>
    <row r="54" spans="1:32" x14ac:dyDescent="0.3">
      <c r="A54" s="121"/>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row>
    <row r="55" spans="1:32" x14ac:dyDescent="0.3">
      <c r="A55" s="121"/>
      <c r="B55" s="267" t="s">
        <v>1811</v>
      </c>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272"/>
    </row>
    <row r="56" spans="1:32" x14ac:dyDescent="0.3">
      <c r="A56" s="121"/>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c r="AE56" s="121"/>
      <c r="AF56" s="272"/>
    </row>
    <row r="57" spans="1:32" x14ac:dyDescent="0.3">
      <c r="A57" s="121"/>
      <c r="B57" s="121"/>
      <c r="C57" s="507" t="s">
        <v>4588</v>
      </c>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272"/>
    </row>
    <row r="58" spans="1:32" x14ac:dyDescent="0.3">
      <c r="A58" s="121"/>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272"/>
    </row>
    <row r="59" spans="1:32" x14ac:dyDescent="0.3">
      <c r="A59" s="121"/>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272" t="s">
        <v>1556</v>
      </c>
    </row>
    <row r="60" spans="1:32" x14ac:dyDescent="0.3">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272"/>
    </row>
    <row r="61" spans="1:32" x14ac:dyDescent="0.3">
      <c r="A61" s="121"/>
      <c r="B61" s="121"/>
      <c r="C61" s="507" t="s">
        <v>4589</v>
      </c>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272"/>
    </row>
    <row r="62" spans="1:32" x14ac:dyDescent="0.3">
      <c r="A62" s="121"/>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272"/>
    </row>
    <row r="63" spans="1:32" x14ac:dyDescent="0.3">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272" t="s">
        <v>1558</v>
      </c>
    </row>
    <row r="64" spans="1:32" x14ac:dyDescent="0.3">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c r="AA64" s="121"/>
      <c r="AB64" s="121"/>
      <c r="AC64" s="121"/>
      <c r="AD64" s="121"/>
      <c r="AE64" s="121"/>
      <c r="AF64" s="121"/>
    </row>
    <row r="65" spans="1:32" x14ac:dyDescent="0.3">
      <c r="A65" s="1290" t="s">
        <v>8</v>
      </c>
      <c r="B65" s="1290"/>
      <c r="C65" s="1290"/>
      <c r="D65" s="1290"/>
      <c r="E65" s="1290"/>
      <c r="F65" s="1290"/>
      <c r="G65" s="1290"/>
      <c r="H65" s="1290"/>
      <c r="I65" s="1290"/>
      <c r="J65" s="1290"/>
      <c r="K65" s="1290"/>
      <c r="L65" s="1290"/>
      <c r="M65" s="1290"/>
      <c r="N65" s="1290"/>
      <c r="O65" s="1290"/>
      <c r="P65" s="1290"/>
      <c r="Q65" s="1290"/>
      <c r="R65" s="1290"/>
      <c r="S65" s="1290"/>
      <c r="T65" s="1290"/>
      <c r="U65" s="1290"/>
      <c r="V65" s="1290"/>
      <c r="W65" s="1290"/>
      <c r="X65" s="1290"/>
      <c r="Y65" s="1290"/>
      <c r="Z65" s="1290"/>
      <c r="AA65" s="1290"/>
      <c r="AB65" s="1290"/>
      <c r="AC65" s="1290"/>
      <c r="AD65" s="1290"/>
      <c r="AE65" s="1290"/>
      <c r="AF65" s="1290"/>
    </row>
    <row r="66" spans="1:32" x14ac:dyDescent="0.3">
      <c r="A66" s="1405" t="s">
        <v>9</v>
      </c>
      <c r="B66" s="1405"/>
      <c r="C66" s="1405"/>
      <c r="D66" s="1405"/>
      <c r="E66" s="1405" t="s">
        <v>3</v>
      </c>
      <c r="F66" s="1405"/>
      <c r="G66" s="1405"/>
      <c r="H66" s="1405"/>
      <c r="I66" s="1405"/>
      <c r="J66" s="1405"/>
      <c r="K66" s="1405"/>
      <c r="L66" s="1405"/>
      <c r="M66" s="1405"/>
      <c r="N66" s="1405"/>
      <c r="O66" s="1405"/>
      <c r="P66" s="1405"/>
      <c r="Q66" s="1405" t="s">
        <v>10</v>
      </c>
      <c r="R66" s="1405"/>
      <c r="S66" s="1405"/>
      <c r="T66" s="1405"/>
      <c r="U66" s="1366" t="s">
        <v>11</v>
      </c>
      <c r="V66" s="1367"/>
      <c r="W66" s="1368"/>
      <c r="X66" s="1366" t="s">
        <v>1466</v>
      </c>
      <c r="Y66" s="1367"/>
      <c r="Z66" s="1367"/>
      <c r="AA66" s="1367"/>
      <c r="AB66" s="1367"/>
      <c r="AC66" s="1367"/>
      <c r="AD66" s="1367"/>
      <c r="AE66" s="1367"/>
      <c r="AF66" s="1368"/>
    </row>
    <row r="67" spans="1:32" ht="30" customHeight="1" x14ac:dyDescent="0.3">
      <c r="A67" s="1349" t="s">
        <v>3576</v>
      </c>
      <c r="B67" s="1350" t="s">
        <v>272</v>
      </c>
      <c r="C67" s="1350" t="s">
        <v>272</v>
      </c>
      <c r="D67" s="1351" t="s">
        <v>272</v>
      </c>
      <c r="E67" s="1163" t="s">
        <v>3561</v>
      </c>
      <c r="F67" s="1164" t="s">
        <v>517</v>
      </c>
      <c r="G67" s="1164" t="s">
        <v>517</v>
      </c>
      <c r="H67" s="1164" t="s">
        <v>517</v>
      </c>
      <c r="I67" s="1164" t="s">
        <v>517</v>
      </c>
      <c r="J67" s="1164" t="s">
        <v>517</v>
      </c>
      <c r="K67" s="1164" t="s">
        <v>517</v>
      </c>
      <c r="L67" s="1164" t="s">
        <v>517</v>
      </c>
      <c r="M67" s="1164" t="s">
        <v>517</v>
      </c>
      <c r="N67" s="1164" t="s">
        <v>517</v>
      </c>
      <c r="O67" s="1164" t="s">
        <v>517</v>
      </c>
      <c r="P67" s="1165" t="s">
        <v>517</v>
      </c>
      <c r="Q67" s="3098" t="s">
        <v>516</v>
      </c>
      <c r="R67" s="3099"/>
      <c r="S67" s="3099"/>
      <c r="T67" s="3100"/>
      <c r="U67" s="1352" t="s">
        <v>269</v>
      </c>
      <c r="V67" s="1353"/>
      <c r="W67" s="1354"/>
      <c r="X67" s="1385" t="s">
        <v>3564</v>
      </c>
      <c r="Y67" s="1385"/>
      <c r="Z67" s="1385"/>
      <c r="AA67" s="1385"/>
      <c r="AB67" s="1385"/>
      <c r="AC67" s="1385"/>
      <c r="AD67" s="1385"/>
      <c r="AE67" s="1385"/>
      <c r="AF67" s="1385"/>
    </row>
    <row r="68" spans="1:32" ht="30" customHeight="1" x14ac:dyDescent="0.3">
      <c r="A68" s="1349" t="s">
        <v>3577</v>
      </c>
      <c r="B68" s="1350" t="s">
        <v>518</v>
      </c>
      <c r="C68" s="1350" t="s">
        <v>518</v>
      </c>
      <c r="D68" s="1351" t="s">
        <v>518</v>
      </c>
      <c r="E68" s="1163" t="s">
        <v>3591</v>
      </c>
      <c r="F68" s="1164" t="s">
        <v>514</v>
      </c>
      <c r="G68" s="1164" t="s">
        <v>514</v>
      </c>
      <c r="H68" s="1164" t="s">
        <v>514</v>
      </c>
      <c r="I68" s="1164" t="s">
        <v>514</v>
      </c>
      <c r="J68" s="1164" t="s">
        <v>514</v>
      </c>
      <c r="K68" s="1164" t="s">
        <v>514</v>
      </c>
      <c r="L68" s="1164" t="s">
        <v>514</v>
      </c>
      <c r="M68" s="1164" t="s">
        <v>514</v>
      </c>
      <c r="N68" s="1164" t="s">
        <v>514</v>
      </c>
      <c r="O68" s="1164" t="s">
        <v>514</v>
      </c>
      <c r="P68" s="1165" t="s">
        <v>514</v>
      </c>
      <c r="Q68" s="3098" t="s">
        <v>516</v>
      </c>
      <c r="R68" s="3099"/>
      <c r="S68" s="3099"/>
      <c r="T68" s="3100"/>
      <c r="U68" s="1352" t="s">
        <v>269</v>
      </c>
      <c r="V68" s="1353"/>
      <c r="W68" s="1354"/>
      <c r="X68" s="1385" t="s">
        <v>3564</v>
      </c>
      <c r="Y68" s="1385"/>
      <c r="Z68" s="1385"/>
      <c r="AA68" s="1385"/>
      <c r="AB68" s="1385"/>
      <c r="AC68" s="1385"/>
      <c r="AD68" s="1385"/>
      <c r="AE68" s="1385"/>
      <c r="AF68" s="1385"/>
    </row>
    <row r="69" spans="1:32" ht="45" customHeight="1" x14ac:dyDescent="0.3">
      <c r="A69" s="1349" t="s">
        <v>1522</v>
      </c>
      <c r="B69" s="1350"/>
      <c r="C69" s="1350"/>
      <c r="D69" s="1351"/>
      <c r="E69" s="1163" t="s">
        <v>1845</v>
      </c>
      <c r="F69" s="1164"/>
      <c r="G69" s="1164"/>
      <c r="H69" s="1164"/>
      <c r="I69" s="1164"/>
      <c r="J69" s="1164"/>
      <c r="K69" s="1164"/>
      <c r="L69" s="1164"/>
      <c r="M69" s="1164"/>
      <c r="N69" s="1164"/>
      <c r="O69" s="1164"/>
      <c r="P69" s="1165"/>
      <c r="Q69" s="1330">
        <v>0.97</v>
      </c>
      <c r="R69" s="1331"/>
      <c r="S69" s="1331"/>
      <c r="T69" s="1332"/>
      <c r="U69" s="1365" t="s">
        <v>20</v>
      </c>
      <c r="V69" s="1353"/>
      <c r="W69" s="1354"/>
      <c r="X69" s="1385" t="s">
        <v>3578</v>
      </c>
      <c r="Y69" s="1385"/>
      <c r="Z69" s="1385"/>
      <c r="AA69" s="1385"/>
      <c r="AB69" s="1385"/>
      <c r="AC69" s="1385"/>
      <c r="AD69" s="1385"/>
      <c r="AE69" s="1385"/>
      <c r="AF69" s="1385"/>
    </row>
    <row r="70" spans="1:32" ht="78" customHeight="1" x14ac:dyDescent="0.3">
      <c r="A70" s="1349" t="s">
        <v>443</v>
      </c>
      <c r="B70" s="1350" t="s">
        <v>443</v>
      </c>
      <c r="C70" s="1350" t="s">
        <v>443</v>
      </c>
      <c r="D70" s="1351" t="s">
        <v>443</v>
      </c>
      <c r="E70" s="1163" t="s">
        <v>1460</v>
      </c>
      <c r="F70" s="1164" t="s">
        <v>444</v>
      </c>
      <c r="G70" s="1164" t="s">
        <v>444</v>
      </c>
      <c r="H70" s="1164" t="s">
        <v>444</v>
      </c>
      <c r="I70" s="1164" t="s">
        <v>444</v>
      </c>
      <c r="J70" s="1164" t="s">
        <v>444</v>
      </c>
      <c r="K70" s="1164" t="s">
        <v>444</v>
      </c>
      <c r="L70" s="1164" t="s">
        <v>444</v>
      </c>
      <c r="M70" s="1164" t="s">
        <v>444</v>
      </c>
      <c r="N70" s="1164" t="s">
        <v>444</v>
      </c>
      <c r="O70" s="1164" t="s">
        <v>444</v>
      </c>
      <c r="P70" s="1165" t="s">
        <v>444</v>
      </c>
      <c r="Q70" s="1166">
        <f>ROUND(2.47/4,2)</f>
        <v>0.62</v>
      </c>
      <c r="R70" s="1167"/>
      <c r="S70" s="1167"/>
      <c r="T70" s="1168"/>
      <c r="U70" s="1166" t="s">
        <v>20</v>
      </c>
      <c r="V70" s="1167"/>
      <c r="W70" s="1168"/>
      <c r="X70" s="1207" t="s">
        <v>1813</v>
      </c>
      <c r="Y70" s="1208"/>
      <c r="Z70" s="1208"/>
      <c r="AA70" s="1208"/>
      <c r="AB70" s="1208"/>
      <c r="AC70" s="1208"/>
      <c r="AD70" s="1208"/>
      <c r="AE70" s="1208"/>
      <c r="AF70" s="1209"/>
    </row>
    <row r="71" spans="1:32" ht="30" customHeight="1" x14ac:dyDescent="0.3">
      <c r="A71" s="1349" t="s">
        <v>1524</v>
      </c>
      <c r="B71" s="1350"/>
      <c r="C71" s="1350"/>
      <c r="D71" s="1351"/>
      <c r="E71" s="1163" t="s">
        <v>3569</v>
      </c>
      <c r="F71" s="1164"/>
      <c r="G71" s="1164"/>
      <c r="H71" s="1164"/>
      <c r="I71" s="1164"/>
      <c r="J71" s="1164"/>
      <c r="K71" s="1164"/>
      <c r="L71" s="1164"/>
      <c r="M71" s="1164"/>
      <c r="N71" s="1164"/>
      <c r="O71" s="1164"/>
      <c r="P71" s="1165"/>
      <c r="Q71" s="1166">
        <f>2475</f>
        <v>2475</v>
      </c>
      <c r="R71" s="1167"/>
      <c r="S71" s="1167"/>
      <c r="T71" s="1168"/>
      <c r="U71" s="1365" t="s">
        <v>37</v>
      </c>
      <c r="V71" s="1353"/>
      <c r="W71" s="1354"/>
      <c r="X71" s="1385" t="s">
        <v>3592</v>
      </c>
      <c r="Y71" s="1385"/>
      <c r="Z71" s="1385"/>
      <c r="AA71" s="1385"/>
      <c r="AB71" s="1385"/>
      <c r="AC71" s="1385"/>
      <c r="AD71" s="1385"/>
      <c r="AE71" s="1385"/>
      <c r="AF71" s="1385"/>
    </row>
    <row r="72" spans="1:32" ht="30" customHeight="1" x14ac:dyDescent="0.3">
      <c r="A72" s="2970" t="s">
        <v>3612</v>
      </c>
      <c r="B72" s="1350" t="s">
        <v>34</v>
      </c>
      <c r="C72" s="1350" t="s">
        <v>34</v>
      </c>
      <c r="D72" s="1351" t="s">
        <v>34</v>
      </c>
      <c r="E72" s="1163" t="s">
        <v>644</v>
      </c>
      <c r="F72" s="1164" t="s">
        <v>234</v>
      </c>
      <c r="G72" s="1164" t="s">
        <v>234</v>
      </c>
      <c r="H72" s="1164" t="s">
        <v>234</v>
      </c>
      <c r="I72" s="1164" t="s">
        <v>234</v>
      </c>
      <c r="J72" s="1164" t="s">
        <v>234</v>
      </c>
      <c r="K72" s="1164" t="s">
        <v>234</v>
      </c>
      <c r="L72" s="1164" t="s">
        <v>234</v>
      </c>
      <c r="M72" s="1164" t="s">
        <v>234</v>
      </c>
      <c r="N72" s="1164" t="s">
        <v>234</v>
      </c>
      <c r="O72" s="1164" t="s">
        <v>234</v>
      </c>
      <c r="P72" s="1165" t="s">
        <v>234</v>
      </c>
      <c r="Q72" s="1166">
        <v>1</v>
      </c>
      <c r="R72" s="1167">
        <v>0.96</v>
      </c>
      <c r="S72" s="1167">
        <v>0.96</v>
      </c>
      <c r="T72" s="1168">
        <v>0.96</v>
      </c>
      <c r="U72" s="1352" t="s">
        <v>20</v>
      </c>
      <c r="V72" s="1353"/>
      <c r="W72" s="1354"/>
      <c r="X72" s="1349"/>
      <c r="Y72" s="1350"/>
      <c r="Z72" s="1350"/>
      <c r="AA72" s="1350"/>
      <c r="AB72" s="1350"/>
      <c r="AC72" s="1350"/>
      <c r="AD72" s="1350"/>
      <c r="AE72" s="1350"/>
      <c r="AF72" s="1351"/>
    </row>
    <row r="73" spans="1:32" ht="47.4" customHeight="1" x14ac:dyDescent="0.3">
      <c r="A73" s="1349" t="s">
        <v>3673</v>
      </c>
      <c r="B73" s="1350" t="s">
        <v>26</v>
      </c>
      <c r="C73" s="1350" t="s">
        <v>26</v>
      </c>
      <c r="D73" s="1351" t="s">
        <v>26</v>
      </c>
      <c r="E73" s="1349" t="s">
        <v>1614</v>
      </c>
      <c r="F73" s="1350" t="s">
        <v>208</v>
      </c>
      <c r="G73" s="1350" t="s">
        <v>208</v>
      </c>
      <c r="H73" s="1350" t="s">
        <v>208</v>
      </c>
      <c r="I73" s="1350" t="s">
        <v>208</v>
      </c>
      <c r="J73" s="1350" t="s">
        <v>208</v>
      </c>
      <c r="K73" s="1350" t="s">
        <v>208</v>
      </c>
      <c r="L73" s="1350" t="s">
        <v>208</v>
      </c>
      <c r="M73" s="1350" t="s">
        <v>208</v>
      </c>
      <c r="N73" s="1350" t="s">
        <v>208</v>
      </c>
      <c r="O73" s="1350" t="s">
        <v>208</v>
      </c>
      <c r="P73" s="1351" t="s">
        <v>208</v>
      </c>
      <c r="Q73" s="1166" t="s">
        <v>516</v>
      </c>
      <c r="R73" s="1167"/>
      <c r="S73" s="1167"/>
      <c r="T73" s="1168"/>
      <c r="U73" s="1352" t="s">
        <v>38</v>
      </c>
      <c r="V73" s="1353"/>
      <c r="W73" s="1354"/>
      <c r="X73" s="1163" t="s">
        <v>4582</v>
      </c>
      <c r="Y73" s="1164"/>
      <c r="Z73" s="1164"/>
      <c r="AA73" s="1164"/>
      <c r="AB73" s="1164"/>
      <c r="AC73" s="1164"/>
      <c r="AD73" s="1164"/>
      <c r="AE73" s="1164"/>
      <c r="AF73" s="1165"/>
    </row>
    <row r="74" spans="1:32" ht="30" customHeight="1" x14ac:dyDescent="0.3">
      <c r="A74" s="1349" t="s">
        <v>3674</v>
      </c>
      <c r="B74" s="1350" t="s">
        <v>26</v>
      </c>
      <c r="C74" s="1350" t="s">
        <v>26</v>
      </c>
      <c r="D74" s="1351" t="s">
        <v>26</v>
      </c>
      <c r="E74" s="1349" t="s">
        <v>3675</v>
      </c>
      <c r="F74" s="1350" t="s">
        <v>208</v>
      </c>
      <c r="G74" s="1350" t="s">
        <v>208</v>
      </c>
      <c r="H74" s="1350" t="s">
        <v>208</v>
      </c>
      <c r="I74" s="1350" t="s">
        <v>208</v>
      </c>
      <c r="J74" s="1350" t="s">
        <v>208</v>
      </c>
      <c r="K74" s="1350" t="s">
        <v>208</v>
      </c>
      <c r="L74" s="1350" t="s">
        <v>208</v>
      </c>
      <c r="M74" s="1350" t="s">
        <v>208</v>
      </c>
      <c r="N74" s="1350" t="s">
        <v>208</v>
      </c>
      <c r="O74" s="1350" t="s">
        <v>208</v>
      </c>
      <c r="P74" s="1351" t="s">
        <v>208</v>
      </c>
      <c r="Q74" s="1166" t="s">
        <v>516</v>
      </c>
      <c r="R74" s="1167"/>
      <c r="S74" s="1167"/>
      <c r="T74" s="1168"/>
      <c r="U74" s="1352" t="s">
        <v>38</v>
      </c>
      <c r="V74" s="1353"/>
      <c r="W74" s="1354"/>
      <c r="X74" s="1163" t="s">
        <v>3676</v>
      </c>
      <c r="Y74" s="1164"/>
      <c r="Z74" s="1164"/>
      <c r="AA74" s="1164"/>
      <c r="AB74" s="1164"/>
      <c r="AC74" s="1164"/>
      <c r="AD74" s="1164"/>
      <c r="AE74" s="1164"/>
      <c r="AF74" s="1165"/>
    </row>
    <row r="75" spans="1:32" ht="30" customHeight="1" x14ac:dyDescent="0.3">
      <c r="A75" s="1349" t="s">
        <v>3584</v>
      </c>
      <c r="B75" s="1350" t="s">
        <v>26</v>
      </c>
      <c r="C75" s="1350" t="s">
        <v>26</v>
      </c>
      <c r="D75" s="1351" t="s">
        <v>26</v>
      </c>
      <c r="E75" s="1349" t="s">
        <v>2051</v>
      </c>
      <c r="F75" s="1350" t="s">
        <v>208</v>
      </c>
      <c r="G75" s="1350" t="s">
        <v>208</v>
      </c>
      <c r="H75" s="1350" t="s">
        <v>208</v>
      </c>
      <c r="I75" s="1350" t="s">
        <v>208</v>
      </c>
      <c r="J75" s="1350" t="s">
        <v>208</v>
      </c>
      <c r="K75" s="1350" t="s">
        <v>208</v>
      </c>
      <c r="L75" s="1350" t="s">
        <v>208</v>
      </c>
      <c r="M75" s="1350" t="s">
        <v>208</v>
      </c>
      <c r="N75" s="1350" t="s">
        <v>208</v>
      </c>
      <c r="O75" s="1350" t="s">
        <v>208</v>
      </c>
      <c r="P75" s="1351" t="s">
        <v>208</v>
      </c>
      <c r="Q75" s="1166" t="s">
        <v>516</v>
      </c>
      <c r="R75" s="1167"/>
      <c r="S75" s="1167"/>
      <c r="T75" s="1168"/>
      <c r="U75" s="1352" t="s">
        <v>38</v>
      </c>
      <c r="V75" s="1353"/>
      <c r="W75" s="1354"/>
      <c r="X75" s="1163" t="s">
        <v>3593</v>
      </c>
      <c r="Y75" s="1164"/>
      <c r="Z75" s="1164"/>
      <c r="AA75" s="1164"/>
      <c r="AB75" s="1164"/>
      <c r="AC75" s="1164"/>
      <c r="AD75" s="1164"/>
      <c r="AE75" s="1164"/>
      <c r="AF75" s="1165"/>
    </row>
    <row r="76" spans="1:32" ht="45" customHeight="1" x14ac:dyDescent="0.3">
      <c r="A76" s="2854" t="s">
        <v>3598</v>
      </c>
      <c r="B76" s="2854"/>
      <c r="C76" s="2854"/>
      <c r="D76" s="2854"/>
      <c r="E76" s="2854"/>
      <c r="F76" s="2854"/>
      <c r="G76" s="2854"/>
      <c r="H76" s="2854"/>
      <c r="I76" s="2854"/>
      <c r="J76" s="2854"/>
      <c r="K76" s="2854"/>
      <c r="L76" s="2854"/>
      <c r="M76" s="2854"/>
      <c r="N76" s="2854"/>
      <c r="O76" s="2854"/>
      <c r="P76" s="2854"/>
      <c r="Q76" s="2854"/>
      <c r="R76" s="2854"/>
      <c r="S76" s="2854"/>
      <c r="T76" s="2854"/>
      <c r="U76" s="2854"/>
      <c r="V76" s="2854"/>
      <c r="W76" s="2854"/>
      <c r="X76" s="2854"/>
      <c r="Y76" s="2854"/>
      <c r="Z76" s="2854"/>
      <c r="AA76" s="2854"/>
      <c r="AB76" s="2854"/>
      <c r="AC76" s="2854"/>
      <c r="AD76" s="2854"/>
      <c r="AE76" s="2854"/>
      <c r="AF76" s="2854"/>
    </row>
    <row r="77" spans="1:32" x14ac:dyDescent="0.3">
      <c r="A77" s="482" t="s">
        <v>3599</v>
      </c>
      <c r="B77" s="483"/>
      <c r="C77" s="483"/>
      <c r="D77" s="483"/>
      <c r="E77" s="484"/>
      <c r="F77" s="484"/>
      <c r="G77" s="484"/>
      <c r="H77" s="484"/>
      <c r="I77" s="484"/>
      <c r="J77" s="484"/>
      <c r="K77" s="484"/>
      <c r="L77" s="484"/>
      <c r="M77" s="484"/>
      <c r="N77" s="484"/>
      <c r="O77" s="484"/>
      <c r="P77" s="484"/>
      <c r="Q77" s="485"/>
      <c r="R77" s="485"/>
      <c r="S77" s="485"/>
      <c r="T77" s="485"/>
      <c r="U77" s="486"/>
      <c r="V77" s="486"/>
      <c r="W77" s="486"/>
      <c r="X77" s="486"/>
      <c r="Y77" s="486"/>
      <c r="Z77" s="486"/>
      <c r="AA77" s="486"/>
      <c r="AB77" s="486"/>
      <c r="AC77" s="486"/>
      <c r="AD77" s="486"/>
      <c r="AE77" s="486"/>
      <c r="AF77" s="486"/>
    </row>
    <row r="78" spans="1:32" x14ac:dyDescent="0.3">
      <c r="A78" s="487"/>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2" x14ac:dyDescent="0.3">
      <c r="A79" s="487"/>
      <c r="B79" s="276" t="s">
        <v>3571</v>
      </c>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2" ht="15.6" x14ac:dyDescent="0.3">
      <c r="A80" s="3143" t="s">
        <v>15</v>
      </c>
      <c r="B80" s="3144"/>
      <c r="C80" s="3144"/>
      <c r="D80" s="3144"/>
      <c r="E80" s="3144"/>
      <c r="F80" s="3144"/>
      <c r="G80" s="3144"/>
      <c r="H80" s="3145"/>
      <c r="I80" s="3149" t="s">
        <v>3600</v>
      </c>
      <c r="J80" s="3150"/>
      <c r="K80" s="3150"/>
      <c r="L80" s="3151"/>
      <c r="M80" s="3149" t="s">
        <v>3601</v>
      </c>
      <c r="N80" s="3150"/>
      <c r="O80" s="3150"/>
      <c r="P80" s="3151"/>
      <c r="Q80" s="3149" t="s">
        <v>3589</v>
      </c>
      <c r="R80" s="3150"/>
      <c r="S80" s="3150"/>
      <c r="T80" s="3151"/>
      <c r="U80" s="3140" t="s">
        <v>3602</v>
      </c>
      <c r="V80" s="3140"/>
      <c r="W80" s="3140"/>
      <c r="X80" s="3140"/>
      <c r="Y80" s="3140" t="s">
        <v>3603</v>
      </c>
      <c r="Z80" s="3140"/>
      <c r="AA80" s="3140"/>
      <c r="AB80" s="3140"/>
      <c r="AC80" s="3149" t="s">
        <v>3672</v>
      </c>
      <c r="AD80" s="3150"/>
      <c r="AE80" s="3150"/>
      <c r="AF80" s="3151"/>
    </row>
    <row r="81" spans="1:32" x14ac:dyDescent="0.3">
      <c r="A81" s="3146"/>
      <c r="B81" s="3147"/>
      <c r="C81" s="3147"/>
      <c r="D81" s="3147"/>
      <c r="E81" s="3147"/>
      <c r="F81" s="3147"/>
      <c r="G81" s="3147"/>
      <c r="H81" s="3148"/>
      <c r="I81" s="3152"/>
      <c r="J81" s="3153"/>
      <c r="K81" s="3153"/>
      <c r="L81" s="3154"/>
      <c r="M81" s="3152"/>
      <c r="N81" s="3153"/>
      <c r="O81" s="3153"/>
      <c r="P81" s="3154"/>
      <c r="Q81" s="3152"/>
      <c r="R81" s="3153"/>
      <c r="S81" s="3153"/>
      <c r="T81" s="3154"/>
      <c r="U81" s="3140" t="s">
        <v>3422</v>
      </c>
      <c r="V81" s="3140"/>
      <c r="W81" s="3140" t="s">
        <v>3423</v>
      </c>
      <c r="X81" s="3140"/>
      <c r="Y81" s="3140" t="s">
        <v>3422</v>
      </c>
      <c r="Z81" s="3140"/>
      <c r="AA81" s="3140" t="s">
        <v>3423</v>
      </c>
      <c r="AB81" s="3140"/>
      <c r="AC81" s="3152"/>
      <c r="AD81" s="3153"/>
      <c r="AE81" s="3153"/>
      <c r="AF81" s="3154"/>
    </row>
    <row r="82" spans="1:32" x14ac:dyDescent="0.3">
      <c r="A82" s="3141" t="s">
        <v>3594</v>
      </c>
      <c r="B82" s="3141"/>
      <c r="C82" s="3141"/>
      <c r="D82" s="3141"/>
      <c r="E82" s="3141"/>
      <c r="F82" s="3141"/>
      <c r="G82" s="3141"/>
      <c r="H82" s="3141"/>
      <c r="I82" s="3098">
        <f>2*60</f>
        <v>120</v>
      </c>
      <c r="J82" s="3099"/>
      <c r="K82" s="3099"/>
      <c r="L82" s="3100"/>
      <c r="M82" s="3098">
        <f>2*24</f>
        <v>48</v>
      </c>
      <c r="N82" s="3099"/>
      <c r="O82" s="3099"/>
      <c r="P82" s="3100"/>
      <c r="Q82" s="3098">
        <f>2*13</f>
        <v>26</v>
      </c>
      <c r="R82" s="3099"/>
      <c r="S82" s="3099"/>
      <c r="T82" s="3100"/>
      <c r="U82" s="3142">
        <f>ROUND(2*3411/Q71, 0)</f>
        <v>3</v>
      </c>
      <c r="V82" s="3142"/>
      <c r="W82" s="3098">
        <f>ROUND(3411/Q71, 0)</f>
        <v>1</v>
      </c>
      <c r="X82" s="3100"/>
      <c r="Y82" s="3142">
        <f>AC82-U82</f>
        <v>3</v>
      </c>
      <c r="Z82" s="3142"/>
      <c r="AA82" s="3142">
        <f>AC82-W82</f>
        <v>5</v>
      </c>
      <c r="AB82" s="3142"/>
      <c r="AC82" s="3098">
        <f>ROUND(14856/Q71,0)</f>
        <v>6</v>
      </c>
      <c r="AD82" s="3099"/>
      <c r="AE82" s="3099"/>
      <c r="AF82" s="3100"/>
    </row>
    <row r="83" spans="1:32" x14ac:dyDescent="0.3">
      <c r="A83" s="3141" t="s">
        <v>3595</v>
      </c>
      <c r="B83" s="3141"/>
      <c r="C83" s="3141"/>
      <c r="D83" s="3141"/>
      <c r="E83" s="3141"/>
      <c r="F83" s="3141"/>
      <c r="G83" s="3141"/>
      <c r="H83" s="3141"/>
      <c r="I83" s="3142">
        <v>47</v>
      </c>
      <c r="J83" s="3142"/>
      <c r="K83" s="3142"/>
      <c r="L83" s="3142"/>
      <c r="M83" s="3142">
        <v>24</v>
      </c>
      <c r="N83" s="3142"/>
      <c r="O83" s="3142"/>
      <c r="P83" s="3142"/>
      <c r="Q83" s="3142">
        <v>10</v>
      </c>
      <c r="R83" s="3142"/>
      <c r="S83" s="3142"/>
      <c r="T83" s="3142"/>
      <c r="U83" s="3098">
        <f>ROUND(2*3411/Q71, 0)</f>
        <v>3</v>
      </c>
      <c r="V83" s="3100"/>
      <c r="W83" s="3098">
        <f>ROUND(3411/Q71, 0)</f>
        <v>1</v>
      </c>
      <c r="X83" s="3100"/>
      <c r="Y83" s="3142">
        <f>AC83-U83</f>
        <v>3</v>
      </c>
      <c r="Z83" s="3142"/>
      <c r="AA83" s="3142">
        <f>AC83-W83</f>
        <v>5</v>
      </c>
      <c r="AB83" s="3142"/>
      <c r="AC83" s="3098">
        <f>ROUND(14856/Q71,0)</f>
        <v>6</v>
      </c>
      <c r="AD83" s="3099"/>
      <c r="AE83" s="3099"/>
      <c r="AF83" s="3100"/>
    </row>
    <row r="84" spans="1:32" ht="42.9" customHeight="1" x14ac:dyDescent="0.3">
      <c r="A84" s="1406" t="s">
        <v>4590</v>
      </c>
      <c r="B84" s="1406"/>
      <c r="C84" s="1406"/>
      <c r="D84" s="1406"/>
      <c r="E84" s="1406"/>
      <c r="F84" s="1406"/>
      <c r="G84" s="1406"/>
      <c r="H84" s="1406"/>
      <c r="I84" s="1406"/>
      <c r="J84" s="1406"/>
      <c r="K84" s="1406"/>
      <c r="L84" s="1406"/>
      <c r="M84" s="1406"/>
      <c r="N84" s="1406"/>
      <c r="O84" s="1406"/>
      <c r="P84" s="1406"/>
      <c r="Q84" s="1406"/>
      <c r="R84" s="1406"/>
      <c r="S84" s="1406"/>
      <c r="T84" s="1406"/>
      <c r="U84" s="1406"/>
      <c r="V84" s="1406"/>
      <c r="W84" s="1406"/>
      <c r="X84" s="1406"/>
      <c r="Y84" s="1406"/>
      <c r="Z84" s="1406"/>
      <c r="AA84" s="1406"/>
      <c r="AB84" s="1406"/>
      <c r="AC84" s="1406"/>
      <c r="AD84" s="1406"/>
      <c r="AE84" s="1406"/>
      <c r="AF84" s="1406"/>
    </row>
    <row r="85" spans="1:32"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3">
      <c r="A86" s="1290" t="s">
        <v>14</v>
      </c>
      <c r="B86" s="1290"/>
      <c r="C86" s="1290"/>
      <c r="D86" s="1290"/>
      <c r="E86" s="1290"/>
      <c r="F86" s="1290"/>
      <c r="G86" s="1290"/>
      <c r="H86" s="1290"/>
      <c r="I86" s="1290"/>
      <c r="J86" s="1290"/>
      <c r="K86" s="1290"/>
      <c r="L86" s="1290"/>
      <c r="M86" s="1290"/>
      <c r="N86" s="1290"/>
      <c r="O86" s="1290"/>
      <c r="P86" s="1290"/>
      <c r="Q86" s="1290"/>
      <c r="R86" s="1290"/>
      <c r="S86" s="1290"/>
      <c r="T86" s="1290"/>
      <c r="U86" s="1290"/>
      <c r="V86" s="1290"/>
      <c r="W86" s="1290"/>
      <c r="X86" s="1290"/>
      <c r="Y86" s="1290"/>
      <c r="Z86" s="1290"/>
      <c r="AA86" s="1290"/>
      <c r="AB86" s="1290"/>
      <c r="AC86" s="1290"/>
      <c r="AD86" s="1290"/>
      <c r="AE86" s="1290"/>
      <c r="AF86" s="1290"/>
    </row>
    <row r="87" spans="1:32" x14ac:dyDescent="0.3">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row>
    <row r="88" spans="1:32" ht="15" thickBot="1" x14ac:dyDescent="0.35">
      <c r="A88" s="57" t="s">
        <v>4583</v>
      </c>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row>
    <row r="89" spans="1:32" x14ac:dyDescent="0.3">
      <c r="A89" s="3130" t="s">
        <v>15</v>
      </c>
      <c r="B89" s="3131"/>
      <c r="C89" s="3131"/>
      <c r="D89" s="3131"/>
      <c r="E89" s="3131"/>
      <c r="F89" s="3131"/>
      <c r="G89" s="3131"/>
      <c r="H89" s="3132"/>
      <c r="I89" s="3129" t="s">
        <v>16</v>
      </c>
      <c r="J89" s="3129"/>
      <c r="K89" s="3129"/>
      <c r="L89" s="3129"/>
      <c r="M89" s="3129"/>
      <c r="N89" s="3129"/>
      <c r="O89" s="3129"/>
      <c r="P89" s="3129"/>
      <c r="Q89" s="3129" t="s">
        <v>17</v>
      </c>
      <c r="R89" s="3129"/>
      <c r="S89" s="3129"/>
      <c r="T89" s="3129"/>
      <c r="U89" s="3129"/>
      <c r="V89" s="3129"/>
      <c r="W89" s="3129"/>
      <c r="X89" s="3129"/>
      <c r="Y89" s="608" t="s">
        <v>1826</v>
      </c>
      <c r="Z89" s="608"/>
      <c r="AA89" s="608"/>
      <c r="AB89" s="608"/>
      <c r="AC89" s="608"/>
      <c r="AD89" s="608"/>
      <c r="AE89" s="608"/>
      <c r="AF89" s="609"/>
    </row>
    <row r="90" spans="1:32" ht="15" thickBot="1" x14ac:dyDescent="0.35">
      <c r="A90" s="3133"/>
      <c r="B90" s="3127"/>
      <c r="C90" s="3127"/>
      <c r="D90" s="3127"/>
      <c r="E90" s="3127"/>
      <c r="F90" s="3127"/>
      <c r="G90" s="3127"/>
      <c r="H90" s="3128"/>
      <c r="I90" s="3126" t="s">
        <v>3630</v>
      </c>
      <c r="J90" s="3127"/>
      <c r="K90" s="3127"/>
      <c r="L90" s="3128"/>
      <c r="M90" s="3126" t="s">
        <v>3631</v>
      </c>
      <c r="N90" s="3127"/>
      <c r="O90" s="3127"/>
      <c r="P90" s="3128"/>
      <c r="Q90" s="3126" t="s">
        <v>3630</v>
      </c>
      <c r="R90" s="3127"/>
      <c r="S90" s="3127"/>
      <c r="T90" s="3128"/>
      <c r="U90" s="3126" t="s">
        <v>3631</v>
      </c>
      <c r="V90" s="3127"/>
      <c r="W90" s="3127"/>
      <c r="X90" s="3128"/>
      <c r="Y90" s="3134" t="s">
        <v>3422</v>
      </c>
      <c r="Z90" s="3134"/>
      <c r="AA90" s="3134"/>
      <c r="AB90" s="3134"/>
      <c r="AC90" s="3134" t="s">
        <v>3423</v>
      </c>
      <c r="AD90" s="3134"/>
      <c r="AE90" s="3134"/>
      <c r="AF90" s="3135"/>
    </row>
    <row r="91" spans="1:32" x14ac:dyDescent="0.3">
      <c r="A91" s="3087" t="s">
        <v>3594</v>
      </c>
      <c r="B91" s="3088"/>
      <c r="C91" s="3088"/>
      <c r="D91" s="3088"/>
      <c r="E91" s="3088"/>
      <c r="F91" s="3088"/>
      <c r="G91" s="3088"/>
      <c r="H91" s="3088"/>
      <c r="I91" s="3118">
        <f>ROUND(((I82-Q82)/1000)*Q69*Q70*Q72,3)</f>
        <v>5.7000000000000002E-2</v>
      </c>
      <c r="J91" s="3119"/>
      <c r="K91" s="3119"/>
      <c r="L91" s="3120"/>
      <c r="M91" s="3118">
        <f>ROUND(((M82-Q82)/1000)*Q69*Q70*Q72,3)</f>
        <v>1.2999999999999999E-2</v>
      </c>
      <c r="N91" s="3119"/>
      <c r="O91" s="3119"/>
      <c r="P91" s="3120"/>
      <c r="Q91" s="3121">
        <f>ROUND(((I82-Q82)/1000)*Q69*Q71*Q72,2)</f>
        <v>225.67</v>
      </c>
      <c r="R91" s="3122"/>
      <c r="S91" s="3122"/>
      <c r="T91" s="3123"/>
      <c r="U91" s="3121">
        <f>ROUND(((M82-Q82)/1000)*Q69*Q71*Q72,2)</f>
        <v>52.82</v>
      </c>
      <c r="V91" s="3122"/>
      <c r="W91" s="3122"/>
      <c r="X91" s="3123"/>
      <c r="Y91" s="3107">
        <f>ROUND(Q91*U82+U91*Y82,2)</f>
        <v>835.47</v>
      </c>
      <c r="Z91" s="3108"/>
      <c r="AA91" s="3108"/>
      <c r="AB91" s="3109"/>
      <c r="AC91" s="3107">
        <f>ROUND(Q91*W82+U91*AA82,2)</f>
        <v>489.77</v>
      </c>
      <c r="AD91" s="3108"/>
      <c r="AE91" s="3108"/>
      <c r="AF91" s="3110"/>
    </row>
    <row r="92" spans="1:32" ht="15" thickBot="1" x14ac:dyDescent="0.35">
      <c r="A92" s="2754" t="s">
        <v>3595</v>
      </c>
      <c r="B92" s="2755"/>
      <c r="C92" s="2755"/>
      <c r="D92" s="2755"/>
      <c r="E92" s="2755"/>
      <c r="F92" s="2755"/>
      <c r="G92" s="2755"/>
      <c r="H92" s="2755"/>
      <c r="I92" s="3115">
        <f>ROUND(((I83-Q83)/1000)*Q69*Q70*Q72,3)</f>
        <v>2.1999999999999999E-2</v>
      </c>
      <c r="J92" s="3116"/>
      <c r="K92" s="3116"/>
      <c r="L92" s="3117"/>
      <c r="M92" s="3115">
        <f>ROUND(((M83-Q83)/1000)*Q69*Q70*Q72,3)</f>
        <v>8.0000000000000002E-3</v>
      </c>
      <c r="N92" s="3116"/>
      <c r="O92" s="3116"/>
      <c r="P92" s="3117"/>
      <c r="Q92" s="2758">
        <f>ROUND(((I83-Q83)/1000)*Q69*Q71*Q72,2)</f>
        <v>88.83</v>
      </c>
      <c r="R92" s="3124"/>
      <c r="S92" s="3124"/>
      <c r="T92" s="3125"/>
      <c r="U92" s="2758">
        <f>ROUND(((M83-Q83)/1000)*Q69*Q71*Q72,2)</f>
        <v>33.61</v>
      </c>
      <c r="V92" s="3124"/>
      <c r="W92" s="3124"/>
      <c r="X92" s="3125"/>
      <c r="Y92" s="3111">
        <f>ROUND(Q92*U83+U92*Y83,2)</f>
        <v>367.32</v>
      </c>
      <c r="Z92" s="3112"/>
      <c r="AA92" s="3112"/>
      <c r="AB92" s="3113"/>
      <c r="AC92" s="3111">
        <f>ROUND(Q92*W83+U92*AA83,2)</f>
        <v>256.88</v>
      </c>
      <c r="AD92" s="3112"/>
      <c r="AE92" s="3112"/>
      <c r="AF92" s="3114"/>
    </row>
    <row r="93" spans="1:32" x14ac:dyDescent="0.3">
      <c r="A93" s="488"/>
      <c r="B93" s="488"/>
      <c r="C93" s="488"/>
      <c r="D93" s="488"/>
      <c r="E93" s="488"/>
      <c r="F93" s="488"/>
      <c r="G93" s="488"/>
      <c r="H93" s="488"/>
      <c r="I93" s="489"/>
      <c r="J93" s="489"/>
      <c r="K93" s="489"/>
      <c r="L93" s="489"/>
      <c r="M93" s="489"/>
      <c r="N93" s="489"/>
      <c r="O93" s="489"/>
      <c r="P93" s="489"/>
      <c r="Q93" s="490"/>
      <c r="R93" s="490"/>
      <c r="S93" s="490"/>
      <c r="T93" s="490"/>
      <c r="U93" s="490"/>
      <c r="V93" s="490"/>
      <c r="W93" s="490"/>
      <c r="X93" s="490"/>
      <c r="Y93" s="490"/>
      <c r="Z93" s="490"/>
      <c r="AA93" s="490"/>
      <c r="AB93" s="490"/>
      <c r="AC93" s="490"/>
      <c r="AD93" s="490"/>
      <c r="AE93" s="490"/>
      <c r="AF93" s="490"/>
    </row>
    <row r="94" spans="1:32" ht="15" thickBot="1" x14ac:dyDescent="0.35">
      <c r="A94" s="57" t="s">
        <v>4584</v>
      </c>
      <c r="B94" s="488"/>
      <c r="C94" s="488"/>
      <c r="D94" s="488"/>
      <c r="E94" s="488"/>
      <c r="F94" s="488"/>
      <c r="G94" s="488"/>
      <c r="H94" s="488"/>
      <c r="I94" s="489"/>
      <c r="J94" s="489"/>
      <c r="K94" s="489"/>
      <c r="L94" s="489"/>
      <c r="M94" s="489"/>
      <c r="N94" s="489"/>
      <c r="O94" s="489"/>
      <c r="P94" s="489"/>
      <c r="Q94" s="490"/>
      <c r="R94" s="490"/>
      <c r="S94" s="490"/>
      <c r="T94" s="490"/>
      <c r="U94" s="490"/>
      <c r="V94" s="490"/>
      <c r="W94" s="490"/>
      <c r="X94" s="490"/>
      <c r="Y94" s="490"/>
      <c r="Z94" s="490"/>
      <c r="AA94" s="490"/>
      <c r="AB94" s="490"/>
      <c r="AC94" s="490"/>
      <c r="AD94" s="490"/>
      <c r="AE94" s="490"/>
      <c r="AF94" s="490"/>
    </row>
    <row r="95" spans="1:32" ht="15" thickBot="1" x14ac:dyDescent="0.35">
      <c r="A95" s="3101" t="s">
        <v>15</v>
      </c>
      <c r="B95" s="3102"/>
      <c r="C95" s="3102"/>
      <c r="D95" s="3102"/>
      <c r="E95" s="3102"/>
      <c r="F95" s="3102"/>
      <c r="G95" s="3102"/>
      <c r="H95" s="3102"/>
      <c r="I95" s="3102" t="s">
        <v>16</v>
      </c>
      <c r="J95" s="3102"/>
      <c r="K95" s="3102"/>
      <c r="L95" s="3102"/>
      <c r="M95" s="3102"/>
      <c r="N95" s="3102"/>
      <c r="O95" s="3102"/>
      <c r="P95" s="3102"/>
      <c r="Q95" s="3102" t="s">
        <v>17</v>
      </c>
      <c r="R95" s="3102"/>
      <c r="S95" s="3102"/>
      <c r="T95" s="3102"/>
      <c r="U95" s="3102"/>
      <c r="V95" s="3102"/>
      <c r="W95" s="3102"/>
      <c r="X95" s="3102"/>
      <c r="Y95" s="3102" t="s">
        <v>1826</v>
      </c>
      <c r="Z95" s="3102"/>
      <c r="AA95" s="3102"/>
      <c r="AB95" s="3102"/>
      <c r="AC95" s="3102"/>
      <c r="AD95" s="3102"/>
      <c r="AE95" s="3102"/>
      <c r="AF95" s="3103"/>
    </row>
    <row r="96" spans="1:32" x14ac:dyDescent="0.3">
      <c r="A96" s="3087" t="s">
        <v>3594</v>
      </c>
      <c r="B96" s="3088"/>
      <c r="C96" s="3088"/>
      <c r="D96" s="3088"/>
      <c r="E96" s="3088"/>
      <c r="F96" s="3088"/>
      <c r="G96" s="3088"/>
      <c r="H96" s="3088"/>
      <c r="I96" s="3083">
        <f>ROUND(((M82-Q82)/1000)*Q69*Q70*Q72,3)</f>
        <v>1.2999999999999999E-2</v>
      </c>
      <c r="J96" s="3083"/>
      <c r="K96" s="3083"/>
      <c r="L96" s="3083"/>
      <c r="M96" s="3083"/>
      <c r="N96" s="3083"/>
      <c r="O96" s="3083"/>
      <c r="P96" s="3083"/>
      <c r="Q96" s="3084">
        <f>ROUND(((M82-Q82)/1000)*Q69*Q71*Q72,2)</f>
        <v>52.82</v>
      </c>
      <c r="R96" s="3084"/>
      <c r="S96" s="3084"/>
      <c r="T96" s="3084"/>
      <c r="U96" s="3084"/>
      <c r="V96" s="3084"/>
      <c r="W96" s="3084"/>
      <c r="X96" s="3084"/>
      <c r="Y96" s="3138">
        <f>Q96*AC82</f>
        <v>316.92</v>
      </c>
      <c r="Z96" s="3138"/>
      <c r="AA96" s="3138"/>
      <c r="AB96" s="3138"/>
      <c r="AC96" s="3138"/>
      <c r="AD96" s="3138"/>
      <c r="AE96" s="3138"/>
      <c r="AF96" s="3139"/>
    </row>
    <row r="97" spans="1:32" ht="15" thickBot="1" x14ac:dyDescent="0.35">
      <c r="A97" s="2754" t="s">
        <v>3595</v>
      </c>
      <c r="B97" s="2755"/>
      <c r="C97" s="2755"/>
      <c r="D97" s="2755"/>
      <c r="E97" s="2755"/>
      <c r="F97" s="2755"/>
      <c r="G97" s="2755"/>
      <c r="H97" s="2755"/>
      <c r="I97" s="2756">
        <f>ROUND(((M83-Q83)/1000)*Q69*Q70*Q72,3)</f>
        <v>8.0000000000000002E-3</v>
      </c>
      <c r="J97" s="2756"/>
      <c r="K97" s="2756"/>
      <c r="L97" s="2756"/>
      <c r="M97" s="2756"/>
      <c r="N97" s="2756"/>
      <c r="O97" s="2756"/>
      <c r="P97" s="2756"/>
      <c r="Q97" s="2757">
        <f>ROUND(((M83-Q83)/1000)*Q69*Q71*Q72,2)</f>
        <v>33.61</v>
      </c>
      <c r="R97" s="2757"/>
      <c r="S97" s="2757"/>
      <c r="T97" s="2757"/>
      <c r="U97" s="2757"/>
      <c r="V97" s="2757"/>
      <c r="W97" s="2757"/>
      <c r="X97" s="2757"/>
      <c r="Y97" s="3136">
        <f>Q97*AC83</f>
        <v>201.66</v>
      </c>
      <c r="Z97" s="3136"/>
      <c r="AA97" s="3136"/>
      <c r="AB97" s="3136"/>
      <c r="AC97" s="3136"/>
      <c r="AD97" s="3136"/>
      <c r="AE97" s="3136"/>
      <c r="AF97" s="3137"/>
    </row>
    <row r="98" spans="1:32" x14ac:dyDescent="0.3">
      <c r="A98" s="491" t="s">
        <v>3604</v>
      </c>
      <c r="B98" s="492"/>
      <c r="C98" s="492"/>
      <c r="D98" s="169"/>
      <c r="E98" s="169"/>
      <c r="F98" s="169"/>
      <c r="G98" s="169"/>
      <c r="H98" s="169"/>
      <c r="I98" s="169"/>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3">
      <c r="A100" s="1290" t="s">
        <v>1514</v>
      </c>
      <c r="B100" s="1290"/>
      <c r="C100" s="1290"/>
      <c r="D100" s="1290"/>
      <c r="E100" s="1290"/>
      <c r="F100" s="1290"/>
      <c r="G100" s="1290"/>
      <c r="H100" s="1290"/>
      <c r="I100" s="1290"/>
      <c r="J100" s="1290"/>
      <c r="K100" s="1290"/>
      <c r="L100" s="1290"/>
      <c r="M100" s="1290"/>
      <c r="N100" s="1290"/>
      <c r="O100" s="1290"/>
      <c r="P100" s="1290"/>
      <c r="Q100" s="1290"/>
      <c r="R100" s="1290"/>
      <c r="S100" s="1290"/>
      <c r="T100" s="1290"/>
      <c r="U100" s="1290"/>
      <c r="V100" s="1290"/>
      <c r="W100" s="1290"/>
      <c r="X100" s="1290"/>
      <c r="Y100" s="1290"/>
      <c r="Z100" s="1290"/>
      <c r="AA100" s="1290"/>
      <c r="AB100" s="1290"/>
      <c r="AC100" s="1290"/>
      <c r="AD100" s="1290"/>
      <c r="AE100" s="1290"/>
      <c r="AF100" s="1290"/>
    </row>
    <row r="101" spans="1:32"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3">
      <c r="A102" s="370" t="s">
        <v>803</v>
      </c>
      <c r="B102" s="884" t="s">
        <v>5770</v>
      </c>
      <c r="C102" s="884"/>
      <c r="D102" s="884"/>
      <c r="E102" s="884"/>
      <c r="F102" s="884"/>
      <c r="G102" s="884"/>
      <c r="H102" s="884"/>
      <c r="I102" s="884"/>
      <c r="J102" s="884"/>
      <c r="K102" s="884"/>
      <c r="L102" s="884"/>
      <c r="M102" s="884"/>
      <c r="N102" s="884"/>
      <c r="O102" s="884"/>
      <c r="P102" s="884"/>
      <c r="Q102" s="884"/>
      <c r="R102" s="884"/>
      <c r="S102" s="884"/>
      <c r="T102" s="884"/>
      <c r="U102" s="884"/>
      <c r="V102" s="884"/>
      <c r="W102" s="884"/>
      <c r="X102" s="884"/>
      <c r="Y102" s="884"/>
      <c r="Z102" s="884"/>
      <c r="AA102" s="884"/>
      <c r="AB102" s="884"/>
      <c r="AC102" s="884"/>
      <c r="AD102" s="884"/>
      <c r="AE102" s="884"/>
      <c r="AF102" s="884"/>
    </row>
    <row r="103" spans="1:32" ht="15" customHeight="1" x14ac:dyDescent="0.3">
      <c r="A103" s="370" t="s">
        <v>803</v>
      </c>
      <c r="B103" s="889" t="s">
        <v>4585</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row>
    <row r="104" spans="1:32" ht="30.75" customHeight="1" x14ac:dyDescent="0.3">
      <c r="A104" s="370" t="s">
        <v>803</v>
      </c>
      <c r="B104" s="884" t="s">
        <v>4551</v>
      </c>
      <c r="C104" s="884"/>
      <c r="D104" s="884"/>
      <c r="E104" s="884"/>
      <c r="F104" s="884"/>
      <c r="G104" s="884"/>
      <c r="H104" s="884"/>
      <c r="I104" s="884"/>
      <c r="J104" s="884"/>
      <c r="K104" s="884"/>
      <c r="L104" s="884"/>
      <c r="M104" s="884"/>
      <c r="N104" s="884"/>
      <c r="O104" s="884"/>
      <c r="P104" s="884"/>
      <c r="Q104" s="884"/>
      <c r="R104" s="884"/>
      <c r="S104" s="884"/>
      <c r="T104" s="884"/>
      <c r="U104" s="884"/>
      <c r="V104" s="884"/>
      <c r="W104" s="884"/>
      <c r="X104" s="884"/>
      <c r="Y104" s="884"/>
      <c r="Z104" s="884"/>
      <c r="AA104" s="884"/>
      <c r="AB104" s="884"/>
      <c r="AC104" s="884"/>
      <c r="AD104" s="884"/>
      <c r="AE104" s="884"/>
      <c r="AF104" s="884"/>
    </row>
    <row r="105" spans="1:32" ht="31.5" customHeight="1" x14ac:dyDescent="0.3">
      <c r="A105" s="370" t="s">
        <v>803</v>
      </c>
      <c r="B105" s="889" t="s">
        <v>5781</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row>
    <row r="106" spans="1:32" ht="15" customHeight="1" x14ac:dyDescent="0.3">
      <c r="A106" s="370" t="s">
        <v>803</v>
      </c>
      <c r="B106" s="889" t="s">
        <v>5783</v>
      </c>
      <c r="C106" s="889"/>
      <c r="D106" s="889"/>
      <c r="E106" s="889"/>
      <c r="F106" s="889"/>
      <c r="G106" s="889"/>
      <c r="H106" s="889"/>
      <c r="I106" s="889"/>
      <c r="J106" s="889"/>
      <c r="K106" s="889"/>
      <c r="L106" s="889"/>
      <c r="M106" s="889"/>
      <c r="N106" s="889"/>
      <c r="O106" s="889"/>
      <c r="P106" s="889"/>
      <c r="Q106" s="889"/>
      <c r="R106" s="889"/>
      <c r="S106" s="889"/>
      <c r="T106" s="889"/>
      <c r="U106" s="889"/>
      <c r="V106" s="889"/>
      <c r="W106" s="889"/>
      <c r="X106" s="889"/>
      <c r="Y106" s="889"/>
      <c r="Z106" s="889"/>
      <c r="AA106" s="889"/>
      <c r="AB106" s="889"/>
      <c r="AC106" s="889"/>
      <c r="AD106" s="889"/>
      <c r="AE106" s="889"/>
      <c r="AF106" s="889"/>
    </row>
    <row r="107" spans="1:32" ht="30" customHeight="1" x14ac:dyDescent="0.3">
      <c r="A107" s="370" t="s">
        <v>803</v>
      </c>
      <c r="B107" s="889" t="s">
        <v>3597</v>
      </c>
      <c r="C107" s="889"/>
      <c r="D107" s="889"/>
      <c r="E107" s="889"/>
      <c r="F107" s="889"/>
      <c r="G107" s="889"/>
      <c r="H107" s="889"/>
      <c r="I107" s="889"/>
      <c r="J107" s="889"/>
      <c r="K107" s="889"/>
      <c r="L107" s="889"/>
      <c r="M107" s="889"/>
      <c r="N107" s="889"/>
      <c r="O107" s="889"/>
      <c r="P107" s="889"/>
      <c r="Q107" s="889"/>
      <c r="R107" s="889"/>
      <c r="S107" s="889"/>
      <c r="T107" s="889"/>
      <c r="U107" s="889"/>
      <c r="V107" s="889"/>
      <c r="W107" s="889"/>
      <c r="X107" s="889"/>
      <c r="Y107" s="889"/>
      <c r="Z107" s="889"/>
      <c r="AA107" s="889"/>
      <c r="AB107" s="889"/>
      <c r="AC107" s="889"/>
      <c r="AD107" s="889"/>
      <c r="AE107" s="889"/>
      <c r="AF107" s="889"/>
    </row>
    <row r="108" spans="1:32"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sheetData>
  <sheetProtection algorithmName="SHA-512" hashValue="aIAQJNByCSpjjX7umSbOTLRtTjwd4mdQcIPPdtvvIg7hSZJWE5wbDt+DqQNrbPRwHz84clrAITus8GeL++xEXA==" saltValue="OuwIuKC2SPWvlKp0YNORBg==" spinCount="100000" sheet="1" objects="1" scenarios="1"/>
  <mergeCells count="147">
    <mergeCell ref="A73:D73"/>
    <mergeCell ref="E73:P73"/>
    <mergeCell ref="Q73:T73"/>
    <mergeCell ref="U73:W73"/>
    <mergeCell ref="X73:AF73"/>
    <mergeCell ref="A74:D74"/>
    <mergeCell ref="E74:P74"/>
    <mergeCell ref="Q74:T74"/>
    <mergeCell ref="U74:W74"/>
    <mergeCell ref="X74:AF74"/>
    <mergeCell ref="B10:AF10"/>
    <mergeCell ref="B12:I12"/>
    <mergeCell ref="B13:AF13"/>
    <mergeCell ref="B15:I15"/>
    <mergeCell ref="B16:AF16"/>
    <mergeCell ref="A1:AF1"/>
    <mergeCell ref="A3:AF3"/>
    <mergeCell ref="B5:AF5"/>
    <mergeCell ref="A7:AF7"/>
    <mergeCell ref="B9:I9"/>
    <mergeCell ref="A37:AF37"/>
    <mergeCell ref="A65:AF65"/>
    <mergeCell ref="A66:D66"/>
    <mergeCell ref="E66:P66"/>
    <mergeCell ref="Q66:T66"/>
    <mergeCell ref="U66:W66"/>
    <mergeCell ref="X66:AF66"/>
    <mergeCell ref="B18:I18"/>
    <mergeCell ref="B31:J31"/>
    <mergeCell ref="B32:AF32"/>
    <mergeCell ref="B19:AF19"/>
    <mergeCell ref="B25:AF25"/>
    <mergeCell ref="C21:AF21"/>
    <mergeCell ref="C23:AF23"/>
    <mergeCell ref="C27:AF27"/>
    <mergeCell ref="C29:AF29"/>
    <mergeCell ref="B33:AF33"/>
    <mergeCell ref="B35:AF35"/>
    <mergeCell ref="A68:D68"/>
    <mergeCell ref="E68:P68"/>
    <mergeCell ref="Q68:T68"/>
    <mergeCell ref="U68:W68"/>
    <mergeCell ref="X68:AF68"/>
    <mergeCell ref="A67:D67"/>
    <mergeCell ref="E67:P67"/>
    <mergeCell ref="Q67:T67"/>
    <mergeCell ref="U67:W67"/>
    <mergeCell ref="X67:AF67"/>
    <mergeCell ref="A70:D70"/>
    <mergeCell ref="E70:P70"/>
    <mergeCell ref="Q70:T70"/>
    <mergeCell ref="U70:W70"/>
    <mergeCell ref="X70:AF70"/>
    <mergeCell ref="A69:D69"/>
    <mergeCell ref="E69:P69"/>
    <mergeCell ref="Q69:T69"/>
    <mergeCell ref="U69:W69"/>
    <mergeCell ref="X69:AF69"/>
    <mergeCell ref="A72:D72"/>
    <mergeCell ref="E72:P72"/>
    <mergeCell ref="Q72:T72"/>
    <mergeCell ref="U72:W72"/>
    <mergeCell ref="X72:AF72"/>
    <mergeCell ref="A71:D71"/>
    <mergeCell ref="E71:P71"/>
    <mergeCell ref="Q71:T71"/>
    <mergeCell ref="U71:W71"/>
    <mergeCell ref="X71:AF71"/>
    <mergeCell ref="AC83:AF83"/>
    <mergeCell ref="A80:H81"/>
    <mergeCell ref="I80:L81"/>
    <mergeCell ref="M80:P81"/>
    <mergeCell ref="Q80:T81"/>
    <mergeCell ref="AC80:AF81"/>
    <mergeCell ref="U81:V81"/>
    <mergeCell ref="W81:X81"/>
    <mergeCell ref="Y81:Z81"/>
    <mergeCell ref="A83:H83"/>
    <mergeCell ref="I83:L83"/>
    <mergeCell ref="M83:P83"/>
    <mergeCell ref="Q83:T83"/>
    <mergeCell ref="U83:V83"/>
    <mergeCell ref="W83:X83"/>
    <mergeCell ref="Y83:Z83"/>
    <mergeCell ref="AA83:AB83"/>
    <mergeCell ref="A76:AF76"/>
    <mergeCell ref="U80:X80"/>
    <mergeCell ref="Y80:AB80"/>
    <mergeCell ref="A75:D75"/>
    <mergeCell ref="E75:P75"/>
    <mergeCell ref="Q75:T75"/>
    <mergeCell ref="U75:W75"/>
    <mergeCell ref="X75:AF75"/>
    <mergeCell ref="AC82:AF82"/>
    <mergeCell ref="A82:H82"/>
    <mergeCell ref="I82:L82"/>
    <mergeCell ref="M82:P82"/>
    <mergeCell ref="Q82:T82"/>
    <mergeCell ref="AA81:AB81"/>
    <mergeCell ref="U82:V82"/>
    <mergeCell ref="W82:X82"/>
    <mergeCell ref="Y82:Z82"/>
    <mergeCell ref="AA82:AB82"/>
    <mergeCell ref="B105:AF105"/>
    <mergeCell ref="B106:AF106"/>
    <mergeCell ref="B107:AF107"/>
    <mergeCell ref="A97:H97"/>
    <mergeCell ref="I97:P97"/>
    <mergeCell ref="Q97:X97"/>
    <mergeCell ref="Y97:AF97"/>
    <mergeCell ref="A100:AF100"/>
    <mergeCell ref="A95:H95"/>
    <mergeCell ref="I95:P95"/>
    <mergeCell ref="Q95:X95"/>
    <mergeCell ref="Y95:AF95"/>
    <mergeCell ref="A96:H96"/>
    <mergeCell ref="I96:P96"/>
    <mergeCell ref="Q96:X96"/>
    <mergeCell ref="Y96:AF96"/>
    <mergeCell ref="B104:AF104"/>
    <mergeCell ref="M90:P90"/>
    <mergeCell ref="Q90:T90"/>
    <mergeCell ref="I89:P89"/>
    <mergeCell ref="Q89:X89"/>
    <mergeCell ref="A89:H90"/>
    <mergeCell ref="I90:L90"/>
    <mergeCell ref="A84:AF84"/>
    <mergeCell ref="Y90:AB90"/>
    <mergeCell ref="AC90:AF90"/>
    <mergeCell ref="U90:X90"/>
    <mergeCell ref="A86:AF86"/>
    <mergeCell ref="Y91:AB91"/>
    <mergeCell ref="AC91:AF91"/>
    <mergeCell ref="Y92:AB92"/>
    <mergeCell ref="AC92:AF92"/>
    <mergeCell ref="B103:AF103"/>
    <mergeCell ref="I92:L92"/>
    <mergeCell ref="M91:P91"/>
    <mergeCell ref="M92:P92"/>
    <mergeCell ref="Q91:T91"/>
    <mergeCell ref="I91:L91"/>
    <mergeCell ref="Q92:T92"/>
    <mergeCell ref="U91:X91"/>
    <mergeCell ref="U92:X92"/>
    <mergeCell ref="A91:H91"/>
    <mergeCell ref="A92:H92"/>
    <mergeCell ref="B102:AF102"/>
  </mergeCells>
  <hyperlinks>
    <hyperlink ref="A2" location="TOC!A1" display="Return to TOC" xr:uid="{00000000-0004-0000-59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41:AF42 AF63 AF45:AF57 AF59:AF61" numberStoredAsText="1"/>
  </ignoredError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8" tint="0.79998168889431442"/>
    <pageSetUpPr autoPageBreaks="0"/>
  </sheetPr>
  <dimension ref="A1:AJ121"/>
  <sheetViews>
    <sheetView workbookViewId="0">
      <selection activeCell="A2" sqref="A2"/>
    </sheetView>
  </sheetViews>
  <sheetFormatPr defaultColWidth="2.6640625" defaultRowHeight="14.4" x14ac:dyDescent="0.3"/>
  <sheetData>
    <row r="1" spans="1:32" ht="18" x14ac:dyDescent="0.3">
      <c r="A1" s="1131" t="s">
        <v>3452</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3559</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382"/>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x14ac:dyDescent="0.3">
      <c r="A10" s="122"/>
      <c r="B10" s="1258" t="s">
        <v>3605</v>
      </c>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0.6" customHeight="1" x14ac:dyDescent="0.3">
      <c r="A13" s="121"/>
      <c r="B13" s="1258" t="s">
        <v>3637</v>
      </c>
      <c r="C13" s="1258"/>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3606</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3">
      <c r="A19" s="121"/>
      <c r="B19" s="1258" t="s">
        <v>3607</v>
      </c>
      <c r="C19" s="1258"/>
      <c r="D19" s="1258"/>
      <c r="E19" s="1258"/>
      <c r="F19" s="1258"/>
      <c r="G19" s="1258"/>
      <c r="H19" s="1258"/>
      <c r="I19" s="1258"/>
      <c r="J19" s="1258"/>
      <c r="K19" s="1258"/>
      <c r="L19" s="1258"/>
      <c r="M19" s="1258"/>
      <c r="N19" s="1258"/>
      <c r="O19" s="1258"/>
      <c r="P19" s="1258"/>
      <c r="Q19" s="1258"/>
      <c r="R19" s="1258"/>
      <c r="S19" s="1258"/>
      <c r="T19" s="1258"/>
      <c r="U19" s="1258"/>
      <c r="V19" s="1258"/>
      <c r="W19" s="1258"/>
      <c r="X19" s="1258"/>
      <c r="Y19" s="1258"/>
      <c r="Z19" s="1258"/>
      <c r="AA19" s="1258"/>
      <c r="AB19" s="1258"/>
      <c r="AC19" s="1258"/>
      <c r="AD19" s="1258"/>
      <c r="AE19" s="1258"/>
      <c r="AF19" s="1258"/>
    </row>
    <row r="20" spans="1:32" x14ac:dyDescent="0.3">
      <c r="A20" s="121"/>
      <c r="B20" s="267"/>
      <c r="C20" s="267"/>
      <c r="D20" s="267"/>
      <c r="E20" s="267"/>
      <c r="F20" s="267"/>
      <c r="G20" s="267"/>
      <c r="H20" s="267"/>
      <c r="I20" s="267"/>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2" x14ac:dyDescent="0.3">
      <c r="A21" s="121"/>
      <c r="B21" s="1518" t="s">
        <v>13</v>
      </c>
      <c r="C21" s="1518"/>
      <c r="D21" s="1518"/>
      <c r="E21" s="1518"/>
      <c r="F21" s="1518"/>
      <c r="G21" s="1518"/>
      <c r="H21" s="1518"/>
      <c r="I21" s="1518"/>
      <c r="J21" s="1518"/>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x14ac:dyDescent="0.3">
      <c r="A22" s="121"/>
      <c r="B22" s="1258" t="s">
        <v>3608</v>
      </c>
      <c r="C22" s="1372"/>
      <c r="D22" s="1372"/>
      <c r="E22" s="1372"/>
      <c r="F22" s="1372"/>
      <c r="G22" s="1372"/>
      <c r="H22" s="1372"/>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row>
    <row r="23" spans="1:32" x14ac:dyDescent="0.3">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3">
      <c r="A24" s="1290" t="s">
        <v>7</v>
      </c>
      <c r="B24" s="1290"/>
      <c r="C24" s="1290"/>
      <c r="D24" s="1290"/>
      <c r="E24" s="1290"/>
      <c r="F24" s="1290"/>
      <c r="G24" s="1290"/>
      <c r="H24" s="1290"/>
      <c r="I24" s="1290"/>
      <c r="J24" s="1290"/>
      <c r="K24" s="1290"/>
      <c r="L24" s="1290"/>
      <c r="M24" s="1290"/>
      <c r="N24" s="1290"/>
      <c r="O24" s="1290"/>
      <c r="P24" s="1290"/>
      <c r="Q24" s="1290"/>
      <c r="R24" s="1290"/>
      <c r="S24" s="1290"/>
      <c r="T24" s="1290"/>
      <c r="U24" s="1290"/>
      <c r="V24" s="1290"/>
      <c r="W24" s="1290"/>
      <c r="X24" s="1290"/>
      <c r="Y24" s="1290"/>
      <c r="Z24" s="1290"/>
      <c r="AA24" s="1290"/>
      <c r="AB24" s="1290"/>
      <c r="AC24" s="1290"/>
      <c r="AD24" s="1290"/>
      <c r="AE24" s="1290"/>
      <c r="AF24" s="1290"/>
    </row>
    <row r="25" spans="1:32" x14ac:dyDescent="0.3">
      <c r="A25" s="121"/>
      <c r="B25" s="121"/>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row>
    <row r="26" spans="1:32" x14ac:dyDescent="0.3">
      <c r="A26" s="121"/>
      <c r="B26" s="372" t="s">
        <v>2137</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row>
    <row r="27" spans="1:32" x14ac:dyDescent="0.3">
      <c r="A27" s="12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x14ac:dyDescent="0.3">
      <c r="A28" s="121"/>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272" t="s">
        <v>1463</v>
      </c>
    </row>
    <row r="29" spans="1:32" x14ac:dyDescent="0.3">
      <c r="A29" s="121"/>
      <c r="B29" s="121"/>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272"/>
    </row>
    <row r="30" spans="1:32" x14ac:dyDescent="0.3">
      <c r="A30" s="121"/>
      <c r="B30" s="267" t="s">
        <v>2025</v>
      </c>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row>
    <row r="31" spans="1:32" x14ac:dyDescent="0.3">
      <c r="A31" s="121"/>
      <c r="B31" s="121"/>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row>
    <row r="32" spans="1:32"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272" t="s">
        <v>1464</v>
      </c>
    </row>
    <row r="33" spans="1:32" x14ac:dyDescent="0.3">
      <c r="A33" s="121"/>
      <c r="B33" s="121"/>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row>
    <row r="34" spans="1:32" x14ac:dyDescent="0.3">
      <c r="A34" s="121"/>
      <c r="B34" s="267" t="s">
        <v>1811</v>
      </c>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272"/>
    </row>
    <row r="35" spans="1:32" x14ac:dyDescent="0.3">
      <c r="A35" s="121"/>
      <c r="B35" s="121"/>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272"/>
    </row>
    <row r="36" spans="1:32"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272" t="s">
        <v>1465</v>
      </c>
    </row>
    <row r="37" spans="1:32"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272"/>
    </row>
    <row r="38" spans="1:32" x14ac:dyDescent="0.3">
      <c r="A38" s="121"/>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row>
    <row r="39" spans="1:32" x14ac:dyDescent="0.3">
      <c r="A39" s="1290" t="s">
        <v>8</v>
      </c>
      <c r="B39" s="1290"/>
      <c r="C39" s="1290"/>
      <c r="D39" s="1290"/>
      <c r="E39" s="1290"/>
      <c r="F39" s="1290"/>
      <c r="G39" s="1290"/>
      <c r="H39" s="1290"/>
      <c r="I39" s="1290"/>
      <c r="J39" s="1290"/>
      <c r="K39" s="1290"/>
      <c r="L39" s="1290"/>
      <c r="M39" s="1290"/>
      <c r="N39" s="1290"/>
      <c r="O39" s="1290"/>
      <c r="P39" s="1290"/>
      <c r="Q39" s="1290"/>
      <c r="R39" s="1290"/>
      <c r="S39" s="1290"/>
      <c r="T39" s="1290"/>
      <c r="U39" s="1290"/>
      <c r="V39" s="1290"/>
      <c r="W39" s="1290"/>
      <c r="X39" s="1290"/>
      <c r="Y39" s="1290"/>
      <c r="Z39" s="1290"/>
      <c r="AA39" s="1290"/>
      <c r="AB39" s="1290"/>
      <c r="AC39" s="1290"/>
      <c r="AD39" s="1290"/>
      <c r="AE39" s="1290"/>
      <c r="AF39" s="1290"/>
    </row>
    <row r="40" spans="1:32" x14ac:dyDescent="0.3">
      <c r="A40" s="1405" t="s">
        <v>9</v>
      </c>
      <c r="B40" s="1405"/>
      <c r="C40" s="1405"/>
      <c r="D40" s="1405"/>
      <c r="E40" s="1405" t="s">
        <v>3</v>
      </c>
      <c r="F40" s="1405"/>
      <c r="G40" s="1405"/>
      <c r="H40" s="1405"/>
      <c r="I40" s="1405"/>
      <c r="J40" s="1405"/>
      <c r="K40" s="1405"/>
      <c r="L40" s="1405"/>
      <c r="M40" s="1405"/>
      <c r="N40" s="1405"/>
      <c r="O40" s="1405"/>
      <c r="P40" s="1405"/>
      <c r="Q40" s="1405" t="s">
        <v>10</v>
      </c>
      <c r="R40" s="1405"/>
      <c r="S40" s="1405"/>
      <c r="T40" s="1405"/>
      <c r="U40" s="1366" t="s">
        <v>11</v>
      </c>
      <c r="V40" s="1367"/>
      <c r="W40" s="1368"/>
      <c r="X40" s="1366" t="s">
        <v>1466</v>
      </c>
      <c r="Y40" s="1367"/>
      <c r="Z40" s="1367"/>
      <c r="AA40" s="1367"/>
      <c r="AB40" s="1367"/>
      <c r="AC40" s="1367"/>
      <c r="AD40" s="1367"/>
      <c r="AE40" s="1367"/>
      <c r="AF40" s="1368"/>
    </row>
    <row r="41" spans="1:32" ht="30" customHeight="1" x14ac:dyDescent="0.3">
      <c r="A41" s="1349" t="s">
        <v>3576</v>
      </c>
      <c r="B41" s="1350" t="s">
        <v>272</v>
      </c>
      <c r="C41" s="1350" t="s">
        <v>272</v>
      </c>
      <c r="D41" s="1351" t="s">
        <v>272</v>
      </c>
      <c r="E41" s="1163" t="s">
        <v>3561</v>
      </c>
      <c r="F41" s="1164" t="s">
        <v>517</v>
      </c>
      <c r="G41" s="1164" t="s">
        <v>517</v>
      </c>
      <c r="H41" s="1164" t="s">
        <v>517</v>
      </c>
      <c r="I41" s="1164" t="s">
        <v>517</v>
      </c>
      <c r="J41" s="1164" t="s">
        <v>517</v>
      </c>
      <c r="K41" s="1164" t="s">
        <v>517</v>
      </c>
      <c r="L41" s="1164" t="s">
        <v>517</v>
      </c>
      <c r="M41" s="1164" t="s">
        <v>517</v>
      </c>
      <c r="N41" s="1164" t="s">
        <v>517</v>
      </c>
      <c r="O41" s="1164" t="s">
        <v>517</v>
      </c>
      <c r="P41" s="1165" t="s">
        <v>517</v>
      </c>
      <c r="Q41" s="1330">
        <v>0.39</v>
      </c>
      <c r="R41" s="1331"/>
      <c r="S41" s="1331"/>
      <c r="T41" s="1332"/>
      <c r="U41" s="1352" t="s">
        <v>269</v>
      </c>
      <c r="V41" s="1353"/>
      <c r="W41" s="1354"/>
      <c r="X41" s="1163" t="s">
        <v>3609</v>
      </c>
      <c r="Y41" s="1164"/>
      <c r="Z41" s="1164"/>
      <c r="AA41" s="1164"/>
      <c r="AB41" s="1164"/>
      <c r="AC41" s="1164"/>
      <c r="AD41" s="1164"/>
      <c r="AE41" s="1164"/>
      <c r="AF41" s="1165"/>
    </row>
    <row r="42" spans="1:32" ht="30" customHeight="1" x14ac:dyDescent="0.3">
      <c r="A42" s="1349" t="s">
        <v>3577</v>
      </c>
      <c r="B42" s="1350" t="s">
        <v>518</v>
      </c>
      <c r="C42" s="1350" t="s">
        <v>518</v>
      </c>
      <c r="D42" s="1351" t="s">
        <v>518</v>
      </c>
      <c r="E42" s="1163" t="s">
        <v>3591</v>
      </c>
      <c r="F42" s="1164" t="s">
        <v>514</v>
      </c>
      <c r="G42" s="1164" t="s">
        <v>514</v>
      </c>
      <c r="H42" s="1164" t="s">
        <v>514</v>
      </c>
      <c r="I42" s="1164" t="s">
        <v>514</v>
      </c>
      <c r="J42" s="1164" t="s">
        <v>514</v>
      </c>
      <c r="K42" s="1164" t="s">
        <v>514</v>
      </c>
      <c r="L42" s="1164" t="s">
        <v>514</v>
      </c>
      <c r="M42" s="1164" t="s">
        <v>514</v>
      </c>
      <c r="N42" s="1164" t="s">
        <v>514</v>
      </c>
      <c r="O42" s="1164" t="s">
        <v>514</v>
      </c>
      <c r="P42" s="1165" t="s">
        <v>514</v>
      </c>
      <c r="Q42" s="1330">
        <v>7.0000000000000007E-2</v>
      </c>
      <c r="R42" s="1331"/>
      <c r="S42" s="1331"/>
      <c r="T42" s="1332"/>
      <c r="U42" s="1352" t="s">
        <v>269</v>
      </c>
      <c r="V42" s="1353"/>
      <c r="W42" s="1354"/>
      <c r="X42" s="1385" t="s">
        <v>3610</v>
      </c>
      <c r="Y42" s="1385"/>
      <c r="Z42" s="1385"/>
      <c r="AA42" s="1385"/>
      <c r="AB42" s="1385"/>
      <c r="AC42" s="1385"/>
      <c r="AD42" s="1385"/>
      <c r="AE42" s="1385"/>
      <c r="AF42" s="1385"/>
    </row>
    <row r="43" spans="1:32" ht="45" customHeight="1" x14ac:dyDescent="0.3">
      <c r="A43" s="1349" t="s">
        <v>1522</v>
      </c>
      <c r="B43" s="1350"/>
      <c r="C43" s="1350"/>
      <c r="D43" s="1351"/>
      <c r="E43" s="1163" t="s">
        <v>1845</v>
      </c>
      <c r="F43" s="1164"/>
      <c r="G43" s="1164"/>
      <c r="H43" s="1164"/>
      <c r="I43" s="1164"/>
      <c r="J43" s="1164"/>
      <c r="K43" s="1164"/>
      <c r="L43" s="1164"/>
      <c r="M43" s="1164"/>
      <c r="N43" s="1164"/>
      <c r="O43" s="1164"/>
      <c r="P43" s="1165"/>
      <c r="Q43" s="1330">
        <v>0.97</v>
      </c>
      <c r="R43" s="1331"/>
      <c r="S43" s="1331"/>
      <c r="T43" s="1332"/>
      <c r="U43" s="1365" t="s">
        <v>20</v>
      </c>
      <c r="V43" s="1353"/>
      <c r="W43" s="1354"/>
      <c r="X43" s="1385" t="s">
        <v>3578</v>
      </c>
      <c r="Y43" s="1385"/>
      <c r="Z43" s="1385"/>
      <c r="AA43" s="1385"/>
      <c r="AB43" s="1385"/>
      <c r="AC43" s="1385"/>
      <c r="AD43" s="1385"/>
      <c r="AE43" s="1385"/>
      <c r="AF43" s="1385"/>
    </row>
    <row r="44" spans="1:32" ht="81" customHeight="1" x14ac:dyDescent="0.3">
      <c r="A44" s="1349" t="s">
        <v>443</v>
      </c>
      <c r="B44" s="1350" t="s">
        <v>443</v>
      </c>
      <c r="C44" s="1350" t="s">
        <v>443</v>
      </c>
      <c r="D44" s="1351" t="s">
        <v>443</v>
      </c>
      <c r="E44" s="1163" t="s">
        <v>1460</v>
      </c>
      <c r="F44" s="1164" t="s">
        <v>444</v>
      </c>
      <c r="G44" s="1164" t="s">
        <v>444</v>
      </c>
      <c r="H44" s="1164" t="s">
        <v>444</v>
      </c>
      <c r="I44" s="1164" t="s">
        <v>444</v>
      </c>
      <c r="J44" s="1164" t="s">
        <v>444</v>
      </c>
      <c r="K44" s="1164" t="s">
        <v>444</v>
      </c>
      <c r="L44" s="1164" t="s">
        <v>444</v>
      </c>
      <c r="M44" s="1164" t="s">
        <v>444</v>
      </c>
      <c r="N44" s="1164" t="s">
        <v>444</v>
      </c>
      <c r="O44" s="1164" t="s">
        <v>444</v>
      </c>
      <c r="P44" s="1165" t="s">
        <v>444</v>
      </c>
      <c r="Q44" s="1330">
        <f>ROUND(3.1/4,2)</f>
        <v>0.78</v>
      </c>
      <c r="R44" s="1331"/>
      <c r="S44" s="1331"/>
      <c r="T44" s="1332"/>
      <c r="U44" s="1166" t="s">
        <v>20</v>
      </c>
      <c r="V44" s="1167"/>
      <c r="W44" s="1168"/>
      <c r="X44" s="1385" t="s">
        <v>3684</v>
      </c>
      <c r="Y44" s="1385"/>
      <c r="Z44" s="1385"/>
      <c r="AA44" s="1385"/>
      <c r="AB44" s="1385"/>
      <c r="AC44" s="1385"/>
      <c r="AD44" s="1385"/>
      <c r="AE44" s="1385"/>
      <c r="AF44" s="1385"/>
    </row>
    <row r="45" spans="1:32" ht="30" customHeight="1" x14ac:dyDescent="0.3">
      <c r="A45" s="1349" t="s">
        <v>1524</v>
      </c>
      <c r="B45" s="1350"/>
      <c r="C45" s="1350"/>
      <c r="D45" s="1351"/>
      <c r="E45" s="1163" t="s">
        <v>3569</v>
      </c>
      <c r="F45" s="1164"/>
      <c r="G45" s="1164"/>
      <c r="H45" s="1164"/>
      <c r="I45" s="1164"/>
      <c r="J45" s="1164"/>
      <c r="K45" s="1164"/>
      <c r="L45" s="1164"/>
      <c r="M45" s="1164"/>
      <c r="N45" s="1164"/>
      <c r="O45" s="1164"/>
      <c r="P45" s="1165"/>
      <c r="Q45" s="1166">
        <f>6*7*5</f>
        <v>210</v>
      </c>
      <c r="R45" s="1167"/>
      <c r="S45" s="1167"/>
      <c r="T45" s="1168"/>
      <c r="U45" s="1365" t="s">
        <v>37</v>
      </c>
      <c r="V45" s="1353"/>
      <c r="W45" s="1354"/>
      <c r="X45" s="1385" t="s">
        <v>3683</v>
      </c>
      <c r="Y45" s="1385"/>
      <c r="Z45" s="1385"/>
      <c r="AA45" s="1385"/>
      <c r="AB45" s="1385"/>
      <c r="AC45" s="1385"/>
      <c r="AD45" s="1385"/>
      <c r="AE45" s="1385"/>
      <c r="AF45" s="1385"/>
    </row>
    <row r="46" spans="1:32" ht="30" customHeight="1" x14ac:dyDescent="0.3">
      <c r="A46" s="2970" t="s">
        <v>3612</v>
      </c>
      <c r="B46" s="1350" t="s">
        <v>34</v>
      </c>
      <c r="C46" s="1350" t="s">
        <v>34</v>
      </c>
      <c r="D46" s="1351" t="s">
        <v>34</v>
      </c>
      <c r="E46" s="1163" t="s">
        <v>644</v>
      </c>
      <c r="F46" s="1164" t="s">
        <v>234</v>
      </c>
      <c r="G46" s="1164" t="s">
        <v>234</v>
      </c>
      <c r="H46" s="1164" t="s">
        <v>234</v>
      </c>
      <c r="I46" s="1164" t="s">
        <v>234</v>
      </c>
      <c r="J46" s="1164" t="s">
        <v>234</v>
      </c>
      <c r="K46" s="1164" t="s">
        <v>234</v>
      </c>
      <c r="L46" s="1164" t="s">
        <v>234</v>
      </c>
      <c r="M46" s="1164" t="s">
        <v>234</v>
      </c>
      <c r="N46" s="1164" t="s">
        <v>234</v>
      </c>
      <c r="O46" s="1164" t="s">
        <v>234</v>
      </c>
      <c r="P46" s="1165" t="s">
        <v>234</v>
      </c>
      <c r="Q46" s="1166">
        <v>1</v>
      </c>
      <c r="R46" s="1167">
        <v>0.96</v>
      </c>
      <c r="S46" s="1167">
        <v>0.96</v>
      </c>
      <c r="T46" s="1168">
        <v>0.96</v>
      </c>
      <c r="U46" s="1352" t="s">
        <v>20</v>
      </c>
      <c r="V46" s="1353"/>
      <c r="W46" s="1354"/>
      <c r="X46" s="1349"/>
      <c r="Y46" s="1350"/>
      <c r="Z46" s="1350"/>
      <c r="AA46" s="1350"/>
      <c r="AB46" s="1350"/>
      <c r="AC46" s="1350"/>
      <c r="AD46" s="1350"/>
      <c r="AE46" s="1350"/>
      <c r="AF46" s="1351"/>
    </row>
    <row r="47" spans="1:32" ht="45" customHeight="1" x14ac:dyDescent="0.3">
      <c r="A47" s="1349" t="s">
        <v>3584</v>
      </c>
      <c r="B47" s="1350" t="s">
        <v>26</v>
      </c>
      <c r="C47" s="1350" t="s">
        <v>26</v>
      </c>
      <c r="D47" s="1351" t="s">
        <v>26</v>
      </c>
      <c r="E47" s="1349" t="s">
        <v>2051</v>
      </c>
      <c r="F47" s="1350" t="s">
        <v>208</v>
      </c>
      <c r="G47" s="1350" t="s">
        <v>208</v>
      </c>
      <c r="H47" s="1350" t="s">
        <v>208</v>
      </c>
      <c r="I47" s="1350" t="s">
        <v>208</v>
      </c>
      <c r="J47" s="1350" t="s">
        <v>208</v>
      </c>
      <c r="K47" s="1350" t="s">
        <v>208</v>
      </c>
      <c r="L47" s="1350" t="s">
        <v>208</v>
      </c>
      <c r="M47" s="1350" t="s">
        <v>208</v>
      </c>
      <c r="N47" s="1350" t="s">
        <v>208</v>
      </c>
      <c r="O47" s="1350" t="s">
        <v>208</v>
      </c>
      <c r="P47" s="1351" t="s">
        <v>208</v>
      </c>
      <c r="Q47" s="1166">
        <f>'Master EUL'!$X$18</f>
        <v>5</v>
      </c>
      <c r="R47" s="1167"/>
      <c r="S47" s="1167"/>
      <c r="T47" s="1168"/>
      <c r="U47" s="1352" t="s">
        <v>38</v>
      </c>
      <c r="V47" s="1353"/>
      <c r="W47" s="1354"/>
      <c r="X47" s="1163" t="s">
        <v>3611</v>
      </c>
      <c r="Y47" s="1164"/>
      <c r="Z47" s="1164"/>
      <c r="AA47" s="1164"/>
      <c r="AB47" s="1164"/>
      <c r="AC47" s="1164"/>
      <c r="AD47" s="1164"/>
      <c r="AE47" s="1164"/>
      <c r="AF47" s="1165"/>
    </row>
    <row r="48" spans="1:32" ht="45.75" customHeight="1" x14ac:dyDescent="0.3">
      <c r="A48" s="2854" t="s">
        <v>3613</v>
      </c>
      <c r="B48" s="2854"/>
      <c r="C48" s="2854"/>
      <c r="D48" s="2854"/>
      <c r="E48" s="2854"/>
      <c r="F48" s="2854"/>
      <c r="G48" s="2854"/>
      <c r="H48" s="2854"/>
      <c r="I48" s="2854"/>
      <c r="J48" s="2854"/>
      <c r="K48" s="2854"/>
      <c r="L48" s="2854"/>
      <c r="M48" s="2854"/>
      <c r="N48" s="2854"/>
      <c r="O48" s="2854"/>
      <c r="P48" s="2854"/>
      <c r="Q48" s="2854"/>
      <c r="R48" s="2854"/>
      <c r="S48" s="2854"/>
      <c r="T48" s="2854"/>
      <c r="U48" s="2854"/>
      <c r="V48" s="2854"/>
      <c r="W48" s="2854"/>
      <c r="X48" s="2854"/>
      <c r="Y48" s="2854"/>
      <c r="Z48" s="2854"/>
      <c r="AA48" s="2854"/>
      <c r="AB48" s="2854"/>
      <c r="AC48" s="2854"/>
      <c r="AD48" s="2854"/>
      <c r="AE48" s="2854"/>
      <c r="AF48" s="2854"/>
    </row>
    <row r="49" spans="1:36" x14ac:dyDescent="0.3">
      <c r="A49" s="482" t="s">
        <v>3599</v>
      </c>
      <c r="B49" s="483"/>
      <c r="C49" s="483"/>
      <c r="D49" s="483"/>
      <c r="E49" s="484"/>
      <c r="F49" s="484"/>
      <c r="G49" s="484"/>
      <c r="H49" s="484"/>
      <c r="I49" s="484"/>
      <c r="J49" s="484"/>
      <c r="K49" s="484"/>
      <c r="L49" s="484"/>
      <c r="M49" s="484"/>
      <c r="N49" s="484"/>
      <c r="O49" s="484"/>
      <c r="P49" s="484"/>
      <c r="Q49" s="485"/>
      <c r="R49" s="485"/>
      <c r="S49" s="485"/>
      <c r="T49" s="485"/>
      <c r="U49" s="486"/>
      <c r="V49" s="486"/>
      <c r="W49" s="486"/>
      <c r="X49" s="486"/>
      <c r="Y49" s="486"/>
      <c r="Z49" s="486"/>
      <c r="AA49" s="486"/>
      <c r="AB49" s="486"/>
      <c r="AC49" s="486"/>
      <c r="AD49" s="486"/>
      <c r="AE49" s="486"/>
      <c r="AF49" s="486"/>
    </row>
    <row r="50" spans="1:36" x14ac:dyDescent="0.3">
      <c r="A50" s="487"/>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row>
    <row r="51" spans="1:36" x14ac:dyDescent="0.3">
      <c r="A51" s="94"/>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row>
    <row r="52" spans="1:36" x14ac:dyDescent="0.3">
      <c r="A52" s="1290" t="s">
        <v>14</v>
      </c>
      <c r="B52" s="1290"/>
      <c r="C52" s="1290"/>
      <c r="D52" s="1290"/>
      <c r="E52" s="1290"/>
      <c r="F52" s="1290"/>
      <c r="G52" s="1290"/>
      <c r="H52" s="1290"/>
      <c r="I52" s="1290"/>
      <c r="J52" s="1290"/>
      <c r="K52" s="1290"/>
      <c r="L52" s="1290"/>
      <c r="M52" s="1290"/>
      <c r="N52" s="1290"/>
      <c r="O52" s="1290"/>
      <c r="P52" s="1290"/>
      <c r="Q52" s="1290"/>
      <c r="R52" s="1290"/>
      <c r="S52" s="1290"/>
      <c r="T52" s="1290"/>
      <c r="U52" s="1290"/>
      <c r="V52" s="1290"/>
      <c r="W52" s="1290"/>
      <c r="X52" s="1290"/>
      <c r="Y52" s="1290"/>
      <c r="Z52" s="1290"/>
      <c r="AA52" s="1290"/>
      <c r="AB52" s="1290"/>
      <c r="AC52" s="1290"/>
      <c r="AD52" s="1290"/>
      <c r="AE52" s="1290"/>
      <c r="AF52" s="1290"/>
    </row>
    <row r="53" spans="1:36" s="1" customFormat="1"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J53" s="496"/>
    </row>
    <row r="54" spans="1:36" s="1" customFormat="1" x14ac:dyDescent="0.3">
      <c r="A54" s="3"/>
      <c r="B54" s="232" t="s">
        <v>3636</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J54" s="496"/>
    </row>
    <row r="55" spans="1:36" ht="15" thickBot="1" x14ac:dyDescent="0.3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row>
    <row r="56" spans="1:36" x14ac:dyDescent="0.3">
      <c r="A56" s="3168" t="s">
        <v>15</v>
      </c>
      <c r="B56" s="3129"/>
      <c r="C56" s="3129"/>
      <c r="D56" s="3129"/>
      <c r="E56" s="3129"/>
      <c r="F56" s="3129"/>
      <c r="G56" s="3129"/>
      <c r="H56" s="3129"/>
      <c r="I56" s="3129" t="s">
        <v>16</v>
      </c>
      <c r="J56" s="3129"/>
      <c r="K56" s="3129"/>
      <c r="L56" s="3129"/>
      <c r="M56" s="3129"/>
      <c r="N56" s="3129"/>
      <c r="O56" s="3129"/>
      <c r="P56" s="3129"/>
      <c r="Q56" s="3129" t="s">
        <v>17</v>
      </c>
      <c r="R56" s="3129"/>
      <c r="S56" s="3129"/>
      <c r="T56" s="3129"/>
      <c r="U56" s="3129"/>
      <c r="V56" s="3129"/>
      <c r="W56" s="3129"/>
      <c r="X56" s="3169"/>
      <c r="Y56" s="3129" t="s">
        <v>1826</v>
      </c>
      <c r="Z56" s="3129"/>
      <c r="AA56" s="3129"/>
      <c r="AB56" s="3129"/>
      <c r="AC56" s="3129"/>
      <c r="AD56" s="3129"/>
      <c r="AE56" s="3129"/>
      <c r="AF56" s="3170"/>
    </row>
    <row r="57" spans="1:36" ht="29.4" customHeight="1" thickBot="1" x14ac:dyDescent="0.35">
      <c r="A57" s="3156" t="s">
        <v>3635</v>
      </c>
      <c r="B57" s="3157"/>
      <c r="C57" s="3157"/>
      <c r="D57" s="3157"/>
      <c r="E57" s="3157"/>
      <c r="F57" s="3157"/>
      <c r="G57" s="3157"/>
      <c r="H57" s="3158"/>
      <c r="I57" s="3159">
        <f>((Q41-Q42)/1000)*Q43*Q44*Q46</f>
        <v>2.4211200000000003E-4</v>
      </c>
      <c r="J57" s="3159"/>
      <c r="K57" s="3159"/>
      <c r="L57" s="3159"/>
      <c r="M57" s="3159"/>
      <c r="N57" s="3159"/>
      <c r="O57" s="3159"/>
      <c r="P57" s="3159"/>
      <c r="Q57" s="3160">
        <f>((Q41-Q42)/1000)*Q43*Q45*Q46</f>
        <v>6.5184000000000006E-2</v>
      </c>
      <c r="R57" s="3160"/>
      <c r="S57" s="3160"/>
      <c r="T57" s="3160"/>
      <c r="U57" s="3160"/>
      <c r="V57" s="3160"/>
      <c r="W57" s="3160"/>
      <c r="X57" s="3161"/>
      <c r="Y57" s="3162">
        <f>Q57*Q47</f>
        <v>0.32592000000000004</v>
      </c>
      <c r="Z57" s="3162"/>
      <c r="AA57" s="3162"/>
      <c r="AB57" s="3162"/>
      <c r="AC57" s="3162"/>
      <c r="AD57" s="3162"/>
      <c r="AE57" s="3162"/>
      <c r="AF57" s="3163"/>
    </row>
    <row r="58" spans="1:36" x14ac:dyDescent="0.3">
      <c r="A58" s="493"/>
      <c r="B58" s="492"/>
      <c r="C58" s="492"/>
      <c r="D58" s="169"/>
      <c r="E58" s="169"/>
      <c r="F58" s="169"/>
      <c r="G58" s="169"/>
      <c r="H58" s="169"/>
      <c r="I58" s="169"/>
      <c r="J58" s="94"/>
      <c r="K58" s="94"/>
      <c r="L58" s="94"/>
      <c r="M58" s="94"/>
      <c r="N58" s="94"/>
      <c r="O58" s="94"/>
      <c r="P58" s="94"/>
      <c r="Q58" s="94"/>
      <c r="R58" s="94"/>
      <c r="S58" s="94"/>
      <c r="T58" s="94"/>
      <c r="U58" s="94"/>
      <c r="V58" s="94"/>
      <c r="W58" s="94"/>
      <c r="X58" s="94"/>
      <c r="Y58" s="94"/>
      <c r="Z58" s="94"/>
      <c r="AA58" s="94"/>
      <c r="AB58" s="94"/>
      <c r="AC58" s="94"/>
      <c r="AD58" s="94"/>
      <c r="AE58" s="94"/>
      <c r="AF58" s="94"/>
    </row>
    <row r="59" spans="1:36" x14ac:dyDescent="0.3">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row>
    <row r="60" spans="1:36" x14ac:dyDescent="0.3">
      <c r="B60" s="498" t="s">
        <v>3632</v>
      </c>
      <c r="AJ60" s="94"/>
    </row>
    <row r="61" spans="1:36" x14ac:dyDescent="0.3">
      <c r="B61" s="232"/>
      <c r="AJ61" s="94"/>
    </row>
    <row r="62" spans="1:36" x14ac:dyDescent="0.3">
      <c r="C62" t="s">
        <v>3633</v>
      </c>
      <c r="AJ62" s="238"/>
    </row>
    <row r="63" spans="1:36" x14ac:dyDescent="0.3">
      <c r="D63" s="2495">
        <v>100</v>
      </c>
      <c r="E63" s="2496"/>
      <c r="F63" s="2496"/>
      <c r="G63" s="2496"/>
      <c r="H63" s="2497"/>
      <c r="J63" s="497" t="s">
        <v>3661</v>
      </c>
      <c r="AJ63" s="238"/>
    </row>
    <row r="64" spans="1:36" s="1" customFormat="1" ht="15" thickBot="1" x14ac:dyDescent="0.3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J64" s="496"/>
    </row>
    <row r="65" spans="1:36" x14ac:dyDescent="0.3">
      <c r="A65" s="2759" t="s">
        <v>15</v>
      </c>
      <c r="B65" s="2708"/>
      <c r="C65" s="2708"/>
      <c r="D65" s="2708"/>
      <c r="E65" s="2708"/>
      <c r="F65" s="2708"/>
      <c r="G65" s="2708"/>
      <c r="H65" s="2708"/>
      <c r="I65" s="2708" t="s">
        <v>16</v>
      </c>
      <c r="J65" s="2708"/>
      <c r="K65" s="2708"/>
      <c r="L65" s="2708"/>
      <c r="M65" s="2708"/>
      <c r="N65" s="2708"/>
      <c r="O65" s="2708"/>
      <c r="P65" s="2708"/>
      <c r="Q65" s="2708" t="s">
        <v>17</v>
      </c>
      <c r="R65" s="2708"/>
      <c r="S65" s="2708"/>
      <c r="T65" s="2708"/>
      <c r="U65" s="2708"/>
      <c r="V65" s="2708"/>
      <c r="W65" s="2708"/>
      <c r="X65" s="2753"/>
      <c r="Y65" s="2708" t="s">
        <v>1826</v>
      </c>
      <c r="Z65" s="2708"/>
      <c r="AA65" s="2708"/>
      <c r="AB65" s="2708"/>
      <c r="AC65" s="2708"/>
      <c r="AD65" s="2708"/>
      <c r="AE65" s="2708"/>
      <c r="AF65" s="2709"/>
      <c r="AJ65" s="238"/>
    </row>
    <row r="66" spans="1:36" ht="29.4" customHeight="1" thickBot="1" x14ac:dyDescent="0.35">
      <c r="A66" s="3156" t="s">
        <v>3634</v>
      </c>
      <c r="B66" s="3157"/>
      <c r="C66" s="3157"/>
      <c r="D66" s="3157"/>
      <c r="E66" s="3157"/>
      <c r="F66" s="3157"/>
      <c r="G66" s="3157"/>
      <c r="H66" s="3158"/>
      <c r="I66" s="3164">
        <f>ROUND($D63*I57,3)</f>
        <v>2.4E-2</v>
      </c>
      <c r="J66" s="3164"/>
      <c r="K66" s="3164"/>
      <c r="L66" s="3164"/>
      <c r="M66" s="3164"/>
      <c r="N66" s="3164"/>
      <c r="O66" s="3164"/>
      <c r="P66" s="3164"/>
      <c r="Q66" s="3165">
        <f>ROUND($D63*Q57,2)</f>
        <v>6.52</v>
      </c>
      <c r="R66" s="3165"/>
      <c r="S66" s="3165"/>
      <c r="T66" s="3165"/>
      <c r="U66" s="3165"/>
      <c r="V66" s="3165"/>
      <c r="W66" s="3165"/>
      <c r="X66" s="3165"/>
      <c r="Y66" s="3166">
        <f>ROUND($D63*Y57,2)</f>
        <v>32.590000000000003</v>
      </c>
      <c r="Z66" s="3166"/>
      <c r="AA66" s="3166"/>
      <c r="AB66" s="3166"/>
      <c r="AC66" s="3166"/>
      <c r="AD66" s="3166"/>
      <c r="AE66" s="3166"/>
      <c r="AF66" s="3167"/>
      <c r="AJ66" s="238"/>
    </row>
    <row r="67" spans="1:36" x14ac:dyDescent="0.3">
      <c r="AJ67" s="238"/>
    </row>
    <row r="68" spans="1:36" x14ac:dyDescent="0.3">
      <c r="A68" s="1290" t="s">
        <v>1514</v>
      </c>
      <c r="B68" s="1290"/>
      <c r="C68" s="1290"/>
      <c r="D68" s="1290"/>
      <c r="E68" s="1290"/>
      <c r="F68" s="1290"/>
      <c r="G68" s="1290"/>
      <c r="H68" s="1290"/>
      <c r="I68" s="1290"/>
      <c r="J68" s="1290"/>
      <c r="K68" s="1290"/>
      <c r="L68" s="1290"/>
      <c r="M68" s="1290"/>
      <c r="N68" s="1290"/>
      <c r="O68" s="1290"/>
      <c r="P68" s="1290"/>
      <c r="Q68" s="1290"/>
      <c r="R68" s="1290"/>
      <c r="S68" s="1290"/>
      <c r="T68" s="1290"/>
      <c r="U68" s="1290"/>
      <c r="V68" s="1290"/>
      <c r="W68" s="1290"/>
      <c r="X68" s="1290"/>
      <c r="Y68" s="1290"/>
      <c r="Z68" s="1290"/>
      <c r="AA68" s="1290"/>
      <c r="AB68" s="1290"/>
      <c r="AC68" s="1290"/>
      <c r="AD68" s="1290"/>
      <c r="AE68" s="1290"/>
      <c r="AF68" s="1290"/>
    </row>
    <row r="69" spans="1:36" x14ac:dyDescent="0.3">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row>
    <row r="70" spans="1:36" ht="30.75" customHeight="1" x14ac:dyDescent="0.3">
      <c r="A70" s="370" t="s">
        <v>803</v>
      </c>
      <c r="B70" s="889" t="s">
        <v>3574</v>
      </c>
      <c r="C70" s="889"/>
      <c r="D70" s="889"/>
      <c r="E70" s="889"/>
      <c r="F70" s="889"/>
      <c r="G70" s="889"/>
      <c r="H70" s="889"/>
      <c r="I70" s="889"/>
      <c r="J70" s="889"/>
      <c r="K70" s="889"/>
      <c r="L70" s="889"/>
      <c r="M70" s="889"/>
      <c r="N70" s="889"/>
      <c r="O70" s="889"/>
      <c r="P70" s="889"/>
      <c r="Q70" s="889"/>
      <c r="R70" s="889"/>
      <c r="S70" s="889"/>
      <c r="T70" s="889"/>
      <c r="U70" s="889"/>
      <c r="V70" s="889"/>
      <c r="W70" s="889"/>
      <c r="X70" s="889"/>
      <c r="Y70" s="889"/>
      <c r="Z70" s="889"/>
      <c r="AA70" s="889"/>
      <c r="AB70" s="889"/>
      <c r="AC70" s="889"/>
      <c r="AD70" s="889"/>
      <c r="AE70" s="889"/>
      <c r="AF70" s="889"/>
    </row>
    <row r="71" spans="1:36" x14ac:dyDescent="0.3">
      <c r="A71" s="370" t="s">
        <v>803</v>
      </c>
      <c r="B71" s="889" t="s">
        <v>3596</v>
      </c>
      <c r="C71" s="889"/>
      <c r="D71" s="889"/>
      <c r="E71" s="889"/>
      <c r="F71" s="889"/>
      <c r="G71" s="889"/>
      <c r="H71" s="889"/>
      <c r="I71" s="889"/>
      <c r="J71" s="889"/>
      <c r="K71" s="889"/>
      <c r="L71" s="889"/>
      <c r="M71" s="889"/>
      <c r="N71" s="889"/>
      <c r="O71" s="889"/>
      <c r="P71" s="889"/>
      <c r="Q71" s="889"/>
      <c r="R71" s="889"/>
      <c r="S71" s="889"/>
      <c r="T71" s="889"/>
      <c r="U71" s="889"/>
      <c r="V71" s="889"/>
      <c r="W71" s="889"/>
      <c r="X71" s="889"/>
      <c r="Y71" s="889"/>
      <c r="Z71" s="889"/>
      <c r="AA71" s="889"/>
      <c r="AB71" s="889"/>
      <c r="AC71" s="889"/>
      <c r="AD71" s="889"/>
      <c r="AE71" s="889"/>
      <c r="AF71" s="889"/>
    </row>
    <row r="72" spans="1:36" x14ac:dyDescent="0.3">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row>
    <row r="73" spans="1:36" x14ac:dyDescent="0.3">
      <c r="A73" s="94"/>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row>
    <row r="74" spans="1:36" x14ac:dyDescent="0.3">
      <c r="A74" s="94"/>
      <c r="B74" s="9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row>
    <row r="75" spans="1:36" x14ac:dyDescent="0.3">
      <c r="A75" s="94"/>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row>
    <row r="76" spans="1:36" x14ac:dyDescent="0.3">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row>
    <row r="77" spans="1:36" x14ac:dyDescent="0.3">
      <c r="A77" s="94"/>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row>
    <row r="78" spans="1:36" x14ac:dyDescent="0.3">
      <c r="A78" s="94"/>
      <c r="B78" s="9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row>
    <row r="79" spans="1:36" x14ac:dyDescent="0.3">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row>
    <row r="80" spans="1:36" x14ac:dyDescent="0.3">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row>
    <row r="81" spans="1:32" x14ac:dyDescent="0.3">
      <c r="A81" s="94"/>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row>
    <row r="82" spans="1:32" x14ac:dyDescent="0.3">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row>
    <row r="83" spans="1:32" x14ac:dyDescent="0.3">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row>
    <row r="84" spans="1:32" x14ac:dyDescent="0.3">
      <c r="A84" s="94"/>
      <c r="B84" s="94"/>
      <c r="C84" s="94"/>
      <c r="D84" s="94"/>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row>
    <row r="85" spans="1:32" x14ac:dyDescent="0.3">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row>
    <row r="86" spans="1:32" x14ac:dyDescent="0.3">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row>
    <row r="87" spans="1:32" x14ac:dyDescent="0.3">
      <c r="A87" s="94"/>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row>
    <row r="88" spans="1:32" x14ac:dyDescent="0.3">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row>
    <row r="89" spans="1:32" x14ac:dyDescent="0.3">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row>
    <row r="90" spans="1:32" x14ac:dyDescent="0.3">
      <c r="A90" s="94"/>
      <c r="B90" s="9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row>
    <row r="91" spans="1:32" x14ac:dyDescent="0.3">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row>
    <row r="92" spans="1:32" x14ac:dyDescent="0.3">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row>
    <row r="93" spans="1:32" x14ac:dyDescent="0.3">
      <c r="A93" s="94"/>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row>
    <row r="94" spans="1:32" x14ac:dyDescent="0.3">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row>
    <row r="95" spans="1:32" x14ac:dyDescent="0.3">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x14ac:dyDescent="0.3">
      <c r="A96" s="94"/>
      <c r="B96" s="94"/>
      <c r="C96" s="94"/>
      <c r="D96" s="94"/>
      <c r="E96" s="94"/>
      <c r="F96" s="94"/>
      <c r="G96" s="94"/>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row>
    <row r="97" spans="1:32" x14ac:dyDescent="0.3">
      <c r="A97" s="94"/>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row>
    <row r="98" spans="1:32" x14ac:dyDescent="0.3">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row>
    <row r="99" spans="1:32"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3">
      <c r="A100" s="94"/>
      <c r="B100" s="94"/>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row>
    <row r="101" spans="1:32" x14ac:dyDescent="0.3">
      <c r="A101" s="94"/>
      <c r="B101" s="94"/>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row>
    <row r="102" spans="1:32"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x14ac:dyDescent="0.3">
      <c r="A103" s="94"/>
      <c r="B103" s="94"/>
      <c r="C103" s="94"/>
      <c r="D103" s="94"/>
      <c r="E103" s="94"/>
      <c r="F103" s="94"/>
      <c r="G103" s="94"/>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row>
    <row r="104" spans="1:32" x14ac:dyDescent="0.3">
      <c r="A104" s="94"/>
      <c r="B104" s="94"/>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row>
    <row r="105" spans="1:32" x14ac:dyDescent="0.3">
      <c r="A105" s="94"/>
      <c r="B105" s="94"/>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row>
    <row r="106" spans="1:32" x14ac:dyDescent="0.3">
      <c r="A106" s="94"/>
      <c r="B106" s="94"/>
      <c r="C106" s="94"/>
      <c r="D106" s="94"/>
      <c r="E106" s="94"/>
      <c r="F106" s="94"/>
      <c r="G106" s="94"/>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row>
    <row r="107" spans="1:32" x14ac:dyDescent="0.3">
      <c r="A107" s="94"/>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row>
    <row r="108" spans="1:32" x14ac:dyDescent="0.3">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row>
    <row r="109" spans="1:32" x14ac:dyDescent="0.3">
      <c r="A109" s="94"/>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row>
    <row r="110" spans="1:32" x14ac:dyDescent="0.3">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row>
    <row r="111" spans="1:32" x14ac:dyDescent="0.3">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row>
    <row r="112" spans="1:32" x14ac:dyDescent="0.3">
      <c r="A112" s="94"/>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row>
    <row r="113" spans="1:32" x14ac:dyDescent="0.3">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row>
    <row r="114" spans="1:32" x14ac:dyDescent="0.3">
      <c r="A114" s="94"/>
      <c r="B114" s="94"/>
      <c r="C114" s="94"/>
      <c r="D114" s="94"/>
      <c r="E114" s="94"/>
      <c r="F114" s="94"/>
      <c r="G114" s="94"/>
      <c r="H114" s="94"/>
      <c r="I114" s="94"/>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row>
    <row r="115" spans="1:32" x14ac:dyDescent="0.3">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row>
    <row r="116" spans="1:32" x14ac:dyDescent="0.3">
      <c r="A116" s="94"/>
      <c r="B116" s="94"/>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row>
    <row r="117" spans="1:32" x14ac:dyDescent="0.3">
      <c r="A117" s="94"/>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row>
    <row r="118" spans="1:32" x14ac:dyDescent="0.3">
      <c r="A118" s="94"/>
      <c r="B118" s="94"/>
      <c r="C118" s="94"/>
      <c r="D118" s="94"/>
      <c r="E118" s="94"/>
      <c r="F118" s="94"/>
      <c r="G118" s="94"/>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row>
    <row r="119" spans="1:32" x14ac:dyDescent="0.3">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row>
    <row r="120" spans="1:32" x14ac:dyDescent="0.3">
      <c r="A120" s="94"/>
      <c r="B120" s="94"/>
      <c r="C120" s="94"/>
      <c r="D120" s="94"/>
      <c r="E120" s="94"/>
      <c r="F120" s="94"/>
      <c r="G120" s="94"/>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row>
    <row r="121" spans="1:32" x14ac:dyDescent="0.3">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row>
  </sheetData>
  <sheetProtection algorithmName="SHA-512" hashValue="4O3+Gc/jGfWM7U78QGAOMk8NhAsRjMpZ0yf2bIwzDik791ZN65KtLsCvD18dhYitg3D2ywlZrreGbGkhXwGTgA==" saltValue="G3IgBEJQdF9ro03K1vlTEw==" spinCount="100000" sheet="1" objects="1" scenarios="1"/>
  <mergeCells count="78">
    <mergeCell ref="A1:AF1"/>
    <mergeCell ref="A3:AF3"/>
    <mergeCell ref="B5:AF5"/>
    <mergeCell ref="A7:AF7"/>
    <mergeCell ref="B9:I9"/>
    <mergeCell ref="B10:AF10"/>
    <mergeCell ref="B12:I12"/>
    <mergeCell ref="B13:AF13"/>
    <mergeCell ref="B15:I15"/>
    <mergeCell ref="B16:AF16"/>
    <mergeCell ref="B18:I18"/>
    <mergeCell ref="B19:AF19"/>
    <mergeCell ref="B21:J21"/>
    <mergeCell ref="B22:AF22"/>
    <mergeCell ref="A24:AF24"/>
    <mergeCell ref="A39:AF39"/>
    <mergeCell ref="A40:D40"/>
    <mergeCell ref="E40:P40"/>
    <mergeCell ref="Q40:T40"/>
    <mergeCell ref="U40:W40"/>
    <mergeCell ref="X40:AF40"/>
    <mergeCell ref="A41:D41"/>
    <mergeCell ref="E41:P41"/>
    <mergeCell ref="Q41:T41"/>
    <mergeCell ref="U41:W41"/>
    <mergeCell ref="X41:AF41"/>
    <mergeCell ref="A42:D42"/>
    <mergeCell ref="E42:P42"/>
    <mergeCell ref="Q42:T42"/>
    <mergeCell ref="U42:W42"/>
    <mergeCell ref="X42:AF42"/>
    <mergeCell ref="A43:D43"/>
    <mergeCell ref="E43:P43"/>
    <mergeCell ref="Q43:T43"/>
    <mergeCell ref="U43:W43"/>
    <mergeCell ref="X43:AF43"/>
    <mergeCell ref="A44:D44"/>
    <mergeCell ref="E44:P44"/>
    <mergeCell ref="Q44:T44"/>
    <mergeCell ref="U44:W44"/>
    <mergeCell ref="X44:AF44"/>
    <mergeCell ref="A45:D45"/>
    <mergeCell ref="E45:P45"/>
    <mergeCell ref="Q45:T45"/>
    <mergeCell ref="U45:W45"/>
    <mergeCell ref="X45:AF45"/>
    <mergeCell ref="A46:D46"/>
    <mergeCell ref="E46:P46"/>
    <mergeCell ref="Q46:T46"/>
    <mergeCell ref="U46:W46"/>
    <mergeCell ref="X46:AF46"/>
    <mergeCell ref="A47:D47"/>
    <mergeCell ref="E47:P47"/>
    <mergeCell ref="Q47:T47"/>
    <mergeCell ref="U47:W47"/>
    <mergeCell ref="X47:AF47"/>
    <mergeCell ref="A48:AF48"/>
    <mergeCell ref="A52:AF52"/>
    <mergeCell ref="A56:H56"/>
    <mergeCell ref="I56:P56"/>
    <mergeCell ref="Q56:X56"/>
    <mergeCell ref="Y56:AF56"/>
    <mergeCell ref="B70:AF70"/>
    <mergeCell ref="B71:AF71"/>
    <mergeCell ref="A57:H57"/>
    <mergeCell ref="I57:P57"/>
    <mergeCell ref="Q57:X57"/>
    <mergeCell ref="Y57:AF57"/>
    <mergeCell ref="A68:AF68"/>
    <mergeCell ref="D63:H63"/>
    <mergeCell ref="A65:H65"/>
    <mergeCell ref="I65:P65"/>
    <mergeCell ref="Q65:X65"/>
    <mergeCell ref="Y65:AF65"/>
    <mergeCell ref="A66:H66"/>
    <mergeCell ref="I66:P66"/>
    <mergeCell ref="Q66:X66"/>
    <mergeCell ref="Y66:AF66"/>
  </mergeCells>
  <hyperlinks>
    <hyperlink ref="A2" location="TOC!A1" display="Return to TOC" xr:uid="{00000000-0004-0000-5A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6" numberStoredAsText="1"/>
  </ignoredError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79998168889431442"/>
    <pageSetUpPr autoPageBreaks="0"/>
  </sheetPr>
  <dimension ref="A1:AF211"/>
  <sheetViews>
    <sheetView workbookViewId="0">
      <selection sqref="A1:AF1"/>
    </sheetView>
  </sheetViews>
  <sheetFormatPr defaultColWidth="2.6640625" defaultRowHeight="14.4" x14ac:dyDescent="0.3"/>
  <cols>
    <col min="1" max="12" width="2.6640625" style="94"/>
    <col min="13" max="13" width="4.6640625" style="94" customWidth="1"/>
    <col min="14" max="32" width="2.6640625" style="94"/>
  </cols>
  <sheetData>
    <row r="1" spans="1:32" ht="18" x14ac:dyDescent="0.3">
      <c r="A1" s="1131" t="s">
        <v>4888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row>
    <row r="2" spans="1:32" x14ac:dyDescent="0.3">
      <c r="A2" s="228"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4889</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382"/>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row>
    <row r="9" spans="1:32" x14ac:dyDescent="0.3">
      <c r="A9" s="121"/>
      <c r="B9" s="1518" t="s">
        <v>3</v>
      </c>
      <c r="C9" s="1518"/>
      <c r="D9" s="1518"/>
      <c r="E9" s="1518"/>
      <c r="F9" s="1518"/>
      <c r="G9" s="1518"/>
      <c r="H9" s="1518"/>
      <c r="I9" s="1518"/>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67.5" customHeight="1" x14ac:dyDescent="0.3">
      <c r="A10" s="122"/>
      <c r="B10" s="889" t="s">
        <v>4890</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121"/>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121"/>
      <c r="B12" s="1518" t="s">
        <v>4</v>
      </c>
      <c r="C12" s="1518"/>
      <c r="D12" s="1518"/>
      <c r="E12" s="1518"/>
      <c r="F12" s="1518"/>
      <c r="G12" s="1518"/>
      <c r="H12" s="1518"/>
      <c r="I12" s="1518"/>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46.5" customHeight="1" x14ac:dyDescent="0.3">
      <c r="A13" s="121"/>
      <c r="B13" s="889" t="s">
        <v>4891</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A14" s="121"/>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121"/>
      <c r="B15" s="1518" t="s">
        <v>5</v>
      </c>
      <c r="C15" s="1518"/>
      <c r="D15" s="1518"/>
      <c r="E15" s="1518"/>
      <c r="F15" s="1518"/>
      <c r="G15" s="1518"/>
      <c r="H15" s="1518"/>
      <c r="I15" s="1518"/>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121"/>
      <c r="B16" s="1372" t="s">
        <v>4892</v>
      </c>
      <c r="C16" s="1372"/>
      <c r="D16" s="1372"/>
      <c r="E16" s="1372"/>
      <c r="F16" s="1372"/>
      <c r="G16" s="1372"/>
      <c r="H16" s="1372"/>
      <c r="I16" s="1372"/>
      <c r="J16" s="1372"/>
      <c r="K16" s="1372"/>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row>
    <row r="17" spans="1:32" x14ac:dyDescent="0.3">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121"/>
      <c r="B18" s="1518" t="s">
        <v>6</v>
      </c>
      <c r="C18" s="1518"/>
      <c r="D18" s="1518"/>
      <c r="E18" s="1518"/>
      <c r="F18" s="1518"/>
      <c r="G18" s="1518"/>
      <c r="H18" s="1518"/>
      <c r="I18" s="1518"/>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ht="138.75" customHeight="1" x14ac:dyDescent="0.3">
      <c r="A19" s="121"/>
      <c r="B19" s="889" t="s">
        <v>4893</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A20" s="121"/>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row>
    <row r="21" spans="1:32" x14ac:dyDescent="0.3">
      <c r="A21" s="121"/>
      <c r="B21" s="1518" t="s">
        <v>13</v>
      </c>
      <c r="C21" s="1518"/>
      <c r="D21" s="1518"/>
      <c r="E21" s="1518"/>
      <c r="F21" s="1518"/>
      <c r="G21" s="1518"/>
      <c r="H21" s="1518"/>
      <c r="I21" s="1518"/>
      <c r="J21" s="1518"/>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ht="34.5" customHeight="1" x14ac:dyDescent="0.3">
      <c r="A22" s="121"/>
      <c r="B22" s="889" t="s">
        <v>4894</v>
      </c>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row>
    <row r="23" spans="1:32" x14ac:dyDescent="0.3">
      <c r="A23" s="121"/>
      <c r="B23" s="370"/>
      <c r="C23" s="503"/>
      <c r="D23" s="503"/>
      <c r="E23" s="503"/>
      <c r="F23" s="503"/>
      <c r="G23" s="503"/>
      <c r="H23" s="503"/>
      <c r="I23" s="503"/>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row>
    <row r="24" spans="1:32"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5" spans="1:32"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row>
    <row r="26" spans="1:32" x14ac:dyDescent="0.3">
      <c r="A26" s="1"/>
      <c r="B26" s="231" t="s">
        <v>2135</v>
      </c>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row>
    <row r="28" spans="1:32"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71" t="s">
        <v>1463</v>
      </c>
    </row>
    <row r="29" spans="1:32"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71"/>
    </row>
    <row r="30" spans="1:32" x14ac:dyDescent="0.3">
      <c r="A30" s="1"/>
      <c r="B30" s="231" t="s">
        <v>2136</v>
      </c>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row>
    <row r="32" spans="1:32"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71" t="s">
        <v>1464</v>
      </c>
    </row>
    <row r="33" spans="1:32"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71"/>
    </row>
    <row r="34" spans="1:32" x14ac:dyDescent="0.3">
      <c r="A34" s="1"/>
      <c r="B34" s="51" t="s">
        <v>2025</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row>
    <row r="35" spans="1:32"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row>
    <row r="36" spans="1:32"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71" t="s">
        <v>1465</v>
      </c>
    </row>
    <row r="37" spans="1:32"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row>
    <row r="38" spans="1:32" x14ac:dyDescent="0.3">
      <c r="A38" s="1"/>
      <c r="B38" s="51" t="s">
        <v>2026</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row>
    <row r="39" spans="1:32"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row>
    <row r="40" spans="1:32"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71" t="s">
        <v>1517</v>
      </c>
    </row>
    <row r="41" spans="1:32"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row>
    <row r="42" spans="1:32" x14ac:dyDescent="0.3">
      <c r="A42" s="1"/>
      <c r="B42" s="51" t="s">
        <v>4553</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71"/>
    </row>
    <row r="43" spans="1:32"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71"/>
    </row>
    <row r="44" spans="1:32"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71" t="s">
        <v>1556</v>
      </c>
    </row>
    <row r="45" spans="1:32"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71"/>
    </row>
    <row r="46" spans="1:32" x14ac:dyDescent="0.3">
      <c r="A46" s="1"/>
      <c r="B46" s="51" t="s">
        <v>4554</v>
      </c>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71"/>
    </row>
    <row r="47" spans="1:32"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71"/>
    </row>
    <row r="48" spans="1:32"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71" t="s">
        <v>1558</v>
      </c>
    </row>
    <row r="49" spans="1:32"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71"/>
    </row>
    <row r="50" spans="1:32" x14ac:dyDescent="0.3">
      <c r="A50" s="1"/>
      <c r="B50" s="51" t="s">
        <v>2897</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71"/>
    </row>
    <row r="51" spans="1:32"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71"/>
    </row>
    <row r="52" spans="1:32"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71" t="s">
        <v>1607</v>
      </c>
    </row>
    <row r="53" spans="1:32"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71"/>
    </row>
    <row r="54" spans="1:32"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71" t="s">
        <v>1608</v>
      </c>
    </row>
    <row r="55" spans="1:32"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71"/>
    </row>
    <row r="56" spans="1:32"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x14ac:dyDescent="0.3">
      <c r="A57" s="1141" t="s">
        <v>8</v>
      </c>
      <c r="B57" s="1141"/>
      <c r="C57" s="1141"/>
      <c r="D57" s="1141"/>
      <c r="E57" s="1141"/>
      <c r="F57" s="1141"/>
      <c r="G57" s="1141"/>
      <c r="H57" s="1141"/>
      <c r="I57" s="1141"/>
      <c r="J57" s="1141"/>
      <c r="K57" s="1141"/>
      <c r="L57" s="1141"/>
      <c r="M57" s="1141"/>
      <c r="N57" s="1141"/>
      <c r="O57" s="1141"/>
      <c r="P57" s="1141"/>
      <c r="Q57" s="1141"/>
      <c r="R57" s="1141"/>
      <c r="S57" s="1141"/>
      <c r="T57" s="1141"/>
      <c r="U57" s="1141"/>
      <c r="V57" s="1141"/>
      <c r="W57" s="1141"/>
      <c r="X57" s="1141"/>
      <c r="Y57" s="1141"/>
      <c r="Z57" s="1141"/>
      <c r="AA57" s="1141"/>
      <c r="AB57" s="1141"/>
      <c r="AC57" s="1141"/>
      <c r="AD57" s="1141"/>
      <c r="AE57" s="1141"/>
      <c r="AF57" s="1141"/>
    </row>
    <row r="58" spans="1:32" x14ac:dyDescent="0.3">
      <c r="A58" s="1143" t="s">
        <v>9</v>
      </c>
      <c r="B58" s="1143"/>
      <c r="C58" s="1143"/>
      <c r="D58" s="1143"/>
      <c r="E58" s="1143" t="s">
        <v>3</v>
      </c>
      <c r="F58" s="1143"/>
      <c r="G58" s="1143"/>
      <c r="H58" s="1143"/>
      <c r="I58" s="1143"/>
      <c r="J58" s="1143"/>
      <c r="K58" s="1143"/>
      <c r="L58" s="1143"/>
      <c r="M58" s="1143"/>
      <c r="N58" s="1143"/>
      <c r="O58" s="1143"/>
      <c r="P58" s="1143"/>
      <c r="Q58" s="1143" t="s">
        <v>10</v>
      </c>
      <c r="R58" s="1143"/>
      <c r="S58" s="1143"/>
      <c r="T58" s="1143"/>
      <c r="U58" s="1259" t="s">
        <v>11</v>
      </c>
      <c r="V58" s="1260"/>
      <c r="W58" s="1421"/>
      <c r="X58" s="1259" t="s">
        <v>1466</v>
      </c>
      <c r="Y58" s="1260"/>
      <c r="Z58" s="1260"/>
      <c r="AA58" s="1260"/>
      <c r="AB58" s="1260"/>
      <c r="AC58" s="1260"/>
      <c r="AD58" s="1260"/>
      <c r="AE58" s="1260"/>
      <c r="AF58" s="1421"/>
    </row>
    <row r="59" spans="1:32" ht="150.75" customHeight="1" x14ac:dyDescent="0.3">
      <c r="A59" s="1154" t="s">
        <v>1519</v>
      </c>
      <c r="B59" s="1155" t="s">
        <v>272</v>
      </c>
      <c r="C59" s="1155" t="s">
        <v>272</v>
      </c>
      <c r="D59" s="1156" t="s">
        <v>272</v>
      </c>
      <c r="E59" s="1148" t="s">
        <v>4895</v>
      </c>
      <c r="F59" s="1149" t="s">
        <v>517</v>
      </c>
      <c r="G59" s="1149" t="s">
        <v>517</v>
      </c>
      <c r="H59" s="1149" t="s">
        <v>517</v>
      </c>
      <c r="I59" s="1149" t="s">
        <v>517</v>
      </c>
      <c r="J59" s="1149" t="s">
        <v>517</v>
      </c>
      <c r="K59" s="1149" t="s">
        <v>517</v>
      </c>
      <c r="L59" s="1149" t="s">
        <v>517</v>
      </c>
      <c r="M59" s="1149" t="s">
        <v>517</v>
      </c>
      <c r="N59" s="1149" t="s">
        <v>517</v>
      </c>
      <c r="O59" s="1149" t="s">
        <v>517</v>
      </c>
      <c r="P59" s="1150" t="s">
        <v>517</v>
      </c>
      <c r="Q59" s="2137" t="s">
        <v>516</v>
      </c>
      <c r="R59" s="2138" t="s">
        <v>229</v>
      </c>
      <c r="S59" s="2138" t="s">
        <v>229</v>
      </c>
      <c r="T59" s="2139" t="s">
        <v>229</v>
      </c>
      <c r="U59" s="1243" t="s">
        <v>18</v>
      </c>
      <c r="V59" s="1244"/>
      <c r="W59" s="1245"/>
      <c r="X59" s="1148" t="s">
        <v>4896</v>
      </c>
      <c r="Y59" s="1149"/>
      <c r="Z59" s="1149"/>
      <c r="AA59" s="1149"/>
      <c r="AB59" s="1149"/>
      <c r="AC59" s="1149"/>
      <c r="AD59" s="1149"/>
      <c r="AE59" s="1149"/>
      <c r="AF59" s="1150"/>
    </row>
    <row r="60" spans="1:32" ht="141" customHeight="1" x14ac:dyDescent="0.3">
      <c r="A60" s="1154" t="s">
        <v>1520</v>
      </c>
      <c r="B60" s="1155" t="s">
        <v>272</v>
      </c>
      <c r="C60" s="1155" t="s">
        <v>272</v>
      </c>
      <c r="D60" s="1156" t="s">
        <v>272</v>
      </c>
      <c r="E60" s="1148" t="s">
        <v>4897</v>
      </c>
      <c r="F60" s="1149"/>
      <c r="G60" s="1149"/>
      <c r="H60" s="1149"/>
      <c r="I60" s="1149"/>
      <c r="J60" s="1149"/>
      <c r="K60" s="1149"/>
      <c r="L60" s="1149"/>
      <c r="M60" s="1149"/>
      <c r="N60" s="1149"/>
      <c r="O60" s="1149"/>
      <c r="P60" s="1150"/>
      <c r="Q60" s="2137" t="s">
        <v>516</v>
      </c>
      <c r="R60" s="2138" t="s">
        <v>229</v>
      </c>
      <c r="S60" s="2138" t="s">
        <v>229</v>
      </c>
      <c r="T60" s="2139" t="s">
        <v>229</v>
      </c>
      <c r="U60" s="1243" t="s">
        <v>18</v>
      </c>
      <c r="V60" s="1244"/>
      <c r="W60" s="1245"/>
      <c r="X60" s="1148" t="s">
        <v>4898</v>
      </c>
      <c r="Y60" s="1149"/>
      <c r="Z60" s="1149"/>
      <c r="AA60" s="1149"/>
      <c r="AB60" s="1149"/>
      <c r="AC60" s="1149"/>
      <c r="AD60" s="1149"/>
      <c r="AE60" s="1149"/>
      <c r="AF60" s="1150"/>
    </row>
    <row r="61" spans="1:32" ht="51" customHeight="1" x14ac:dyDescent="0.3">
      <c r="A61" s="1154" t="s">
        <v>1522</v>
      </c>
      <c r="B61" s="1155"/>
      <c r="C61" s="1155"/>
      <c r="D61" s="1156"/>
      <c r="E61" s="1148" t="s">
        <v>1845</v>
      </c>
      <c r="F61" s="1149"/>
      <c r="G61" s="1149"/>
      <c r="H61" s="1149"/>
      <c r="I61" s="1149"/>
      <c r="J61" s="1149"/>
      <c r="K61" s="1149"/>
      <c r="L61" s="1149"/>
      <c r="M61" s="1149"/>
      <c r="N61" s="1149"/>
      <c r="O61" s="1149"/>
      <c r="P61" s="1150"/>
      <c r="Q61" s="2143">
        <v>1</v>
      </c>
      <c r="R61" s="2144"/>
      <c r="S61" s="2144"/>
      <c r="T61" s="2145"/>
      <c r="U61" s="1261" t="s">
        <v>20</v>
      </c>
      <c r="V61" s="1244"/>
      <c r="W61" s="1245"/>
      <c r="X61" s="1385" t="s">
        <v>4899</v>
      </c>
      <c r="Y61" s="1385"/>
      <c r="Z61" s="1385"/>
      <c r="AA61" s="1385"/>
      <c r="AB61" s="1385"/>
      <c r="AC61" s="1385"/>
      <c r="AD61" s="1385"/>
      <c r="AE61" s="1385"/>
      <c r="AF61" s="1385"/>
    </row>
    <row r="62" spans="1:32" ht="102.75" customHeight="1" x14ac:dyDescent="0.3">
      <c r="A62" s="1154" t="s">
        <v>443</v>
      </c>
      <c r="B62" s="1155" t="s">
        <v>443</v>
      </c>
      <c r="C62" s="1155" t="s">
        <v>443</v>
      </c>
      <c r="D62" s="1156" t="s">
        <v>443</v>
      </c>
      <c r="E62" s="1148" t="s">
        <v>1460</v>
      </c>
      <c r="F62" s="1149" t="s">
        <v>444</v>
      </c>
      <c r="G62" s="1149" t="s">
        <v>444</v>
      </c>
      <c r="H62" s="1149" t="s">
        <v>444</v>
      </c>
      <c r="I62" s="1149" t="s">
        <v>444</v>
      </c>
      <c r="J62" s="1149" t="s">
        <v>444</v>
      </c>
      <c r="K62" s="1149" t="s">
        <v>444</v>
      </c>
      <c r="L62" s="1149" t="s">
        <v>444</v>
      </c>
      <c r="M62" s="1149" t="s">
        <v>444</v>
      </c>
      <c r="N62" s="1149" t="s">
        <v>444</v>
      </c>
      <c r="O62" s="1149" t="s">
        <v>444</v>
      </c>
      <c r="P62" s="1150" t="s">
        <v>444</v>
      </c>
      <c r="Q62" s="1166">
        <v>0</v>
      </c>
      <c r="R62" s="1167">
        <v>0.12</v>
      </c>
      <c r="S62" s="1167">
        <v>0.12</v>
      </c>
      <c r="T62" s="1168">
        <v>0.12</v>
      </c>
      <c r="U62" s="1151" t="s">
        <v>20</v>
      </c>
      <c r="V62" s="1152"/>
      <c r="W62" s="1153"/>
      <c r="X62" s="1186" t="s">
        <v>4900</v>
      </c>
      <c r="Y62" s="1186"/>
      <c r="Z62" s="1186"/>
      <c r="AA62" s="1186"/>
      <c r="AB62" s="1186"/>
      <c r="AC62" s="1186"/>
      <c r="AD62" s="1186"/>
      <c r="AE62" s="1186"/>
      <c r="AF62" s="1186"/>
    </row>
    <row r="63" spans="1:32" ht="23.25" customHeight="1" x14ac:dyDescent="0.3">
      <c r="A63" s="1154" t="s">
        <v>1524</v>
      </c>
      <c r="B63" s="1155"/>
      <c r="C63" s="1155"/>
      <c r="D63" s="1156"/>
      <c r="E63" s="1148" t="s">
        <v>1525</v>
      </c>
      <c r="F63" s="1149"/>
      <c r="G63" s="1149"/>
      <c r="H63" s="1149"/>
      <c r="I63" s="1149"/>
      <c r="J63" s="1149"/>
      <c r="K63" s="1149"/>
      <c r="L63" s="1149"/>
      <c r="M63" s="1149"/>
      <c r="N63" s="1149"/>
      <c r="O63" s="1149"/>
      <c r="P63" s="1150"/>
      <c r="Q63" s="1151" t="s">
        <v>864</v>
      </c>
      <c r="R63" s="1152">
        <v>0.12</v>
      </c>
      <c r="S63" s="1152">
        <v>0.12</v>
      </c>
      <c r="T63" s="1153">
        <v>0.12</v>
      </c>
      <c r="U63" s="1261" t="s">
        <v>1598</v>
      </c>
      <c r="V63" s="1244"/>
      <c r="W63" s="1245"/>
      <c r="X63" s="1186" t="s">
        <v>4901</v>
      </c>
      <c r="Y63" s="1186"/>
      <c r="Z63" s="1186"/>
      <c r="AA63" s="1186"/>
      <c r="AB63" s="1186"/>
      <c r="AC63" s="1186"/>
      <c r="AD63" s="1186"/>
      <c r="AE63" s="1186"/>
      <c r="AF63" s="1186"/>
    </row>
    <row r="64" spans="1:32" ht="51" customHeight="1" x14ac:dyDescent="0.3">
      <c r="A64" s="1154" t="s">
        <v>1958</v>
      </c>
      <c r="B64" s="1155"/>
      <c r="C64" s="1155"/>
      <c r="D64" s="1156"/>
      <c r="E64" s="2183" t="s">
        <v>2898</v>
      </c>
      <c r="F64" s="1149"/>
      <c r="G64" s="1149"/>
      <c r="H64" s="1149"/>
      <c r="I64" s="1149"/>
      <c r="J64" s="1149"/>
      <c r="K64" s="1149"/>
      <c r="L64" s="1149"/>
      <c r="M64" s="1149"/>
      <c r="N64" s="1149"/>
      <c r="O64" s="1149"/>
      <c r="P64" s="1150"/>
      <c r="Q64" s="1151" t="s">
        <v>1905</v>
      </c>
      <c r="R64" s="1152"/>
      <c r="S64" s="1152"/>
      <c r="T64" s="1153"/>
      <c r="U64" s="1151" t="s">
        <v>20</v>
      </c>
      <c r="V64" s="1152"/>
      <c r="W64" s="1153"/>
      <c r="X64" s="1186" t="s">
        <v>2900</v>
      </c>
      <c r="Y64" s="1186"/>
      <c r="Z64" s="1186"/>
      <c r="AA64" s="1186"/>
      <c r="AB64" s="1186"/>
      <c r="AC64" s="1186"/>
      <c r="AD64" s="1186"/>
      <c r="AE64" s="1186"/>
      <c r="AF64" s="1186"/>
    </row>
    <row r="65" spans="1:32" ht="54" customHeight="1" x14ac:dyDescent="0.3">
      <c r="A65" s="1154" t="s">
        <v>1959</v>
      </c>
      <c r="B65" s="1155"/>
      <c r="C65" s="1155"/>
      <c r="D65" s="1156"/>
      <c r="E65" s="2183" t="s">
        <v>2899</v>
      </c>
      <c r="F65" s="1149"/>
      <c r="G65" s="1149"/>
      <c r="H65" s="1149"/>
      <c r="I65" s="1149"/>
      <c r="J65" s="1149"/>
      <c r="K65" s="1149"/>
      <c r="L65" s="1149"/>
      <c r="M65" s="1149"/>
      <c r="N65" s="1149"/>
      <c r="O65" s="1149"/>
      <c r="P65" s="1150"/>
      <c r="Q65" s="1151" t="s">
        <v>1905</v>
      </c>
      <c r="R65" s="1152"/>
      <c r="S65" s="1152"/>
      <c r="T65" s="1153"/>
      <c r="U65" s="1151" t="s">
        <v>20</v>
      </c>
      <c r="V65" s="1152"/>
      <c r="W65" s="1153"/>
      <c r="X65" s="1186" t="s">
        <v>2901</v>
      </c>
      <c r="Y65" s="1186"/>
      <c r="Z65" s="1186"/>
      <c r="AA65" s="1186"/>
      <c r="AB65" s="1186"/>
      <c r="AC65" s="1186"/>
      <c r="AD65" s="1186"/>
      <c r="AE65" s="1186"/>
      <c r="AF65" s="1186"/>
    </row>
    <row r="66" spans="1:32" ht="45" customHeight="1" x14ac:dyDescent="0.3">
      <c r="A66" s="1154" t="s">
        <v>1532</v>
      </c>
      <c r="B66" s="1155"/>
      <c r="C66" s="1155"/>
      <c r="D66" s="1156"/>
      <c r="E66" s="1148" t="s">
        <v>1533</v>
      </c>
      <c r="F66" s="1149"/>
      <c r="G66" s="1149"/>
      <c r="H66" s="1149"/>
      <c r="I66" s="1149"/>
      <c r="J66" s="1149"/>
      <c r="K66" s="1149"/>
      <c r="L66" s="1149"/>
      <c r="M66" s="1149"/>
      <c r="N66" s="1149"/>
      <c r="O66" s="1149"/>
      <c r="P66" s="1150"/>
      <c r="Q66" s="1151" t="s">
        <v>864</v>
      </c>
      <c r="R66" s="1152"/>
      <c r="S66" s="1152"/>
      <c r="T66" s="1153"/>
      <c r="U66" s="3171" t="s">
        <v>20</v>
      </c>
      <c r="V66" s="1152"/>
      <c r="W66" s="1153"/>
      <c r="X66" s="1163" t="s">
        <v>4902</v>
      </c>
      <c r="Y66" s="1164"/>
      <c r="Z66" s="1164"/>
      <c r="AA66" s="1164"/>
      <c r="AB66" s="1164"/>
      <c r="AC66" s="1164"/>
      <c r="AD66" s="1164"/>
      <c r="AE66" s="1164"/>
      <c r="AF66" s="1165"/>
    </row>
    <row r="67" spans="1:32" ht="81" customHeight="1" x14ac:dyDescent="0.3">
      <c r="A67" s="1154" t="s">
        <v>1528</v>
      </c>
      <c r="B67" s="1155"/>
      <c r="C67" s="1155"/>
      <c r="D67" s="1156"/>
      <c r="E67" s="1148" t="s">
        <v>1531</v>
      </c>
      <c r="F67" s="1149"/>
      <c r="G67" s="1149"/>
      <c r="H67" s="1149"/>
      <c r="I67" s="1149"/>
      <c r="J67" s="1149"/>
      <c r="K67" s="1149"/>
      <c r="L67" s="1149"/>
      <c r="M67" s="1149"/>
      <c r="N67" s="1149"/>
      <c r="O67" s="1149"/>
      <c r="P67" s="1150"/>
      <c r="Q67" s="1330">
        <v>1.3</v>
      </c>
      <c r="R67" s="1331"/>
      <c r="S67" s="1331"/>
      <c r="T67" s="1332"/>
      <c r="U67" s="1261" t="s">
        <v>20</v>
      </c>
      <c r="V67" s="1244"/>
      <c r="W67" s="1245"/>
      <c r="X67" s="2673" t="s">
        <v>4903</v>
      </c>
      <c r="Y67" s="2674"/>
      <c r="Z67" s="2674"/>
      <c r="AA67" s="2674"/>
      <c r="AB67" s="2674"/>
      <c r="AC67" s="2674"/>
      <c r="AD67" s="2674"/>
      <c r="AE67" s="2674"/>
      <c r="AF67" s="2675"/>
    </row>
    <row r="68" spans="1:32" ht="69.75" customHeight="1" x14ac:dyDescent="0.3">
      <c r="A68" s="1154" t="s">
        <v>1529</v>
      </c>
      <c r="B68" s="1155"/>
      <c r="C68" s="1155"/>
      <c r="D68" s="1156"/>
      <c r="E68" s="1148" t="s">
        <v>1530</v>
      </c>
      <c r="F68" s="1149"/>
      <c r="G68" s="1149"/>
      <c r="H68" s="1149"/>
      <c r="I68" s="1149"/>
      <c r="J68" s="1149"/>
      <c r="K68" s="1149"/>
      <c r="L68" s="1149"/>
      <c r="M68" s="1149"/>
      <c r="N68" s="1149"/>
      <c r="O68" s="1149"/>
      <c r="P68" s="1150"/>
      <c r="Q68" s="1151">
        <v>1.35</v>
      </c>
      <c r="R68" s="1152"/>
      <c r="S68" s="1152"/>
      <c r="T68" s="1153"/>
      <c r="U68" s="1261" t="s">
        <v>20</v>
      </c>
      <c r="V68" s="1244"/>
      <c r="W68" s="1245"/>
      <c r="X68" s="2676"/>
      <c r="Y68" s="2677"/>
      <c r="Z68" s="2677"/>
      <c r="AA68" s="2677"/>
      <c r="AB68" s="2677"/>
      <c r="AC68" s="2677"/>
      <c r="AD68" s="2677"/>
      <c r="AE68" s="2677"/>
      <c r="AF68" s="2678"/>
    </row>
    <row r="69" spans="1:32" ht="22.5" customHeight="1" x14ac:dyDescent="0.3">
      <c r="A69" s="1246" t="s">
        <v>34</v>
      </c>
      <c r="B69" s="1155" t="s">
        <v>34</v>
      </c>
      <c r="C69" s="1155" t="s">
        <v>34</v>
      </c>
      <c r="D69" s="1156" t="s">
        <v>34</v>
      </c>
      <c r="E69" s="1148" t="s">
        <v>644</v>
      </c>
      <c r="F69" s="1149" t="s">
        <v>234</v>
      </c>
      <c r="G69" s="1149" t="s">
        <v>234</v>
      </c>
      <c r="H69" s="1149" t="s">
        <v>234</v>
      </c>
      <c r="I69" s="1149" t="s">
        <v>234</v>
      </c>
      <c r="J69" s="1149" t="s">
        <v>234</v>
      </c>
      <c r="K69" s="1149" t="s">
        <v>234</v>
      </c>
      <c r="L69" s="1149" t="s">
        <v>234</v>
      </c>
      <c r="M69" s="1149" t="s">
        <v>234</v>
      </c>
      <c r="N69" s="1149" t="s">
        <v>234</v>
      </c>
      <c r="O69" s="1149" t="s">
        <v>234</v>
      </c>
      <c r="P69" s="1150" t="s">
        <v>234</v>
      </c>
      <c r="Q69" s="1151">
        <v>1</v>
      </c>
      <c r="R69" s="1152">
        <v>0.96</v>
      </c>
      <c r="S69" s="1152">
        <v>0.96</v>
      </c>
      <c r="T69" s="1153">
        <v>0.96</v>
      </c>
      <c r="U69" s="1243" t="s">
        <v>20</v>
      </c>
      <c r="V69" s="1244"/>
      <c r="W69" s="1245"/>
      <c r="X69" s="1154" t="s">
        <v>4904</v>
      </c>
      <c r="Y69" s="1155"/>
      <c r="Z69" s="1155"/>
      <c r="AA69" s="1155"/>
      <c r="AB69" s="1155"/>
      <c r="AC69" s="1155"/>
      <c r="AD69" s="1155"/>
      <c r="AE69" s="1155"/>
      <c r="AF69" s="1156"/>
    </row>
    <row r="70" spans="1:32" ht="40.5" customHeight="1" x14ac:dyDescent="0.3">
      <c r="A70" s="1154" t="s">
        <v>1555</v>
      </c>
      <c r="B70" s="1155" t="s">
        <v>26</v>
      </c>
      <c r="C70" s="1155" t="s">
        <v>26</v>
      </c>
      <c r="D70" s="1156" t="s">
        <v>26</v>
      </c>
      <c r="E70" s="1163" t="s">
        <v>4905</v>
      </c>
      <c r="F70" s="1164" t="s">
        <v>208</v>
      </c>
      <c r="G70" s="1164" t="s">
        <v>208</v>
      </c>
      <c r="H70" s="1164" t="s">
        <v>208</v>
      </c>
      <c r="I70" s="1164" t="s">
        <v>208</v>
      </c>
      <c r="J70" s="1164" t="s">
        <v>208</v>
      </c>
      <c r="K70" s="1164" t="s">
        <v>208</v>
      </c>
      <c r="L70" s="1164" t="s">
        <v>208</v>
      </c>
      <c r="M70" s="1164" t="s">
        <v>208</v>
      </c>
      <c r="N70" s="1164" t="s">
        <v>208</v>
      </c>
      <c r="O70" s="1164" t="s">
        <v>208</v>
      </c>
      <c r="P70" s="1165" t="s">
        <v>208</v>
      </c>
      <c r="Q70" s="1151" t="s">
        <v>864</v>
      </c>
      <c r="R70" s="1152">
        <v>0.12</v>
      </c>
      <c r="S70" s="1152">
        <v>0.12</v>
      </c>
      <c r="T70" s="1153">
        <v>0.12</v>
      </c>
      <c r="U70" s="1243" t="s">
        <v>38</v>
      </c>
      <c r="V70" s="1244"/>
      <c r="W70" s="1245"/>
      <c r="X70" s="1148" t="s">
        <v>2496</v>
      </c>
      <c r="Y70" s="1149"/>
      <c r="Z70" s="1149"/>
      <c r="AA70" s="1149"/>
      <c r="AB70" s="1149"/>
      <c r="AC70" s="1149"/>
      <c r="AD70" s="1149"/>
      <c r="AE70" s="1149"/>
      <c r="AF70" s="1150"/>
    </row>
    <row r="71" spans="1:32" ht="58.5" customHeight="1" x14ac:dyDescent="0.3">
      <c r="A71" s="1154" t="s">
        <v>4906</v>
      </c>
      <c r="B71" s="1155" t="s">
        <v>26</v>
      </c>
      <c r="C71" s="1155" t="s">
        <v>26</v>
      </c>
      <c r="D71" s="1156" t="s">
        <v>26</v>
      </c>
      <c r="E71" s="1154" t="s">
        <v>4907</v>
      </c>
      <c r="F71" s="1155" t="s">
        <v>208</v>
      </c>
      <c r="G71" s="1155" t="s">
        <v>208</v>
      </c>
      <c r="H71" s="1155" t="s">
        <v>208</v>
      </c>
      <c r="I71" s="1155" t="s">
        <v>208</v>
      </c>
      <c r="J71" s="1155" t="s">
        <v>208</v>
      </c>
      <c r="K71" s="1155" t="s">
        <v>208</v>
      </c>
      <c r="L71" s="1155" t="s">
        <v>208</v>
      </c>
      <c r="M71" s="1155" t="s">
        <v>208</v>
      </c>
      <c r="N71" s="1155" t="s">
        <v>208</v>
      </c>
      <c r="O71" s="1155" t="s">
        <v>208</v>
      </c>
      <c r="P71" s="1156" t="s">
        <v>208</v>
      </c>
      <c r="Q71" s="1151">
        <f>'Master EUL'!X19</f>
        <v>10</v>
      </c>
      <c r="R71" s="1152">
        <v>0.12</v>
      </c>
      <c r="S71" s="1152">
        <v>0.12</v>
      </c>
      <c r="T71" s="1153">
        <v>0.12</v>
      </c>
      <c r="U71" s="1243" t="s">
        <v>38</v>
      </c>
      <c r="V71" s="1244"/>
      <c r="W71" s="1245"/>
      <c r="X71" s="1148" t="s">
        <v>4908</v>
      </c>
      <c r="Y71" s="1149"/>
      <c r="Z71" s="1149"/>
      <c r="AA71" s="1149"/>
      <c r="AB71" s="1149"/>
      <c r="AC71" s="1149"/>
      <c r="AD71" s="1149"/>
      <c r="AE71" s="1149"/>
      <c r="AF71" s="1150"/>
    </row>
    <row r="72" spans="1:32" ht="99" customHeight="1" x14ac:dyDescent="0.3">
      <c r="A72" s="1270" t="s">
        <v>4909</v>
      </c>
      <c r="B72" s="1270"/>
      <c r="C72" s="1270"/>
      <c r="D72" s="1270"/>
      <c r="E72" s="1270"/>
      <c r="F72" s="1270"/>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row>
    <row r="73" spans="1:32" x14ac:dyDescent="0.3">
      <c r="A73" s="113"/>
      <c r="B73" s="230"/>
      <c r="C73" s="230"/>
      <c r="D73" s="230"/>
      <c r="E73" s="225"/>
      <c r="F73" s="225"/>
      <c r="G73" s="225"/>
      <c r="H73" s="225"/>
      <c r="I73" s="225"/>
      <c r="J73" s="225"/>
      <c r="K73" s="225"/>
      <c r="L73" s="225"/>
      <c r="M73" s="225"/>
      <c r="N73" s="225"/>
      <c r="O73" s="225"/>
      <c r="P73" s="225"/>
      <c r="Q73" s="627"/>
      <c r="R73" s="627"/>
      <c r="S73" s="627"/>
      <c r="T73" s="627"/>
      <c r="U73" s="229"/>
      <c r="V73" s="229"/>
      <c r="W73" s="229"/>
      <c r="X73" s="229"/>
      <c r="Y73" s="229"/>
      <c r="Z73" s="229"/>
      <c r="AA73" s="229"/>
      <c r="AB73" s="229"/>
      <c r="AC73" s="229"/>
      <c r="AD73" s="229"/>
      <c r="AE73" s="229"/>
      <c r="AF73" s="229"/>
    </row>
    <row r="74" spans="1:32" ht="33.75" customHeight="1" x14ac:dyDescent="0.3">
      <c r="A74" s="487"/>
      <c r="B74" s="3175" t="s">
        <v>4910</v>
      </c>
      <c r="C74" s="3176"/>
      <c r="D74" s="3176"/>
      <c r="E74" s="3176"/>
      <c r="F74" s="3176"/>
      <c r="G74" s="3176"/>
      <c r="H74" s="3176"/>
      <c r="I74" s="3176"/>
      <c r="J74" s="3176"/>
      <c r="K74" s="3176"/>
      <c r="L74" s="3176"/>
      <c r="M74" s="3176"/>
      <c r="N74" s="3176"/>
      <c r="O74" s="3176"/>
      <c r="P74" s="3176"/>
      <c r="Q74" s="3176"/>
      <c r="R74" s="3176"/>
      <c r="S74" s="3176"/>
      <c r="T74" s="3176"/>
      <c r="U74" s="3176"/>
    </row>
    <row r="75" spans="1:32" ht="36.75" customHeight="1" x14ac:dyDescent="0.3">
      <c r="B75" s="3089" t="s">
        <v>15</v>
      </c>
      <c r="C75" s="3090"/>
      <c r="D75" s="3090"/>
      <c r="E75" s="3090"/>
      <c r="F75" s="3090"/>
      <c r="G75" s="3090"/>
      <c r="H75" s="3090"/>
      <c r="I75" s="3091"/>
      <c r="J75" s="3177" t="s">
        <v>4911</v>
      </c>
      <c r="K75" s="3178"/>
      <c r="L75" s="3178"/>
      <c r="M75" s="3179"/>
      <c r="N75" s="3177" t="s">
        <v>4912</v>
      </c>
      <c r="O75" s="3093"/>
      <c r="P75" s="3093"/>
      <c r="Q75" s="3094"/>
      <c r="R75" s="3177" t="s">
        <v>4913</v>
      </c>
      <c r="S75" s="3093"/>
      <c r="T75" s="3093"/>
      <c r="U75" s="3094"/>
      <c r="Y75"/>
    </row>
    <row r="76" spans="1:32" x14ac:dyDescent="0.3">
      <c r="B76" s="3095" t="s">
        <v>4914</v>
      </c>
      <c r="C76" s="3096"/>
      <c r="D76" s="3096"/>
      <c r="E76" s="3096"/>
      <c r="F76" s="3096"/>
      <c r="G76" s="3096"/>
      <c r="H76" s="3096"/>
      <c r="I76" s="3097"/>
      <c r="J76" s="3172">
        <v>267.25</v>
      </c>
      <c r="K76" s="3173"/>
      <c r="L76" s="3173"/>
      <c r="M76" s="3174"/>
      <c r="N76" s="3172">
        <v>254.75</v>
      </c>
      <c r="O76" s="3173"/>
      <c r="P76" s="3173"/>
      <c r="Q76" s="3174"/>
      <c r="R76" s="3172">
        <v>188.75</v>
      </c>
      <c r="S76" s="3173"/>
      <c r="T76" s="3173"/>
      <c r="U76" s="3174"/>
      <c r="Y76"/>
    </row>
    <row r="77" spans="1:32" x14ac:dyDescent="0.3">
      <c r="B77" s="3095" t="s">
        <v>4915</v>
      </c>
      <c r="C77" s="3096"/>
      <c r="D77" s="3096"/>
      <c r="E77" s="3096"/>
      <c r="F77" s="3096"/>
      <c r="G77" s="3096"/>
      <c r="H77" s="3096"/>
      <c r="I77" s="3097"/>
      <c r="J77" s="3172">
        <v>124.5</v>
      </c>
      <c r="K77" s="3173"/>
      <c r="L77" s="3173"/>
      <c r="M77" s="3174"/>
      <c r="N77" s="3172">
        <v>116.5</v>
      </c>
      <c r="O77" s="3173"/>
      <c r="P77" s="3173"/>
      <c r="Q77" s="3174"/>
      <c r="R77" s="3172">
        <v>83</v>
      </c>
      <c r="S77" s="3173"/>
      <c r="T77" s="3173"/>
      <c r="U77" s="3174"/>
      <c r="Y77"/>
    </row>
    <row r="78" spans="1:32" x14ac:dyDescent="0.3">
      <c r="B78" s="3095" t="s">
        <v>4916</v>
      </c>
      <c r="C78" s="3096"/>
      <c r="D78" s="3096"/>
      <c r="E78" s="3096"/>
      <c r="F78" s="3096"/>
      <c r="G78" s="3096"/>
      <c r="H78" s="3096"/>
      <c r="I78" s="3097"/>
      <c r="J78" s="3172">
        <v>62.25</v>
      </c>
      <c r="K78" s="3173"/>
      <c r="L78" s="3173"/>
      <c r="M78" s="3174"/>
      <c r="N78" s="3172">
        <v>59.5</v>
      </c>
      <c r="O78" s="3173"/>
      <c r="P78" s="3173"/>
      <c r="Q78" s="3174"/>
      <c r="R78" s="3172">
        <v>41.5</v>
      </c>
      <c r="S78" s="3173"/>
      <c r="T78" s="3173"/>
      <c r="U78" s="3174"/>
      <c r="Y78"/>
    </row>
    <row r="80" spans="1:32" ht="30.75" customHeight="1" x14ac:dyDescent="0.3">
      <c r="B80" s="3175" t="s">
        <v>4917</v>
      </c>
      <c r="C80" s="3176"/>
      <c r="D80" s="3176"/>
      <c r="E80" s="3176"/>
      <c r="F80" s="3176"/>
      <c r="G80" s="3176"/>
      <c r="H80" s="3176"/>
      <c r="I80" s="3176"/>
      <c r="J80" s="3176"/>
      <c r="K80" s="3176"/>
      <c r="L80" s="3176"/>
      <c r="M80" s="3176"/>
      <c r="N80" s="3176"/>
      <c r="O80" s="3176"/>
      <c r="P80" s="3176"/>
      <c r="Q80" s="3176"/>
      <c r="R80" s="3176"/>
      <c r="S80" s="3176"/>
      <c r="T80" s="3176"/>
      <c r="U80" s="3176"/>
    </row>
    <row r="81" spans="1:32" ht="44.25" customHeight="1" x14ac:dyDescent="0.3">
      <c r="B81" s="3089" t="s">
        <v>15</v>
      </c>
      <c r="C81" s="3090"/>
      <c r="D81" s="3090"/>
      <c r="E81" s="3090"/>
      <c r="F81" s="3090"/>
      <c r="G81" s="3090"/>
      <c r="H81" s="3090"/>
      <c r="I81" s="3091"/>
      <c r="J81" s="3177" t="s">
        <v>4911</v>
      </c>
      <c r="K81" s="3178"/>
      <c r="L81" s="3178"/>
      <c r="M81" s="3179"/>
      <c r="N81" s="3177" t="s">
        <v>4912</v>
      </c>
      <c r="O81" s="3178"/>
      <c r="P81" s="3178"/>
      <c r="Q81" s="3179"/>
      <c r="R81" s="3177" t="s">
        <v>4913</v>
      </c>
      <c r="S81" s="3178"/>
      <c r="T81" s="3178"/>
      <c r="U81" s="3179"/>
    </row>
    <row r="82" spans="1:32" x14ac:dyDescent="0.3">
      <c r="B82" s="3095" t="s">
        <v>4914</v>
      </c>
      <c r="C82" s="3096"/>
      <c r="D82" s="3096"/>
      <c r="E82" s="3096"/>
      <c r="F82" s="3096"/>
      <c r="G82" s="3096"/>
      <c r="H82" s="3096"/>
      <c r="I82" s="3097"/>
      <c r="J82" s="3172">
        <v>152.25</v>
      </c>
      <c r="K82" s="3173"/>
      <c r="L82" s="3173"/>
      <c r="M82" s="3174"/>
      <c r="N82" s="3172">
        <v>144</v>
      </c>
      <c r="O82" s="3173"/>
      <c r="P82" s="3173"/>
      <c r="Q82" s="3174"/>
      <c r="R82" s="3172">
        <v>107.25</v>
      </c>
      <c r="S82" s="3173"/>
      <c r="T82" s="3173"/>
      <c r="U82" s="3174"/>
    </row>
    <row r="83" spans="1:32" x14ac:dyDescent="0.3">
      <c r="B83" s="3095" t="s">
        <v>4915</v>
      </c>
      <c r="C83" s="3096"/>
      <c r="D83" s="3096"/>
      <c r="E83" s="3096"/>
      <c r="F83" s="3096"/>
      <c r="G83" s="3096"/>
      <c r="H83" s="3096"/>
      <c r="I83" s="3097"/>
      <c r="J83" s="3172">
        <v>64.5</v>
      </c>
      <c r="K83" s="3173"/>
      <c r="L83" s="3173"/>
      <c r="M83" s="3174"/>
      <c r="N83" s="3172">
        <v>65.25</v>
      </c>
      <c r="O83" s="3173"/>
      <c r="P83" s="3173"/>
      <c r="Q83" s="3174"/>
      <c r="R83" s="3172">
        <v>43</v>
      </c>
      <c r="S83" s="3173"/>
      <c r="T83" s="3173"/>
      <c r="U83" s="3174"/>
    </row>
    <row r="84" spans="1:32" x14ac:dyDescent="0.3">
      <c r="B84" s="3095" t="s">
        <v>4916</v>
      </c>
      <c r="C84" s="3096"/>
      <c r="D84" s="3096"/>
      <c r="E84" s="3096"/>
      <c r="F84" s="3096"/>
      <c r="G84" s="3096"/>
      <c r="H84" s="3096"/>
      <c r="I84" s="3097"/>
      <c r="J84" s="3172">
        <v>32.25</v>
      </c>
      <c r="K84" s="3173"/>
      <c r="L84" s="3173"/>
      <c r="M84" s="3174"/>
      <c r="N84" s="3172">
        <v>30.5</v>
      </c>
      <c r="O84" s="3173"/>
      <c r="P84" s="3173"/>
      <c r="Q84" s="3174"/>
      <c r="R84" s="3172">
        <v>21.5</v>
      </c>
      <c r="S84" s="3173"/>
      <c r="T84" s="3173"/>
      <c r="U84" s="3174"/>
    </row>
    <row r="86" spans="1:32" x14ac:dyDescent="0.3">
      <c r="A86"/>
      <c r="B86" s="23" t="s">
        <v>1548</v>
      </c>
      <c r="C86"/>
      <c r="D86"/>
      <c r="E86"/>
      <c r="F86"/>
      <c r="G86"/>
      <c r="H86"/>
      <c r="I86"/>
      <c r="J86"/>
      <c r="K86"/>
      <c r="L86"/>
      <c r="M86"/>
      <c r="N86"/>
      <c r="O86"/>
      <c r="P86"/>
      <c r="Q86"/>
      <c r="R86"/>
      <c r="S86"/>
      <c r="T86"/>
      <c r="U86"/>
      <c r="V86"/>
      <c r="W86"/>
      <c r="X86"/>
      <c r="Y86"/>
      <c r="Z86"/>
      <c r="AA86"/>
      <c r="AB86"/>
      <c r="AC86"/>
      <c r="AD86"/>
      <c r="AE86"/>
      <c r="AF86" s="40"/>
    </row>
    <row r="87" spans="1:32" ht="18" customHeight="1" x14ac:dyDescent="0.3">
      <c r="A87"/>
      <c r="B87" s="3047"/>
      <c r="C87" s="3047"/>
      <c r="D87" s="3047"/>
      <c r="E87" s="3047"/>
      <c r="F87" s="3047"/>
      <c r="G87" s="3047" t="s">
        <v>4918</v>
      </c>
      <c r="H87" s="3047"/>
      <c r="I87" s="3047"/>
      <c r="J87" s="3047"/>
      <c r="K87" s="3047"/>
      <c r="L87" s="3047" t="s">
        <v>1546</v>
      </c>
      <c r="M87" s="3047"/>
      <c r="N87" s="3047"/>
      <c r="O87" s="3047"/>
      <c r="P87" s="3047"/>
      <c r="Q87" s="3047" t="s">
        <v>4919</v>
      </c>
      <c r="R87" s="3047"/>
      <c r="S87" s="3047"/>
      <c r="T87" s="3047"/>
      <c r="U87" s="3047"/>
      <c r="V87" s="3044" t="s">
        <v>4920</v>
      </c>
      <c r="W87" s="3045"/>
      <c r="X87" s="3045"/>
      <c r="Y87" s="3045"/>
      <c r="Z87" s="3046"/>
      <c r="AA87" s="3044" t="s">
        <v>1844</v>
      </c>
      <c r="AB87" s="3045"/>
      <c r="AC87" s="3045"/>
      <c r="AD87" s="3045"/>
      <c r="AE87" s="3046"/>
      <c r="AF87" s="40"/>
    </row>
    <row r="88" spans="1:32" x14ac:dyDescent="0.3">
      <c r="A88"/>
      <c r="B88" s="3047" t="s">
        <v>1544</v>
      </c>
      <c r="C88" s="3047"/>
      <c r="D88" s="3047"/>
      <c r="E88" s="3047"/>
      <c r="F88" s="3047"/>
      <c r="G88" s="3048">
        <v>0</v>
      </c>
      <c r="H88" s="3048"/>
      <c r="I88" s="3048"/>
      <c r="J88" s="3048"/>
      <c r="K88" s="3048"/>
      <c r="L88" s="3040">
        <v>0.48</v>
      </c>
      <c r="M88" s="3040"/>
      <c r="N88" s="3040"/>
      <c r="O88" s="3040"/>
      <c r="P88" s="3040"/>
      <c r="Q88" s="3048">
        <v>1.5</v>
      </c>
      <c r="R88" s="3048"/>
      <c r="S88" s="3048"/>
      <c r="T88" s="3048"/>
      <c r="U88" s="3048"/>
      <c r="V88" s="3048">
        <v>10</v>
      </c>
      <c r="W88" s="3048"/>
      <c r="X88" s="3048"/>
      <c r="Y88" s="3048"/>
      <c r="Z88" s="3048"/>
      <c r="AA88" s="3048">
        <f>ROUND(2500/(Q88*365),0)</f>
        <v>5</v>
      </c>
      <c r="AB88" s="3048"/>
      <c r="AC88" s="3048"/>
      <c r="AD88" s="3048"/>
      <c r="AE88" s="3048"/>
      <c r="AF88" s="40"/>
    </row>
    <row r="89" spans="1:32" x14ac:dyDescent="0.3">
      <c r="A89"/>
      <c r="B89" s="3047" t="s">
        <v>1545</v>
      </c>
      <c r="C89" s="3047"/>
      <c r="D89" s="3047"/>
      <c r="E89" s="3047"/>
      <c r="F89" s="3047"/>
      <c r="G89" s="3048">
        <v>0</v>
      </c>
      <c r="H89" s="3048"/>
      <c r="I89" s="3048"/>
      <c r="J89" s="3048"/>
      <c r="K89" s="3048"/>
      <c r="L89" s="3040">
        <v>1</v>
      </c>
      <c r="M89" s="3040"/>
      <c r="N89" s="3040"/>
      <c r="O89" s="3040"/>
      <c r="P89" s="3040"/>
      <c r="Q89" s="3048">
        <f>ROUND(Q88*1.5,1)</f>
        <v>2.2999999999999998</v>
      </c>
      <c r="R89" s="3048"/>
      <c r="S89" s="3048"/>
      <c r="T89" s="3048"/>
      <c r="U89" s="3048"/>
      <c r="V89" s="3048">
        <v>10</v>
      </c>
      <c r="W89" s="3048"/>
      <c r="X89" s="3048"/>
      <c r="Y89" s="3048"/>
      <c r="Z89" s="3048"/>
      <c r="AA89" s="3048">
        <f>ROUND(2500/(Q89*365),0)</f>
        <v>3</v>
      </c>
      <c r="AB89" s="3048"/>
      <c r="AC89" s="3048"/>
      <c r="AD89" s="3048"/>
      <c r="AE89" s="3048"/>
      <c r="AF89" s="40"/>
    </row>
    <row r="90" spans="1:32" ht="95.25" customHeight="1" x14ac:dyDescent="0.3">
      <c r="A90"/>
      <c r="B90" s="3184" t="s">
        <v>4921</v>
      </c>
      <c r="C90" s="3184"/>
      <c r="D90" s="3184"/>
      <c r="E90" s="3184"/>
      <c r="F90" s="3184"/>
      <c r="G90" s="3184"/>
      <c r="H90" s="3184"/>
      <c r="I90" s="3184"/>
      <c r="J90" s="3184"/>
      <c r="K90" s="3184"/>
      <c r="L90" s="3184"/>
      <c r="M90" s="3184"/>
      <c r="N90" s="3184"/>
      <c r="O90" s="3184"/>
      <c r="P90" s="3184"/>
      <c r="Q90" s="3184"/>
      <c r="R90" s="3184"/>
      <c r="S90" s="3184"/>
      <c r="T90" s="3184"/>
      <c r="U90" s="3184"/>
      <c r="V90" s="3184"/>
      <c r="W90" s="3184"/>
      <c r="X90" s="3184"/>
      <c r="Y90" s="3184"/>
      <c r="Z90" s="3184"/>
      <c r="AA90" s="3184"/>
      <c r="AB90" s="3184"/>
      <c r="AC90" s="3184"/>
      <c r="AD90" s="3184"/>
      <c r="AE90" s="3184"/>
      <c r="AF90" s="40"/>
    </row>
    <row r="91" spans="1:32" x14ac:dyDescent="0.3">
      <c r="A91"/>
      <c r="B91" s="620"/>
      <c r="C91" s="620"/>
      <c r="D91" s="620"/>
      <c r="E91" s="620"/>
      <c r="F91" s="620"/>
      <c r="G91" s="620"/>
      <c r="H91" s="620"/>
      <c r="I91" s="620"/>
      <c r="J91" s="620"/>
      <c r="K91" s="620"/>
      <c r="L91" s="620"/>
      <c r="M91" s="620"/>
      <c r="N91" s="620"/>
      <c r="O91" s="620"/>
      <c r="P91" s="620"/>
      <c r="Q91" s="620"/>
      <c r="R91" s="620"/>
      <c r="S91" s="620"/>
      <c r="T91" s="620"/>
      <c r="U91" s="620"/>
      <c r="V91" s="620"/>
      <c r="W91" s="620"/>
      <c r="X91" s="620"/>
      <c r="Y91" s="620"/>
      <c r="Z91" s="620"/>
      <c r="AA91" s="620"/>
      <c r="AB91" s="620"/>
      <c r="AC91" s="620"/>
      <c r="AD91" s="620"/>
      <c r="AE91" s="620"/>
      <c r="AF91" s="40"/>
    </row>
    <row r="92" spans="1:32" x14ac:dyDescent="0.3">
      <c r="A92"/>
      <c r="B92" s="276" t="s">
        <v>4922</v>
      </c>
      <c r="C92"/>
      <c r="D92" s="620"/>
      <c r="E92" s="628"/>
      <c r="F92" s="620"/>
      <c r="G92" s="620"/>
      <c r="H92" s="620"/>
      <c r="I92" s="620"/>
      <c r="J92" s="620"/>
      <c r="K92" s="620"/>
      <c r="L92" s="620"/>
      <c r="M92" s="620"/>
      <c r="N92" s="620"/>
      <c r="O92" s="620"/>
      <c r="P92" s="620"/>
      <c r="Q92" s="620"/>
      <c r="R92" s="620"/>
      <c r="S92" s="620"/>
      <c r="T92" s="620"/>
      <c r="U92" s="620"/>
      <c r="V92" s="620"/>
      <c r="W92" s="620"/>
      <c r="X92" s="620"/>
      <c r="Y92" s="620"/>
      <c r="Z92" s="620"/>
      <c r="AA92" s="620"/>
      <c r="AB92" s="620"/>
      <c r="AC92" s="620"/>
      <c r="AD92" s="620"/>
      <c r="AE92" s="620"/>
      <c r="AF92" s="40"/>
    </row>
    <row r="93" spans="1:32" x14ac:dyDescent="0.3">
      <c r="A93"/>
      <c r="B93" s="3185" t="s">
        <v>1495</v>
      </c>
      <c r="C93" s="3185"/>
      <c r="D93" s="3185"/>
      <c r="E93" s="3185"/>
      <c r="F93" s="3185"/>
      <c r="G93" s="3185"/>
      <c r="H93" s="3185"/>
      <c r="I93" s="3185"/>
      <c r="J93" s="3186" t="s">
        <v>4923</v>
      </c>
      <c r="K93" s="3186"/>
      <c r="L93" s="3186"/>
      <c r="M93" s="3186"/>
      <c r="N93" s="3186" t="s">
        <v>22</v>
      </c>
      <c r="O93" s="3186"/>
      <c r="P93" s="3186"/>
      <c r="Q93" s="3186"/>
      <c r="R93" s="620"/>
      <c r="S93" s="620"/>
      <c r="T93" s="620"/>
      <c r="U93" s="620"/>
      <c r="V93" s="620"/>
      <c r="W93" s="620"/>
      <c r="X93" s="620"/>
      <c r="Y93" s="620"/>
      <c r="Z93" s="620"/>
      <c r="AA93" s="620"/>
      <c r="AB93" s="620"/>
      <c r="AC93" s="620"/>
      <c r="AD93" s="620"/>
      <c r="AE93" s="620"/>
      <c r="AF93" s="40"/>
    </row>
    <row r="94" spans="1:32" x14ac:dyDescent="0.3">
      <c r="A94"/>
      <c r="B94" s="3180" t="s">
        <v>657</v>
      </c>
      <c r="C94" s="3180"/>
      <c r="D94" s="3180"/>
      <c r="E94" s="3180"/>
      <c r="F94" s="3180"/>
      <c r="G94" s="3180"/>
      <c r="H94" s="3180"/>
      <c r="I94" s="3180"/>
      <c r="J94" s="3181">
        <v>298888.98710614129</v>
      </c>
      <c r="K94" s="3182"/>
      <c r="L94" s="3182"/>
      <c r="M94" s="3182"/>
      <c r="N94" s="3183">
        <v>0.66</v>
      </c>
      <c r="O94" s="3183"/>
      <c r="P94" s="3183"/>
      <c r="Q94" s="3183"/>
      <c r="R94" s="620"/>
      <c r="S94" s="620"/>
      <c r="T94" s="620"/>
      <c r="U94" s="620"/>
      <c r="V94" s="620"/>
      <c r="W94" s="620"/>
      <c r="X94" s="620"/>
      <c r="Y94" s="620"/>
      <c r="Z94" s="620"/>
      <c r="AA94" s="620"/>
      <c r="AB94" s="620"/>
      <c r="AC94" s="620"/>
      <c r="AD94" s="620"/>
      <c r="AE94" s="620"/>
      <c r="AF94" s="40"/>
    </row>
    <row r="95" spans="1:32" x14ac:dyDescent="0.3">
      <c r="A95"/>
      <c r="B95" s="3180" t="s">
        <v>3424</v>
      </c>
      <c r="C95" s="3180"/>
      <c r="D95" s="3180"/>
      <c r="E95" s="3180"/>
      <c r="F95" s="3180"/>
      <c r="G95" s="3180"/>
      <c r="H95" s="3180"/>
      <c r="I95" s="3180"/>
      <c r="J95" s="3181">
        <v>78737.524257604309</v>
      </c>
      <c r="K95" s="3182"/>
      <c r="L95" s="3182"/>
      <c r="M95" s="3182"/>
      <c r="N95" s="3183">
        <v>0.18</v>
      </c>
      <c r="O95" s="3183"/>
      <c r="P95" s="3183"/>
      <c r="Q95" s="3183"/>
      <c r="R95" s="620"/>
      <c r="S95" s="620"/>
      <c r="T95" s="620"/>
      <c r="U95" s="620"/>
      <c r="V95" s="620"/>
      <c r="W95" s="620"/>
      <c r="X95" s="620"/>
      <c r="Y95" s="620"/>
      <c r="Z95" s="620"/>
      <c r="AA95" s="620"/>
      <c r="AB95" s="620"/>
      <c r="AC95" s="620"/>
      <c r="AD95" s="620"/>
      <c r="AE95" s="620"/>
      <c r="AF95" s="40"/>
    </row>
    <row r="96" spans="1:32" x14ac:dyDescent="0.3">
      <c r="A96"/>
      <c r="B96" s="3180" t="s">
        <v>658</v>
      </c>
      <c r="C96" s="3180"/>
      <c r="D96" s="3180"/>
      <c r="E96" s="3180"/>
      <c r="F96" s="3180"/>
      <c r="G96" s="3180"/>
      <c r="H96" s="3180"/>
      <c r="I96" s="3180"/>
      <c r="J96" s="3181">
        <f>J82+J84+J85</f>
        <v>184.5</v>
      </c>
      <c r="K96" s="3182"/>
      <c r="L96" s="3182"/>
      <c r="M96" s="3182"/>
      <c r="N96" s="3183">
        <v>0.14000000000000001</v>
      </c>
      <c r="O96" s="3183"/>
      <c r="P96" s="3183"/>
      <c r="Q96" s="3183"/>
      <c r="R96" s="620"/>
      <c r="S96" s="620"/>
      <c r="T96" s="620"/>
      <c r="U96" s="620"/>
      <c r="V96" s="620"/>
      <c r="W96" s="620"/>
      <c r="X96" s="620"/>
      <c r="Y96" s="620"/>
      <c r="Z96" s="620"/>
      <c r="AA96" s="620"/>
      <c r="AB96" s="620"/>
      <c r="AC96" s="620"/>
      <c r="AD96" s="620"/>
      <c r="AE96" s="620"/>
      <c r="AF96" s="40"/>
    </row>
    <row r="97" spans="1:32" x14ac:dyDescent="0.3">
      <c r="A97"/>
      <c r="B97" s="3180" t="s">
        <v>1545</v>
      </c>
      <c r="C97" s="3180"/>
      <c r="D97" s="3180"/>
      <c r="E97" s="3180"/>
      <c r="F97" s="3180"/>
      <c r="G97" s="3180"/>
      <c r="H97" s="3180"/>
      <c r="I97" s="3180"/>
      <c r="J97" s="3181">
        <v>7497.2179914046737</v>
      </c>
      <c r="K97" s="3182"/>
      <c r="L97" s="3182"/>
      <c r="M97" s="3182"/>
      <c r="N97" s="3183">
        <v>0.02</v>
      </c>
      <c r="O97" s="3183"/>
      <c r="P97" s="3183"/>
      <c r="Q97" s="3183"/>
      <c r="R97" s="620"/>
      <c r="S97" s="620"/>
      <c r="T97" s="620"/>
      <c r="U97" s="620"/>
      <c r="V97" s="620"/>
      <c r="W97" s="620"/>
      <c r="X97" s="620"/>
      <c r="Y97" s="620"/>
      <c r="Z97" s="620"/>
      <c r="AA97" s="620"/>
      <c r="AB97" s="620"/>
      <c r="AC97" s="620"/>
      <c r="AD97" s="620"/>
      <c r="AE97" s="620"/>
      <c r="AF97" s="40"/>
    </row>
    <row r="98" spans="1:32" x14ac:dyDescent="0.3">
      <c r="B98" s="3188" t="s">
        <v>4036</v>
      </c>
      <c r="C98" s="3188"/>
      <c r="D98" s="3188"/>
      <c r="E98" s="3188"/>
      <c r="F98" s="3188"/>
      <c r="G98" s="3188"/>
      <c r="H98" s="3188"/>
      <c r="I98" s="3188"/>
      <c r="J98" s="3189">
        <v>449595</v>
      </c>
      <c r="K98" s="1176"/>
      <c r="L98" s="1176"/>
      <c r="M98" s="1176"/>
      <c r="N98" s="3190">
        <v>1</v>
      </c>
      <c r="O98" s="3190"/>
      <c r="P98" s="3190"/>
      <c r="Q98" s="3190"/>
    </row>
    <row r="99" spans="1:32" ht="41.25" customHeight="1" x14ac:dyDescent="0.3">
      <c r="B99" s="3187" t="s">
        <v>4924</v>
      </c>
      <c r="C99" s="3187"/>
      <c r="D99" s="3187"/>
      <c r="E99" s="3187"/>
      <c r="F99" s="3187"/>
      <c r="G99" s="3187"/>
      <c r="H99" s="3187"/>
      <c r="I99" s="3187"/>
      <c r="J99" s="3187"/>
      <c r="K99" s="3187"/>
      <c r="L99" s="3187"/>
      <c r="M99" s="3187"/>
      <c r="N99" s="3187"/>
      <c r="O99" s="3187"/>
      <c r="P99" s="3187"/>
      <c r="Q99" s="3187"/>
      <c r="R99" s="3187"/>
      <c r="S99" s="3187"/>
      <c r="T99" s="3187"/>
      <c r="U99" s="3187"/>
      <c r="V99" s="3187"/>
      <c r="W99" s="3187"/>
      <c r="X99" s="3187"/>
      <c r="Y99" s="3187"/>
      <c r="Z99" s="3187"/>
      <c r="AA99" s="3187"/>
      <c r="AB99" s="3187"/>
      <c r="AC99" s="3187"/>
      <c r="AD99" s="3187"/>
      <c r="AE99" s="3187"/>
      <c r="AF99" s="3187"/>
    </row>
    <row r="100" spans="1:32" x14ac:dyDescent="0.3">
      <c r="B100" s="48"/>
      <c r="C100" s="488"/>
      <c r="D100" s="488"/>
      <c r="E100" s="488"/>
      <c r="F100" s="488"/>
      <c r="G100" s="488"/>
      <c r="H100" s="488"/>
      <c r="I100" s="488"/>
      <c r="J100" s="629"/>
      <c r="K100" s="629"/>
      <c r="L100" s="629"/>
      <c r="M100" s="629"/>
      <c r="N100" s="629"/>
      <c r="O100" s="629"/>
      <c r="P100" s="629"/>
      <c r="Q100" s="629"/>
    </row>
    <row r="102" spans="1:32" x14ac:dyDescent="0.3">
      <c r="A102" s="1053" t="s">
        <v>4925</v>
      </c>
      <c r="B102" s="1054"/>
      <c r="C102" s="1054"/>
      <c r="D102" s="1054"/>
      <c r="E102" s="1054"/>
      <c r="F102" s="1054"/>
      <c r="G102" s="1054"/>
      <c r="H102" s="1054"/>
      <c r="I102" s="1054"/>
      <c r="J102" s="1054"/>
      <c r="K102" s="1054"/>
      <c r="L102" s="1054"/>
      <c r="M102" s="1054"/>
      <c r="N102" s="1054"/>
      <c r="O102" s="1054"/>
      <c r="P102" s="1054"/>
      <c r="Q102" s="1054"/>
      <c r="R102" s="1054"/>
      <c r="S102" s="1054"/>
      <c r="T102" s="1054"/>
      <c r="U102" s="1054"/>
      <c r="V102" s="1054"/>
      <c r="W102" s="1054"/>
      <c r="X102" s="1054"/>
      <c r="Y102" s="1054"/>
      <c r="Z102" s="1054"/>
      <c r="AA102" s="1054"/>
      <c r="AB102" s="1054"/>
      <c r="AC102" s="1054"/>
      <c r="AD102" s="1054"/>
      <c r="AE102" s="1054"/>
      <c r="AF102" s="1055"/>
    </row>
    <row r="104" spans="1:32" x14ac:dyDescent="0.3">
      <c r="B104" s="498" t="s">
        <v>4926</v>
      </c>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row>
    <row r="105" spans="1:32" ht="15" thickBot="1" x14ac:dyDescent="0.35"/>
    <row r="106" spans="1:32" ht="15" thickBot="1" x14ac:dyDescent="0.35">
      <c r="A106" s="3101" t="s">
        <v>15</v>
      </c>
      <c r="B106" s="3102"/>
      <c r="C106" s="3102"/>
      <c r="D106" s="3102"/>
      <c r="E106" s="3102"/>
      <c r="F106" s="3102"/>
      <c r="G106" s="3102"/>
      <c r="H106" s="3102"/>
      <c r="I106" s="3102" t="s">
        <v>16</v>
      </c>
      <c r="J106" s="3102"/>
      <c r="K106" s="3102"/>
      <c r="L106" s="3102"/>
      <c r="M106" s="3102"/>
      <c r="N106" s="3102"/>
      <c r="O106" s="3102"/>
      <c r="P106" s="3102"/>
      <c r="Q106" s="3102" t="s">
        <v>17</v>
      </c>
      <c r="R106" s="3102"/>
      <c r="S106" s="3102"/>
      <c r="T106" s="3102"/>
      <c r="U106" s="3102"/>
      <c r="V106" s="3102"/>
      <c r="W106" s="3102"/>
      <c r="X106" s="3102"/>
      <c r="Y106" s="3102" t="s">
        <v>1826</v>
      </c>
      <c r="Z106" s="3102"/>
      <c r="AA106" s="3102"/>
      <c r="AB106" s="3102"/>
      <c r="AC106" s="3102"/>
      <c r="AD106" s="3102"/>
      <c r="AE106" s="3102"/>
      <c r="AF106" s="3103"/>
    </row>
    <row r="107" spans="1:32" x14ac:dyDescent="0.3">
      <c r="A107" s="3197" t="s">
        <v>4914</v>
      </c>
      <c r="B107" s="3096"/>
      <c r="C107" s="3096"/>
      <c r="D107" s="3096"/>
      <c r="E107" s="3096"/>
      <c r="F107" s="3096"/>
      <c r="G107" s="3096"/>
      <c r="H107" s="3097"/>
      <c r="I107" s="3083">
        <v>0</v>
      </c>
      <c r="J107" s="3083"/>
      <c r="K107" s="3083"/>
      <c r="L107" s="3083"/>
      <c r="M107" s="3083"/>
      <c r="N107" s="3083"/>
      <c r="O107" s="3083"/>
      <c r="P107" s="3083"/>
      <c r="Q107" s="3084">
        <f>ROUND((Q116*$N$94)+(Q122*$N$97)+(Q128*$N$96)+(Q140*$N$95),2)</f>
        <v>163.38999999999999</v>
      </c>
      <c r="R107" s="3084"/>
      <c r="S107" s="3084"/>
      <c r="T107" s="3084"/>
      <c r="U107" s="3084"/>
      <c r="V107" s="3084"/>
      <c r="W107" s="3084"/>
      <c r="X107" s="3084"/>
      <c r="Y107" s="3085">
        <f>ROUND(Q107*$AA$88+$Q158*($V$88-$AA$88),2)</f>
        <v>1281.7</v>
      </c>
      <c r="Z107" s="3085"/>
      <c r="AA107" s="3085"/>
      <c r="AB107" s="3085"/>
      <c r="AC107" s="3085"/>
      <c r="AD107" s="3085"/>
      <c r="AE107" s="3085"/>
      <c r="AF107" s="3086"/>
    </row>
    <row r="108" spans="1:32" x14ac:dyDescent="0.3">
      <c r="A108" s="3197" t="s">
        <v>4915</v>
      </c>
      <c r="B108" s="3096"/>
      <c r="C108" s="3096"/>
      <c r="D108" s="3096"/>
      <c r="E108" s="3096"/>
      <c r="F108" s="3096"/>
      <c r="G108" s="3096"/>
      <c r="H108" s="3097"/>
      <c r="I108" s="3083">
        <v>0</v>
      </c>
      <c r="J108" s="3083"/>
      <c r="K108" s="3083"/>
      <c r="L108" s="3083"/>
      <c r="M108" s="3083"/>
      <c r="N108" s="3083"/>
      <c r="O108" s="3083"/>
      <c r="P108" s="3083"/>
      <c r="Q108" s="3084">
        <f>ROUND((Q117*$N$94)+(Q123*$N$97)+(Q129*$N$96)+(Q141*$N$95),2)</f>
        <v>75.36</v>
      </c>
      <c r="R108" s="3084"/>
      <c r="S108" s="3084"/>
      <c r="T108" s="3084"/>
      <c r="U108" s="3084"/>
      <c r="V108" s="3084"/>
      <c r="W108" s="3084"/>
      <c r="X108" s="3084"/>
      <c r="Y108" s="3085">
        <f>ROUND(Q108*$AA$88+$Q159*($V$88-$AA$88),2)</f>
        <v>574.20000000000005</v>
      </c>
      <c r="Z108" s="3085"/>
      <c r="AA108" s="3085"/>
      <c r="AB108" s="3085"/>
      <c r="AC108" s="3085"/>
      <c r="AD108" s="3085"/>
      <c r="AE108" s="3085"/>
      <c r="AF108" s="3086"/>
    </row>
    <row r="109" spans="1:32" ht="15" thickBot="1" x14ac:dyDescent="0.35">
      <c r="A109" s="3191" t="s">
        <v>4916</v>
      </c>
      <c r="B109" s="3192"/>
      <c r="C109" s="3192"/>
      <c r="D109" s="3192"/>
      <c r="E109" s="3192"/>
      <c r="F109" s="3192"/>
      <c r="G109" s="3192"/>
      <c r="H109" s="3193"/>
      <c r="I109" s="2756">
        <v>0</v>
      </c>
      <c r="J109" s="2756"/>
      <c r="K109" s="2756"/>
      <c r="L109" s="2756"/>
      <c r="M109" s="2756"/>
      <c r="N109" s="2756"/>
      <c r="O109" s="2756"/>
      <c r="P109" s="2756"/>
      <c r="Q109" s="3194">
        <f>ROUND((Q118*$N$94)+(Q124*$N$97)+(Q130*$N$96)+(Q142*$N$95),2)</f>
        <v>37.79</v>
      </c>
      <c r="R109" s="3194"/>
      <c r="S109" s="3194"/>
      <c r="T109" s="3194"/>
      <c r="U109" s="3194"/>
      <c r="V109" s="3194"/>
      <c r="W109" s="3194"/>
      <c r="X109" s="3194"/>
      <c r="Y109" s="3136">
        <f>ROUND(Q109*$AA$88+$Q160*($V$88-$AA$88),2)</f>
        <v>286.7</v>
      </c>
      <c r="Z109" s="3136"/>
      <c r="AA109" s="3136"/>
      <c r="AB109" s="3136"/>
      <c r="AC109" s="3136"/>
      <c r="AD109" s="3136"/>
      <c r="AE109" s="3136"/>
      <c r="AF109" s="3137"/>
    </row>
    <row r="110" spans="1:32" x14ac:dyDescent="0.3">
      <c r="B110" s="94" t="s">
        <v>4927</v>
      </c>
    </row>
    <row r="112" spans="1:32" ht="32.25" customHeight="1" x14ac:dyDescent="0.3">
      <c r="B112" s="3195" t="s">
        <v>4928</v>
      </c>
      <c r="C112" s="3195"/>
      <c r="D112" s="3195"/>
      <c r="E112" s="3195"/>
      <c r="F112" s="3195"/>
      <c r="G112" s="3195"/>
      <c r="H112" s="3195"/>
      <c r="I112" s="3195"/>
      <c r="J112" s="3195"/>
      <c r="K112" s="3195"/>
      <c r="L112" s="3195"/>
      <c r="M112" s="3195"/>
      <c r="N112" s="3195"/>
      <c r="O112" s="3195"/>
      <c r="P112" s="3195"/>
      <c r="Q112" s="3195"/>
      <c r="R112" s="3195"/>
      <c r="S112" s="3195"/>
      <c r="T112" s="3195"/>
      <c r="U112" s="3195"/>
      <c r="V112" s="3195"/>
      <c r="W112" s="3195"/>
      <c r="X112" s="3195"/>
      <c r="Y112" s="3195"/>
      <c r="Z112" s="3195"/>
      <c r="AA112" s="3195"/>
      <c r="AB112" s="3195"/>
      <c r="AC112" s="3195"/>
      <c r="AD112" s="3195"/>
      <c r="AE112" s="3195"/>
      <c r="AF112" s="3195"/>
    </row>
    <row r="114" spans="1:32" ht="15" thickBot="1" x14ac:dyDescent="0.35">
      <c r="A114" s="3196" t="s">
        <v>4929</v>
      </c>
      <c r="B114" s="2896"/>
      <c r="C114" s="2896"/>
      <c r="D114" s="2896"/>
      <c r="E114" s="2896"/>
      <c r="F114" s="2896"/>
      <c r="G114" s="2896"/>
      <c r="H114" s="2896"/>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96"/>
      <c r="AD114" s="2896"/>
      <c r="AE114" s="2896"/>
      <c r="AF114" s="2896"/>
    </row>
    <row r="115" spans="1:32" ht="15" thickBot="1" x14ac:dyDescent="0.35">
      <c r="A115" s="3101" t="s">
        <v>15</v>
      </c>
      <c r="B115" s="3102"/>
      <c r="C115" s="3102"/>
      <c r="D115" s="3102"/>
      <c r="E115" s="3102"/>
      <c r="F115" s="3102"/>
      <c r="G115" s="3102"/>
      <c r="H115" s="3102"/>
      <c r="I115" s="3102" t="s">
        <v>16</v>
      </c>
      <c r="J115" s="3102"/>
      <c r="K115" s="3102"/>
      <c r="L115" s="3102"/>
      <c r="M115" s="3102"/>
      <c r="N115" s="3102"/>
      <c r="O115" s="3102"/>
      <c r="P115" s="3102"/>
      <c r="Q115" s="3102" t="s">
        <v>17</v>
      </c>
      <c r="R115" s="3102"/>
      <c r="S115" s="3102"/>
      <c r="T115" s="3102"/>
      <c r="U115" s="3102"/>
      <c r="V115" s="3102"/>
      <c r="W115" s="3102"/>
      <c r="X115" s="3102"/>
      <c r="Y115" s="3102" t="s">
        <v>1826</v>
      </c>
      <c r="Z115" s="3102"/>
      <c r="AA115" s="3102"/>
      <c r="AB115" s="3102"/>
      <c r="AC115" s="3102"/>
      <c r="AD115" s="3102"/>
      <c r="AE115" s="3102"/>
      <c r="AF115" s="3103"/>
    </row>
    <row r="116" spans="1:32" x14ac:dyDescent="0.3">
      <c r="A116" s="3197" t="s">
        <v>4914</v>
      </c>
      <c r="B116" s="3096"/>
      <c r="C116" s="3096"/>
      <c r="D116" s="3096"/>
      <c r="E116" s="3096"/>
      <c r="F116" s="3096"/>
      <c r="G116" s="3096"/>
      <c r="H116" s="3097"/>
      <c r="I116" s="3083">
        <v>0</v>
      </c>
      <c r="J116" s="3083"/>
      <c r="K116" s="3083"/>
      <c r="L116" s="3083"/>
      <c r="M116" s="3083"/>
      <c r="N116" s="3083"/>
      <c r="O116" s="3083"/>
      <c r="P116" s="3083"/>
      <c r="Q116" s="3084">
        <f>ROUND(J76*$Q$61*$Q$88*365/1000*(1+($L$88*($Q$68-1))*$Q$69),2)</f>
        <v>170.9</v>
      </c>
      <c r="R116" s="3084"/>
      <c r="S116" s="3084"/>
      <c r="T116" s="3084"/>
      <c r="U116" s="3084"/>
      <c r="V116" s="3084"/>
      <c r="W116" s="3084"/>
      <c r="X116" s="3084"/>
      <c r="Y116" s="3085">
        <f>ROUND(Q116*$AA$88+$Q167*($V$88-$AA$88),2)</f>
        <v>1341.3</v>
      </c>
      <c r="Z116" s="3085"/>
      <c r="AA116" s="3085"/>
      <c r="AB116" s="3085"/>
      <c r="AC116" s="3085"/>
      <c r="AD116" s="3085"/>
      <c r="AE116" s="3085"/>
      <c r="AF116" s="3086"/>
    </row>
    <row r="117" spans="1:32" x14ac:dyDescent="0.3">
      <c r="A117" s="3197" t="s">
        <v>4915</v>
      </c>
      <c r="B117" s="3096"/>
      <c r="C117" s="3096"/>
      <c r="D117" s="3096"/>
      <c r="E117" s="3096"/>
      <c r="F117" s="3096"/>
      <c r="G117" s="3096"/>
      <c r="H117" s="3097"/>
      <c r="I117" s="3083">
        <v>0</v>
      </c>
      <c r="J117" s="3083"/>
      <c r="K117" s="3083"/>
      <c r="L117" s="3083"/>
      <c r="M117" s="3083"/>
      <c r="N117" s="3083"/>
      <c r="O117" s="3083"/>
      <c r="P117" s="3083"/>
      <c r="Q117" s="3084">
        <f>ROUND(J77*$Q$61*$Q$88*365/1000*(1+($L$88*($Q$68-1))*$Q$69),2)</f>
        <v>79.62</v>
      </c>
      <c r="R117" s="3084"/>
      <c r="S117" s="3084"/>
      <c r="T117" s="3084"/>
      <c r="U117" s="3084"/>
      <c r="V117" s="3084"/>
      <c r="W117" s="3084"/>
      <c r="X117" s="3084"/>
      <c r="Y117" s="3085">
        <f>ROUND(Q117*$AA$88+$Q168*($V$88-$AA$88),2)</f>
        <v>604.33000000000004</v>
      </c>
      <c r="Z117" s="3085"/>
      <c r="AA117" s="3085"/>
      <c r="AB117" s="3085"/>
      <c r="AC117" s="3085"/>
      <c r="AD117" s="3085"/>
      <c r="AE117" s="3085"/>
      <c r="AF117" s="3086"/>
    </row>
    <row r="118" spans="1:32" ht="15" thickBot="1" x14ac:dyDescent="0.35">
      <c r="A118" s="3191" t="s">
        <v>4916</v>
      </c>
      <c r="B118" s="3192"/>
      <c r="C118" s="3192"/>
      <c r="D118" s="3192"/>
      <c r="E118" s="3192"/>
      <c r="F118" s="3192"/>
      <c r="G118" s="3192"/>
      <c r="H118" s="3193"/>
      <c r="I118" s="2756">
        <v>0</v>
      </c>
      <c r="J118" s="2756"/>
      <c r="K118" s="2756"/>
      <c r="L118" s="2756"/>
      <c r="M118" s="2756"/>
      <c r="N118" s="2756"/>
      <c r="O118" s="2756"/>
      <c r="P118" s="2756"/>
      <c r="Q118" s="3194">
        <f>ROUND(J78*$Q$61*$Q$88*365/1000*(1+($L$88*($Q$68-1))*$Q$69),2)</f>
        <v>39.81</v>
      </c>
      <c r="R118" s="3194"/>
      <c r="S118" s="3194"/>
      <c r="T118" s="3194"/>
      <c r="U118" s="3194"/>
      <c r="V118" s="3194"/>
      <c r="W118" s="3194"/>
      <c r="X118" s="3194"/>
      <c r="Y118" s="3136">
        <f>ROUND(Q118*$AA$88+$Q169*($V$88-$AA$88),2)</f>
        <v>302.17</v>
      </c>
      <c r="Z118" s="3136"/>
      <c r="AA118" s="3136"/>
      <c r="AB118" s="3136"/>
      <c r="AC118" s="3136"/>
      <c r="AD118" s="3136"/>
      <c r="AE118" s="3136"/>
      <c r="AF118" s="3137"/>
    </row>
    <row r="120" spans="1:32" ht="15" thickBot="1" x14ac:dyDescent="0.35">
      <c r="A120" s="3196" t="s">
        <v>4930</v>
      </c>
      <c r="B120" s="2896"/>
      <c r="C120" s="2896"/>
      <c r="D120" s="2896"/>
      <c r="E120" s="2896"/>
      <c r="F120" s="2896"/>
      <c r="G120" s="2896"/>
      <c r="H120" s="2896"/>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96"/>
      <c r="AD120" s="2896"/>
      <c r="AE120" s="2896"/>
      <c r="AF120" s="2896"/>
    </row>
    <row r="121" spans="1:32" ht="15" thickBot="1" x14ac:dyDescent="0.35">
      <c r="A121" s="3101" t="s">
        <v>15</v>
      </c>
      <c r="B121" s="3102"/>
      <c r="C121" s="3102"/>
      <c r="D121" s="3102"/>
      <c r="E121" s="3102"/>
      <c r="F121" s="3102"/>
      <c r="G121" s="3102"/>
      <c r="H121" s="3102"/>
      <c r="I121" s="3102" t="s">
        <v>16</v>
      </c>
      <c r="J121" s="3102"/>
      <c r="K121" s="3102"/>
      <c r="L121" s="3102"/>
      <c r="M121" s="3102"/>
      <c r="N121" s="3102"/>
      <c r="O121" s="3102"/>
      <c r="P121" s="3102"/>
      <c r="Q121" s="3102" t="s">
        <v>17</v>
      </c>
      <c r="R121" s="3102"/>
      <c r="S121" s="3102"/>
      <c r="T121" s="3102"/>
      <c r="U121" s="3102"/>
      <c r="V121" s="3102"/>
      <c r="W121" s="3102"/>
      <c r="X121" s="3102"/>
      <c r="Y121" s="3102" t="s">
        <v>1826</v>
      </c>
      <c r="Z121" s="3102"/>
      <c r="AA121" s="3102"/>
      <c r="AB121" s="3102"/>
      <c r="AC121" s="3102"/>
      <c r="AD121" s="3102"/>
      <c r="AE121" s="3102"/>
      <c r="AF121" s="3103"/>
    </row>
    <row r="122" spans="1:32" x14ac:dyDescent="0.3">
      <c r="A122" s="3197" t="s">
        <v>4914</v>
      </c>
      <c r="B122" s="3096"/>
      <c r="C122" s="3096"/>
      <c r="D122" s="3096"/>
      <c r="E122" s="3096"/>
      <c r="F122" s="3096"/>
      <c r="G122" s="3096"/>
      <c r="H122" s="3097"/>
      <c r="I122" s="3083">
        <v>0</v>
      </c>
      <c r="J122" s="3083"/>
      <c r="K122" s="3083"/>
      <c r="L122" s="3083"/>
      <c r="M122" s="3083"/>
      <c r="N122" s="3083"/>
      <c r="O122" s="3083"/>
      <c r="P122" s="3083"/>
      <c r="Q122" s="3084">
        <f>ROUND(J76*$Q$61*$Q$89*365/1000*(1+($L$89*($Q$68-1))*$Q$69),2)</f>
        <v>302.88</v>
      </c>
      <c r="R122" s="3084"/>
      <c r="S122" s="3084"/>
      <c r="T122" s="3084"/>
      <c r="U122" s="3084"/>
      <c r="V122" s="3084"/>
      <c r="W122" s="3084"/>
      <c r="X122" s="3084"/>
      <c r="Y122" s="3085">
        <f>ROUND(Q122*$AA$89+$Q173*($V$89-$AA$89),2)</f>
        <v>2116.48</v>
      </c>
      <c r="Z122" s="3085"/>
      <c r="AA122" s="3085"/>
      <c r="AB122" s="3085"/>
      <c r="AC122" s="3085"/>
      <c r="AD122" s="3085"/>
      <c r="AE122" s="3085"/>
      <c r="AF122" s="3086"/>
    </row>
    <row r="123" spans="1:32" x14ac:dyDescent="0.3">
      <c r="A123" s="3197" t="s">
        <v>4915</v>
      </c>
      <c r="B123" s="3096"/>
      <c r="C123" s="3096"/>
      <c r="D123" s="3096"/>
      <c r="E123" s="3096"/>
      <c r="F123" s="3096"/>
      <c r="G123" s="3096"/>
      <c r="H123" s="3097"/>
      <c r="I123" s="3083">
        <v>0</v>
      </c>
      <c r="J123" s="3083"/>
      <c r="K123" s="3083"/>
      <c r="L123" s="3083"/>
      <c r="M123" s="3083"/>
      <c r="N123" s="3083"/>
      <c r="O123" s="3083"/>
      <c r="P123" s="3083"/>
      <c r="Q123" s="3084">
        <f>ROUND(J77*$Q$61*$Q$89*365/1000*(1+($L$89*($Q$68-1))*$Q$69),2)</f>
        <v>141.1</v>
      </c>
      <c r="R123" s="3084"/>
      <c r="S123" s="3084"/>
      <c r="T123" s="3084"/>
      <c r="U123" s="3084"/>
      <c r="V123" s="3084"/>
      <c r="W123" s="3084"/>
      <c r="X123" s="3084"/>
      <c r="Y123" s="3085">
        <f>ROUND(Q123*$AA$89+$Q174*($V$89-$AA$89),2)</f>
        <v>935</v>
      </c>
      <c r="Z123" s="3085"/>
      <c r="AA123" s="3085"/>
      <c r="AB123" s="3085"/>
      <c r="AC123" s="3085"/>
      <c r="AD123" s="3085"/>
      <c r="AE123" s="3085"/>
      <c r="AF123" s="3086"/>
    </row>
    <row r="124" spans="1:32" ht="15" thickBot="1" x14ac:dyDescent="0.35">
      <c r="A124" s="3191" t="s">
        <v>4916</v>
      </c>
      <c r="B124" s="3192"/>
      <c r="C124" s="3192"/>
      <c r="D124" s="3192"/>
      <c r="E124" s="3192"/>
      <c r="F124" s="3192"/>
      <c r="G124" s="3192"/>
      <c r="H124" s="3193"/>
      <c r="I124" s="2756">
        <v>0</v>
      </c>
      <c r="J124" s="2756"/>
      <c r="K124" s="2756"/>
      <c r="L124" s="2756"/>
      <c r="M124" s="2756"/>
      <c r="N124" s="2756"/>
      <c r="O124" s="2756"/>
      <c r="P124" s="2756"/>
      <c r="Q124" s="3194">
        <f>ROUND(J78*$Q$61*$Q$89*365/1000*(1+($L$89*($Q$68-1))*$Q$69),2)</f>
        <v>70.55</v>
      </c>
      <c r="R124" s="3194"/>
      <c r="S124" s="3194"/>
      <c r="T124" s="3194"/>
      <c r="U124" s="3194"/>
      <c r="V124" s="3194"/>
      <c r="W124" s="3194"/>
      <c r="X124" s="3194"/>
      <c r="Y124" s="3136">
        <f>ROUND(Q124*$AA$89+$Q175*($V$89-$AA$89),2)</f>
        <v>467.5</v>
      </c>
      <c r="Z124" s="3136"/>
      <c r="AA124" s="3136"/>
      <c r="AB124" s="3136"/>
      <c r="AC124" s="3136"/>
      <c r="AD124" s="3136"/>
      <c r="AE124" s="3136"/>
      <c r="AF124" s="3137"/>
    </row>
    <row r="126" spans="1:32" ht="15" thickBot="1" x14ac:dyDescent="0.35">
      <c r="A126" s="3196" t="s">
        <v>4931</v>
      </c>
      <c r="B126" s="2896"/>
      <c r="C126" s="2896"/>
      <c r="D126" s="2896"/>
      <c r="E126" s="2896"/>
      <c r="F126" s="2896"/>
      <c r="G126" s="2896"/>
      <c r="H126" s="2896"/>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96"/>
      <c r="AD126" s="2896"/>
      <c r="AE126" s="2896"/>
      <c r="AF126" s="2896"/>
    </row>
    <row r="127" spans="1:32" ht="15" thickBot="1" x14ac:dyDescent="0.35">
      <c r="A127" s="3101" t="s">
        <v>15</v>
      </c>
      <c r="B127" s="3102"/>
      <c r="C127" s="3102"/>
      <c r="D127" s="3102"/>
      <c r="E127" s="3102"/>
      <c r="F127" s="3102"/>
      <c r="G127" s="3102"/>
      <c r="H127" s="3102"/>
      <c r="I127" s="3102" t="s">
        <v>16</v>
      </c>
      <c r="J127" s="3102"/>
      <c r="K127" s="3102"/>
      <c r="L127" s="3102"/>
      <c r="M127" s="3102"/>
      <c r="N127" s="3102"/>
      <c r="O127" s="3102"/>
      <c r="P127" s="3102"/>
      <c r="Q127" s="3102" t="s">
        <v>17</v>
      </c>
      <c r="R127" s="3102"/>
      <c r="S127" s="3102"/>
      <c r="T127" s="3102"/>
      <c r="U127" s="3102"/>
      <c r="V127" s="3102"/>
      <c r="W127" s="3102"/>
      <c r="X127" s="3102"/>
      <c r="Y127" s="3102" t="s">
        <v>1826</v>
      </c>
      <c r="Z127" s="3102"/>
      <c r="AA127" s="3102"/>
      <c r="AB127" s="3102"/>
      <c r="AC127" s="3102"/>
      <c r="AD127" s="3102"/>
      <c r="AE127" s="3102"/>
      <c r="AF127" s="3103"/>
    </row>
    <row r="128" spans="1:32" x14ac:dyDescent="0.3">
      <c r="A128" s="3197" t="s">
        <v>4914</v>
      </c>
      <c r="B128" s="3096"/>
      <c r="C128" s="3096"/>
      <c r="D128" s="3096"/>
      <c r="E128" s="3096"/>
      <c r="F128" s="3096"/>
      <c r="G128" s="3096"/>
      <c r="H128" s="3097"/>
      <c r="I128" s="3083">
        <v>0</v>
      </c>
      <c r="J128" s="3083"/>
      <c r="K128" s="3083"/>
      <c r="L128" s="3083"/>
      <c r="M128" s="3083"/>
      <c r="N128" s="3083"/>
      <c r="O128" s="3083"/>
      <c r="P128" s="3083"/>
      <c r="Q128" s="3084">
        <f>ROUND(N76*$Q$61*$Q$88*365/1000*(1+($L$88*($Q$68-1))*$Q$69),2)</f>
        <v>162.91</v>
      </c>
      <c r="R128" s="3084"/>
      <c r="S128" s="3084"/>
      <c r="T128" s="3084"/>
      <c r="U128" s="3084"/>
      <c r="V128" s="3084"/>
      <c r="W128" s="3084"/>
      <c r="X128" s="3084"/>
      <c r="Y128" s="3085">
        <f>ROUND(Q128*$AA$88+$Q179*($V$88-$AA$88),2)</f>
        <v>1274.98</v>
      </c>
      <c r="Z128" s="3085"/>
      <c r="AA128" s="3085"/>
      <c r="AB128" s="3085"/>
      <c r="AC128" s="3085"/>
      <c r="AD128" s="3085"/>
      <c r="AE128" s="3085"/>
      <c r="AF128" s="3086"/>
    </row>
    <row r="129" spans="1:32" x14ac:dyDescent="0.3">
      <c r="A129" s="3197" t="s">
        <v>4915</v>
      </c>
      <c r="B129" s="3096"/>
      <c r="C129" s="3096"/>
      <c r="D129" s="3096"/>
      <c r="E129" s="3096"/>
      <c r="F129" s="3096"/>
      <c r="G129" s="3096"/>
      <c r="H129" s="3097"/>
      <c r="I129" s="3083">
        <v>0</v>
      </c>
      <c r="J129" s="3083"/>
      <c r="K129" s="3083"/>
      <c r="L129" s="3083"/>
      <c r="M129" s="3083"/>
      <c r="N129" s="3083"/>
      <c r="O129" s="3083"/>
      <c r="P129" s="3083"/>
      <c r="Q129" s="3084">
        <f>ROUND(N77*$Q$61*$Q$88*365/1000*(1+($L$88*($Q$68-1))*$Q$69),2)</f>
        <v>74.5</v>
      </c>
      <c r="R129" s="3084"/>
      <c r="S129" s="3084"/>
      <c r="T129" s="3084"/>
      <c r="U129" s="3084"/>
      <c r="V129" s="3084"/>
      <c r="W129" s="3084"/>
      <c r="X129" s="3084"/>
      <c r="Y129" s="3198">
        <f>ROUND(Q129*$AA$88+$Q180*($V$88-$AA$88),2)</f>
        <v>581.13</v>
      </c>
      <c r="Z129" s="3199"/>
      <c r="AA129" s="3199"/>
      <c r="AB129" s="3199"/>
      <c r="AC129" s="3199"/>
      <c r="AD129" s="3199"/>
      <c r="AE129" s="3199"/>
      <c r="AF129" s="3200"/>
    </row>
    <row r="130" spans="1:32" ht="15" thickBot="1" x14ac:dyDescent="0.35">
      <c r="A130" s="3191" t="s">
        <v>4916</v>
      </c>
      <c r="B130" s="3192"/>
      <c r="C130" s="3192"/>
      <c r="D130" s="3192"/>
      <c r="E130" s="3192"/>
      <c r="F130" s="3192"/>
      <c r="G130" s="3192"/>
      <c r="H130" s="3193"/>
      <c r="I130" s="2756">
        <v>0</v>
      </c>
      <c r="J130" s="2756"/>
      <c r="K130" s="2756"/>
      <c r="L130" s="2756"/>
      <c r="M130" s="2756"/>
      <c r="N130" s="2756"/>
      <c r="O130" s="2756"/>
      <c r="P130" s="2756"/>
      <c r="Q130" s="3194">
        <f>ROUND(N78*$Q$61*$Q$88*365/1000*(1+($L$88*($Q$68-1))*$Q$69),2)</f>
        <v>38.049999999999997</v>
      </c>
      <c r="R130" s="3194"/>
      <c r="S130" s="3194"/>
      <c r="T130" s="3194"/>
      <c r="U130" s="3194"/>
      <c r="V130" s="3194"/>
      <c r="W130" s="3194"/>
      <c r="X130" s="3194"/>
      <c r="Y130" s="3111">
        <f>ROUND(Q130*$AA$88+$Q181*($V$88-$AA$88),2)</f>
        <v>287.77</v>
      </c>
      <c r="Z130" s="3112"/>
      <c r="AA130" s="3112"/>
      <c r="AB130" s="3112"/>
      <c r="AC130" s="3112"/>
      <c r="AD130" s="3112"/>
      <c r="AE130" s="3112"/>
      <c r="AF130" s="3114"/>
    </row>
    <row r="132" spans="1:32" ht="15" thickBot="1" x14ac:dyDescent="0.35">
      <c r="A132" s="3196" t="s">
        <v>4932</v>
      </c>
      <c r="B132" s="2896"/>
      <c r="C132" s="2896"/>
      <c r="D132" s="2896"/>
      <c r="E132" s="2896"/>
      <c r="F132" s="2896"/>
      <c r="G132" s="2896"/>
      <c r="H132" s="2896"/>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96"/>
      <c r="AD132" s="2896"/>
      <c r="AE132" s="2896"/>
      <c r="AF132" s="2896"/>
    </row>
    <row r="133" spans="1:32" ht="15" thickBot="1" x14ac:dyDescent="0.35">
      <c r="A133" s="3101" t="s">
        <v>15</v>
      </c>
      <c r="B133" s="3102"/>
      <c r="C133" s="3102"/>
      <c r="D133" s="3102"/>
      <c r="E133" s="3102"/>
      <c r="F133" s="3102"/>
      <c r="G133" s="3102"/>
      <c r="H133" s="3102"/>
      <c r="I133" s="3102" t="s">
        <v>16</v>
      </c>
      <c r="J133" s="3102"/>
      <c r="K133" s="3102"/>
      <c r="L133" s="3102"/>
      <c r="M133" s="3102"/>
      <c r="N133" s="3102"/>
      <c r="O133" s="3102"/>
      <c r="P133" s="3102"/>
      <c r="Q133" s="3102" t="s">
        <v>17</v>
      </c>
      <c r="R133" s="3102"/>
      <c r="S133" s="3102"/>
      <c r="T133" s="3102"/>
      <c r="U133" s="3102"/>
      <c r="V133" s="3102"/>
      <c r="W133" s="3102"/>
      <c r="X133" s="3102"/>
      <c r="Y133" s="3102" t="s">
        <v>1826</v>
      </c>
      <c r="Z133" s="3102"/>
      <c r="AA133" s="3102"/>
      <c r="AB133" s="3102"/>
      <c r="AC133" s="3102"/>
      <c r="AD133" s="3102"/>
      <c r="AE133" s="3102"/>
      <c r="AF133" s="3103"/>
    </row>
    <row r="134" spans="1:32" x14ac:dyDescent="0.3">
      <c r="A134" s="3197" t="s">
        <v>4914</v>
      </c>
      <c r="B134" s="3096"/>
      <c r="C134" s="3096"/>
      <c r="D134" s="3096"/>
      <c r="E134" s="3096"/>
      <c r="F134" s="3096"/>
      <c r="G134" s="3096"/>
      <c r="H134" s="3097"/>
      <c r="I134" s="3083">
        <v>0</v>
      </c>
      <c r="J134" s="3083"/>
      <c r="K134" s="3083"/>
      <c r="L134" s="3083"/>
      <c r="M134" s="3083"/>
      <c r="N134" s="3083"/>
      <c r="O134" s="3083"/>
      <c r="P134" s="3083"/>
      <c r="Q134" s="3084">
        <f>ROUND(N76*$Q$61*$Q$89*365/1000*(1+($L$89*($Q$68-1))*$Q$69),2)</f>
        <v>288.70999999999998</v>
      </c>
      <c r="R134" s="3084"/>
      <c r="S134" s="3084"/>
      <c r="T134" s="3084"/>
      <c r="U134" s="3084"/>
      <c r="V134" s="3084"/>
      <c r="W134" s="3084"/>
      <c r="X134" s="3084"/>
      <c r="Y134" s="3085">
        <f>ROUND(Q134*$AA$89+$Q185*($V$89-$AA$89),2)</f>
        <v>2008.52</v>
      </c>
      <c r="Z134" s="3085"/>
      <c r="AA134" s="3085"/>
      <c r="AB134" s="3085"/>
      <c r="AC134" s="3085"/>
      <c r="AD134" s="3085"/>
      <c r="AE134" s="3085"/>
      <c r="AF134" s="3086"/>
    </row>
    <row r="135" spans="1:32" x14ac:dyDescent="0.3">
      <c r="A135" s="3197" t="s">
        <v>4915</v>
      </c>
      <c r="B135" s="3096"/>
      <c r="C135" s="3096"/>
      <c r="D135" s="3096"/>
      <c r="E135" s="3096"/>
      <c r="F135" s="3096"/>
      <c r="G135" s="3096"/>
      <c r="H135" s="3097"/>
      <c r="I135" s="3083">
        <v>0</v>
      </c>
      <c r="J135" s="3083"/>
      <c r="K135" s="3083"/>
      <c r="L135" s="3083"/>
      <c r="M135" s="3083"/>
      <c r="N135" s="3083"/>
      <c r="O135" s="3083"/>
      <c r="P135" s="3083"/>
      <c r="Q135" s="3084">
        <f>ROUND(N77*$Q$61*$Q$89*365/1000*(1+($L$89*($Q$68-1))*$Q$69),2)</f>
        <v>132.03</v>
      </c>
      <c r="R135" s="3084"/>
      <c r="S135" s="3084"/>
      <c r="T135" s="3084"/>
      <c r="U135" s="3084"/>
      <c r="V135" s="3084"/>
      <c r="W135" s="3084"/>
      <c r="X135" s="3084"/>
      <c r="Y135" s="3198">
        <f>ROUND(Q135*$AA$89+$Q186*($V$89-$AA$89),2)</f>
        <v>913.74</v>
      </c>
      <c r="Z135" s="3199"/>
      <c r="AA135" s="3199"/>
      <c r="AB135" s="3199"/>
      <c r="AC135" s="3199"/>
      <c r="AD135" s="3199"/>
      <c r="AE135" s="3199"/>
      <c r="AF135" s="3200"/>
    </row>
    <row r="136" spans="1:32" ht="15" thickBot="1" x14ac:dyDescent="0.35">
      <c r="A136" s="3191" t="s">
        <v>4916</v>
      </c>
      <c r="B136" s="3192"/>
      <c r="C136" s="3192"/>
      <c r="D136" s="3192"/>
      <c r="E136" s="3192"/>
      <c r="F136" s="3192"/>
      <c r="G136" s="3192"/>
      <c r="H136" s="3193"/>
      <c r="I136" s="2756">
        <v>0</v>
      </c>
      <c r="J136" s="2756"/>
      <c r="K136" s="2756"/>
      <c r="L136" s="2756"/>
      <c r="M136" s="2756"/>
      <c r="N136" s="2756"/>
      <c r="O136" s="2756"/>
      <c r="P136" s="2756"/>
      <c r="Q136" s="3194">
        <f>ROUND(N78*$Q$61*$Q$89*365/1000*(1+($L$89*($Q$68-1))*$Q$69),2)</f>
        <v>67.430000000000007</v>
      </c>
      <c r="R136" s="3194"/>
      <c r="S136" s="3194"/>
      <c r="T136" s="3194"/>
      <c r="U136" s="3194"/>
      <c r="V136" s="3194"/>
      <c r="W136" s="3194"/>
      <c r="X136" s="3194"/>
      <c r="Y136" s="3111">
        <f>ROUND(Q136*$AA$89+$Q187*($V$89-$AA$89),2)</f>
        <v>444.25</v>
      </c>
      <c r="Z136" s="3112"/>
      <c r="AA136" s="3112"/>
      <c r="AB136" s="3112"/>
      <c r="AC136" s="3112"/>
      <c r="AD136" s="3112"/>
      <c r="AE136" s="3112"/>
      <c r="AF136" s="3114"/>
    </row>
    <row r="138" spans="1:32" ht="15" thickBot="1" x14ac:dyDescent="0.35">
      <c r="A138" s="3196" t="s">
        <v>4933</v>
      </c>
      <c r="B138" s="2896"/>
      <c r="C138" s="2896"/>
      <c r="D138" s="2896"/>
      <c r="E138" s="2896"/>
      <c r="F138" s="2896"/>
      <c r="G138" s="2896"/>
      <c r="H138" s="2896"/>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96"/>
      <c r="AD138" s="2896"/>
      <c r="AE138" s="2896"/>
      <c r="AF138" s="2896"/>
    </row>
    <row r="139" spans="1:32" ht="15" thickBot="1" x14ac:dyDescent="0.35">
      <c r="A139" s="3101" t="s">
        <v>15</v>
      </c>
      <c r="B139" s="3102"/>
      <c r="C139" s="3102"/>
      <c r="D139" s="3102"/>
      <c r="E139" s="3102"/>
      <c r="F139" s="3102"/>
      <c r="G139" s="3102"/>
      <c r="H139" s="3102"/>
      <c r="I139" s="3102" t="s">
        <v>16</v>
      </c>
      <c r="J139" s="3102"/>
      <c r="K139" s="3102"/>
      <c r="L139" s="3102"/>
      <c r="M139" s="3102"/>
      <c r="N139" s="3102"/>
      <c r="O139" s="3102"/>
      <c r="P139" s="3102"/>
      <c r="Q139" s="3102" t="s">
        <v>17</v>
      </c>
      <c r="R139" s="3102"/>
      <c r="S139" s="3102"/>
      <c r="T139" s="3102"/>
      <c r="U139" s="3102"/>
      <c r="V139" s="3102"/>
      <c r="W139" s="3102"/>
      <c r="X139" s="3102"/>
      <c r="Y139" s="3102" t="s">
        <v>1826</v>
      </c>
      <c r="Z139" s="3102"/>
      <c r="AA139" s="3102"/>
      <c r="AB139" s="3102"/>
      <c r="AC139" s="3102"/>
      <c r="AD139" s="3102"/>
      <c r="AE139" s="3102"/>
      <c r="AF139" s="3103"/>
    </row>
    <row r="140" spans="1:32" x14ac:dyDescent="0.3">
      <c r="A140" s="3197" t="s">
        <v>4914</v>
      </c>
      <c r="B140" s="3096"/>
      <c r="C140" s="3096"/>
      <c r="D140" s="3096"/>
      <c r="E140" s="3096"/>
      <c r="F140" s="3096"/>
      <c r="G140" s="3096"/>
      <c r="H140" s="3097"/>
      <c r="I140" s="3083">
        <v>0</v>
      </c>
      <c r="J140" s="3083"/>
      <c r="K140" s="3083"/>
      <c r="L140" s="3083"/>
      <c r="M140" s="3083"/>
      <c r="N140" s="3083"/>
      <c r="O140" s="3083"/>
      <c r="P140" s="3083"/>
      <c r="Q140" s="3084">
        <f>ROUND(R76*$Q$61*$Q$88*365/1000*(1+($L$88*($Q$68-1))*$Q$69),2)</f>
        <v>120.7</v>
      </c>
      <c r="R140" s="3084"/>
      <c r="S140" s="3084"/>
      <c r="T140" s="3084"/>
      <c r="U140" s="3084"/>
      <c r="V140" s="3084"/>
      <c r="W140" s="3084"/>
      <c r="X140" s="3084"/>
      <c r="Y140" s="3085">
        <f>ROUND(Q140*$AA$88+$Q191*($V$88-$AA$88),2)</f>
        <v>946.42</v>
      </c>
      <c r="Z140" s="3085"/>
      <c r="AA140" s="3085"/>
      <c r="AB140" s="3085"/>
      <c r="AC140" s="3085"/>
      <c r="AD140" s="3085"/>
      <c r="AE140" s="3085"/>
      <c r="AF140" s="3086"/>
    </row>
    <row r="141" spans="1:32" x14ac:dyDescent="0.3">
      <c r="A141" s="3197" t="s">
        <v>4915</v>
      </c>
      <c r="B141" s="3096"/>
      <c r="C141" s="3096"/>
      <c r="D141" s="3096"/>
      <c r="E141" s="3096"/>
      <c r="F141" s="3096"/>
      <c r="G141" s="3096"/>
      <c r="H141" s="3097"/>
      <c r="I141" s="3083">
        <v>0</v>
      </c>
      <c r="J141" s="3083"/>
      <c r="K141" s="3083"/>
      <c r="L141" s="3083"/>
      <c r="M141" s="3083"/>
      <c r="N141" s="3083"/>
      <c r="O141" s="3083"/>
      <c r="P141" s="3083"/>
      <c r="Q141" s="3084">
        <f>ROUND(R77*$Q$61*$Q$88*365/1000*(1+($L$88*($Q$68-1))*$Q$69),2)</f>
        <v>53.08</v>
      </c>
      <c r="R141" s="3084"/>
      <c r="S141" s="3084"/>
      <c r="T141" s="3084"/>
      <c r="U141" s="3084"/>
      <c r="V141" s="3084"/>
      <c r="W141" s="3084"/>
      <c r="X141" s="3084"/>
      <c r="Y141" s="3085">
        <f>ROUND(Q141*$AA$88+$Q192*($V$88-$AA$88),2)</f>
        <v>402.89</v>
      </c>
      <c r="Z141" s="3085"/>
      <c r="AA141" s="3085"/>
      <c r="AB141" s="3085"/>
      <c r="AC141" s="3085"/>
      <c r="AD141" s="3085"/>
      <c r="AE141" s="3085"/>
      <c r="AF141" s="3086"/>
    </row>
    <row r="142" spans="1:32" ht="15" thickBot="1" x14ac:dyDescent="0.35">
      <c r="A142" s="3191" t="s">
        <v>4916</v>
      </c>
      <c r="B142" s="3192"/>
      <c r="C142" s="3192"/>
      <c r="D142" s="3192"/>
      <c r="E142" s="3192"/>
      <c r="F142" s="3192"/>
      <c r="G142" s="3192"/>
      <c r="H142" s="3193"/>
      <c r="I142" s="2756">
        <v>0</v>
      </c>
      <c r="J142" s="2756"/>
      <c r="K142" s="2756"/>
      <c r="L142" s="2756"/>
      <c r="M142" s="2756"/>
      <c r="N142" s="2756"/>
      <c r="O142" s="2756"/>
      <c r="P142" s="2756"/>
      <c r="Q142" s="2758">
        <f>ROUND(R78*$Q$61*$Q$88*365/1000*(1+($L$88*($Q$68-1))*$Q$69),2)</f>
        <v>26.54</v>
      </c>
      <c r="R142" s="3124"/>
      <c r="S142" s="3124"/>
      <c r="T142" s="3124"/>
      <c r="U142" s="3124"/>
      <c r="V142" s="3124"/>
      <c r="W142" s="3124"/>
      <c r="X142" s="3125"/>
      <c r="Y142" s="3136">
        <f>ROUND(Q142*$AA$88+$Q193*($V$88-$AA$88),2)</f>
        <v>201.44</v>
      </c>
      <c r="Z142" s="3136"/>
      <c r="AA142" s="3136"/>
      <c r="AB142" s="3136"/>
      <c r="AC142" s="3136"/>
      <c r="AD142" s="3136"/>
      <c r="AE142" s="3136"/>
      <c r="AF142" s="3137"/>
    </row>
    <row r="144" spans="1:32" ht="15" thickBot="1" x14ac:dyDescent="0.35">
      <c r="A144" s="3196" t="s">
        <v>4934</v>
      </c>
      <c r="B144" s="2896"/>
      <c r="C144" s="2896"/>
      <c r="D144" s="2896"/>
      <c r="E144" s="2896"/>
      <c r="F144" s="2896"/>
      <c r="G144" s="2896"/>
      <c r="H144" s="2896"/>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96"/>
      <c r="AD144" s="2896"/>
      <c r="AE144" s="2896"/>
      <c r="AF144" s="2896"/>
    </row>
    <row r="145" spans="1:32" ht="15" thickBot="1" x14ac:dyDescent="0.35">
      <c r="A145" s="3101" t="s">
        <v>15</v>
      </c>
      <c r="B145" s="3102"/>
      <c r="C145" s="3102"/>
      <c r="D145" s="3102"/>
      <c r="E145" s="3102"/>
      <c r="F145" s="3102"/>
      <c r="G145" s="3102"/>
      <c r="H145" s="3102"/>
      <c r="I145" s="3102" t="s">
        <v>16</v>
      </c>
      <c r="J145" s="3102"/>
      <c r="K145" s="3102"/>
      <c r="L145" s="3102"/>
      <c r="M145" s="3102"/>
      <c r="N145" s="3102"/>
      <c r="O145" s="3102"/>
      <c r="P145" s="3102"/>
      <c r="Q145" s="3102" t="s">
        <v>17</v>
      </c>
      <c r="R145" s="3102"/>
      <c r="S145" s="3102"/>
      <c r="T145" s="3102"/>
      <c r="U145" s="3102"/>
      <c r="V145" s="3102"/>
      <c r="W145" s="3102"/>
      <c r="X145" s="3102"/>
      <c r="Y145" s="3102" t="s">
        <v>1826</v>
      </c>
      <c r="Z145" s="3102"/>
      <c r="AA145" s="3102"/>
      <c r="AB145" s="3102"/>
      <c r="AC145" s="3102"/>
      <c r="AD145" s="3102"/>
      <c r="AE145" s="3102"/>
      <c r="AF145" s="3103"/>
    </row>
    <row r="146" spans="1:32" x14ac:dyDescent="0.3">
      <c r="A146" s="3197" t="s">
        <v>4914</v>
      </c>
      <c r="B146" s="3096"/>
      <c r="C146" s="3096"/>
      <c r="D146" s="3096"/>
      <c r="E146" s="3096"/>
      <c r="F146" s="3096"/>
      <c r="G146" s="3096"/>
      <c r="H146" s="3097"/>
      <c r="I146" s="3083">
        <v>0</v>
      </c>
      <c r="J146" s="3083"/>
      <c r="K146" s="3083"/>
      <c r="L146" s="3083"/>
      <c r="M146" s="3083"/>
      <c r="N146" s="3083"/>
      <c r="O146" s="3083"/>
      <c r="P146" s="3083"/>
      <c r="Q146" s="3084">
        <f>ROUND(R76*$Q$61*$Q$89*365/1000*(1+($L$89*($Q$68-1))*$Q$69),2)</f>
        <v>213.92</v>
      </c>
      <c r="R146" s="3084"/>
      <c r="S146" s="3084"/>
      <c r="T146" s="3084"/>
      <c r="U146" s="3084"/>
      <c r="V146" s="3084"/>
      <c r="W146" s="3084"/>
      <c r="X146" s="3084"/>
      <c r="Y146" s="3085">
        <f>ROUND(Q146*$AA$89+$Q197*($V$89-$AA$89),2)</f>
        <v>1492.6</v>
      </c>
      <c r="Z146" s="3085"/>
      <c r="AA146" s="3085"/>
      <c r="AB146" s="3085"/>
      <c r="AC146" s="3085"/>
      <c r="AD146" s="3085"/>
      <c r="AE146" s="3085"/>
      <c r="AF146" s="3086"/>
    </row>
    <row r="147" spans="1:32" x14ac:dyDescent="0.3">
      <c r="A147" s="3197" t="s">
        <v>4915</v>
      </c>
      <c r="B147" s="3096"/>
      <c r="C147" s="3096"/>
      <c r="D147" s="3096"/>
      <c r="E147" s="3096"/>
      <c r="F147" s="3096"/>
      <c r="G147" s="3096"/>
      <c r="H147" s="3097"/>
      <c r="I147" s="3083">
        <v>0</v>
      </c>
      <c r="J147" s="3083"/>
      <c r="K147" s="3083"/>
      <c r="L147" s="3083"/>
      <c r="M147" s="3083"/>
      <c r="N147" s="3083"/>
      <c r="O147" s="3083"/>
      <c r="P147" s="3083"/>
      <c r="Q147" s="3084">
        <f>ROUND(R77*$Q$61*$Q$89*365/1000*(1+($L$89*($Q$68-1))*$Q$69),2)</f>
        <v>94.07</v>
      </c>
      <c r="R147" s="3084"/>
      <c r="S147" s="3084"/>
      <c r="T147" s="3084"/>
      <c r="U147" s="3084"/>
      <c r="V147" s="3084"/>
      <c r="W147" s="3084"/>
      <c r="X147" s="3084"/>
      <c r="Y147" s="3085">
        <f t="shared" ref="Y147:Y148" si="0">ROUND(Q147*$AA$89+$Q198*($V$89-$AA$89),2)</f>
        <v>623.34</v>
      </c>
      <c r="Z147" s="3085"/>
      <c r="AA147" s="3085"/>
      <c r="AB147" s="3085"/>
      <c r="AC147" s="3085"/>
      <c r="AD147" s="3085"/>
      <c r="AE147" s="3085"/>
      <c r="AF147" s="3086"/>
    </row>
    <row r="148" spans="1:32" ht="15" thickBot="1" x14ac:dyDescent="0.35">
      <c r="A148" s="3191" t="s">
        <v>4916</v>
      </c>
      <c r="B148" s="3192"/>
      <c r="C148" s="3192"/>
      <c r="D148" s="3192"/>
      <c r="E148" s="3192"/>
      <c r="F148" s="3192"/>
      <c r="G148" s="3192"/>
      <c r="H148" s="3193"/>
      <c r="I148" s="2756">
        <v>0</v>
      </c>
      <c r="J148" s="2756"/>
      <c r="K148" s="2756"/>
      <c r="L148" s="2756"/>
      <c r="M148" s="2756"/>
      <c r="N148" s="2756"/>
      <c r="O148" s="2756"/>
      <c r="P148" s="2756"/>
      <c r="Q148" s="3194">
        <f>ROUND(R78*$Q$61*$Q$89*365/1000*(1+($L$89*($Q$68-1))*$Q$69),2)</f>
        <v>47.03</v>
      </c>
      <c r="R148" s="3194"/>
      <c r="S148" s="3194"/>
      <c r="T148" s="3194"/>
      <c r="U148" s="3194"/>
      <c r="V148" s="3194"/>
      <c r="W148" s="3194"/>
      <c r="X148" s="3194"/>
      <c r="Y148" s="3136">
        <f t="shared" si="0"/>
        <v>311.66000000000003</v>
      </c>
      <c r="Z148" s="3136"/>
      <c r="AA148" s="3136"/>
      <c r="AB148" s="3136"/>
      <c r="AC148" s="3136"/>
      <c r="AD148" s="3136"/>
      <c r="AE148" s="3136"/>
      <c r="AF148" s="3137"/>
    </row>
    <row r="153" spans="1:32" x14ac:dyDescent="0.3">
      <c r="A153" s="1053" t="s">
        <v>4562</v>
      </c>
      <c r="B153" s="1054"/>
      <c r="C153" s="1054"/>
      <c r="D153" s="1054"/>
      <c r="E153" s="1054"/>
      <c r="F153" s="1054"/>
      <c r="G153" s="1054"/>
      <c r="H153" s="1054"/>
      <c r="I153" s="1054"/>
      <c r="J153" s="1054"/>
      <c r="K153" s="1054"/>
      <c r="L153" s="1054"/>
      <c r="M153" s="1054"/>
      <c r="N153" s="1054"/>
      <c r="O153" s="1054"/>
      <c r="P153" s="1054"/>
      <c r="Q153" s="1054"/>
      <c r="R153" s="1054"/>
      <c r="S153" s="1054"/>
      <c r="T153" s="1054"/>
      <c r="U153" s="1054"/>
      <c r="V153" s="1054"/>
      <c r="W153" s="1054"/>
      <c r="X153" s="1054"/>
      <c r="Y153" s="1054"/>
      <c r="Z153" s="1054"/>
      <c r="AA153" s="1054"/>
      <c r="AB153" s="1054"/>
      <c r="AC153" s="1054"/>
      <c r="AD153" s="1054"/>
      <c r="AE153" s="1054"/>
      <c r="AF153" s="1055"/>
    </row>
    <row r="155" spans="1:32" x14ac:dyDescent="0.3">
      <c r="B155" s="498" t="s">
        <v>4926</v>
      </c>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row>
    <row r="156" spans="1:32" ht="15" thickBot="1" x14ac:dyDescent="0.35"/>
    <row r="157" spans="1:32" ht="15" thickBot="1" x14ac:dyDescent="0.35">
      <c r="A157" s="3101" t="s">
        <v>15</v>
      </c>
      <c r="B157" s="3102"/>
      <c r="C157" s="3102"/>
      <c r="D157" s="3102"/>
      <c r="E157" s="3102"/>
      <c r="F157" s="3102"/>
      <c r="G157" s="3102"/>
      <c r="H157" s="3102"/>
      <c r="I157" s="3102" t="s">
        <v>16</v>
      </c>
      <c r="J157" s="3102"/>
      <c r="K157" s="3102"/>
      <c r="L157" s="3102"/>
      <c r="M157" s="3102"/>
      <c r="N157" s="3102"/>
      <c r="O157" s="3102"/>
      <c r="P157" s="3102"/>
      <c r="Q157" s="3102" t="s">
        <v>17</v>
      </c>
      <c r="R157" s="3102"/>
      <c r="S157" s="3102"/>
      <c r="T157" s="3102"/>
      <c r="U157" s="3102"/>
      <c r="V157" s="3102"/>
      <c r="W157" s="3102"/>
      <c r="X157" s="3102"/>
      <c r="Y157" s="3102" t="s">
        <v>1826</v>
      </c>
      <c r="Z157" s="3102"/>
      <c r="AA157" s="3102"/>
      <c r="AB157" s="3102"/>
      <c r="AC157" s="3102"/>
      <c r="AD157" s="3102"/>
      <c r="AE157" s="3102"/>
      <c r="AF157" s="3103"/>
    </row>
    <row r="158" spans="1:32" x14ac:dyDescent="0.3">
      <c r="A158" s="3197" t="s">
        <v>4914</v>
      </c>
      <c r="B158" s="3096"/>
      <c r="C158" s="3096"/>
      <c r="D158" s="3096"/>
      <c r="E158" s="3096"/>
      <c r="F158" s="3096"/>
      <c r="G158" s="3096"/>
      <c r="H158" s="3097"/>
      <c r="I158" s="3083">
        <v>0</v>
      </c>
      <c r="J158" s="3083"/>
      <c r="K158" s="3083"/>
      <c r="L158" s="3083"/>
      <c r="M158" s="3083"/>
      <c r="N158" s="3083"/>
      <c r="O158" s="3083"/>
      <c r="P158" s="3083"/>
      <c r="Q158" s="3084">
        <f>ROUND((Q167*$N$94)+(Q173*$N$97)+(Q179*$N$96)+(Q191*$N$95),2)</f>
        <v>92.95</v>
      </c>
      <c r="R158" s="3084"/>
      <c r="S158" s="3084"/>
      <c r="T158" s="3084"/>
      <c r="U158" s="3084"/>
      <c r="V158" s="3084"/>
      <c r="W158" s="3084"/>
      <c r="X158" s="3084"/>
      <c r="Y158" s="3085">
        <f>ROUND(Q158*$V$88,2)</f>
        <v>929.5</v>
      </c>
      <c r="Z158" s="3085"/>
      <c r="AA158" s="3085"/>
      <c r="AB158" s="3085"/>
      <c r="AC158" s="3085"/>
      <c r="AD158" s="3085"/>
      <c r="AE158" s="3085"/>
      <c r="AF158" s="3086"/>
    </row>
    <row r="159" spans="1:32" x14ac:dyDescent="0.3">
      <c r="A159" s="3197" t="s">
        <v>4915</v>
      </c>
      <c r="B159" s="3096"/>
      <c r="C159" s="3096"/>
      <c r="D159" s="3096"/>
      <c r="E159" s="3096"/>
      <c r="F159" s="3096"/>
      <c r="G159" s="3096"/>
      <c r="H159" s="3097"/>
      <c r="I159" s="3083">
        <v>0</v>
      </c>
      <c r="J159" s="3083"/>
      <c r="K159" s="3083"/>
      <c r="L159" s="3083"/>
      <c r="M159" s="3083"/>
      <c r="N159" s="3083"/>
      <c r="O159" s="3083"/>
      <c r="P159" s="3083"/>
      <c r="Q159" s="3084">
        <f>ROUND((Q168*$N$94)+(Q174*$N$97)+(Q180*$N$96)+(Q192*$N$95),2)</f>
        <v>39.479999999999997</v>
      </c>
      <c r="R159" s="3084"/>
      <c r="S159" s="3084"/>
      <c r="T159" s="3084"/>
      <c r="U159" s="3084"/>
      <c r="V159" s="3084"/>
      <c r="W159" s="3084"/>
      <c r="X159" s="3084"/>
      <c r="Y159" s="3085">
        <f t="shared" ref="Y159:Y160" si="1">ROUND(Q159*$V$88,2)</f>
        <v>394.8</v>
      </c>
      <c r="Z159" s="3085"/>
      <c r="AA159" s="3085"/>
      <c r="AB159" s="3085"/>
      <c r="AC159" s="3085"/>
      <c r="AD159" s="3085"/>
      <c r="AE159" s="3085"/>
      <c r="AF159" s="3086"/>
    </row>
    <row r="160" spans="1:32" ht="15" thickBot="1" x14ac:dyDescent="0.35">
      <c r="A160" s="3191" t="s">
        <v>4916</v>
      </c>
      <c r="B160" s="3192"/>
      <c r="C160" s="3192"/>
      <c r="D160" s="3192"/>
      <c r="E160" s="3192"/>
      <c r="F160" s="3192"/>
      <c r="G160" s="3192"/>
      <c r="H160" s="3193"/>
      <c r="I160" s="2756">
        <v>0</v>
      </c>
      <c r="J160" s="2756"/>
      <c r="K160" s="2756"/>
      <c r="L160" s="2756"/>
      <c r="M160" s="2756"/>
      <c r="N160" s="2756"/>
      <c r="O160" s="2756"/>
      <c r="P160" s="2756"/>
      <c r="Q160" s="3194">
        <f>ROUND((Q169*$N$94)+(Q175*$N$97)+(Q181*$N$96)+(Q193*$N$95),2)</f>
        <v>19.55</v>
      </c>
      <c r="R160" s="3194"/>
      <c r="S160" s="3194"/>
      <c r="T160" s="3194"/>
      <c r="U160" s="3194"/>
      <c r="V160" s="3194"/>
      <c r="W160" s="3194"/>
      <c r="X160" s="3194"/>
      <c r="Y160" s="3136">
        <f t="shared" si="1"/>
        <v>195.5</v>
      </c>
      <c r="Z160" s="3136"/>
      <c r="AA160" s="3136"/>
      <c r="AB160" s="3136"/>
      <c r="AC160" s="3136"/>
      <c r="AD160" s="3136"/>
      <c r="AE160" s="3136"/>
      <c r="AF160" s="3137"/>
    </row>
    <row r="161" spans="1:32" x14ac:dyDescent="0.3">
      <c r="B161" s="94" t="s">
        <v>4927</v>
      </c>
    </row>
    <row r="163" spans="1:32" ht="30" customHeight="1" x14ac:dyDescent="0.3">
      <c r="B163" s="3195" t="s">
        <v>4928</v>
      </c>
      <c r="C163" s="3195"/>
      <c r="D163" s="3195"/>
      <c r="E163" s="3195"/>
      <c r="F163" s="3195"/>
      <c r="G163" s="3195"/>
      <c r="H163" s="3195"/>
      <c r="I163" s="3195"/>
      <c r="J163" s="3195"/>
      <c r="K163" s="3195"/>
      <c r="L163" s="3195"/>
      <c r="M163" s="3195"/>
      <c r="N163" s="3195"/>
      <c r="O163" s="3195"/>
      <c r="P163" s="3195"/>
      <c r="Q163" s="3195"/>
      <c r="R163" s="3195"/>
      <c r="S163" s="3195"/>
      <c r="T163" s="3195"/>
      <c r="U163" s="3195"/>
      <c r="V163" s="3195"/>
      <c r="W163" s="3195"/>
      <c r="X163" s="3195"/>
      <c r="Y163" s="3195"/>
      <c r="Z163" s="3195"/>
      <c r="AA163" s="3195"/>
      <c r="AB163" s="3195"/>
      <c r="AC163" s="3195"/>
      <c r="AD163" s="3195"/>
      <c r="AE163" s="3195"/>
      <c r="AF163" s="3195"/>
    </row>
    <row r="165" spans="1:32" ht="15" thickBot="1" x14ac:dyDescent="0.35">
      <c r="A165" s="3196" t="s">
        <v>4929</v>
      </c>
      <c r="B165" s="2896"/>
      <c r="C165" s="2896"/>
      <c r="D165" s="2896"/>
      <c r="E165" s="2896"/>
      <c r="F165" s="2896"/>
      <c r="G165" s="2896"/>
      <c r="H165" s="2896"/>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96"/>
      <c r="AD165" s="2896"/>
      <c r="AE165" s="2896"/>
      <c r="AF165" s="2896"/>
    </row>
    <row r="166" spans="1:32" ht="15" thickBot="1" x14ac:dyDescent="0.35">
      <c r="A166" s="3101" t="s">
        <v>15</v>
      </c>
      <c r="B166" s="3102"/>
      <c r="C166" s="3102"/>
      <c r="D166" s="3102"/>
      <c r="E166" s="3102"/>
      <c r="F166" s="3102"/>
      <c r="G166" s="3102"/>
      <c r="H166" s="3102"/>
      <c r="I166" s="3102" t="s">
        <v>16</v>
      </c>
      <c r="J166" s="3102"/>
      <c r="K166" s="3102"/>
      <c r="L166" s="3102"/>
      <c r="M166" s="3102"/>
      <c r="N166" s="3102"/>
      <c r="O166" s="3102"/>
      <c r="P166" s="3102"/>
      <c r="Q166" s="3102" t="s">
        <v>17</v>
      </c>
      <c r="R166" s="3102"/>
      <c r="S166" s="3102"/>
      <c r="T166" s="3102"/>
      <c r="U166" s="3102"/>
      <c r="V166" s="3102"/>
      <c r="W166" s="3102"/>
      <c r="X166" s="3102"/>
      <c r="Y166" s="3102" t="s">
        <v>1826</v>
      </c>
      <c r="Z166" s="3102"/>
      <c r="AA166" s="3102"/>
      <c r="AB166" s="3102"/>
      <c r="AC166" s="3102"/>
      <c r="AD166" s="3102"/>
      <c r="AE166" s="3102"/>
      <c r="AF166" s="3103"/>
    </row>
    <row r="167" spans="1:32" x14ac:dyDescent="0.3">
      <c r="A167" s="3197" t="s">
        <v>4914</v>
      </c>
      <c r="B167" s="3096"/>
      <c r="C167" s="3096"/>
      <c r="D167" s="3096"/>
      <c r="E167" s="3096"/>
      <c r="F167" s="3096"/>
      <c r="G167" s="3096"/>
      <c r="H167" s="3097"/>
      <c r="I167" s="3083">
        <v>0</v>
      </c>
      <c r="J167" s="3083"/>
      <c r="K167" s="3083"/>
      <c r="L167" s="3083"/>
      <c r="M167" s="3083"/>
      <c r="N167" s="3083"/>
      <c r="O167" s="3083"/>
      <c r="P167" s="3083"/>
      <c r="Q167" s="3084">
        <f>J82*$Q$61*$Q$88*365/1000*(1+($L$88*($Q$68-1))*$Q$69)</f>
        <v>97.360830000000021</v>
      </c>
      <c r="R167" s="3084"/>
      <c r="S167" s="3084"/>
      <c r="T167" s="3084"/>
      <c r="U167" s="3084"/>
      <c r="V167" s="3084"/>
      <c r="W167" s="3084"/>
      <c r="X167" s="3084"/>
      <c r="Y167" s="3085">
        <f>Q167*$V$88</f>
        <v>973.60830000000021</v>
      </c>
      <c r="Z167" s="3085"/>
      <c r="AA167" s="3085"/>
      <c r="AB167" s="3085"/>
      <c r="AC167" s="3085"/>
      <c r="AD167" s="3085"/>
      <c r="AE167" s="3085"/>
      <c r="AF167" s="3086"/>
    </row>
    <row r="168" spans="1:32" x14ac:dyDescent="0.3">
      <c r="A168" s="3197" t="s">
        <v>4915</v>
      </c>
      <c r="B168" s="3096"/>
      <c r="C168" s="3096"/>
      <c r="D168" s="3096"/>
      <c r="E168" s="3096"/>
      <c r="F168" s="3096"/>
      <c r="G168" s="3096"/>
      <c r="H168" s="3097"/>
      <c r="I168" s="3083">
        <v>0</v>
      </c>
      <c r="J168" s="3083"/>
      <c r="K168" s="3083"/>
      <c r="L168" s="3083"/>
      <c r="M168" s="3083"/>
      <c r="N168" s="3083"/>
      <c r="O168" s="3083"/>
      <c r="P168" s="3083"/>
      <c r="Q168" s="3084">
        <f>J83*$Q$61*$Q$88*365/1000*(1+($L$88*($Q$68-1))*$Q$69)</f>
        <v>41.246460000000006</v>
      </c>
      <c r="R168" s="3084"/>
      <c r="S168" s="3084"/>
      <c r="T168" s="3084"/>
      <c r="U168" s="3084"/>
      <c r="V168" s="3084"/>
      <c r="W168" s="3084"/>
      <c r="X168" s="3084"/>
      <c r="Y168" s="3085">
        <f t="shared" ref="Y168:Y169" si="2">Q168*$V$88</f>
        <v>412.46460000000008</v>
      </c>
      <c r="Z168" s="3085"/>
      <c r="AA168" s="3085"/>
      <c r="AB168" s="3085"/>
      <c r="AC168" s="3085"/>
      <c r="AD168" s="3085"/>
      <c r="AE168" s="3085"/>
      <c r="AF168" s="3086"/>
    </row>
    <row r="169" spans="1:32" ht="15" thickBot="1" x14ac:dyDescent="0.35">
      <c r="A169" s="3191" t="s">
        <v>4916</v>
      </c>
      <c r="B169" s="3192"/>
      <c r="C169" s="3192"/>
      <c r="D169" s="3192"/>
      <c r="E169" s="3192"/>
      <c r="F169" s="3192"/>
      <c r="G169" s="3192"/>
      <c r="H169" s="3193"/>
      <c r="I169" s="2756">
        <v>0</v>
      </c>
      <c r="J169" s="2756"/>
      <c r="K169" s="2756"/>
      <c r="L169" s="2756"/>
      <c r="M169" s="2756"/>
      <c r="N169" s="2756"/>
      <c r="O169" s="2756"/>
      <c r="P169" s="2756"/>
      <c r="Q169" s="3194">
        <f>J84*$Q$61*$Q$88*365/1000*(1+($L$88*($Q$68-1))*$Q$69)</f>
        <v>20.623230000000003</v>
      </c>
      <c r="R169" s="3194"/>
      <c r="S169" s="3194"/>
      <c r="T169" s="3194"/>
      <c r="U169" s="3194"/>
      <c r="V169" s="3194"/>
      <c r="W169" s="3194"/>
      <c r="X169" s="3194"/>
      <c r="Y169" s="3136">
        <f t="shared" si="2"/>
        <v>206.23230000000004</v>
      </c>
      <c r="Z169" s="3136"/>
      <c r="AA169" s="3136"/>
      <c r="AB169" s="3136"/>
      <c r="AC169" s="3136"/>
      <c r="AD169" s="3136"/>
      <c r="AE169" s="3136"/>
      <c r="AF169" s="3137"/>
    </row>
    <row r="171" spans="1:32" ht="15" thickBot="1" x14ac:dyDescent="0.35">
      <c r="A171" s="3196" t="s">
        <v>4930</v>
      </c>
      <c r="B171" s="2896"/>
      <c r="C171" s="2896"/>
      <c r="D171" s="2896"/>
      <c r="E171" s="2896"/>
      <c r="F171" s="2896"/>
      <c r="G171" s="2896"/>
      <c r="H171" s="2896"/>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96"/>
      <c r="AD171" s="2896"/>
      <c r="AE171" s="2896"/>
      <c r="AF171" s="2896"/>
    </row>
    <row r="172" spans="1:32" ht="15" thickBot="1" x14ac:dyDescent="0.35">
      <c r="A172" s="3101" t="s">
        <v>15</v>
      </c>
      <c r="B172" s="3102"/>
      <c r="C172" s="3102"/>
      <c r="D172" s="3102"/>
      <c r="E172" s="3102"/>
      <c r="F172" s="3102"/>
      <c r="G172" s="3102"/>
      <c r="H172" s="3102"/>
      <c r="I172" s="3102" t="s">
        <v>16</v>
      </c>
      <c r="J172" s="3102"/>
      <c r="K172" s="3102"/>
      <c r="L172" s="3102"/>
      <c r="M172" s="3102"/>
      <c r="N172" s="3102"/>
      <c r="O172" s="3102"/>
      <c r="P172" s="3102"/>
      <c r="Q172" s="3102" t="s">
        <v>17</v>
      </c>
      <c r="R172" s="3102"/>
      <c r="S172" s="3102"/>
      <c r="T172" s="3102"/>
      <c r="U172" s="3102"/>
      <c r="V172" s="3102"/>
      <c r="W172" s="3102"/>
      <c r="X172" s="3102"/>
      <c r="Y172" s="3102" t="s">
        <v>1826</v>
      </c>
      <c r="Z172" s="3102"/>
      <c r="AA172" s="3102"/>
      <c r="AB172" s="3102"/>
      <c r="AC172" s="3102"/>
      <c r="AD172" s="3102"/>
      <c r="AE172" s="3102"/>
      <c r="AF172" s="3103"/>
    </row>
    <row r="173" spans="1:32" x14ac:dyDescent="0.3">
      <c r="A173" s="3201" t="s">
        <v>4914</v>
      </c>
      <c r="B173" s="3202"/>
      <c r="C173" s="3202"/>
      <c r="D173" s="3202"/>
      <c r="E173" s="3202"/>
      <c r="F173" s="3202"/>
      <c r="G173" s="3202"/>
      <c r="H173" s="3203"/>
      <c r="I173" s="3083">
        <v>0</v>
      </c>
      <c r="J173" s="3083"/>
      <c r="K173" s="3083"/>
      <c r="L173" s="3083"/>
      <c r="M173" s="3083"/>
      <c r="N173" s="3083"/>
      <c r="O173" s="3083"/>
      <c r="P173" s="3083"/>
      <c r="Q173" s="3084">
        <f>J82*$Q$61*$Q$89*365/1000*(1+($L$89*($Q$68-1))*$Q$69)</f>
        <v>172.54873124999997</v>
      </c>
      <c r="R173" s="3084"/>
      <c r="S173" s="3084"/>
      <c r="T173" s="3084"/>
      <c r="U173" s="3084"/>
      <c r="V173" s="3084"/>
      <c r="W173" s="3084"/>
      <c r="X173" s="3084"/>
      <c r="Y173" s="3085">
        <f>Q173*$V$88</f>
        <v>1725.4873124999997</v>
      </c>
      <c r="Z173" s="3085"/>
      <c r="AA173" s="3085"/>
      <c r="AB173" s="3085"/>
      <c r="AC173" s="3085"/>
      <c r="AD173" s="3085"/>
      <c r="AE173" s="3085"/>
      <c r="AF173" s="3086"/>
    </row>
    <row r="174" spans="1:32" x14ac:dyDescent="0.3">
      <c r="A174" s="3197" t="s">
        <v>4915</v>
      </c>
      <c r="B174" s="3096"/>
      <c r="C174" s="3096"/>
      <c r="D174" s="3096"/>
      <c r="E174" s="3096"/>
      <c r="F174" s="3096"/>
      <c r="G174" s="3096"/>
      <c r="H174" s="3097"/>
      <c r="I174" s="3083">
        <v>0</v>
      </c>
      <c r="J174" s="3083"/>
      <c r="K174" s="3083"/>
      <c r="L174" s="3083"/>
      <c r="M174" s="3083"/>
      <c r="N174" s="3083"/>
      <c r="O174" s="3083"/>
      <c r="P174" s="3083"/>
      <c r="Q174" s="3204">
        <f>J83*$Q$61*$Q$89*365/1000*(1+($L$89*($Q$68-1))*$Q$69)</f>
        <v>73.099462500000001</v>
      </c>
      <c r="R174" s="3204"/>
      <c r="S174" s="3204"/>
      <c r="T174" s="3204"/>
      <c r="U174" s="3204"/>
      <c r="V174" s="3204"/>
      <c r="W174" s="3204"/>
      <c r="X174" s="3204"/>
      <c r="Y174" s="3085">
        <f t="shared" ref="Y174:Y175" si="3">Q174*$V$88</f>
        <v>730.99462500000004</v>
      </c>
      <c r="Z174" s="3085"/>
      <c r="AA174" s="3085"/>
      <c r="AB174" s="3085"/>
      <c r="AC174" s="3085"/>
      <c r="AD174" s="3085"/>
      <c r="AE174" s="3085"/>
      <c r="AF174" s="3086"/>
    </row>
    <row r="175" spans="1:32" ht="15" thickBot="1" x14ac:dyDescent="0.35">
      <c r="A175" s="3191" t="s">
        <v>4916</v>
      </c>
      <c r="B175" s="3192"/>
      <c r="C175" s="3192"/>
      <c r="D175" s="3192"/>
      <c r="E175" s="3192"/>
      <c r="F175" s="3192"/>
      <c r="G175" s="3192"/>
      <c r="H175" s="3193"/>
      <c r="I175" s="2756">
        <v>0</v>
      </c>
      <c r="J175" s="2756"/>
      <c r="K175" s="2756"/>
      <c r="L175" s="2756"/>
      <c r="M175" s="2756"/>
      <c r="N175" s="2756"/>
      <c r="O175" s="2756"/>
      <c r="P175" s="2756"/>
      <c r="Q175" s="2757">
        <f>J84*$Q$61*$Q$89*365/1000*(1+($L$89*($Q$68-1))*$Q$69)</f>
        <v>36.549731250000001</v>
      </c>
      <c r="R175" s="2757"/>
      <c r="S175" s="2757"/>
      <c r="T175" s="2757"/>
      <c r="U175" s="2757"/>
      <c r="V175" s="2757"/>
      <c r="W175" s="2757"/>
      <c r="X175" s="2757"/>
      <c r="Y175" s="3136">
        <f t="shared" si="3"/>
        <v>365.49731250000002</v>
      </c>
      <c r="Z175" s="3136"/>
      <c r="AA175" s="3136"/>
      <c r="AB175" s="3136"/>
      <c r="AC175" s="3136"/>
      <c r="AD175" s="3136"/>
      <c r="AE175" s="3136"/>
      <c r="AF175" s="3137"/>
    </row>
    <row r="177" spans="1:32" ht="15" thickBot="1" x14ac:dyDescent="0.35">
      <c r="A177" s="3196" t="s">
        <v>4935</v>
      </c>
      <c r="B177" s="2896"/>
      <c r="C177" s="2896"/>
      <c r="D177" s="2896"/>
      <c r="E177" s="2896"/>
      <c r="F177" s="2896"/>
      <c r="G177" s="2896"/>
      <c r="H177" s="2896"/>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96"/>
      <c r="AD177" s="2896"/>
      <c r="AE177" s="2896"/>
      <c r="AF177" s="2896"/>
    </row>
    <row r="178" spans="1:32" ht="15" thickBot="1" x14ac:dyDescent="0.35">
      <c r="A178" s="3101" t="s">
        <v>15</v>
      </c>
      <c r="B178" s="3102"/>
      <c r="C178" s="3102"/>
      <c r="D178" s="3102"/>
      <c r="E178" s="3102"/>
      <c r="F178" s="3102"/>
      <c r="G178" s="3102"/>
      <c r="H178" s="3102"/>
      <c r="I178" s="3102" t="s">
        <v>16</v>
      </c>
      <c r="J178" s="3102"/>
      <c r="K178" s="3102"/>
      <c r="L178" s="3102"/>
      <c r="M178" s="3102"/>
      <c r="N178" s="3102"/>
      <c r="O178" s="3102"/>
      <c r="P178" s="3102"/>
      <c r="Q178" s="3102" t="s">
        <v>17</v>
      </c>
      <c r="R178" s="3102"/>
      <c r="S178" s="3102"/>
      <c r="T178" s="3102"/>
      <c r="U178" s="3102"/>
      <c r="V178" s="3102"/>
      <c r="W178" s="3102"/>
      <c r="X178" s="3102"/>
      <c r="Y178" s="3102" t="s">
        <v>1826</v>
      </c>
      <c r="Z178" s="3102"/>
      <c r="AA178" s="3102"/>
      <c r="AB178" s="3102"/>
      <c r="AC178" s="3102"/>
      <c r="AD178" s="3102"/>
      <c r="AE178" s="3102"/>
      <c r="AF178" s="3103"/>
    </row>
    <row r="179" spans="1:32" x14ac:dyDescent="0.3">
      <c r="A179" s="3197" t="s">
        <v>4914</v>
      </c>
      <c r="B179" s="3096"/>
      <c r="C179" s="3096"/>
      <c r="D179" s="3096"/>
      <c r="E179" s="3096"/>
      <c r="F179" s="3096"/>
      <c r="G179" s="3096"/>
      <c r="H179" s="3097"/>
      <c r="I179" s="3083">
        <v>0</v>
      </c>
      <c r="J179" s="3083"/>
      <c r="K179" s="3083"/>
      <c r="L179" s="3083"/>
      <c r="M179" s="3083"/>
      <c r="N179" s="3083"/>
      <c r="O179" s="3083"/>
      <c r="P179" s="3083"/>
      <c r="Q179" s="3084">
        <f>N82*$Q$61*$Q$88*365/1000*(1+($L$88*($Q$68-1))*$Q$69)</f>
        <v>92.085120000000018</v>
      </c>
      <c r="R179" s="3084"/>
      <c r="S179" s="3084"/>
      <c r="T179" s="3084"/>
      <c r="U179" s="3084"/>
      <c r="V179" s="3084"/>
      <c r="W179" s="3084"/>
      <c r="X179" s="3084"/>
      <c r="Y179" s="3085">
        <f>Q179*$V$88</f>
        <v>920.85120000000018</v>
      </c>
      <c r="Z179" s="3085"/>
      <c r="AA179" s="3085"/>
      <c r="AB179" s="3085"/>
      <c r="AC179" s="3085"/>
      <c r="AD179" s="3085"/>
      <c r="AE179" s="3085"/>
      <c r="AF179" s="3086"/>
    </row>
    <row r="180" spans="1:32" x14ac:dyDescent="0.3">
      <c r="A180" s="3197" t="s">
        <v>4915</v>
      </c>
      <c r="B180" s="3096"/>
      <c r="C180" s="3096"/>
      <c r="D180" s="3096"/>
      <c r="E180" s="3096"/>
      <c r="F180" s="3096"/>
      <c r="G180" s="3096"/>
      <c r="H180" s="3097"/>
      <c r="I180" s="3083">
        <v>0</v>
      </c>
      <c r="J180" s="3083"/>
      <c r="K180" s="3083"/>
      <c r="L180" s="3083"/>
      <c r="M180" s="3083"/>
      <c r="N180" s="3083"/>
      <c r="O180" s="3083"/>
      <c r="P180" s="3083"/>
      <c r="Q180" s="3084">
        <f>N83*$Q$61*$Q$88*365/1000*(1+($L$88*($Q$68-1))*$Q$69)</f>
        <v>41.726070000000007</v>
      </c>
      <c r="R180" s="3084"/>
      <c r="S180" s="3084"/>
      <c r="T180" s="3084"/>
      <c r="U180" s="3084"/>
      <c r="V180" s="3084"/>
      <c r="W180" s="3084"/>
      <c r="X180" s="3084"/>
      <c r="Y180" s="3085">
        <f t="shared" ref="Y180" si="4">Q180*$V$88</f>
        <v>417.26070000000004</v>
      </c>
      <c r="Z180" s="3085"/>
      <c r="AA180" s="3085"/>
      <c r="AB180" s="3085"/>
      <c r="AC180" s="3085"/>
      <c r="AD180" s="3085"/>
      <c r="AE180" s="3085"/>
      <c r="AF180" s="3086"/>
    </row>
    <row r="181" spans="1:32" ht="15" thickBot="1" x14ac:dyDescent="0.35">
      <c r="A181" s="3191" t="s">
        <v>4916</v>
      </c>
      <c r="B181" s="3192"/>
      <c r="C181" s="3192"/>
      <c r="D181" s="3192"/>
      <c r="E181" s="3192"/>
      <c r="F181" s="3192"/>
      <c r="G181" s="3192"/>
      <c r="H181" s="3193"/>
      <c r="I181" s="2756">
        <v>0</v>
      </c>
      <c r="J181" s="2756"/>
      <c r="K181" s="2756"/>
      <c r="L181" s="2756"/>
      <c r="M181" s="2756"/>
      <c r="N181" s="2756"/>
      <c r="O181" s="2756"/>
      <c r="P181" s="2756"/>
      <c r="Q181" s="3194">
        <f>N84*$Q$61*$Q$88*365/1000*(1+($L$88*($Q$68-1))*$Q$69)</f>
        <v>19.504140000000003</v>
      </c>
      <c r="R181" s="3194"/>
      <c r="S181" s="3194"/>
      <c r="T181" s="3194"/>
      <c r="U181" s="3194"/>
      <c r="V181" s="3194"/>
      <c r="W181" s="3194"/>
      <c r="X181" s="3194"/>
      <c r="Y181" s="3136">
        <f>Q181*$V$88</f>
        <v>195.04140000000004</v>
      </c>
      <c r="Z181" s="3136"/>
      <c r="AA181" s="3136"/>
      <c r="AB181" s="3136"/>
      <c r="AC181" s="3136"/>
      <c r="AD181" s="3136"/>
      <c r="AE181" s="3136"/>
      <c r="AF181" s="3137"/>
    </row>
    <row r="183" spans="1:32" ht="15" thickBot="1" x14ac:dyDescent="0.35">
      <c r="A183" s="3196" t="s">
        <v>4932</v>
      </c>
      <c r="B183" s="2896"/>
      <c r="C183" s="2896"/>
      <c r="D183" s="2896"/>
      <c r="E183" s="2896"/>
      <c r="F183" s="2896"/>
      <c r="G183" s="2896"/>
      <c r="H183" s="2896"/>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96"/>
      <c r="AD183" s="2896"/>
      <c r="AE183" s="2896"/>
      <c r="AF183" s="2896"/>
    </row>
    <row r="184" spans="1:32" ht="15" thickBot="1" x14ac:dyDescent="0.35">
      <c r="A184" s="3101" t="s">
        <v>15</v>
      </c>
      <c r="B184" s="3102"/>
      <c r="C184" s="3102"/>
      <c r="D184" s="3102"/>
      <c r="E184" s="3102"/>
      <c r="F184" s="3102"/>
      <c r="G184" s="3102"/>
      <c r="H184" s="3102"/>
      <c r="I184" s="3102" t="s">
        <v>16</v>
      </c>
      <c r="J184" s="3102"/>
      <c r="K184" s="3102"/>
      <c r="L184" s="3102"/>
      <c r="M184" s="3102"/>
      <c r="N184" s="3102"/>
      <c r="O184" s="3102"/>
      <c r="P184" s="3102"/>
      <c r="Q184" s="3102" t="s">
        <v>17</v>
      </c>
      <c r="R184" s="3102"/>
      <c r="S184" s="3102"/>
      <c r="T184" s="3102"/>
      <c r="U184" s="3102"/>
      <c r="V184" s="3102"/>
      <c r="W184" s="3102"/>
      <c r="X184" s="3102"/>
      <c r="Y184" s="3102" t="s">
        <v>1826</v>
      </c>
      <c r="Z184" s="3102"/>
      <c r="AA184" s="3102"/>
      <c r="AB184" s="3102"/>
      <c r="AC184" s="3102"/>
      <c r="AD184" s="3102"/>
      <c r="AE184" s="3102"/>
      <c r="AF184" s="3103"/>
    </row>
    <row r="185" spans="1:32" x14ac:dyDescent="0.3">
      <c r="A185" s="3197" t="s">
        <v>4914</v>
      </c>
      <c r="B185" s="3096"/>
      <c r="C185" s="3096"/>
      <c r="D185" s="3096"/>
      <c r="E185" s="3096"/>
      <c r="F185" s="3096"/>
      <c r="G185" s="3096"/>
      <c r="H185" s="3097"/>
      <c r="I185" s="3083">
        <v>0</v>
      </c>
      <c r="J185" s="3083"/>
      <c r="K185" s="3083"/>
      <c r="L185" s="3083"/>
      <c r="M185" s="3083"/>
      <c r="N185" s="3083"/>
      <c r="O185" s="3083"/>
      <c r="P185" s="3083"/>
      <c r="Q185" s="3084">
        <f>N82*$Q$61*$Q$89*365/1000*(1+($L$89*($Q$68-1))*$Q$69)</f>
        <v>163.19880000000001</v>
      </c>
      <c r="R185" s="3084"/>
      <c r="S185" s="3084"/>
      <c r="T185" s="3084"/>
      <c r="U185" s="3084"/>
      <c r="V185" s="3084"/>
      <c r="W185" s="3084"/>
      <c r="X185" s="3084"/>
      <c r="Y185" s="3085">
        <f>Q185*$V$88</f>
        <v>1631.9880000000001</v>
      </c>
      <c r="Z185" s="3085"/>
      <c r="AA185" s="3085"/>
      <c r="AB185" s="3085"/>
      <c r="AC185" s="3085"/>
      <c r="AD185" s="3085"/>
      <c r="AE185" s="3085"/>
      <c r="AF185" s="3086"/>
    </row>
    <row r="186" spans="1:32" x14ac:dyDescent="0.3">
      <c r="A186" s="3197" t="s">
        <v>4915</v>
      </c>
      <c r="B186" s="3096"/>
      <c r="C186" s="3096"/>
      <c r="D186" s="3096"/>
      <c r="E186" s="3096"/>
      <c r="F186" s="3096"/>
      <c r="G186" s="3096"/>
      <c r="H186" s="3097"/>
      <c r="I186" s="3083">
        <v>0</v>
      </c>
      <c r="J186" s="3083"/>
      <c r="K186" s="3083"/>
      <c r="L186" s="3083"/>
      <c r="M186" s="3083"/>
      <c r="N186" s="3083"/>
      <c r="O186" s="3083"/>
      <c r="P186" s="3083"/>
      <c r="Q186" s="3084">
        <f>N83*$Q$61*$Q$89*365/1000*(1+($L$89*($Q$68-1))*$Q$69)</f>
        <v>73.949456249999997</v>
      </c>
      <c r="R186" s="3084"/>
      <c r="S186" s="3084"/>
      <c r="T186" s="3084"/>
      <c r="U186" s="3084"/>
      <c r="V186" s="3084"/>
      <c r="W186" s="3084"/>
      <c r="X186" s="3084"/>
      <c r="Y186" s="3085">
        <f t="shared" ref="Y186" si="5">Q186*$V$88</f>
        <v>739.49456250000003</v>
      </c>
      <c r="Z186" s="3085"/>
      <c r="AA186" s="3085"/>
      <c r="AB186" s="3085"/>
      <c r="AC186" s="3085"/>
      <c r="AD186" s="3085"/>
      <c r="AE186" s="3085"/>
      <c r="AF186" s="3086"/>
    </row>
    <row r="187" spans="1:32" ht="15" thickBot="1" x14ac:dyDescent="0.35">
      <c r="A187" s="3191" t="s">
        <v>4916</v>
      </c>
      <c r="B187" s="3192"/>
      <c r="C187" s="3192"/>
      <c r="D187" s="3192"/>
      <c r="E187" s="3192"/>
      <c r="F187" s="3192"/>
      <c r="G187" s="3192"/>
      <c r="H187" s="3193"/>
      <c r="I187" s="2756">
        <v>0</v>
      </c>
      <c r="J187" s="2756"/>
      <c r="K187" s="2756"/>
      <c r="L187" s="2756"/>
      <c r="M187" s="2756"/>
      <c r="N187" s="2756"/>
      <c r="O187" s="2756"/>
      <c r="P187" s="2756"/>
      <c r="Q187" s="3194">
        <f>N84*$Q$61*$Q$89*365/1000*(1+($L$89*($Q$68-1))*$Q$69)</f>
        <v>34.566412499999998</v>
      </c>
      <c r="R187" s="3194"/>
      <c r="S187" s="3194"/>
      <c r="T187" s="3194"/>
      <c r="U187" s="3194"/>
      <c r="V187" s="3194"/>
      <c r="W187" s="3194"/>
      <c r="X187" s="3194"/>
      <c r="Y187" s="3136">
        <f>Q187*$V$88</f>
        <v>345.66412500000001</v>
      </c>
      <c r="Z187" s="3136"/>
      <c r="AA187" s="3136"/>
      <c r="AB187" s="3136"/>
      <c r="AC187" s="3136"/>
      <c r="AD187" s="3136"/>
      <c r="AE187" s="3136"/>
      <c r="AF187" s="3137"/>
    </row>
    <row r="189" spans="1:32" ht="15" thickBot="1" x14ac:dyDescent="0.35">
      <c r="A189" s="3196" t="s">
        <v>4933</v>
      </c>
      <c r="B189" s="2896"/>
      <c r="C189" s="2896"/>
      <c r="D189" s="2896"/>
      <c r="E189" s="2896"/>
      <c r="F189" s="2896"/>
      <c r="G189" s="2896"/>
      <c r="H189" s="2896"/>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96"/>
      <c r="AD189" s="2896"/>
      <c r="AE189" s="2896"/>
      <c r="AF189" s="2896"/>
    </row>
    <row r="190" spans="1:32" ht="15" thickBot="1" x14ac:dyDescent="0.35">
      <c r="A190" s="3101" t="s">
        <v>15</v>
      </c>
      <c r="B190" s="3102"/>
      <c r="C190" s="3102"/>
      <c r="D190" s="3102"/>
      <c r="E190" s="3102"/>
      <c r="F190" s="3102"/>
      <c r="G190" s="3102"/>
      <c r="H190" s="3102"/>
      <c r="I190" s="3102" t="s">
        <v>16</v>
      </c>
      <c r="J190" s="3102"/>
      <c r="K190" s="3102"/>
      <c r="L190" s="3102"/>
      <c r="M190" s="3102"/>
      <c r="N190" s="3102"/>
      <c r="O190" s="3102"/>
      <c r="P190" s="3102"/>
      <c r="Q190" s="3102" t="s">
        <v>17</v>
      </c>
      <c r="R190" s="3102"/>
      <c r="S190" s="3102"/>
      <c r="T190" s="3102"/>
      <c r="U190" s="3102"/>
      <c r="V190" s="3102"/>
      <c r="W190" s="3102"/>
      <c r="X190" s="3102"/>
      <c r="Y190" s="3102" t="s">
        <v>1826</v>
      </c>
      <c r="Z190" s="3102"/>
      <c r="AA190" s="3102"/>
      <c r="AB190" s="3102"/>
      <c r="AC190" s="3102"/>
      <c r="AD190" s="3102"/>
      <c r="AE190" s="3102"/>
      <c r="AF190" s="3103"/>
    </row>
    <row r="191" spans="1:32" x14ac:dyDescent="0.3">
      <c r="A191" s="3197" t="s">
        <v>4914</v>
      </c>
      <c r="B191" s="3096"/>
      <c r="C191" s="3096"/>
      <c r="D191" s="3096"/>
      <c r="E191" s="3096"/>
      <c r="F191" s="3096"/>
      <c r="G191" s="3096"/>
      <c r="H191" s="3097"/>
      <c r="I191" s="3083">
        <v>0</v>
      </c>
      <c r="J191" s="3083"/>
      <c r="K191" s="3083"/>
      <c r="L191" s="3083"/>
      <c r="M191" s="3083"/>
      <c r="N191" s="3083"/>
      <c r="O191" s="3083"/>
      <c r="P191" s="3083"/>
      <c r="Q191" s="3084">
        <f>R82*$Q$61*$Q$88*365/1000*(1+($L$88*($Q$68-1))*$Q$69)</f>
        <v>68.584230000000005</v>
      </c>
      <c r="R191" s="3084"/>
      <c r="S191" s="3084"/>
      <c r="T191" s="3084"/>
      <c r="U191" s="3084"/>
      <c r="V191" s="3084"/>
      <c r="W191" s="3084"/>
      <c r="X191" s="3084"/>
      <c r="Y191" s="3085">
        <f>Q191*$V$88</f>
        <v>685.84230000000002</v>
      </c>
      <c r="Z191" s="3085"/>
      <c r="AA191" s="3085"/>
      <c r="AB191" s="3085"/>
      <c r="AC191" s="3085"/>
      <c r="AD191" s="3085"/>
      <c r="AE191" s="3085"/>
      <c r="AF191" s="3086"/>
    </row>
    <row r="192" spans="1:32" x14ac:dyDescent="0.3">
      <c r="A192" s="3197" t="s">
        <v>4915</v>
      </c>
      <c r="B192" s="3096"/>
      <c r="C192" s="3096"/>
      <c r="D192" s="3096"/>
      <c r="E192" s="3096"/>
      <c r="F192" s="3096"/>
      <c r="G192" s="3096"/>
      <c r="H192" s="3097"/>
      <c r="I192" s="3083">
        <v>0</v>
      </c>
      <c r="J192" s="3083"/>
      <c r="K192" s="3083"/>
      <c r="L192" s="3083"/>
      <c r="M192" s="3083"/>
      <c r="N192" s="3083"/>
      <c r="O192" s="3083"/>
      <c r="P192" s="3083"/>
      <c r="Q192" s="3084">
        <f>R83*$Q$61*$Q$88*365/1000*(1+($L$88*($Q$68-1))*$Q$69)</f>
        <v>27.497640000000004</v>
      </c>
      <c r="R192" s="3084"/>
      <c r="S192" s="3084"/>
      <c r="T192" s="3084"/>
      <c r="U192" s="3084"/>
      <c r="V192" s="3084"/>
      <c r="W192" s="3084"/>
      <c r="X192" s="3084"/>
      <c r="Y192" s="3085">
        <f>Q192*$V$88</f>
        <v>274.97640000000001</v>
      </c>
      <c r="Z192" s="3085"/>
      <c r="AA192" s="3085"/>
      <c r="AB192" s="3085"/>
      <c r="AC192" s="3085"/>
      <c r="AD192" s="3085"/>
      <c r="AE192" s="3085"/>
      <c r="AF192" s="3086"/>
    </row>
    <row r="193" spans="1:32" ht="15" thickBot="1" x14ac:dyDescent="0.35">
      <c r="A193" s="3191" t="s">
        <v>4916</v>
      </c>
      <c r="B193" s="3192"/>
      <c r="C193" s="3192"/>
      <c r="D193" s="3192"/>
      <c r="E193" s="3192"/>
      <c r="F193" s="3192"/>
      <c r="G193" s="3192"/>
      <c r="H193" s="3193"/>
      <c r="I193" s="2756">
        <v>0</v>
      </c>
      <c r="J193" s="2756"/>
      <c r="K193" s="2756"/>
      <c r="L193" s="2756"/>
      <c r="M193" s="2756"/>
      <c r="N193" s="2756"/>
      <c r="O193" s="2756"/>
      <c r="P193" s="2756"/>
      <c r="Q193" s="3194">
        <f>R84*$Q$61*$Q$88*365/1000*(1+($L$88*($Q$68-1))*$Q$69)</f>
        <v>13.748820000000002</v>
      </c>
      <c r="R193" s="3194"/>
      <c r="S193" s="3194"/>
      <c r="T193" s="3194"/>
      <c r="U193" s="3194"/>
      <c r="V193" s="3194"/>
      <c r="W193" s="3194"/>
      <c r="X193" s="3194"/>
      <c r="Y193" s="3136">
        <f t="shared" ref="Y193" si="6">Q193*$V$88</f>
        <v>137.48820000000001</v>
      </c>
      <c r="Z193" s="3136"/>
      <c r="AA193" s="3136"/>
      <c r="AB193" s="3136"/>
      <c r="AC193" s="3136"/>
      <c r="AD193" s="3136"/>
      <c r="AE193" s="3136"/>
      <c r="AF193" s="3137"/>
    </row>
    <row r="195" spans="1:32" ht="15" thickBot="1" x14ac:dyDescent="0.35">
      <c r="A195" s="3196" t="s">
        <v>4934</v>
      </c>
      <c r="B195" s="2896"/>
      <c r="C195" s="2896"/>
      <c r="D195" s="2896"/>
      <c r="E195" s="2896"/>
      <c r="F195" s="2896"/>
      <c r="G195" s="2896"/>
      <c r="H195" s="2896"/>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96"/>
      <c r="AD195" s="2896"/>
      <c r="AE195" s="2896"/>
      <c r="AF195" s="2896"/>
    </row>
    <row r="196" spans="1:32" ht="15" thickBot="1" x14ac:dyDescent="0.35">
      <c r="A196" s="3101" t="s">
        <v>15</v>
      </c>
      <c r="B196" s="3102"/>
      <c r="C196" s="3102"/>
      <c r="D196" s="3102"/>
      <c r="E196" s="3102"/>
      <c r="F196" s="3102"/>
      <c r="G196" s="3102"/>
      <c r="H196" s="3102"/>
      <c r="I196" s="3102" t="s">
        <v>16</v>
      </c>
      <c r="J196" s="3102"/>
      <c r="K196" s="3102"/>
      <c r="L196" s="3102"/>
      <c r="M196" s="3102"/>
      <c r="N196" s="3102"/>
      <c r="O196" s="3102"/>
      <c r="P196" s="3102"/>
      <c r="Q196" s="3102" t="s">
        <v>17</v>
      </c>
      <c r="R196" s="3102"/>
      <c r="S196" s="3102"/>
      <c r="T196" s="3102"/>
      <c r="U196" s="3102"/>
      <c r="V196" s="3102"/>
      <c r="W196" s="3102"/>
      <c r="X196" s="3102"/>
      <c r="Y196" s="3102" t="s">
        <v>1826</v>
      </c>
      <c r="Z196" s="3102"/>
      <c r="AA196" s="3102"/>
      <c r="AB196" s="3102"/>
      <c r="AC196" s="3102"/>
      <c r="AD196" s="3102"/>
      <c r="AE196" s="3102"/>
      <c r="AF196" s="3103"/>
    </row>
    <row r="197" spans="1:32" x14ac:dyDescent="0.3">
      <c r="A197" s="3197" t="s">
        <v>4914</v>
      </c>
      <c r="B197" s="3096"/>
      <c r="C197" s="3096"/>
      <c r="D197" s="3096"/>
      <c r="E197" s="3096"/>
      <c r="F197" s="3096"/>
      <c r="G197" s="3096"/>
      <c r="H197" s="3097"/>
      <c r="I197" s="3083">
        <v>0</v>
      </c>
      <c r="J197" s="3083"/>
      <c r="K197" s="3083"/>
      <c r="L197" s="3083"/>
      <c r="M197" s="3083"/>
      <c r="N197" s="3083"/>
      <c r="O197" s="3083"/>
      <c r="P197" s="3083"/>
      <c r="Q197" s="3084">
        <f>R82*$Q$61*$Q$89*365/1000*(1+($L$89*($Q$68-1))*$Q$69)</f>
        <v>121.54910625000002</v>
      </c>
      <c r="R197" s="3084"/>
      <c r="S197" s="3084"/>
      <c r="T197" s="3084"/>
      <c r="U197" s="3084"/>
      <c r="V197" s="3084"/>
      <c r="W197" s="3084"/>
      <c r="X197" s="3084"/>
      <c r="Y197" s="3085">
        <f>Q197*$V$88</f>
        <v>1215.4910625000002</v>
      </c>
      <c r="Z197" s="3085"/>
      <c r="AA197" s="3085"/>
      <c r="AB197" s="3085"/>
      <c r="AC197" s="3085"/>
      <c r="AD197" s="3085"/>
      <c r="AE197" s="3085"/>
      <c r="AF197" s="3086"/>
    </row>
    <row r="198" spans="1:32" x14ac:dyDescent="0.3">
      <c r="A198" s="3197" t="s">
        <v>4915</v>
      </c>
      <c r="B198" s="3096"/>
      <c r="C198" s="3096"/>
      <c r="D198" s="3096"/>
      <c r="E198" s="3096"/>
      <c r="F198" s="3096"/>
      <c r="G198" s="3096"/>
      <c r="H198" s="3097"/>
      <c r="I198" s="3083">
        <v>0</v>
      </c>
      <c r="J198" s="3083"/>
      <c r="K198" s="3083"/>
      <c r="L198" s="3083"/>
      <c r="M198" s="3083"/>
      <c r="N198" s="3083"/>
      <c r="O198" s="3083"/>
      <c r="P198" s="3083"/>
      <c r="Q198" s="3084">
        <f>R83*$Q$61*$Q$89*365/1000*(1+($L$89*($Q$68-1))*$Q$69)</f>
        <v>48.732975000000003</v>
      </c>
      <c r="R198" s="3084"/>
      <c r="S198" s="3084"/>
      <c r="T198" s="3084"/>
      <c r="U198" s="3084"/>
      <c r="V198" s="3084"/>
      <c r="W198" s="3084"/>
      <c r="X198" s="3084"/>
      <c r="Y198" s="3085">
        <f>Q198*$V$88</f>
        <v>487.32975000000005</v>
      </c>
      <c r="Z198" s="3085"/>
      <c r="AA198" s="3085"/>
      <c r="AB198" s="3085"/>
      <c r="AC198" s="3085"/>
      <c r="AD198" s="3085"/>
      <c r="AE198" s="3085"/>
      <c r="AF198" s="3086"/>
    </row>
    <row r="199" spans="1:32" ht="15" thickBot="1" x14ac:dyDescent="0.35">
      <c r="A199" s="3191" t="s">
        <v>4916</v>
      </c>
      <c r="B199" s="3192"/>
      <c r="C199" s="3192"/>
      <c r="D199" s="3192"/>
      <c r="E199" s="3192"/>
      <c r="F199" s="3192"/>
      <c r="G199" s="3192"/>
      <c r="H199" s="3193"/>
      <c r="I199" s="2756">
        <v>0</v>
      </c>
      <c r="J199" s="2756"/>
      <c r="K199" s="2756"/>
      <c r="L199" s="2756"/>
      <c r="M199" s="2756"/>
      <c r="N199" s="2756"/>
      <c r="O199" s="2756"/>
      <c r="P199" s="2756"/>
      <c r="Q199" s="3194">
        <f>R84*$Q$61*$Q$89*365/1000*(1+($L$89*($Q$68-1))*$Q$69)</f>
        <v>24.366487500000002</v>
      </c>
      <c r="R199" s="3194"/>
      <c r="S199" s="3194"/>
      <c r="T199" s="3194"/>
      <c r="U199" s="3194"/>
      <c r="V199" s="3194"/>
      <c r="W199" s="3194"/>
      <c r="X199" s="3194"/>
      <c r="Y199" s="3136">
        <f t="shared" ref="Y199" si="7">Q199*$V$88</f>
        <v>243.66487500000002</v>
      </c>
      <c r="Z199" s="3136"/>
      <c r="AA199" s="3136"/>
      <c r="AB199" s="3136"/>
      <c r="AC199" s="3136"/>
      <c r="AD199" s="3136"/>
      <c r="AE199" s="3136"/>
      <c r="AF199" s="3137"/>
    </row>
    <row r="202" spans="1:32" x14ac:dyDescent="0.3">
      <c r="A202" s="1290" t="s">
        <v>1514</v>
      </c>
      <c r="B202" s="1290"/>
      <c r="C202" s="1290"/>
      <c r="D202" s="1290"/>
      <c r="E202" s="1290"/>
      <c r="F202" s="1290"/>
      <c r="G202" s="1290"/>
      <c r="H202" s="1290"/>
      <c r="I202" s="1290"/>
      <c r="J202" s="1290"/>
      <c r="K202" s="1290"/>
      <c r="L202" s="1290"/>
      <c r="M202" s="1290"/>
      <c r="N202" s="1290"/>
      <c r="O202" s="1290"/>
      <c r="P202" s="1290"/>
      <c r="Q202" s="1290"/>
      <c r="R202" s="1290"/>
      <c r="S202" s="1290"/>
      <c r="T202" s="1290"/>
      <c r="U202" s="1290"/>
      <c r="V202" s="1290"/>
      <c r="W202" s="1290"/>
      <c r="X202" s="1290"/>
      <c r="Y202" s="1290"/>
      <c r="Z202" s="1290"/>
      <c r="AA202" s="1290"/>
      <c r="AB202" s="1290"/>
      <c r="AC202" s="1290"/>
      <c r="AD202" s="1290"/>
      <c r="AE202" s="1290"/>
      <c r="AF202" s="1290"/>
    </row>
    <row r="204" spans="1:32" x14ac:dyDescent="0.3">
      <c r="A204" s="370" t="s">
        <v>803</v>
      </c>
      <c r="B204" s="889" t="s">
        <v>4942</v>
      </c>
      <c r="C204" s="889"/>
      <c r="D204" s="889"/>
      <c r="E204" s="889"/>
      <c r="F204" s="889"/>
      <c r="G204" s="889"/>
      <c r="H204" s="889"/>
      <c r="I204" s="889"/>
      <c r="J204" s="889"/>
      <c r="K204" s="889"/>
      <c r="L204" s="889"/>
      <c r="M204" s="889"/>
      <c r="N204" s="889"/>
      <c r="O204" s="889"/>
      <c r="P204" s="889"/>
      <c r="Q204" s="889"/>
      <c r="R204" s="889"/>
      <c r="S204" s="889"/>
      <c r="T204" s="889"/>
      <c r="U204" s="889"/>
      <c r="V204" s="889"/>
      <c r="W204" s="889"/>
      <c r="X204" s="889"/>
      <c r="Y204" s="889"/>
      <c r="Z204" s="889"/>
      <c r="AA204" s="889"/>
      <c r="AB204" s="889"/>
      <c r="AC204" s="889"/>
      <c r="AD204" s="889"/>
      <c r="AE204" s="889"/>
      <c r="AF204" s="889"/>
    </row>
    <row r="205" spans="1:32" ht="31.5" customHeight="1" x14ac:dyDescent="0.3">
      <c r="A205" s="370" t="s">
        <v>803</v>
      </c>
      <c r="B205" s="889" t="s">
        <v>4941</v>
      </c>
      <c r="C205" s="889"/>
      <c r="D205" s="889"/>
      <c r="E205" s="889"/>
      <c r="F205" s="889"/>
      <c r="G205" s="889"/>
      <c r="H205" s="889"/>
      <c r="I205" s="889"/>
      <c r="J205" s="889"/>
      <c r="K205" s="889"/>
      <c r="L205" s="889"/>
      <c r="M205" s="889"/>
      <c r="N205" s="889"/>
      <c r="O205" s="889"/>
      <c r="P205" s="889"/>
      <c r="Q205" s="889"/>
      <c r="R205" s="889"/>
      <c r="S205" s="889"/>
      <c r="T205" s="889"/>
      <c r="U205" s="889"/>
      <c r="V205" s="889"/>
      <c r="W205" s="889"/>
      <c r="X205" s="889"/>
      <c r="Y205" s="889"/>
      <c r="Z205" s="889"/>
      <c r="AA205" s="889"/>
      <c r="AB205" s="889"/>
      <c r="AC205" s="889"/>
      <c r="AD205" s="889"/>
      <c r="AE205" s="889"/>
      <c r="AF205" s="889"/>
    </row>
    <row r="206" spans="1:32" ht="31.5" customHeight="1" x14ac:dyDescent="0.3">
      <c r="A206" s="370" t="s">
        <v>803</v>
      </c>
      <c r="B206" s="889" t="s">
        <v>4940</v>
      </c>
      <c r="C206" s="889"/>
      <c r="D206" s="889"/>
      <c r="E206" s="889"/>
      <c r="F206" s="889"/>
      <c r="G206" s="889"/>
      <c r="H206" s="889"/>
      <c r="I206" s="889"/>
      <c r="J206" s="889"/>
      <c r="K206" s="889"/>
      <c r="L206" s="889"/>
      <c r="M206" s="889"/>
      <c r="N206" s="889"/>
      <c r="O206" s="889"/>
      <c r="P206" s="889"/>
      <c r="Q206" s="889"/>
      <c r="R206" s="889"/>
      <c r="S206" s="889"/>
      <c r="T206" s="889"/>
      <c r="U206" s="889"/>
      <c r="V206" s="889"/>
      <c r="W206" s="889"/>
      <c r="X206" s="889"/>
      <c r="Y206" s="889"/>
      <c r="Z206" s="889"/>
      <c r="AA206" s="889"/>
      <c r="AB206" s="889"/>
      <c r="AC206" s="889"/>
      <c r="AD206" s="889"/>
      <c r="AE206" s="889"/>
      <c r="AF206" s="889"/>
    </row>
    <row r="207" spans="1:32" ht="48.75" customHeight="1" x14ac:dyDescent="0.3">
      <c r="A207" s="370" t="s">
        <v>803</v>
      </c>
      <c r="B207" s="889" t="s">
        <v>4939</v>
      </c>
      <c r="C207" s="889"/>
      <c r="D207" s="889"/>
      <c r="E207" s="889"/>
      <c r="F207" s="889"/>
      <c r="G207" s="889"/>
      <c r="H207" s="889"/>
      <c r="I207" s="889"/>
      <c r="J207" s="889"/>
      <c r="K207" s="889"/>
      <c r="L207" s="889"/>
      <c r="M207" s="889"/>
      <c r="N207" s="889"/>
      <c r="O207" s="889"/>
      <c r="P207" s="889"/>
      <c r="Q207" s="889"/>
      <c r="R207" s="889"/>
      <c r="S207" s="889"/>
      <c r="T207" s="889"/>
      <c r="U207" s="889"/>
      <c r="V207" s="889"/>
      <c r="W207" s="889"/>
      <c r="X207" s="889"/>
      <c r="Y207" s="889"/>
      <c r="Z207" s="889"/>
      <c r="AA207" s="889"/>
      <c r="AB207" s="889"/>
      <c r="AC207" s="889"/>
      <c r="AD207" s="889"/>
      <c r="AE207" s="889"/>
      <c r="AF207" s="889"/>
    </row>
    <row r="208" spans="1:32" x14ac:dyDescent="0.3">
      <c r="A208" s="370" t="s">
        <v>803</v>
      </c>
      <c r="B208" s="889" t="s">
        <v>4936</v>
      </c>
      <c r="C208" s="889"/>
      <c r="D208" s="889"/>
      <c r="E208" s="889"/>
      <c r="F208" s="889"/>
      <c r="G208" s="889"/>
      <c r="H208" s="889"/>
      <c r="I208" s="889"/>
      <c r="J208" s="889"/>
      <c r="K208" s="889"/>
      <c r="L208" s="889"/>
      <c r="M208" s="889"/>
      <c r="N208" s="889"/>
      <c r="O208" s="889"/>
      <c r="P208" s="889"/>
      <c r="Q208" s="889"/>
      <c r="R208" s="889"/>
      <c r="S208" s="889"/>
      <c r="T208" s="889"/>
      <c r="U208" s="889"/>
      <c r="V208" s="889"/>
      <c r="W208" s="889"/>
      <c r="X208" s="889"/>
      <c r="Y208" s="889"/>
      <c r="Z208" s="889"/>
      <c r="AA208" s="889"/>
      <c r="AB208" s="889"/>
      <c r="AC208" s="889"/>
      <c r="AD208" s="889"/>
      <c r="AE208" s="889"/>
      <c r="AF208" s="889"/>
    </row>
    <row r="209" spans="1:32" ht="33" customHeight="1" x14ac:dyDescent="0.3">
      <c r="A209" s="370" t="s">
        <v>803</v>
      </c>
      <c r="B209" s="889" t="s">
        <v>3910</v>
      </c>
      <c r="C209" s="889"/>
      <c r="D209" s="889"/>
      <c r="E209" s="889"/>
      <c r="F209" s="889"/>
      <c r="G209" s="889"/>
      <c r="H209" s="889"/>
      <c r="I209" s="889"/>
      <c r="J209" s="889"/>
      <c r="K209" s="889"/>
      <c r="L209" s="889"/>
      <c r="M209" s="889"/>
      <c r="N209" s="889"/>
      <c r="O209" s="889"/>
      <c r="P209" s="889"/>
      <c r="Q209" s="889"/>
      <c r="R209" s="889"/>
      <c r="S209" s="889"/>
      <c r="T209" s="889"/>
      <c r="U209" s="889"/>
      <c r="V209" s="889"/>
      <c r="W209" s="889"/>
      <c r="X209" s="889"/>
      <c r="Y209" s="889"/>
      <c r="Z209" s="889"/>
      <c r="AA209" s="889"/>
      <c r="AB209" s="889"/>
      <c r="AC209" s="889"/>
      <c r="AD209" s="889"/>
      <c r="AE209" s="889"/>
      <c r="AF209" s="889"/>
    </row>
    <row r="210" spans="1:32" ht="31.5" customHeight="1" x14ac:dyDescent="0.3">
      <c r="A210" s="370" t="s">
        <v>803</v>
      </c>
      <c r="B210" s="889" t="s">
        <v>4937</v>
      </c>
      <c r="C210" s="889"/>
      <c r="D210" s="889"/>
      <c r="E210" s="889"/>
      <c r="F210" s="889"/>
      <c r="G210" s="889"/>
      <c r="H210" s="889"/>
      <c r="I210" s="889"/>
      <c r="J210" s="889"/>
      <c r="K210" s="889"/>
      <c r="L210" s="889"/>
      <c r="M210" s="889"/>
      <c r="N210" s="889"/>
      <c r="O210" s="889"/>
      <c r="P210" s="889"/>
      <c r="Q210" s="889"/>
      <c r="R210" s="889"/>
      <c r="S210" s="889"/>
      <c r="T210" s="889"/>
      <c r="U210" s="889"/>
      <c r="V210" s="889"/>
      <c r="W210" s="889"/>
      <c r="X210" s="889"/>
      <c r="Y210" s="889"/>
      <c r="Z210" s="889"/>
      <c r="AA210" s="889"/>
      <c r="AB210" s="889"/>
      <c r="AC210" s="889"/>
      <c r="AD210" s="889"/>
      <c r="AE210" s="889"/>
      <c r="AF210" s="889"/>
    </row>
    <row r="211" spans="1:32" ht="48.75" customHeight="1" x14ac:dyDescent="0.3">
      <c r="A211" s="370" t="s">
        <v>803</v>
      </c>
      <c r="B211" s="889" t="s">
        <v>4938</v>
      </c>
      <c r="C211" s="889"/>
      <c r="D211" s="889"/>
      <c r="E211" s="889"/>
      <c r="F211" s="889"/>
      <c r="G211" s="889"/>
      <c r="H211" s="889"/>
      <c r="I211" s="889"/>
      <c r="J211" s="889"/>
      <c r="K211" s="889"/>
      <c r="L211" s="889"/>
      <c r="M211" s="889"/>
      <c r="N211" s="889"/>
      <c r="O211" s="889"/>
      <c r="P211" s="889"/>
      <c r="Q211" s="889"/>
      <c r="R211" s="889"/>
      <c r="S211" s="889"/>
      <c r="T211" s="889"/>
      <c r="U211" s="889"/>
      <c r="V211" s="889"/>
      <c r="W211" s="889"/>
      <c r="X211" s="889"/>
      <c r="Y211" s="889"/>
      <c r="Z211" s="889"/>
      <c r="AA211" s="889"/>
      <c r="AB211" s="889"/>
      <c r="AC211" s="889"/>
      <c r="AD211" s="889"/>
      <c r="AE211" s="889"/>
      <c r="AF211" s="889"/>
    </row>
  </sheetData>
  <sheetProtection algorithmName="SHA-512" hashValue="h+3qvtDnnuh8/ObSw3kYwCM6hzP44icBO8cdr0LygQhWz05qi8T/di/wXPAJT4F1M5mucEeYLO6aqgrn0l+LwA==" saltValue="ELpCF7WK8yvUwAS4PYNovQ==" spinCount="100000" sheet="1" objects="1" scenarios="1"/>
  <mergeCells count="407">
    <mergeCell ref="B211:AF211"/>
    <mergeCell ref="B205:AF205"/>
    <mergeCell ref="B206:AF206"/>
    <mergeCell ref="B207:AF207"/>
    <mergeCell ref="B208:AF208"/>
    <mergeCell ref="B209:AF209"/>
    <mergeCell ref="B210:AF210"/>
    <mergeCell ref="A199:H199"/>
    <mergeCell ref="I199:P199"/>
    <mergeCell ref="Q199:X199"/>
    <mergeCell ref="Y199:AF199"/>
    <mergeCell ref="A202:AF202"/>
    <mergeCell ref="B204:AF204"/>
    <mergeCell ref="A197:H197"/>
    <mergeCell ref="I197:P197"/>
    <mergeCell ref="Q197:X197"/>
    <mergeCell ref="Y197:AF197"/>
    <mergeCell ref="A198:H198"/>
    <mergeCell ref="I198:P198"/>
    <mergeCell ref="Q198:X198"/>
    <mergeCell ref="Y198:AF198"/>
    <mergeCell ref="A193:H193"/>
    <mergeCell ref="I193:P193"/>
    <mergeCell ref="Q193:X193"/>
    <mergeCell ref="Y193:AF193"/>
    <mergeCell ref="A195:AF195"/>
    <mergeCell ref="A196:H196"/>
    <mergeCell ref="I196:P196"/>
    <mergeCell ref="Q196:X196"/>
    <mergeCell ref="Y196:AF196"/>
    <mergeCell ref="A191:H191"/>
    <mergeCell ref="I191:P191"/>
    <mergeCell ref="Q191:X191"/>
    <mergeCell ref="Y191:AF191"/>
    <mergeCell ref="A192:H192"/>
    <mergeCell ref="I192:P192"/>
    <mergeCell ref="Q192:X192"/>
    <mergeCell ref="Y192:AF192"/>
    <mergeCell ref="A187:H187"/>
    <mergeCell ref="I187:P187"/>
    <mergeCell ref="Q187:X187"/>
    <mergeCell ref="Y187:AF187"/>
    <mergeCell ref="A189:AF189"/>
    <mergeCell ref="A190:H190"/>
    <mergeCell ref="I190:P190"/>
    <mergeCell ref="Q190:X190"/>
    <mergeCell ref="Y190:AF190"/>
    <mergeCell ref="A185:H185"/>
    <mergeCell ref="I185:P185"/>
    <mergeCell ref="Q185:X185"/>
    <mergeCell ref="Y185:AF185"/>
    <mergeCell ref="A186:H186"/>
    <mergeCell ref="I186:P186"/>
    <mergeCell ref="Q186:X186"/>
    <mergeCell ref="Y186:AF186"/>
    <mergeCell ref="A181:H181"/>
    <mergeCell ref="I181:P181"/>
    <mergeCell ref="Q181:X181"/>
    <mergeCell ref="Y181:AF181"/>
    <mergeCell ref="A183:AF183"/>
    <mergeCell ref="A184:H184"/>
    <mergeCell ref="I184:P184"/>
    <mergeCell ref="Q184:X184"/>
    <mergeCell ref="Y184:AF184"/>
    <mergeCell ref="A179:H179"/>
    <mergeCell ref="I179:P179"/>
    <mergeCell ref="Q179:X179"/>
    <mergeCell ref="Y179:AF179"/>
    <mergeCell ref="A180:H180"/>
    <mergeCell ref="I180:P180"/>
    <mergeCell ref="Q180:X180"/>
    <mergeCell ref="Y180:AF180"/>
    <mergeCell ref="A175:H175"/>
    <mergeCell ref="I175:P175"/>
    <mergeCell ref="Q175:X175"/>
    <mergeCell ref="Y175:AF175"/>
    <mergeCell ref="A177:AF177"/>
    <mergeCell ref="A178:H178"/>
    <mergeCell ref="I178:P178"/>
    <mergeCell ref="Q178:X178"/>
    <mergeCell ref="Y178:AF178"/>
    <mergeCell ref="A173:H173"/>
    <mergeCell ref="I173:P173"/>
    <mergeCell ref="Q173:X173"/>
    <mergeCell ref="Y173:AF173"/>
    <mergeCell ref="A174:H174"/>
    <mergeCell ref="I174:P174"/>
    <mergeCell ref="Q174:X174"/>
    <mergeCell ref="Y174:AF174"/>
    <mergeCell ref="A169:H169"/>
    <mergeCell ref="I169:P169"/>
    <mergeCell ref="Q169:X169"/>
    <mergeCell ref="Y169:AF169"/>
    <mergeCell ref="A171:AF171"/>
    <mergeCell ref="A172:H172"/>
    <mergeCell ref="I172:P172"/>
    <mergeCell ref="Q172:X172"/>
    <mergeCell ref="Y172:AF172"/>
    <mergeCell ref="A167:H167"/>
    <mergeCell ref="I167:P167"/>
    <mergeCell ref="Q167:X167"/>
    <mergeCell ref="Y167:AF167"/>
    <mergeCell ref="A168:H168"/>
    <mergeCell ref="I168:P168"/>
    <mergeCell ref="Q168:X168"/>
    <mergeCell ref="Y168:AF168"/>
    <mergeCell ref="B163:AF163"/>
    <mergeCell ref="A165:AF165"/>
    <mergeCell ref="A166:H166"/>
    <mergeCell ref="I166:P166"/>
    <mergeCell ref="Q166:X166"/>
    <mergeCell ref="Y166:AF166"/>
    <mergeCell ref="A159:H159"/>
    <mergeCell ref="I159:P159"/>
    <mergeCell ref="Q159:X159"/>
    <mergeCell ref="Y159:AF159"/>
    <mergeCell ref="A160:H160"/>
    <mergeCell ref="I160:P160"/>
    <mergeCell ref="Q160:X160"/>
    <mergeCell ref="Y160:AF160"/>
    <mergeCell ref="A153:AF153"/>
    <mergeCell ref="A157:H157"/>
    <mergeCell ref="I157:P157"/>
    <mergeCell ref="Q157:X157"/>
    <mergeCell ref="Y157:AF157"/>
    <mergeCell ref="A158:H158"/>
    <mergeCell ref="I158:P158"/>
    <mergeCell ref="Q158:X158"/>
    <mergeCell ref="Y158:AF158"/>
    <mergeCell ref="A147:H147"/>
    <mergeCell ref="I147:P147"/>
    <mergeCell ref="Q147:X147"/>
    <mergeCell ref="Y147:AF147"/>
    <mergeCell ref="A148:H148"/>
    <mergeCell ref="I148:P148"/>
    <mergeCell ref="Q148:X148"/>
    <mergeCell ref="Y148:AF148"/>
    <mergeCell ref="A144:AF144"/>
    <mergeCell ref="A145:H145"/>
    <mergeCell ref="I145:P145"/>
    <mergeCell ref="Q145:X145"/>
    <mergeCell ref="Y145:AF145"/>
    <mergeCell ref="A146:H146"/>
    <mergeCell ref="I146:P146"/>
    <mergeCell ref="Q146:X146"/>
    <mergeCell ref="Y146:AF146"/>
    <mergeCell ref="A141:H141"/>
    <mergeCell ref="I141:P141"/>
    <mergeCell ref="Q141:X141"/>
    <mergeCell ref="Y141:AF141"/>
    <mergeCell ref="A142:H142"/>
    <mergeCell ref="I142:P142"/>
    <mergeCell ref="Q142:X142"/>
    <mergeCell ref="Y142:AF142"/>
    <mergeCell ref="A138:AF138"/>
    <mergeCell ref="A139:H139"/>
    <mergeCell ref="I139:P139"/>
    <mergeCell ref="Q139:X139"/>
    <mergeCell ref="Y139:AF139"/>
    <mergeCell ref="A140:H140"/>
    <mergeCell ref="I140:P140"/>
    <mergeCell ref="Q140:X140"/>
    <mergeCell ref="Y140:AF140"/>
    <mergeCell ref="A135:H135"/>
    <mergeCell ref="I135:P135"/>
    <mergeCell ref="Q135:X135"/>
    <mergeCell ref="Y135:AF135"/>
    <mergeCell ref="A136:H136"/>
    <mergeCell ref="I136:P136"/>
    <mergeCell ref="Q136:X136"/>
    <mergeCell ref="Y136:AF136"/>
    <mergeCell ref="A132:AF132"/>
    <mergeCell ref="A133:H133"/>
    <mergeCell ref="I133:P133"/>
    <mergeCell ref="Q133:X133"/>
    <mergeCell ref="Y133:AF133"/>
    <mergeCell ref="A134:H134"/>
    <mergeCell ref="I134:P134"/>
    <mergeCell ref="Q134:X134"/>
    <mergeCell ref="Y134:AF134"/>
    <mergeCell ref="A129:H129"/>
    <mergeCell ref="I129:P129"/>
    <mergeCell ref="Q129:X129"/>
    <mergeCell ref="Y129:AF129"/>
    <mergeCell ref="A130:H130"/>
    <mergeCell ref="I130:P130"/>
    <mergeCell ref="Q130:X130"/>
    <mergeCell ref="Y130:AF130"/>
    <mergeCell ref="A126:AF126"/>
    <mergeCell ref="A127:H127"/>
    <mergeCell ref="I127:P127"/>
    <mergeCell ref="Q127:X127"/>
    <mergeCell ref="Y127:AF127"/>
    <mergeCell ref="A128:H128"/>
    <mergeCell ref="I128:P128"/>
    <mergeCell ref="Q128:X128"/>
    <mergeCell ref="Y128:AF128"/>
    <mergeCell ref="A123:H123"/>
    <mergeCell ref="I123:P123"/>
    <mergeCell ref="Q123:X123"/>
    <mergeCell ref="Y123:AF123"/>
    <mergeCell ref="A124:H124"/>
    <mergeCell ref="I124:P124"/>
    <mergeCell ref="Q124:X124"/>
    <mergeCell ref="Y124:AF124"/>
    <mergeCell ref="A120:AF120"/>
    <mergeCell ref="A121:H121"/>
    <mergeCell ref="I121:P121"/>
    <mergeCell ref="Q121:X121"/>
    <mergeCell ref="Y121:AF121"/>
    <mergeCell ref="A122:H122"/>
    <mergeCell ref="I122:P122"/>
    <mergeCell ref="Q122:X122"/>
    <mergeCell ref="Y122:AF122"/>
    <mergeCell ref="A117:H117"/>
    <mergeCell ref="I117:P117"/>
    <mergeCell ref="Q117:X117"/>
    <mergeCell ref="Y117:AF117"/>
    <mergeCell ref="A118:H118"/>
    <mergeCell ref="I118:P118"/>
    <mergeCell ref="Q118:X118"/>
    <mergeCell ref="Y118:AF118"/>
    <mergeCell ref="A115:H115"/>
    <mergeCell ref="I115:P115"/>
    <mergeCell ref="Q115:X115"/>
    <mergeCell ref="Y115:AF115"/>
    <mergeCell ref="A116:H116"/>
    <mergeCell ref="I116:P116"/>
    <mergeCell ref="Q116:X116"/>
    <mergeCell ref="Y116:AF116"/>
    <mergeCell ref="A109:H109"/>
    <mergeCell ref="I109:P109"/>
    <mergeCell ref="Q109:X109"/>
    <mergeCell ref="Y109:AF109"/>
    <mergeCell ref="B112:AF112"/>
    <mergeCell ref="A114:AF114"/>
    <mergeCell ref="A107:H107"/>
    <mergeCell ref="I107:P107"/>
    <mergeCell ref="Q107:X107"/>
    <mergeCell ref="Y107:AF107"/>
    <mergeCell ref="A108:H108"/>
    <mergeCell ref="I108:P108"/>
    <mergeCell ref="Q108:X108"/>
    <mergeCell ref="Y108:AF108"/>
    <mergeCell ref="B99:AF99"/>
    <mergeCell ref="A102:AF102"/>
    <mergeCell ref="A106:H106"/>
    <mergeCell ref="I106:P106"/>
    <mergeCell ref="Q106:X106"/>
    <mergeCell ref="Y106:AF106"/>
    <mergeCell ref="B97:I97"/>
    <mergeCell ref="J97:M97"/>
    <mergeCell ref="N97:Q97"/>
    <mergeCell ref="B98:I98"/>
    <mergeCell ref="J98:M98"/>
    <mergeCell ref="N98:Q98"/>
    <mergeCell ref="B95:I95"/>
    <mergeCell ref="J95:M95"/>
    <mergeCell ref="N95:Q95"/>
    <mergeCell ref="B96:I96"/>
    <mergeCell ref="J96:M96"/>
    <mergeCell ref="N96:Q96"/>
    <mergeCell ref="B90:AE90"/>
    <mergeCell ref="B93:I93"/>
    <mergeCell ref="J93:M93"/>
    <mergeCell ref="N93:Q93"/>
    <mergeCell ref="B94:I94"/>
    <mergeCell ref="J94:M94"/>
    <mergeCell ref="N94:Q94"/>
    <mergeCell ref="B89:F89"/>
    <mergeCell ref="G89:K89"/>
    <mergeCell ref="L89:P89"/>
    <mergeCell ref="Q89:U89"/>
    <mergeCell ref="V89:Z89"/>
    <mergeCell ref="AA89:AE89"/>
    <mergeCell ref="B88:F88"/>
    <mergeCell ref="G88:K88"/>
    <mergeCell ref="L88:P88"/>
    <mergeCell ref="Q88:U88"/>
    <mergeCell ref="V88:Z88"/>
    <mergeCell ref="AA88:AE88"/>
    <mergeCell ref="B87:F87"/>
    <mergeCell ref="G87:K87"/>
    <mergeCell ref="L87:P87"/>
    <mergeCell ref="Q87:U87"/>
    <mergeCell ref="V87:Z87"/>
    <mergeCell ref="AA87:AE87"/>
    <mergeCell ref="B83:I83"/>
    <mergeCell ref="J83:M83"/>
    <mergeCell ref="N83:Q83"/>
    <mergeCell ref="R83:U83"/>
    <mergeCell ref="B84:I84"/>
    <mergeCell ref="J84:M84"/>
    <mergeCell ref="N84:Q84"/>
    <mergeCell ref="R84:U84"/>
    <mergeCell ref="B80:U80"/>
    <mergeCell ref="B81:I81"/>
    <mergeCell ref="J81:M81"/>
    <mergeCell ref="N81:Q81"/>
    <mergeCell ref="R81:U81"/>
    <mergeCell ref="B82:I82"/>
    <mergeCell ref="J82:M82"/>
    <mergeCell ref="N82:Q82"/>
    <mergeCell ref="R82:U82"/>
    <mergeCell ref="B77:I77"/>
    <mergeCell ref="J77:M77"/>
    <mergeCell ref="N77:Q77"/>
    <mergeCell ref="R77:U77"/>
    <mergeCell ref="B78:I78"/>
    <mergeCell ref="J78:M78"/>
    <mergeCell ref="N78:Q78"/>
    <mergeCell ref="R78:U78"/>
    <mergeCell ref="B74:U74"/>
    <mergeCell ref="B75:I75"/>
    <mergeCell ref="J75:M75"/>
    <mergeCell ref="N75:Q75"/>
    <mergeCell ref="R75:U75"/>
    <mergeCell ref="B76:I76"/>
    <mergeCell ref="J76:M76"/>
    <mergeCell ref="N76:Q76"/>
    <mergeCell ref="R76:U76"/>
    <mergeCell ref="A71:D71"/>
    <mergeCell ref="E71:P71"/>
    <mergeCell ref="Q71:T71"/>
    <mergeCell ref="U71:W71"/>
    <mergeCell ref="X71:AF71"/>
    <mergeCell ref="A72:AF72"/>
    <mergeCell ref="A69:D69"/>
    <mergeCell ref="E69:P69"/>
    <mergeCell ref="Q69:T69"/>
    <mergeCell ref="U69:W69"/>
    <mergeCell ref="X69:AF69"/>
    <mergeCell ref="A70:D70"/>
    <mergeCell ref="E70:P70"/>
    <mergeCell ref="Q70:T70"/>
    <mergeCell ref="U70:W70"/>
    <mergeCell ref="X70:AF70"/>
    <mergeCell ref="A67:D67"/>
    <mergeCell ref="E67:P67"/>
    <mergeCell ref="Q67:T67"/>
    <mergeCell ref="U67:W67"/>
    <mergeCell ref="X67:AF68"/>
    <mergeCell ref="A68:D68"/>
    <mergeCell ref="E68:P68"/>
    <mergeCell ref="Q68:T68"/>
    <mergeCell ref="U68:W68"/>
    <mergeCell ref="A65:D65"/>
    <mergeCell ref="E65:P65"/>
    <mergeCell ref="Q65:T65"/>
    <mergeCell ref="U65:W65"/>
    <mergeCell ref="X65:AF65"/>
    <mergeCell ref="A66:D66"/>
    <mergeCell ref="E66:P66"/>
    <mergeCell ref="Q66:T66"/>
    <mergeCell ref="U66:W66"/>
    <mergeCell ref="X66:AF66"/>
    <mergeCell ref="A63:D63"/>
    <mergeCell ref="E63:P63"/>
    <mergeCell ref="Q63:T63"/>
    <mergeCell ref="U63:W63"/>
    <mergeCell ref="X63:AF63"/>
    <mergeCell ref="A64:D64"/>
    <mergeCell ref="E64:P64"/>
    <mergeCell ref="Q64:T64"/>
    <mergeCell ref="U64:W64"/>
    <mergeCell ref="X64:AF64"/>
    <mergeCell ref="A61:D61"/>
    <mergeCell ref="E61:P61"/>
    <mergeCell ref="Q61:T61"/>
    <mergeCell ref="U61:W61"/>
    <mergeCell ref="X61:AF61"/>
    <mergeCell ref="A62:D62"/>
    <mergeCell ref="E62:P62"/>
    <mergeCell ref="Q62:T62"/>
    <mergeCell ref="U62:W62"/>
    <mergeCell ref="X62:AF62"/>
    <mergeCell ref="A59:D59"/>
    <mergeCell ref="E59:P59"/>
    <mergeCell ref="Q59:T59"/>
    <mergeCell ref="U59:W59"/>
    <mergeCell ref="X59:AF59"/>
    <mergeCell ref="A60:D60"/>
    <mergeCell ref="E60:P60"/>
    <mergeCell ref="Q60:T60"/>
    <mergeCell ref="U60:W60"/>
    <mergeCell ref="X60:AF60"/>
    <mergeCell ref="B21:J21"/>
    <mergeCell ref="B22:AF22"/>
    <mergeCell ref="A24:AF24"/>
    <mergeCell ref="A57:AF57"/>
    <mergeCell ref="A58:D58"/>
    <mergeCell ref="E58:P58"/>
    <mergeCell ref="Q58:T58"/>
    <mergeCell ref="U58:W58"/>
    <mergeCell ref="X58:AF58"/>
    <mergeCell ref="B12:I12"/>
    <mergeCell ref="B13:AF13"/>
    <mergeCell ref="B15:I15"/>
    <mergeCell ref="B16:AF16"/>
    <mergeCell ref="B18:I18"/>
    <mergeCell ref="B19:AF19"/>
    <mergeCell ref="A1:AF1"/>
    <mergeCell ref="A3:AF3"/>
    <mergeCell ref="B5:AF5"/>
    <mergeCell ref="A7:AF7"/>
    <mergeCell ref="B9:I9"/>
    <mergeCell ref="B10:AF10"/>
  </mergeCells>
  <hyperlinks>
    <hyperlink ref="A2" location="TOC!A1" display="Return to TOC" xr:uid="{00000000-0004-0000-5B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54" numberStoredAsText="1"/>
  </ignoredError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0">
    <tabColor theme="9" tint="0.79998168889431442"/>
    <pageSetUpPr autoPageBreaks="0"/>
  </sheetPr>
  <dimension ref="A1:AF87"/>
  <sheetViews>
    <sheetView workbookViewId="0">
      <selection activeCell="A2" sqref="A2"/>
    </sheetView>
  </sheetViews>
  <sheetFormatPr defaultColWidth="2.6640625" defaultRowHeight="14.4" x14ac:dyDescent="0.3"/>
  <cols>
    <col min="1" max="32" width="2.6640625" customWidth="1"/>
  </cols>
  <sheetData>
    <row r="1" spans="1:32" s="1" customFormat="1" ht="18.600000000000001" thickBot="1" x14ac:dyDescent="0.35">
      <c r="A1" s="979" t="s">
        <v>909</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s="121" customFormat="1" ht="14.4" customHeight="1" x14ac:dyDescent="0.3">
      <c r="A2" s="228" t="s">
        <v>1456</v>
      </c>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4664</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21"/>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row>
    <row r="7" spans="1:32" s="1" customFormat="1"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s="1" customFormat="1"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s="1" customFormat="1" x14ac:dyDescent="0.3">
      <c r="B9" s="1144" t="s">
        <v>3</v>
      </c>
      <c r="C9" s="1144"/>
      <c r="D9" s="1144"/>
      <c r="E9" s="1144"/>
      <c r="F9" s="1144"/>
      <c r="G9" s="1144"/>
      <c r="H9" s="1144"/>
      <c r="I9" s="1144"/>
    </row>
    <row r="10" spans="1:32" s="4" customFormat="1" ht="85.5" customHeight="1" x14ac:dyDescent="0.3">
      <c r="B10" s="884" t="s">
        <v>4755</v>
      </c>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4"/>
    </row>
    <row r="11" spans="1:32" s="1" customFormat="1" x14ac:dyDescent="0.3"/>
    <row r="12" spans="1:32" s="1" customFormat="1" x14ac:dyDescent="0.3">
      <c r="B12" s="1144" t="s">
        <v>4</v>
      </c>
      <c r="C12" s="1144"/>
      <c r="D12" s="1144"/>
      <c r="E12" s="1144"/>
      <c r="F12" s="1144"/>
      <c r="G12" s="1144"/>
      <c r="H12" s="1144"/>
      <c r="I12" s="1144"/>
    </row>
    <row r="13" spans="1:32" s="1" customFormat="1" ht="14.4" customHeight="1" x14ac:dyDescent="0.3">
      <c r="B13" s="2898" t="s">
        <v>4756</v>
      </c>
      <c r="C13" s="2898"/>
      <c r="D13" s="2898"/>
      <c r="E13" s="2898"/>
      <c r="F13" s="2898"/>
      <c r="G13" s="2898"/>
      <c r="H13" s="2898"/>
      <c r="I13" s="2898"/>
      <c r="J13" s="2898"/>
      <c r="K13" s="2898"/>
      <c r="L13" s="2898"/>
      <c r="M13" s="2898"/>
      <c r="N13" s="2898"/>
      <c r="O13" s="2898"/>
      <c r="P13" s="2898"/>
      <c r="Q13" s="2898"/>
      <c r="R13" s="2898"/>
      <c r="S13" s="2898"/>
      <c r="T13" s="2898"/>
      <c r="U13" s="2898"/>
      <c r="V13" s="2898"/>
      <c r="W13" s="2898"/>
      <c r="X13" s="2898"/>
      <c r="Y13" s="2898"/>
      <c r="Z13" s="2898"/>
      <c r="AA13" s="2898"/>
      <c r="AB13" s="2898"/>
      <c r="AC13" s="2898"/>
      <c r="AD13" s="2898"/>
      <c r="AE13" s="2898"/>
      <c r="AF13" s="2898"/>
    </row>
    <row r="14" spans="1:32" s="1" customFormat="1" x14ac:dyDescent="0.3"/>
    <row r="15" spans="1:32" s="1" customFormat="1" x14ac:dyDescent="0.3">
      <c r="B15" s="1144" t="s">
        <v>5</v>
      </c>
      <c r="C15" s="1144"/>
      <c r="D15" s="1144"/>
      <c r="E15" s="1144"/>
      <c r="F15" s="1144"/>
      <c r="G15" s="1144"/>
      <c r="H15" s="1144"/>
      <c r="I15" s="1144"/>
    </row>
    <row r="16" spans="1:32" s="1" customFormat="1" x14ac:dyDescent="0.3">
      <c r="B16" s="1142" t="s">
        <v>4757</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s="1" customFormat="1" x14ac:dyDescent="0.3"/>
    <row r="18" spans="1:32" s="1" customFormat="1" x14ac:dyDescent="0.3">
      <c r="B18" s="1144" t="s">
        <v>6</v>
      </c>
      <c r="C18" s="1144"/>
      <c r="D18" s="1144"/>
      <c r="E18" s="1144"/>
      <c r="F18" s="1144"/>
      <c r="G18" s="1144"/>
      <c r="H18" s="1144"/>
      <c r="I18" s="1144"/>
    </row>
    <row r="19" spans="1:32" s="4" customFormat="1" ht="14.4" customHeight="1" x14ac:dyDescent="0.3">
      <c r="B19" s="2898" t="s">
        <v>1235</v>
      </c>
      <c r="C19" s="2898"/>
      <c r="D19" s="2898"/>
      <c r="E19" s="2898"/>
      <c r="F19" s="2898"/>
      <c r="G19" s="2898"/>
      <c r="H19" s="2898"/>
      <c r="I19" s="2898"/>
      <c r="J19" s="2898"/>
      <c r="K19" s="2898"/>
      <c r="L19" s="2898"/>
      <c r="M19" s="2898"/>
      <c r="N19" s="2898"/>
      <c r="O19" s="2898"/>
      <c r="P19" s="2898"/>
      <c r="Q19" s="2898"/>
      <c r="R19" s="2898"/>
      <c r="S19" s="2898"/>
      <c r="T19" s="2898"/>
      <c r="U19" s="2898"/>
      <c r="V19" s="2898"/>
      <c r="W19" s="2898"/>
      <c r="X19" s="2898"/>
      <c r="Y19" s="2898"/>
      <c r="Z19" s="2898"/>
      <c r="AA19" s="2898"/>
      <c r="AB19" s="2898"/>
      <c r="AC19" s="2898"/>
      <c r="AD19" s="2898"/>
      <c r="AE19" s="2898"/>
      <c r="AF19" s="2898"/>
    </row>
    <row r="20" spans="1:32" s="1" customFormat="1" x14ac:dyDescent="0.3">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row>
    <row r="21" spans="1:32" s="1" customFormat="1" x14ac:dyDescent="0.3">
      <c r="B21" s="51" t="s">
        <v>13</v>
      </c>
      <c r="C21" s="51"/>
      <c r="D21" s="51"/>
      <c r="E21" s="51"/>
      <c r="F21" s="51"/>
      <c r="G21" s="51"/>
      <c r="H21" s="51"/>
      <c r="I21" s="51"/>
    </row>
    <row r="22" spans="1:32" s="1" customFormat="1" ht="200.25" customHeight="1" x14ac:dyDescent="0.3">
      <c r="B22" s="889" t="s">
        <v>4758</v>
      </c>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row>
    <row r="23" spans="1:32" s="1" customFormat="1" x14ac:dyDescent="0.3"/>
    <row r="24" spans="1:32" s="1" customFormat="1" x14ac:dyDescent="0.3"/>
    <row r="25" spans="1:32" s="1" customFormat="1"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s="1" customFormat="1" x14ac:dyDescent="0.3"/>
    <row r="27" spans="1:32" s="1" customFormat="1" ht="18.75" customHeight="1" x14ac:dyDescent="0.3">
      <c r="A27"/>
      <c r="B27" s="231" t="s">
        <v>2027</v>
      </c>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row>
    <row r="28" spans="1:32" s="1" customFormat="1" ht="17.25" customHeight="1" x14ac:dyDescent="0.3">
      <c r="A28"/>
      <c r="B28" s="231"/>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row>
    <row r="29" spans="1:32" s="1" customFormat="1" x14ac:dyDescent="0.3">
      <c r="A29"/>
      <c r="B29" s="231"/>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546" t="s">
        <v>1463</v>
      </c>
    </row>
    <row r="30" spans="1:32" s="1" customFormat="1" x14ac:dyDescent="0.3">
      <c r="A30"/>
      <c r="B30" s="231"/>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row>
    <row r="31" spans="1:32" s="1" customFormat="1" x14ac:dyDescent="0.3">
      <c r="A31"/>
      <c r="B31" s="231" t="s">
        <v>2137</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row>
    <row r="32" spans="1:32" s="1" customFormat="1" x14ac:dyDescent="0.3">
      <c r="A32"/>
      <c r="B32" s="231"/>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row>
    <row r="33" spans="1:32" s="1" customFormat="1" x14ac:dyDescent="0.3">
      <c r="A33"/>
      <c r="B33" s="231"/>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546" t="s">
        <v>1464</v>
      </c>
    </row>
    <row r="34" spans="1:32" s="1" customFormat="1" ht="14.4" customHeight="1" x14ac:dyDescent="0.3"/>
    <row r="35" spans="1:32" s="1" customFormat="1" ht="14.4" customHeight="1" x14ac:dyDescent="0.3">
      <c r="A35"/>
      <c r="B35" s="231" t="s">
        <v>1811</v>
      </c>
      <c r="C35" s="268"/>
      <c r="D35" s="268"/>
      <c r="E35" s="268"/>
      <c r="F35" s="268"/>
      <c r="G35" s="268"/>
      <c r="H35" s="268"/>
      <c r="I35" s="268"/>
      <c r="J35" s="268"/>
      <c r="K35" s="19"/>
      <c r="L35"/>
      <c r="M35"/>
      <c r="N35"/>
      <c r="O35"/>
      <c r="P35"/>
      <c r="Q35"/>
      <c r="R35"/>
      <c r="S35"/>
      <c r="T35"/>
      <c r="U35"/>
      <c r="V35"/>
      <c r="W35"/>
      <c r="X35"/>
      <c r="Y35"/>
      <c r="Z35"/>
      <c r="AA35"/>
      <c r="AB35"/>
      <c r="AC35"/>
      <c r="AD35"/>
      <c r="AE35"/>
      <c r="AF35"/>
    </row>
    <row r="36" spans="1:32" s="1" customFormat="1" x14ac:dyDescent="0.3">
      <c r="A36" s="268"/>
      <c r="B36" s="372"/>
      <c r="C36" s="268"/>
      <c r="D36" s="268"/>
      <c r="E36" s="268"/>
      <c r="F36" s="268"/>
      <c r="G36" s="268"/>
      <c r="H36" s="268"/>
      <c r="I36" s="268"/>
      <c r="J36" s="268"/>
      <c r="K36" s="19"/>
      <c r="L36"/>
      <c r="M36"/>
      <c r="N36"/>
      <c r="O36"/>
      <c r="P36"/>
      <c r="Q36"/>
      <c r="R36"/>
      <c r="S36"/>
      <c r="T36"/>
      <c r="U36"/>
      <c r="V36"/>
      <c r="W36"/>
      <c r="X36"/>
      <c r="Y36"/>
      <c r="Z36"/>
      <c r="AA36"/>
      <c r="AB36"/>
      <c r="AC36"/>
      <c r="AD36"/>
      <c r="AE36"/>
      <c r="AF36"/>
    </row>
    <row r="37" spans="1:32" s="1" customFormat="1" x14ac:dyDescent="0.3">
      <c r="A37"/>
      <c r="B37"/>
      <c r="C37"/>
      <c r="D37"/>
      <c r="E37"/>
      <c r="F37"/>
      <c r="G37"/>
      <c r="H37"/>
      <c r="I37"/>
      <c r="J37"/>
      <c r="K37"/>
      <c r="L37"/>
      <c r="M37"/>
      <c r="N37"/>
      <c r="O37"/>
      <c r="P37"/>
      <c r="Q37"/>
      <c r="R37"/>
      <c r="S37"/>
      <c r="T37"/>
      <c r="U37"/>
      <c r="V37"/>
      <c r="W37"/>
      <c r="X37"/>
      <c r="Y37"/>
      <c r="Z37"/>
      <c r="AA37"/>
      <c r="AB37"/>
      <c r="AC37"/>
      <c r="AD37"/>
      <c r="AE37"/>
      <c r="AF37" s="546" t="s">
        <v>1465</v>
      </c>
    </row>
    <row r="38" spans="1:32" s="1" customFormat="1" ht="14.4" customHeight="1" x14ac:dyDescent="0.3"/>
    <row r="39" spans="1:32" ht="28.95" customHeight="1" x14ac:dyDescent="0.3">
      <c r="A39" s="1141" t="s">
        <v>8</v>
      </c>
      <c r="B39" s="1141"/>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row>
    <row r="40" spans="1:32" x14ac:dyDescent="0.3">
      <c r="A40" s="1143" t="s">
        <v>9</v>
      </c>
      <c r="B40" s="1143"/>
      <c r="C40" s="1143"/>
      <c r="D40" s="1143"/>
      <c r="E40" s="1143" t="s">
        <v>3</v>
      </c>
      <c r="F40" s="1143"/>
      <c r="G40" s="1143"/>
      <c r="H40" s="1143"/>
      <c r="I40" s="1143"/>
      <c r="J40" s="1143"/>
      <c r="K40" s="1143"/>
      <c r="L40" s="1143"/>
      <c r="M40" s="1143"/>
      <c r="N40" s="1143"/>
      <c r="O40" s="1143"/>
      <c r="P40" s="1143"/>
      <c r="Q40" s="1143" t="s">
        <v>10</v>
      </c>
      <c r="R40" s="1143"/>
      <c r="S40" s="1143"/>
      <c r="T40" s="1143"/>
      <c r="U40" s="1259" t="s">
        <v>11</v>
      </c>
      <c r="V40" s="1260"/>
      <c r="W40" s="1421"/>
      <c r="X40" s="1366" t="s">
        <v>1466</v>
      </c>
      <c r="Y40" s="1367"/>
      <c r="Z40" s="1367"/>
      <c r="AA40" s="1367"/>
      <c r="AB40" s="1367"/>
      <c r="AC40" s="1367"/>
      <c r="AD40" s="1367"/>
      <c r="AE40" s="1367"/>
      <c r="AF40" s="1368"/>
    </row>
    <row r="41" spans="1:32" ht="35.25" customHeight="1" x14ac:dyDescent="0.3">
      <c r="A41" s="1154" t="s">
        <v>4759</v>
      </c>
      <c r="B41" s="1155" t="s">
        <v>519</v>
      </c>
      <c r="C41" s="1155" t="s">
        <v>519</v>
      </c>
      <c r="D41" s="1156" t="s">
        <v>519</v>
      </c>
      <c r="E41" s="1148" t="s">
        <v>4760</v>
      </c>
      <c r="F41" s="1149" t="s">
        <v>520</v>
      </c>
      <c r="G41" s="1149" t="s">
        <v>520</v>
      </c>
      <c r="H41" s="1149" t="s">
        <v>520</v>
      </c>
      <c r="I41" s="1149" t="s">
        <v>520</v>
      </c>
      <c r="J41" s="1149" t="s">
        <v>520</v>
      </c>
      <c r="K41" s="1149" t="s">
        <v>520</v>
      </c>
      <c r="L41" s="1149" t="s">
        <v>520</v>
      </c>
      <c r="M41" s="1149" t="s">
        <v>520</v>
      </c>
      <c r="N41" s="1149" t="s">
        <v>520</v>
      </c>
      <c r="O41" s="1149" t="s">
        <v>520</v>
      </c>
      <c r="P41" s="1150" t="s">
        <v>520</v>
      </c>
      <c r="Q41" s="2143" t="s">
        <v>516</v>
      </c>
      <c r="R41" s="2144" t="s">
        <v>229</v>
      </c>
      <c r="S41" s="2144" t="s">
        <v>229</v>
      </c>
      <c r="T41" s="2145" t="s">
        <v>229</v>
      </c>
      <c r="U41" s="1243" t="s">
        <v>36</v>
      </c>
      <c r="V41" s="1244"/>
      <c r="W41" s="1245"/>
      <c r="X41" s="1148" t="s">
        <v>4761</v>
      </c>
      <c r="Y41" s="1149"/>
      <c r="Z41" s="1149"/>
      <c r="AA41" s="1149"/>
      <c r="AB41" s="1149"/>
      <c r="AC41" s="1149"/>
      <c r="AD41" s="1149"/>
      <c r="AE41" s="1149"/>
      <c r="AF41" s="1150"/>
    </row>
    <row r="42" spans="1:32" s="40" customFormat="1" ht="28.95" customHeight="1" x14ac:dyDescent="0.3">
      <c r="A42" s="1154" t="s">
        <v>4762</v>
      </c>
      <c r="B42" s="1155" t="s">
        <v>519</v>
      </c>
      <c r="C42" s="1155" t="s">
        <v>519</v>
      </c>
      <c r="D42" s="1156" t="s">
        <v>519</v>
      </c>
      <c r="E42" s="1148" t="s">
        <v>4763</v>
      </c>
      <c r="F42" s="1149" t="s">
        <v>520</v>
      </c>
      <c r="G42" s="1149" t="s">
        <v>520</v>
      </c>
      <c r="H42" s="1149" t="s">
        <v>520</v>
      </c>
      <c r="I42" s="1149" t="s">
        <v>520</v>
      </c>
      <c r="J42" s="1149" t="s">
        <v>520</v>
      </c>
      <c r="K42" s="1149" t="s">
        <v>520</v>
      </c>
      <c r="L42" s="1149" t="s">
        <v>520</v>
      </c>
      <c r="M42" s="1149" t="s">
        <v>520</v>
      </c>
      <c r="N42" s="1149" t="s">
        <v>520</v>
      </c>
      <c r="O42" s="1149" t="s">
        <v>520</v>
      </c>
      <c r="P42" s="1150" t="s">
        <v>520</v>
      </c>
      <c r="Q42" s="2143" t="s">
        <v>516</v>
      </c>
      <c r="R42" s="2144" t="s">
        <v>229</v>
      </c>
      <c r="S42" s="2144" t="s">
        <v>229</v>
      </c>
      <c r="T42" s="2145" t="s">
        <v>229</v>
      </c>
      <c r="U42" s="1243" t="s">
        <v>36</v>
      </c>
      <c r="V42" s="1244"/>
      <c r="W42" s="1245"/>
      <c r="X42" s="1148" t="s">
        <v>4761</v>
      </c>
      <c r="Y42" s="1149"/>
      <c r="Z42" s="1149"/>
      <c r="AA42" s="1149"/>
      <c r="AB42" s="1149"/>
      <c r="AC42" s="1149"/>
      <c r="AD42" s="1149"/>
      <c r="AE42" s="1149"/>
      <c r="AF42" s="1150"/>
    </row>
    <row r="43" spans="1:32" s="40" customFormat="1" ht="41.25" customHeight="1" x14ac:dyDescent="0.3">
      <c r="A43" s="1349" t="s">
        <v>1522</v>
      </c>
      <c r="B43" s="1350" t="s">
        <v>521</v>
      </c>
      <c r="C43" s="1350" t="s">
        <v>521</v>
      </c>
      <c r="D43" s="1351" t="s">
        <v>521</v>
      </c>
      <c r="E43" s="1163" t="s">
        <v>4764</v>
      </c>
      <c r="F43" s="1164" t="s">
        <v>522</v>
      </c>
      <c r="G43" s="1164" t="s">
        <v>522</v>
      </c>
      <c r="H43" s="1164" t="s">
        <v>522</v>
      </c>
      <c r="I43" s="1164" t="s">
        <v>522</v>
      </c>
      <c r="J43" s="1164" t="s">
        <v>522</v>
      </c>
      <c r="K43" s="1164" t="s">
        <v>522</v>
      </c>
      <c r="L43" s="1164" t="s">
        <v>522</v>
      </c>
      <c r="M43" s="1164" t="s">
        <v>522</v>
      </c>
      <c r="N43" s="1164" t="s">
        <v>522</v>
      </c>
      <c r="O43" s="1164" t="s">
        <v>522</v>
      </c>
      <c r="P43" s="1165" t="s">
        <v>522</v>
      </c>
      <c r="Q43" s="3098" t="s">
        <v>516</v>
      </c>
      <c r="R43" s="3099" t="s">
        <v>229</v>
      </c>
      <c r="S43" s="3099" t="s">
        <v>229</v>
      </c>
      <c r="T43" s="3100" t="s">
        <v>229</v>
      </c>
      <c r="U43" s="1352" t="s">
        <v>20</v>
      </c>
      <c r="V43" s="1353"/>
      <c r="W43" s="1354"/>
      <c r="X43" s="1163" t="s">
        <v>4765</v>
      </c>
      <c r="Y43" s="1164"/>
      <c r="Z43" s="1164"/>
      <c r="AA43" s="1164"/>
      <c r="AB43" s="1164"/>
      <c r="AC43" s="1164"/>
      <c r="AD43" s="1164"/>
      <c r="AE43" s="1164"/>
      <c r="AF43" s="1165"/>
    </row>
    <row r="44" spans="1:32" s="40" customFormat="1" ht="48" customHeight="1" x14ac:dyDescent="0.3">
      <c r="A44" s="1349" t="s">
        <v>34</v>
      </c>
      <c r="B44" s="1350" t="s">
        <v>521</v>
      </c>
      <c r="C44" s="1350" t="s">
        <v>521</v>
      </c>
      <c r="D44" s="1351" t="s">
        <v>521</v>
      </c>
      <c r="E44" s="1163" t="s">
        <v>4766</v>
      </c>
      <c r="F44" s="1164" t="s">
        <v>522</v>
      </c>
      <c r="G44" s="1164" t="s">
        <v>522</v>
      </c>
      <c r="H44" s="1164" t="s">
        <v>522</v>
      </c>
      <c r="I44" s="1164" t="s">
        <v>522</v>
      </c>
      <c r="J44" s="1164" t="s">
        <v>522</v>
      </c>
      <c r="K44" s="1164" t="s">
        <v>522</v>
      </c>
      <c r="L44" s="1164" t="s">
        <v>522</v>
      </c>
      <c r="M44" s="1164" t="s">
        <v>522</v>
      </c>
      <c r="N44" s="1164" t="s">
        <v>522</v>
      </c>
      <c r="O44" s="1164" t="s">
        <v>522</v>
      </c>
      <c r="P44" s="1165" t="s">
        <v>522</v>
      </c>
      <c r="Q44" s="3098" t="s">
        <v>516</v>
      </c>
      <c r="R44" s="3099" t="s">
        <v>229</v>
      </c>
      <c r="S44" s="3099" t="s">
        <v>229</v>
      </c>
      <c r="T44" s="3100" t="s">
        <v>229</v>
      </c>
      <c r="U44" s="1352" t="s">
        <v>20</v>
      </c>
      <c r="V44" s="1353"/>
      <c r="W44" s="1354"/>
      <c r="X44" s="1163" t="s">
        <v>4765</v>
      </c>
      <c r="Y44" s="1164"/>
      <c r="Z44" s="1164"/>
      <c r="AA44" s="1164"/>
      <c r="AB44" s="1164"/>
      <c r="AC44" s="1164"/>
      <c r="AD44" s="1164"/>
      <c r="AE44" s="1164"/>
      <c r="AF44" s="1165"/>
    </row>
    <row r="45" spans="1:32" s="40" customFormat="1" ht="42" customHeight="1" x14ac:dyDescent="0.3">
      <c r="A45" s="1349" t="s">
        <v>24</v>
      </c>
      <c r="B45" s="1350" t="s">
        <v>206</v>
      </c>
      <c r="C45" s="1350" t="s">
        <v>206</v>
      </c>
      <c r="D45" s="1351" t="s">
        <v>206</v>
      </c>
      <c r="E45" s="1163" t="s">
        <v>911</v>
      </c>
      <c r="F45" s="1164" t="s">
        <v>523</v>
      </c>
      <c r="G45" s="1164" t="s">
        <v>523</v>
      </c>
      <c r="H45" s="1164" t="s">
        <v>523</v>
      </c>
      <c r="I45" s="1164" t="s">
        <v>523</v>
      </c>
      <c r="J45" s="1164" t="s">
        <v>523</v>
      </c>
      <c r="K45" s="1164" t="s">
        <v>523</v>
      </c>
      <c r="L45" s="1164" t="s">
        <v>523</v>
      </c>
      <c r="M45" s="1164" t="s">
        <v>523</v>
      </c>
      <c r="N45" s="1164" t="s">
        <v>523</v>
      </c>
      <c r="O45" s="1164" t="s">
        <v>523</v>
      </c>
      <c r="P45" s="1165" t="s">
        <v>523</v>
      </c>
      <c r="Q45" s="3098">
        <v>8760</v>
      </c>
      <c r="R45" s="3099">
        <v>8760</v>
      </c>
      <c r="S45" s="3099">
        <v>8760</v>
      </c>
      <c r="T45" s="3100">
        <v>8760</v>
      </c>
      <c r="U45" s="1352" t="s">
        <v>37</v>
      </c>
      <c r="V45" s="1353"/>
      <c r="W45" s="1354"/>
      <c r="X45" s="1163" t="s">
        <v>4767</v>
      </c>
      <c r="Y45" s="1164" t="s">
        <v>524</v>
      </c>
      <c r="Z45" s="1164" t="s">
        <v>524</v>
      </c>
      <c r="AA45" s="1164" t="s">
        <v>524</v>
      </c>
      <c r="AB45" s="1164" t="s">
        <v>524</v>
      </c>
      <c r="AC45" s="1164" t="s">
        <v>524</v>
      </c>
      <c r="AD45" s="1164" t="s">
        <v>524</v>
      </c>
      <c r="AE45" s="1164" t="s">
        <v>524</v>
      </c>
      <c r="AF45" s="1165" t="s">
        <v>524</v>
      </c>
    </row>
    <row r="46" spans="1:32" s="40" customFormat="1" ht="88.5" customHeight="1" x14ac:dyDescent="0.3">
      <c r="A46" s="1349" t="s">
        <v>443</v>
      </c>
      <c r="B46" s="1350" t="s">
        <v>443</v>
      </c>
      <c r="C46" s="1350" t="s">
        <v>443</v>
      </c>
      <c r="D46" s="1351" t="s">
        <v>443</v>
      </c>
      <c r="E46" s="1163" t="s">
        <v>96</v>
      </c>
      <c r="F46" s="1164" t="s">
        <v>444</v>
      </c>
      <c r="G46" s="1164" t="s">
        <v>444</v>
      </c>
      <c r="H46" s="1164" t="s">
        <v>444</v>
      </c>
      <c r="I46" s="1164" t="s">
        <v>444</v>
      </c>
      <c r="J46" s="1164" t="s">
        <v>444</v>
      </c>
      <c r="K46" s="1164" t="s">
        <v>444</v>
      </c>
      <c r="L46" s="1164" t="s">
        <v>444</v>
      </c>
      <c r="M46" s="1164" t="s">
        <v>444</v>
      </c>
      <c r="N46" s="1164" t="s">
        <v>444</v>
      </c>
      <c r="O46" s="1164" t="s">
        <v>444</v>
      </c>
      <c r="P46" s="1165" t="s">
        <v>444</v>
      </c>
      <c r="Q46" s="3205">
        <v>1</v>
      </c>
      <c r="R46" s="3206">
        <v>0.87</v>
      </c>
      <c r="S46" s="3206">
        <v>0.87</v>
      </c>
      <c r="T46" s="3207">
        <v>0.87</v>
      </c>
      <c r="U46" s="1352" t="s">
        <v>20</v>
      </c>
      <c r="V46" s="1353"/>
      <c r="W46" s="1354"/>
      <c r="X46" s="1163" t="s">
        <v>4768</v>
      </c>
      <c r="Y46" s="1164" t="s">
        <v>525</v>
      </c>
      <c r="Z46" s="1164" t="s">
        <v>525</v>
      </c>
      <c r="AA46" s="1164" t="s">
        <v>525</v>
      </c>
      <c r="AB46" s="1164" t="s">
        <v>525</v>
      </c>
      <c r="AC46" s="1164" t="s">
        <v>525</v>
      </c>
      <c r="AD46" s="1164" t="s">
        <v>525</v>
      </c>
      <c r="AE46" s="1164" t="s">
        <v>525</v>
      </c>
      <c r="AF46" s="1165" t="s">
        <v>525</v>
      </c>
    </row>
    <row r="47" spans="1:32" ht="33.75" customHeight="1" x14ac:dyDescent="0.3">
      <c r="A47" s="1349" t="s">
        <v>3886</v>
      </c>
      <c r="B47" s="1350" t="s">
        <v>26</v>
      </c>
      <c r="C47" s="1350" t="s">
        <v>26</v>
      </c>
      <c r="D47" s="1351" t="s">
        <v>26</v>
      </c>
      <c r="E47" s="1163" t="s">
        <v>2050</v>
      </c>
      <c r="F47" s="1164" t="s">
        <v>208</v>
      </c>
      <c r="G47" s="1164" t="s">
        <v>208</v>
      </c>
      <c r="H47" s="1164" t="s">
        <v>208</v>
      </c>
      <c r="I47" s="1164" t="s">
        <v>208</v>
      </c>
      <c r="J47" s="1164" t="s">
        <v>208</v>
      </c>
      <c r="K47" s="1164" t="s">
        <v>208</v>
      </c>
      <c r="L47" s="1164" t="s">
        <v>208</v>
      </c>
      <c r="M47" s="1164" t="s">
        <v>208</v>
      </c>
      <c r="N47" s="1164" t="s">
        <v>208</v>
      </c>
      <c r="O47" s="1164" t="s">
        <v>208</v>
      </c>
      <c r="P47" s="1165" t="s">
        <v>208</v>
      </c>
      <c r="Q47" s="2967">
        <f>'Master EUL'!X41</f>
        <v>5</v>
      </c>
      <c r="R47" s="2968" t="s">
        <v>503</v>
      </c>
      <c r="S47" s="2968" t="s">
        <v>503</v>
      </c>
      <c r="T47" s="2969" t="s">
        <v>503</v>
      </c>
      <c r="U47" s="1352" t="s">
        <v>38</v>
      </c>
      <c r="V47" s="1353"/>
      <c r="W47" s="1354"/>
      <c r="X47" s="1163" t="s">
        <v>4769</v>
      </c>
      <c r="Y47" s="1164"/>
      <c r="Z47" s="1164"/>
      <c r="AA47" s="1164"/>
      <c r="AB47" s="1164"/>
      <c r="AC47" s="1164"/>
      <c r="AD47" s="1164"/>
      <c r="AE47" s="1164"/>
      <c r="AF47" s="1165"/>
    </row>
    <row r="48" spans="1:32" ht="29.25" customHeight="1" x14ac:dyDescent="0.3">
      <c r="A48" s="3208" t="s">
        <v>2509</v>
      </c>
      <c r="B48" s="3208"/>
      <c r="C48" s="998" t="s">
        <v>4770</v>
      </c>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998"/>
      <c r="AC48" s="998"/>
      <c r="AD48" s="998"/>
      <c r="AE48" s="998"/>
      <c r="AF48" s="998"/>
    </row>
    <row r="49" spans="1:32" s="1" customFormat="1" x14ac:dyDescent="0.25">
      <c r="A49" s="491"/>
      <c r="B49" s="312"/>
      <c r="C49" s="3209" t="s">
        <v>4771</v>
      </c>
      <c r="D49" s="3209"/>
      <c r="E49" s="3209"/>
      <c r="F49" s="3209"/>
      <c r="G49" s="3209"/>
      <c r="H49" s="3209"/>
      <c r="I49" s="3209"/>
      <c r="J49" s="3209"/>
      <c r="K49" s="3209"/>
      <c r="L49" s="3209"/>
      <c r="M49" s="3209"/>
      <c r="N49" s="3209"/>
      <c r="O49" s="3209"/>
      <c r="P49" s="3209"/>
      <c r="Q49" s="3209"/>
      <c r="R49" s="3209"/>
      <c r="S49" s="3209"/>
      <c r="T49" s="3209"/>
      <c r="U49" s="3209"/>
      <c r="V49" s="3209"/>
      <c r="W49" s="3209"/>
      <c r="X49" s="3209"/>
      <c r="Y49" s="3209"/>
      <c r="Z49" s="3209"/>
      <c r="AA49" s="3209"/>
      <c r="AB49" s="3209"/>
      <c r="AC49" s="3209"/>
      <c r="AD49" s="3209"/>
      <c r="AE49" s="3209"/>
      <c r="AF49" s="3209"/>
    </row>
    <row r="50" spans="1:32" x14ac:dyDescent="0.3">
      <c r="A50" s="39"/>
    </row>
    <row r="51" spans="1:32" s="40" customFormat="1" x14ac:dyDescent="0.3">
      <c r="A51" s="134" t="s">
        <v>526</v>
      </c>
      <c r="B51"/>
      <c r="C51"/>
      <c r="D51"/>
      <c r="E51"/>
      <c r="F51"/>
      <c r="G51"/>
      <c r="H51"/>
      <c r="I51"/>
      <c r="J51"/>
      <c r="K51"/>
      <c r="L51"/>
      <c r="M51"/>
      <c r="N51"/>
      <c r="O51"/>
      <c r="P51"/>
      <c r="Q51"/>
      <c r="R51"/>
      <c r="S51"/>
      <c r="T51"/>
      <c r="U51"/>
      <c r="V51"/>
      <c r="W51"/>
      <c r="X51"/>
      <c r="Y51"/>
      <c r="Z51"/>
      <c r="AA51"/>
      <c r="AB51"/>
      <c r="AC51"/>
      <c r="AD51"/>
      <c r="AE51"/>
      <c r="AF51"/>
    </row>
    <row r="52" spans="1:32" s="40" customFormat="1" ht="33.75" customHeight="1" x14ac:dyDescent="0.3">
      <c r="A52" s="622"/>
      <c r="B52" s="622"/>
      <c r="C52" s="3210"/>
      <c r="D52" s="3211"/>
      <c r="E52" s="3211"/>
      <c r="F52" s="3212"/>
      <c r="G52" s="1183" t="s">
        <v>4772</v>
      </c>
      <c r="H52" s="1184"/>
      <c r="I52" s="1185"/>
      <c r="J52" s="1183" t="s">
        <v>4762</v>
      </c>
      <c r="K52" s="1184"/>
      <c r="L52" s="1185"/>
      <c r="M52" s="1183" t="s">
        <v>1522</v>
      </c>
      <c r="N52" s="1184"/>
      <c r="O52" s="1185"/>
      <c r="P52" s="1183" t="s">
        <v>34</v>
      </c>
      <c r="Q52" s="1184"/>
      <c r="R52" s="1185"/>
      <c r="S52" s="1183" t="s">
        <v>4773</v>
      </c>
      <c r="T52" s="1184"/>
      <c r="U52" s="1185"/>
      <c r="V52" s="1183" t="s">
        <v>4774</v>
      </c>
      <c r="W52" s="1184"/>
      <c r="X52" s="1185"/>
    </row>
    <row r="53" spans="1:32" s="40" customFormat="1" ht="38.25" customHeight="1" x14ac:dyDescent="0.3">
      <c r="A53" s="3213" t="s">
        <v>693</v>
      </c>
      <c r="B53" s="3214"/>
      <c r="C53" s="1151" t="s">
        <v>4775</v>
      </c>
      <c r="D53" s="1152"/>
      <c r="E53" s="1152"/>
      <c r="F53" s="1153"/>
      <c r="G53" s="3219">
        <v>312</v>
      </c>
      <c r="H53" s="3220"/>
      <c r="I53" s="3221"/>
      <c r="J53" s="1446">
        <v>0.13</v>
      </c>
      <c r="K53" s="1447"/>
      <c r="L53" s="1448"/>
      <c r="M53" s="1446">
        <v>1</v>
      </c>
      <c r="N53" s="1447"/>
      <c r="O53" s="1448"/>
      <c r="P53" s="1446">
        <v>0.91277777777777769</v>
      </c>
      <c r="Q53" s="1447"/>
      <c r="R53" s="1448"/>
      <c r="S53" s="3219">
        <f>G53*J53*M53*P53</f>
        <v>37.022266666666667</v>
      </c>
      <c r="T53" s="3220"/>
      <c r="U53" s="3221"/>
      <c r="V53" s="3222">
        <f>G53*J53*M53*P53/$Q$45*$Q$46</f>
        <v>4.2262861491628619E-3</v>
      </c>
      <c r="W53" s="3223"/>
      <c r="X53" s="3224"/>
    </row>
    <row r="54" spans="1:32" s="40" customFormat="1" ht="45" customHeight="1" x14ac:dyDescent="0.3">
      <c r="A54" s="3215"/>
      <c r="B54" s="3216"/>
      <c r="C54" s="1151" t="s">
        <v>5040</v>
      </c>
      <c r="D54" s="1152"/>
      <c r="E54" s="1152"/>
      <c r="F54" s="1153"/>
      <c r="G54" s="3219">
        <v>465.60365130535598</v>
      </c>
      <c r="H54" s="3220"/>
      <c r="I54" s="3221"/>
      <c r="J54" s="1446">
        <v>0.181091954022988</v>
      </c>
      <c r="K54" s="1447"/>
      <c r="L54" s="1448"/>
      <c r="M54" s="1446">
        <v>1</v>
      </c>
      <c r="N54" s="1447"/>
      <c r="O54" s="1448"/>
      <c r="P54" s="1446">
        <v>0.91277777777777769</v>
      </c>
      <c r="Q54" s="1447"/>
      <c r="R54" s="1448"/>
      <c r="S54" s="3219">
        <f t="shared" ref="S54:S60" si="0">G54*J54*M54*P54</f>
        <v>76.962752361027853</v>
      </c>
      <c r="T54" s="3220"/>
      <c r="U54" s="3221"/>
      <c r="V54" s="3222">
        <f t="shared" ref="V54:V60" si="1">G54*J54*M54*P54/$Q$45*$Q$46</f>
        <v>8.7857023243182487E-3</v>
      </c>
      <c r="W54" s="3223"/>
      <c r="X54" s="3224"/>
    </row>
    <row r="55" spans="1:32" ht="42.75" customHeight="1" x14ac:dyDescent="0.3">
      <c r="A55" s="3215"/>
      <c r="B55" s="3216"/>
      <c r="C55" s="1151" t="s">
        <v>4776</v>
      </c>
      <c r="D55" s="1152"/>
      <c r="E55" s="1152"/>
      <c r="F55" s="1153"/>
      <c r="G55" s="3219">
        <v>312</v>
      </c>
      <c r="H55" s="3220"/>
      <c r="I55" s="3221"/>
      <c r="J55" s="1446">
        <v>0.22530268476109699</v>
      </c>
      <c r="K55" s="1447"/>
      <c r="L55" s="1448"/>
      <c r="M55" s="1446">
        <v>1</v>
      </c>
      <c r="N55" s="1447"/>
      <c r="O55" s="1448"/>
      <c r="P55" s="1446">
        <v>0.91277777777777769</v>
      </c>
      <c r="Q55" s="1447"/>
      <c r="R55" s="1448"/>
      <c r="S55" s="3219">
        <f t="shared" si="0"/>
        <v>64.163200584163604</v>
      </c>
      <c r="T55" s="3220"/>
      <c r="U55" s="3221"/>
      <c r="V55" s="3222">
        <f t="shared" si="1"/>
        <v>7.3245662767310047E-3</v>
      </c>
      <c r="W55" s="3223"/>
      <c r="X55" s="3224"/>
      <c r="Y55" s="40"/>
      <c r="Z55" s="40"/>
      <c r="AA55" s="40"/>
      <c r="AB55" s="40"/>
      <c r="AC55" s="40"/>
      <c r="AD55" s="40"/>
      <c r="AE55" s="40"/>
      <c r="AF55" s="40"/>
    </row>
    <row r="56" spans="1:32" ht="45" customHeight="1" x14ac:dyDescent="0.3">
      <c r="A56" s="3217"/>
      <c r="B56" s="3218"/>
      <c r="C56" s="1151" t="s">
        <v>5041</v>
      </c>
      <c r="D56" s="1152"/>
      <c r="E56" s="1152"/>
      <c r="F56" s="1153"/>
      <c r="G56" s="3219">
        <v>465.60365130535598</v>
      </c>
      <c r="H56" s="3220"/>
      <c r="I56" s="3221"/>
      <c r="J56" s="1446">
        <v>0.22530268476109699</v>
      </c>
      <c r="K56" s="1447"/>
      <c r="L56" s="1448"/>
      <c r="M56" s="1446">
        <v>1</v>
      </c>
      <c r="N56" s="1447"/>
      <c r="O56" s="1448"/>
      <c r="P56" s="1446">
        <v>0.85</v>
      </c>
      <c r="Q56" s="1447"/>
      <c r="R56" s="1448"/>
      <c r="S56" s="3219">
        <f t="shared" si="0"/>
        <v>89.166489772616401</v>
      </c>
      <c r="T56" s="3220"/>
      <c r="U56" s="3221"/>
      <c r="V56" s="3222">
        <f t="shared" si="1"/>
        <v>1.0178823033403698E-2</v>
      </c>
      <c r="W56" s="3223"/>
      <c r="X56" s="3224"/>
      <c r="Y56" s="40"/>
      <c r="Z56" s="40"/>
      <c r="AA56" s="40"/>
      <c r="AB56" s="40"/>
      <c r="AC56" s="40"/>
      <c r="AD56" s="40"/>
      <c r="AE56" s="40"/>
      <c r="AF56" s="40"/>
    </row>
    <row r="57" spans="1:32" ht="47.25" customHeight="1" x14ac:dyDescent="0.3">
      <c r="A57" s="3213" t="s">
        <v>4777</v>
      </c>
      <c r="B57" s="3214"/>
      <c r="C57" s="1151" t="s">
        <v>4775</v>
      </c>
      <c r="D57" s="1152"/>
      <c r="E57" s="1152"/>
      <c r="F57" s="1153"/>
      <c r="G57" s="3219">
        <v>312</v>
      </c>
      <c r="H57" s="3220"/>
      <c r="I57" s="3221"/>
      <c r="J57" s="1446">
        <v>0.13</v>
      </c>
      <c r="K57" s="1447"/>
      <c r="L57" s="1448"/>
      <c r="M57" s="1446">
        <v>0.68151685393258432</v>
      </c>
      <c r="N57" s="1447"/>
      <c r="O57" s="1448"/>
      <c r="P57" s="1446">
        <v>0.90288888888888885</v>
      </c>
      <c r="Q57" s="1447"/>
      <c r="R57" s="1448"/>
      <c r="S57" s="3219">
        <f t="shared" si="0"/>
        <v>24.957946837453186</v>
      </c>
      <c r="T57" s="3220"/>
      <c r="U57" s="3221"/>
      <c r="V57" s="3222">
        <f t="shared" si="1"/>
        <v>2.8490806892069848E-3</v>
      </c>
      <c r="W57" s="3223"/>
      <c r="X57" s="3224"/>
      <c r="Y57" s="40"/>
      <c r="Z57" s="40"/>
      <c r="AA57" s="40"/>
      <c r="AB57" s="40"/>
      <c r="AC57" s="40"/>
      <c r="AD57" s="40"/>
      <c r="AE57" s="40"/>
      <c r="AF57" s="40"/>
    </row>
    <row r="58" spans="1:32" ht="55.5" customHeight="1" x14ac:dyDescent="0.3">
      <c r="A58" s="3215"/>
      <c r="B58" s="3216"/>
      <c r="C58" s="1151" t="s">
        <v>5040</v>
      </c>
      <c r="D58" s="1152"/>
      <c r="E58" s="1152"/>
      <c r="F58" s="1153"/>
      <c r="G58" s="3219">
        <v>465.60365130535598</v>
      </c>
      <c r="H58" s="3220"/>
      <c r="I58" s="3221"/>
      <c r="J58" s="1446">
        <v>0.181091954022988</v>
      </c>
      <c r="K58" s="1447"/>
      <c r="L58" s="1448"/>
      <c r="M58" s="1446">
        <v>0.68151685393258432</v>
      </c>
      <c r="N58" s="1447"/>
      <c r="O58" s="1448"/>
      <c r="P58" s="1446">
        <v>0.90288888888888885</v>
      </c>
      <c r="Q58" s="1447"/>
      <c r="R58" s="1448"/>
      <c r="S58" s="3219">
        <f t="shared" si="0"/>
        <v>51.883162616297795</v>
      </c>
      <c r="T58" s="3220"/>
      <c r="U58" s="3221"/>
      <c r="V58" s="3222">
        <f t="shared" si="1"/>
        <v>5.9227354584814838E-3</v>
      </c>
      <c r="W58" s="3223"/>
      <c r="X58" s="3224"/>
      <c r="Y58" s="40"/>
      <c r="Z58" s="40"/>
      <c r="AA58" s="40"/>
      <c r="AB58" s="40"/>
      <c r="AC58" s="40"/>
      <c r="AD58" s="40"/>
      <c r="AE58" s="40"/>
      <c r="AF58" s="40"/>
    </row>
    <row r="59" spans="1:32" ht="36.75" customHeight="1" x14ac:dyDescent="0.3">
      <c r="A59" s="3215"/>
      <c r="B59" s="3216"/>
      <c r="C59" s="1151" t="s">
        <v>4776</v>
      </c>
      <c r="D59" s="1152"/>
      <c r="E59" s="1152"/>
      <c r="F59" s="1153"/>
      <c r="G59" s="3219">
        <v>312</v>
      </c>
      <c r="H59" s="3220"/>
      <c r="I59" s="3221"/>
      <c r="J59" s="1446">
        <v>0.22530268476109699</v>
      </c>
      <c r="K59" s="1447"/>
      <c r="L59" s="1448"/>
      <c r="M59" s="1446">
        <v>0.68151685393258432</v>
      </c>
      <c r="N59" s="1447"/>
      <c r="O59" s="1448"/>
      <c r="P59" s="1446">
        <v>0.90288888888888885</v>
      </c>
      <c r="Q59" s="1447"/>
      <c r="R59" s="1448"/>
      <c r="S59" s="3219">
        <f t="shared" si="0"/>
        <v>43.254557143099483</v>
      </c>
      <c r="T59" s="3220"/>
      <c r="U59" s="3221"/>
      <c r="V59" s="3222">
        <f t="shared" si="1"/>
        <v>4.9377348336871558E-3</v>
      </c>
      <c r="W59" s="3223"/>
      <c r="X59" s="3224"/>
      <c r="Y59" s="40"/>
      <c r="Z59" s="40"/>
      <c r="AA59" s="40"/>
      <c r="AB59" s="40"/>
      <c r="AC59" s="40"/>
      <c r="AD59" s="40"/>
      <c r="AE59" s="40"/>
      <c r="AF59" s="40"/>
    </row>
    <row r="60" spans="1:32" ht="62.25" customHeight="1" x14ac:dyDescent="0.3">
      <c r="A60" s="3217"/>
      <c r="B60" s="3218"/>
      <c r="C60" s="1151" t="s">
        <v>5041</v>
      </c>
      <c r="D60" s="1152"/>
      <c r="E60" s="1152"/>
      <c r="F60" s="1153"/>
      <c r="G60" s="3219">
        <v>465.60365130535598</v>
      </c>
      <c r="H60" s="3220"/>
      <c r="I60" s="3221"/>
      <c r="J60" s="1446">
        <v>0.22530268476109699</v>
      </c>
      <c r="K60" s="1447"/>
      <c r="L60" s="1448"/>
      <c r="M60" s="1446">
        <v>0.61348314606741583</v>
      </c>
      <c r="N60" s="1447"/>
      <c r="O60" s="1448"/>
      <c r="P60" s="1446">
        <v>0.89875000000000005</v>
      </c>
      <c r="Q60" s="1447"/>
      <c r="R60" s="1448"/>
      <c r="S60" s="3219">
        <f t="shared" si="0"/>
        <v>57.839467210831323</v>
      </c>
      <c r="T60" s="3220"/>
      <c r="U60" s="3221"/>
      <c r="V60" s="3222">
        <f t="shared" si="1"/>
        <v>6.602678905346041E-3</v>
      </c>
      <c r="W60" s="3223"/>
      <c r="X60" s="3224"/>
      <c r="Y60" s="40"/>
      <c r="Z60" s="40"/>
      <c r="AA60" s="40"/>
      <c r="AB60" s="40"/>
      <c r="AC60" s="40"/>
      <c r="AD60" s="40"/>
      <c r="AE60" s="40"/>
      <c r="AF60" s="40"/>
    </row>
    <row r="61" spans="1:32" ht="30.75" customHeight="1" x14ac:dyDescent="0.3">
      <c r="A61" s="1083" t="s">
        <v>831</v>
      </c>
      <c r="B61" s="1083"/>
      <c r="C61" s="998" t="s">
        <v>5044</v>
      </c>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row>
    <row r="62" spans="1:32" x14ac:dyDescent="0.3">
      <c r="A62" s="351"/>
      <c r="B62" s="351"/>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row>
    <row r="63" spans="1:32" s="1" customFormat="1" x14ac:dyDescent="0.3">
      <c r="A63" s="134" t="s">
        <v>4778</v>
      </c>
      <c r="B63"/>
      <c r="C63"/>
      <c r="D63"/>
      <c r="E63"/>
      <c r="F63"/>
      <c r="G63"/>
      <c r="H63"/>
      <c r="I63"/>
      <c r="J63"/>
      <c r="K63"/>
      <c r="L63"/>
      <c r="M63"/>
      <c r="N63"/>
      <c r="O63"/>
      <c r="P63"/>
      <c r="Q63"/>
      <c r="R63"/>
      <c r="S63"/>
      <c r="T63"/>
      <c r="U63"/>
      <c r="V63"/>
      <c r="W63"/>
      <c r="X63"/>
      <c r="Y63"/>
      <c r="Z63"/>
      <c r="AA63"/>
      <c r="AB63"/>
      <c r="AC63"/>
      <c r="AD63"/>
      <c r="AE63"/>
      <c r="AF63"/>
    </row>
    <row r="64" spans="1:32" x14ac:dyDescent="0.3">
      <c r="A64" s="618"/>
      <c r="B64" s="618"/>
      <c r="C64" s="1183" t="s">
        <v>4779</v>
      </c>
      <c r="D64" s="1184"/>
      <c r="E64" s="1184"/>
      <c r="F64" s="1185"/>
      <c r="G64" s="3225" t="s">
        <v>22</v>
      </c>
      <c r="H64" s="3226"/>
      <c r="I64" s="3227"/>
      <c r="J64" s="619"/>
      <c r="K64" s="619"/>
      <c r="L64" s="619"/>
      <c r="M64" s="619"/>
      <c r="N64" s="619"/>
      <c r="O64" s="619"/>
      <c r="P64" s="619"/>
      <c r="Q64" s="619"/>
      <c r="R64" s="619"/>
      <c r="S64" s="619"/>
      <c r="T64" s="619"/>
      <c r="U64" s="619"/>
      <c r="V64" s="619"/>
      <c r="W64" s="619"/>
      <c r="X64" s="619"/>
      <c r="Y64" s="619"/>
      <c r="Z64" s="619"/>
      <c r="AA64" s="619"/>
      <c r="AB64" s="619"/>
      <c r="AC64" s="619"/>
      <c r="AD64" s="619"/>
      <c r="AE64" s="619"/>
      <c r="AF64" s="619"/>
    </row>
    <row r="65" spans="1:32" x14ac:dyDescent="0.3">
      <c r="A65" s="618"/>
      <c r="B65" s="618"/>
      <c r="C65" s="1151" t="s">
        <v>4780</v>
      </c>
      <c r="D65" s="1152"/>
      <c r="E65" s="1152"/>
      <c r="F65" s="1153"/>
      <c r="G65" s="1446">
        <v>0.35464535464535463</v>
      </c>
      <c r="H65" s="1447"/>
      <c r="I65" s="1448"/>
      <c r="J65" s="619"/>
      <c r="K65" s="619"/>
      <c r="L65" s="619"/>
      <c r="M65" s="619"/>
      <c r="N65" s="619"/>
      <c r="O65" s="619"/>
      <c r="P65" s="619"/>
      <c r="Q65" s="619"/>
      <c r="R65" s="619"/>
      <c r="S65" s="619"/>
      <c r="T65" s="619"/>
      <c r="U65" s="619"/>
      <c r="V65" s="619"/>
      <c r="W65" s="619"/>
      <c r="X65" s="619"/>
      <c r="Y65" s="619"/>
      <c r="Z65" s="619"/>
      <c r="AA65" s="619"/>
      <c r="AB65" s="619"/>
      <c r="AC65" s="619"/>
      <c r="AD65" s="619"/>
      <c r="AE65" s="619"/>
      <c r="AF65" s="619"/>
    </row>
    <row r="66" spans="1:32" ht="30" customHeight="1" x14ac:dyDescent="0.3">
      <c r="A66" s="618"/>
      <c r="B66" s="618"/>
      <c r="C66" s="1151" t="s">
        <v>5042</v>
      </c>
      <c r="D66" s="1152"/>
      <c r="E66" s="1152"/>
      <c r="F66" s="1153"/>
      <c r="G66" s="1446">
        <v>0.64535464535464537</v>
      </c>
      <c r="H66" s="1447"/>
      <c r="I66" s="1448"/>
      <c r="J66" s="619"/>
      <c r="K66" s="619"/>
      <c r="L66" s="619"/>
      <c r="M66" s="619"/>
      <c r="N66" s="619"/>
      <c r="O66" s="619"/>
      <c r="P66" s="619"/>
      <c r="Q66" s="619"/>
      <c r="R66" s="619"/>
      <c r="S66" s="619"/>
      <c r="T66" s="619"/>
      <c r="U66" s="619"/>
      <c r="V66" s="619"/>
      <c r="W66" s="619"/>
      <c r="X66" s="619"/>
      <c r="Y66" s="619"/>
      <c r="Z66" s="619"/>
      <c r="AA66" s="619"/>
      <c r="AB66" s="619"/>
      <c r="AC66" s="619"/>
      <c r="AD66" s="619"/>
      <c r="AE66" s="619"/>
      <c r="AF66" s="619"/>
    </row>
    <row r="67" spans="1:32" ht="46.5" customHeight="1" x14ac:dyDescent="0.3">
      <c r="A67" s="1084" t="s">
        <v>831</v>
      </c>
      <c r="B67" s="1084"/>
      <c r="C67" s="1082" t="s">
        <v>4781</v>
      </c>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c r="AA67" s="1082"/>
      <c r="AB67" s="1082"/>
      <c r="AC67" s="1082"/>
      <c r="AD67" s="1082"/>
      <c r="AE67" s="1082"/>
      <c r="AF67" s="1082"/>
    </row>
    <row r="68" spans="1:32" x14ac:dyDescent="0.3">
      <c r="A68" s="39"/>
    </row>
    <row r="69" spans="1:32" x14ac:dyDescent="0.3">
      <c r="A69" s="39"/>
    </row>
    <row r="70" spans="1:32" x14ac:dyDescent="0.3">
      <c r="A70" s="1141" t="s">
        <v>14</v>
      </c>
      <c r="B70" s="1141"/>
      <c r="C70" s="1141"/>
      <c r="D70" s="1141"/>
      <c r="E70" s="1141"/>
      <c r="F70" s="1141"/>
      <c r="G70" s="1141"/>
      <c r="H70" s="1141"/>
      <c r="I70" s="1141"/>
      <c r="J70" s="1141"/>
      <c r="K70" s="1141"/>
      <c r="L70" s="1141"/>
      <c r="M70" s="1141"/>
      <c r="N70" s="1141"/>
      <c r="O70" s="1141"/>
      <c r="P70" s="1141"/>
      <c r="Q70" s="1141"/>
      <c r="R70" s="1141"/>
      <c r="S70" s="1141"/>
      <c r="T70" s="1141"/>
      <c r="U70" s="1141"/>
      <c r="V70" s="1141"/>
      <c r="W70" s="1141"/>
      <c r="X70" s="1141"/>
      <c r="Y70" s="1141"/>
      <c r="Z70" s="1141"/>
      <c r="AA70" s="1141"/>
      <c r="AB70" s="1141"/>
      <c r="AC70" s="1141"/>
      <c r="AD70" s="1141"/>
      <c r="AE70" s="1141"/>
      <c r="AF70" s="1141"/>
    </row>
    <row r="71" spans="1:32" ht="16.2" thickBot="1" x14ac:dyDescent="0.35">
      <c r="A71" s="21"/>
    </row>
    <row r="72" spans="1:32" ht="30" customHeight="1" x14ac:dyDescent="0.3">
      <c r="A72" s="1252" t="s">
        <v>15</v>
      </c>
      <c r="B72" s="1253"/>
      <c r="C72" s="1253"/>
      <c r="D72" s="1253"/>
      <c r="E72" s="1253"/>
      <c r="F72" s="1253"/>
      <c r="G72" s="1253"/>
      <c r="H72" s="1253"/>
      <c r="I72" s="1253" t="s">
        <v>16</v>
      </c>
      <c r="J72" s="1253"/>
      <c r="K72" s="1253"/>
      <c r="L72" s="1253"/>
      <c r="M72" s="1253"/>
      <c r="N72" s="1253"/>
      <c r="O72" s="1253"/>
      <c r="P72" s="1253"/>
      <c r="Q72" s="1253" t="s">
        <v>17</v>
      </c>
      <c r="R72" s="1253"/>
      <c r="S72" s="1253"/>
      <c r="T72" s="1253"/>
      <c r="U72" s="1253"/>
      <c r="V72" s="1253"/>
      <c r="W72" s="1253"/>
      <c r="X72" s="1279"/>
      <c r="Y72" s="1312" t="s">
        <v>1826</v>
      </c>
      <c r="Z72" s="1312"/>
      <c r="AA72" s="1312"/>
      <c r="AB72" s="1312"/>
      <c r="AC72" s="1312"/>
      <c r="AD72" s="1312"/>
      <c r="AE72" s="1312"/>
      <c r="AF72" s="1313"/>
    </row>
    <row r="73" spans="1:32" ht="30" customHeight="1" x14ac:dyDescent="0.3">
      <c r="A73" s="1635" t="s">
        <v>4782</v>
      </c>
      <c r="B73" s="1593"/>
      <c r="C73" s="1593"/>
      <c r="D73" s="1593"/>
      <c r="E73" s="1593"/>
      <c r="F73" s="1593"/>
      <c r="G73" s="1593"/>
      <c r="H73" s="1593"/>
      <c r="I73" s="1455">
        <f>ROUND(SUMPRODUCT($V$53:$X$54,$G$65:$I$66),3)</f>
        <v>7.0000000000000001E-3</v>
      </c>
      <c r="J73" s="1455"/>
      <c r="K73" s="1455"/>
      <c r="L73" s="1455"/>
      <c r="M73" s="1455"/>
      <c r="N73" s="1455"/>
      <c r="O73" s="1455"/>
      <c r="P73" s="1455"/>
      <c r="Q73" s="1456">
        <f>ROUND(SUMPRODUCT($S$53:$U$54,$G$65:$I$66),2)</f>
        <v>62.8</v>
      </c>
      <c r="R73" s="1456"/>
      <c r="S73" s="1456"/>
      <c r="T73" s="1456"/>
      <c r="U73" s="1456"/>
      <c r="V73" s="1456"/>
      <c r="W73" s="1456"/>
      <c r="X73" s="2915"/>
      <c r="Y73" s="2326">
        <f>ROUND(Q73*$Q$47,2)</f>
        <v>314</v>
      </c>
      <c r="Z73" s="2326"/>
      <c r="AA73" s="2326"/>
      <c r="AB73" s="2326"/>
      <c r="AC73" s="2326"/>
      <c r="AD73" s="2326"/>
      <c r="AE73" s="2326"/>
      <c r="AF73" s="2327"/>
    </row>
    <row r="74" spans="1:32" ht="30" customHeight="1" thickBot="1" x14ac:dyDescent="0.35">
      <c r="A74" s="3228" t="s">
        <v>4783</v>
      </c>
      <c r="B74" s="3229"/>
      <c r="C74" s="3229"/>
      <c r="D74" s="3229"/>
      <c r="E74" s="3229"/>
      <c r="F74" s="3229"/>
      <c r="G74" s="3229"/>
      <c r="H74" s="3229"/>
      <c r="I74" s="3230">
        <f>ROUND(SUMPRODUCT($V$55:$X$56,$G$65:$I$66),3)</f>
        <v>8.9999999999999993E-3</v>
      </c>
      <c r="J74" s="3230"/>
      <c r="K74" s="3230"/>
      <c r="L74" s="3230"/>
      <c r="M74" s="3230"/>
      <c r="N74" s="3230"/>
      <c r="O74" s="3230"/>
      <c r="P74" s="3230"/>
      <c r="Q74" s="3231">
        <f>ROUND(SUMPRODUCT($S$55:$U$56,$G$65:$I$66),2)</f>
        <v>80.3</v>
      </c>
      <c r="R74" s="3231"/>
      <c r="S74" s="3231"/>
      <c r="T74" s="3231"/>
      <c r="U74" s="3231"/>
      <c r="V74" s="3231"/>
      <c r="W74" s="3231"/>
      <c r="X74" s="3232"/>
      <c r="Y74" s="3233">
        <f>ROUND(Q74*$Q$47,2)</f>
        <v>401.5</v>
      </c>
      <c r="Z74" s="3233"/>
      <c r="AA74" s="3233"/>
      <c r="AB74" s="3233"/>
      <c r="AC74" s="3233"/>
      <c r="AD74" s="3233"/>
      <c r="AE74" s="3233"/>
      <c r="AF74" s="3234"/>
    </row>
    <row r="75" spans="1:32" ht="30" customHeight="1" x14ac:dyDescent="0.3">
      <c r="A75" s="1629" t="s">
        <v>4784</v>
      </c>
      <c r="B75" s="3235"/>
      <c r="C75" s="3235"/>
      <c r="D75" s="3235"/>
      <c r="E75" s="3235"/>
      <c r="F75" s="3235"/>
      <c r="G75" s="3235"/>
      <c r="H75" s="3235"/>
      <c r="I75" s="1631">
        <f>ROUND(SUMPRODUCT($V$57:$X$58,$G$65:$I$66),3)</f>
        <v>5.0000000000000001E-3</v>
      </c>
      <c r="J75" s="1631"/>
      <c r="K75" s="1631"/>
      <c r="L75" s="1631"/>
      <c r="M75" s="1631"/>
      <c r="N75" s="1631"/>
      <c r="O75" s="1631"/>
      <c r="P75" s="1631"/>
      <c r="Q75" s="3236">
        <f>ROUND(SUMPRODUCT($S$57:$U$58,$G$65:$I$66),2)</f>
        <v>42.33</v>
      </c>
      <c r="R75" s="3236"/>
      <c r="S75" s="3236"/>
      <c r="T75" s="3236"/>
      <c r="U75" s="3236"/>
      <c r="V75" s="3236"/>
      <c r="W75" s="3236"/>
      <c r="X75" s="3237"/>
      <c r="Y75" s="3238">
        <f>ROUND(Q75*$Q$47,2)</f>
        <v>211.65</v>
      </c>
      <c r="Z75" s="3238"/>
      <c r="AA75" s="3238"/>
      <c r="AB75" s="3238"/>
      <c r="AC75" s="3238"/>
      <c r="AD75" s="3238"/>
      <c r="AE75" s="3238"/>
      <c r="AF75" s="3239"/>
    </row>
    <row r="76" spans="1:32" ht="30" customHeight="1" thickBot="1" x14ac:dyDescent="0.35">
      <c r="A76" s="1408" t="s">
        <v>4785</v>
      </c>
      <c r="B76" s="1409"/>
      <c r="C76" s="1409"/>
      <c r="D76" s="1409"/>
      <c r="E76" s="1409"/>
      <c r="F76" s="1409"/>
      <c r="G76" s="1409"/>
      <c r="H76" s="1409"/>
      <c r="I76" s="1414">
        <f>ROUND(SUMPRODUCT($V$59:$X$60,$G$65:$I$66),3)</f>
        <v>6.0000000000000001E-3</v>
      </c>
      <c r="J76" s="1414"/>
      <c r="K76" s="1414"/>
      <c r="L76" s="1414"/>
      <c r="M76" s="1414"/>
      <c r="N76" s="1414"/>
      <c r="O76" s="1414"/>
      <c r="P76" s="1414"/>
      <c r="Q76" s="1415">
        <f>ROUND(SUMPRODUCT($S$59:$U$60,$G$65:$I$66),2)</f>
        <v>52.67</v>
      </c>
      <c r="R76" s="1415"/>
      <c r="S76" s="1415"/>
      <c r="T76" s="1415"/>
      <c r="U76" s="1415"/>
      <c r="V76" s="1415"/>
      <c r="W76" s="1415"/>
      <c r="X76" s="2881"/>
      <c r="Y76" s="2324">
        <f>ROUND(Q76*$Q$47,2)</f>
        <v>263.35000000000002</v>
      </c>
      <c r="Z76" s="2324"/>
      <c r="AA76" s="2324"/>
      <c r="AB76" s="2324"/>
      <c r="AC76" s="2324"/>
      <c r="AD76" s="2324"/>
      <c r="AE76" s="2324"/>
      <c r="AF76" s="2325"/>
    </row>
    <row r="77" spans="1:32"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row>
    <row r="78" spans="1:32" x14ac:dyDescent="0.3">
      <c r="B78" s="22"/>
      <c r="C78" s="43"/>
    </row>
    <row r="79" spans="1:32" x14ac:dyDescent="0.3">
      <c r="A79" s="1290" t="s">
        <v>1514</v>
      </c>
      <c r="B79" s="1290"/>
      <c r="C79" s="1290"/>
      <c r="D79" s="1290"/>
      <c r="E79" s="1290"/>
      <c r="F79" s="1290"/>
      <c r="G79" s="1290"/>
      <c r="H79" s="1290"/>
      <c r="I79" s="1290"/>
      <c r="J79" s="1290"/>
      <c r="K79" s="1290"/>
      <c r="L79" s="1290"/>
      <c r="M79" s="1290"/>
      <c r="N79" s="1290"/>
      <c r="O79" s="1290"/>
      <c r="P79" s="1290"/>
      <c r="Q79" s="1290"/>
      <c r="R79" s="1290"/>
      <c r="S79" s="1290"/>
      <c r="T79" s="1290"/>
      <c r="U79" s="1290"/>
      <c r="V79" s="1290"/>
      <c r="W79" s="1290"/>
      <c r="X79" s="1290"/>
      <c r="Y79" s="1290"/>
      <c r="Z79" s="1290"/>
      <c r="AA79" s="1290"/>
      <c r="AB79" s="1290"/>
      <c r="AC79" s="1290"/>
      <c r="AD79" s="1290"/>
      <c r="AE79" s="1290"/>
      <c r="AF79" s="1290"/>
    </row>
    <row r="81" spans="1:32" x14ac:dyDescent="0.3">
      <c r="A81" s="368" t="s">
        <v>803</v>
      </c>
      <c r="B81" s="889" t="s">
        <v>4786</v>
      </c>
      <c r="C81" s="889"/>
      <c r="D81" s="889"/>
      <c r="E81" s="889"/>
      <c r="F81" s="889"/>
      <c r="G81" s="889"/>
      <c r="H81" s="889"/>
      <c r="I81" s="889"/>
      <c r="J81" s="889"/>
      <c r="K81" s="889"/>
      <c r="L81" s="889"/>
      <c r="M81" s="889"/>
      <c r="N81" s="889"/>
      <c r="O81" s="889"/>
      <c r="P81" s="889"/>
      <c r="Q81" s="889"/>
      <c r="R81" s="889"/>
      <c r="S81" s="889"/>
      <c r="T81" s="889"/>
      <c r="U81" s="889"/>
      <c r="V81" s="889"/>
      <c r="W81" s="889"/>
      <c r="X81" s="889"/>
      <c r="Y81" s="889"/>
      <c r="Z81" s="889"/>
      <c r="AA81" s="889"/>
      <c r="AB81" s="889"/>
      <c r="AC81" s="889"/>
      <c r="AD81" s="889"/>
      <c r="AE81" s="889"/>
      <c r="AF81" s="889"/>
    </row>
    <row r="82" spans="1:32" ht="30.75" customHeight="1" x14ac:dyDescent="0.3">
      <c r="A82" s="368" t="s">
        <v>803</v>
      </c>
      <c r="B82" s="953" t="s">
        <v>5043</v>
      </c>
      <c r="C82" s="953"/>
      <c r="D82" s="953"/>
      <c r="E82" s="953"/>
      <c r="F82" s="953"/>
      <c r="G82" s="953"/>
      <c r="H82" s="953"/>
      <c r="I82" s="953"/>
      <c r="J82" s="953"/>
      <c r="K82" s="953"/>
      <c r="L82" s="953"/>
      <c r="M82" s="953"/>
      <c r="N82" s="953"/>
      <c r="O82" s="953"/>
      <c r="P82" s="953"/>
      <c r="Q82" s="953"/>
      <c r="R82" s="953"/>
      <c r="S82" s="953"/>
      <c r="T82" s="953"/>
      <c r="U82" s="953"/>
      <c r="V82" s="953"/>
      <c r="W82" s="953"/>
      <c r="X82" s="953"/>
      <c r="Y82" s="953"/>
      <c r="Z82" s="953"/>
      <c r="AA82" s="953"/>
      <c r="AB82" s="953"/>
      <c r="AC82" s="953"/>
      <c r="AD82" s="953"/>
      <c r="AE82" s="953"/>
      <c r="AF82" s="953"/>
    </row>
    <row r="83" spans="1:32" ht="50.25" customHeight="1" x14ac:dyDescent="0.3">
      <c r="A83" s="368" t="s">
        <v>803</v>
      </c>
      <c r="B83" s="889" t="s">
        <v>4787</v>
      </c>
      <c r="C83" s="889"/>
      <c r="D83" s="889"/>
      <c r="E83" s="889"/>
      <c r="F83" s="889"/>
      <c r="G83" s="889"/>
      <c r="H83" s="889"/>
      <c r="I83" s="889"/>
      <c r="J83" s="889"/>
      <c r="K83" s="889"/>
      <c r="L83" s="889"/>
      <c r="M83" s="889"/>
      <c r="N83" s="889"/>
      <c r="O83" s="889"/>
      <c r="P83" s="889"/>
      <c r="Q83" s="889"/>
      <c r="R83" s="889"/>
      <c r="S83" s="889"/>
      <c r="T83" s="889"/>
      <c r="U83" s="889"/>
      <c r="V83" s="889"/>
      <c r="W83" s="889"/>
      <c r="X83" s="889"/>
      <c r="Y83" s="889"/>
      <c r="Z83" s="889"/>
      <c r="AA83" s="889"/>
      <c r="AB83" s="889"/>
      <c r="AC83" s="889"/>
      <c r="AD83" s="889"/>
      <c r="AE83" s="889"/>
      <c r="AF83" s="889"/>
    </row>
    <row r="84" spans="1:32" ht="63.75" customHeight="1" x14ac:dyDescent="0.3">
      <c r="A84" s="368" t="s">
        <v>803</v>
      </c>
      <c r="B84" s="863" t="s">
        <v>912</v>
      </c>
      <c r="C84" s="863"/>
      <c r="D84" s="863"/>
      <c r="E84" s="863"/>
      <c r="F84" s="863"/>
      <c r="G84" s="863"/>
      <c r="H84" s="863"/>
      <c r="I84" s="863"/>
      <c r="J84" s="863"/>
      <c r="K84" s="863"/>
      <c r="L84" s="863"/>
      <c r="M84" s="863"/>
      <c r="N84" s="863"/>
      <c r="O84" s="863"/>
      <c r="P84" s="863"/>
      <c r="Q84" s="863"/>
      <c r="R84" s="863"/>
      <c r="S84" s="863"/>
      <c r="T84" s="863"/>
      <c r="U84" s="863"/>
      <c r="V84" s="863"/>
      <c r="W84" s="863"/>
      <c r="X84" s="863"/>
      <c r="Y84" s="863"/>
      <c r="Z84" s="863"/>
      <c r="AA84" s="863"/>
      <c r="AB84" s="863"/>
      <c r="AC84" s="863"/>
      <c r="AD84" s="863"/>
      <c r="AE84" s="863"/>
      <c r="AF84" s="863"/>
    </row>
    <row r="85" spans="1:32" ht="33.75" customHeight="1" x14ac:dyDescent="0.3">
      <c r="A85" s="368" t="s">
        <v>803</v>
      </c>
      <c r="B85" s="863" t="s">
        <v>4789</v>
      </c>
      <c r="C85" s="863"/>
      <c r="D85" s="863"/>
      <c r="E85" s="863"/>
      <c r="F85" s="863"/>
      <c r="G85" s="863"/>
      <c r="H85" s="863"/>
      <c r="I85" s="863"/>
      <c r="J85" s="863"/>
      <c r="K85" s="863"/>
      <c r="L85" s="863"/>
      <c r="M85" s="863"/>
      <c r="N85" s="863"/>
      <c r="O85" s="863"/>
      <c r="P85" s="863"/>
      <c r="Q85" s="863"/>
      <c r="R85" s="863"/>
      <c r="S85" s="863"/>
      <c r="T85" s="863"/>
      <c r="U85" s="863"/>
      <c r="V85" s="863"/>
      <c r="W85" s="863"/>
      <c r="X85" s="863"/>
      <c r="Y85" s="863"/>
      <c r="Z85" s="863"/>
      <c r="AA85" s="863"/>
      <c r="AB85" s="863"/>
      <c r="AC85" s="863"/>
      <c r="AD85" s="863"/>
      <c r="AE85" s="863"/>
      <c r="AF85" s="863"/>
    </row>
    <row r="86" spans="1:32" ht="48" customHeight="1" x14ac:dyDescent="0.3">
      <c r="A86" s="368" t="s">
        <v>803</v>
      </c>
      <c r="B86" s="863" t="s">
        <v>4790</v>
      </c>
      <c r="C86" s="863"/>
      <c r="D86" s="863"/>
      <c r="E86" s="863"/>
      <c r="F86" s="863"/>
      <c r="G86" s="863"/>
      <c r="H86" s="863"/>
      <c r="I86" s="863"/>
      <c r="J86" s="863"/>
      <c r="K86" s="863"/>
      <c r="L86" s="863"/>
      <c r="M86" s="863"/>
      <c r="N86" s="863"/>
      <c r="O86" s="863"/>
      <c r="P86" s="863"/>
      <c r="Q86" s="863"/>
      <c r="R86" s="863"/>
      <c r="S86" s="863"/>
      <c r="T86" s="863"/>
      <c r="U86" s="863"/>
      <c r="V86" s="863"/>
      <c r="W86" s="863"/>
      <c r="X86" s="863"/>
      <c r="Y86" s="863"/>
      <c r="Z86" s="863"/>
      <c r="AA86" s="863"/>
      <c r="AB86" s="863"/>
      <c r="AC86" s="863"/>
      <c r="AD86" s="863"/>
      <c r="AE86" s="863"/>
      <c r="AF86" s="863"/>
    </row>
    <row r="87" spans="1:32" x14ac:dyDescent="0.3">
      <c r="A87" s="368" t="s">
        <v>803</v>
      </c>
      <c r="B87" s="863" t="s">
        <v>4788</v>
      </c>
      <c r="C87" s="863"/>
      <c r="D87" s="863"/>
      <c r="E87" s="863"/>
      <c r="F87" s="863"/>
      <c r="G87" s="863"/>
      <c r="H87" s="863"/>
      <c r="I87" s="863"/>
      <c r="J87" s="863"/>
      <c r="K87" s="863"/>
      <c r="L87" s="863"/>
      <c r="M87" s="863"/>
      <c r="N87" s="863"/>
      <c r="O87" s="863"/>
      <c r="P87" s="863"/>
      <c r="Q87" s="863"/>
      <c r="R87" s="863"/>
      <c r="S87" s="863"/>
      <c r="T87" s="863"/>
      <c r="U87" s="863"/>
      <c r="V87" s="863"/>
      <c r="W87" s="863"/>
      <c r="X87" s="863"/>
      <c r="Y87" s="863"/>
      <c r="Z87" s="863"/>
      <c r="AA87" s="863"/>
      <c r="AB87" s="863"/>
      <c r="AC87" s="863"/>
      <c r="AD87" s="863"/>
      <c r="AE87" s="863"/>
      <c r="AF87" s="863"/>
    </row>
  </sheetData>
  <sheetProtection algorithmName="SHA-512" hashValue="UpFFVpzrYpi9XRJHvKjNsAg44th3zIsHpIP3uU3qZ9tMA0ifLGzi1iCfZEwPHV2zb4+rqkEtWHzws9/lSEyvjg==" saltValue="uTYYzVbwnBfP9DPF59mlIQ==" spinCount="100000" sheet="1" objects="1" scenarios="1"/>
  <mergeCells count="162">
    <mergeCell ref="B86:AF86"/>
    <mergeCell ref="B87:AF87"/>
    <mergeCell ref="B81:AF81"/>
    <mergeCell ref="B82:AF82"/>
    <mergeCell ref="B83:AF83"/>
    <mergeCell ref="B84:AF84"/>
    <mergeCell ref="B85:AF85"/>
    <mergeCell ref="A76:H76"/>
    <mergeCell ref="I76:P76"/>
    <mergeCell ref="Q76:X76"/>
    <mergeCell ref="Y76:AF76"/>
    <mergeCell ref="A79:AF79"/>
    <mergeCell ref="A74:H74"/>
    <mergeCell ref="I74:P74"/>
    <mergeCell ref="Q74:X74"/>
    <mergeCell ref="Y74:AF74"/>
    <mergeCell ref="A75:H75"/>
    <mergeCell ref="I75:P75"/>
    <mergeCell ref="Q75:X75"/>
    <mergeCell ref="Y75:AF75"/>
    <mergeCell ref="A72:H72"/>
    <mergeCell ref="I72:P72"/>
    <mergeCell ref="Q72:X72"/>
    <mergeCell ref="Y72:AF72"/>
    <mergeCell ref="A73:H73"/>
    <mergeCell ref="I73:P73"/>
    <mergeCell ref="Q73:X73"/>
    <mergeCell ref="Y73:AF73"/>
    <mergeCell ref="C66:F66"/>
    <mergeCell ref="G66:I66"/>
    <mergeCell ref="A67:B67"/>
    <mergeCell ref="C67:AF67"/>
    <mergeCell ref="A70:AF70"/>
    <mergeCell ref="A61:B61"/>
    <mergeCell ref="C61:AF61"/>
    <mergeCell ref="C64:F64"/>
    <mergeCell ref="G64:I64"/>
    <mergeCell ref="C65:F65"/>
    <mergeCell ref="G65:I65"/>
    <mergeCell ref="P59:R59"/>
    <mergeCell ref="S59:U59"/>
    <mergeCell ref="V59:X59"/>
    <mergeCell ref="C60:F60"/>
    <mergeCell ref="G60:I60"/>
    <mergeCell ref="J60:L60"/>
    <mergeCell ref="M60:O60"/>
    <mergeCell ref="P60:R60"/>
    <mergeCell ref="S60:U60"/>
    <mergeCell ref="V60:X60"/>
    <mergeCell ref="P57:R57"/>
    <mergeCell ref="S57:U57"/>
    <mergeCell ref="V57:X57"/>
    <mergeCell ref="C58:F58"/>
    <mergeCell ref="G58:I58"/>
    <mergeCell ref="J58:L58"/>
    <mergeCell ref="M58:O58"/>
    <mergeCell ref="P58:R58"/>
    <mergeCell ref="S58:U58"/>
    <mergeCell ref="V58:X58"/>
    <mergeCell ref="A57:B60"/>
    <mergeCell ref="C57:F57"/>
    <mergeCell ref="G57:I57"/>
    <mergeCell ref="J57:L57"/>
    <mergeCell ref="M57:O57"/>
    <mergeCell ref="C59:F59"/>
    <mergeCell ref="G59:I59"/>
    <mergeCell ref="J59:L59"/>
    <mergeCell ref="M59:O59"/>
    <mergeCell ref="P55:R55"/>
    <mergeCell ref="S55:U55"/>
    <mergeCell ref="V55:X55"/>
    <mergeCell ref="C56:F56"/>
    <mergeCell ref="G56:I56"/>
    <mergeCell ref="J56:L56"/>
    <mergeCell ref="M56:O56"/>
    <mergeCell ref="P56:R56"/>
    <mergeCell ref="S56:U56"/>
    <mergeCell ref="V56:X56"/>
    <mergeCell ref="P53:R53"/>
    <mergeCell ref="S53:U53"/>
    <mergeCell ref="V53:X53"/>
    <mergeCell ref="C54:F54"/>
    <mergeCell ref="G54:I54"/>
    <mergeCell ref="J54:L54"/>
    <mergeCell ref="M54:O54"/>
    <mergeCell ref="P54:R54"/>
    <mergeCell ref="S54:U54"/>
    <mergeCell ref="V54:X54"/>
    <mergeCell ref="A53:B56"/>
    <mergeCell ref="C53:F53"/>
    <mergeCell ref="G53:I53"/>
    <mergeCell ref="J53:L53"/>
    <mergeCell ref="M53:O53"/>
    <mergeCell ref="C55:F55"/>
    <mergeCell ref="G55:I55"/>
    <mergeCell ref="J55:L55"/>
    <mergeCell ref="M55:O55"/>
    <mergeCell ref="A48:B48"/>
    <mergeCell ref="C48:AF48"/>
    <mergeCell ref="C49:AF49"/>
    <mergeCell ref="C52:F52"/>
    <mergeCell ref="G52:I52"/>
    <mergeCell ref="J52:L52"/>
    <mergeCell ref="M52:O52"/>
    <mergeCell ref="P52:R52"/>
    <mergeCell ref="S52:U52"/>
    <mergeCell ref="V52:X52"/>
    <mergeCell ref="A47:D47"/>
    <mergeCell ref="E47:P47"/>
    <mergeCell ref="Q47:T47"/>
    <mergeCell ref="U47:W47"/>
    <mergeCell ref="X47:AF47"/>
    <mergeCell ref="A46:D46"/>
    <mergeCell ref="E46:P46"/>
    <mergeCell ref="Q46:T46"/>
    <mergeCell ref="U46:W46"/>
    <mergeCell ref="X46:AF46"/>
    <mergeCell ref="A45:D45"/>
    <mergeCell ref="E45:P45"/>
    <mergeCell ref="Q45:T45"/>
    <mergeCell ref="U45:W45"/>
    <mergeCell ref="X45:AF45"/>
    <mergeCell ref="A44:D44"/>
    <mergeCell ref="E44:P44"/>
    <mergeCell ref="Q44:T44"/>
    <mergeCell ref="U44:W44"/>
    <mergeCell ref="X44:AF44"/>
    <mergeCell ref="B13:AF13"/>
    <mergeCell ref="A43:D43"/>
    <mergeCell ref="E43:P43"/>
    <mergeCell ref="Q43:T43"/>
    <mergeCell ref="U43:W43"/>
    <mergeCell ref="X43:AF43"/>
    <mergeCell ref="A42:D42"/>
    <mergeCell ref="E42:P42"/>
    <mergeCell ref="Q42:T42"/>
    <mergeCell ref="U42:W42"/>
    <mergeCell ref="X42:AF42"/>
    <mergeCell ref="A1:AF1"/>
    <mergeCell ref="A39:AF39"/>
    <mergeCell ref="A40:D40"/>
    <mergeCell ref="E40:P40"/>
    <mergeCell ref="Q40:T40"/>
    <mergeCell ref="U40:W40"/>
    <mergeCell ref="X40:AF40"/>
    <mergeCell ref="A41:D41"/>
    <mergeCell ref="E41:P41"/>
    <mergeCell ref="Q41:T41"/>
    <mergeCell ref="U41:W41"/>
    <mergeCell ref="X41:AF41"/>
    <mergeCell ref="A3:AF3"/>
    <mergeCell ref="B5:AF5"/>
    <mergeCell ref="A25:AF25"/>
    <mergeCell ref="B15:I15"/>
    <mergeCell ref="B16:AF16"/>
    <mergeCell ref="B18:I18"/>
    <mergeCell ref="B19:AF19"/>
    <mergeCell ref="B22:AF22"/>
    <mergeCell ref="A7:AF7"/>
    <mergeCell ref="B9:I9"/>
    <mergeCell ref="B10:AF10"/>
    <mergeCell ref="B12:I12"/>
  </mergeCells>
  <hyperlinks>
    <hyperlink ref="A2" location="TOC!A1" display="Return to TOC" xr:uid="{00000000-0004-0000-5C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9:AF37" numberStoredAsText="1"/>
  </ignoredError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9" tint="0.79998168889431442"/>
    <pageSetUpPr autoPageBreaks="0"/>
  </sheetPr>
  <dimension ref="A1:AF51"/>
  <sheetViews>
    <sheetView workbookViewId="0">
      <selection sqref="A1:AF1"/>
    </sheetView>
  </sheetViews>
  <sheetFormatPr defaultColWidth="2.6640625" defaultRowHeight="14.4" x14ac:dyDescent="0.3"/>
  <sheetData>
    <row r="1" spans="1:32" ht="18.600000000000001" thickBot="1" x14ac:dyDescent="0.35">
      <c r="A1" s="979" t="s">
        <v>3246</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ht="14.4" customHeight="1" x14ac:dyDescent="0.3">
      <c r="A2" s="228" t="s">
        <v>1456</v>
      </c>
    </row>
    <row r="3" spans="1:32"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4.4" customHeight="1" x14ac:dyDescent="0.3">
      <c r="A5" s="121"/>
      <c r="B5" s="872" t="s">
        <v>3079</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ht="14.4" customHeight="1" x14ac:dyDescent="0.3">
      <c r="A6" s="22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A9" s="1"/>
      <c r="B9" s="1144" t="s">
        <v>3</v>
      </c>
      <c r="C9" s="1144"/>
      <c r="D9" s="1144"/>
      <c r="E9" s="1144"/>
      <c r="F9" s="1144"/>
      <c r="G9" s="1144"/>
      <c r="H9" s="1144"/>
      <c r="I9" s="1144"/>
      <c r="J9" s="1"/>
      <c r="K9" s="1"/>
      <c r="L9" s="1"/>
      <c r="M9" s="1"/>
      <c r="N9" s="1"/>
      <c r="O9" s="1"/>
      <c r="P9" s="1"/>
      <c r="Q9" s="1"/>
      <c r="R9" s="1"/>
      <c r="S9" s="1"/>
      <c r="T9" s="1"/>
      <c r="U9" s="1"/>
      <c r="V9" s="1"/>
      <c r="W9" s="1"/>
      <c r="X9" s="1"/>
      <c r="Y9" s="1"/>
      <c r="Z9" s="1"/>
      <c r="AA9" s="1"/>
      <c r="AB9" s="1"/>
      <c r="AC9" s="1"/>
      <c r="AD9" s="1"/>
      <c r="AE9" s="1"/>
      <c r="AF9" s="1"/>
    </row>
    <row r="10" spans="1:32" ht="51.75" customHeight="1" x14ac:dyDescent="0.3">
      <c r="A10" s="4"/>
      <c r="B10" s="872" t="s">
        <v>3247</v>
      </c>
      <c r="C10" s="872"/>
      <c r="D10" s="872"/>
      <c r="E10" s="872"/>
      <c r="F10" s="872"/>
      <c r="G10" s="872"/>
      <c r="H10" s="872"/>
      <c r="I10" s="872"/>
      <c r="J10" s="872"/>
      <c r="K10" s="872"/>
      <c r="L10" s="872"/>
      <c r="M10" s="872"/>
      <c r="N10" s="872"/>
      <c r="O10" s="872"/>
      <c r="P10" s="872"/>
      <c r="Q10" s="872"/>
      <c r="R10" s="872"/>
      <c r="S10" s="872"/>
      <c r="T10" s="872"/>
      <c r="U10" s="872"/>
      <c r="V10" s="872"/>
      <c r="W10" s="872"/>
      <c r="X10" s="872"/>
      <c r="Y10" s="872"/>
      <c r="Z10" s="872"/>
      <c r="AA10" s="872"/>
      <c r="AB10" s="872"/>
      <c r="AC10" s="872"/>
      <c r="AD10" s="872"/>
      <c r="AE10" s="872"/>
      <c r="AF10" s="872"/>
    </row>
    <row r="11" spans="1:32"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row>
    <row r="12" spans="1:32" x14ac:dyDescent="0.3">
      <c r="A12" s="1"/>
      <c r="B12" s="1144" t="s">
        <v>4</v>
      </c>
      <c r="C12" s="1144"/>
      <c r="D12" s="1144"/>
      <c r="E12" s="1144"/>
      <c r="F12" s="1144"/>
      <c r="G12" s="1144"/>
      <c r="H12" s="1144"/>
      <c r="I12" s="1144"/>
      <c r="J12" s="1"/>
      <c r="K12" s="1"/>
      <c r="L12" s="1"/>
      <c r="M12" s="1"/>
      <c r="N12" s="1"/>
      <c r="O12" s="1"/>
      <c r="P12" s="1"/>
      <c r="Q12" s="1"/>
      <c r="R12" s="1"/>
      <c r="S12" s="1"/>
      <c r="T12" s="1"/>
      <c r="U12" s="1"/>
      <c r="V12" s="1"/>
      <c r="W12" s="1"/>
      <c r="X12" s="1"/>
      <c r="Y12" s="1"/>
      <c r="Z12" s="1"/>
      <c r="AA12" s="1"/>
      <c r="AB12" s="1"/>
      <c r="AC12" s="1"/>
      <c r="AD12" s="1"/>
      <c r="AE12" s="1"/>
      <c r="AF12" s="1"/>
    </row>
    <row r="13" spans="1:32" x14ac:dyDescent="0.3">
      <c r="A13" s="1"/>
      <c r="B13" s="1142"/>
      <c r="C13" s="1142"/>
      <c r="D13" s="1142"/>
      <c r="E13" s="1142"/>
      <c r="F13" s="1142"/>
      <c r="G13" s="1142"/>
      <c r="H13" s="1142"/>
      <c r="I13" s="1142"/>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row>
    <row r="14" spans="1:32"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
      <c r="A15" s="1"/>
      <c r="B15" s="1144" t="s">
        <v>5</v>
      </c>
      <c r="C15" s="1144"/>
      <c r="D15" s="1144"/>
      <c r="E15" s="1144"/>
      <c r="F15" s="1144"/>
      <c r="G15" s="1144"/>
      <c r="H15" s="1144"/>
      <c r="I15" s="1144"/>
      <c r="J15" s="1"/>
      <c r="K15" s="1"/>
      <c r="L15" s="1"/>
      <c r="M15" s="1"/>
      <c r="N15" s="1"/>
      <c r="O15" s="1"/>
      <c r="P15" s="1"/>
      <c r="Q15" s="1"/>
      <c r="R15" s="1"/>
      <c r="S15" s="1"/>
      <c r="T15" s="1"/>
      <c r="U15" s="1"/>
      <c r="V15" s="1"/>
      <c r="W15" s="1"/>
      <c r="X15" s="1"/>
      <c r="Y15" s="1"/>
      <c r="Z15" s="1"/>
      <c r="AA15" s="1"/>
      <c r="AB15" s="1"/>
      <c r="AC15" s="1"/>
      <c r="AD15" s="1"/>
      <c r="AE15" s="1"/>
      <c r="AF15" s="1"/>
    </row>
    <row r="16" spans="1:32" x14ac:dyDescent="0.3">
      <c r="A16" s="1"/>
      <c r="B16" s="1142" t="s">
        <v>3255</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7" spans="1:32"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
      <c r="A18" s="1"/>
      <c r="B18" s="1144" t="s">
        <v>6</v>
      </c>
      <c r="C18" s="1144"/>
      <c r="D18" s="1144"/>
      <c r="E18" s="1144"/>
      <c r="F18" s="1144"/>
      <c r="G18" s="1144"/>
      <c r="H18" s="1144"/>
      <c r="I18" s="1144"/>
      <c r="J18" s="1"/>
      <c r="K18" s="1"/>
      <c r="L18" s="1"/>
      <c r="M18" s="1"/>
      <c r="N18" s="1"/>
      <c r="O18" s="1"/>
      <c r="P18" s="1"/>
      <c r="Q18" s="1"/>
      <c r="R18" s="1"/>
      <c r="S18" s="1"/>
      <c r="T18" s="1"/>
      <c r="U18" s="1"/>
      <c r="V18" s="1"/>
      <c r="W18" s="1"/>
      <c r="X18" s="1"/>
      <c r="Y18" s="1"/>
      <c r="Z18" s="1"/>
      <c r="AA18" s="1"/>
      <c r="AB18" s="1"/>
      <c r="AC18" s="1"/>
      <c r="AD18" s="1"/>
      <c r="AE18" s="1"/>
      <c r="AF18" s="1"/>
    </row>
    <row r="19" spans="1:32" x14ac:dyDescent="0.3">
      <c r="A19" s="1"/>
      <c r="B19" s="872" t="s">
        <v>3256</v>
      </c>
      <c r="C19" s="1142"/>
      <c r="D19" s="1142"/>
      <c r="E19" s="1142"/>
      <c r="F19" s="1142"/>
      <c r="G19" s="1142"/>
      <c r="H19" s="1142"/>
      <c r="I19" s="1142"/>
      <c r="J19" s="1142"/>
      <c r="K19" s="1142"/>
      <c r="L19" s="1142"/>
      <c r="M19" s="1142"/>
      <c r="N19" s="1142"/>
      <c r="O19" s="1142"/>
      <c r="P19" s="1142"/>
      <c r="Q19" s="1142"/>
      <c r="R19" s="1142"/>
      <c r="S19" s="1142"/>
      <c r="T19" s="1142"/>
      <c r="U19" s="1142"/>
      <c r="V19" s="1142"/>
      <c r="W19" s="1142"/>
      <c r="X19" s="1142"/>
      <c r="Y19" s="1142"/>
      <c r="Z19" s="1142"/>
      <c r="AA19" s="1142"/>
      <c r="AB19" s="1142"/>
      <c r="AC19" s="1142"/>
      <c r="AD19" s="1142"/>
      <c r="AE19" s="1142"/>
      <c r="AF19" s="1142"/>
    </row>
    <row r="20" spans="1:32"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row>
    <row r="21" spans="1:32" x14ac:dyDescent="0.3">
      <c r="A21" s="1"/>
      <c r="B21" s="51" t="s">
        <v>13</v>
      </c>
      <c r="C21" s="51"/>
      <c r="D21" s="51"/>
      <c r="E21" s="51"/>
      <c r="F21" s="51"/>
      <c r="G21" s="51"/>
      <c r="H21" s="51"/>
      <c r="I21" s="51"/>
      <c r="J21" s="1"/>
      <c r="K21" s="1"/>
      <c r="L21" s="1"/>
      <c r="M21" s="1"/>
      <c r="N21" s="1"/>
      <c r="O21" s="1"/>
      <c r="P21" s="1"/>
      <c r="Q21" s="1"/>
      <c r="R21" s="1"/>
      <c r="S21" s="1"/>
      <c r="T21" s="1"/>
      <c r="U21" s="1"/>
      <c r="V21" s="1"/>
      <c r="W21" s="1"/>
      <c r="X21" s="1"/>
      <c r="Y21" s="1"/>
      <c r="Z21" s="1"/>
      <c r="AA21" s="1"/>
      <c r="AB21" s="1"/>
      <c r="AC21" s="1"/>
      <c r="AD21" s="1"/>
      <c r="AE21" s="1"/>
      <c r="AF21" s="1"/>
    </row>
    <row r="22" spans="1:32" x14ac:dyDescent="0.3">
      <c r="A22" s="1"/>
      <c r="B22" s="872" t="s">
        <v>3257</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3" spans="1:32"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row>
    <row r="24" spans="1:32"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x14ac:dyDescent="0.3">
      <c r="A25" s="1141" t="s">
        <v>7</v>
      </c>
      <c r="B25" s="1141"/>
      <c r="C25" s="1141"/>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c r="AE25" s="1141"/>
      <c r="AF25" s="1141"/>
    </row>
    <row r="26" spans="1:32"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row>
    <row r="27" spans="1:32" ht="15.6" x14ac:dyDescent="0.35">
      <c r="A27" s="2705" t="s">
        <v>312</v>
      </c>
      <c r="B27" s="2705"/>
      <c r="C27" s="2705"/>
      <c r="D27" s="2705"/>
      <c r="E27" s="2705"/>
      <c r="F27" s="2705"/>
      <c r="G27" s="2705"/>
      <c r="H27" s="2705"/>
      <c r="I27" s="2705"/>
      <c r="J27" s="2705"/>
      <c r="K27" s="2706" t="s">
        <v>3248</v>
      </c>
      <c r="L27" s="2706"/>
      <c r="M27" s="2706"/>
      <c r="N27" s="2706"/>
      <c r="O27" s="2706"/>
      <c r="P27" s="2706"/>
      <c r="Q27" s="2706"/>
      <c r="R27" s="2706"/>
      <c r="S27" s="2706"/>
      <c r="T27" s="2706"/>
      <c r="U27" s="2706"/>
      <c r="V27" s="2706"/>
      <c r="W27" s="2706"/>
      <c r="X27" s="2706"/>
      <c r="Y27" s="2706"/>
      <c r="Z27" s="2706"/>
      <c r="AA27" s="2706"/>
      <c r="AB27" s="2706"/>
      <c r="AC27" s="2706"/>
      <c r="AD27" s="2706"/>
      <c r="AE27" s="2706"/>
      <c r="AF27" s="2706"/>
    </row>
    <row r="28" spans="1:32" ht="15.6" x14ac:dyDescent="0.35">
      <c r="A28" s="2705" t="s">
        <v>341</v>
      </c>
      <c r="B28" s="2705"/>
      <c r="C28" s="2705"/>
      <c r="D28" s="2705"/>
      <c r="E28" s="2705"/>
      <c r="F28" s="2705"/>
      <c r="G28" s="2705"/>
      <c r="H28" s="2705"/>
      <c r="I28" s="2705"/>
      <c r="J28" s="2705"/>
      <c r="K28" s="2706" t="s">
        <v>3249</v>
      </c>
      <c r="L28" s="2706"/>
      <c r="M28" s="2706"/>
      <c r="N28" s="2706"/>
      <c r="O28" s="2706"/>
      <c r="P28" s="2706"/>
      <c r="Q28" s="2706"/>
      <c r="R28" s="2706"/>
      <c r="S28" s="2706"/>
      <c r="T28" s="2706"/>
      <c r="U28" s="2706"/>
      <c r="V28" s="2706"/>
      <c r="W28" s="2706"/>
      <c r="X28" s="2706"/>
      <c r="Y28" s="2706"/>
      <c r="Z28" s="2706"/>
      <c r="AA28" s="2706"/>
      <c r="AB28" s="2706"/>
      <c r="AC28" s="2706"/>
      <c r="AD28" s="2706"/>
      <c r="AE28" s="2706"/>
      <c r="AF28" s="2706"/>
    </row>
    <row r="29" spans="1:32" ht="15.6" x14ac:dyDescent="0.35">
      <c r="A29" s="2705" t="s">
        <v>3258</v>
      </c>
      <c r="B29" s="2705"/>
      <c r="C29" s="2705"/>
      <c r="D29" s="2705"/>
      <c r="E29" s="2705"/>
      <c r="F29" s="2705"/>
      <c r="G29" s="2705"/>
      <c r="H29" s="2705"/>
      <c r="I29" s="2705"/>
      <c r="J29" s="2705"/>
      <c r="K29" s="2706" t="s">
        <v>3259</v>
      </c>
      <c r="L29" s="2706"/>
      <c r="M29" s="2706"/>
      <c r="N29" s="2706"/>
      <c r="O29" s="2706"/>
      <c r="P29" s="2706"/>
      <c r="Q29" s="2706"/>
      <c r="R29" s="2706"/>
      <c r="S29" s="2706"/>
      <c r="T29" s="2706"/>
      <c r="U29" s="2706"/>
      <c r="V29" s="2706"/>
      <c r="W29" s="2706"/>
      <c r="X29" s="2706"/>
      <c r="Y29" s="2706"/>
      <c r="Z29" s="2706"/>
      <c r="AA29" s="2706"/>
      <c r="AB29" s="2706"/>
      <c r="AC29" s="2706"/>
      <c r="AD29" s="2706"/>
      <c r="AE29" s="2706"/>
      <c r="AF29" s="2706"/>
    </row>
    <row r="30" spans="1:32"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row>
    <row r="31" spans="1:32" x14ac:dyDescent="0.3">
      <c r="A31" s="1141" t="s">
        <v>8</v>
      </c>
      <c r="B31" s="1141"/>
      <c r="C31" s="1141"/>
      <c r="D31" s="114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c r="AE31" s="1141"/>
      <c r="AF31" s="1141"/>
    </row>
    <row r="32" spans="1:32" x14ac:dyDescent="0.3">
      <c r="A32" s="1011" t="s">
        <v>9</v>
      </c>
      <c r="B32" s="1011"/>
      <c r="C32" s="1011"/>
      <c r="D32" s="1011"/>
      <c r="E32" s="1011" t="s">
        <v>3</v>
      </c>
      <c r="F32" s="1011"/>
      <c r="G32" s="1011"/>
      <c r="H32" s="1011"/>
      <c r="I32" s="1011"/>
      <c r="J32" s="1011"/>
      <c r="K32" s="1011"/>
      <c r="L32" s="1011"/>
      <c r="M32" s="1011"/>
      <c r="N32" s="1011"/>
      <c r="O32" s="1011"/>
      <c r="P32" s="1011" t="s">
        <v>10</v>
      </c>
      <c r="Q32" s="1011"/>
      <c r="R32" s="1011"/>
      <c r="S32" s="1011"/>
      <c r="T32" s="1011" t="s">
        <v>11</v>
      </c>
      <c r="U32" s="1011"/>
      <c r="V32" s="1011"/>
      <c r="W32" s="1011"/>
      <c r="X32" s="1011" t="s">
        <v>12</v>
      </c>
      <c r="Y32" s="1011"/>
      <c r="Z32" s="1011"/>
      <c r="AA32" s="1011"/>
      <c r="AB32" s="1011"/>
      <c r="AC32" s="1011"/>
      <c r="AD32" s="1011"/>
      <c r="AE32" s="1011"/>
      <c r="AF32" s="1011"/>
    </row>
    <row r="33" spans="1:32" ht="48" customHeight="1" x14ac:dyDescent="0.3">
      <c r="A33" s="855" t="s">
        <v>3260</v>
      </c>
      <c r="B33" s="855"/>
      <c r="C33" s="855"/>
      <c r="D33" s="855"/>
      <c r="E33" s="856" t="s">
        <v>3250</v>
      </c>
      <c r="F33" s="856"/>
      <c r="G33" s="856"/>
      <c r="H33" s="856"/>
      <c r="I33" s="856"/>
      <c r="J33" s="856"/>
      <c r="K33" s="856"/>
      <c r="L33" s="856"/>
      <c r="M33" s="856"/>
      <c r="N33" s="856"/>
      <c r="O33" s="856"/>
      <c r="P33" s="2137">
        <v>3.0731065918653577</v>
      </c>
      <c r="Q33" s="2138"/>
      <c r="R33" s="2138"/>
      <c r="S33" s="2139"/>
      <c r="T33" s="1275" t="s">
        <v>269</v>
      </c>
      <c r="U33" s="1275"/>
      <c r="V33" s="1275"/>
      <c r="W33" s="1275"/>
      <c r="X33" s="1385" t="s">
        <v>3261</v>
      </c>
      <c r="Y33" s="2695"/>
      <c r="Z33" s="2695"/>
      <c r="AA33" s="2695"/>
      <c r="AB33" s="2695"/>
      <c r="AC33" s="2695"/>
      <c r="AD33" s="2695"/>
      <c r="AE33" s="2695"/>
      <c r="AF33" s="2695"/>
    </row>
    <row r="34" spans="1:32" ht="50.25" customHeight="1" x14ac:dyDescent="0.3">
      <c r="A34" s="855" t="s">
        <v>3262</v>
      </c>
      <c r="B34" s="855"/>
      <c r="C34" s="855"/>
      <c r="D34" s="855"/>
      <c r="E34" s="856" t="s">
        <v>3251</v>
      </c>
      <c r="F34" s="856"/>
      <c r="G34" s="856"/>
      <c r="H34" s="856"/>
      <c r="I34" s="856"/>
      <c r="J34" s="856"/>
      <c r="K34" s="856"/>
      <c r="L34" s="856"/>
      <c r="M34" s="856"/>
      <c r="N34" s="856"/>
      <c r="O34" s="856"/>
      <c r="P34" s="2143">
        <v>26.850280504908852</v>
      </c>
      <c r="Q34" s="2144"/>
      <c r="R34" s="2144"/>
      <c r="S34" s="2145"/>
      <c r="T34" s="1275" t="s">
        <v>36</v>
      </c>
      <c r="U34" s="1275"/>
      <c r="V34" s="1275"/>
      <c r="W34" s="1275"/>
      <c r="X34" s="1385" t="s">
        <v>3261</v>
      </c>
      <c r="Y34" s="2695"/>
      <c r="Z34" s="2695"/>
      <c r="AA34" s="2695"/>
      <c r="AB34" s="2695"/>
      <c r="AC34" s="2695"/>
      <c r="AD34" s="2695"/>
      <c r="AE34" s="2695"/>
      <c r="AF34" s="2695"/>
    </row>
    <row r="35" spans="1:32" ht="29.1" customHeight="1" x14ac:dyDescent="0.3">
      <c r="A35" s="855" t="s">
        <v>159</v>
      </c>
      <c r="B35" s="855"/>
      <c r="C35" s="855"/>
      <c r="D35" s="855"/>
      <c r="E35" s="856" t="s">
        <v>3252</v>
      </c>
      <c r="F35" s="856"/>
      <c r="G35" s="856"/>
      <c r="H35" s="856"/>
      <c r="I35" s="856"/>
      <c r="J35" s="856"/>
      <c r="K35" s="856"/>
      <c r="L35" s="856"/>
      <c r="M35" s="856"/>
      <c r="N35" s="856"/>
      <c r="O35" s="856"/>
      <c r="P35" s="2887">
        <v>1000</v>
      </c>
      <c r="Q35" s="2888"/>
      <c r="R35" s="2888"/>
      <c r="S35" s="2889"/>
      <c r="T35" s="1275" t="s">
        <v>271</v>
      </c>
      <c r="U35" s="1275"/>
      <c r="V35" s="1275"/>
      <c r="W35" s="1275"/>
      <c r="X35" s="1217"/>
      <c r="Y35" s="1217"/>
      <c r="Z35" s="1217"/>
      <c r="AA35" s="1217"/>
      <c r="AB35" s="1217"/>
      <c r="AC35" s="1217"/>
      <c r="AD35" s="1217"/>
      <c r="AE35" s="1217"/>
      <c r="AF35" s="1217"/>
    </row>
    <row r="36" spans="1:32" ht="78.75" customHeight="1" x14ac:dyDescent="0.3">
      <c r="A36" s="855" t="s">
        <v>21</v>
      </c>
      <c r="B36" s="855" t="s">
        <v>795</v>
      </c>
      <c r="C36" s="855" t="s">
        <v>795</v>
      </c>
      <c r="D36" s="855" t="s">
        <v>795</v>
      </c>
      <c r="E36" s="856" t="s">
        <v>96</v>
      </c>
      <c r="F36" s="856"/>
      <c r="G36" s="856"/>
      <c r="H36" s="856"/>
      <c r="I36" s="856"/>
      <c r="J36" s="856"/>
      <c r="K36" s="856"/>
      <c r="L36" s="856"/>
      <c r="M36" s="856"/>
      <c r="N36" s="856"/>
      <c r="O36" s="856"/>
      <c r="P36" s="2704">
        <v>0.82</v>
      </c>
      <c r="Q36" s="2704"/>
      <c r="R36" s="2704"/>
      <c r="S36" s="2704"/>
      <c r="T36" s="1275" t="s">
        <v>20</v>
      </c>
      <c r="U36" s="1275"/>
      <c r="V36" s="1275"/>
      <c r="W36" s="1275"/>
      <c r="X36" s="1186" t="s">
        <v>3264</v>
      </c>
      <c r="Y36" s="1186"/>
      <c r="Z36" s="1186"/>
      <c r="AA36" s="1186"/>
      <c r="AB36" s="1186"/>
      <c r="AC36" s="1186"/>
      <c r="AD36" s="1186"/>
      <c r="AE36" s="1186"/>
      <c r="AF36" s="1186"/>
    </row>
    <row r="37" spans="1:32" ht="35.25" customHeight="1" x14ac:dyDescent="0.3">
      <c r="A37" s="855" t="s">
        <v>2562</v>
      </c>
      <c r="B37" s="855" t="s">
        <v>794</v>
      </c>
      <c r="C37" s="855" t="s">
        <v>794</v>
      </c>
      <c r="D37" s="855" t="s">
        <v>794</v>
      </c>
      <c r="E37" s="856" t="s">
        <v>2050</v>
      </c>
      <c r="F37" s="856"/>
      <c r="G37" s="856"/>
      <c r="H37" s="856"/>
      <c r="I37" s="856"/>
      <c r="J37" s="856"/>
      <c r="K37" s="856"/>
      <c r="L37" s="856"/>
      <c r="M37" s="856"/>
      <c r="N37" s="856"/>
      <c r="O37" s="856"/>
      <c r="P37" s="1586">
        <f>'Master EUL'!X41</f>
        <v>5</v>
      </c>
      <c r="Q37" s="1586"/>
      <c r="R37" s="1586"/>
      <c r="S37" s="1586"/>
      <c r="T37" s="1275" t="s">
        <v>38</v>
      </c>
      <c r="U37" s="1275"/>
      <c r="V37" s="1275"/>
      <c r="W37" s="1275"/>
      <c r="X37" s="1186" t="s">
        <v>3263</v>
      </c>
      <c r="Y37" s="1186"/>
      <c r="Z37" s="1186"/>
      <c r="AA37" s="1186"/>
      <c r="AB37" s="1186"/>
      <c r="AC37" s="1186"/>
      <c r="AD37" s="1186"/>
      <c r="AE37" s="1186"/>
      <c r="AF37" s="1186"/>
    </row>
    <row r="38" spans="1:32" ht="42" customHeight="1" x14ac:dyDescent="0.3">
      <c r="A38" s="1084" t="s">
        <v>831</v>
      </c>
      <c r="B38" s="1084"/>
      <c r="C38" s="1270" t="s">
        <v>3253</v>
      </c>
      <c r="D38" s="1270"/>
      <c r="E38" s="1270"/>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row>
    <row r="41" spans="1:32" x14ac:dyDescent="0.3">
      <c r="A41" s="1141" t="s">
        <v>14</v>
      </c>
      <c r="B41" s="1141"/>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1"/>
      <c r="Y41" s="1141"/>
      <c r="Z41" s="1141"/>
      <c r="AA41" s="1141"/>
      <c r="AB41" s="1141"/>
      <c r="AC41" s="1141"/>
      <c r="AD41" s="1141"/>
      <c r="AE41" s="1141"/>
      <c r="AF41" s="1141"/>
    </row>
    <row r="42" spans="1:32" ht="15" thickBot="1" x14ac:dyDescent="0.35"/>
    <row r="43" spans="1:32" x14ac:dyDescent="0.3">
      <c r="A43" s="1252" t="s">
        <v>15</v>
      </c>
      <c r="B43" s="1253"/>
      <c r="C43" s="1253"/>
      <c r="D43" s="1253"/>
      <c r="E43" s="1253"/>
      <c r="F43" s="1253"/>
      <c r="G43" s="1253"/>
      <c r="H43" s="1253"/>
      <c r="I43" s="1253" t="s">
        <v>16</v>
      </c>
      <c r="J43" s="1253"/>
      <c r="K43" s="1253"/>
      <c r="L43" s="1253"/>
      <c r="M43" s="1253"/>
      <c r="N43" s="1253"/>
      <c r="O43" s="1253"/>
      <c r="P43" s="1253"/>
      <c r="Q43" s="1253" t="s">
        <v>17</v>
      </c>
      <c r="R43" s="1253"/>
      <c r="S43" s="1253"/>
      <c r="T43" s="1253"/>
      <c r="U43" s="1253"/>
      <c r="V43" s="1253"/>
      <c r="W43" s="1253"/>
      <c r="X43" s="1279"/>
      <c r="Y43" s="1253" t="s">
        <v>1826</v>
      </c>
      <c r="Z43" s="1253"/>
      <c r="AA43" s="1253"/>
      <c r="AB43" s="1253"/>
      <c r="AC43" s="1253"/>
      <c r="AD43" s="1253"/>
      <c r="AE43" s="1253"/>
      <c r="AF43" s="1254"/>
    </row>
    <row r="44" spans="1:32" ht="15" thickBot="1" x14ac:dyDescent="0.35">
      <c r="A44" s="1247" t="s">
        <v>3254</v>
      </c>
      <c r="B44" s="1248"/>
      <c r="C44" s="1248"/>
      <c r="D44" s="1248"/>
      <c r="E44" s="1248"/>
      <c r="F44" s="1248"/>
      <c r="G44" s="1248"/>
      <c r="H44" s="1248"/>
      <c r="I44" s="2699">
        <f>ROUND(($P$33*$P$36)/$P$35,3)</f>
        <v>3.0000000000000001E-3</v>
      </c>
      <c r="J44" s="2699"/>
      <c r="K44" s="2699"/>
      <c r="L44" s="2699"/>
      <c r="M44" s="2699"/>
      <c r="N44" s="2699"/>
      <c r="O44" s="2699"/>
      <c r="P44" s="2699"/>
      <c r="Q44" s="2700">
        <f>ROUND($P$34,2)</f>
        <v>26.85</v>
      </c>
      <c r="R44" s="2700"/>
      <c r="S44" s="2700"/>
      <c r="T44" s="2700"/>
      <c r="U44" s="2700"/>
      <c r="V44" s="2700"/>
      <c r="W44" s="2700"/>
      <c r="X44" s="2701"/>
      <c r="Y44" s="2702">
        <f>ROUND($Q$44*$P$37,2)</f>
        <v>134.25</v>
      </c>
      <c r="Z44" s="2702"/>
      <c r="AA44" s="2702"/>
      <c r="AB44" s="2702"/>
      <c r="AC44" s="2702"/>
      <c r="AD44" s="2702"/>
      <c r="AE44" s="2702"/>
      <c r="AF44" s="2703"/>
    </row>
    <row r="47" spans="1:32" x14ac:dyDescent="0.3">
      <c r="A47" s="1141" t="s">
        <v>1514</v>
      </c>
      <c r="B47" s="1141"/>
      <c r="C47" s="1141"/>
      <c r="D47" s="1141"/>
      <c r="E47" s="1141"/>
      <c r="F47" s="1141"/>
      <c r="G47" s="1141"/>
      <c r="H47" s="1141"/>
      <c r="I47" s="1141"/>
      <c r="J47" s="1141"/>
      <c r="K47" s="1141"/>
      <c r="L47" s="1141"/>
      <c r="M47" s="1141"/>
      <c r="N47" s="1141"/>
      <c r="O47" s="1141"/>
      <c r="P47" s="1141"/>
      <c r="Q47" s="1141"/>
      <c r="R47" s="1141"/>
      <c r="S47" s="1141"/>
      <c r="T47" s="1141"/>
      <c r="U47" s="1141"/>
      <c r="V47" s="1141"/>
      <c r="W47" s="1141"/>
      <c r="X47" s="1141"/>
      <c r="Y47" s="1141"/>
      <c r="Z47" s="1141"/>
      <c r="AA47" s="1141"/>
      <c r="AB47" s="1141"/>
      <c r="AC47" s="1141"/>
      <c r="AD47" s="1141"/>
      <c r="AE47" s="1141"/>
      <c r="AF47" s="1141"/>
    </row>
    <row r="49" spans="1:32" x14ac:dyDescent="0.3">
      <c r="A49" s="368" t="s">
        <v>803</v>
      </c>
      <c r="B49" s="953" t="s">
        <v>3095</v>
      </c>
      <c r="C49" s="953"/>
      <c r="D49" s="953"/>
      <c r="E49" s="953"/>
      <c r="F49" s="953"/>
      <c r="G49" s="953"/>
      <c r="H49" s="953"/>
      <c r="I49" s="953"/>
      <c r="J49" s="953"/>
      <c r="K49" s="953"/>
      <c r="L49" s="953"/>
      <c r="M49" s="953"/>
      <c r="N49" s="953"/>
      <c r="O49" s="953"/>
      <c r="P49" s="953"/>
      <c r="Q49" s="953"/>
      <c r="R49" s="953"/>
      <c r="S49" s="953"/>
      <c r="T49" s="953"/>
      <c r="U49" s="953"/>
      <c r="V49" s="953"/>
      <c r="W49" s="953"/>
      <c r="X49" s="953"/>
      <c r="Y49" s="953"/>
      <c r="Z49" s="953"/>
      <c r="AA49" s="953"/>
      <c r="AB49" s="953"/>
      <c r="AC49" s="953"/>
      <c r="AD49" s="953"/>
      <c r="AE49" s="953"/>
      <c r="AF49" s="953"/>
    </row>
    <row r="50" spans="1:32" ht="97.5" customHeight="1" x14ac:dyDescent="0.3">
      <c r="A50" s="368" t="s">
        <v>803</v>
      </c>
      <c r="B50" s="953" t="s">
        <v>3265</v>
      </c>
      <c r="C50" s="953"/>
      <c r="D50" s="953"/>
      <c r="E50" s="953"/>
      <c r="F50" s="953"/>
      <c r="G50" s="953"/>
      <c r="H50" s="953"/>
      <c r="I50" s="953"/>
      <c r="J50" s="953"/>
      <c r="K50" s="953"/>
      <c r="L50" s="953"/>
      <c r="M50" s="953"/>
      <c r="N50" s="953"/>
      <c r="O50" s="953"/>
      <c r="P50" s="953"/>
      <c r="Q50" s="953"/>
      <c r="R50" s="953"/>
      <c r="S50" s="953"/>
      <c r="T50" s="953"/>
      <c r="U50" s="953"/>
      <c r="V50" s="953"/>
      <c r="W50" s="953"/>
      <c r="X50" s="953"/>
      <c r="Y50" s="953"/>
      <c r="Z50" s="953"/>
      <c r="AA50" s="953"/>
      <c r="AB50" s="953"/>
      <c r="AC50" s="953"/>
      <c r="AD50" s="953"/>
      <c r="AE50" s="953"/>
      <c r="AF50" s="953"/>
    </row>
    <row r="51" spans="1:32" ht="32.25" customHeight="1" x14ac:dyDescent="0.3">
      <c r="A51" s="368" t="s">
        <v>803</v>
      </c>
      <c r="B51" s="953" t="s">
        <v>3225</v>
      </c>
      <c r="C51" s="953"/>
      <c r="D51" s="953"/>
      <c r="E51" s="953"/>
      <c r="F51" s="953"/>
      <c r="G51" s="953"/>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row>
  </sheetData>
  <sheetProtection algorithmName="SHA-512" hashValue="HYwEZHEbxkvuESLXLdgbhxLspAy5UDLu+eH8XjFeIyh5rzNguEMA+F5aPbgEJ/WY1EEpo8fpBaSJuqlSdfeY1A==" saltValue="8ojIB+t3ht3QakSvHPaElw==" spinCount="100000" sheet="1" objects="1" scenarios="1"/>
  <mergeCells count="66">
    <mergeCell ref="A25:AF25"/>
    <mergeCell ref="A1:AF1"/>
    <mergeCell ref="A7:AF7"/>
    <mergeCell ref="B9:I9"/>
    <mergeCell ref="B10:AF10"/>
    <mergeCell ref="B12:I12"/>
    <mergeCell ref="B13:AF13"/>
    <mergeCell ref="B15:I15"/>
    <mergeCell ref="B16:AF16"/>
    <mergeCell ref="B18:I18"/>
    <mergeCell ref="B19:AF19"/>
    <mergeCell ref="B22:AF22"/>
    <mergeCell ref="A32:D32"/>
    <mergeCell ref="E32:O32"/>
    <mergeCell ref="P32:S32"/>
    <mergeCell ref="T32:W32"/>
    <mergeCell ref="X32:AF32"/>
    <mergeCell ref="A27:J27"/>
    <mergeCell ref="K27:AF27"/>
    <mergeCell ref="A28:J28"/>
    <mergeCell ref="K28:AF28"/>
    <mergeCell ref="A31:AF31"/>
    <mergeCell ref="A34:D34"/>
    <mergeCell ref="E34:O34"/>
    <mergeCell ref="P34:S34"/>
    <mergeCell ref="T34:W34"/>
    <mergeCell ref="X34:AF34"/>
    <mergeCell ref="A33:D33"/>
    <mergeCell ref="E33:O33"/>
    <mergeCell ref="P33:S33"/>
    <mergeCell ref="T33:W33"/>
    <mergeCell ref="X33:AF33"/>
    <mergeCell ref="A36:D36"/>
    <mergeCell ref="E36:O36"/>
    <mergeCell ref="P36:S36"/>
    <mergeCell ref="T36:W36"/>
    <mergeCell ref="X36:AF36"/>
    <mergeCell ref="A35:D35"/>
    <mergeCell ref="E35:O35"/>
    <mergeCell ref="P35:S35"/>
    <mergeCell ref="T35:W35"/>
    <mergeCell ref="X35:AF35"/>
    <mergeCell ref="Y44:AF44"/>
    <mergeCell ref="A37:D37"/>
    <mergeCell ref="E37:O37"/>
    <mergeCell ref="P37:S37"/>
    <mergeCell ref="T37:W37"/>
    <mergeCell ref="X37:AF37"/>
    <mergeCell ref="A38:B38"/>
    <mergeCell ref="C38:AF38"/>
    <mergeCell ref="A47:AF47"/>
    <mergeCell ref="B49:AF49"/>
    <mergeCell ref="B50:AF50"/>
    <mergeCell ref="B51:AF51"/>
    <mergeCell ref="A3:AF3"/>
    <mergeCell ref="B5:AF5"/>
    <mergeCell ref="A29:J29"/>
    <mergeCell ref="K29:AF29"/>
    <mergeCell ref="A41:AF41"/>
    <mergeCell ref="A43:H43"/>
    <mergeCell ref="I43:P43"/>
    <mergeCell ref="Q43:X43"/>
    <mergeCell ref="A44:H44"/>
    <mergeCell ref="I44:P44"/>
    <mergeCell ref="Q44:X44"/>
    <mergeCell ref="Y43:AF43"/>
  </mergeCells>
  <hyperlinks>
    <hyperlink ref="A2" location="TOC!A1" display="Return to TOC" xr:uid="{00000000-0004-0000-5D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tint="0.79998168889431442"/>
    <pageSetUpPr autoPageBreaks="0" fitToPage="1"/>
  </sheetPr>
  <dimension ref="A1:J106"/>
  <sheetViews>
    <sheetView workbookViewId="0"/>
  </sheetViews>
  <sheetFormatPr defaultRowHeight="14.4" x14ac:dyDescent="0.3"/>
  <cols>
    <col min="1" max="1" width="17.33203125" style="1" bestFit="1" customWidth="1"/>
    <col min="2" max="2" width="41.5546875" style="1" customWidth="1"/>
    <col min="3" max="3" width="12.6640625" style="432" bestFit="1" customWidth="1"/>
    <col min="4" max="4" width="12.109375" style="433" bestFit="1" customWidth="1"/>
    <col min="5" max="5" width="17.33203125" style="434" bestFit="1" customWidth="1"/>
    <col min="6" max="6" width="12.33203125" style="436" bestFit="1" customWidth="1"/>
    <col min="7" max="7" width="8.88671875" style="1"/>
    <col min="8" max="8" width="16.109375" style="1" bestFit="1" customWidth="1"/>
    <col min="9" max="9" width="12" style="1" bestFit="1" customWidth="1"/>
    <col min="10" max="10" width="12.5546875" style="1" bestFit="1" customWidth="1"/>
  </cols>
  <sheetData>
    <row r="1" spans="1:6" x14ac:dyDescent="0.3">
      <c r="A1" s="228" t="s">
        <v>1456</v>
      </c>
      <c r="C1" s="429" t="s">
        <v>3124</v>
      </c>
      <c r="D1" s="430">
        <f>SUMPRODUCT($D$3:$D$103,$F$3:$F$103)</f>
        <v>3.0731065918653577</v>
      </c>
      <c r="E1" s="431">
        <f>SUMPRODUCT($E$3:$E$103,$F$3:$F$103)</f>
        <v>26.850280504908852</v>
      </c>
    </row>
    <row r="2" spans="1:6" ht="43.2" x14ac:dyDescent="0.3">
      <c r="A2" s="10" t="s">
        <v>3226</v>
      </c>
      <c r="B2" s="10" t="s">
        <v>3119</v>
      </c>
      <c r="C2" s="425" t="s">
        <v>3120</v>
      </c>
      <c r="D2" s="426" t="s">
        <v>3121</v>
      </c>
      <c r="E2" s="427" t="s">
        <v>3122</v>
      </c>
      <c r="F2" s="428" t="s">
        <v>3123</v>
      </c>
    </row>
    <row r="3" spans="1:6" x14ac:dyDescent="0.3">
      <c r="A3" s="1" t="s">
        <v>1065</v>
      </c>
      <c r="B3" s="1" t="s">
        <v>3125</v>
      </c>
      <c r="C3" s="432">
        <v>0.02</v>
      </c>
      <c r="D3" s="433">
        <v>1</v>
      </c>
      <c r="E3" s="434">
        <v>9</v>
      </c>
      <c r="F3" s="435">
        <f t="shared" ref="F3:F34" si="0">C3/SUM($C$3:$C$103)</f>
        <v>7.0126227208976166E-4</v>
      </c>
    </row>
    <row r="4" spans="1:6" x14ac:dyDescent="0.3">
      <c r="A4" s="1" t="s">
        <v>1065</v>
      </c>
      <c r="B4" s="1" t="s">
        <v>3126</v>
      </c>
      <c r="C4" s="432">
        <v>0.15</v>
      </c>
      <c r="D4" s="433">
        <v>1.5</v>
      </c>
      <c r="E4" s="434">
        <v>13</v>
      </c>
      <c r="F4" s="435">
        <f t="shared" si="0"/>
        <v>5.2594670406732125E-3</v>
      </c>
    </row>
    <row r="5" spans="1:6" x14ac:dyDescent="0.3">
      <c r="A5" s="1" t="s">
        <v>3227</v>
      </c>
      <c r="B5" s="1" t="s">
        <v>3127</v>
      </c>
      <c r="C5" s="432">
        <v>0.12</v>
      </c>
      <c r="D5" s="433">
        <v>6.8</v>
      </c>
      <c r="E5" s="434">
        <v>59</v>
      </c>
      <c r="F5" s="435">
        <f t="shared" si="0"/>
        <v>4.2075736325385702E-3</v>
      </c>
    </row>
    <row r="6" spans="1:6" x14ac:dyDescent="0.3">
      <c r="A6" s="1" t="s">
        <v>3227</v>
      </c>
      <c r="B6" s="1" t="s">
        <v>3128</v>
      </c>
      <c r="C6" s="432">
        <v>0.5</v>
      </c>
      <c r="D6" s="433">
        <v>8.6999999999999993</v>
      </c>
      <c r="E6" s="434">
        <v>76</v>
      </c>
      <c r="F6" s="435">
        <f t="shared" si="0"/>
        <v>1.7531556802244042E-2</v>
      </c>
    </row>
    <row r="7" spans="1:6" x14ac:dyDescent="0.3">
      <c r="A7" s="1" t="s">
        <v>3227</v>
      </c>
      <c r="B7" s="1" t="s">
        <v>3129</v>
      </c>
      <c r="C7" s="432">
        <v>0.75</v>
      </c>
      <c r="D7" s="433">
        <v>3.2</v>
      </c>
      <c r="E7" s="434">
        <v>28</v>
      </c>
      <c r="F7" s="435">
        <f t="shared" si="0"/>
        <v>2.6297335203366062E-2</v>
      </c>
    </row>
    <row r="8" spans="1:6" x14ac:dyDescent="0.3">
      <c r="A8" s="1" t="s">
        <v>3227</v>
      </c>
      <c r="B8" s="1" t="s">
        <v>3130</v>
      </c>
      <c r="C8" s="432">
        <v>0.25</v>
      </c>
      <c r="D8" s="433">
        <v>1.4</v>
      </c>
      <c r="E8" s="434">
        <v>12</v>
      </c>
      <c r="F8" s="435">
        <f t="shared" si="0"/>
        <v>8.7657784011220211E-3</v>
      </c>
    </row>
    <row r="9" spans="1:6" x14ac:dyDescent="0.3">
      <c r="A9" s="1" t="s">
        <v>3227</v>
      </c>
      <c r="B9" s="1" t="s">
        <v>3131</v>
      </c>
      <c r="C9" s="432">
        <v>0.34</v>
      </c>
      <c r="D9" s="433">
        <v>0.3</v>
      </c>
      <c r="E9" s="434">
        <v>2</v>
      </c>
      <c r="F9" s="435">
        <f t="shared" si="0"/>
        <v>1.192145862552595E-2</v>
      </c>
    </row>
    <row r="10" spans="1:6" x14ac:dyDescent="0.3">
      <c r="A10" s="1" t="s">
        <v>3227</v>
      </c>
      <c r="B10" s="1" t="s">
        <v>3132</v>
      </c>
      <c r="C10" s="432">
        <v>0.01</v>
      </c>
      <c r="D10" s="433">
        <v>1.6</v>
      </c>
      <c r="E10" s="434">
        <v>14</v>
      </c>
      <c r="F10" s="435">
        <f t="shared" si="0"/>
        <v>3.5063113604488083E-4</v>
      </c>
    </row>
    <row r="11" spans="1:6" x14ac:dyDescent="0.3">
      <c r="A11" s="1" t="s">
        <v>3227</v>
      </c>
      <c r="B11" s="1" t="s">
        <v>3133</v>
      </c>
      <c r="C11" s="432">
        <v>0.05</v>
      </c>
      <c r="D11" s="433">
        <v>4</v>
      </c>
      <c r="E11" s="434">
        <v>35</v>
      </c>
      <c r="F11" s="435">
        <f t="shared" si="0"/>
        <v>1.7531556802244043E-3</v>
      </c>
    </row>
    <row r="12" spans="1:6" x14ac:dyDescent="0.3">
      <c r="A12" s="1" t="s">
        <v>3227</v>
      </c>
      <c r="B12" s="1" t="s">
        <v>3134</v>
      </c>
      <c r="C12" s="432">
        <v>0.03</v>
      </c>
      <c r="D12" s="433">
        <v>1.1000000000000001</v>
      </c>
      <c r="E12" s="434">
        <v>10</v>
      </c>
      <c r="F12" s="435">
        <f t="shared" si="0"/>
        <v>1.0518934081346425E-3</v>
      </c>
    </row>
    <row r="13" spans="1:6" x14ac:dyDescent="0.3">
      <c r="A13" s="1" t="s">
        <v>3227</v>
      </c>
      <c r="B13" s="1" t="s">
        <v>3135</v>
      </c>
      <c r="C13" s="432">
        <v>0.2</v>
      </c>
      <c r="D13" s="433">
        <v>2.9</v>
      </c>
      <c r="E13" s="434">
        <v>25</v>
      </c>
      <c r="F13" s="435">
        <f t="shared" si="0"/>
        <v>7.0126227208976172E-3</v>
      </c>
    </row>
    <row r="14" spans="1:6" x14ac:dyDescent="0.3">
      <c r="A14" s="1" t="s">
        <v>3227</v>
      </c>
      <c r="B14" s="1" t="s">
        <v>3136</v>
      </c>
      <c r="C14" s="432">
        <v>0.23</v>
      </c>
      <c r="D14" s="433">
        <v>1.3</v>
      </c>
      <c r="E14" s="434">
        <v>11</v>
      </c>
      <c r="F14" s="435">
        <f t="shared" si="0"/>
        <v>8.0645161290322596E-3</v>
      </c>
    </row>
    <row r="15" spans="1:6" x14ac:dyDescent="0.3">
      <c r="A15" s="1" t="s">
        <v>3227</v>
      </c>
      <c r="B15" s="1" t="s">
        <v>3137</v>
      </c>
      <c r="C15" s="432">
        <v>0.35</v>
      </c>
      <c r="D15" s="433">
        <v>10.8</v>
      </c>
      <c r="E15" s="434">
        <v>94</v>
      </c>
      <c r="F15" s="435">
        <f t="shared" si="0"/>
        <v>1.2272089761570829E-2</v>
      </c>
    </row>
    <row r="16" spans="1:6" x14ac:dyDescent="0.3">
      <c r="A16" s="1" t="s">
        <v>3227</v>
      </c>
      <c r="B16" s="1" t="s">
        <v>3138</v>
      </c>
      <c r="C16" s="432">
        <v>0.05</v>
      </c>
      <c r="D16" s="433">
        <v>3.8</v>
      </c>
      <c r="E16" s="434">
        <v>33</v>
      </c>
      <c r="F16" s="435">
        <f t="shared" si="0"/>
        <v>1.7531556802244043E-3</v>
      </c>
    </row>
    <row r="17" spans="1:6" x14ac:dyDescent="0.3">
      <c r="A17" s="1" t="s">
        <v>3227</v>
      </c>
      <c r="B17" s="1" t="s">
        <v>3139</v>
      </c>
      <c r="C17" s="432">
        <v>0.03</v>
      </c>
      <c r="D17" s="433">
        <v>3.8</v>
      </c>
      <c r="E17" s="434">
        <v>33</v>
      </c>
      <c r="F17" s="435">
        <f t="shared" si="0"/>
        <v>1.0518934081346425E-3</v>
      </c>
    </row>
    <row r="18" spans="1:6" x14ac:dyDescent="0.3">
      <c r="A18" s="1" t="s">
        <v>3227</v>
      </c>
      <c r="B18" s="1" t="s">
        <v>3140</v>
      </c>
      <c r="C18" s="432">
        <v>0.03</v>
      </c>
      <c r="D18" s="433">
        <v>3.8</v>
      </c>
      <c r="E18" s="434">
        <v>33</v>
      </c>
      <c r="F18" s="435">
        <f t="shared" si="0"/>
        <v>1.0518934081346425E-3</v>
      </c>
    </row>
    <row r="19" spans="1:6" x14ac:dyDescent="0.3">
      <c r="A19" s="1" t="s">
        <v>3227</v>
      </c>
      <c r="B19" s="1" t="s">
        <v>3141</v>
      </c>
      <c r="C19" s="432">
        <v>0.48</v>
      </c>
      <c r="D19" s="433">
        <v>1.3</v>
      </c>
      <c r="E19" s="434">
        <v>12</v>
      </c>
      <c r="F19" s="435">
        <f t="shared" si="0"/>
        <v>1.6830294530154281E-2</v>
      </c>
    </row>
    <row r="20" spans="1:6" x14ac:dyDescent="0.3">
      <c r="A20" s="1" t="s">
        <v>3227</v>
      </c>
      <c r="B20" s="1" t="s">
        <v>3142</v>
      </c>
      <c r="C20" s="432">
        <v>0.22</v>
      </c>
      <c r="D20" s="433">
        <v>8.9</v>
      </c>
      <c r="E20" s="434">
        <v>78</v>
      </c>
      <c r="F20" s="435">
        <f t="shared" si="0"/>
        <v>7.7138849929873788E-3</v>
      </c>
    </row>
    <row r="21" spans="1:6" x14ac:dyDescent="0.3">
      <c r="A21" s="1" t="s">
        <v>3227</v>
      </c>
      <c r="B21" s="1" t="s">
        <v>3143</v>
      </c>
      <c r="C21" s="432">
        <v>0.14000000000000001</v>
      </c>
      <c r="D21" s="433">
        <v>1</v>
      </c>
      <c r="E21" s="434">
        <v>8</v>
      </c>
      <c r="F21" s="435">
        <f t="shared" si="0"/>
        <v>4.9088359046283317E-3</v>
      </c>
    </row>
    <row r="22" spans="1:6" x14ac:dyDescent="0.3">
      <c r="A22" s="1" t="s">
        <v>3227</v>
      </c>
      <c r="B22" s="1" t="s">
        <v>3144</v>
      </c>
      <c r="C22" s="432">
        <v>0.14000000000000001</v>
      </c>
      <c r="D22" s="433">
        <v>1</v>
      </c>
      <c r="E22" s="434">
        <v>9</v>
      </c>
      <c r="F22" s="435">
        <f t="shared" si="0"/>
        <v>4.9088359046283317E-3</v>
      </c>
    </row>
    <row r="23" spans="1:6" x14ac:dyDescent="0.3">
      <c r="A23" s="1" t="s">
        <v>3228</v>
      </c>
      <c r="B23" s="1" t="s">
        <v>3145</v>
      </c>
      <c r="C23" s="432">
        <v>0.95</v>
      </c>
      <c r="D23" s="433">
        <v>4.5</v>
      </c>
      <c r="E23" s="434">
        <v>39</v>
      </c>
      <c r="F23" s="435">
        <f t="shared" si="0"/>
        <v>3.3309957924263681E-2</v>
      </c>
    </row>
    <row r="24" spans="1:6" x14ac:dyDescent="0.3">
      <c r="A24" s="1" t="s">
        <v>3228</v>
      </c>
      <c r="B24" s="1" t="s">
        <v>3146</v>
      </c>
      <c r="C24" s="432">
        <v>0.02</v>
      </c>
      <c r="D24" s="433">
        <v>5.2</v>
      </c>
      <c r="E24" s="434">
        <v>45</v>
      </c>
      <c r="F24" s="435">
        <f t="shared" si="0"/>
        <v>7.0126227208976166E-4</v>
      </c>
    </row>
    <row r="25" spans="1:6" x14ac:dyDescent="0.3">
      <c r="A25" s="1" t="s">
        <v>3228</v>
      </c>
      <c r="B25" s="1" t="s">
        <v>3147</v>
      </c>
      <c r="C25" s="432">
        <v>0.41</v>
      </c>
      <c r="D25" s="433">
        <v>4</v>
      </c>
      <c r="E25" s="434">
        <v>35</v>
      </c>
      <c r="F25" s="435">
        <f t="shared" si="0"/>
        <v>1.4375876577840114E-2</v>
      </c>
    </row>
    <row r="26" spans="1:6" x14ac:dyDescent="0.3">
      <c r="A26" s="1" t="s">
        <v>3228</v>
      </c>
      <c r="B26" s="1" t="s">
        <v>3148</v>
      </c>
      <c r="C26" s="432">
        <v>0.02</v>
      </c>
      <c r="D26" s="433">
        <v>1</v>
      </c>
      <c r="E26" s="434">
        <v>9</v>
      </c>
      <c r="F26" s="435">
        <f t="shared" si="0"/>
        <v>7.0126227208976166E-4</v>
      </c>
    </row>
    <row r="27" spans="1:6" x14ac:dyDescent="0.3">
      <c r="A27" s="1" t="s">
        <v>3229</v>
      </c>
      <c r="B27" s="1" t="s">
        <v>3149</v>
      </c>
      <c r="C27" s="432">
        <v>0.53</v>
      </c>
      <c r="D27" s="433">
        <v>0.9</v>
      </c>
      <c r="E27" s="434">
        <v>8</v>
      </c>
      <c r="F27" s="435">
        <f t="shared" si="0"/>
        <v>1.8583450210378685E-2</v>
      </c>
    </row>
    <row r="28" spans="1:6" x14ac:dyDescent="0.3">
      <c r="A28" s="1" t="s">
        <v>3229</v>
      </c>
      <c r="B28" s="1" t="s">
        <v>3150</v>
      </c>
      <c r="C28" s="432">
        <v>0.01</v>
      </c>
      <c r="D28" s="433">
        <v>1.6</v>
      </c>
      <c r="E28" s="434">
        <v>14</v>
      </c>
      <c r="F28" s="435">
        <f t="shared" si="0"/>
        <v>3.5063113604488083E-4</v>
      </c>
    </row>
    <row r="29" spans="1:6" x14ac:dyDescent="0.3">
      <c r="A29" s="1" t="s">
        <v>3229</v>
      </c>
      <c r="B29" s="1" t="s">
        <v>3151</v>
      </c>
      <c r="C29" s="432">
        <v>2.0699999999999998</v>
      </c>
      <c r="D29" s="433">
        <v>1.5</v>
      </c>
      <c r="E29" s="434">
        <v>13</v>
      </c>
      <c r="F29" s="435">
        <f t="shared" si="0"/>
        <v>7.2580645161290328E-2</v>
      </c>
    </row>
    <row r="30" spans="1:6" x14ac:dyDescent="0.3">
      <c r="A30" s="1" t="s">
        <v>3229</v>
      </c>
      <c r="B30" s="1" t="s">
        <v>3152</v>
      </c>
      <c r="C30" s="432">
        <v>0.02</v>
      </c>
      <c r="D30" s="433">
        <v>1.9</v>
      </c>
      <c r="E30" s="434">
        <v>16</v>
      </c>
      <c r="F30" s="435">
        <f t="shared" si="0"/>
        <v>7.0126227208976166E-4</v>
      </c>
    </row>
    <row r="31" spans="1:6" x14ac:dyDescent="0.3">
      <c r="A31" s="1" t="s">
        <v>3229</v>
      </c>
      <c r="B31" s="1" t="s">
        <v>3153</v>
      </c>
      <c r="C31" s="432">
        <v>0.09</v>
      </c>
      <c r="D31" s="433">
        <v>2.4</v>
      </c>
      <c r="E31" s="434">
        <v>21</v>
      </c>
      <c r="F31" s="435">
        <f t="shared" si="0"/>
        <v>3.1556802244039274E-3</v>
      </c>
    </row>
    <row r="32" spans="1:6" x14ac:dyDescent="0.3">
      <c r="A32" s="1" t="s">
        <v>3230</v>
      </c>
      <c r="B32" s="1" t="s">
        <v>3154</v>
      </c>
      <c r="C32" s="432">
        <v>0.5</v>
      </c>
      <c r="D32" s="433">
        <v>1</v>
      </c>
      <c r="E32" s="434">
        <v>9</v>
      </c>
      <c r="F32" s="435">
        <f t="shared" si="0"/>
        <v>1.7531556802244042E-2</v>
      </c>
    </row>
    <row r="33" spans="1:6" x14ac:dyDescent="0.3">
      <c r="A33" s="1" t="s">
        <v>3230</v>
      </c>
      <c r="B33" s="1" t="s">
        <v>3155</v>
      </c>
      <c r="C33" s="432">
        <v>1.1299999999999999</v>
      </c>
      <c r="D33" s="433">
        <v>2.2000000000000002</v>
      </c>
      <c r="E33" s="434">
        <v>19</v>
      </c>
      <c r="F33" s="435">
        <f t="shared" si="0"/>
        <v>3.9621318373071528E-2</v>
      </c>
    </row>
    <row r="34" spans="1:6" x14ac:dyDescent="0.3">
      <c r="A34" s="1" t="s">
        <v>3230</v>
      </c>
      <c r="B34" s="1" t="s">
        <v>3156</v>
      </c>
      <c r="C34" s="432">
        <v>0.21</v>
      </c>
      <c r="D34" s="433">
        <v>1.1000000000000001</v>
      </c>
      <c r="E34" s="434">
        <v>9</v>
      </c>
      <c r="F34" s="435">
        <f t="shared" si="0"/>
        <v>7.3632538569424972E-3</v>
      </c>
    </row>
    <row r="35" spans="1:6" x14ac:dyDescent="0.3">
      <c r="A35" s="1" t="s">
        <v>3230</v>
      </c>
      <c r="B35" s="1" t="s">
        <v>3157</v>
      </c>
      <c r="C35" s="432">
        <v>1.01</v>
      </c>
      <c r="D35" s="433">
        <v>3</v>
      </c>
      <c r="E35" s="434">
        <v>26</v>
      </c>
      <c r="F35" s="435">
        <f t="shared" ref="F35:F66" si="1">C35/SUM($C$3:$C$103)</f>
        <v>3.5413744740532965E-2</v>
      </c>
    </row>
    <row r="36" spans="1:6" x14ac:dyDescent="0.3">
      <c r="A36" s="1" t="s">
        <v>3230</v>
      </c>
      <c r="B36" s="1" t="s">
        <v>3158</v>
      </c>
      <c r="C36" s="432">
        <v>0.06</v>
      </c>
      <c r="D36" s="433">
        <v>0.5</v>
      </c>
      <c r="E36" s="434">
        <v>4</v>
      </c>
      <c r="F36" s="435">
        <f t="shared" si="1"/>
        <v>2.1037868162692851E-3</v>
      </c>
    </row>
    <row r="37" spans="1:6" x14ac:dyDescent="0.3">
      <c r="A37" s="1" t="s">
        <v>3230</v>
      </c>
      <c r="B37" s="1" t="s">
        <v>3159</v>
      </c>
      <c r="C37" s="432">
        <v>0.02</v>
      </c>
      <c r="D37" s="433">
        <v>0.9</v>
      </c>
      <c r="E37" s="434">
        <v>8</v>
      </c>
      <c r="F37" s="435">
        <f t="shared" si="1"/>
        <v>7.0126227208976166E-4</v>
      </c>
    </row>
    <row r="38" spans="1:6" x14ac:dyDescent="0.3">
      <c r="A38" s="1" t="s">
        <v>3230</v>
      </c>
      <c r="B38" s="1" t="s">
        <v>3160</v>
      </c>
      <c r="C38" s="432">
        <v>0.12</v>
      </c>
      <c r="D38" s="433">
        <v>0.9</v>
      </c>
      <c r="E38" s="434">
        <v>8</v>
      </c>
      <c r="F38" s="435">
        <f t="shared" si="1"/>
        <v>4.2075736325385702E-3</v>
      </c>
    </row>
    <row r="39" spans="1:6" x14ac:dyDescent="0.3">
      <c r="A39" s="1" t="s">
        <v>3230</v>
      </c>
      <c r="B39" s="1" t="s">
        <v>3161</v>
      </c>
      <c r="C39" s="432">
        <v>7.0000000000000007E-2</v>
      </c>
      <c r="D39" s="433">
        <v>3</v>
      </c>
      <c r="E39" s="434">
        <v>26</v>
      </c>
      <c r="F39" s="435">
        <f t="shared" si="1"/>
        <v>2.4544179523141659E-3</v>
      </c>
    </row>
    <row r="40" spans="1:6" x14ac:dyDescent="0.3">
      <c r="A40" s="1" t="s">
        <v>3230</v>
      </c>
      <c r="B40" s="1" t="s">
        <v>3162</v>
      </c>
      <c r="C40" s="432">
        <v>0.16</v>
      </c>
      <c r="D40" s="433">
        <v>2.1</v>
      </c>
      <c r="E40" s="434">
        <v>19</v>
      </c>
      <c r="F40" s="435">
        <f t="shared" si="1"/>
        <v>5.6100981767180933E-3</v>
      </c>
    </row>
    <row r="41" spans="1:6" x14ac:dyDescent="0.3">
      <c r="A41" s="1" t="s">
        <v>3231</v>
      </c>
      <c r="B41" s="1" t="s">
        <v>3163</v>
      </c>
      <c r="C41" s="432">
        <v>0.05</v>
      </c>
      <c r="D41" s="433">
        <v>1.8</v>
      </c>
      <c r="E41" s="434">
        <v>15</v>
      </c>
      <c r="F41" s="435">
        <f t="shared" si="1"/>
        <v>1.7531556802244043E-3</v>
      </c>
    </row>
    <row r="42" spans="1:6" x14ac:dyDescent="0.3">
      <c r="A42" s="1" t="s">
        <v>3231</v>
      </c>
      <c r="B42" s="1" t="s">
        <v>3164</v>
      </c>
      <c r="C42" s="432">
        <v>0.02</v>
      </c>
      <c r="D42" s="433">
        <v>1.9</v>
      </c>
      <c r="E42" s="434">
        <v>17</v>
      </c>
      <c r="F42" s="435">
        <f t="shared" si="1"/>
        <v>7.0126227208976166E-4</v>
      </c>
    </row>
    <row r="43" spans="1:6" x14ac:dyDescent="0.3">
      <c r="A43" s="1" t="s">
        <v>3231</v>
      </c>
      <c r="B43" s="1" t="s">
        <v>3165</v>
      </c>
      <c r="C43" s="432">
        <v>7.0000000000000007E-2</v>
      </c>
      <c r="D43" s="433">
        <v>2.4</v>
      </c>
      <c r="E43" s="434">
        <v>21</v>
      </c>
      <c r="F43" s="435">
        <f t="shared" si="1"/>
        <v>2.4544179523141659E-3</v>
      </c>
    </row>
    <row r="44" spans="1:6" x14ac:dyDescent="0.3">
      <c r="A44" s="1" t="s">
        <v>201</v>
      </c>
      <c r="B44" s="1" t="s">
        <v>3166</v>
      </c>
      <c r="C44" s="432">
        <v>0.06</v>
      </c>
      <c r="D44" s="433">
        <v>0.2</v>
      </c>
      <c r="E44" s="434">
        <v>2</v>
      </c>
      <c r="F44" s="435">
        <f t="shared" si="1"/>
        <v>2.1037868162692851E-3</v>
      </c>
    </row>
    <row r="45" spans="1:6" x14ac:dyDescent="0.3">
      <c r="A45" s="1" t="s">
        <v>201</v>
      </c>
      <c r="B45" s="1" t="s">
        <v>3167</v>
      </c>
      <c r="C45" s="432">
        <v>0.03</v>
      </c>
      <c r="D45" s="433">
        <v>1.9</v>
      </c>
      <c r="E45" s="434">
        <v>17</v>
      </c>
      <c r="F45" s="435">
        <f t="shared" si="1"/>
        <v>1.0518934081346425E-3</v>
      </c>
    </row>
    <row r="46" spans="1:6" x14ac:dyDescent="0.3">
      <c r="A46" s="1" t="s">
        <v>201</v>
      </c>
      <c r="B46" s="1" t="s">
        <v>3168</v>
      </c>
      <c r="C46" s="432">
        <v>0.2</v>
      </c>
      <c r="D46" s="433">
        <v>0.7</v>
      </c>
      <c r="E46" s="434">
        <v>6</v>
      </c>
      <c r="F46" s="435">
        <f t="shared" si="1"/>
        <v>7.0126227208976172E-3</v>
      </c>
    </row>
    <row r="47" spans="1:6" x14ac:dyDescent="0.3">
      <c r="A47" s="1" t="s">
        <v>201</v>
      </c>
      <c r="B47" s="1" t="s">
        <v>3169</v>
      </c>
      <c r="C47" s="432">
        <v>0.03</v>
      </c>
      <c r="D47" s="433">
        <v>0.4</v>
      </c>
      <c r="E47" s="434">
        <v>3</v>
      </c>
      <c r="F47" s="435">
        <f t="shared" si="1"/>
        <v>1.0518934081346425E-3</v>
      </c>
    </row>
    <row r="48" spans="1:6" x14ac:dyDescent="0.3">
      <c r="A48" s="1" t="s">
        <v>3232</v>
      </c>
      <c r="B48" s="1" t="s">
        <v>3170</v>
      </c>
      <c r="C48" s="432">
        <v>7.0000000000000007E-2</v>
      </c>
      <c r="D48" s="433">
        <v>4.8</v>
      </c>
      <c r="E48" s="434">
        <v>42</v>
      </c>
      <c r="F48" s="435">
        <f t="shared" si="1"/>
        <v>2.4544179523141659E-3</v>
      </c>
    </row>
    <row r="49" spans="1:6" x14ac:dyDescent="0.3">
      <c r="A49" s="1" t="s">
        <v>3232</v>
      </c>
      <c r="B49" s="1" t="s">
        <v>3171</v>
      </c>
      <c r="C49" s="432">
        <v>0.13</v>
      </c>
      <c r="D49" s="433">
        <v>6</v>
      </c>
      <c r="E49" s="434">
        <v>52</v>
      </c>
      <c r="F49" s="435">
        <f t="shared" si="1"/>
        <v>4.558204768583451E-3</v>
      </c>
    </row>
    <row r="50" spans="1:6" x14ac:dyDescent="0.3">
      <c r="A50" s="1" t="s">
        <v>3232</v>
      </c>
      <c r="B50" s="1" t="s">
        <v>3172</v>
      </c>
      <c r="C50" s="432">
        <v>0.02</v>
      </c>
      <c r="D50" s="433">
        <v>4</v>
      </c>
      <c r="E50" s="434">
        <v>35</v>
      </c>
      <c r="F50" s="435">
        <f t="shared" si="1"/>
        <v>7.0126227208976166E-4</v>
      </c>
    </row>
    <row r="51" spans="1:6" x14ac:dyDescent="0.3">
      <c r="A51" s="1" t="s">
        <v>3232</v>
      </c>
      <c r="B51" s="1" t="s">
        <v>3173</v>
      </c>
      <c r="C51" s="432">
        <v>0.01</v>
      </c>
      <c r="D51" s="433">
        <v>5</v>
      </c>
      <c r="E51" s="434">
        <v>43</v>
      </c>
      <c r="F51" s="435">
        <f t="shared" si="1"/>
        <v>3.5063113604488083E-4</v>
      </c>
    </row>
    <row r="52" spans="1:6" x14ac:dyDescent="0.3">
      <c r="A52" s="1" t="s">
        <v>3232</v>
      </c>
      <c r="B52" s="1" t="s">
        <v>3174</v>
      </c>
      <c r="C52" s="432">
        <v>0.35</v>
      </c>
      <c r="D52" s="433">
        <v>7.9</v>
      </c>
      <c r="E52" s="434">
        <v>69</v>
      </c>
      <c r="F52" s="435">
        <f t="shared" si="1"/>
        <v>1.2272089761570829E-2</v>
      </c>
    </row>
    <row r="53" spans="1:6" x14ac:dyDescent="0.3">
      <c r="A53" s="1" t="s">
        <v>3232</v>
      </c>
      <c r="B53" s="1" t="s">
        <v>3175</v>
      </c>
      <c r="C53" s="432">
        <v>0.06</v>
      </c>
      <c r="D53" s="433">
        <v>5.8</v>
      </c>
      <c r="E53" s="434">
        <v>51</v>
      </c>
      <c r="F53" s="435">
        <f t="shared" si="1"/>
        <v>2.1037868162692851E-3</v>
      </c>
    </row>
    <row r="54" spans="1:6" x14ac:dyDescent="0.3">
      <c r="A54" s="1" t="s">
        <v>3232</v>
      </c>
      <c r="B54" s="1" t="s">
        <v>3176</v>
      </c>
      <c r="C54" s="432">
        <v>0.43</v>
      </c>
      <c r="D54" s="433">
        <v>5.4</v>
      </c>
      <c r="E54" s="434">
        <v>47</v>
      </c>
      <c r="F54" s="435">
        <f t="shared" si="1"/>
        <v>1.5077138849929875E-2</v>
      </c>
    </row>
    <row r="55" spans="1:6" x14ac:dyDescent="0.3">
      <c r="A55" s="1" t="s">
        <v>3232</v>
      </c>
      <c r="B55" s="1" t="s">
        <v>3177</v>
      </c>
      <c r="C55" s="432">
        <v>7.0000000000000007E-2</v>
      </c>
      <c r="D55" s="433">
        <v>5</v>
      </c>
      <c r="E55" s="434">
        <v>44</v>
      </c>
      <c r="F55" s="435">
        <f t="shared" si="1"/>
        <v>2.4544179523141659E-3</v>
      </c>
    </row>
    <row r="56" spans="1:6" x14ac:dyDescent="0.3">
      <c r="A56" s="1" t="s">
        <v>3232</v>
      </c>
      <c r="B56" s="1" t="s">
        <v>3178</v>
      </c>
      <c r="C56" s="432">
        <v>0.18</v>
      </c>
      <c r="D56" s="433">
        <v>1.4</v>
      </c>
      <c r="E56" s="434">
        <v>12</v>
      </c>
      <c r="F56" s="435">
        <f t="shared" si="1"/>
        <v>6.3113604488078548E-3</v>
      </c>
    </row>
    <row r="57" spans="1:6" x14ac:dyDescent="0.3">
      <c r="A57" s="1" t="s">
        <v>3232</v>
      </c>
      <c r="B57" s="1" t="s">
        <v>3179</v>
      </c>
      <c r="C57" s="432">
        <v>0.15</v>
      </c>
      <c r="D57" s="433">
        <v>3.5</v>
      </c>
      <c r="E57" s="434">
        <v>31</v>
      </c>
      <c r="F57" s="435">
        <f t="shared" si="1"/>
        <v>5.2594670406732125E-3</v>
      </c>
    </row>
    <row r="58" spans="1:6" x14ac:dyDescent="0.3">
      <c r="A58" s="1" t="s">
        <v>3233</v>
      </c>
      <c r="B58" s="1" t="s">
        <v>3180</v>
      </c>
      <c r="C58" s="432">
        <v>0.44</v>
      </c>
      <c r="D58" s="433">
        <v>4.9000000000000004</v>
      </c>
      <c r="E58" s="434">
        <v>43</v>
      </c>
      <c r="F58" s="435">
        <f t="shared" si="1"/>
        <v>1.5427769985974758E-2</v>
      </c>
    </row>
    <row r="59" spans="1:6" x14ac:dyDescent="0.3">
      <c r="A59" s="1" t="s">
        <v>245</v>
      </c>
      <c r="B59" s="1" t="s">
        <v>3181</v>
      </c>
      <c r="C59" s="432">
        <v>0.05</v>
      </c>
      <c r="D59" s="433">
        <v>0.8</v>
      </c>
      <c r="E59" s="434">
        <v>7</v>
      </c>
      <c r="F59" s="435">
        <f t="shared" si="1"/>
        <v>1.7531556802244043E-3</v>
      </c>
    </row>
    <row r="60" spans="1:6" x14ac:dyDescent="0.3">
      <c r="A60" s="1" t="s">
        <v>245</v>
      </c>
      <c r="B60" s="1" t="s">
        <v>3182</v>
      </c>
      <c r="C60" s="432">
        <v>1.2</v>
      </c>
      <c r="D60" s="433">
        <v>0.2</v>
      </c>
      <c r="E60" s="434">
        <v>2</v>
      </c>
      <c r="F60" s="435">
        <f t="shared" si="1"/>
        <v>4.20757363253857E-2</v>
      </c>
    </row>
    <row r="61" spans="1:6" x14ac:dyDescent="0.3">
      <c r="A61" s="1" t="s">
        <v>245</v>
      </c>
      <c r="B61" s="1" t="s">
        <v>3183</v>
      </c>
      <c r="C61" s="432">
        <v>0.13</v>
      </c>
      <c r="D61" s="433">
        <v>0.3</v>
      </c>
      <c r="E61" s="434">
        <v>2</v>
      </c>
      <c r="F61" s="435">
        <f t="shared" si="1"/>
        <v>4.558204768583451E-3</v>
      </c>
    </row>
    <row r="62" spans="1:6" x14ac:dyDescent="0.3">
      <c r="A62" s="1" t="s">
        <v>3234</v>
      </c>
      <c r="B62" s="1" t="s">
        <v>3184</v>
      </c>
      <c r="C62" s="432">
        <v>0.08</v>
      </c>
      <c r="D62" s="433">
        <v>3.8</v>
      </c>
      <c r="E62" s="434">
        <v>33</v>
      </c>
      <c r="F62" s="435">
        <f t="shared" si="1"/>
        <v>2.8050490883590466E-3</v>
      </c>
    </row>
    <row r="63" spans="1:6" x14ac:dyDescent="0.3">
      <c r="A63" s="1" t="s">
        <v>3234</v>
      </c>
      <c r="B63" s="1" t="s">
        <v>3185</v>
      </c>
      <c r="C63" s="432">
        <v>0.25</v>
      </c>
      <c r="D63" s="433">
        <v>1.3</v>
      </c>
      <c r="E63" s="434">
        <v>11</v>
      </c>
      <c r="F63" s="435">
        <f t="shared" si="1"/>
        <v>8.7657784011220211E-3</v>
      </c>
    </row>
    <row r="64" spans="1:6" x14ac:dyDescent="0.3">
      <c r="A64" s="1" t="s">
        <v>3234</v>
      </c>
      <c r="B64" s="1" t="s">
        <v>3186</v>
      </c>
      <c r="C64" s="432">
        <v>0.25</v>
      </c>
      <c r="D64" s="433">
        <v>8.3000000000000007</v>
      </c>
      <c r="E64" s="434">
        <v>73</v>
      </c>
      <c r="F64" s="435">
        <f t="shared" si="1"/>
        <v>8.7657784011220211E-3</v>
      </c>
    </row>
    <row r="65" spans="1:6" x14ac:dyDescent="0.3">
      <c r="A65" s="1" t="s">
        <v>3234</v>
      </c>
      <c r="B65" s="1" t="s">
        <v>3187</v>
      </c>
      <c r="C65" s="432">
        <v>0.3</v>
      </c>
      <c r="D65" s="433">
        <v>6</v>
      </c>
      <c r="E65" s="434">
        <v>52</v>
      </c>
      <c r="F65" s="435">
        <f t="shared" si="1"/>
        <v>1.0518934081346425E-2</v>
      </c>
    </row>
    <row r="66" spans="1:6" x14ac:dyDescent="0.3">
      <c r="A66" s="1" t="s">
        <v>3234</v>
      </c>
      <c r="B66" s="1" t="s">
        <v>3188</v>
      </c>
      <c r="C66" s="432">
        <v>0.17</v>
      </c>
      <c r="D66" s="433">
        <v>5.6</v>
      </c>
      <c r="E66" s="434">
        <v>49</v>
      </c>
      <c r="F66" s="435">
        <f t="shared" si="1"/>
        <v>5.9607293127629749E-3</v>
      </c>
    </row>
    <row r="67" spans="1:6" x14ac:dyDescent="0.3">
      <c r="A67" s="1" t="s">
        <v>3234</v>
      </c>
      <c r="B67" s="1" t="s">
        <v>3189</v>
      </c>
      <c r="C67" s="432">
        <v>0.02</v>
      </c>
      <c r="D67" s="433">
        <v>9.5</v>
      </c>
      <c r="E67" s="434">
        <v>83</v>
      </c>
      <c r="F67" s="435">
        <f t="shared" ref="F67:F103" si="2">C67/SUM($C$3:$C$103)</f>
        <v>7.0126227208976166E-4</v>
      </c>
    </row>
    <row r="68" spans="1:6" x14ac:dyDescent="0.3">
      <c r="A68" s="1" t="s">
        <v>3234</v>
      </c>
      <c r="B68" s="1" t="s">
        <v>3190</v>
      </c>
      <c r="C68" s="432">
        <v>0.22</v>
      </c>
      <c r="D68" s="433">
        <v>5.9</v>
      </c>
      <c r="E68" s="434">
        <v>52</v>
      </c>
      <c r="F68" s="435">
        <f t="shared" si="2"/>
        <v>7.7138849929873788E-3</v>
      </c>
    </row>
    <row r="69" spans="1:6" x14ac:dyDescent="0.3">
      <c r="A69" s="1" t="s">
        <v>3234</v>
      </c>
      <c r="B69" s="1" t="s">
        <v>3191</v>
      </c>
      <c r="C69" s="432">
        <v>0.23</v>
      </c>
      <c r="D69" s="433">
        <v>4.7</v>
      </c>
      <c r="E69" s="434">
        <v>41</v>
      </c>
      <c r="F69" s="435">
        <f t="shared" si="2"/>
        <v>8.0645161290322596E-3</v>
      </c>
    </row>
    <row r="70" spans="1:6" x14ac:dyDescent="0.3">
      <c r="A70" s="1" t="s">
        <v>3235</v>
      </c>
      <c r="B70" s="1" t="s">
        <v>3192</v>
      </c>
      <c r="C70" s="432">
        <v>0.04</v>
      </c>
      <c r="D70" s="433">
        <v>1</v>
      </c>
      <c r="E70" s="434">
        <v>9</v>
      </c>
      <c r="F70" s="435">
        <f t="shared" si="2"/>
        <v>1.4025245441795233E-3</v>
      </c>
    </row>
    <row r="71" spans="1:6" x14ac:dyDescent="0.3">
      <c r="A71" s="1" t="s">
        <v>3235</v>
      </c>
      <c r="B71" s="1" t="s">
        <v>3193</v>
      </c>
      <c r="C71" s="432">
        <v>0.08</v>
      </c>
      <c r="D71" s="433">
        <v>1.9</v>
      </c>
      <c r="E71" s="434">
        <v>17</v>
      </c>
      <c r="F71" s="435">
        <f t="shared" si="2"/>
        <v>2.8050490883590466E-3</v>
      </c>
    </row>
    <row r="72" spans="1:6" x14ac:dyDescent="0.3">
      <c r="A72" s="1" t="s">
        <v>3235</v>
      </c>
      <c r="B72" s="1" t="s">
        <v>3194</v>
      </c>
      <c r="C72" s="432">
        <v>0.06</v>
      </c>
      <c r="D72" s="433">
        <v>1.8</v>
      </c>
      <c r="E72" s="434">
        <v>16</v>
      </c>
      <c r="F72" s="435">
        <f t="shared" si="2"/>
        <v>2.1037868162692851E-3</v>
      </c>
    </row>
    <row r="73" spans="1:6" x14ac:dyDescent="0.3">
      <c r="A73" s="1" t="s">
        <v>3235</v>
      </c>
      <c r="B73" s="1" t="s">
        <v>3195</v>
      </c>
      <c r="C73" s="432">
        <v>0.24</v>
      </c>
      <c r="D73" s="433">
        <v>2.7</v>
      </c>
      <c r="E73" s="434">
        <v>24</v>
      </c>
      <c r="F73" s="435">
        <f t="shared" si="2"/>
        <v>8.4151472650771404E-3</v>
      </c>
    </row>
    <row r="74" spans="1:6" x14ac:dyDescent="0.3">
      <c r="A74" s="1" t="s">
        <v>3236</v>
      </c>
      <c r="B74" s="1" t="s">
        <v>3196</v>
      </c>
      <c r="C74" s="432">
        <v>0.13</v>
      </c>
      <c r="D74" s="433">
        <v>1.4</v>
      </c>
      <c r="E74" s="434">
        <v>12</v>
      </c>
      <c r="F74" s="435">
        <f t="shared" si="2"/>
        <v>4.558204768583451E-3</v>
      </c>
    </row>
    <row r="75" spans="1:6" x14ac:dyDescent="0.3">
      <c r="A75" s="1" t="s">
        <v>3236</v>
      </c>
      <c r="B75" s="1" t="s">
        <v>3197</v>
      </c>
      <c r="C75" s="432">
        <v>0.06</v>
      </c>
      <c r="D75" s="433">
        <v>1</v>
      </c>
      <c r="E75" s="434">
        <v>9</v>
      </c>
      <c r="F75" s="435">
        <f t="shared" si="2"/>
        <v>2.1037868162692851E-3</v>
      </c>
    </row>
    <row r="76" spans="1:6" x14ac:dyDescent="0.3">
      <c r="A76" s="1" t="s">
        <v>3236</v>
      </c>
      <c r="B76" s="1" t="s">
        <v>3198</v>
      </c>
      <c r="C76" s="432">
        <v>0.63</v>
      </c>
      <c r="D76" s="433">
        <v>2.6</v>
      </c>
      <c r="E76" s="434">
        <v>23</v>
      </c>
      <c r="F76" s="435">
        <f t="shared" si="2"/>
        <v>2.2089761570827492E-2</v>
      </c>
    </row>
    <row r="77" spans="1:6" x14ac:dyDescent="0.3">
      <c r="A77" s="1" t="s">
        <v>3237</v>
      </c>
      <c r="B77" s="1" t="s">
        <v>3199</v>
      </c>
      <c r="C77" s="432">
        <v>0.05</v>
      </c>
      <c r="D77" s="433">
        <v>1.7</v>
      </c>
      <c r="E77" s="434">
        <v>15</v>
      </c>
      <c r="F77" s="435">
        <f t="shared" si="2"/>
        <v>1.7531556802244043E-3</v>
      </c>
    </row>
    <row r="78" spans="1:6" x14ac:dyDescent="0.3">
      <c r="A78" s="1" t="s">
        <v>3237</v>
      </c>
      <c r="B78" s="1" t="s">
        <v>3200</v>
      </c>
      <c r="C78" s="432">
        <v>0.25</v>
      </c>
      <c r="D78" s="433">
        <v>0.1</v>
      </c>
      <c r="E78" s="434">
        <v>1</v>
      </c>
      <c r="F78" s="435">
        <f t="shared" si="2"/>
        <v>8.7657784011220211E-3</v>
      </c>
    </row>
    <row r="79" spans="1:6" x14ac:dyDescent="0.3">
      <c r="A79" s="1" t="s">
        <v>3237</v>
      </c>
      <c r="B79" s="1" t="s">
        <v>3201</v>
      </c>
      <c r="C79" s="432">
        <v>0.15</v>
      </c>
      <c r="D79" s="433">
        <v>0.1</v>
      </c>
      <c r="E79" s="434">
        <v>1</v>
      </c>
      <c r="F79" s="435">
        <f t="shared" si="2"/>
        <v>5.2594670406732125E-3</v>
      </c>
    </row>
    <row r="80" spans="1:6" x14ac:dyDescent="0.3">
      <c r="A80" s="1" t="s">
        <v>3237</v>
      </c>
      <c r="B80" s="1" t="s">
        <v>3202</v>
      </c>
      <c r="C80" s="432">
        <v>0.51</v>
      </c>
      <c r="D80" s="433">
        <v>1.6</v>
      </c>
      <c r="E80" s="434">
        <v>14</v>
      </c>
      <c r="F80" s="435">
        <f t="shared" si="2"/>
        <v>1.7882187938288923E-2</v>
      </c>
    </row>
    <row r="81" spans="1:6" x14ac:dyDescent="0.3">
      <c r="A81" s="1" t="s">
        <v>3238</v>
      </c>
      <c r="B81" s="1" t="s">
        <v>3245</v>
      </c>
      <c r="C81" s="432">
        <v>0.03</v>
      </c>
      <c r="D81" s="433">
        <v>4.5</v>
      </c>
      <c r="E81" s="434">
        <v>39</v>
      </c>
      <c r="F81" s="435">
        <f t="shared" si="2"/>
        <v>1.0518934081346425E-3</v>
      </c>
    </row>
    <row r="82" spans="1:6" x14ac:dyDescent="0.3">
      <c r="A82" s="1" t="s">
        <v>3239</v>
      </c>
      <c r="B82" s="1" t="s">
        <v>3203</v>
      </c>
      <c r="C82" s="432">
        <v>0.2</v>
      </c>
      <c r="D82" s="433">
        <v>4</v>
      </c>
      <c r="E82" s="434">
        <v>35</v>
      </c>
      <c r="F82" s="435">
        <f t="shared" si="2"/>
        <v>7.0126227208976172E-3</v>
      </c>
    </row>
    <row r="83" spans="1:6" x14ac:dyDescent="0.3">
      <c r="A83" s="1" t="s">
        <v>3240</v>
      </c>
      <c r="B83" s="1" t="s">
        <v>3204</v>
      </c>
      <c r="C83" s="432">
        <v>0.1</v>
      </c>
      <c r="D83" s="433">
        <v>8.6999999999999993</v>
      </c>
      <c r="E83" s="434">
        <v>76</v>
      </c>
      <c r="F83" s="435">
        <f t="shared" si="2"/>
        <v>3.5063113604488086E-3</v>
      </c>
    </row>
    <row r="84" spans="1:6" x14ac:dyDescent="0.3">
      <c r="A84" s="1" t="s">
        <v>3240</v>
      </c>
      <c r="B84" s="1" t="s">
        <v>3205</v>
      </c>
      <c r="C84" s="432">
        <v>0.3</v>
      </c>
      <c r="D84" s="433">
        <v>19.2</v>
      </c>
      <c r="E84" s="434">
        <v>168</v>
      </c>
      <c r="F84" s="435">
        <f t="shared" si="2"/>
        <v>1.0518934081346425E-2</v>
      </c>
    </row>
    <row r="85" spans="1:6" x14ac:dyDescent="0.3">
      <c r="A85" s="1" t="s">
        <v>3240</v>
      </c>
      <c r="B85" s="1" t="s">
        <v>3206</v>
      </c>
      <c r="C85" s="432">
        <v>0.05</v>
      </c>
      <c r="D85" s="433">
        <v>34.299999999999997</v>
      </c>
      <c r="E85" s="434">
        <v>301</v>
      </c>
      <c r="F85" s="435">
        <f t="shared" si="2"/>
        <v>1.7531556802244043E-3</v>
      </c>
    </row>
    <row r="86" spans="1:6" x14ac:dyDescent="0.3">
      <c r="A86" s="1" t="s">
        <v>3240</v>
      </c>
      <c r="B86" s="1" t="s">
        <v>3207</v>
      </c>
      <c r="C86" s="432">
        <v>0.04</v>
      </c>
      <c r="D86" s="433">
        <v>7.4</v>
      </c>
      <c r="E86" s="434">
        <v>64</v>
      </c>
      <c r="F86" s="435">
        <f t="shared" si="2"/>
        <v>1.4025245441795233E-3</v>
      </c>
    </row>
    <row r="87" spans="1:6" x14ac:dyDescent="0.3">
      <c r="A87" s="1" t="s">
        <v>3240</v>
      </c>
      <c r="B87" s="1" t="s">
        <v>3208</v>
      </c>
      <c r="C87" s="432">
        <v>0.06</v>
      </c>
      <c r="D87" s="433">
        <v>10.8</v>
      </c>
      <c r="E87" s="434">
        <v>94</v>
      </c>
      <c r="F87" s="435">
        <f t="shared" si="2"/>
        <v>2.1037868162692851E-3</v>
      </c>
    </row>
    <row r="88" spans="1:6" x14ac:dyDescent="0.3">
      <c r="A88" s="1" t="s">
        <v>3240</v>
      </c>
      <c r="B88" s="1" t="s">
        <v>3209</v>
      </c>
      <c r="C88" s="432">
        <v>0.48</v>
      </c>
      <c r="D88" s="433">
        <v>13.7</v>
      </c>
      <c r="E88" s="434">
        <v>120</v>
      </c>
      <c r="F88" s="435">
        <f t="shared" si="2"/>
        <v>1.6830294530154281E-2</v>
      </c>
    </row>
    <row r="89" spans="1:6" x14ac:dyDescent="0.3">
      <c r="A89" s="1" t="s">
        <v>3240</v>
      </c>
      <c r="B89" s="1" t="s">
        <v>3210</v>
      </c>
      <c r="C89" s="432">
        <v>0.04</v>
      </c>
      <c r="D89" s="433">
        <v>20.8</v>
      </c>
      <c r="E89" s="434">
        <v>182</v>
      </c>
      <c r="F89" s="435">
        <f t="shared" si="2"/>
        <v>1.4025245441795233E-3</v>
      </c>
    </row>
    <row r="90" spans="1:6" x14ac:dyDescent="0.3">
      <c r="A90" s="1" t="s">
        <v>3241</v>
      </c>
      <c r="B90" s="1" t="s">
        <v>3211</v>
      </c>
      <c r="C90" s="432">
        <v>0.05</v>
      </c>
      <c r="D90" s="433">
        <v>1.3</v>
      </c>
      <c r="E90" s="434">
        <v>11</v>
      </c>
      <c r="F90" s="435">
        <f t="shared" si="2"/>
        <v>1.7531556802244043E-3</v>
      </c>
    </row>
    <row r="91" spans="1:6" x14ac:dyDescent="0.3">
      <c r="A91" s="1" t="s">
        <v>3241</v>
      </c>
      <c r="B91" s="1" t="s">
        <v>3212</v>
      </c>
      <c r="C91" s="432">
        <v>0.28000000000000003</v>
      </c>
      <c r="D91" s="433">
        <v>1.6</v>
      </c>
      <c r="E91" s="434">
        <v>14</v>
      </c>
      <c r="F91" s="435">
        <f t="shared" si="2"/>
        <v>9.8176718092566635E-3</v>
      </c>
    </row>
    <row r="92" spans="1:6" x14ac:dyDescent="0.3">
      <c r="A92" s="1" t="s">
        <v>3241</v>
      </c>
      <c r="B92" s="1" t="s">
        <v>3213</v>
      </c>
      <c r="C92" s="432">
        <v>1.68</v>
      </c>
      <c r="D92" s="433">
        <v>0.4</v>
      </c>
      <c r="E92" s="434">
        <v>4</v>
      </c>
      <c r="F92" s="435">
        <f t="shared" si="2"/>
        <v>5.8906030855539977E-2</v>
      </c>
    </row>
    <row r="93" spans="1:6" x14ac:dyDescent="0.3">
      <c r="A93" s="1" t="s">
        <v>3241</v>
      </c>
      <c r="B93" s="1" t="s">
        <v>3214</v>
      </c>
      <c r="C93" s="432">
        <v>0.03</v>
      </c>
      <c r="D93" s="433">
        <v>2</v>
      </c>
      <c r="E93" s="434">
        <v>18</v>
      </c>
      <c r="F93" s="435">
        <f t="shared" si="2"/>
        <v>1.0518934081346425E-3</v>
      </c>
    </row>
    <row r="94" spans="1:6" x14ac:dyDescent="0.3">
      <c r="A94" s="1" t="s">
        <v>3241</v>
      </c>
      <c r="B94" s="1" t="s">
        <v>3215</v>
      </c>
      <c r="C94" s="432">
        <v>1.7</v>
      </c>
      <c r="D94" s="433">
        <v>2.2000000000000002</v>
      </c>
      <c r="E94" s="434">
        <v>19</v>
      </c>
      <c r="F94" s="435">
        <f t="shared" si="2"/>
        <v>5.9607293127629739E-2</v>
      </c>
    </row>
    <row r="95" spans="1:6" x14ac:dyDescent="0.3">
      <c r="A95" s="1" t="s">
        <v>3242</v>
      </c>
      <c r="B95" s="1" t="s">
        <v>3216</v>
      </c>
      <c r="C95" s="432">
        <v>0.02</v>
      </c>
      <c r="D95" s="433">
        <v>11</v>
      </c>
      <c r="E95" s="434">
        <v>96</v>
      </c>
      <c r="F95" s="435">
        <f t="shared" si="2"/>
        <v>7.0126227208976166E-4</v>
      </c>
    </row>
    <row r="96" spans="1:6" x14ac:dyDescent="0.3">
      <c r="A96" s="1" t="s">
        <v>3242</v>
      </c>
      <c r="B96" s="1" t="s">
        <v>3217</v>
      </c>
      <c r="C96" s="432">
        <v>0.02</v>
      </c>
      <c r="D96" s="433">
        <v>9.5</v>
      </c>
      <c r="E96" s="434">
        <v>83</v>
      </c>
      <c r="F96" s="435">
        <f t="shared" si="2"/>
        <v>7.0126227208976166E-4</v>
      </c>
    </row>
    <row r="97" spans="1:6" x14ac:dyDescent="0.3">
      <c r="A97" s="1" t="s">
        <v>3243</v>
      </c>
      <c r="B97" s="1" t="s">
        <v>3218</v>
      </c>
      <c r="C97" s="432">
        <v>0.26</v>
      </c>
      <c r="D97" s="433">
        <v>0.2</v>
      </c>
      <c r="E97" s="434">
        <v>2</v>
      </c>
      <c r="F97" s="435">
        <f t="shared" si="2"/>
        <v>9.1164095371669019E-3</v>
      </c>
    </row>
    <row r="98" spans="1:6" x14ac:dyDescent="0.3">
      <c r="A98" s="1" t="s">
        <v>3243</v>
      </c>
      <c r="B98" s="1" t="s">
        <v>3219</v>
      </c>
      <c r="C98" s="432">
        <v>1.72</v>
      </c>
      <c r="D98" s="433">
        <v>0.6</v>
      </c>
      <c r="E98" s="434">
        <v>5</v>
      </c>
      <c r="F98" s="435">
        <f t="shared" si="2"/>
        <v>6.03085553997195E-2</v>
      </c>
    </row>
    <row r="99" spans="1:6" x14ac:dyDescent="0.3">
      <c r="A99" s="1" t="s">
        <v>3244</v>
      </c>
      <c r="B99" s="1" t="s">
        <v>3220</v>
      </c>
      <c r="C99" s="432">
        <v>0.67</v>
      </c>
      <c r="D99" s="433">
        <v>0.1</v>
      </c>
      <c r="E99" s="434">
        <v>1</v>
      </c>
      <c r="F99" s="435">
        <f t="shared" si="2"/>
        <v>2.3492286115007019E-2</v>
      </c>
    </row>
    <row r="100" spans="1:6" x14ac:dyDescent="0.3">
      <c r="A100" s="1" t="s">
        <v>3244</v>
      </c>
      <c r="B100" s="1" t="s">
        <v>3221</v>
      </c>
      <c r="C100" s="432">
        <v>0.35</v>
      </c>
      <c r="D100" s="433">
        <v>0.1</v>
      </c>
      <c r="E100" s="434">
        <v>1</v>
      </c>
      <c r="F100" s="435">
        <f t="shared" si="2"/>
        <v>1.2272089761570829E-2</v>
      </c>
    </row>
    <row r="101" spans="1:6" x14ac:dyDescent="0.3">
      <c r="A101" s="1" t="s">
        <v>3244</v>
      </c>
      <c r="B101" s="1" t="s">
        <v>3222</v>
      </c>
      <c r="C101" s="432">
        <v>1</v>
      </c>
      <c r="D101" s="433">
        <v>2.2000000000000002</v>
      </c>
      <c r="E101" s="434">
        <v>19</v>
      </c>
      <c r="F101" s="435">
        <f t="shared" si="2"/>
        <v>3.5063113604488085E-2</v>
      </c>
    </row>
    <row r="102" spans="1:6" x14ac:dyDescent="0.3">
      <c r="A102" s="1" t="s">
        <v>3244</v>
      </c>
      <c r="B102" s="1" t="s">
        <v>3223</v>
      </c>
      <c r="C102" s="432">
        <v>0.28999999999999998</v>
      </c>
      <c r="D102" s="433">
        <v>3.5</v>
      </c>
      <c r="E102" s="434">
        <v>31</v>
      </c>
      <c r="F102" s="435">
        <f t="shared" si="2"/>
        <v>1.0168302945301544E-2</v>
      </c>
    </row>
    <row r="103" spans="1:6" x14ac:dyDescent="0.3">
      <c r="A103" s="1" t="s">
        <v>3244</v>
      </c>
      <c r="B103" s="1" t="s">
        <v>3224</v>
      </c>
      <c r="C103" s="432">
        <v>0.19</v>
      </c>
      <c r="D103" s="433">
        <v>22.8</v>
      </c>
      <c r="E103" s="434">
        <v>200</v>
      </c>
      <c r="F103" s="435">
        <f t="shared" si="2"/>
        <v>6.6619915848527356E-3</v>
      </c>
    </row>
    <row r="106" spans="1:6" x14ac:dyDescent="0.3">
      <c r="A106" s="437" t="s">
        <v>342</v>
      </c>
      <c r="B106" s="245" t="s">
        <v>3225</v>
      </c>
    </row>
  </sheetData>
  <sheetProtection algorithmName="SHA-512" hashValue="GaSTY5N3qH1ZOdJsqWAe3ExaxY+ZTrLlrr2XEef9teOCnCGigRKIZtKNnm/aPyrPBDUDlW/q+p1ptCnWVUkuHA==" saltValue="HMCQFwV/3w34nFqNHeKPTQ==" spinCount="100000" sheet="1" objects="1" scenarios="1"/>
  <hyperlinks>
    <hyperlink ref="A1" location="TOC!A1" display="Return to TOC" xr:uid="{00000000-0004-0000-5E00-000000000000}"/>
  </hyperlinks>
  <pageMargins left="0.7" right="0.7" top="0.75" bottom="0.75" header="0.3" footer="0.3"/>
  <pageSetup fitToHeight="0"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15098-BB66-4ABB-96B8-C7E719045FEF}">
  <sheetPr>
    <tabColor theme="9" tint="0.79998168889431442"/>
  </sheetPr>
  <dimension ref="A1:AF106"/>
  <sheetViews>
    <sheetView zoomScaleNormal="100" workbookViewId="0">
      <selection activeCell="A2" sqref="A2"/>
    </sheetView>
  </sheetViews>
  <sheetFormatPr defaultColWidth="2.6640625" defaultRowHeight="14.4" x14ac:dyDescent="0.3"/>
  <sheetData>
    <row r="1" spans="1:32" ht="18.600000000000001" thickBot="1" x14ac:dyDescent="0.35">
      <c r="A1" s="979" t="s">
        <v>6548</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x14ac:dyDescent="0.3">
      <c r="A2" s="512" t="s">
        <v>1456</v>
      </c>
    </row>
    <row r="3" spans="1:32" x14ac:dyDescent="0.3">
      <c r="A3" s="1053" t="s">
        <v>1374</v>
      </c>
      <c r="B3" s="1054"/>
      <c r="C3" s="1054"/>
      <c r="D3" s="1054"/>
      <c r="E3" s="1054"/>
      <c r="F3" s="1054"/>
      <c r="G3" s="1054"/>
      <c r="H3" s="1054"/>
      <c r="I3" s="1054"/>
      <c r="J3" s="1054"/>
      <c r="K3" s="1054"/>
      <c r="L3" s="1054"/>
      <c r="M3" s="1054"/>
      <c r="N3" s="1054"/>
      <c r="O3" s="1054"/>
      <c r="P3" s="1054"/>
      <c r="Q3" s="1054"/>
      <c r="R3" s="1054"/>
      <c r="S3" s="1054"/>
      <c r="T3" s="1054"/>
      <c r="U3" s="1054"/>
      <c r="V3" s="1054"/>
      <c r="W3" s="1054"/>
      <c r="X3" s="1054"/>
      <c r="Y3" s="1054"/>
      <c r="Z3" s="1054"/>
      <c r="AA3" s="1054"/>
      <c r="AB3" s="1054"/>
      <c r="AC3" s="1054"/>
      <c r="AD3" s="1054"/>
      <c r="AE3" s="1054"/>
      <c r="AF3" s="1055"/>
    </row>
    <row r="4" spans="1:32" x14ac:dyDescent="0.3">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row>
    <row r="5" spans="1:32" x14ac:dyDescent="0.3">
      <c r="A5" s="121"/>
      <c r="B5" s="1258" t="s">
        <v>6465</v>
      </c>
      <c r="C5" s="1258"/>
      <c r="D5" s="1258"/>
      <c r="E5" s="1258"/>
      <c r="F5" s="1258"/>
      <c r="G5" s="1258"/>
      <c r="H5" s="1258"/>
      <c r="I5" s="1258"/>
      <c r="J5" s="1258"/>
      <c r="K5" s="1258"/>
      <c r="L5" s="1258"/>
      <c r="M5" s="1258"/>
      <c r="N5" s="1258"/>
      <c r="O5" s="1258"/>
      <c r="P5" s="1258"/>
      <c r="Q5" s="1258"/>
      <c r="R5" s="1258"/>
      <c r="S5" s="1258"/>
      <c r="T5" s="1258"/>
      <c r="U5" s="1258"/>
      <c r="V5" s="1258"/>
      <c r="W5" s="1258"/>
      <c r="X5" s="1258"/>
      <c r="Y5" s="1258"/>
      <c r="Z5" s="1258"/>
      <c r="AA5" s="1258"/>
      <c r="AB5" s="1258"/>
      <c r="AC5" s="1258"/>
      <c r="AD5" s="1258"/>
      <c r="AE5" s="1258"/>
      <c r="AF5" s="1258"/>
    </row>
    <row r="6" spans="1:32" x14ac:dyDescent="0.3">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row>
    <row r="7" spans="1:32" x14ac:dyDescent="0.3">
      <c r="A7" s="1290" t="s">
        <v>2</v>
      </c>
      <c r="B7" s="1290"/>
      <c r="C7" s="1290"/>
      <c r="D7" s="1290"/>
      <c r="E7" s="1290"/>
      <c r="F7" s="1290"/>
      <c r="G7" s="1290"/>
      <c r="H7" s="1290"/>
      <c r="I7" s="1290"/>
      <c r="J7" s="1290"/>
      <c r="K7" s="1290"/>
      <c r="L7" s="1290"/>
      <c r="M7" s="1290"/>
      <c r="N7" s="1290"/>
      <c r="O7" s="1290"/>
      <c r="P7" s="1290"/>
      <c r="Q7" s="1290"/>
      <c r="R7" s="1290"/>
      <c r="S7" s="1290"/>
      <c r="T7" s="1290"/>
      <c r="U7" s="1290"/>
      <c r="V7" s="1290"/>
      <c r="W7" s="1290"/>
      <c r="X7" s="1290"/>
      <c r="Y7" s="1290"/>
      <c r="Z7" s="1290"/>
      <c r="AA7" s="1290"/>
      <c r="AB7" s="1290"/>
      <c r="AC7" s="1290"/>
      <c r="AD7" s="1290"/>
      <c r="AE7" s="1290"/>
      <c r="AF7" s="1290"/>
    </row>
    <row r="8" spans="1:32" x14ac:dyDescent="0.3">
      <c r="A8" s="121"/>
      <c r="B8" s="12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row>
    <row r="9" spans="1:32" x14ac:dyDescent="0.3">
      <c r="A9" s="94"/>
      <c r="B9" s="267" t="s">
        <v>3</v>
      </c>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row>
    <row r="10" spans="1:32" ht="80.25" customHeight="1" x14ac:dyDescent="0.3">
      <c r="A10" s="94"/>
      <c r="B10" s="889" t="s">
        <v>6549</v>
      </c>
      <c r="C10" s="889"/>
      <c r="D10" s="889"/>
      <c r="E10" s="889"/>
      <c r="F10" s="889"/>
      <c r="G10" s="889"/>
      <c r="H10" s="889"/>
      <c r="I10" s="889"/>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row>
    <row r="11" spans="1:32" x14ac:dyDescent="0.3">
      <c r="A11" s="94"/>
      <c r="B11" s="121"/>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row>
    <row r="12" spans="1:32" x14ac:dyDescent="0.3">
      <c r="A12" s="94"/>
      <c r="B12" s="267" t="s">
        <v>4</v>
      </c>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row>
    <row r="13" spans="1:32" ht="30" customHeight="1" x14ac:dyDescent="0.3">
      <c r="A13" s="94"/>
      <c r="B13" s="889" t="s">
        <v>6550</v>
      </c>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89"/>
    </row>
    <row r="14" spans="1:32" x14ac:dyDescent="0.3">
      <c r="A14" s="94"/>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row>
    <row r="15" spans="1:32" x14ac:dyDescent="0.3">
      <c r="A15" s="94"/>
      <c r="B15" s="267" t="s">
        <v>5</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row>
    <row r="16" spans="1:32" x14ac:dyDescent="0.3">
      <c r="A16" s="94"/>
      <c r="B16" s="121" t="s">
        <v>6551</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row>
    <row r="17" spans="1:32" x14ac:dyDescent="0.3">
      <c r="A17" s="94"/>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row>
    <row r="18" spans="1:32" x14ac:dyDescent="0.3">
      <c r="A18" s="94"/>
      <c r="B18" s="267" t="s">
        <v>6</v>
      </c>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row>
    <row r="19" spans="1:32" x14ac:dyDescent="0.3">
      <c r="A19" s="94"/>
      <c r="B19" s="889" t="s">
        <v>6552</v>
      </c>
      <c r="C19" s="889"/>
      <c r="D19" s="889"/>
      <c r="E19" s="889"/>
      <c r="F19" s="889"/>
      <c r="G19" s="889"/>
      <c r="H19" s="889"/>
      <c r="I19" s="889"/>
      <c r="J19" s="889"/>
      <c r="K19" s="889"/>
      <c r="L19" s="889"/>
      <c r="M19" s="889"/>
      <c r="N19" s="889"/>
      <c r="O19" s="889"/>
      <c r="P19" s="889"/>
      <c r="Q19" s="889"/>
      <c r="R19" s="889"/>
      <c r="S19" s="889"/>
      <c r="T19" s="889"/>
      <c r="U19" s="889"/>
      <c r="V19" s="889"/>
      <c r="W19" s="889"/>
      <c r="X19" s="889"/>
      <c r="Y19" s="889"/>
      <c r="Z19" s="889"/>
      <c r="AA19" s="889"/>
      <c r="AB19" s="889"/>
      <c r="AC19" s="889"/>
      <c r="AD19" s="889"/>
      <c r="AE19" s="889"/>
      <c r="AF19" s="889"/>
    </row>
    <row r="20" spans="1:32" x14ac:dyDescent="0.3">
      <c r="A20" s="94"/>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row>
    <row r="21" spans="1:32" x14ac:dyDescent="0.3">
      <c r="A21" s="94"/>
      <c r="B21" s="267" t="s">
        <v>13</v>
      </c>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row>
    <row r="22" spans="1:32" x14ac:dyDescent="0.3">
      <c r="A22" s="94"/>
      <c r="B22" s="889" t="s">
        <v>6553</v>
      </c>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row>
    <row r="23" spans="1:32" x14ac:dyDescent="0.3">
      <c r="A23" s="121"/>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row>
    <row r="24" spans="1:32" x14ac:dyDescent="0.3">
      <c r="A24" s="121"/>
      <c r="B24" s="121"/>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row>
    <row r="25" spans="1:32" x14ac:dyDescent="0.3">
      <c r="A25" s="1290" t="s">
        <v>7</v>
      </c>
      <c r="B25" s="1290"/>
      <c r="C25" s="1290"/>
      <c r="D25" s="1290"/>
      <c r="E25" s="1290"/>
      <c r="F25" s="1290"/>
      <c r="G25" s="1290"/>
      <c r="H25" s="1290"/>
      <c r="I25" s="1290"/>
      <c r="J25" s="1290"/>
      <c r="K25" s="1290"/>
      <c r="L25" s="1290"/>
      <c r="M25" s="1290"/>
      <c r="N25" s="1290"/>
      <c r="O25" s="1290"/>
      <c r="P25" s="1290"/>
      <c r="Q25" s="1290"/>
      <c r="R25" s="1290"/>
      <c r="S25" s="1290"/>
      <c r="T25" s="1290"/>
      <c r="U25" s="1290"/>
      <c r="V25" s="1290"/>
      <c r="W25" s="1290"/>
      <c r="X25" s="1290"/>
      <c r="Y25" s="1290"/>
      <c r="Z25" s="1290"/>
      <c r="AA25" s="1290"/>
      <c r="AB25" s="1290"/>
      <c r="AC25" s="1290"/>
      <c r="AD25" s="1290"/>
      <c r="AE25" s="1290"/>
      <c r="AF25" s="1290"/>
    </row>
    <row r="26" spans="1:32" x14ac:dyDescent="0.3">
      <c r="A26" s="121"/>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row>
    <row r="27" spans="1:32" x14ac:dyDescent="0.3">
      <c r="A27" s="94"/>
      <c r="B27" s="372" t="s">
        <v>5342</v>
      </c>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row>
    <row r="28" spans="1:32" x14ac:dyDescent="0.3">
      <c r="A28" s="94"/>
      <c r="B28" s="57"/>
      <c r="C28" s="121"/>
      <c r="D28" s="187"/>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94"/>
    </row>
    <row r="29" spans="1:32" x14ac:dyDescent="0.3">
      <c r="A29" s="94"/>
      <c r="B29" s="57"/>
      <c r="C29" s="94"/>
      <c r="D29" s="187"/>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272" t="s">
        <v>1463</v>
      </c>
    </row>
    <row r="30" spans="1:32" x14ac:dyDescent="0.3">
      <c r="A30" s="94"/>
      <c r="B30" s="57"/>
      <c r="C30" s="94"/>
      <c r="D30" s="187"/>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21"/>
    </row>
    <row r="31" spans="1:32" x14ac:dyDescent="0.3">
      <c r="A31" s="94"/>
      <c r="B31" s="121"/>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row>
    <row r="32" spans="1:32" x14ac:dyDescent="0.3">
      <c r="A32" s="94"/>
      <c r="B32" s="121"/>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row>
    <row r="33" spans="1:32" x14ac:dyDescent="0.3">
      <c r="A33" s="94"/>
      <c r="B33" s="372" t="s">
        <v>6471</v>
      </c>
      <c r="C33" s="121"/>
      <c r="D33" s="121"/>
      <c r="E33" s="121"/>
      <c r="F33" s="121"/>
      <c r="G33" s="121"/>
      <c r="H33" s="121"/>
      <c r="I33" s="121"/>
      <c r="J33" s="121"/>
      <c r="K33" s="121"/>
      <c r="L33" s="121"/>
      <c r="M33" s="121"/>
      <c r="N33" s="169"/>
      <c r="O33" s="169"/>
      <c r="P33" s="169"/>
      <c r="Q33" s="169"/>
      <c r="R33" s="169"/>
      <c r="S33" s="169"/>
      <c r="T33" s="169"/>
      <c r="U33" s="169"/>
      <c r="V33" s="169"/>
      <c r="W33" s="169"/>
      <c r="X33" s="169"/>
      <c r="Y33" s="169"/>
      <c r="Z33" s="169"/>
      <c r="AA33" s="169"/>
      <c r="AB33" s="169"/>
      <c r="AC33" s="169"/>
      <c r="AD33" s="169"/>
      <c r="AE33" s="169"/>
      <c r="AF33" s="169"/>
    </row>
    <row r="34" spans="1:32" x14ac:dyDescent="0.3">
      <c r="A34" s="94"/>
      <c r="B34" s="121"/>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row>
    <row r="35" spans="1:32" x14ac:dyDescent="0.3">
      <c r="A35" s="94"/>
      <c r="B35" s="121"/>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272" t="s">
        <v>1464</v>
      </c>
    </row>
    <row r="36" spans="1:32" x14ac:dyDescent="0.3">
      <c r="A36" s="94"/>
      <c r="B36" s="121"/>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row>
    <row r="37" spans="1:32" x14ac:dyDescent="0.3">
      <c r="A37" s="94"/>
      <c r="B37" s="121"/>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row>
    <row r="38" spans="1:32" x14ac:dyDescent="0.3">
      <c r="A38" s="94"/>
      <c r="B38" s="121"/>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row>
    <row r="39" spans="1:32" x14ac:dyDescent="0.3">
      <c r="A39" s="94"/>
      <c r="B39" s="267" t="s">
        <v>6554</v>
      </c>
      <c r="C39" s="826"/>
      <c r="D39" s="826"/>
      <c r="E39" s="826"/>
      <c r="F39" s="826"/>
      <c r="G39" s="826"/>
      <c r="H39" s="826"/>
      <c r="I39" s="826"/>
      <c r="J39" s="826"/>
      <c r="K39" s="826"/>
      <c r="L39" s="826"/>
      <c r="M39" s="826"/>
      <c r="N39" s="826"/>
      <c r="O39" s="826"/>
      <c r="P39" s="826"/>
      <c r="Q39" s="169"/>
      <c r="R39" s="169"/>
      <c r="S39" s="169"/>
      <c r="T39" s="169"/>
      <c r="U39" s="169"/>
      <c r="V39" s="169"/>
      <c r="W39" s="169"/>
      <c r="X39" s="169"/>
      <c r="Y39" s="169"/>
      <c r="Z39" s="169"/>
      <c r="AA39" s="169"/>
      <c r="AB39" s="169"/>
      <c r="AC39" s="169"/>
      <c r="AD39" s="169"/>
      <c r="AE39" s="169"/>
      <c r="AF39" s="169"/>
    </row>
    <row r="40" spans="1:32" x14ac:dyDescent="0.3">
      <c r="A40" s="94"/>
      <c r="B40" s="121"/>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row>
    <row r="41" spans="1:32" x14ac:dyDescent="0.3">
      <c r="A41" s="94"/>
      <c r="B41" s="121"/>
      <c r="C41" s="827"/>
      <c r="D41" s="827"/>
      <c r="E41" s="827"/>
      <c r="F41" s="827"/>
      <c r="G41" s="827"/>
      <c r="H41" s="827"/>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272" t="s">
        <v>1465</v>
      </c>
    </row>
    <row r="42" spans="1:32" x14ac:dyDescent="0.3">
      <c r="A42" s="94"/>
      <c r="B42" s="121"/>
      <c r="C42" s="827"/>
      <c r="D42" s="827"/>
      <c r="E42" s="827"/>
      <c r="F42" s="827"/>
      <c r="G42" s="827"/>
      <c r="H42" s="827"/>
      <c r="I42" s="169"/>
      <c r="J42" s="169"/>
      <c r="K42" s="169"/>
      <c r="L42" s="169"/>
      <c r="M42" s="169"/>
      <c r="N42" s="169"/>
      <c r="O42" s="169"/>
      <c r="P42" s="169"/>
      <c r="Q42" s="169"/>
      <c r="R42" s="169"/>
      <c r="S42" s="169"/>
      <c r="T42" s="169"/>
      <c r="U42" s="169"/>
      <c r="V42" s="169"/>
      <c r="W42" s="169"/>
      <c r="X42" s="169"/>
      <c r="Y42" s="169"/>
      <c r="Z42" s="169"/>
      <c r="AA42" s="169"/>
      <c r="AB42" s="169"/>
      <c r="AC42" s="169"/>
      <c r="AD42" s="169"/>
      <c r="AE42" s="169"/>
      <c r="AF42" s="121"/>
    </row>
    <row r="43" spans="1:32" x14ac:dyDescent="0.3">
      <c r="A43" s="94"/>
      <c r="B43" s="121"/>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row>
    <row r="44" spans="1:32" x14ac:dyDescent="0.3">
      <c r="A44" s="94"/>
      <c r="B44" s="372" t="s">
        <v>2027</v>
      </c>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row>
    <row r="45" spans="1:32" x14ac:dyDescent="0.3">
      <c r="A45" s="94"/>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row>
    <row r="46" spans="1:32" x14ac:dyDescent="0.3">
      <c r="A46" s="94"/>
      <c r="B46" s="169"/>
      <c r="C46" s="169"/>
      <c r="D46" s="37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272" t="s">
        <v>1517</v>
      </c>
    </row>
    <row r="47" spans="1:32" x14ac:dyDescent="0.3">
      <c r="A47" s="94"/>
      <c r="B47" s="169"/>
      <c r="C47" s="169"/>
      <c r="D47" s="379"/>
      <c r="E47" s="169"/>
      <c r="F47" s="169"/>
      <c r="G47" s="169"/>
      <c r="H47" s="169"/>
      <c r="I47" s="169"/>
      <c r="J47" s="169"/>
      <c r="K47" s="169"/>
      <c r="L47" s="169"/>
      <c r="M47" s="169"/>
      <c r="N47" s="169"/>
      <c r="O47" s="169"/>
      <c r="P47" s="169"/>
      <c r="Q47" s="169"/>
      <c r="R47" s="169"/>
      <c r="S47" s="169"/>
      <c r="T47" s="169"/>
      <c r="U47" s="169"/>
      <c r="V47" s="169"/>
      <c r="W47" s="169"/>
      <c r="X47" s="169"/>
      <c r="Y47" s="169"/>
      <c r="Z47" s="169"/>
      <c r="AA47" s="169"/>
      <c r="AB47" s="169"/>
      <c r="AC47" s="169"/>
      <c r="AD47" s="169"/>
      <c r="AE47" s="169"/>
      <c r="AF47" s="121"/>
    </row>
    <row r="48" spans="1:32" x14ac:dyDescent="0.3">
      <c r="A48" s="94"/>
      <c r="B48" s="169"/>
      <c r="C48" s="169"/>
      <c r="D48" s="379"/>
      <c r="E48" s="169"/>
      <c r="F48" s="169"/>
      <c r="G48" s="169"/>
      <c r="H48" s="169"/>
      <c r="I48" s="169"/>
      <c r="J48" s="169"/>
      <c r="K48" s="169"/>
      <c r="L48" s="169"/>
      <c r="M48" s="169"/>
      <c r="N48" s="169"/>
      <c r="O48" s="169"/>
      <c r="P48" s="169"/>
      <c r="Q48" s="169"/>
      <c r="R48" s="169"/>
      <c r="S48" s="169"/>
      <c r="T48" s="169"/>
      <c r="U48" s="169"/>
      <c r="V48" s="169"/>
      <c r="W48" s="169"/>
      <c r="X48" s="169"/>
      <c r="Y48" s="169"/>
      <c r="Z48" s="169"/>
      <c r="AA48" s="169"/>
      <c r="AB48" s="169"/>
      <c r="AC48" s="169"/>
      <c r="AD48" s="169"/>
      <c r="AE48" s="169"/>
      <c r="AF48" s="121"/>
    </row>
    <row r="49" spans="1:32" x14ac:dyDescent="0.3">
      <c r="A49" s="94"/>
      <c r="B49" s="372" t="s">
        <v>6555</v>
      </c>
      <c r="C49" s="121"/>
      <c r="D49" s="37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21"/>
    </row>
    <row r="50" spans="1:32" x14ac:dyDescent="0.3">
      <c r="A50" s="94"/>
      <c r="B50" s="372"/>
      <c r="C50" s="169"/>
      <c r="D50" s="379"/>
      <c r="E50" s="169"/>
      <c r="F50" s="169"/>
      <c r="G50" s="169"/>
      <c r="H50" s="169"/>
      <c r="I50" s="169"/>
      <c r="J50" s="169"/>
      <c r="K50" s="169"/>
      <c r="L50" s="169"/>
      <c r="M50" s="169"/>
      <c r="N50" s="169"/>
      <c r="O50" s="169"/>
      <c r="P50" s="169"/>
      <c r="Q50" s="169"/>
      <c r="R50" s="169"/>
      <c r="S50" s="169"/>
      <c r="T50" s="169"/>
      <c r="U50" s="169"/>
      <c r="V50" s="169"/>
      <c r="W50" s="169"/>
      <c r="X50" s="169"/>
      <c r="Y50" s="169"/>
      <c r="Z50" s="169"/>
      <c r="AA50" s="169"/>
      <c r="AB50" s="169"/>
      <c r="AC50" s="169"/>
      <c r="AD50" s="169"/>
      <c r="AE50" s="169"/>
      <c r="AF50" s="121"/>
    </row>
    <row r="51" spans="1:32" x14ac:dyDescent="0.3">
      <c r="A51" s="94"/>
      <c r="B51" s="372"/>
      <c r="C51" s="169"/>
      <c r="D51" s="37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272" t="s">
        <v>1556</v>
      </c>
    </row>
    <row r="52" spans="1:32" x14ac:dyDescent="0.3">
      <c r="A52" s="94"/>
      <c r="B52" s="372"/>
      <c r="C52" s="169"/>
      <c r="D52" s="37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21"/>
    </row>
    <row r="53" spans="1:32" x14ac:dyDescent="0.3">
      <c r="A53" s="94"/>
      <c r="B53" s="372"/>
      <c r="C53" s="169"/>
      <c r="D53" s="37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21"/>
    </row>
    <row r="54" spans="1:32" x14ac:dyDescent="0.3">
      <c r="A54" s="94"/>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69"/>
      <c r="AF54" s="169"/>
    </row>
    <row r="55" spans="1:32" x14ac:dyDescent="0.3">
      <c r="A55" s="94"/>
      <c r="B55" s="372" t="s">
        <v>2137</v>
      </c>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69"/>
      <c r="AF55" s="169"/>
    </row>
    <row r="56" spans="1:32" x14ac:dyDescent="0.3">
      <c r="A56" s="94"/>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row>
    <row r="57" spans="1:32" x14ac:dyDescent="0.3">
      <c r="A57" s="94"/>
      <c r="B57" s="169"/>
      <c r="C57" s="169"/>
      <c r="D57" s="187"/>
      <c r="E57" s="169"/>
      <c r="F57" s="169"/>
      <c r="G57" s="169"/>
      <c r="H57" s="169"/>
      <c r="I57" s="169"/>
      <c r="J57" s="169"/>
      <c r="K57" s="169"/>
      <c r="L57" s="169"/>
      <c r="M57" s="169"/>
      <c r="N57" s="169"/>
      <c r="O57" s="169"/>
      <c r="P57" s="169"/>
      <c r="Q57" s="169"/>
      <c r="R57" s="169"/>
      <c r="S57" s="169"/>
      <c r="T57" s="169"/>
      <c r="U57" s="169"/>
      <c r="V57" s="169"/>
      <c r="W57" s="169"/>
      <c r="X57" s="169"/>
      <c r="Y57" s="169"/>
      <c r="Z57" s="169"/>
      <c r="AA57" s="169"/>
      <c r="AB57" s="169"/>
      <c r="AC57" s="169"/>
      <c r="AD57" s="169"/>
      <c r="AE57" s="169"/>
      <c r="AF57" s="272" t="s">
        <v>1558</v>
      </c>
    </row>
    <row r="58" spans="1:32" x14ac:dyDescent="0.3">
      <c r="A58" s="94"/>
      <c r="B58" s="169"/>
      <c r="C58" s="169"/>
      <c r="D58" s="187"/>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21"/>
    </row>
    <row r="59" spans="1:32" x14ac:dyDescent="0.3">
      <c r="A59" s="94"/>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row>
    <row r="60" spans="1:32" x14ac:dyDescent="0.3">
      <c r="A60" s="94"/>
      <c r="B60" s="372" t="s">
        <v>1811</v>
      </c>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row>
    <row r="61" spans="1:32" x14ac:dyDescent="0.3">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69"/>
      <c r="AF61" s="169"/>
    </row>
    <row r="62" spans="1:32" x14ac:dyDescent="0.3">
      <c r="A62" s="169"/>
      <c r="B62" s="59"/>
      <c r="C62" s="169"/>
      <c r="D62" s="57"/>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69"/>
      <c r="AF62" s="272" t="s">
        <v>1607</v>
      </c>
    </row>
    <row r="63" spans="1:32" x14ac:dyDescent="0.3">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c r="AA63" s="169"/>
      <c r="AB63" s="169"/>
      <c r="AC63" s="169"/>
      <c r="AD63" s="169"/>
      <c r="AE63" s="169"/>
      <c r="AF63" s="169"/>
    </row>
    <row r="64" spans="1:32" x14ac:dyDescent="0.3">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row>
    <row r="65" spans="1:32" x14ac:dyDescent="0.3">
      <c r="A65" s="1290" t="s">
        <v>8</v>
      </c>
      <c r="B65" s="1290"/>
      <c r="C65" s="1290"/>
      <c r="D65" s="1290"/>
      <c r="E65" s="1290"/>
      <c r="F65" s="1290"/>
      <c r="G65" s="1290"/>
      <c r="H65" s="1290"/>
      <c r="I65" s="1290"/>
      <c r="J65" s="1290"/>
      <c r="K65" s="1290"/>
      <c r="L65" s="1290"/>
      <c r="M65" s="1290"/>
      <c r="N65" s="1290"/>
      <c r="O65" s="1290"/>
      <c r="P65" s="1290"/>
      <c r="Q65" s="1290"/>
      <c r="R65" s="1290"/>
      <c r="S65" s="1290"/>
      <c r="T65" s="1290"/>
      <c r="U65" s="1290"/>
      <c r="V65" s="1290"/>
      <c r="W65" s="1290"/>
      <c r="X65" s="1290"/>
      <c r="Y65" s="1290"/>
      <c r="Z65" s="1290"/>
      <c r="AA65" s="1290"/>
      <c r="AB65" s="1290"/>
      <c r="AC65" s="1290"/>
      <c r="AD65" s="1290"/>
      <c r="AE65" s="1290"/>
      <c r="AF65" s="1290"/>
    </row>
    <row r="66" spans="1:32" x14ac:dyDescent="0.3">
      <c r="A66" s="1405" t="s">
        <v>9</v>
      </c>
      <c r="B66" s="1405"/>
      <c r="C66" s="1405"/>
      <c r="D66" s="1405"/>
      <c r="E66" s="1405" t="s">
        <v>3</v>
      </c>
      <c r="F66" s="1405"/>
      <c r="G66" s="1405"/>
      <c r="H66" s="1405"/>
      <c r="I66" s="1405"/>
      <c r="J66" s="1405"/>
      <c r="K66" s="1405"/>
      <c r="L66" s="1405"/>
      <c r="M66" s="1405"/>
      <c r="N66" s="1405"/>
      <c r="O66" s="1405"/>
      <c r="P66" s="1405" t="s">
        <v>10</v>
      </c>
      <c r="Q66" s="1405"/>
      <c r="R66" s="1405"/>
      <c r="S66" s="1405"/>
      <c r="T66" s="1405" t="s">
        <v>11</v>
      </c>
      <c r="U66" s="1405"/>
      <c r="V66" s="1405"/>
      <c r="W66" s="1405"/>
      <c r="X66" s="1405" t="s">
        <v>1466</v>
      </c>
      <c r="Y66" s="1405"/>
      <c r="Z66" s="1405"/>
      <c r="AA66" s="1405"/>
      <c r="AB66" s="1405"/>
      <c r="AC66" s="1405"/>
      <c r="AD66" s="1405"/>
      <c r="AE66" s="1405"/>
      <c r="AF66" s="1405"/>
    </row>
    <row r="67" spans="1:32" ht="60.75" customHeight="1" x14ac:dyDescent="0.3">
      <c r="A67" s="854" t="s">
        <v>6556</v>
      </c>
      <c r="B67" s="854"/>
      <c r="C67" s="854"/>
      <c r="D67" s="854"/>
      <c r="E67" s="854" t="s">
        <v>6557</v>
      </c>
      <c r="F67" s="854"/>
      <c r="G67" s="854"/>
      <c r="H67" s="854"/>
      <c r="I67" s="854"/>
      <c r="J67" s="854"/>
      <c r="K67" s="854"/>
      <c r="L67" s="854"/>
      <c r="M67" s="854"/>
      <c r="N67" s="854"/>
      <c r="O67" s="854"/>
      <c r="P67" s="1343" t="s">
        <v>6474</v>
      </c>
      <c r="Q67" s="1343"/>
      <c r="R67" s="1343"/>
      <c r="S67" s="1343"/>
      <c r="T67" s="2355" t="s">
        <v>36</v>
      </c>
      <c r="U67" s="1514"/>
      <c r="V67" s="1514"/>
      <c r="W67" s="1514"/>
      <c r="X67" s="2673" t="s">
        <v>6558</v>
      </c>
      <c r="Y67" s="2674"/>
      <c r="Z67" s="2674"/>
      <c r="AA67" s="2674"/>
      <c r="AB67" s="2674"/>
      <c r="AC67" s="2674"/>
      <c r="AD67" s="2674"/>
      <c r="AE67" s="2674"/>
      <c r="AF67" s="2675"/>
    </row>
    <row r="68" spans="1:32" ht="61.5" customHeight="1" x14ac:dyDescent="0.3">
      <c r="A68" s="854" t="s">
        <v>6559</v>
      </c>
      <c r="B68" s="854"/>
      <c r="C68" s="854"/>
      <c r="D68" s="854"/>
      <c r="E68" s="854" t="s">
        <v>6560</v>
      </c>
      <c r="F68" s="854"/>
      <c r="G68" s="854"/>
      <c r="H68" s="854"/>
      <c r="I68" s="854"/>
      <c r="J68" s="854"/>
      <c r="K68" s="854"/>
      <c r="L68" s="854"/>
      <c r="M68" s="854"/>
      <c r="N68" s="854"/>
      <c r="O68" s="854"/>
      <c r="P68" s="1166" t="s">
        <v>6477</v>
      </c>
      <c r="Q68" s="1167"/>
      <c r="R68" s="1167"/>
      <c r="S68" s="1168"/>
      <c r="T68" s="1365" t="s">
        <v>36</v>
      </c>
      <c r="U68" s="1353"/>
      <c r="V68" s="1353"/>
      <c r="W68" s="1354"/>
      <c r="X68" s="2676"/>
      <c r="Y68" s="2677"/>
      <c r="Z68" s="2677"/>
      <c r="AA68" s="2677"/>
      <c r="AB68" s="2677"/>
      <c r="AC68" s="2677"/>
      <c r="AD68" s="2677"/>
      <c r="AE68" s="2677"/>
      <c r="AF68" s="2678"/>
    </row>
    <row r="69" spans="1:32" ht="60.75" customHeight="1" x14ac:dyDescent="0.3">
      <c r="A69" s="854" t="s">
        <v>6561</v>
      </c>
      <c r="B69" s="854"/>
      <c r="C69" s="854"/>
      <c r="D69" s="854"/>
      <c r="E69" s="854" t="s">
        <v>6562</v>
      </c>
      <c r="F69" s="854"/>
      <c r="G69" s="854"/>
      <c r="H69" s="854"/>
      <c r="I69" s="854"/>
      <c r="J69" s="854"/>
      <c r="K69" s="854"/>
      <c r="L69" s="854"/>
      <c r="M69" s="854"/>
      <c r="N69" s="854"/>
      <c r="O69" s="854"/>
      <c r="P69" s="1166">
        <f>P71-P72</f>
        <v>3233</v>
      </c>
      <c r="Q69" s="1167"/>
      <c r="R69" s="1167"/>
      <c r="S69" s="1168"/>
      <c r="T69" s="1365" t="s">
        <v>25</v>
      </c>
      <c r="U69" s="1353"/>
      <c r="V69" s="1353"/>
      <c r="W69" s="1354"/>
      <c r="X69" s="1207" t="s">
        <v>6563</v>
      </c>
      <c r="Y69" s="1208"/>
      <c r="Z69" s="1208"/>
      <c r="AA69" s="1208"/>
      <c r="AB69" s="1208"/>
      <c r="AC69" s="1208"/>
      <c r="AD69" s="1208"/>
      <c r="AE69" s="1208"/>
      <c r="AF69" s="1209"/>
    </row>
    <row r="70" spans="1:32" ht="45.75" customHeight="1" x14ac:dyDescent="0.3">
      <c r="A70" s="854" t="s">
        <v>6564</v>
      </c>
      <c r="B70" s="854"/>
      <c r="C70" s="854"/>
      <c r="D70" s="854"/>
      <c r="E70" s="854" t="s">
        <v>6565</v>
      </c>
      <c r="F70" s="854"/>
      <c r="G70" s="854"/>
      <c r="H70" s="854"/>
      <c r="I70" s="854"/>
      <c r="J70" s="854"/>
      <c r="K70" s="854"/>
      <c r="L70" s="854"/>
      <c r="M70" s="854"/>
      <c r="N70" s="854"/>
      <c r="O70" s="854"/>
      <c r="P70" s="1166">
        <v>5249</v>
      </c>
      <c r="Q70" s="1167"/>
      <c r="R70" s="1167"/>
      <c r="S70" s="1168"/>
      <c r="T70" s="1365" t="s">
        <v>25</v>
      </c>
      <c r="U70" s="1353"/>
      <c r="V70" s="1353"/>
      <c r="W70" s="1354"/>
      <c r="X70" s="1385" t="s">
        <v>6566</v>
      </c>
      <c r="Y70" s="1385"/>
      <c r="Z70" s="1385"/>
      <c r="AA70" s="1385"/>
      <c r="AB70" s="1385"/>
      <c r="AC70" s="1385"/>
      <c r="AD70" s="1385"/>
      <c r="AE70" s="1385"/>
      <c r="AF70" s="1385"/>
    </row>
    <row r="71" spans="1:32" ht="38.25" customHeight="1" x14ac:dyDescent="0.3">
      <c r="A71" s="854" t="s">
        <v>6567</v>
      </c>
      <c r="B71" s="854"/>
      <c r="C71" s="854"/>
      <c r="D71" s="854"/>
      <c r="E71" s="854" t="s">
        <v>6568</v>
      </c>
      <c r="F71" s="854"/>
      <c r="G71" s="854"/>
      <c r="H71" s="854"/>
      <c r="I71" s="854"/>
      <c r="J71" s="854"/>
      <c r="K71" s="854"/>
      <c r="L71" s="854"/>
      <c r="M71" s="854"/>
      <c r="N71" s="854"/>
      <c r="O71" s="854"/>
      <c r="P71" s="1166">
        <v>3511</v>
      </c>
      <c r="Q71" s="1167"/>
      <c r="R71" s="1167"/>
      <c r="S71" s="1168"/>
      <c r="T71" s="1365" t="s">
        <v>25</v>
      </c>
      <c r="U71" s="1353"/>
      <c r="V71" s="1353"/>
      <c r="W71" s="1354"/>
      <c r="X71" s="2673" t="s">
        <v>6569</v>
      </c>
      <c r="Y71" s="2674"/>
      <c r="Z71" s="2674"/>
      <c r="AA71" s="2674"/>
      <c r="AB71" s="2674"/>
      <c r="AC71" s="2674"/>
      <c r="AD71" s="2674"/>
      <c r="AE71" s="2674"/>
      <c r="AF71" s="2675"/>
    </row>
    <row r="72" spans="1:32" ht="38.25" customHeight="1" x14ac:dyDescent="0.3">
      <c r="A72" s="854" t="s">
        <v>6570</v>
      </c>
      <c r="B72" s="854"/>
      <c r="C72" s="854"/>
      <c r="D72" s="854"/>
      <c r="E72" s="854" t="s">
        <v>6571</v>
      </c>
      <c r="F72" s="854"/>
      <c r="G72" s="854"/>
      <c r="H72" s="854"/>
      <c r="I72" s="854"/>
      <c r="J72" s="854"/>
      <c r="K72" s="854"/>
      <c r="L72" s="854"/>
      <c r="M72" s="854"/>
      <c r="N72" s="854"/>
      <c r="O72" s="854"/>
      <c r="P72" s="1166">
        <v>278</v>
      </c>
      <c r="Q72" s="1167"/>
      <c r="R72" s="1167"/>
      <c r="S72" s="1168"/>
      <c r="T72" s="1365" t="s">
        <v>25</v>
      </c>
      <c r="U72" s="1353"/>
      <c r="V72" s="1353"/>
      <c r="W72" s="1354"/>
      <c r="X72" s="2676"/>
      <c r="Y72" s="2677"/>
      <c r="Z72" s="2677"/>
      <c r="AA72" s="2677"/>
      <c r="AB72" s="2677"/>
      <c r="AC72" s="2677"/>
      <c r="AD72" s="2677"/>
      <c r="AE72" s="2677"/>
      <c r="AF72" s="2678"/>
    </row>
    <row r="73" spans="1:32" ht="45" customHeight="1" x14ac:dyDescent="0.3">
      <c r="A73" s="854" t="s">
        <v>3576</v>
      </c>
      <c r="B73" s="854"/>
      <c r="C73" s="854"/>
      <c r="D73" s="854"/>
      <c r="E73" s="854" t="s">
        <v>6572</v>
      </c>
      <c r="F73" s="854"/>
      <c r="G73" s="854"/>
      <c r="H73" s="854"/>
      <c r="I73" s="854"/>
      <c r="J73" s="854"/>
      <c r="K73" s="854"/>
      <c r="L73" s="854"/>
      <c r="M73" s="854"/>
      <c r="N73" s="854"/>
      <c r="O73" s="854"/>
      <c r="P73" s="1166" t="s">
        <v>516</v>
      </c>
      <c r="Q73" s="1167"/>
      <c r="R73" s="1167"/>
      <c r="S73" s="1168"/>
      <c r="T73" s="1365" t="s">
        <v>269</v>
      </c>
      <c r="U73" s="1353"/>
      <c r="V73" s="1353"/>
      <c r="W73" s="1354"/>
      <c r="X73" s="3240" t="s">
        <v>6573</v>
      </c>
      <c r="Y73" s="1385"/>
      <c r="Z73" s="1385"/>
      <c r="AA73" s="1385"/>
      <c r="AB73" s="1385"/>
      <c r="AC73" s="1385"/>
      <c r="AD73" s="1385"/>
      <c r="AE73" s="1385"/>
      <c r="AF73" s="1385"/>
    </row>
    <row r="74" spans="1:32" ht="45" customHeight="1" x14ac:dyDescent="0.3">
      <c r="A74" s="854" t="s">
        <v>6574</v>
      </c>
      <c r="B74" s="854"/>
      <c r="C74" s="854"/>
      <c r="D74" s="854"/>
      <c r="E74" s="854" t="s">
        <v>6575</v>
      </c>
      <c r="F74" s="854"/>
      <c r="G74" s="854"/>
      <c r="H74" s="854"/>
      <c r="I74" s="854"/>
      <c r="J74" s="854"/>
      <c r="K74" s="854"/>
      <c r="L74" s="854"/>
      <c r="M74" s="854"/>
      <c r="N74" s="854"/>
      <c r="O74" s="854"/>
      <c r="P74" s="1166" t="s">
        <v>516</v>
      </c>
      <c r="Q74" s="1167"/>
      <c r="R74" s="1167"/>
      <c r="S74" s="1168"/>
      <c r="T74" s="1365" t="s">
        <v>269</v>
      </c>
      <c r="U74" s="1353"/>
      <c r="V74" s="1353"/>
      <c r="W74" s="1354"/>
      <c r="X74" s="2673" t="s">
        <v>6576</v>
      </c>
      <c r="Y74" s="2674"/>
      <c r="Z74" s="2674"/>
      <c r="AA74" s="2674"/>
      <c r="AB74" s="2674"/>
      <c r="AC74" s="2674"/>
      <c r="AD74" s="2674"/>
      <c r="AE74" s="2674"/>
      <c r="AF74" s="2675"/>
    </row>
    <row r="75" spans="1:32" ht="45" customHeight="1" x14ac:dyDescent="0.3">
      <c r="A75" s="854" t="s">
        <v>6577</v>
      </c>
      <c r="B75" s="854"/>
      <c r="C75" s="854"/>
      <c r="D75" s="854"/>
      <c r="E75" s="854" t="s">
        <v>6578</v>
      </c>
      <c r="F75" s="854"/>
      <c r="G75" s="854"/>
      <c r="H75" s="854"/>
      <c r="I75" s="854"/>
      <c r="J75" s="854"/>
      <c r="K75" s="854"/>
      <c r="L75" s="854"/>
      <c r="M75" s="854"/>
      <c r="N75" s="854"/>
      <c r="O75" s="854"/>
      <c r="P75" s="1166" t="s">
        <v>516</v>
      </c>
      <c r="Q75" s="1167"/>
      <c r="R75" s="1167"/>
      <c r="S75" s="1168"/>
      <c r="T75" s="1365" t="s">
        <v>269</v>
      </c>
      <c r="U75" s="1353"/>
      <c r="V75" s="1353"/>
      <c r="W75" s="1354"/>
      <c r="X75" s="2676"/>
      <c r="Y75" s="2677"/>
      <c r="Z75" s="2677"/>
      <c r="AA75" s="2677"/>
      <c r="AB75" s="2677"/>
      <c r="AC75" s="2677"/>
      <c r="AD75" s="2677"/>
      <c r="AE75" s="2677"/>
      <c r="AF75" s="2678"/>
    </row>
    <row r="76" spans="1:32" ht="75.75" customHeight="1" x14ac:dyDescent="0.3">
      <c r="A76" s="854" t="s">
        <v>1253</v>
      </c>
      <c r="B76" s="854"/>
      <c r="C76" s="854"/>
      <c r="D76" s="854"/>
      <c r="E76" s="854" t="s">
        <v>6579</v>
      </c>
      <c r="F76" s="854"/>
      <c r="G76" s="854"/>
      <c r="H76" s="854"/>
      <c r="I76" s="854"/>
      <c r="J76" s="854"/>
      <c r="K76" s="854"/>
      <c r="L76" s="854"/>
      <c r="M76" s="854"/>
      <c r="N76" s="854"/>
      <c r="O76" s="854"/>
      <c r="P76" s="2667" t="s">
        <v>6496</v>
      </c>
      <c r="Q76" s="2667"/>
      <c r="R76" s="2667"/>
      <c r="S76" s="2667"/>
      <c r="T76" s="2355" t="s">
        <v>36</v>
      </c>
      <c r="U76" s="1514"/>
      <c r="V76" s="1514"/>
      <c r="W76" s="1514"/>
      <c r="X76" s="1385" t="s">
        <v>6580</v>
      </c>
      <c r="Y76" s="1385"/>
      <c r="Z76" s="1385"/>
      <c r="AA76" s="1385"/>
      <c r="AB76" s="1385"/>
      <c r="AC76" s="1385"/>
      <c r="AD76" s="1385"/>
      <c r="AE76" s="1385"/>
      <c r="AF76" s="1385"/>
    </row>
    <row r="77" spans="1:32" ht="75" customHeight="1" x14ac:dyDescent="0.3">
      <c r="A77" s="854" t="s">
        <v>6581</v>
      </c>
      <c r="B77" s="854"/>
      <c r="C77" s="854"/>
      <c r="D77" s="854"/>
      <c r="E77" s="854" t="s">
        <v>6582</v>
      </c>
      <c r="F77" s="854"/>
      <c r="G77" s="854"/>
      <c r="H77" s="854"/>
      <c r="I77" s="854"/>
      <c r="J77" s="854"/>
      <c r="K77" s="854"/>
      <c r="L77" s="854"/>
      <c r="M77" s="854"/>
      <c r="N77" s="854"/>
      <c r="O77" s="854"/>
      <c r="P77" s="1166" t="s">
        <v>6583</v>
      </c>
      <c r="Q77" s="1167"/>
      <c r="R77" s="1167"/>
      <c r="S77" s="1168"/>
      <c r="T77" s="1365" t="s">
        <v>18</v>
      </c>
      <c r="U77" s="1353"/>
      <c r="V77" s="1353"/>
      <c r="W77" s="1354"/>
      <c r="X77" s="1385" t="s">
        <v>6584</v>
      </c>
      <c r="Y77" s="1385"/>
      <c r="Z77" s="1385"/>
      <c r="AA77" s="1385"/>
      <c r="AB77" s="1385"/>
      <c r="AC77" s="1385"/>
      <c r="AD77" s="1385"/>
      <c r="AE77" s="1385"/>
      <c r="AF77" s="1385"/>
    </row>
    <row r="78" spans="1:32" ht="30" customHeight="1" x14ac:dyDescent="0.3">
      <c r="A78" s="854" t="s">
        <v>1254</v>
      </c>
      <c r="B78" s="854"/>
      <c r="C78" s="854"/>
      <c r="D78" s="854"/>
      <c r="E78" s="854" t="s">
        <v>2613</v>
      </c>
      <c r="F78" s="854"/>
      <c r="G78" s="854"/>
      <c r="H78" s="854"/>
      <c r="I78" s="854"/>
      <c r="J78" s="854"/>
      <c r="K78" s="854"/>
      <c r="L78" s="854"/>
      <c r="M78" s="854"/>
      <c r="N78" s="854"/>
      <c r="O78" s="854"/>
      <c r="P78" s="2667" t="s">
        <v>6585</v>
      </c>
      <c r="Q78" s="2667"/>
      <c r="R78" s="2667"/>
      <c r="S78" s="2667"/>
      <c r="T78" s="2355" t="s">
        <v>18</v>
      </c>
      <c r="U78" s="1514"/>
      <c r="V78" s="1514"/>
      <c r="W78" s="1514"/>
      <c r="X78" s="1385"/>
      <c r="Y78" s="1385"/>
      <c r="Z78" s="1385"/>
      <c r="AA78" s="1385"/>
      <c r="AB78" s="1385"/>
      <c r="AC78" s="1385"/>
      <c r="AD78" s="1385"/>
      <c r="AE78" s="1385"/>
      <c r="AF78" s="1385"/>
    </row>
    <row r="79" spans="1:32" ht="176.25" customHeight="1" x14ac:dyDescent="0.3">
      <c r="A79" s="853" t="s">
        <v>443</v>
      </c>
      <c r="B79" s="853"/>
      <c r="C79" s="853"/>
      <c r="D79" s="853"/>
      <c r="E79" s="1163" t="s">
        <v>6586</v>
      </c>
      <c r="F79" s="1164"/>
      <c r="G79" s="1164"/>
      <c r="H79" s="1164"/>
      <c r="I79" s="1164"/>
      <c r="J79" s="1164"/>
      <c r="K79" s="1164"/>
      <c r="L79" s="1164"/>
      <c r="M79" s="1164"/>
      <c r="N79" s="1164"/>
      <c r="O79" s="1165"/>
      <c r="P79" s="1343">
        <v>1</v>
      </c>
      <c r="Q79" s="1343"/>
      <c r="R79" s="1343"/>
      <c r="S79" s="1343"/>
      <c r="T79" s="1514" t="s">
        <v>20</v>
      </c>
      <c r="U79" s="1514"/>
      <c r="V79" s="1514"/>
      <c r="W79" s="1514"/>
      <c r="X79" s="1385" t="s">
        <v>6587</v>
      </c>
      <c r="Y79" s="1385"/>
      <c r="Z79" s="1385"/>
      <c r="AA79" s="1385"/>
      <c r="AB79" s="1385"/>
      <c r="AC79" s="1385"/>
      <c r="AD79" s="1385"/>
      <c r="AE79" s="1385"/>
      <c r="AF79" s="1385"/>
    </row>
    <row r="80" spans="1:32" ht="30.75" customHeight="1" x14ac:dyDescent="0.3">
      <c r="A80" s="854" t="s">
        <v>6588</v>
      </c>
      <c r="B80" s="854"/>
      <c r="C80" s="854"/>
      <c r="D80" s="854"/>
      <c r="E80" s="854" t="s">
        <v>6502</v>
      </c>
      <c r="F80" s="854"/>
      <c r="G80" s="854"/>
      <c r="H80" s="854"/>
      <c r="I80" s="854"/>
      <c r="J80" s="854"/>
      <c r="K80" s="854"/>
      <c r="L80" s="854"/>
      <c r="M80" s="854"/>
      <c r="N80" s="854"/>
      <c r="O80" s="854"/>
      <c r="P80" s="2667" t="s">
        <v>6589</v>
      </c>
      <c r="Q80" s="2667"/>
      <c r="R80" s="2667"/>
      <c r="S80" s="2667"/>
      <c r="T80" s="2355" t="s">
        <v>36</v>
      </c>
      <c r="U80" s="1514"/>
      <c r="V80" s="1514"/>
      <c r="W80" s="1514"/>
      <c r="X80" s="1385"/>
      <c r="Y80" s="1385"/>
      <c r="Z80" s="1385"/>
      <c r="AA80" s="1385"/>
      <c r="AB80" s="1385"/>
      <c r="AC80" s="1385"/>
      <c r="AD80" s="1385"/>
      <c r="AE80" s="1385"/>
      <c r="AF80" s="1385"/>
    </row>
    <row r="81" spans="1:32" ht="78" customHeight="1" x14ac:dyDescent="0.3">
      <c r="A81" s="1349" t="s">
        <v>6590</v>
      </c>
      <c r="B81" s="1350"/>
      <c r="C81" s="1350"/>
      <c r="D81" s="1351"/>
      <c r="E81" s="854" t="s">
        <v>2050</v>
      </c>
      <c r="F81" s="854"/>
      <c r="G81" s="854"/>
      <c r="H81" s="854"/>
      <c r="I81" s="854"/>
      <c r="J81" s="854"/>
      <c r="K81" s="854"/>
      <c r="L81" s="854"/>
      <c r="M81" s="854"/>
      <c r="N81" s="854"/>
      <c r="O81" s="854"/>
      <c r="P81" s="1343">
        <f>'Master EUL'!X42</f>
        <v>10</v>
      </c>
      <c r="Q81" s="1343"/>
      <c r="R81" s="1343"/>
      <c r="S81" s="1343"/>
      <c r="T81" s="1514" t="s">
        <v>38</v>
      </c>
      <c r="U81" s="1514"/>
      <c r="V81" s="1514"/>
      <c r="W81" s="1514"/>
      <c r="X81" s="1385" t="s">
        <v>6591</v>
      </c>
      <c r="Y81" s="1385"/>
      <c r="Z81" s="1385"/>
      <c r="AA81" s="1385"/>
      <c r="AB81" s="1385"/>
      <c r="AC81" s="1385"/>
      <c r="AD81" s="1385"/>
      <c r="AE81" s="1385"/>
      <c r="AF81" s="1385"/>
    </row>
    <row r="82" spans="1:32" ht="28.5" customHeight="1" x14ac:dyDescent="0.3">
      <c r="A82" s="1355" t="s">
        <v>6592</v>
      </c>
      <c r="B82" s="1355"/>
      <c r="C82" s="1355"/>
      <c r="D82" s="1355"/>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1355"/>
      <c r="AC82" s="1355"/>
      <c r="AD82" s="1355"/>
      <c r="AE82" s="1355"/>
      <c r="AF82" s="1355"/>
    </row>
    <row r="83" spans="1:32" x14ac:dyDescent="0.3">
      <c r="A83" s="1355" t="s">
        <v>6593</v>
      </c>
      <c r="B83" s="1355"/>
      <c r="C83" s="1355"/>
      <c r="D83" s="1355"/>
      <c r="E83" s="1355"/>
      <c r="F83" s="1355"/>
      <c r="G83" s="1355"/>
      <c r="H83" s="1355"/>
      <c r="I83" s="1355"/>
      <c r="J83" s="1355"/>
      <c r="K83" s="1355"/>
      <c r="L83" s="1355"/>
      <c r="M83" s="1355"/>
      <c r="N83" s="1355"/>
      <c r="O83" s="1355"/>
      <c r="P83" s="1355"/>
      <c r="Q83" s="1355"/>
      <c r="R83" s="1355"/>
      <c r="S83" s="1355"/>
      <c r="T83" s="1355"/>
      <c r="U83" s="1355"/>
      <c r="V83" s="1355"/>
      <c r="W83" s="1355"/>
      <c r="X83" s="1355"/>
      <c r="Y83" s="1355"/>
      <c r="Z83" s="1355"/>
      <c r="AA83" s="1355"/>
      <c r="AB83" s="1355"/>
      <c r="AC83" s="1355"/>
      <c r="AD83" s="1355"/>
      <c r="AE83" s="1355"/>
      <c r="AF83" s="1355"/>
    </row>
    <row r="84" spans="1:32" ht="27.75" customHeight="1" x14ac:dyDescent="0.3">
      <c r="A84" s="1355" t="s">
        <v>6594</v>
      </c>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row>
    <row r="85" spans="1:32" ht="29.25" customHeight="1" x14ac:dyDescent="0.3">
      <c r="A85" s="1355" t="s">
        <v>6595</v>
      </c>
      <c r="B85" s="1355"/>
      <c r="C85" s="1355"/>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1355"/>
      <c r="AA85" s="1355"/>
      <c r="AB85" s="1355"/>
      <c r="AC85" s="1355"/>
      <c r="AD85" s="1355"/>
      <c r="AE85" s="1355"/>
      <c r="AF85" s="1355"/>
    </row>
    <row r="86" spans="1:32" x14ac:dyDescent="0.3">
      <c r="A86" s="743"/>
      <c r="B86" s="743"/>
      <c r="C86" s="743"/>
      <c r="D86" s="743"/>
      <c r="E86" s="743"/>
      <c r="F86" s="743"/>
      <c r="G86" s="743"/>
      <c r="H86" s="743"/>
      <c r="I86" s="743"/>
      <c r="J86" s="743"/>
      <c r="K86" s="743"/>
      <c r="L86" s="743"/>
      <c r="M86" s="743"/>
      <c r="N86" s="743"/>
      <c r="O86" s="743"/>
      <c r="P86" s="743"/>
      <c r="Q86" s="743"/>
      <c r="R86" s="743"/>
      <c r="S86" s="743"/>
      <c r="T86" s="743"/>
      <c r="U86" s="743"/>
      <c r="V86" s="743"/>
      <c r="W86" s="743"/>
      <c r="X86" s="743"/>
      <c r="Y86" s="743"/>
      <c r="Z86" s="743"/>
      <c r="AA86" s="743"/>
      <c r="AB86" s="743"/>
      <c r="AC86" s="743"/>
      <c r="AD86" s="743"/>
      <c r="AE86" s="743"/>
      <c r="AF86" s="743"/>
    </row>
    <row r="87" spans="1:32" ht="15" thickBot="1" x14ac:dyDescent="0.35">
      <c r="A87" s="2352" t="s">
        <v>6596</v>
      </c>
      <c r="B87" s="2352"/>
      <c r="C87" s="2352"/>
      <c r="D87" s="2352"/>
      <c r="E87" s="2352"/>
      <c r="F87" s="2352"/>
      <c r="G87" s="2352"/>
      <c r="H87" s="2352"/>
      <c r="I87" s="2352"/>
      <c r="J87" s="2352"/>
      <c r="K87" s="2352"/>
      <c r="L87" s="2352"/>
      <c r="M87" s="2352"/>
      <c r="N87" s="2352"/>
      <c r="O87" s="2352"/>
      <c r="P87" s="2352"/>
      <c r="Q87" s="2352"/>
      <c r="R87" s="2352"/>
      <c r="S87" s="2352"/>
      <c r="T87" s="2352"/>
      <c r="U87" s="2352"/>
      <c r="V87" s="2352"/>
      <c r="W87" s="2352"/>
      <c r="X87" s="2352"/>
      <c r="Y87" s="2352"/>
      <c r="Z87" s="2352"/>
      <c r="AA87" s="2352"/>
      <c r="AB87" s="2352"/>
      <c r="AC87" s="2352"/>
      <c r="AD87" s="2352"/>
      <c r="AE87" s="2352"/>
      <c r="AF87" s="2352"/>
    </row>
    <row r="88" spans="1:32" ht="21.75" customHeight="1" x14ac:dyDescent="0.3">
      <c r="A88" s="1310" t="s">
        <v>6597</v>
      </c>
      <c r="B88" s="1311"/>
      <c r="C88" s="1311"/>
      <c r="D88" s="1311"/>
      <c r="E88" s="1311"/>
      <c r="F88" s="1311"/>
      <c r="G88" s="1311"/>
      <c r="H88" s="1311"/>
      <c r="I88" s="1311" t="s">
        <v>6598</v>
      </c>
      <c r="J88" s="1311"/>
      <c r="K88" s="1311"/>
      <c r="L88" s="1311"/>
      <c r="M88" s="1311"/>
      <c r="N88" s="1311"/>
      <c r="O88" s="1311" t="s">
        <v>6599</v>
      </c>
      <c r="P88" s="1311"/>
      <c r="Q88" s="1311"/>
      <c r="R88" s="1311"/>
      <c r="S88" s="1311"/>
      <c r="T88" s="1311"/>
      <c r="U88" s="1311" t="s">
        <v>6600</v>
      </c>
      <c r="V88" s="1311"/>
      <c r="W88" s="1311"/>
      <c r="X88" s="1311"/>
      <c r="Y88" s="1311"/>
      <c r="Z88" s="1311"/>
      <c r="AA88" s="1312" t="s">
        <v>6601</v>
      </c>
      <c r="AB88" s="1312"/>
      <c r="AC88" s="1312"/>
      <c r="AD88" s="1312"/>
      <c r="AE88" s="1312"/>
      <c r="AF88" s="1313"/>
    </row>
    <row r="89" spans="1:32" ht="30" customHeight="1" x14ac:dyDescent="0.3">
      <c r="A89" s="1467" t="s">
        <v>6602</v>
      </c>
      <c r="B89" s="1547"/>
      <c r="C89" s="1547"/>
      <c r="D89" s="1547"/>
      <c r="E89" s="1547"/>
      <c r="F89" s="1547"/>
      <c r="G89" s="1547"/>
      <c r="H89" s="1547"/>
      <c r="I89" s="1547">
        <v>9.9</v>
      </c>
      <c r="J89" s="1547"/>
      <c r="K89" s="1547"/>
      <c r="L89" s="1547"/>
      <c r="M89" s="1547"/>
      <c r="N89" s="1547"/>
      <c r="O89" s="1808">
        <v>5.0595263157894728</v>
      </c>
      <c r="P89" s="1808"/>
      <c r="Q89" s="1808"/>
      <c r="R89" s="1808"/>
      <c r="S89" s="1808"/>
      <c r="T89" s="1808"/>
      <c r="U89" s="1808">
        <v>3.4573947368421027</v>
      </c>
      <c r="V89" s="1808"/>
      <c r="W89" s="1808"/>
      <c r="X89" s="1808"/>
      <c r="Y89" s="1808"/>
      <c r="Z89" s="1808"/>
      <c r="AA89" s="1547">
        <f>ROUND((((I89-O89)*($P$71-$P$72)/8842)+((I89-U89)*$P$70/8842))/1000, 3)</f>
        <v>6.0000000000000001E-3</v>
      </c>
      <c r="AB89" s="1547"/>
      <c r="AC89" s="1547"/>
      <c r="AD89" s="1547"/>
      <c r="AE89" s="1547"/>
      <c r="AF89" s="3241"/>
    </row>
    <row r="90" spans="1:32" ht="30" customHeight="1" thickBot="1" x14ac:dyDescent="0.35">
      <c r="A90" s="1474" t="s">
        <v>6603</v>
      </c>
      <c r="B90" s="1560"/>
      <c r="C90" s="1560"/>
      <c r="D90" s="1560"/>
      <c r="E90" s="1560"/>
      <c r="F90" s="1560"/>
      <c r="G90" s="1560"/>
      <c r="H90" s="1560"/>
      <c r="I90" s="1560">
        <v>3.7</v>
      </c>
      <c r="J90" s="1560"/>
      <c r="K90" s="1560"/>
      <c r="L90" s="1560"/>
      <c r="M90" s="1560"/>
      <c r="N90" s="1560"/>
      <c r="O90" s="3242">
        <v>3.7460294117647055</v>
      </c>
      <c r="P90" s="3242"/>
      <c r="Q90" s="3242"/>
      <c r="R90" s="3242"/>
      <c r="S90" s="3242"/>
      <c r="T90" s="3242"/>
      <c r="U90" s="3242">
        <v>2.0961764705882362</v>
      </c>
      <c r="V90" s="3242"/>
      <c r="W90" s="3242"/>
      <c r="X90" s="3242"/>
      <c r="Y90" s="3242"/>
      <c r="Z90" s="3242"/>
      <c r="AA90" s="1560">
        <f>ROUND((((I90-O90)*($P$71-$P$72)/8842)+((I90-U90)*$P$70/8842))/1000, 3)</f>
        <v>1E-3</v>
      </c>
      <c r="AB90" s="1560"/>
      <c r="AC90" s="1560"/>
      <c r="AD90" s="1560"/>
      <c r="AE90" s="1560"/>
      <c r="AF90" s="3243"/>
    </row>
    <row r="91" spans="1:32" ht="63.75" customHeight="1" x14ac:dyDescent="0.3">
      <c r="A91" s="1355" t="s">
        <v>6604</v>
      </c>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row>
    <row r="92" spans="1:32" ht="49.5" customHeight="1" x14ac:dyDescent="0.3">
      <c r="A92" s="1355" t="s">
        <v>6605</v>
      </c>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row>
    <row r="93" spans="1:32" x14ac:dyDescent="0.3">
      <c r="A93" s="94"/>
      <c r="B93" s="94"/>
      <c r="C93" s="94"/>
      <c r="D93" s="94"/>
      <c r="E93" s="94"/>
      <c r="F93" s="94"/>
      <c r="G93" s="94"/>
      <c r="H93" s="94"/>
      <c r="I93" s="94"/>
      <c r="J93" s="94"/>
      <c r="K93" s="94"/>
      <c r="L93" s="94"/>
      <c r="M93" s="312"/>
      <c r="N93" s="312"/>
      <c r="O93" s="312"/>
      <c r="P93" s="312"/>
      <c r="Q93" s="312"/>
      <c r="R93" s="312"/>
      <c r="S93" s="312"/>
      <c r="T93" s="312"/>
      <c r="U93" s="312"/>
      <c r="V93" s="312"/>
      <c r="W93" s="312"/>
      <c r="X93" s="312"/>
      <c r="Y93" s="94"/>
      <c r="Z93" s="94"/>
      <c r="AA93" s="94"/>
      <c r="AB93" s="94"/>
      <c r="AC93" s="94"/>
      <c r="AD93" s="94"/>
      <c r="AE93" s="94"/>
      <c r="AF93" s="94"/>
    </row>
    <row r="94" spans="1:32" x14ac:dyDescent="0.3">
      <c r="A94" s="1290" t="s">
        <v>14</v>
      </c>
      <c r="B94" s="1290"/>
      <c r="C94" s="1290"/>
      <c r="D94" s="1290"/>
      <c r="E94" s="1290"/>
      <c r="F94" s="1290"/>
      <c r="G94" s="1290"/>
      <c r="H94" s="1290"/>
      <c r="I94" s="1290"/>
      <c r="J94" s="1290"/>
      <c r="K94" s="1290"/>
      <c r="L94" s="1290"/>
      <c r="M94" s="1290"/>
      <c r="N94" s="1290"/>
      <c r="O94" s="1290"/>
      <c r="P94" s="1290"/>
      <c r="Q94" s="1290"/>
      <c r="R94" s="1290"/>
      <c r="S94" s="1290"/>
      <c r="T94" s="1290"/>
      <c r="U94" s="1290"/>
      <c r="V94" s="1290"/>
      <c r="W94" s="1290"/>
      <c r="X94" s="1290"/>
      <c r="Y94" s="1290"/>
      <c r="Z94" s="1290"/>
      <c r="AA94" s="1290"/>
      <c r="AB94" s="1290"/>
      <c r="AC94" s="1290"/>
      <c r="AD94" s="1290"/>
      <c r="AE94" s="1290"/>
      <c r="AF94" s="1290"/>
    </row>
    <row r="95" spans="1:32" ht="15" thickBot="1" x14ac:dyDescent="0.35">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row>
    <row r="96" spans="1:32" ht="30" customHeight="1" x14ac:dyDescent="0.3">
      <c r="A96" s="1482" t="s">
        <v>15</v>
      </c>
      <c r="B96" s="1312"/>
      <c r="C96" s="1312"/>
      <c r="D96" s="1312"/>
      <c r="E96" s="1312"/>
      <c r="F96" s="1312"/>
      <c r="G96" s="1312"/>
      <c r="H96" s="1312"/>
      <c r="I96" s="1311" t="s">
        <v>2780</v>
      </c>
      <c r="J96" s="1312"/>
      <c r="K96" s="1312"/>
      <c r="L96" s="1312"/>
      <c r="M96" s="1312"/>
      <c r="N96" s="1312"/>
      <c r="O96" s="1312"/>
      <c r="P96" s="1312"/>
      <c r="Q96" s="1311" t="s">
        <v>2776</v>
      </c>
      <c r="R96" s="1312"/>
      <c r="S96" s="1312"/>
      <c r="T96" s="1312"/>
      <c r="U96" s="1312"/>
      <c r="V96" s="1312"/>
      <c r="W96" s="1312"/>
      <c r="X96" s="1312"/>
      <c r="Y96" s="1311" t="s">
        <v>1554</v>
      </c>
      <c r="Z96" s="1312"/>
      <c r="AA96" s="1312"/>
      <c r="AB96" s="1312"/>
      <c r="AC96" s="1312"/>
      <c r="AD96" s="1312"/>
      <c r="AE96" s="1312"/>
      <c r="AF96" s="1313"/>
    </row>
    <row r="97" spans="1:32" ht="30" customHeight="1" x14ac:dyDescent="0.3">
      <c r="A97" s="1467" t="s">
        <v>6602</v>
      </c>
      <c r="B97" s="1547"/>
      <c r="C97" s="1547"/>
      <c r="D97" s="1547"/>
      <c r="E97" s="1547"/>
      <c r="F97" s="1547"/>
      <c r="G97" s="1547"/>
      <c r="H97" s="1547"/>
      <c r="I97" s="2685">
        <f>AA89</f>
        <v>6.0000000000000001E-3</v>
      </c>
      <c r="J97" s="2685"/>
      <c r="K97" s="2685"/>
      <c r="L97" s="2685"/>
      <c r="M97" s="2685"/>
      <c r="N97" s="2685"/>
      <c r="O97" s="2685"/>
      <c r="P97" s="2685"/>
      <c r="Q97" s="3244">
        <f>ROUND(((I89*($P$70+$P$69))-(($P$69*O89)+($P$70*U89)))/1000,2)</f>
        <v>49.47</v>
      </c>
      <c r="R97" s="3244"/>
      <c r="S97" s="3244"/>
      <c r="T97" s="3244"/>
      <c r="U97" s="3244"/>
      <c r="V97" s="3244"/>
      <c r="W97" s="3244"/>
      <c r="X97" s="3244"/>
      <c r="Y97" s="2618">
        <f>ROUND(Q97*$P$81,2)</f>
        <v>494.7</v>
      </c>
      <c r="Z97" s="2618"/>
      <c r="AA97" s="2618"/>
      <c r="AB97" s="2618"/>
      <c r="AC97" s="2618"/>
      <c r="AD97" s="2618"/>
      <c r="AE97" s="2618"/>
      <c r="AF97" s="2619"/>
    </row>
    <row r="98" spans="1:32" ht="30" customHeight="1" thickBot="1" x14ac:dyDescent="0.35">
      <c r="A98" s="3245" t="s">
        <v>6606</v>
      </c>
      <c r="B98" s="3246"/>
      <c r="C98" s="3246"/>
      <c r="D98" s="3246"/>
      <c r="E98" s="3246"/>
      <c r="F98" s="3246"/>
      <c r="G98" s="3246"/>
      <c r="H98" s="3246"/>
      <c r="I98" s="2761">
        <f>AA90</f>
        <v>1E-3</v>
      </c>
      <c r="J98" s="2761"/>
      <c r="K98" s="2761"/>
      <c r="L98" s="2761"/>
      <c r="M98" s="2761"/>
      <c r="N98" s="2761"/>
      <c r="O98" s="2761"/>
      <c r="P98" s="2761"/>
      <c r="Q98" s="3247">
        <f>ROUND(((I90*($P$70+$P$69))-(($P$69*O90)+($P$70*U90)))/1000,2)</f>
        <v>8.27</v>
      </c>
      <c r="R98" s="3248"/>
      <c r="S98" s="3248"/>
      <c r="T98" s="3248"/>
      <c r="U98" s="3248"/>
      <c r="V98" s="3248"/>
      <c r="W98" s="3248"/>
      <c r="X98" s="3249"/>
      <c r="Y98" s="3250">
        <f>ROUND(Q98*$P$81,2)</f>
        <v>82.7</v>
      </c>
      <c r="Z98" s="3250"/>
      <c r="AA98" s="3250"/>
      <c r="AB98" s="3250"/>
      <c r="AC98" s="3250"/>
      <c r="AD98" s="3250"/>
      <c r="AE98" s="3250"/>
      <c r="AF98" s="3251"/>
    </row>
    <row r="99" spans="1:32" x14ac:dyDescent="0.3">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row>
    <row r="100" spans="1:32" x14ac:dyDescent="0.3">
      <c r="A100" s="94"/>
      <c r="B100" s="491"/>
      <c r="C100" s="94"/>
      <c r="D100" s="94"/>
      <c r="E100" s="94"/>
      <c r="F100" s="94"/>
      <c r="G100" s="94"/>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row>
    <row r="101" spans="1:32" x14ac:dyDescent="0.3">
      <c r="A101" s="1290" t="s">
        <v>1514</v>
      </c>
      <c r="B101" s="1290"/>
      <c r="C101" s="1290"/>
      <c r="D101" s="1290"/>
      <c r="E101" s="1290"/>
      <c r="F101" s="1290"/>
      <c r="G101" s="1290"/>
      <c r="H101" s="1290"/>
      <c r="I101" s="1290"/>
      <c r="J101" s="1290"/>
      <c r="K101" s="1290"/>
      <c r="L101" s="1290"/>
      <c r="M101" s="1290"/>
      <c r="N101" s="1290"/>
      <c r="O101" s="1290"/>
      <c r="P101" s="1290"/>
      <c r="Q101" s="1290"/>
      <c r="R101" s="1290"/>
      <c r="S101" s="1290"/>
      <c r="T101" s="1290"/>
      <c r="U101" s="1290"/>
      <c r="V101" s="1290"/>
      <c r="W101" s="1290"/>
      <c r="X101" s="1290"/>
      <c r="Y101" s="1290"/>
      <c r="Z101" s="1290"/>
      <c r="AA101" s="1290"/>
      <c r="AB101" s="1290"/>
      <c r="AC101" s="1290"/>
      <c r="AD101" s="1290"/>
      <c r="AE101" s="1290"/>
      <c r="AF101" s="1290"/>
    </row>
    <row r="102" spans="1:32" x14ac:dyDescent="0.3">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row>
    <row r="103" spans="1:32" ht="30" customHeight="1" x14ac:dyDescent="0.3">
      <c r="A103" s="370" t="s">
        <v>803</v>
      </c>
      <c r="B103" s="889" t="s">
        <v>6607</v>
      </c>
      <c r="C103" s="889"/>
      <c r="D103" s="889"/>
      <c r="E103" s="889"/>
      <c r="F103" s="889"/>
      <c r="G103" s="889"/>
      <c r="H103" s="889"/>
      <c r="I103" s="889"/>
      <c r="J103" s="889"/>
      <c r="K103" s="889"/>
      <c r="L103" s="889"/>
      <c r="M103" s="889"/>
      <c r="N103" s="889"/>
      <c r="O103" s="889"/>
      <c r="P103" s="889"/>
      <c r="Q103" s="889"/>
      <c r="R103" s="889"/>
      <c r="S103" s="889"/>
      <c r="T103" s="889"/>
      <c r="U103" s="889"/>
      <c r="V103" s="889"/>
      <c r="W103" s="889"/>
      <c r="X103" s="889"/>
      <c r="Y103" s="889"/>
      <c r="Z103" s="889"/>
      <c r="AA103" s="889"/>
      <c r="AB103" s="889"/>
      <c r="AC103" s="889"/>
      <c r="AD103" s="889"/>
      <c r="AE103" s="889"/>
      <c r="AF103" s="889"/>
    </row>
    <row r="104" spans="1:32" ht="45" customHeight="1" x14ac:dyDescent="0.3">
      <c r="A104" s="370" t="s">
        <v>803</v>
      </c>
      <c r="B104" s="889" t="s">
        <v>6608</v>
      </c>
      <c r="C104" s="889"/>
      <c r="D104" s="889"/>
      <c r="E104" s="889"/>
      <c r="F104" s="889"/>
      <c r="G104" s="889"/>
      <c r="H104" s="889"/>
      <c r="I104" s="889"/>
      <c r="J104" s="889"/>
      <c r="K104" s="889"/>
      <c r="L104" s="889"/>
      <c r="M104" s="889"/>
      <c r="N104" s="889"/>
      <c r="O104" s="889"/>
      <c r="P104" s="889"/>
      <c r="Q104" s="889"/>
      <c r="R104" s="889"/>
      <c r="S104" s="889"/>
      <c r="T104" s="889"/>
      <c r="U104" s="889"/>
      <c r="V104" s="889"/>
      <c r="W104" s="889"/>
      <c r="X104" s="889"/>
      <c r="Y104" s="889"/>
      <c r="Z104" s="889"/>
      <c r="AA104" s="889"/>
      <c r="AB104" s="889"/>
      <c r="AC104" s="889"/>
      <c r="AD104" s="889"/>
      <c r="AE104" s="889"/>
      <c r="AF104" s="889"/>
    </row>
    <row r="105" spans="1:32" ht="60.75" customHeight="1" x14ac:dyDescent="0.3">
      <c r="A105" s="370" t="s">
        <v>803</v>
      </c>
      <c r="B105" s="889" t="s">
        <v>6609</v>
      </c>
      <c r="C105" s="889"/>
      <c r="D105" s="889"/>
      <c r="E105" s="889"/>
      <c r="F105" s="889"/>
      <c r="G105" s="889"/>
      <c r="H105" s="889"/>
      <c r="I105" s="889"/>
      <c r="J105" s="889"/>
      <c r="K105" s="889"/>
      <c r="L105" s="889"/>
      <c r="M105" s="889"/>
      <c r="N105" s="889"/>
      <c r="O105" s="889"/>
      <c r="P105" s="889"/>
      <c r="Q105" s="889"/>
      <c r="R105" s="889"/>
      <c r="S105" s="889"/>
      <c r="T105" s="889"/>
      <c r="U105" s="889"/>
      <c r="V105" s="889"/>
      <c r="W105" s="889"/>
      <c r="X105" s="889"/>
      <c r="Y105" s="889"/>
      <c r="Z105" s="889"/>
      <c r="AA105" s="889"/>
      <c r="AB105" s="889"/>
      <c r="AC105" s="889"/>
      <c r="AD105" s="889"/>
      <c r="AE105" s="889"/>
      <c r="AF105" s="889"/>
    </row>
    <row r="106" spans="1:32" ht="30" customHeight="1" x14ac:dyDescent="0.3">
      <c r="A106" s="370" t="s">
        <v>803</v>
      </c>
      <c r="B106" s="889" t="s">
        <v>6610</v>
      </c>
      <c r="C106" s="2686"/>
      <c r="D106" s="2686"/>
      <c r="E106" s="2686"/>
      <c r="F106" s="2686"/>
      <c r="G106" s="2686"/>
      <c r="H106" s="2686"/>
      <c r="I106" s="2686"/>
      <c r="J106" s="2686"/>
      <c r="K106" s="2686"/>
      <c r="L106" s="2686"/>
      <c r="M106" s="2686"/>
      <c r="N106" s="2686"/>
      <c r="O106" s="2686"/>
      <c r="P106" s="2686"/>
      <c r="Q106" s="2686"/>
      <c r="R106" s="2686"/>
      <c r="S106" s="2686"/>
      <c r="T106" s="2686"/>
      <c r="U106" s="2686"/>
      <c r="V106" s="2686"/>
      <c r="W106" s="2686"/>
      <c r="X106" s="2686"/>
      <c r="Y106" s="2686"/>
      <c r="Z106" s="2686"/>
      <c r="AA106" s="2686"/>
      <c r="AB106" s="2686"/>
      <c r="AC106" s="2686"/>
      <c r="AD106" s="2686"/>
      <c r="AE106" s="2686"/>
      <c r="AF106" s="2686"/>
    </row>
  </sheetData>
  <sheetProtection algorithmName="SHA-512" hashValue="1BtZ28AzqFu71R+xaHpKFPsgeONLB4AKk+55wbcu3mxn/8/I7EjT1n5N3nv2/kcxb/HSbkUWcungwneVaX+XyQ==" saltValue="uQbKIXjUEkdOCemUEdL/oA==" spinCount="100000" sheet="1" objects="1" scenarios="1"/>
  <mergeCells count="127">
    <mergeCell ref="A101:AF101"/>
    <mergeCell ref="B103:AF103"/>
    <mergeCell ref="B104:AF104"/>
    <mergeCell ref="B105:AF105"/>
    <mergeCell ref="B106:AF106"/>
    <mergeCell ref="A97:H97"/>
    <mergeCell ref="I97:P97"/>
    <mergeCell ref="Q97:X97"/>
    <mergeCell ref="Y97:AF97"/>
    <mergeCell ref="A98:H98"/>
    <mergeCell ref="I98:P98"/>
    <mergeCell ref="Q98:X98"/>
    <mergeCell ref="Y98:AF98"/>
    <mergeCell ref="A91:AF91"/>
    <mergeCell ref="A92:AF92"/>
    <mergeCell ref="A94:AF94"/>
    <mergeCell ref="A96:H96"/>
    <mergeCell ref="I96:P96"/>
    <mergeCell ref="Q96:X96"/>
    <mergeCell ref="Y96:AF96"/>
    <mergeCell ref="A89:H89"/>
    <mergeCell ref="I89:N89"/>
    <mergeCell ref="O89:T89"/>
    <mergeCell ref="U89:Z89"/>
    <mergeCell ref="AA89:AF89"/>
    <mergeCell ref="A90:H90"/>
    <mergeCell ref="I90:N90"/>
    <mergeCell ref="O90:T90"/>
    <mergeCell ref="U90:Z90"/>
    <mergeCell ref="AA90:AF90"/>
    <mergeCell ref="A82:AF82"/>
    <mergeCell ref="A83:AF83"/>
    <mergeCell ref="A84:AF84"/>
    <mergeCell ref="A85:AF85"/>
    <mergeCell ref="A87:AF87"/>
    <mergeCell ref="A88:H88"/>
    <mergeCell ref="I88:N88"/>
    <mergeCell ref="O88:T88"/>
    <mergeCell ref="U88:Z88"/>
    <mergeCell ref="AA88:AF88"/>
    <mergeCell ref="A80:D80"/>
    <mergeCell ref="E80:O80"/>
    <mergeCell ref="P80:S80"/>
    <mergeCell ref="T80:W80"/>
    <mergeCell ref="X80:AF80"/>
    <mergeCell ref="A81:D81"/>
    <mergeCell ref="E81:O81"/>
    <mergeCell ref="P81:S81"/>
    <mergeCell ref="T81:W81"/>
    <mergeCell ref="X81:AF81"/>
    <mergeCell ref="A78:D78"/>
    <mergeCell ref="E78:O78"/>
    <mergeCell ref="P78:S78"/>
    <mergeCell ref="T78:W78"/>
    <mergeCell ref="X78:AF78"/>
    <mergeCell ref="A79:D79"/>
    <mergeCell ref="E79:O79"/>
    <mergeCell ref="P79:S79"/>
    <mergeCell ref="T79:W79"/>
    <mergeCell ref="X79:AF79"/>
    <mergeCell ref="X76:AF76"/>
    <mergeCell ref="A77:D77"/>
    <mergeCell ref="E77:O77"/>
    <mergeCell ref="P77:S77"/>
    <mergeCell ref="T77:W77"/>
    <mergeCell ref="X77:AF77"/>
    <mergeCell ref="A75:D75"/>
    <mergeCell ref="E75:O75"/>
    <mergeCell ref="P75:S75"/>
    <mergeCell ref="T75:W75"/>
    <mergeCell ref="A76:D76"/>
    <mergeCell ref="E76:O76"/>
    <mergeCell ref="P76:S76"/>
    <mergeCell ref="T76:W76"/>
    <mergeCell ref="A73:D73"/>
    <mergeCell ref="E73:O73"/>
    <mergeCell ref="P73:S73"/>
    <mergeCell ref="T73:W73"/>
    <mergeCell ref="X73:AF73"/>
    <mergeCell ref="A74:D74"/>
    <mergeCell ref="E74:O74"/>
    <mergeCell ref="P74:S74"/>
    <mergeCell ref="T74:W74"/>
    <mergeCell ref="X74:AF75"/>
    <mergeCell ref="A71:D71"/>
    <mergeCell ref="E71:O71"/>
    <mergeCell ref="P71:S71"/>
    <mergeCell ref="T71:W71"/>
    <mergeCell ref="X71:AF72"/>
    <mergeCell ref="A72:D72"/>
    <mergeCell ref="E72:O72"/>
    <mergeCell ref="P72:S72"/>
    <mergeCell ref="T72:W72"/>
    <mergeCell ref="A69:D69"/>
    <mergeCell ref="E69:O69"/>
    <mergeCell ref="P69:S69"/>
    <mergeCell ref="T69:W69"/>
    <mergeCell ref="X69:AF69"/>
    <mergeCell ref="A70:D70"/>
    <mergeCell ref="E70:O70"/>
    <mergeCell ref="P70:S70"/>
    <mergeCell ref="T70:W70"/>
    <mergeCell ref="X70:AF70"/>
    <mergeCell ref="A65:AF65"/>
    <mergeCell ref="A66:D66"/>
    <mergeCell ref="E66:O66"/>
    <mergeCell ref="P66:S66"/>
    <mergeCell ref="T66:W66"/>
    <mergeCell ref="X66:AF66"/>
    <mergeCell ref="A67:D67"/>
    <mergeCell ref="E67:O67"/>
    <mergeCell ref="P67:S67"/>
    <mergeCell ref="T67:W67"/>
    <mergeCell ref="X67:AF68"/>
    <mergeCell ref="A68:D68"/>
    <mergeCell ref="E68:O68"/>
    <mergeCell ref="P68:S68"/>
    <mergeCell ref="T68:W68"/>
    <mergeCell ref="A1:AF1"/>
    <mergeCell ref="A3:AF3"/>
    <mergeCell ref="B5:AF5"/>
    <mergeCell ref="A7:AF7"/>
    <mergeCell ref="B10:AF10"/>
    <mergeCell ref="B13:AF13"/>
    <mergeCell ref="B19:AF19"/>
    <mergeCell ref="B22:AF22"/>
    <mergeCell ref="A25:AF25"/>
  </mergeCells>
  <hyperlinks>
    <hyperlink ref="A2" location="TOC!A1" display="Return to TOC" xr:uid="{96D0560D-B2C9-4926-BDCC-D7AB04C2C1A6}"/>
  </hyperlinks>
  <pageMargins left="0.7" right="0.7" top="0.75" bottom="0.75" header="0.3" footer="0.3"/>
  <ignoredErrors>
    <ignoredError sqref="AF29:AF62" numberStoredAsText="1"/>
  </ignoredErrors>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1">
    <tabColor theme="7" tint="0.79998168889431442"/>
    <pageSetUpPr autoPageBreaks="0"/>
  </sheetPr>
  <dimension ref="A1:AG116"/>
  <sheetViews>
    <sheetView zoomScaleNormal="100" workbookViewId="0">
      <selection sqref="A1:AF1"/>
    </sheetView>
  </sheetViews>
  <sheetFormatPr defaultColWidth="2.6640625" defaultRowHeight="14.4" x14ac:dyDescent="0.3"/>
  <cols>
    <col min="1" max="31" width="2.6640625" style="1"/>
    <col min="32" max="32" width="3.33203125" style="1" customWidth="1"/>
    <col min="33" max="16384" width="2.6640625" style="1"/>
  </cols>
  <sheetData>
    <row r="1" spans="1:32" ht="18.600000000000001" thickBot="1" x14ac:dyDescent="0.35">
      <c r="A1" s="979" t="s">
        <v>913</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1088"/>
    </row>
    <row r="2" spans="1:32" customFormat="1" ht="14.4" customHeight="1" x14ac:dyDescent="0.3">
      <c r="A2" s="228" t="s">
        <v>1456</v>
      </c>
    </row>
    <row r="3" spans="1:32" customFormat="1" ht="14.4" customHeight="1" x14ac:dyDescent="0.3">
      <c r="A3" s="869" t="s">
        <v>1374</v>
      </c>
      <c r="B3" s="870"/>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1"/>
    </row>
    <row r="4" spans="1:32" customFormat="1" ht="14.4" customHeight="1" x14ac:dyDescent="0.3">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customFormat="1" ht="14.4" customHeight="1" x14ac:dyDescent="0.3">
      <c r="A5" s="121"/>
      <c r="B5" s="872" t="s">
        <v>2551</v>
      </c>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row>
    <row r="6" spans="1:32" customFormat="1" ht="14.4" customHeight="1" x14ac:dyDescent="0.3">
      <c r="A6" s="228"/>
    </row>
    <row r="7" spans="1:32" x14ac:dyDescent="0.3">
      <c r="A7" s="1141" t="s">
        <v>2</v>
      </c>
      <c r="B7" s="1141"/>
      <c r="C7" s="1141"/>
      <c r="D7" s="1141"/>
      <c r="E7" s="1141"/>
      <c r="F7" s="1141"/>
      <c r="G7" s="1141"/>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row>
    <row r="8" spans="1:32" x14ac:dyDescent="0.3">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x14ac:dyDescent="0.3">
      <c r="B9" s="1144" t="s">
        <v>3</v>
      </c>
      <c r="C9" s="1144"/>
      <c r="D9" s="1144"/>
      <c r="E9" s="1144"/>
      <c r="F9" s="1144"/>
      <c r="G9" s="1144"/>
      <c r="H9" s="1144"/>
      <c r="I9" s="1144"/>
    </row>
    <row r="10" spans="1:32" s="4" customFormat="1" ht="96" customHeight="1" x14ac:dyDescent="0.3">
      <c r="B10" s="953" t="s">
        <v>2609</v>
      </c>
      <c r="C10" s="953"/>
      <c r="D10" s="953"/>
      <c r="E10" s="953"/>
      <c r="F10" s="953"/>
      <c r="G10" s="953"/>
      <c r="H10" s="953"/>
      <c r="I10" s="953"/>
      <c r="J10" s="953"/>
      <c r="K10" s="953"/>
      <c r="L10" s="953"/>
      <c r="M10" s="953"/>
      <c r="N10" s="953"/>
      <c r="O10" s="953"/>
      <c r="P10" s="953"/>
      <c r="Q10" s="953"/>
      <c r="R10" s="953"/>
      <c r="S10" s="953"/>
      <c r="T10" s="953"/>
      <c r="U10" s="953"/>
      <c r="V10" s="953"/>
      <c r="W10" s="953"/>
      <c r="X10" s="953"/>
      <c r="Y10" s="953"/>
      <c r="Z10" s="953"/>
      <c r="AA10" s="953"/>
      <c r="AB10" s="953"/>
      <c r="AC10" s="953"/>
      <c r="AD10" s="953"/>
      <c r="AE10" s="953"/>
      <c r="AF10" s="953"/>
    </row>
    <row r="12" spans="1:32" x14ac:dyDescent="0.3">
      <c r="B12" s="1144" t="s">
        <v>4</v>
      </c>
      <c r="C12" s="1144"/>
      <c r="D12" s="1144"/>
      <c r="E12" s="1144"/>
      <c r="F12" s="1144"/>
      <c r="G12" s="1144"/>
      <c r="H12" s="1144"/>
      <c r="I12" s="1144"/>
    </row>
    <row r="13" spans="1:32" ht="66" customHeight="1" x14ac:dyDescent="0.3">
      <c r="B13" s="953" t="s">
        <v>2958</v>
      </c>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row>
    <row r="15" spans="1:32" x14ac:dyDescent="0.3">
      <c r="B15" s="1144" t="s">
        <v>5</v>
      </c>
      <c r="C15" s="1144"/>
      <c r="D15" s="1144"/>
      <c r="E15" s="1144"/>
      <c r="F15" s="1144"/>
      <c r="G15" s="1144"/>
      <c r="H15" s="1144"/>
      <c r="I15" s="1144"/>
    </row>
    <row r="16" spans="1:32" x14ac:dyDescent="0.3">
      <c r="B16" s="1142" t="s">
        <v>3303</v>
      </c>
      <c r="C16" s="1142"/>
      <c r="D16" s="1142"/>
      <c r="E16" s="1142"/>
      <c r="F16" s="1142"/>
      <c r="G16" s="1142"/>
      <c r="H16" s="1142"/>
      <c r="I16" s="1142"/>
      <c r="J16" s="1142"/>
      <c r="K16" s="1142"/>
      <c r="L16" s="1142"/>
      <c r="M16" s="1142"/>
      <c r="N16" s="1142"/>
      <c r="O16" s="1142"/>
      <c r="P16" s="1142"/>
      <c r="Q16" s="1142"/>
      <c r="R16" s="1142"/>
      <c r="S16" s="1142"/>
      <c r="T16" s="1142"/>
      <c r="U16" s="1142"/>
      <c r="V16" s="1142"/>
      <c r="W16" s="1142"/>
      <c r="X16" s="1142"/>
      <c r="Y16" s="1142"/>
      <c r="Z16" s="1142"/>
      <c r="AA16" s="1142"/>
      <c r="AB16" s="1142"/>
      <c r="AC16" s="1142"/>
      <c r="AD16" s="1142"/>
      <c r="AE16" s="1142"/>
      <c r="AF16" s="1142"/>
    </row>
    <row r="18" spans="1:33" x14ac:dyDescent="0.3">
      <c r="B18" s="1144" t="s">
        <v>6</v>
      </c>
      <c r="C18" s="1144"/>
      <c r="D18" s="1144"/>
      <c r="E18" s="1144"/>
      <c r="F18" s="1144"/>
      <c r="G18" s="1144"/>
      <c r="H18" s="1144"/>
      <c r="I18" s="1144"/>
    </row>
    <row r="19" spans="1:33" s="4" customFormat="1" ht="32.25" customHeight="1" x14ac:dyDescent="0.3">
      <c r="B19" s="872" t="s">
        <v>2610</v>
      </c>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row>
    <row r="21" spans="1:33" x14ac:dyDescent="0.3">
      <c r="B21" s="51" t="s">
        <v>13</v>
      </c>
      <c r="C21" s="51"/>
      <c r="D21" s="51"/>
      <c r="E21" s="51"/>
      <c r="F21" s="51"/>
      <c r="G21" s="51"/>
      <c r="H21" s="51"/>
      <c r="I21" s="51"/>
    </row>
    <row r="22" spans="1:33" ht="14.4" customHeight="1" x14ac:dyDescent="0.3">
      <c r="B22" s="872" t="s">
        <v>2611</v>
      </c>
      <c r="C22" s="1142"/>
      <c r="D22" s="1142"/>
      <c r="E22" s="1142"/>
      <c r="F22" s="1142"/>
      <c r="G22" s="1142"/>
      <c r="H22" s="1142"/>
      <c r="I22" s="1142"/>
      <c r="J22" s="1142"/>
      <c r="K22" s="1142"/>
      <c r="L22" s="1142"/>
      <c r="M22" s="1142"/>
      <c r="N22" s="1142"/>
      <c r="O22" s="1142"/>
      <c r="P22" s="1142"/>
      <c r="Q22" s="1142"/>
      <c r="R22" s="1142"/>
      <c r="S22" s="1142"/>
      <c r="T22" s="1142"/>
      <c r="U22" s="1142"/>
      <c r="V22" s="1142"/>
      <c r="W22" s="1142"/>
      <c r="X22" s="1142"/>
      <c r="Y22" s="1142"/>
      <c r="Z22" s="1142"/>
      <c r="AA22" s="1142"/>
      <c r="AB22" s="1142"/>
      <c r="AC22" s="1142"/>
      <c r="AD22" s="1142"/>
      <c r="AE22" s="1142"/>
      <c r="AF22" s="1142"/>
    </row>
    <row r="24" spans="1:33" x14ac:dyDescent="0.3">
      <c r="A24" s="1141" t="s">
        <v>7</v>
      </c>
      <c r="B24" s="1141"/>
      <c r="C24" s="1141"/>
      <c r="D24" s="1141"/>
      <c r="E24" s="1141"/>
      <c r="F24" s="1141"/>
      <c r="G24" s="1141"/>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row>
    <row r="26" spans="1:33" ht="14.4" customHeight="1" x14ac:dyDescent="0.3">
      <c r="A26" s="363"/>
      <c r="B26" s="231" t="s">
        <v>2027</v>
      </c>
      <c r="C26" s="364"/>
      <c r="D26" s="364"/>
      <c r="E26" s="364"/>
      <c r="F26" s="364"/>
      <c r="G26" s="364"/>
      <c r="H26" s="365"/>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51"/>
    </row>
    <row r="27" spans="1:33" x14ac:dyDescent="0.3">
      <c r="A27" s="266"/>
      <c r="B27" s="55"/>
      <c r="C27" s="55"/>
      <c r="D27" s="55"/>
      <c r="E27" s="55"/>
      <c r="F27" s="55"/>
      <c r="G27" s="55"/>
      <c r="H27" s="361"/>
      <c r="I27" s="2"/>
      <c r="J27" s="2"/>
      <c r="K27" s="2"/>
      <c r="L27" s="2"/>
      <c r="M27" s="2"/>
      <c r="N27" s="2"/>
      <c r="O27" s="2"/>
      <c r="P27" s="2"/>
      <c r="Q27" s="2"/>
      <c r="R27" s="2"/>
      <c r="S27" s="2"/>
      <c r="T27" s="2"/>
      <c r="U27" s="2"/>
      <c r="V27" s="2"/>
      <c r="W27" s="2"/>
      <c r="X27" s="2"/>
      <c r="Y27" s="2"/>
      <c r="Z27" s="2"/>
      <c r="AA27" s="2"/>
      <c r="AB27" s="2"/>
      <c r="AC27" s="2"/>
      <c r="AD27" s="2"/>
      <c r="AE27" s="2"/>
      <c r="AF27" s="2"/>
    </row>
    <row r="28" spans="1:33" ht="15" customHeight="1" x14ac:dyDescent="0.3">
      <c r="A28" s="266"/>
      <c r="B28" s="1449"/>
      <c r="C28" s="1449"/>
      <c r="D28" s="1449"/>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c r="AE28" s="1449"/>
      <c r="AF28" s="361" t="s">
        <v>1463</v>
      </c>
    </row>
    <row r="29" spans="1:33" x14ac:dyDescent="0.3">
      <c r="A29" s="266"/>
      <c r="B29" s="55"/>
      <c r="C29" s="55"/>
      <c r="D29" s="55"/>
      <c r="E29" s="55"/>
      <c r="F29" s="55"/>
      <c r="G29" s="55"/>
      <c r="H29" s="361"/>
      <c r="I29" s="2"/>
      <c r="J29" s="2"/>
      <c r="K29" s="2"/>
      <c r="L29" s="2"/>
      <c r="M29" s="2"/>
      <c r="N29" s="2"/>
      <c r="O29" s="2"/>
      <c r="P29" s="2"/>
      <c r="Q29" s="2"/>
      <c r="R29" s="2"/>
      <c r="S29" s="2"/>
      <c r="T29" s="2"/>
      <c r="U29" s="2"/>
      <c r="V29" s="2"/>
      <c r="W29" s="2"/>
      <c r="X29" s="2"/>
      <c r="Y29" s="2"/>
      <c r="Z29" s="2"/>
      <c r="AA29" s="2"/>
      <c r="AB29" s="2"/>
      <c r="AC29" s="2"/>
      <c r="AD29" s="2"/>
      <c r="AE29" s="2"/>
      <c r="AF29" s="2"/>
    </row>
    <row r="30" spans="1:33" x14ac:dyDescent="0.3">
      <c r="A30" s="363"/>
      <c r="B30" s="231" t="s">
        <v>2137</v>
      </c>
      <c r="C30" s="364"/>
      <c r="D30" s="364"/>
      <c r="E30" s="364"/>
      <c r="F30" s="364"/>
      <c r="G30" s="364"/>
      <c r="H30" s="365"/>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51"/>
    </row>
    <row r="31" spans="1:33" x14ac:dyDescent="0.3">
      <c r="A31" s="266"/>
      <c r="B31" s="55"/>
      <c r="C31" s="55"/>
      <c r="D31" s="55"/>
      <c r="E31" s="55"/>
      <c r="F31" s="55"/>
      <c r="G31" s="55"/>
      <c r="H31" s="361"/>
      <c r="I31" s="2"/>
      <c r="J31" s="2"/>
      <c r="K31" s="2"/>
      <c r="L31" s="2"/>
      <c r="M31" s="2"/>
      <c r="N31" s="2"/>
      <c r="O31" s="2"/>
      <c r="P31" s="2"/>
      <c r="Q31" s="2"/>
      <c r="R31" s="2"/>
      <c r="S31" s="2"/>
      <c r="T31" s="2"/>
      <c r="U31" s="2"/>
      <c r="V31" s="2"/>
      <c r="W31" s="2"/>
      <c r="X31" s="2"/>
      <c r="Y31" s="2"/>
      <c r="Z31" s="2"/>
      <c r="AA31" s="2"/>
      <c r="AB31" s="2"/>
      <c r="AC31" s="2"/>
      <c r="AD31" s="2"/>
      <c r="AE31" s="2"/>
      <c r="AF31" s="2"/>
    </row>
    <row r="32" spans="1:33" ht="14.4" customHeight="1" x14ac:dyDescent="0.3">
      <c r="A32" s="266"/>
      <c r="B32" s="1449"/>
      <c r="C32" s="1449"/>
      <c r="D32" s="1449"/>
      <c r="E32" s="1449"/>
      <c r="F32" s="1449"/>
      <c r="G32" s="1449"/>
      <c r="H32" s="1449"/>
      <c r="I32" s="1449"/>
      <c r="J32" s="1449"/>
      <c r="K32" s="1449"/>
      <c r="L32" s="1449"/>
      <c r="M32" s="1449"/>
      <c r="N32" s="1449"/>
      <c r="O32" s="1449"/>
      <c r="P32" s="1449"/>
      <c r="Q32" s="1449"/>
      <c r="R32" s="1449"/>
      <c r="S32" s="1449"/>
      <c r="T32" s="1449"/>
      <c r="U32" s="1449"/>
      <c r="V32" s="1449"/>
      <c r="W32" s="1449"/>
      <c r="X32" s="1449"/>
      <c r="Y32" s="1449"/>
      <c r="Z32" s="1449"/>
      <c r="AA32" s="1449"/>
      <c r="AB32" s="1449"/>
      <c r="AC32" s="1449"/>
      <c r="AD32" s="1449"/>
      <c r="AE32" s="1449"/>
      <c r="AF32" s="2488" t="s">
        <v>1464</v>
      </c>
    </row>
    <row r="33" spans="1:32" ht="14.4" customHeight="1" x14ac:dyDescent="0.3">
      <c r="A33" s="266"/>
      <c r="B33" s="1449"/>
      <c r="C33" s="1449"/>
      <c r="D33" s="1449"/>
      <c r="E33" s="1449"/>
      <c r="F33" s="1449"/>
      <c r="G33" s="1449"/>
      <c r="H33" s="1449"/>
      <c r="I33" s="1449"/>
      <c r="J33" s="1449"/>
      <c r="K33" s="1449"/>
      <c r="L33" s="1449"/>
      <c r="M33" s="1449"/>
      <c r="N33" s="1449"/>
      <c r="O33" s="1449"/>
      <c r="P33" s="1449"/>
      <c r="Q33" s="1449"/>
      <c r="R33" s="1449"/>
      <c r="S33" s="1449"/>
      <c r="T33" s="1449"/>
      <c r="U33" s="1449"/>
      <c r="V33" s="1449"/>
      <c r="W33" s="1449"/>
      <c r="X33" s="1449"/>
      <c r="Y33" s="1449"/>
      <c r="Z33" s="1449"/>
      <c r="AA33" s="1449"/>
      <c r="AB33" s="1449"/>
      <c r="AC33" s="1449"/>
      <c r="AD33" s="1449"/>
      <c r="AE33" s="1449"/>
      <c r="AF33" s="2488"/>
    </row>
    <row r="34" spans="1:32" ht="14.4" customHeight="1" x14ac:dyDescent="0.3">
      <c r="A34" s="266"/>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362"/>
    </row>
    <row r="35" spans="1:32" ht="14.4" customHeight="1" x14ac:dyDescent="0.3">
      <c r="A35" s="266"/>
      <c r="B35" s="231" t="s">
        <v>1811</v>
      </c>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362"/>
    </row>
    <row r="36" spans="1:32" ht="14.4" customHeight="1" x14ac:dyDescent="0.3">
      <c r="A36" s="266"/>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362"/>
    </row>
    <row r="37" spans="1:32" ht="14.4" customHeight="1" x14ac:dyDescent="0.3">
      <c r="A37" s="266"/>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361" t="s">
        <v>1465</v>
      </c>
    </row>
    <row r="38" spans="1:32" ht="14.4" customHeight="1" x14ac:dyDescent="0.3"/>
    <row r="39" spans="1:32" ht="14.4" customHeight="1" x14ac:dyDescent="0.3">
      <c r="A39" s="1141" t="s">
        <v>8</v>
      </c>
      <c r="B39" s="1141"/>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1"/>
      <c r="Y39" s="1141"/>
      <c r="Z39" s="1141"/>
      <c r="AA39" s="1141"/>
      <c r="AB39" s="1141"/>
      <c r="AC39" s="1141"/>
      <c r="AD39" s="1141"/>
      <c r="AE39" s="1141"/>
      <c r="AF39" s="1141"/>
    </row>
    <row r="40" spans="1:32" x14ac:dyDescent="0.3">
      <c r="A40" s="1143" t="s">
        <v>9</v>
      </c>
      <c r="B40" s="1143"/>
      <c r="C40" s="1143"/>
      <c r="D40" s="1143"/>
      <c r="E40" s="1143" t="s">
        <v>3</v>
      </c>
      <c r="F40" s="1143"/>
      <c r="G40" s="1143"/>
      <c r="H40" s="1143"/>
      <c r="I40" s="1143"/>
      <c r="J40" s="1143"/>
      <c r="K40" s="1143"/>
      <c r="L40" s="1143"/>
      <c r="M40" s="1143"/>
      <c r="N40" s="1143"/>
      <c r="O40" s="1143"/>
      <c r="P40" s="1143"/>
      <c r="Q40" s="1143" t="s">
        <v>10</v>
      </c>
      <c r="R40" s="1143"/>
      <c r="S40" s="1143"/>
      <c r="T40" s="1143"/>
      <c r="U40" s="1259" t="s">
        <v>11</v>
      </c>
      <c r="V40" s="1260"/>
      <c r="W40" s="1421"/>
      <c r="X40" s="1259" t="s">
        <v>2612</v>
      </c>
      <c r="Y40" s="1260"/>
      <c r="Z40" s="1260"/>
      <c r="AA40" s="1260"/>
      <c r="AB40" s="1260"/>
      <c r="AC40" s="1260"/>
      <c r="AD40" s="1260"/>
      <c r="AE40" s="1260"/>
      <c r="AF40" s="1421"/>
    </row>
    <row r="41" spans="1:32" x14ac:dyDescent="0.3">
      <c r="A41" s="1050" t="s">
        <v>1253</v>
      </c>
      <c r="B41" s="1051"/>
      <c r="C41" s="1051"/>
      <c r="D41" s="1052"/>
      <c r="E41" s="2458" t="s">
        <v>791</v>
      </c>
      <c r="F41" s="2459"/>
      <c r="G41" s="2459"/>
      <c r="H41" s="2459"/>
      <c r="I41" s="2459"/>
      <c r="J41" s="2459"/>
      <c r="K41" s="2459"/>
      <c r="L41" s="2459"/>
      <c r="M41" s="2459"/>
      <c r="N41" s="2459"/>
      <c r="O41" s="2459"/>
      <c r="P41" s="2460"/>
      <c r="Q41" s="2461" t="s">
        <v>35</v>
      </c>
      <c r="R41" s="2462"/>
      <c r="S41" s="2462"/>
      <c r="T41" s="2463"/>
      <c r="U41" s="2464" t="s">
        <v>41</v>
      </c>
      <c r="V41" s="2465"/>
      <c r="W41" s="2466"/>
      <c r="X41" s="1243"/>
      <c r="Y41" s="1244"/>
      <c r="Z41" s="1244"/>
      <c r="AA41" s="1244"/>
      <c r="AB41" s="1244"/>
      <c r="AC41" s="1244"/>
      <c r="AD41" s="1244"/>
      <c r="AE41" s="1244"/>
      <c r="AF41" s="1245"/>
    </row>
    <row r="42" spans="1:32" x14ac:dyDescent="0.3">
      <c r="A42" s="1050" t="s">
        <v>1254</v>
      </c>
      <c r="B42" s="1051"/>
      <c r="C42" s="1051"/>
      <c r="D42" s="1052"/>
      <c r="E42" s="1148" t="s">
        <v>2613</v>
      </c>
      <c r="F42" s="1149"/>
      <c r="G42" s="1149"/>
      <c r="H42" s="1149"/>
      <c r="I42" s="1149"/>
      <c r="J42" s="1149"/>
      <c r="K42" s="1149"/>
      <c r="L42" s="1149"/>
      <c r="M42" s="1149"/>
      <c r="N42" s="1149"/>
      <c r="O42" s="1149"/>
      <c r="P42" s="1150"/>
      <c r="Q42" s="1151" t="s">
        <v>35</v>
      </c>
      <c r="R42" s="1152"/>
      <c r="S42" s="1152"/>
      <c r="T42" s="1153"/>
      <c r="U42" s="1243" t="s">
        <v>18</v>
      </c>
      <c r="V42" s="1244"/>
      <c r="W42" s="1245"/>
      <c r="X42" s="1243"/>
      <c r="Y42" s="1244"/>
      <c r="Z42" s="1244"/>
      <c r="AA42" s="1244"/>
      <c r="AB42" s="1244"/>
      <c r="AC42" s="1244"/>
      <c r="AD42" s="1244"/>
      <c r="AE42" s="1244"/>
      <c r="AF42" s="1245"/>
    </row>
    <row r="43" spans="1:32" ht="36.75" customHeight="1" x14ac:dyDescent="0.3">
      <c r="A43" s="2449" t="s">
        <v>2614</v>
      </c>
      <c r="B43" s="2450"/>
      <c r="C43" s="2450"/>
      <c r="D43" s="2450"/>
      <c r="E43" s="2458" t="s">
        <v>2615</v>
      </c>
      <c r="F43" s="2459"/>
      <c r="G43" s="2459"/>
      <c r="H43" s="2459"/>
      <c r="I43" s="2459"/>
      <c r="J43" s="2459"/>
      <c r="K43" s="2459"/>
      <c r="L43" s="2459"/>
      <c r="M43" s="2459"/>
      <c r="N43" s="2459"/>
      <c r="O43" s="2459"/>
      <c r="P43" s="2459"/>
      <c r="Q43" s="2461"/>
      <c r="R43" s="2462"/>
      <c r="S43" s="2462"/>
      <c r="T43" s="2463"/>
      <c r="U43" s="2465"/>
      <c r="V43" s="2465"/>
      <c r="W43" s="2466"/>
      <c r="X43" s="2459" t="s">
        <v>2616</v>
      </c>
      <c r="Y43" s="2459"/>
      <c r="Z43" s="2459"/>
      <c r="AA43" s="2459"/>
      <c r="AB43" s="2459"/>
      <c r="AC43" s="2459"/>
      <c r="AD43" s="2459"/>
      <c r="AE43" s="2459"/>
      <c r="AF43" s="2460"/>
    </row>
    <row r="44" spans="1:32" x14ac:dyDescent="0.3">
      <c r="A44" s="2452"/>
      <c r="B44" s="2453"/>
      <c r="C44" s="2453"/>
      <c r="D44" s="2453"/>
      <c r="E44" s="2473" t="s">
        <v>2617</v>
      </c>
      <c r="F44" s="2474"/>
      <c r="G44" s="2474"/>
      <c r="H44" s="2474"/>
      <c r="I44" s="2474"/>
      <c r="J44" s="2474"/>
      <c r="K44" s="2474"/>
      <c r="L44" s="2474"/>
      <c r="M44" s="2474"/>
      <c r="N44" s="2474"/>
      <c r="O44" s="2474"/>
      <c r="P44" s="2474"/>
      <c r="Q44" s="2476"/>
      <c r="R44" s="2477"/>
      <c r="S44" s="2477"/>
      <c r="T44" s="2478"/>
      <c r="U44" s="2441"/>
      <c r="V44" s="2441"/>
      <c r="W44" s="2442"/>
      <c r="X44" s="2468"/>
      <c r="Y44" s="2468"/>
      <c r="Z44" s="2468"/>
      <c r="AA44" s="2468"/>
      <c r="AB44" s="2468"/>
      <c r="AC44" s="2468"/>
      <c r="AD44" s="2468"/>
      <c r="AE44" s="2468"/>
      <c r="AF44" s="2469"/>
    </row>
    <row r="45" spans="1:32" x14ac:dyDescent="0.3">
      <c r="A45" s="2452"/>
      <c r="B45" s="2453"/>
      <c r="C45" s="2453"/>
      <c r="D45" s="2453"/>
      <c r="E45" s="2476" t="s">
        <v>2618</v>
      </c>
      <c r="F45" s="2477"/>
      <c r="G45" s="2477"/>
      <c r="H45" s="2477"/>
      <c r="I45" s="2477"/>
      <c r="J45" s="2477"/>
      <c r="K45" s="2477"/>
      <c r="L45" s="2477"/>
      <c r="M45" s="2477"/>
      <c r="N45" s="2477"/>
      <c r="O45" s="2477"/>
      <c r="P45" s="2477"/>
      <c r="Q45" s="2482">
        <v>6.3584299834592226</v>
      </c>
      <c r="R45" s="2483"/>
      <c r="S45" s="2483"/>
      <c r="T45" s="2484"/>
      <c r="U45" s="2441" t="s">
        <v>74</v>
      </c>
      <c r="V45" s="2441"/>
      <c r="W45" s="2442"/>
      <c r="X45" s="2468"/>
      <c r="Y45" s="2468"/>
      <c r="Z45" s="2468"/>
      <c r="AA45" s="2468"/>
      <c r="AB45" s="2468"/>
      <c r="AC45" s="2468"/>
      <c r="AD45" s="2468"/>
      <c r="AE45" s="2468"/>
      <c r="AF45" s="2469"/>
    </row>
    <row r="46" spans="1:32" x14ac:dyDescent="0.3">
      <c r="A46" s="2452"/>
      <c r="B46" s="2453"/>
      <c r="C46" s="2453"/>
      <c r="D46" s="2453"/>
      <c r="E46" s="2476" t="s">
        <v>2619</v>
      </c>
      <c r="F46" s="2477"/>
      <c r="G46" s="2477"/>
      <c r="H46" s="2477"/>
      <c r="I46" s="2477"/>
      <c r="J46" s="2477"/>
      <c r="K46" s="2477"/>
      <c r="L46" s="2477"/>
      <c r="M46" s="2477"/>
      <c r="N46" s="2477"/>
      <c r="O46" s="2477"/>
      <c r="P46" s="2477"/>
      <c r="Q46" s="2482">
        <v>11.481491232479099</v>
      </c>
      <c r="R46" s="2483"/>
      <c r="S46" s="2483"/>
      <c r="T46" s="2484"/>
      <c r="U46" s="2441" t="s">
        <v>74</v>
      </c>
      <c r="V46" s="2441"/>
      <c r="W46" s="2442"/>
      <c r="X46" s="2468"/>
      <c r="Y46" s="2468"/>
      <c r="Z46" s="2468"/>
      <c r="AA46" s="2468"/>
      <c r="AB46" s="2468"/>
      <c r="AC46" s="2468"/>
      <c r="AD46" s="2468"/>
      <c r="AE46" s="2468"/>
      <c r="AF46" s="2469"/>
    </row>
    <row r="47" spans="1:32" x14ac:dyDescent="0.3">
      <c r="A47" s="2452"/>
      <c r="B47" s="2453"/>
      <c r="C47" s="2453"/>
      <c r="D47" s="2453"/>
      <c r="E47" s="2476" t="s">
        <v>2620</v>
      </c>
      <c r="F47" s="2477"/>
      <c r="G47" s="2477"/>
      <c r="H47" s="2477"/>
      <c r="I47" s="2477"/>
      <c r="J47" s="2477"/>
      <c r="K47" s="2477"/>
      <c r="L47" s="2477"/>
      <c r="M47" s="2477"/>
      <c r="N47" s="2477"/>
      <c r="O47" s="2477"/>
      <c r="P47" s="2477"/>
      <c r="Q47" s="2482">
        <v>14.995157830797931</v>
      </c>
      <c r="R47" s="2483"/>
      <c r="S47" s="2483"/>
      <c r="T47" s="2484"/>
      <c r="U47" s="2441" t="s">
        <v>74</v>
      </c>
      <c r="V47" s="2441"/>
      <c r="W47" s="2442"/>
      <c r="X47" s="2468"/>
      <c r="Y47" s="2468"/>
      <c r="Z47" s="2468"/>
      <c r="AA47" s="2468"/>
      <c r="AB47" s="2468"/>
      <c r="AC47" s="2468"/>
      <c r="AD47" s="2468"/>
      <c r="AE47" s="2468"/>
      <c r="AF47" s="2469"/>
    </row>
    <row r="48" spans="1:32" x14ac:dyDescent="0.3">
      <c r="A48" s="2452"/>
      <c r="B48" s="2453"/>
      <c r="C48" s="2453"/>
      <c r="D48" s="2453"/>
      <c r="E48" s="2476" t="s">
        <v>2621</v>
      </c>
      <c r="F48" s="2477"/>
      <c r="G48" s="2477"/>
      <c r="H48" s="2477"/>
      <c r="I48" s="2477"/>
      <c r="J48" s="2477"/>
      <c r="K48" s="2477"/>
      <c r="L48" s="2477"/>
      <c r="M48" s="2477"/>
      <c r="N48" s="2477"/>
      <c r="O48" s="2477"/>
      <c r="P48" s="2477"/>
      <c r="Q48" s="2482">
        <v>15.971691280190816</v>
      </c>
      <c r="R48" s="2483"/>
      <c r="S48" s="2483"/>
      <c r="T48" s="2484"/>
      <c r="U48" s="2441" t="s">
        <v>74</v>
      </c>
      <c r="V48" s="2441"/>
      <c r="W48" s="2442"/>
      <c r="X48" s="2468"/>
      <c r="Y48" s="2468"/>
      <c r="Z48" s="2468"/>
      <c r="AA48" s="2468"/>
      <c r="AB48" s="2468"/>
      <c r="AC48" s="2468"/>
      <c r="AD48" s="2468"/>
      <c r="AE48" s="2468"/>
      <c r="AF48" s="2469"/>
    </row>
    <row r="49" spans="1:32" x14ac:dyDescent="0.3">
      <c r="A49" s="2452"/>
      <c r="B49" s="2453"/>
      <c r="C49" s="2453"/>
      <c r="D49" s="2453"/>
      <c r="E49" s="2473" t="s">
        <v>2622</v>
      </c>
      <c r="F49" s="2474"/>
      <c r="G49" s="2474"/>
      <c r="H49" s="2474"/>
      <c r="I49" s="2474"/>
      <c r="J49" s="2474"/>
      <c r="K49" s="2474"/>
      <c r="L49" s="2474"/>
      <c r="M49" s="2474"/>
      <c r="N49" s="2474"/>
      <c r="O49" s="2474"/>
      <c r="P49" s="2474"/>
      <c r="Q49" s="2476"/>
      <c r="R49" s="2477"/>
      <c r="S49" s="2477"/>
      <c r="T49" s="2478"/>
      <c r="U49" s="2441"/>
      <c r="V49" s="2441"/>
      <c r="W49" s="2442"/>
      <c r="X49" s="2468"/>
      <c r="Y49" s="2468"/>
      <c r="Z49" s="2468"/>
      <c r="AA49" s="2468"/>
      <c r="AB49" s="2468"/>
      <c r="AC49" s="2468"/>
      <c r="AD49" s="2468"/>
      <c r="AE49" s="2468"/>
      <c r="AF49" s="2469"/>
    </row>
    <row r="50" spans="1:32" x14ac:dyDescent="0.3">
      <c r="A50" s="2452"/>
      <c r="B50" s="2453"/>
      <c r="C50" s="2453"/>
      <c r="D50" s="2453"/>
      <c r="E50" s="2476" t="s">
        <v>2618</v>
      </c>
      <c r="F50" s="2477"/>
      <c r="G50" s="2477"/>
      <c r="H50" s="2477"/>
      <c r="I50" s="2477"/>
      <c r="J50" s="2477"/>
      <c r="K50" s="2477"/>
      <c r="L50" s="2477"/>
      <c r="M50" s="2477"/>
      <c r="N50" s="2477"/>
      <c r="O50" s="2477"/>
      <c r="P50" s="2477"/>
      <c r="Q50" s="2482">
        <v>4.1258412238403244</v>
      </c>
      <c r="R50" s="2483"/>
      <c r="S50" s="2483"/>
      <c r="T50" s="2484"/>
      <c r="U50" s="2441" t="s">
        <v>74</v>
      </c>
      <c r="V50" s="2441"/>
      <c r="W50" s="2442"/>
      <c r="X50" s="2468"/>
      <c r="Y50" s="2468"/>
      <c r="Z50" s="2468"/>
      <c r="AA50" s="2468"/>
      <c r="AB50" s="2468"/>
      <c r="AC50" s="2468"/>
      <c r="AD50" s="2468"/>
      <c r="AE50" s="2468"/>
      <c r="AF50" s="2469"/>
    </row>
    <row r="51" spans="1:32" x14ac:dyDescent="0.3">
      <c r="A51" s="2452"/>
      <c r="B51" s="2453"/>
      <c r="C51" s="2453"/>
      <c r="D51" s="2453"/>
      <c r="E51" s="2476" t="s">
        <v>2619</v>
      </c>
      <c r="F51" s="2477"/>
      <c r="G51" s="2477"/>
      <c r="H51" s="2477"/>
      <c r="I51" s="2477"/>
      <c r="J51" s="2477"/>
      <c r="K51" s="2477"/>
      <c r="L51" s="2477"/>
      <c r="M51" s="2477"/>
      <c r="N51" s="2477"/>
      <c r="O51" s="2477"/>
      <c r="P51" s="2477"/>
      <c r="Q51" s="2482">
        <v>7.1400085151589208</v>
      </c>
      <c r="R51" s="2483"/>
      <c r="S51" s="2483"/>
      <c r="T51" s="2484"/>
      <c r="U51" s="2441" t="s">
        <v>74</v>
      </c>
      <c r="V51" s="2441"/>
      <c r="W51" s="2442"/>
      <c r="X51" s="2468"/>
      <c r="Y51" s="2468"/>
      <c r="Z51" s="2468"/>
      <c r="AA51" s="2468"/>
      <c r="AB51" s="2468"/>
      <c r="AC51" s="2468"/>
      <c r="AD51" s="2468"/>
      <c r="AE51" s="2468"/>
      <c r="AF51" s="2469"/>
    </row>
    <row r="52" spans="1:32" x14ac:dyDescent="0.3">
      <c r="A52" s="2452"/>
      <c r="B52" s="2453"/>
      <c r="C52" s="2453"/>
      <c r="D52" s="2453"/>
      <c r="E52" s="2476" t="s">
        <v>2620</v>
      </c>
      <c r="F52" s="2477"/>
      <c r="G52" s="2477"/>
      <c r="H52" s="2477"/>
      <c r="I52" s="2477"/>
      <c r="J52" s="2477"/>
      <c r="K52" s="2477"/>
      <c r="L52" s="2477"/>
      <c r="M52" s="2477"/>
      <c r="N52" s="2477"/>
      <c r="O52" s="2477"/>
      <c r="P52" s="2477"/>
      <c r="Q52" s="2482">
        <v>8.2258068555366162</v>
      </c>
      <c r="R52" s="2483"/>
      <c r="S52" s="2483"/>
      <c r="T52" s="2484"/>
      <c r="U52" s="2441" t="s">
        <v>74</v>
      </c>
      <c r="V52" s="2441"/>
      <c r="W52" s="2442"/>
      <c r="X52" s="2468"/>
      <c r="Y52" s="2468"/>
      <c r="Z52" s="2468"/>
      <c r="AA52" s="2468"/>
      <c r="AB52" s="2468"/>
      <c r="AC52" s="2468"/>
      <c r="AD52" s="2468"/>
      <c r="AE52" s="2468"/>
      <c r="AF52" s="2469"/>
    </row>
    <row r="53" spans="1:32" x14ac:dyDescent="0.3">
      <c r="A53" s="2455"/>
      <c r="B53" s="2456"/>
      <c r="C53" s="2456"/>
      <c r="D53" s="2456"/>
      <c r="E53" s="2443" t="s">
        <v>2621</v>
      </c>
      <c r="F53" s="2444"/>
      <c r="G53" s="2444"/>
      <c r="H53" s="2444"/>
      <c r="I53" s="2444"/>
      <c r="J53" s="2444"/>
      <c r="K53" s="2444"/>
      <c r="L53" s="2444"/>
      <c r="M53" s="2444"/>
      <c r="N53" s="2444"/>
      <c r="O53" s="2444"/>
      <c r="P53" s="2444"/>
      <c r="Q53" s="2482">
        <v>9.0526256118111572</v>
      </c>
      <c r="R53" s="2483"/>
      <c r="S53" s="2483"/>
      <c r="T53" s="2484"/>
      <c r="U53" s="2486" t="s">
        <v>74</v>
      </c>
      <c r="V53" s="2486"/>
      <c r="W53" s="2487"/>
      <c r="X53" s="2471"/>
      <c r="Y53" s="2471"/>
      <c r="Z53" s="2471"/>
      <c r="AA53" s="2471"/>
      <c r="AB53" s="2471"/>
      <c r="AC53" s="2471"/>
      <c r="AD53" s="2471"/>
      <c r="AE53" s="2471"/>
      <c r="AF53" s="2472"/>
    </row>
    <row r="54" spans="1:32" ht="48.75" customHeight="1" x14ac:dyDescent="0.3">
      <c r="A54" s="2449" t="s">
        <v>2623</v>
      </c>
      <c r="B54" s="2450"/>
      <c r="C54" s="2450"/>
      <c r="D54" s="2451"/>
      <c r="E54" s="2458" t="s">
        <v>2624</v>
      </c>
      <c r="F54" s="2459"/>
      <c r="G54" s="2459"/>
      <c r="H54" s="2459"/>
      <c r="I54" s="2459"/>
      <c r="J54" s="2459"/>
      <c r="K54" s="2459"/>
      <c r="L54" s="2459"/>
      <c r="M54" s="2459"/>
      <c r="N54" s="2459"/>
      <c r="O54" s="2459"/>
      <c r="P54" s="2459"/>
      <c r="Q54" s="2461"/>
      <c r="R54" s="2462"/>
      <c r="S54" s="2462"/>
      <c r="T54" s="2463"/>
      <c r="U54" s="2464"/>
      <c r="V54" s="2465"/>
      <c r="W54" s="2466"/>
      <c r="X54" s="2458" t="s">
        <v>2616</v>
      </c>
      <c r="Y54" s="2459"/>
      <c r="Z54" s="2459"/>
      <c r="AA54" s="2459"/>
      <c r="AB54" s="2459"/>
      <c r="AC54" s="2459"/>
      <c r="AD54" s="2459"/>
      <c r="AE54" s="2459"/>
      <c r="AF54" s="2460"/>
    </row>
    <row r="55" spans="1:32" x14ac:dyDescent="0.3">
      <c r="A55" s="2452"/>
      <c r="B55" s="2453"/>
      <c r="C55" s="2453"/>
      <c r="D55" s="2454"/>
      <c r="E55" s="2473" t="s">
        <v>2625</v>
      </c>
      <c r="F55" s="2474"/>
      <c r="G55" s="2474"/>
      <c r="H55" s="2474"/>
      <c r="I55" s="2474"/>
      <c r="J55" s="2474"/>
      <c r="K55" s="2474"/>
      <c r="L55" s="2474"/>
      <c r="M55" s="2474"/>
      <c r="N55" s="2474"/>
      <c r="O55" s="2474"/>
      <c r="P55" s="2474"/>
      <c r="Q55" s="2476"/>
      <c r="R55" s="2477"/>
      <c r="S55" s="2477"/>
      <c r="T55" s="2478"/>
      <c r="U55" s="2440"/>
      <c r="V55" s="2441"/>
      <c r="W55" s="2442"/>
      <c r="X55" s="2467"/>
      <c r="Y55" s="2468"/>
      <c r="Z55" s="2468"/>
      <c r="AA55" s="2468"/>
      <c r="AB55" s="2468"/>
      <c r="AC55" s="2468"/>
      <c r="AD55" s="2468"/>
      <c r="AE55" s="2468"/>
      <c r="AF55" s="2469"/>
    </row>
    <row r="56" spans="1:32" x14ac:dyDescent="0.3">
      <c r="A56" s="2452"/>
      <c r="B56" s="2453"/>
      <c r="C56" s="2453"/>
      <c r="D56" s="2454"/>
      <c r="E56" s="2476" t="s">
        <v>2618</v>
      </c>
      <c r="F56" s="2477"/>
      <c r="G56" s="2477"/>
      <c r="H56" s="2477"/>
      <c r="I56" s="2477"/>
      <c r="J56" s="2477"/>
      <c r="K56" s="2477"/>
      <c r="L56" s="2477"/>
      <c r="M56" s="2477"/>
      <c r="N56" s="2477"/>
      <c r="O56" s="2477"/>
      <c r="P56" s="2477"/>
      <c r="Q56" s="2482">
        <v>1.7499326852192354</v>
      </c>
      <c r="R56" s="2483"/>
      <c r="S56" s="2483"/>
      <c r="T56" s="2484"/>
      <c r="U56" s="2440" t="s">
        <v>74</v>
      </c>
      <c r="V56" s="2441"/>
      <c r="W56" s="2442"/>
      <c r="X56" s="2467"/>
      <c r="Y56" s="2468"/>
      <c r="Z56" s="2468"/>
      <c r="AA56" s="2468"/>
      <c r="AB56" s="2468"/>
      <c r="AC56" s="2468"/>
      <c r="AD56" s="2468"/>
      <c r="AE56" s="2468"/>
      <c r="AF56" s="2469"/>
    </row>
    <row r="57" spans="1:32" x14ac:dyDescent="0.3">
      <c r="A57" s="2452"/>
      <c r="B57" s="2453"/>
      <c r="C57" s="2453"/>
      <c r="D57" s="2454"/>
      <c r="E57" s="2476" t="s">
        <v>2619</v>
      </c>
      <c r="F57" s="2477"/>
      <c r="G57" s="2477"/>
      <c r="H57" s="2477"/>
      <c r="I57" s="2477"/>
      <c r="J57" s="2477"/>
      <c r="K57" s="2477"/>
      <c r="L57" s="2477"/>
      <c r="M57" s="2477"/>
      <c r="N57" s="2477"/>
      <c r="O57" s="2477"/>
      <c r="P57" s="2477"/>
      <c r="Q57" s="2482">
        <v>2.9220899095635033</v>
      </c>
      <c r="R57" s="2483"/>
      <c r="S57" s="2483"/>
      <c r="T57" s="2484"/>
      <c r="U57" s="2440" t="s">
        <v>74</v>
      </c>
      <c r="V57" s="2441"/>
      <c r="W57" s="2442"/>
      <c r="X57" s="2467"/>
      <c r="Y57" s="2468"/>
      <c r="Z57" s="2468"/>
      <c r="AA57" s="2468"/>
      <c r="AB57" s="2468"/>
      <c r="AC57" s="2468"/>
      <c r="AD57" s="2468"/>
      <c r="AE57" s="2468"/>
      <c r="AF57" s="2469"/>
    </row>
    <row r="58" spans="1:32" x14ac:dyDescent="0.3">
      <c r="A58" s="2452"/>
      <c r="B58" s="2453"/>
      <c r="C58" s="2453"/>
      <c r="D58" s="2454"/>
      <c r="E58" s="2476" t="s">
        <v>2620</v>
      </c>
      <c r="F58" s="2477"/>
      <c r="G58" s="2477"/>
      <c r="H58" s="2477"/>
      <c r="I58" s="2477"/>
      <c r="J58" s="2477"/>
      <c r="K58" s="2477"/>
      <c r="L58" s="2477"/>
      <c r="M58" s="2477"/>
      <c r="N58" s="2477"/>
      <c r="O58" s="2477"/>
      <c r="P58" s="2477"/>
      <c r="Q58" s="2482">
        <v>4.055706580205797</v>
      </c>
      <c r="R58" s="2483"/>
      <c r="S58" s="2483"/>
      <c r="T58" s="2484"/>
      <c r="U58" s="2440" t="s">
        <v>74</v>
      </c>
      <c r="V58" s="2441"/>
      <c r="W58" s="2442"/>
      <c r="X58" s="2467"/>
      <c r="Y58" s="2468"/>
      <c r="Z58" s="2468"/>
      <c r="AA58" s="2468"/>
      <c r="AB58" s="2468"/>
      <c r="AC58" s="2468"/>
      <c r="AD58" s="2468"/>
      <c r="AE58" s="2468"/>
      <c r="AF58" s="2469"/>
    </row>
    <row r="59" spans="1:32" x14ac:dyDescent="0.3">
      <c r="A59" s="2455"/>
      <c r="B59" s="2456"/>
      <c r="C59" s="2456"/>
      <c r="D59" s="2457"/>
      <c r="E59" s="2476" t="s">
        <v>2621</v>
      </c>
      <c r="F59" s="2477"/>
      <c r="G59" s="2477"/>
      <c r="H59" s="2477"/>
      <c r="I59" s="2477"/>
      <c r="J59" s="2477"/>
      <c r="K59" s="2477"/>
      <c r="L59" s="2477"/>
      <c r="M59" s="2477"/>
      <c r="N59" s="2477"/>
      <c r="O59" s="2477"/>
      <c r="P59" s="2477"/>
      <c r="Q59" s="2482">
        <v>4.3550973728533515</v>
      </c>
      <c r="R59" s="2483"/>
      <c r="S59" s="2483"/>
      <c r="T59" s="2484"/>
      <c r="U59" s="2485" t="s">
        <v>74</v>
      </c>
      <c r="V59" s="2486"/>
      <c r="W59" s="2487"/>
      <c r="X59" s="2470"/>
      <c r="Y59" s="2471"/>
      <c r="Z59" s="2471"/>
      <c r="AA59" s="2471"/>
      <c r="AB59" s="2471"/>
      <c r="AC59" s="2471"/>
      <c r="AD59" s="2471"/>
      <c r="AE59" s="2471"/>
      <c r="AF59" s="2472"/>
    </row>
    <row r="60" spans="1:32" ht="33" customHeight="1" x14ac:dyDescent="0.3">
      <c r="A60" s="1050" t="s">
        <v>2626</v>
      </c>
      <c r="B60" s="1051"/>
      <c r="C60" s="1051"/>
      <c r="D60" s="1052"/>
      <c r="E60" s="1148" t="s">
        <v>2627</v>
      </c>
      <c r="F60" s="1149"/>
      <c r="G60" s="1149"/>
      <c r="H60" s="1149"/>
      <c r="I60" s="1149"/>
      <c r="J60" s="1149"/>
      <c r="K60" s="1149"/>
      <c r="L60" s="1149"/>
      <c r="M60" s="1149"/>
      <c r="N60" s="1149"/>
      <c r="O60" s="1149"/>
      <c r="P60" s="1150"/>
      <c r="Q60" s="1151">
        <v>365</v>
      </c>
      <c r="R60" s="1152"/>
      <c r="S60" s="1152"/>
      <c r="T60" s="1153"/>
      <c r="U60" s="2485" t="s">
        <v>2628</v>
      </c>
      <c r="V60" s="2486"/>
      <c r="W60" s="2487"/>
      <c r="X60" s="1154" t="s">
        <v>2646</v>
      </c>
      <c r="Y60" s="1155"/>
      <c r="Z60" s="1155"/>
      <c r="AA60" s="1155"/>
      <c r="AB60" s="1155"/>
      <c r="AC60" s="1155"/>
      <c r="AD60" s="1155"/>
      <c r="AE60" s="1155"/>
      <c r="AF60" s="1156"/>
    </row>
    <row r="61" spans="1:32" ht="33" customHeight="1" x14ac:dyDescent="0.3">
      <c r="A61" s="2481" t="s">
        <v>2629</v>
      </c>
      <c r="B61" s="2450"/>
      <c r="C61" s="2450"/>
      <c r="D61" s="2450"/>
      <c r="E61" s="2458" t="s">
        <v>2630</v>
      </c>
      <c r="F61" s="2459"/>
      <c r="G61" s="2459"/>
      <c r="H61" s="2459"/>
      <c r="I61" s="2459"/>
      <c r="J61" s="2459"/>
      <c r="K61" s="2459"/>
      <c r="L61" s="2459"/>
      <c r="M61" s="2459"/>
      <c r="N61" s="2459"/>
      <c r="O61" s="2459"/>
      <c r="P61" s="2459"/>
      <c r="Q61" s="2461"/>
      <c r="R61" s="2462"/>
      <c r="S61" s="2462"/>
      <c r="T61" s="2463"/>
      <c r="U61" s="2465"/>
      <c r="V61" s="2465"/>
      <c r="W61" s="2466"/>
      <c r="X61" s="2459" t="s">
        <v>2616</v>
      </c>
      <c r="Y61" s="2459"/>
      <c r="Z61" s="2459"/>
      <c r="AA61" s="2459"/>
      <c r="AB61" s="2459"/>
      <c r="AC61" s="2459"/>
      <c r="AD61" s="2459"/>
      <c r="AE61" s="2459"/>
      <c r="AF61" s="2460"/>
    </row>
    <row r="62" spans="1:32" x14ac:dyDescent="0.3">
      <c r="A62" s="2452"/>
      <c r="B62" s="2453"/>
      <c r="C62" s="2453"/>
      <c r="D62" s="2453"/>
      <c r="E62" s="2473" t="s">
        <v>2617</v>
      </c>
      <c r="F62" s="2474"/>
      <c r="G62" s="2474"/>
      <c r="H62" s="2474"/>
      <c r="I62" s="2474"/>
      <c r="J62" s="2474"/>
      <c r="K62" s="2474"/>
      <c r="L62" s="2474"/>
      <c r="M62" s="2474"/>
      <c r="N62" s="2474"/>
      <c r="O62" s="2474"/>
      <c r="P62" s="2474"/>
      <c r="Q62" s="2476"/>
      <c r="R62" s="2477"/>
      <c r="S62" s="2477"/>
      <c r="T62" s="2478"/>
      <c r="U62" s="2441"/>
      <c r="V62" s="2441"/>
      <c r="W62" s="2442"/>
      <c r="X62" s="2468"/>
      <c r="Y62" s="2468"/>
      <c r="Z62" s="2468"/>
      <c r="AA62" s="2468"/>
      <c r="AB62" s="2468"/>
      <c r="AC62" s="2468"/>
      <c r="AD62" s="2468"/>
      <c r="AE62" s="2468"/>
      <c r="AF62" s="2469"/>
    </row>
    <row r="63" spans="1:32" x14ac:dyDescent="0.3">
      <c r="A63" s="2452"/>
      <c r="B63" s="2453"/>
      <c r="C63" s="2453"/>
      <c r="D63" s="2453"/>
      <c r="E63" s="2476" t="s">
        <v>2618</v>
      </c>
      <c r="F63" s="2477"/>
      <c r="G63" s="2477"/>
      <c r="H63" s="2477"/>
      <c r="I63" s="2477"/>
      <c r="J63" s="2477"/>
      <c r="K63" s="2477"/>
      <c r="L63" s="2477"/>
      <c r="M63" s="2477"/>
      <c r="N63" s="2477"/>
      <c r="O63" s="2477"/>
      <c r="P63" s="2477"/>
      <c r="Q63" s="2482">
        <v>5.6210885643846016</v>
      </c>
      <c r="R63" s="2483"/>
      <c r="S63" s="2483"/>
      <c r="T63" s="2484"/>
      <c r="U63" s="2440" t="s">
        <v>2631</v>
      </c>
      <c r="V63" s="2441"/>
      <c r="W63" s="2442"/>
      <c r="X63" s="2468"/>
      <c r="Y63" s="2468"/>
      <c r="Z63" s="2468"/>
      <c r="AA63" s="2468"/>
      <c r="AB63" s="2468"/>
      <c r="AC63" s="2468"/>
      <c r="AD63" s="2468"/>
      <c r="AE63" s="2468"/>
      <c r="AF63" s="2469"/>
    </row>
    <row r="64" spans="1:32" x14ac:dyDescent="0.3">
      <c r="A64" s="2452"/>
      <c r="B64" s="2453"/>
      <c r="C64" s="2453"/>
      <c r="D64" s="2453"/>
      <c r="E64" s="2476" t="s">
        <v>2619</v>
      </c>
      <c r="F64" s="2477"/>
      <c r="G64" s="2477"/>
      <c r="H64" s="2477"/>
      <c r="I64" s="2477"/>
      <c r="J64" s="2477"/>
      <c r="K64" s="2477"/>
      <c r="L64" s="2477"/>
      <c r="M64" s="2477"/>
      <c r="N64" s="2477"/>
      <c r="O64" s="2477"/>
      <c r="P64" s="2477"/>
      <c r="Q64" s="2482">
        <v>6.7538159362992385</v>
      </c>
      <c r="R64" s="2483"/>
      <c r="S64" s="2483"/>
      <c r="T64" s="2484"/>
      <c r="U64" s="2440" t="s">
        <v>2631</v>
      </c>
      <c r="V64" s="2441"/>
      <c r="W64" s="2442"/>
      <c r="X64" s="2468"/>
      <c r="Y64" s="2468"/>
      <c r="Z64" s="2468"/>
      <c r="AA64" s="2468"/>
      <c r="AB64" s="2468"/>
      <c r="AC64" s="2468"/>
      <c r="AD64" s="2468"/>
      <c r="AE64" s="2468"/>
      <c r="AF64" s="2469"/>
    </row>
    <row r="65" spans="1:32" x14ac:dyDescent="0.3">
      <c r="A65" s="2452"/>
      <c r="B65" s="2453"/>
      <c r="C65" s="2453"/>
      <c r="D65" s="2453"/>
      <c r="E65" s="2476" t="s">
        <v>2620</v>
      </c>
      <c r="F65" s="2477"/>
      <c r="G65" s="2477"/>
      <c r="H65" s="2477"/>
      <c r="I65" s="2477"/>
      <c r="J65" s="2477"/>
      <c r="K65" s="2477"/>
      <c r="L65" s="2477"/>
      <c r="M65" s="2477"/>
      <c r="N65" s="2477"/>
      <c r="O65" s="2477"/>
      <c r="P65" s="2477"/>
      <c r="Q65" s="2482">
        <v>6.1226502986792344</v>
      </c>
      <c r="R65" s="2483"/>
      <c r="S65" s="2483"/>
      <c r="T65" s="2484"/>
      <c r="U65" s="2440" t="s">
        <v>2631</v>
      </c>
      <c r="V65" s="2441"/>
      <c r="W65" s="2442"/>
      <c r="X65" s="2468"/>
      <c r="Y65" s="2468"/>
      <c r="Z65" s="2468"/>
      <c r="AA65" s="2468"/>
      <c r="AB65" s="2468"/>
      <c r="AC65" s="2468"/>
      <c r="AD65" s="2468"/>
      <c r="AE65" s="2468"/>
      <c r="AF65" s="2469"/>
    </row>
    <row r="66" spans="1:32" x14ac:dyDescent="0.3">
      <c r="A66" s="2452"/>
      <c r="B66" s="2453"/>
      <c r="C66" s="2453"/>
      <c r="D66" s="2453"/>
      <c r="E66" s="2476" t="s">
        <v>2621</v>
      </c>
      <c r="F66" s="2477"/>
      <c r="G66" s="2477"/>
      <c r="H66" s="2477"/>
      <c r="I66" s="2477"/>
      <c r="J66" s="2477"/>
      <c r="K66" s="2477"/>
      <c r="L66" s="2477"/>
      <c r="M66" s="2477"/>
      <c r="N66" s="2477"/>
      <c r="O66" s="2477"/>
      <c r="P66" s="2477"/>
      <c r="Q66" s="2482">
        <v>5.818315018315019</v>
      </c>
      <c r="R66" s="2483"/>
      <c r="S66" s="2483"/>
      <c r="T66" s="2484"/>
      <c r="U66" s="2440" t="s">
        <v>2631</v>
      </c>
      <c r="V66" s="2441"/>
      <c r="W66" s="2442"/>
      <c r="X66" s="2468"/>
      <c r="Y66" s="2468"/>
      <c r="Z66" s="2468"/>
      <c r="AA66" s="2468"/>
      <c r="AB66" s="2468"/>
      <c r="AC66" s="2468"/>
      <c r="AD66" s="2468"/>
      <c r="AE66" s="2468"/>
      <c r="AF66" s="2469"/>
    </row>
    <row r="67" spans="1:32" x14ac:dyDescent="0.3">
      <c r="A67" s="2452"/>
      <c r="B67" s="2453"/>
      <c r="C67" s="2453"/>
      <c r="D67" s="2453"/>
      <c r="E67" s="2473" t="s">
        <v>2622</v>
      </c>
      <c r="F67" s="2474"/>
      <c r="G67" s="2474"/>
      <c r="H67" s="2474"/>
      <c r="I67" s="2474"/>
      <c r="J67" s="2474"/>
      <c r="K67" s="2474"/>
      <c r="L67" s="2474"/>
      <c r="M67" s="2474"/>
      <c r="N67" s="2474"/>
      <c r="O67" s="2474"/>
      <c r="P67" s="2474"/>
      <c r="Q67" s="2476"/>
      <c r="R67" s="2477"/>
      <c r="S67" s="2477"/>
      <c r="T67" s="2478"/>
      <c r="U67" s="2441"/>
      <c r="V67" s="2441"/>
      <c r="W67" s="2442"/>
      <c r="X67" s="2468"/>
      <c r="Y67" s="2468"/>
      <c r="Z67" s="2468"/>
      <c r="AA67" s="2468"/>
      <c r="AB67" s="2468"/>
      <c r="AC67" s="2468"/>
      <c r="AD67" s="2468"/>
      <c r="AE67" s="2468"/>
      <c r="AF67" s="2469"/>
    </row>
    <row r="68" spans="1:32" x14ac:dyDescent="0.3">
      <c r="A68" s="2452"/>
      <c r="B68" s="2453"/>
      <c r="C68" s="2453"/>
      <c r="D68" s="2453"/>
      <c r="E68" s="2476" t="s">
        <v>2618</v>
      </c>
      <c r="F68" s="2477"/>
      <c r="G68" s="2477"/>
      <c r="H68" s="2477"/>
      <c r="I68" s="2477"/>
      <c r="J68" s="2477"/>
      <c r="K68" s="2477"/>
      <c r="L68" s="2477"/>
      <c r="M68" s="2477"/>
      <c r="N68" s="2477"/>
      <c r="O68" s="2477"/>
      <c r="P68" s="2477"/>
      <c r="Q68" s="2482">
        <v>10.977777777777778</v>
      </c>
      <c r="R68" s="2483"/>
      <c r="S68" s="2483"/>
      <c r="T68" s="2484"/>
      <c r="U68" s="2440" t="s">
        <v>2631</v>
      </c>
      <c r="V68" s="2441"/>
      <c r="W68" s="2442"/>
      <c r="X68" s="2468"/>
      <c r="Y68" s="2468"/>
      <c r="Z68" s="2468"/>
      <c r="AA68" s="2468"/>
      <c r="AB68" s="2468"/>
      <c r="AC68" s="2468"/>
      <c r="AD68" s="2468"/>
      <c r="AE68" s="2468"/>
      <c r="AF68" s="2469"/>
    </row>
    <row r="69" spans="1:32" x14ac:dyDescent="0.3">
      <c r="A69" s="2452"/>
      <c r="B69" s="2453"/>
      <c r="C69" s="2453"/>
      <c r="D69" s="2453"/>
      <c r="E69" s="2476" t="s">
        <v>2619</v>
      </c>
      <c r="F69" s="2477"/>
      <c r="G69" s="2477"/>
      <c r="H69" s="2477"/>
      <c r="I69" s="2477"/>
      <c r="J69" s="2477"/>
      <c r="K69" s="2477"/>
      <c r="L69" s="2477"/>
      <c r="M69" s="2477"/>
      <c r="N69" s="2477"/>
      <c r="O69" s="2477"/>
      <c r="P69" s="2477"/>
      <c r="Q69" s="2482">
        <v>13.331069993775818</v>
      </c>
      <c r="R69" s="2483"/>
      <c r="S69" s="2483"/>
      <c r="T69" s="2484"/>
      <c r="U69" s="2440" t="s">
        <v>2631</v>
      </c>
      <c r="V69" s="2441"/>
      <c r="W69" s="2442"/>
      <c r="X69" s="2468"/>
      <c r="Y69" s="2468"/>
      <c r="Z69" s="2468"/>
      <c r="AA69" s="2468"/>
      <c r="AB69" s="2468"/>
      <c r="AC69" s="2468"/>
      <c r="AD69" s="2468"/>
      <c r="AE69" s="2468"/>
      <c r="AF69" s="2469"/>
    </row>
    <row r="70" spans="1:32" x14ac:dyDescent="0.3">
      <c r="A70" s="2452"/>
      <c r="B70" s="2453"/>
      <c r="C70" s="2453"/>
      <c r="D70" s="2453"/>
      <c r="E70" s="2476" t="s">
        <v>2620</v>
      </c>
      <c r="F70" s="2477"/>
      <c r="G70" s="2477"/>
      <c r="H70" s="2477"/>
      <c r="I70" s="2477"/>
      <c r="J70" s="2477"/>
      <c r="K70" s="2477"/>
      <c r="L70" s="2477"/>
      <c r="M70" s="2477"/>
      <c r="N70" s="2477"/>
      <c r="O70" s="2477"/>
      <c r="P70" s="2477"/>
      <c r="Q70" s="2482">
        <v>12.065286091385657</v>
      </c>
      <c r="R70" s="2483"/>
      <c r="S70" s="2483"/>
      <c r="T70" s="2484"/>
      <c r="U70" s="2440" t="s">
        <v>2631</v>
      </c>
      <c r="V70" s="2441"/>
      <c r="W70" s="2442"/>
      <c r="X70" s="2468"/>
      <c r="Y70" s="2468"/>
      <c r="Z70" s="2468"/>
      <c r="AA70" s="2468"/>
      <c r="AB70" s="2468"/>
      <c r="AC70" s="2468"/>
      <c r="AD70" s="2468"/>
      <c r="AE70" s="2468"/>
      <c r="AF70" s="2469"/>
    </row>
    <row r="71" spans="1:32" x14ac:dyDescent="0.3">
      <c r="A71" s="2455"/>
      <c r="B71" s="2456"/>
      <c r="C71" s="2456"/>
      <c r="D71" s="2456"/>
      <c r="E71" s="2443" t="s">
        <v>2621</v>
      </c>
      <c r="F71" s="2444"/>
      <c r="G71" s="2444"/>
      <c r="H71" s="2444"/>
      <c r="I71" s="2444"/>
      <c r="J71" s="2444"/>
      <c r="K71" s="2444"/>
      <c r="L71" s="2444"/>
      <c r="M71" s="2444"/>
      <c r="N71" s="2444"/>
      <c r="O71" s="2444"/>
      <c r="P71" s="2444"/>
      <c r="Q71" s="3252">
        <v>11.921568627450981</v>
      </c>
      <c r="R71" s="3253"/>
      <c r="S71" s="3253"/>
      <c r="T71" s="3254"/>
      <c r="U71" s="2440" t="s">
        <v>2631</v>
      </c>
      <c r="V71" s="2441"/>
      <c r="W71" s="2442"/>
      <c r="X71" s="2471"/>
      <c r="Y71" s="2471"/>
      <c r="Z71" s="2471"/>
      <c r="AA71" s="2471"/>
      <c r="AB71" s="2471"/>
      <c r="AC71" s="2471"/>
      <c r="AD71" s="2471"/>
      <c r="AE71" s="2471"/>
      <c r="AF71" s="2472"/>
    </row>
    <row r="72" spans="1:32" ht="34.5" customHeight="1" x14ac:dyDescent="0.3">
      <c r="A72" s="2449" t="s">
        <v>2632</v>
      </c>
      <c r="B72" s="2450"/>
      <c r="C72" s="2450"/>
      <c r="D72" s="2451"/>
      <c r="E72" s="2458" t="s">
        <v>2633</v>
      </c>
      <c r="F72" s="2459"/>
      <c r="G72" s="2459"/>
      <c r="H72" s="2459"/>
      <c r="I72" s="2459"/>
      <c r="J72" s="2459"/>
      <c r="K72" s="2459"/>
      <c r="L72" s="2459"/>
      <c r="M72" s="2459"/>
      <c r="N72" s="2459"/>
      <c r="O72" s="2459"/>
      <c r="P72" s="2460"/>
      <c r="Q72" s="2461"/>
      <c r="R72" s="2462"/>
      <c r="S72" s="2462"/>
      <c r="T72" s="2463"/>
      <c r="U72" s="2464"/>
      <c r="V72" s="2465"/>
      <c r="W72" s="2466"/>
      <c r="X72" s="2458" t="s">
        <v>2616</v>
      </c>
      <c r="Y72" s="2459"/>
      <c r="Z72" s="2459"/>
      <c r="AA72" s="2459"/>
      <c r="AB72" s="2459"/>
      <c r="AC72" s="2459"/>
      <c r="AD72" s="2459"/>
      <c r="AE72" s="2459"/>
      <c r="AF72" s="2460"/>
    </row>
    <row r="73" spans="1:32" x14ac:dyDescent="0.3">
      <c r="A73" s="2452"/>
      <c r="B73" s="2453"/>
      <c r="C73" s="2453"/>
      <c r="D73" s="2454"/>
      <c r="E73" s="2473" t="s">
        <v>2625</v>
      </c>
      <c r="F73" s="2474"/>
      <c r="G73" s="2474"/>
      <c r="H73" s="2474"/>
      <c r="I73" s="2474"/>
      <c r="J73" s="2474"/>
      <c r="K73" s="2474"/>
      <c r="L73" s="2474"/>
      <c r="M73" s="2474"/>
      <c r="N73" s="2474"/>
      <c r="O73" s="2474"/>
      <c r="P73" s="2475"/>
      <c r="Q73" s="2476"/>
      <c r="R73" s="2477"/>
      <c r="S73" s="2477"/>
      <c r="T73" s="2478"/>
      <c r="U73" s="2440"/>
      <c r="V73" s="2441"/>
      <c r="W73" s="2442"/>
      <c r="X73" s="2467"/>
      <c r="Y73" s="2468"/>
      <c r="Z73" s="2468"/>
      <c r="AA73" s="2468"/>
      <c r="AB73" s="2468"/>
      <c r="AC73" s="2468"/>
      <c r="AD73" s="2468"/>
      <c r="AE73" s="2468"/>
      <c r="AF73" s="2469"/>
    </row>
    <row r="74" spans="1:32" x14ac:dyDescent="0.3">
      <c r="A74" s="2452"/>
      <c r="B74" s="2453"/>
      <c r="C74" s="2453"/>
      <c r="D74" s="2454"/>
      <c r="E74" s="2476" t="s">
        <v>2618</v>
      </c>
      <c r="F74" s="2477"/>
      <c r="G74" s="2477"/>
      <c r="H74" s="2477"/>
      <c r="I74" s="2477"/>
      <c r="J74" s="2477"/>
      <c r="K74" s="2477"/>
      <c r="L74" s="2477"/>
      <c r="M74" s="2477"/>
      <c r="N74" s="2477"/>
      <c r="O74" s="2477"/>
      <c r="P74" s="2478"/>
      <c r="Q74" s="2482">
        <v>13.333333333333334</v>
      </c>
      <c r="R74" s="2483"/>
      <c r="S74" s="2483"/>
      <c r="T74" s="2484"/>
      <c r="U74" s="2440" t="s">
        <v>2631</v>
      </c>
      <c r="V74" s="2441"/>
      <c r="W74" s="2442"/>
      <c r="X74" s="2467"/>
      <c r="Y74" s="2468"/>
      <c r="Z74" s="2468"/>
      <c r="AA74" s="2468"/>
      <c r="AB74" s="2468"/>
      <c r="AC74" s="2468"/>
      <c r="AD74" s="2468"/>
      <c r="AE74" s="2468"/>
      <c r="AF74" s="2469"/>
    </row>
    <row r="75" spans="1:32" x14ac:dyDescent="0.3">
      <c r="A75" s="2452"/>
      <c r="B75" s="2453"/>
      <c r="C75" s="2453"/>
      <c r="D75" s="2454"/>
      <c r="E75" s="2476" t="s">
        <v>2619</v>
      </c>
      <c r="F75" s="2477"/>
      <c r="G75" s="2477"/>
      <c r="H75" s="2477"/>
      <c r="I75" s="2477"/>
      <c r="J75" s="2477"/>
      <c r="K75" s="2477"/>
      <c r="L75" s="2477"/>
      <c r="M75" s="2477"/>
      <c r="N75" s="2477"/>
      <c r="O75" s="2477"/>
      <c r="P75" s="2478"/>
      <c r="Q75" s="2482">
        <v>16.281062553556129</v>
      </c>
      <c r="R75" s="2483"/>
      <c r="S75" s="2483"/>
      <c r="T75" s="2484"/>
      <c r="U75" s="2440" t="s">
        <v>2631</v>
      </c>
      <c r="V75" s="2441"/>
      <c r="W75" s="2442"/>
      <c r="X75" s="2467"/>
      <c r="Y75" s="2468"/>
      <c r="Z75" s="2468"/>
      <c r="AA75" s="2468"/>
      <c r="AB75" s="2468"/>
      <c r="AC75" s="2468"/>
      <c r="AD75" s="2468"/>
      <c r="AE75" s="2468"/>
      <c r="AF75" s="2469"/>
    </row>
    <row r="76" spans="1:32" x14ac:dyDescent="0.3">
      <c r="A76" s="2452"/>
      <c r="B76" s="2453"/>
      <c r="C76" s="2453"/>
      <c r="D76" s="2454"/>
      <c r="E76" s="2476" t="s">
        <v>2620</v>
      </c>
      <c r="F76" s="2477"/>
      <c r="G76" s="2477"/>
      <c r="H76" s="2477"/>
      <c r="I76" s="2477"/>
      <c r="J76" s="2477"/>
      <c r="K76" s="2477"/>
      <c r="L76" s="2477"/>
      <c r="M76" s="2477"/>
      <c r="N76" s="2477"/>
      <c r="O76" s="2477"/>
      <c r="P76" s="2478"/>
      <c r="Q76" s="2482">
        <v>17.095115681233935</v>
      </c>
      <c r="R76" s="2483"/>
      <c r="S76" s="2483"/>
      <c r="T76" s="2484"/>
      <c r="U76" s="2440" t="s">
        <v>2631</v>
      </c>
      <c r="V76" s="2441"/>
      <c r="W76" s="2442"/>
      <c r="X76" s="2467"/>
      <c r="Y76" s="2468"/>
      <c r="Z76" s="2468"/>
      <c r="AA76" s="2468"/>
      <c r="AB76" s="2468"/>
      <c r="AC76" s="2468"/>
      <c r="AD76" s="2468"/>
      <c r="AE76" s="2468"/>
      <c r="AF76" s="2469"/>
    </row>
    <row r="77" spans="1:32" x14ac:dyDescent="0.3">
      <c r="A77" s="2455"/>
      <c r="B77" s="2456"/>
      <c r="C77" s="2456"/>
      <c r="D77" s="2457"/>
      <c r="E77" s="2443" t="s">
        <v>2621</v>
      </c>
      <c r="F77" s="2444"/>
      <c r="G77" s="2444"/>
      <c r="H77" s="2444"/>
      <c r="I77" s="2444"/>
      <c r="J77" s="2444"/>
      <c r="K77" s="2444"/>
      <c r="L77" s="2444"/>
      <c r="M77" s="2444"/>
      <c r="N77" s="2444"/>
      <c r="O77" s="2444"/>
      <c r="P77" s="2445"/>
      <c r="Q77" s="3252">
        <v>17.90916880891174</v>
      </c>
      <c r="R77" s="3253"/>
      <c r="S77" s="3253"/>
      <c r="T77" s="3254"/>
      <c r="U77" s="2440" t="s">
        <v>2631</v>
      </c>
      <c r="V77" s="2441"/>
      <c r="W77" s="2442"/>
      <c r="X77" s="2470"/>
      <c r="Y77" s="2471"/>
      <c r="Z77" s="2471"/>
      <c r="AA77" s="2471"/>
      <c r="AB77" s="2471"/>
      <c r="AC77" s="2471"/>
      <c r="AD77" s="2471"/>
      <c r="AE77" s="2471"/>
      <c r="AF77" s="2472"/>
    </row>
    <row r="78" spans="1:32" ht="31.5" customHeight="1" x14ac:dyDescent="0.3">
      <c r="A78" s="2481" t="s">
        <v>2634</v>
      </c>
      <c r="B78" s="2450"/>
      <c r="C78" s="2450"/>
      <c r="D78" s="2450"/>
      <c r="E78" s="2458" t="s">
        <v>2635</v>
      </c>
      <c r="F78" s="2459"/>
      <c r="G78" s="2459"/>
      <c r="H78" s="2459"/>
      <c r="I78" s="2459"/>
      <c r="J78" s="2459"/>
      <c r="K78" s="2459"/>
      <c r="L78" s="2459"/>
      <c r="M78" s="2459"/>
      <c r="N78" s="2459"/>
      <c r="O78" s="2459"/>
      <c r="P78" s="2459"/>
      <c r="Q78" s="2461"/>
      <c r="R78" s="2462"/>
      <c r="S78" s="2462"/>
      <c r="T78" s="2463"/>
      <c r="U78" s="2465"/>
      <c r="V78" s="2465"/>
      <c r="W78" s="2466"/>
      <c r="X78" s="2459" t="s">
        <v>2647</v>
      </c>
      <c r="Y78" s="2459"/>
      <c r="Z78" s="2459"/>
      <c r="AA78" s="2459"/>
      <c r="AB78" s="2459"/>
      <c r="AC78" s="2459"/>
      <c r="AD78" s="2459"/>
      <c r="AE78" s="2459"/>
      <c r="AF78" s="2460"/>
    </row>
    <row r="79" spans="1:32" x14ac:dyDescent="0.3">
      <c r="A79" s="2452"/>
      <c r="B79" s="2453"/>
      <c r="C79" s="2453"/>
      <c r="D79" s="2453"/>
      <c r="E79" s="2473" t="s">
        <v>2617</v>
      </c>
      <c r="F79" s="2474"/>
      <c r="G79" s="2474"/>
      <c r="H79" s="2474"/>
      <c r="I79" s="2474"/>
      <c r="J79" s="2474"/>
      <c r="K79" s="2474"/>
      <c r="L79" s="2474"/>
      <c r="M79" s="2474"/>
      <c r="N79" s="2474"/>
      <c r="O79" s="2474"/>
      <c r="P79" s="2474"/>
      <c r="Q79" s="2476"/>
      <c r="R79" s="2477"/>
      <c r="S79" s="2477"/>
      <c r="T79" s="2478"/>
      <c r="U79" s="2441"/>
      <c r="V79" s="2441"/>
      <c r="W79" s="2442"/>
      <c r="X79" s="2468"/>
      <c r="Y79" s="2468"/>
      <c r="Z79" s="2468"/>
      <c r="AA79" s="2468"/>
      <c r="AB79" s="2468"/>
      <c r="AC79" s="2468"/>
      <c r="AD79" s="2468"/>
      <c r="AE79" s="2468"/>
      <c r="AF79" s="2469"/>
    </row>
    <row r="80" spans="1:32" x14ac:dyDescent="0.3">
      <c r="A80" s="2452"/>
      <c r="B80" s="2453"/>
      <c r="C80" s="2453"/>
      <c r="D80" s="2453"/>
      <c r="E80" s="2476" t="s">
        <v>2618</v>
      </c>
      <c r="F80" s="2477"/>
      <c r="G80" s="2477"/>
      <c r="H80" s="2477"/>
      <c r="I80" s="2477"/>
      <c r="J80" s="2477"/>
      <c r="K80" s="2477"/>
      <c r="L80" s="2477"/>
      <c r="M80" s="2477"/>
      <c r="N80" s="2477"/>
      <c r="O80" s="2477"/>
      <c r="P80" s="2477"/>
      <c r="Q80" s="2446">
        <f>Q63/24</f>
        <v>0.23421202351602508</v>
      </c>
      <c r="R80" s="2447"/>
      <c r="S80" s="2447"/>
      <c r="T80" s="2448"/>
      <c r="U80" s="2440"/>
      <c r="V80" s="2441"/>
      <c r="W80" s="2442"/>
      <c r="X80" s="2468"/>
      <c r="Y80" s="2468"/>
      <c r="Z80" s="2468"/>
      <c r="AA80" s="2468"/>
      <c r="AB80" s="2468"/>
      <c r="AC80" s="2468"/>
      <c r="AD80" s="2468"/>
      <c r="AE80" s="2468"/>
      <c r="AF80" s="2469"/>
    </row>
    <row r="81" spans="1:32" x14ac:dyDescent="0.3">
      <c r="A81" s="2452"/>
      <c r="B81" s="2453"/>
      <c r="C81" s="2453"/>
      <c r="D81" s="2453"/>
      <c r="E81" s="2476" t="s">
        <v>2619</v>
      </c>
      <c r="F81" s="2477"/>
      <c r="G81" s="2477"/>
      <c r="H81" s="2477"/>
      <c r="I81" s="2477"/>
      <c r="J81" s="2477"/>
      <c r="K81" s="2477"/>
      <c r="L81" s="2477"/>
      <c r="M81" s="2477"/>
      <c r="N81" s="2477"/>
      <c r="O81" s="2477"/>
      <c r="P81" s="2477"/>
      <c r="Q81" s="2446">
        <f t="shared" ref="Q81:Q83" si="0">Q64/24</f>
        <v>0.2814089973458016</v>
      </c>
      <c r="R81" s="2447"/>
      <c r="S81" s="2447"/>
      <c r="T81" s="2448"/>
      <c r="U81" s="2440"/>
      <c r="V81" s="2441"/>
      <c r="W81" s="2442"/>
      <c r="X81" s="2468"/>
      <c r="Y81" s="2468"/>
      <c r="Z81" s="2468"/>
      <c r="AA81" s="2468"/>
      <c r="AB81" s="2468"/>
      <c r="AC81" s="2468"/>
      <c r="AD81" s="2468"/>
      <c r="AE81" s="2468"/>
      <c r="AF81" s="2469"/>
    </row>
    <row r="82" spans="1:32" x14ac:dyDescent="0.3">
      <c r="A82" s="2452"/>
      <c r="B82" s="2453"/>
      <c r="C82" s="2453"/>
      <c r="D82" s="2453"/>
      <c r="E82" s="2476" t="s">
        <v>2620</v>
      </c>
      <c r="F82" s="2477"/>
      <c r="G82" s="2477"/>
      <c r="H82" s="2477"/>
      <c r="I82" s="2477"/>
      <c r="J82" s="2477"/>
      <c r="K82" s="2477"/>
      <c r="L82" s="2477"/>
      <c r="M82" s="2477"/>
      <c r="N82" s="2477"/>
      <c r="O82" s="2477"/>
      <c r="P82" s="2477"/>
      <c r="Q82" s="2446">
        <f t="shared" si="0"/>
        <v>0.25511042911163478</v>
      </c>
      <c r="R82" s="2447"/>
      <c r="S82" s="2447"/>
      <c r="T82" s="2448"/>
      <c r="U82" s="2440"/>
      <c r="V82" s="2441"/>
      <c r="W82" s="2442"/>
      <c r="X82" s="2468"/>
      <c r="Y82" s="2468"/>
      <c r="Z82" s="2468"/>
      <c r="AA82" s="2468"/>
      <c r="AB82" s="2468"/>
      <c r="AC82" s="2468"/>
      <c r="AD82" s="2468"/>
      <c r="AE82" s="2468"/>
      <c r="AF82" s="2469"/>
    </row>
    <row r="83" spans="1:32" x14ac:dyDescent="0.3">
      <c r="A83" s="2452"/>
      <c r="B83" s="2453"/>
      <c r="C83" s="2453"/>
      <c r="D83" s="2453"/>
      <c r="E83" s="2476" t="s">
        <v>2621</v>
      </c>
      <c r="F83" s="2477"/>
      <c r="G83" s="2477"/>
      <c r="H83" s="2477"/>
      <c r="I83" s="2477"/>
      <c r="J83" s="2477"/>
      <c r="K83" s="2477"/>
      <c r="L83" s="2477"/>
      <c r="M83" s="2477"/>
      <c r="N83" s="2477"/>
      <c r="O83" s="2477"/>
      <c r="P83" s="2477"/>
      <c r="Q83" s="2446">
        <f t="shared" si="0"/>
        <v>0.24242979242979246</v>
      </c>
      <c r="R83" s="2447"/>
      <c r="S83" s="2447"/>
      <c r="T83" s="2448"/>
      <c r="U83" s="2440"/>
      <c r="V83" s="2441"/>
      <c r="W83" s="2442"/>
      <c r="X83" s="2468"/>
      <c r="Y83" s="2468"/>
      <c r="Z83" s="2468"/>
      <c r="AA83" s="2468"/>
      <c r="AB83" s="2468"/>
      <c r="AC83" s="2468"/>
      <c r="AD83" s="2468"/>
      <c r="AE83" s="2468"/>
      <c r="AF83" s="2469"/>
    </row>
    <row r="84" spans="1:32" x14ac:dyDescent="0.3">
      <c r="A84" s="2452"/>
      <c r="B84" s="2453"/>
      <c r="C84" s="2453"/>
      <c r="D84" s="2453"/>
      <c r="E84" s="2473" t="s">
        <v>2622</v>
      </c>
      <c r="F84" s="2474"/>
      <c r="G84" s="2474"/>
      <c r="H84" s="2474"/>
      <c r="I84" s="2474"/>
      <c r="J84" s="2474"/>
      <c r="K84" s="2474"/>
      <c r="L84" s="2474"/>
      <c r="M84" s="2474"/>
      <c r="N84" s="2474"/>
      <c r="O84" s="2474"/>
      <c r="P84" s="2474"/>
      <c r="Q84" s="2446"/>
      <c r="R84" s="2447"/>
      <c r="S84" s="2447"/>
      <c r="T84" s="2448"/>
      <c r="U84" s="2441"/>
      <c r="V84" s="2441"/>
      <c r="W84" s="2442"/>
      <c r="X84" s="2468"/>
      <c r="Y84" s="2468"/>
      <c r="Z84" s="2468"/>
      <c r="AA84" s="2468"/>
      <c r="AB84" s="2468"/>
      <c r="AC84" s="2468"/>
      <c r="AD84" s="2468"/>
      <c r="AE84" s="2468"/>
      <c r="AF84" s="2469"/>
    </row>
    <row r="85" spans="1:32" x14ac:dyDescent="0.3">
      <c r="A85" s="2452"/>
      <c r="B85" s="2453"/>
      <c r="C85" s="2453"/>
      <c r="D85" s="2453"/>
      <c r="E85" s="2476" t="s">
        <v>2618</v>
      </c>
      <c r="F85" s="2477"/>
      <c r="G85" s="2477"/>
      <c r="H85" s="2477"/>
      <c r="I85" s="2477"/>
      <c r="J85" s="2477"/>
      <c r="K85" s="2477"/>
      <c r="L85" s="2477"/>
      <c r="M85" s="2477"/>
      <c r="N85" s="2477"/>
      <c r="O85" s="2477"/>
      <c r="P85" s="2477"/>
      <c r="Q85" s="2446">
        <f t="shared" ref="Q85:Q88" si="1">Q68/24</f>
        <v>0.45740740740740743</v>
      </c>
      <c r="R85" s="2447"/>
      <c r="S85" s="2447"/>
      <c r="T85" s="2448"/>
      <c r="U85" s="2440"/>
      <c r="V85" s="2441"/>
      <c r="W85" s="2442"/>
      <c r="X85" s="2468"/>
      <c r="Y85" s="2468"/>
      <c r="Z85" s="2468"/>
      <c r="AA85" s="2468"/>
      <c r="AB85" s="2468"/>
      <c r="AC85" s="2468"/>
      <c r="AD85" s="2468"/>
      <c r="AE85" s="2468"/>
      <c r="AF85" s="2469"/>
    </row>
    <row r="86" spans="1:32" x14ac:dyDescent="0.3">
      <c r="A86" s="2452"/>
      <c r="B86" s="2453"/>
      <c r="C86" s="2453"/>
      <c r="D86" s="2453"/>
      <c r="E86" s="2476" t="s">
        <v>2619</v>
      </c>
      <c r="F86" s="2477"/>
      <c r="G86" s="2477"/>
      <c r="H86" s="2477"/>
      <c r="I86" s="2477"/>
      <c r="J86" s="2477"/>
      <c r="K86" s="2477"/>
      <c r="L86" s="2477"/>
      <c r="M86" s="2477"/>
      <c r="N86" s="2477"/>
      <c r="O86" s="2477"/>
      <c r="P86" s="2477"/>
      <c r="Q86" s="2446">
        <f t="shared" si="1"/>
        <v>0.55546124974065914</v>
      </c>
      <c r="R86" s="2447"/>
      <c r="S86" s="2447"/>
      <c r="T86" s="2448"/>
      <c r="U86" s="2440"/>
      <c r="V86" s="2441"/>
      <c r="W86" s="2442"/>
      <c r="X86" s="2468"/>
      <c r="Y86" s="2468"/>
      <c r="Z86" s="2468"/>
      <c r="AA86" s="2468"/>
      <c r="AB86" s="2468"/>
      <c r="AC86" s="2468"/>
      <c r="AD86" s="2468"/>
      <c r="AE86" s="2468"/>
      <c r="AF86" s="2469"/>
    </row>
    <row r="87" spans="1:32" x14ac:dyDescent="0.3">
      <c r="A87" s="2452"/>
      <c r="B87" s="2453"/>
      <c r="C87" s="2453"/>
      <c r="D87" s="2453"/>
      <c r="E87" s="2476" t="s">
        <v>2620</v>
      </c>
      <c r="F87" s="2477"/>
      <c r="G87" s="2477"/>
      <c r="H87" s="2477"/>
      <c r="I87" s="2477"/>
      <c r="J87" s="2477"/>
      <c r="K87" s="2477"/>
      <c r="L87" s="2477"/>
      <c r="M87" s="2477"/>
      <c r="N87" s="2477"/>
      <c r="O87" s="2477"/>
      <c r="P87" s="2477"/>
      <c r="Q87" s="2446">
        <f t="shared" si="1"/>
        <v>0.50272025380773566</v>
      </c>
      <c r="R87" s="2447"/>
      <c r="S87" s="2447"/>
      <c r="T87" s="2448"/>
      <c r="U87" s="2440"/>
      <c r="V87" s="2441"/>
      <c r="W87" s="2442"/>
      <c r="X87" s="2468"/>
      <c r="Y87" s="2468"/>
      <c r="Z87" s="2468"/>
      <c r="AA87" s="2468"/>
      <c r="AB87" s="2468"/>
      <c r="AC87" s="2468"/>
      <c r="AD87" s="2468"/>
      <c r="AE87" s="2468"/>
      <c r="AF87" s="2469"/>
    </row>
    <row r="88" spans="1:32" x14ac:dyDescent="0.3">
      <c r="A88" s="2455"/>
      <c r="B88" s="2456"/>
      <c r="C88" s="2456"/>
      <c r="D88" s="2456"/>
      <c r="E88" s="2443" t="s">
        <v>2621</v>
      </c>
      <c r="F88" s="2444"/>
      <c r="G88" s="2444"/>
      <c r="H88" s="2444"/>
      <c r="I88" s="2444"/>
      <c r="J88" s="2444"/>
      <c r="K88" s="2444"/>
      <c r="L88" s="2444"/>
      <c r="M88" s="2444"/>
      <c r="N88" s="2444"/>
      <c r="O88" s="2444"/>
      <c r="P88" s="2444"/>
      <c r="Q88" s="2446">
        <f t="shared" si="1"/>
        <v>0.49673202614379086</v>
      </c>
      <c r="R88" s="2447"/>
      <c r="S88" s="2447"/>
      <c r="T88" s="2448"/>
      <c r="U88" s="2440"/>
      <c r="V88" s="2441"/>
      <c r="W88" s="2442"/>
      <c r="X88" s="2471"/>
      <c r="Y88" s="2471"/>
      <c r="Z88" s="2471"/>
      <c r="AA88" s="2471"/>
      <c r="AB88" s="2471"/>
      <c r="AC88" s="2471"/>
      <c r="AD88" s="2471"/>
      <c r="AE88" s="2471"/>
      <c r="AF88" s="2472"/>
    </row>
    <row r="89" spans="1:32" ht="32.25" customHeight="1" x14ac:dyDescent="0.3">
      <c r="A89" s="2449" t="s">
        <v>2636</v>
      </c>
      <c r="B89" s="2450"/>
      <c r="C89" s="2450"/>
      <c r="D89" s="2451"/>
      <c r="E89" s="2458" t="s">
        <v>2637</v>
      </c>
      <c r="F89" s="2459"/>
      <c r="G89" s="2459"/>
      <c r="H89" s="2459"/>
      <c r="I89" s="2459"/>
      <c r="J89" s="2459"/>
      <c r="K89" s="2459"/>
      <c r="L89" s="2459"/>
      <c r="M89" s="2459"/>
      <c r="N89" s="2459"/>
      <c r="O89" s="2459"/>
      <c r="P89" s="2460"/>
      <c r="Q89" s="2461"/>
      <c r="R89" s="2462"/>
      <c r="S89" s="2462"/>
      <c r="T89" s="2463"/>
      <c r="U89" s="2464"/>
      <c r="V89" s="2465"/>
      <c r="W89" s="2466"/>
      <c r="X89" s="2458" t="s">
        <v>2647</v>
      </c>
      <c r="Y89" s="2459"/>
      <c r="Z89" s="2459"/>
      <c r="AA89" s="2459"/>
      <c r="AB89" s="2459"/>
      <c r="AC89" s="2459"/>
      <c r="AD89" s="2459"/>
      <c r="AE89" s="2459"/>
      <c r="AF89" s="2460"/>
    </row>
    <row r="90" spans="1:32" x14ac:dyDescent="0.3">
      <c r="A90" s="2452"/>
      <c r="B90" s="2453"/>
      <c r="C90" s="2453"/>
      <c r="D90" s="2454"/>
      <c r="E90" s="2473" t="s">
        <v>2625</v>
      </c>
      <c r="F90" s="2474"/>
      <c r="G90" s="2474"/>
      <c r="H90" s="2474"/>
      <c r="I90" s="2474"/>
      <c r="J90" s="2474"/>
      <c r="K90" s="2474"/>
      <c r="L90" s="2474"/>
      <c r="M90" s="2474"/>
      <c r="N90" s="2474"/>
      <c r="O90" s="2474"/>
      <c r="P90" s="2475"/>
      <c r="Q90" s="2476"/>
      <c r="R90" s="2477"/>
      <c r="S90" s="2477"/>
      <c r="T90" s="2478"/>
      <c r="U90" s="2440"/>
      <c r="V90" s="2441"/>
      <c r="W90" s="2442"/>
      <c r="X90" s="2467"/>
      <c r="Y90" s="2468"/>
      <c r="Z90" s="2468"/>
      <c r="AA90" s="2468"/>
      <c r="AB90" s="2468"/>
      <c r="AC90" s="2468"/>
      <c r="AD90" s="2468"/>
      <c r="AE90" s="2468"/>
      <c r="AF90" s="2469"/>
    </row>
    <row r="91" spans="1:32" x14ac:dyDescent="0.3">
      <c r="A91" s="2452"/>
      <c r="B91" s="2453"/>
      <c r="C91" s="2453"/>
      <c r="D91" s="2454"/>
      <c r="E91" s="2476" t="s">
        <v>2618</v>
      </c>
      <c r="F91" s="2477"/>
      <c r="G91" s="2477"/>
      <c r="H91" s="2477"/>
      <c r="I91" s="2477"/>
      <c r="J91" s="2477"/>
      <c r="K91" s="2477"/>
      <c r="L91" s="2477"/>
      <c r="M91" s="2477"/>
      <c r="N91" s="2477"/>
      <c r="O91" s="2477"/>
      <c r="P91" s="2478"/>
      <c r="Q91" s="2446">
        <f>Q74/24</f>
        <v>0.55555555555555558</v>
      </c>
      <c r="R91" s="2447"/>
      <c r="S91" s="2447"/>
      <c r="T91" s="2448"/>
      <c r="U91" s="2440"/>
      <c r="V91" s="2441"/>
      <c r="W91" s="2442"/>
      <c r="X91" s="2467"/>
      <c r="Y91" s="2468"/>
      <c r="Z91" s="2468"/>
      <c r="AA91" s="2468"/>
      <c r="AB91" s="2468"/>
      <c r="AC91" s="2468"/>
      <c r="AD91" s="2468"/>
      <c r="AE91" s="2468"/>
      <c r="AF91" s="2469"/>
    </row>
    <row r="92" spans="1:32" x14ac:dyDescent="0.3">
      <c r="A92" s="2452"/>
      <c r="B92" s="2453"/>
      <c r="C92" s="2453"/>
      <c r="D92" s="2454"/>
      <c r="E92" s="2476" t="s">
        <v>2619</v>
      </c>
      <c r="F92" s="2477"/>
      <c r="G92" s="2477"/>
      <c r="H92" s="2477"/>
      <c r="I92" s="2477"/>
      <c r="J92" s="2477"/>
      <c r="K92" s="2477"/>
      <c r="L92" s="2477"/>
      <c r="M92" s="2477"/>
      <c r="N92" s="2477"/>
      <c r="O92" s="2477"/>
      <c r="P92" s="2478"/>
      <c r="Q92" s="2446">
        <f t="shared" ref="Q92:Q94" si="2">Q75/24</f>
        <v>0.67837760639817202</v>
      </c>
      <c r="R92" s="2447"/>
      <c r="S92" s="2447"/>
      <c r="T92" s="2448"/>
      <c r="U92" s="2440"/>
      <c r="V92" s="2441"/>
      <c r="W92" s="2442"/>
      <c r="X92" s="2467"/>
      <c r="Y92" s="2468"/>
      <c r="Z92" s="2468"/>
      <c r="AA92" s="2468"/>
      <c r="AB92" s="2468"/>
      <c r="AC92" s="2468"/>
      <c r="AD92" s="2468"/>
      <c r="AE92" s="2468"/>
      <c r="AF92" s="2469"/>
    </row>
    <row r="93" spans="1:32" x14ac:dyDescent="0.3">
      <c r="A93" s="2452"/>
      <c r="B93" s="2453"/>
      <c r="C93" s="2453"/>
      <c r="D93" s="2454"/>
      <c r="E93" s="2476" t="s">
        <v>2620</v>
      </c>
      <c r="F93" s="2477"/>
      <c r="G93" s="2477"/>
      <c r="H93" s="2477"/>
      <c r="I93" s="2477"/>
      <c r="J93" s="2477"/>
      <c r="K93" s="2477"/>
      <c r="L93" s="2477"/>
      <c r="M93" s="2477"/>
      <c r="N93" s="2477"/>
      <c r="O93" s="2477"/>
      <c r="P93" s="2478"/>
      <c r="Q93" s="2446">
        <f t="shared" si="2"/>
        <v>0.71229648671808066</v>
      </c>
      <c r="R93" s="2447"/>
      <c r="S93" s="2447"/>
      <c r="T93" s="2448"/>
      <c r="U93" s="2440"/>
      <c r="V93" s="2441"/>
      <c r="W93" s="2442"/>
      <c r="X93" s="2467"/>
      <c r="Y93" s="2468"/>
      <c r="Z93" s="2468"/>
      <c r="AA93" s="2468"/>
      <c r="AB93" s="2468"/>
      <c r="AC93" s="2468"/>
      <c r="AD93" s="2468"/>
      <c r="AE93" s="2468"/>
      <c r="AF93" s="2469"/>
    </row>
    <row r="94" spans="1:32" x14ac:dyDescent="0.3">
      <c r="A94" s="2455"/>
      <c r="B94" s="2456"/>
      <c r="C94" s="2456"/>
      <c r="D94" s="2457"/>
      <c r="E94" s="2443" t="s">
        <v>2621</v>
      </c>
      <c r="F94" s="2444"/>
      <c r="G94" s="2444"/>
      <c r="H94" s="2444"/>
      <c r="I94" s="2444"/>
      <c r="J94" s="2444"/>
      <c r="K94" s="2444"/>
      <c r="L94" s="2444"/>
      <c r="M94" s="2444"/>
      <c r="N94" s="2444"/>
      <c r="O94" s="2444"/>
      <c r="P94" s="2445"/>
      <c r="Q94" s="2446">
        <f t="shared" si="2"/>
        <v>0.74621536703798919</v>
      </c>
      <c r="R94" s="2447"/>
      <c r="S94" s="2447"/>
      <c r="T94" s="2448"/>
      <c r="U94" s="2440"/>
      <c r="V94" s="2441"/>
      <c r="W94" s="2442"/>
      <c r="X94" s="2470"/>
      <c r="Y94" s="2471"/>
      <c r="Z94" s="2471"/>
      <c r="AA94" s="2471"/>
      <c r="AB94" s="2471"/>
      <c r="AC94" s="2471"/>
      <c r="AD94" s="2471"/>
      <c r="AE94" s="2471"/>
      <c r="AF94" s="2472"/>
    </row>
    <row r="95" spans="1:32" ht="48" customHeight="1" x14ac:dyDescent="0.3">
      <c r="A95" s="1050" t="s">
        <v>2562</v>
      </c>
      <c r="B95" s="1051"/>
      <c r="C95" s="1051"/>
      <c r="D95" s="1052"/>
      <c r="E95" s="1148" t="s">
        <v>2050</v>
      </c>
      <c r="F95" s="1149"/>
      <c r="G95" s="1149"/>
      <c r="H95" s="1149"/>
      <c r="I95" s="1149"/>
      <c r="J95" s="1149"/>
      <c r="K95" s="1149"/>
      <c r="L95" s="1149"/>
      <c r="M95" s="1149"/>
      <c r="N95" s="1149"/>
      <c r="O95" s="1149"/>
      <c r="P95" s="1150"/>
      <c r="Q95" s="1151">
        <f>'Master EUL'!X40</f>
        <v>10</v>
      </c>
      <c r="R95" s="1152"/>
      <c r="S95" s="1152"/>
      <c r="T95" s="1153"/>
      <c r="U95" s="1243" t="s">
        <v>38</v>
      </c>
      <c r="V95" s="1244"/>
      <c r="W95" s="1245"/>
      <c r="X95" s="1148" t="s">
        <v>2653</v>
      </c>
      <c r="Y95" s="1149"/>
      <c r="Z95" s="1149"/>
      <c r="AA95" s="1149"/>
      <c r="AB95" s="1149"/>
      <c r="AC95" s="1149"/>
      <c r="AD95" s="1149"/>
      <c r="AE95" s="1149"/>
      <c r="AF95" s="1150"/>
    </row>
    <row r="96" spans="1:32" x14ac:dyDescent="0.2">
      <c r="A96" s="35"/>
    </row>
    <row r="97" spans="1:32" x14ac:dyDescent="0.2">
      <c r="A97" s="35"/>
    </row>
    <row r="98" spans="1:32" x14ac:dyDescent="0.3">
      <c r="A98" s="1141" t="s">
        <v>14</v>
      </c>
      <c r="B98" s="1141"/>
      <c r="C98" s="1141"/>
      <c r="D98" s="1141"/>
      <c r="E98" s="1141"/>
      <c r="F98" s="1141"/>
      <c r="G98" s="1141"/>
      <c r="H98" s="1141"/>
      <c r="I98" s="1141"/>
      <c r="J98" s="1141"/>
      <c r="K98" s="1141"/>
      <c r="L98" s="1141"/>
      <c r="M98" s="1141"/>
      <c r="N98" s="1141"/>
      <c r="O98" s="1141"/>
      <c r="P98" s="1141"/>
      <c r="Q98" s="1141"/>
      <c r="R98" s="1141"/>
      <c r="S98" s="1141"/>
      <c r="T98" s="1141"/>
      <c r="U98" s="1141"/>
      <c r="V98" s="1141"/>
      <c r="W98" s="1141"/>
      <c r="X98" s="1141"/>
      <c r="Y98" s="1141"/>
      <c r="Z98" s="1141"/>
      <c r="AA98" s="1141"/>
      <c r="AB98" s="1141"/>
      <c r="AC98" s="1141"/>
      <c r="AD98" s="1141"/>
      <c r="AE98" s="1141"/>
      <c r="AF98" s="1141"/>
    </row>
    <row r="99" spans="1:32" ht="15" thickBot="1" x14ac:dyDescent="0.35"/>
    <row r="100" spans="1:32" x14ac:dyDescent="0.3">
      <c r="A100" s="1252" t="s">
        <v>15</v>
      </c>
      <c r="B100" s="1253"/>
      <c r="C100" s="1253"/>
      <c r="D100" s="1253"/>
      <c r="E100" s="1253"/>
      <c r="F100" s="1253"/>
      <c r="G100" s="1253"/>
      <c r="H100" s="1253"/>
      <c r="I100" s="2173" t="s">
        <v>2780</v>
      </c>
      <c r="J100" s="1638"/>
      <c r="K100" s="1638"/>
      <c r="L100" s="1638"/>
      <c r="M100" s="1638"/>
      <c r="N100" s="1638"/>
      <c r="O100" s="1638"/>
      <c r="P100" s="1639"/>
      <c r="Q100" s="2173" t="s">
        <v>2781</v>
      </c>
      <c r="R100" s="1638"/>
      <c r="S100" s="1638"/>
      <c r="T100" s="1638"/>
      <c r="U100" s="1638"/>
      <c r="V100" s="1638"/>
      <c r="W100" s="1638"/>
      <c r="X100" s="1639"/>
      <c r="Y100" s="2173" t="s">
        <v>1554</v>
      </c>
      <c r="Z100" s="2174"/>
      <c r="AA100" s="2174"/>
      <c r="AB100" s="2174"/>
      <c r="AC100" s="2174"/>
      <c r="AD100" s="2174"/>
      <c r="AE100" s="2174"/>
      <c r="AF100" s="2175"/>
    </row>
    <row r="101" spans="1:32" x14ac:dyDescent="0.3">
      <c r="A101" s="2479" t="s">
        <v>1266</v>
      </c>
      <c r="B101" s="2480"/>
      <c r="C101" s="2480"/>
      <c r="D101" s="2480"/>
      <c r="E101" s="2480"/>
      <c r="F101" s="2480"/>
      <c r="G101" s="2480"/>
      <c r="H101" s="2480"/>
      <c r="I101" s="1016"/>
      <c r="J101" s="1017"/>
      <c r="K101" s="1017"/>
      <c r="L101" s="1017"/>
      <c r="M101" s="1017"/>
      <c r="N101" s="1017"/>
      <c r="O101" s="1017"/>
      <c r="P101" s="1018"/>
      <c r="Q101" s="1016"/>
      <c r="R101" s="1017"/>
      <c r="S101" s="1017"/>
      <c r="T101" s="1017"/>
      <c r="U101" s="1017"/>
      <c r="V101" s="1017"/>
      <c r="W101" s="1017"/>
      <c r="X101" s="1018"/>
      <c r="Y101" s="2176"/>
      <c r="Z101" s="2177"/>
      <c r="AA101" s="2177"/>
      <c r="AB101" s="2177"/>
      <c r="AC101" s="2177"/>
      <c r="AD101" s="2177"/>
      <c r="AE101" s="2177"/>
      <c r="AF101" s="2178"/>
    </row>
    <row r="102" spans="1:32" ht="48.9" customHeight="1" x14ac:dyDescent="0.3">
      <c r="A102" s="2435" t="s">
        <v>2638</v>
      </c>
      <c r="B102" s="2436"/>
      <c r="C102" s="2436"/>
      <c r="D102" s="2436"/>
      <c r="E102" s="2436"/>
      <c r="F102" s="2436"/>
      <c r="G102" s="2436"/>
      <c r="H102" s="2436"/>
      <c r="I102" s="1648">
        <f>ROUND((Q45*Q80/Q63)-(Q56*Q91/Q74),3)</f>
        <v>0.192</v>
      </c>
      <c r="J102" s="1649"/>
      <c r="K102" s="1649"/>
      <c r="L102" s="1649"/>
      <c r="M102" s="1649"/>
      <c r="N102" s="1649"/>
      <c r="O102" s="1649"/>
      <c r="P102" s="1650"/>
      <c r="Q102" s="1655">
        <f>ROUND((Q45-Q56)*$Q$60,2)</f>
        <v>1682.1</v>
      </c>
      <c r="R102" s="1656"/>
      <c r="S102" s="1656"/>
      <c r="T102" s="1656"/>
      <c r="U102" s="1656"/>
      <c r="V102" s="1656"/>
      <c r="W102" s="1656"/>
      <c r="X102" s="1657"/>
      <c r="Y102" s="2437">
        <f>ROUND(Q102*$Q$95,2)</f>
        <v>16821</v>
      </c>
      <c r="Z102" s="2438"/>
      <c r="AA102" s="2438"/>
      <c r="AB102" s="2438"/>
      <c r="AC102" s="2438"/>
      <c r="AD102" s="2438"/>
      <c r="AE102" s="2438"/>
      <c r="AF102" s="2439"/>
    </row>
    <row r="103" spans="1:32" ht="48.9" customHeight="1" x14ac:dyDescent="0.3">
      <c r="A103" s="2435" t="s">
        <v>2639</v>
      </c>
      <c r="B103" s="2436"/>
      <c r="C103" s="2436"/>
      <c r="D103" s="2436"/>
      <c r="E103" s="2436"/>
      <c r="F103" s="2436"/>
      <c r="G103" s="2436"/>
      <c r="H103" s="2436"/>
      <c r="I103" s="1648">
        <f>ROUND((Q46*Q81/Q64)-(Q57*Q92/Q75),3)</f>
        <v>0.35699999999999998</v>
      </c>
      <c r="J103" s="1649"/>
      <c r="K103" s="1649"/>
      <c r="L103" s="1649"/>
      <c r="M103" s="1649"/>
      <c r="N103" s="1649"/>
      <c r="O103" s="1649"/>
      <c r="P103" s="1650"/>
      <c r="Q103" s="1655">
        <f>ROUND((Q46-Q57)*$Q$60,2)</f>
        <v>3124.18</v>
      </c>
      <c r="R103" s="1656"/>
      <c r="S103" s="1656"/>
      <c r="T103" s="1656"/>
      <c r="U103" s="1656"/>
      <c r="V103" s="1656"/>
      <c r="W103" s="1656"/>
      <c r="X103" s="1657"/>
      <c r="Y103" s="2437">
        <f t="shared" ref="Y103:Y109" si="3">ROUND(Q103*$Q$95,2)</f>
        <v>31241.8</v>
      </c>
      <c r="Z103" s="2438"/>
      <c r="AA103" s="2438"/>
      <c r="AB103" s="2438"/>
      <c r="AC103" s="2438"/>
      <c r="AD103" s="2438"/>
      <c r="AE103" s="2438"/>
      <c r="AF103" s="2439"/>
    </row>
    <row r="104" spans="1:32" ht="48.9" customHeight="1" x14ac:dyDescent="0.3">
      <c r="A104" s="2435" t="s">
        <v>2640</v>
      </c>
      <c r="B104" s="2436"/>
      <c r="C104" s="2436"/>
      <c r="D104" s="2436"/>
      <c r="E104" s="2436"/>
      <c r="F104" s="2436"/>
      <c r="G104" s="2436"/>
      <c r="H104" s="2436"/>
      <c r="I104" s="1648">
        <f>ROUND((Q47*Q82/Q65)-(Q58*Q93/Q76),3)</f>
        <v>0.45600000000000002</v>
      </c>
      <c r="J104" s="1649"/>
      <c r="K104" s="1649"/>
      <c r="L104" s="1649"/>
      <c r="M104" s="1649"/>
      <c r="N104" s="1649"/>
      <c r="O104" s="1649"/>
      <c r="P104" s="1650"/>
      <c r="Q104" s="1655">
        <f>ROUND((Q47-Q58)*$Q$60,2)</f>
        <v>3992.9</v>
      </c>
      <c r="R104" s="1656"/>
      <c r="S104" s="1656"/>
      <c r="T104" s="1656"/>
      <c r="U104" s="1656"/>
      <c r="V104" s="1656"/>
      <c r="W104" s="1656"/>
      <c r="X104" s="1657"/>
      <c r="Y104" s="2437">
        <f t="shared" si="3"/>
        <v>39929</v>
      </c>
      <c r="Z104" s="2438"/>
      <c r="AA104" s="2438"/>
      <c r="AB104" s="2438"/>
      <c r="AC104" s="2438"/>
      <c r="AD104" s="2438"/>
      <c r="AE104" s="2438"/>
      <c r="AF104" s="2439"/>
    </row>
    <row r="105" spans="1:32" ht="48.9" customHeight="1" x14ac:dyDescent="0.3">
      <c r="A105" s="2435" t="s">
        <v>2641</v>
      </c>
      <c r="B105" s="2436"/>
      <c r="C105" s="2436"/>
      <c r="D105" s="2436"/>
      <c r="E105" s="2436"/>
      <c r="F105" s="2436"/>
      <c r="G105" s="2436"/>
      <c r="H105" s="2436"/>
      <c r="I105" s="1648">
        <f>ROUND((Q48*Q83/Q66)-(Q59*Q94/Q77),3)</f>
        <v>0.48399999999999999</v>
      </c>
      <c r="J105" s="1649"/>
      <c r="K105" s="1649"/>
      <c r="L105" s="1649"/>
      <c r="M105" s="1649"/>
      <c r="N105" s="1649"/>
      <c r="O105" s="1649"/>
      <c r="P105" s="1650"/>
      <c r="Q105" s="1655">
        <f>ROUND((Q48-Q59)*$Q$60,2)</f>
        <v>4240.0600000000004</v>
      </c>
      <c r="R105" s="1656"/>
      <c r="S105" s="1656"/>
      <c r="T105" s="1656"/>
      <c r="U105" s="1656"/>
      <c r="V105" s="1656"/>
      <c r="W105" s="1656"/>
      <c r="X105" s="1657"/>
      <c r="Y105" s="2437">
        <f t="shared" si="3"/>
        <v>42400.6</v>
      </c>
      <c r="Z105" s="2438"/>
      <c r="AA105" s="2438"/>
      <c r="AB105" s="2438"/>
      <c r="AC105" s="2438"/>
      <c r="AD105" s="2438"/>
      <c r="AE105" s="2438"/>
      <c r="AF105" s="2439"/>
    </row>
    <row r="106" spans="1:32" ht="48.9" customHeight="1" x14ac:dyDescent="0.3">
      <c r="A106" s="2435" t="s">
        <v>2642</v>
      </c>
      <c r="B106" s="2436"/>
      <c r="C106" s="2436"/>
      <c r="D106" s="2436"/>
      <c r="E106" s="2436"/>
      <c r="F106" s="2436"/>
      <c r="G106" s="2436"/>
      <c r="H106" s="2436"/>
      <c r="I106" s="1648">
        <f>ROUND((Q50*Q85/Q68)-(Q56*Q91/Q74),3)</f>
        <v>9.9000000000000005E-2</v>
      </c>
      <c r="J106" s="1649"/>
      <c r="K106" s="1649"/>
      <c r="L106" s="1649"/>
      <c r="M106" s="1649"/>
      <c r="N106" s="1649"/>
      <c r="O106" s="1649"/>
      <c r="P106" s="1650"/>
      <c r="Q106" s="1655">
        <f>ROUND((Q50-Q56)*$Q$60,2)</f>
        <v>867.21</v>
      </c>
      <c r="R106" s="1656"/>
      <c r="S106" s="1656"/>
      <c r="T106" s="1656"/>
      <c r="U106" s="1656"/>
      <c r="V106" s="1656"/>
      <c r="W106" s="1656"/>
      <c r="X106" s="1657"/>
      <c r="Y106" s="2437">
        <f t="shared" si="3"/>
        <v>8672.1</v>
      </c>
      <c r="Z106" s="2438"/>
      <c r="AA106" s="2438"/>
      <c r="AB106" s="2438"/>
      <c r="AC106" s="2438"/>
      <c r="AD106" s="2438"/>
      <c r="AE106" s="2438"/>
      <c r="AF106" s="2439"/>
    </row>
    <row r="107" spans="1:32" ht="48.9" customHeight="1" x14ac:dyDescent="0.3">
      <c r="A107" s="2435" t="s">
        <v>2643</v>
      </c>
      <c r="B107" s="2436"/>
      <c r="C107" s="2436"/>
      <c r="D107" s="2436"/>
      <c r="E107" s="2436"/>
      <c r="F107" s="2436"/>
      <c r="G107" s="2436"/>
      <c r="H107" s="2436"/>
      <c r="I107" s="1648">
        <f>ROUND((Q51*Q86/Q69)-(Q57*Q92/Q75),3)</f>
        <v>0.17599999999999999</v>
      </c>
      <c r="J107" s="1649"/>
      <c r="K107" s="1649"/>
      <c r="L107" s="1649"/>
      <c r="M107" s="1649"/>
      <c r="N107" s="1649"/>
      <c r="O107" s="1649"/>
      <c r="P107" s="1650"/>
      <c r="Q107" s="1655">
        <f>ROUND((Q51-Q57)*$Q$60,2)</f>
        <v>1539.54</v>
      </c>
      <c r="R107" s="1656"/>
      <c r="S107" s="1656"/>
      <c r="T107" s="1656"/>
      <c r="U107" s="1656"/>
      <c r="V107" s="1656"/>
      <c r="W107" s="1656"/>
      <c r="X107" s="1657"/>
      <c r="Y107" s="2437">
        <f t="shared" si="3"/>
        <v>15395.4</v>
      </c>
      <c r="Z107" s="2438"/>
      <c r="AA107" s="2438"/>
      <c r="AB107" s="2438"/>
      <c r="AC107" s="2438"/>
      <c r="AD107" s="2438"/>
      <c r="AE107" s="2438"/>
      <c r="AF107" s="2439"/>
    </row>
    <row r="108" spans="1:32" ht="48.9" customHeight="1" x14ac:dyDescent="0.3">
      <c r="A108" s="2435" t="s">
        <v>2644</v>
      </c>
      <c r="B108" s="2436"/>
      <c r="C108" s="2436"/>
      <c r="D108" s="2436"/>
      <c r="E108" s="2436"/>
      <c r="F108" s="2436"/>
      <c r="G108" s="2436"/>
      <c r="H108" s="2436"/>
      <c r="I108" s="1648">
        <f>ROUND((Q52*Q87/Q70)-(Q58*Q93/Q76),3)</f>
        <v>0.17399999999999999</v>
      </c>
      <c r="J108" s="1649"/>
      <c r="K108" s="1649"/>
      <c r="L108" s="1649"/>
      <c r="M108" s="1649"/>
      <c r="N108" s="1649"/>
      <c r="O108" s="1649"/>
      <c r="P108" s="1650"/>
      <c r="Q108" s="1655">
        <f>ROUND((Q52-Q58)*$Q$60,2)</f>
        <v>1522.09</v>
      </c>
      <c r="R108" s="1656"/>
      <c r="S108" s="1656"/>
      <c r="T108" s="1656"/>
      <c r="U108" s="1656"/>
      <c r="V108" s="1656"/>
      <c r="W108" s="1656"/>
      <c r="X108" s="1657"/>
      <c r="Y108" s="2437">
        <f t="shared" si="3"/>
        <v>15220.9</v>
      </c>
      <c r="Z108" s="2438"/>
      <c r="AA108" s="2438"/>
      <c r="AB108" s="2438"/>
      <c r="AC108" s="2438"/>
      <c r="AD108" s="2438"/>
      <c r="AE108" s="2438"/>
      <c r="AF108" s="2439"/>
    </row>
    <row r="109" spans="1:32" ht="48.9" customHeight="1" thickBot="1" x14ac:dyDescent="0.35">
      <c r="A109" s="2371" t="s">
        <v>2645</v>
      </c>
      <c r="B109" s="2372"/>
      <c r="C109" s="2372"/>
      <c r="D109" s="2372"/>
      <c r="E109" s="2372"/>
      <c r="F109" s="2372"/>
      <c r="G109" s="2372"/>
      <c r="H109" s="2372"/>
      <c r="I109" s="1414">
        <f>ROUND((Q53*Q88/Q71)-(Q59*Q94/Q77),3)</f>
        <v>0.19600000000000001</v>
      </c>
      <c r="J109" s="1414"/>
      <c r="K109" s="1414"/>
      <c r="L109" s="1414"/>
      <c r="M109" s="1414"/>
      <c r="N109" s="1414"/>
      <c r="O109" s="1414"/>
      <c r="P109" s="1414"/>
      <c r="Q109" s="2431">
        <f>ROUND((Q53-Q59)*$Q$60,2)</f>
        <v>1714.6</v>
      </c>
      <c r="R109" s="2431"/>
      <c r="S109" s="2431"/>
      <c r="T109" s="2431"/>
      <c r="U109" s="2431"/>
      <c r="V109" s="2431"/>
      <c r="W109" s="2431"/>
      <c r="X109" s="2431"/>
      <c r="Y109" s="2432">
        <f t="shared" si="3"/>
        <v>17146</v>
      </c>
      <c r="Z109" s="2433"/>
      <c r="AA109" s="2433"/>
      <c r="AB109" s="2433"/>
      <c r="AC109" s="2433"/>
      <c r="AD109" s="2433"/>
      <c r="AE109" s="2433"/>
      <c r="AF109" s="2434"/>
    </row>
    <row r="111" spans="1:32" x14ac:dyDescent="0.3">
      <c r="A111" s="1141" t="s">
        <v>1514</v>
      </c>
      <c r="B111" s="1141"/>
      <c r="C111" s="1141"/>
      <c r="D111" s="1141"/>
      <c r="E111" s="1141"/>
      <c r="F111" s="1141"/>
      <c r="G111" s="1141"/>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row>
    <row r="113" spans="1:32" x14ac:dyDescent="0.3">
      <c r="A113" s="368" t="s">
        <v>803</v>
      </c>
      <c r="B113" s="953" t="s">
        <v>2654</v>
      </c>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row>
    <row r="114" spans="1:32" ht="46.5" customHeight="1" x14ac:dyDescent="0.3">
      <c r="A114" s="368" t="s">
        <v>803</v>
      </c>
      <c r="B114" s="1058" t="s">
        <v>2652</v>
      </c>
      <c r="C114" s="1058"/>
      <c r="D114" s="1058"/>
      <c r="E114" s="1058"/>
      <c r="F114" s="1058"/>
      <c r="G114" s="1058"/>
      <c r="H114" s="1058"/>
      <c r="I114" s="1058"/>
      <c r="J114" s="1058"/>
      <c r="K114" s="1058"/>
      <c r="L114" s="1058"/>
      <c r="M114" s="1058"/>
      <c r="N114" s="1058"/>
      <c r="O114" s="1058"/>
      <c r="P114" s="1058"/>
      <c r="Q114" s="1058"/>
      <c r="R114" s="1058"/>
      <c r="S114" s="1058"/>
      <c r="T114" s="1058"/>
      <c r="U114" s="1058"/>
      <c r="V114" s="1058"/>
      <c r="W114" s="1058"/>
      <c r="X114" s="1058"/>
      <c r="Y114" s="1058"/>
      <c r="Z114" s="1058"/>
      <c r="AA114" s="1058"/>
      <c r="AB114" s="1058"/>
      <c r="AC114" s="1058"/>
      <c r="AD114" s="1058"/>
      <c r="AE114" s="1058"/>
      <c r="AF114" s="1058"/>
    </row>
    <row r="115" spans="1:32" ht="48" customHeight="1" x14ac:dyDescent="0.3">
      <c r="A115" s="368" t="s">
        <v>803</v>
      </c>
      <c r="B115" s="1058" t="s">
        <v>2955</v>
      </c>
      <c r="C115" s="1058"/>
      <c r="D115" s="1058"/>
      <c r="E115" s="1058"/>
      <c r="F115" s="1058"/>
      <c r="G115" s="1058"/>
      <c r="H115" s="1058"/>
      <c r="I115" s="1058"/>
      <c r="J115" s="1058"/>
      <c r="K115" s="1058"/>
      <c r="L115" s="1058"/>
      <c r="M115" s="1058"/>
      <c r="N115" s="1058"/>
      <c r="O115" s="1058"/>
      <c r="P115" s="1058"/>
      <c r="Q115" s="1058"/>
      <c r="R115" s="1058"/>
      <c r="S115" s="1058"/>
      <c r="T115" s="1058"/>
      <c r="U115" s="1058"/>
      <c r="V115" s="1058"/>
      <c r="W115" s="1058"/>
      <c r="X115" s="1058"/>
      <c r="Y115" s="1058"/>
      <c r="Z115" s="1058"/>
      <c r="AA115" s="1058"/>
      <c r="AB115" s="1058"/>
      <c r="AC115" s="1058"/>
      <c r="AD115" s="1058"/>
      <c r="AE115" s="1058"/>
      <c r="AF115" s="1058"/>
    </row>
    <row r="116" spans="1:32" ht="51.75" customHeight="1" x14ac:dyDescent="0.3">
      <c r="A116" s="368" t="s">
        <v>803</v>
      </c>
      <c r="B116" s="863" t="s">
        <v>2651</v>
      </c>
      <c r="C116" s="863"/>
      <c r="D116" s="863"/>
      <c r="E116" s="863"/>
      <c r="F116" s="863"/>
      <c r="G116" s="863"/>
      <c r="H116" s="863"/>
      <c r="I116" s="863"/>
      <c r="J116" s="863"/>
      <c r="K116" s="863"/>
      <c r="L116" s="863"/>
      <c r="M116" s="863"/>
      <c r="N116" s="863"/>
      <c r="O116" s="863"/>
      <c r="P116" s="863"/>
      <c r="Q116" s="863"/>
      <c r="R116" s="863"/>
      <c r="S116" s="863"/>
      <c r="T116" s="863"/>
      <c r="U116" s="863"/>
      <c r="V116" s="863"/>
      <c r="W116" s="863"/>
      <c r="X116" s="863"/>
      <c r="Y116" s="863"/>
      <c r="Z116" s="863"/>
      <c r="AA116" s="863"/>
      <c r="AB116" s="863"/>
      <c r="AC116" s="863"/>
      <c r="AD116" s="863"/>
      <c r="AE116" s="863"/>
      <c r="AF116" s="863"/>
    </row>
  </sheetData>
  <sheetProtection algorithmName="SHA-512" hashValue="3IPaIElgyQSx5khkbEPrEClZWe0Lyz2W/QauHYRRG0psQNZJ83TSaJj8wTzG+O3uh0L/aMxZbTqgJaWgBbQRjg==" saltValue="b8cISGFa9zWJx8/El/LGIg==" spinCount="100000" sheet="1" objects="1" scenarios="1"/>
  <mergeCells count="251">
    <mergeCell ref="B22:AF22"/>
    <mergeCell ref="A24:AF24"/>
    <mergeCell ref="A1:AF1"/>
    <mergeCell ref="B15:I15"/>
    <mergeCell ref="B16:AF16"/>
    <mergeCell ref="B18:I18"/>
    <mergeCell ref="B19:AF19"/>
    <mergeCell ref="A7:AF7"/>
    <mergeCell ref="B9:I9"/>
    <mergeCell ref="B10:AF10"/>
    <mergeCell ref="B12:I12"/>
    <mergeCell ref="B13:AF13"/>
    <mergeCell ref="B28:AE28"/>
    <mergeCell ref="B32:AE33"/>
    <mergeCell ref="AF32:AF33"/>
    <mergeCell ref="A39:AF39"/>
    <mergeCell ref="A40:D40"/>
    <mergeCell ref="E40:P40"/>
    <mergeCell ref="Q40:T40"/>
    <mergeCell ref="U40:W40"/>
    <mergeCell ref="X40:AF40"/>
    <mergeCell ref="A42:D42"/>
    <mergeCell ref="E42:P42"/>
    <mergeCell ref="Q42:T42"/>
    <mergeCell ref="U42:W42"/>
    <mergeCell ref="X42:AF42"/>
    <mergeCell ref="A41:D41"/>
    <mergeCell ref="E41:P41"/>
    <mergeCell ref="Q41:T41"/>
    <mergeCell ref="U41:W41"/>
    <mergeCell ref="X41:AF41"/>
    <mergeCell ref="X43:AF53"/>
    <mergeCell ref="E44:P44"/>
    <mergeCell ref="Q44:T44"/>
    <mergeCell ref="U44:W44"/>
    <mergeCell ref="E45:P45"/>
    <mergeCell ref="Q45:T45"/>
    <mergeCell ref="U45:W45"/>
    <mergeCell ref="E46:P46"/>
    <mergeCell ref="Q46:T46"/>
    <mergeCell ref="U46:W46"/>
    <mergeCell ref="E47:P47"/>
    <mergeCell ref="Q47:T47"/>
    <mergeCell ref="U47:W47"/>
    <mergeCell ref="E48:P48"/>
    <mergeCell ref="Q48:T48"/>
    <mergeCell ref="U48:W48"/>
    <mergeCell ref="E49:P49"/>
    <mergeCell ref="Q49:T49"/>
    <mergeCell ref="U49:W49"/>
    <mergeCell ref="U59:W59"/>
    <mergeCell ref="A43:D53"/>
    <mergeCell ref="E43:P43"/>
    <mergeCell ref="Q43:T43"/>
    <mergeCell ref="U43:W43"/>
    <mergeCell ref="E52:P52"/>
    <mergeCell ref="Q52:T52"/>
    <mergeCell ref="U52:W52"/>
    <mergeCell ref="E53:P53"/>
    <mergeCell ref="Q53:T53"/>
    <mergeCell ref="U53:W53"/>
    <mergeCell ref="E50:P50"/>
    <mergeCell ref="Q50:T50"/>
    <mergeCell ref="U50:W50"/>
    <mergeCell ref="E51:P51"/>
    <mergeCell ref="Q51:T51"/>
    <mergeCell ref="U51:W51"/>
    <mergeCell ref="A60:D60"/>
    <mergeCell ref="E60:P60"/>
    <mergeCell ref="Q60:T60"/>
    <mergeCell ref="U60:W60"/>
    <mergeCell ref="A54:D59"/>
    <mergeCell ref="E54:P54"/>
    <mergeCell ref="Q54:T54"/>
    <mergeCell ref="U54:W54"/>
    <mergeCell ref="X60:AF60"/>
    <mergeCell ref="X54:AF59"/>
    <mergeCell ref="E55:P55"/>
    <mergeCell ref="Q55:T55"/>
    <mergeCell ref="U55:W55"/>
    <mergeCell ref="E56:P56"/>
    <mergeCell ref="Q56:T56"/>
    <mergeCell ref="U56:W56"/>
    <mergeCell ref="E57:P57"/>
    <mergeCell ref="Q57:T57"/>
    <mergeCell ref="U57:W57"/>
    <mergeCell ref="E58:P58"/>
    <mergeCell ref="Q58:T58"/>
    <mergeCell ref="U58:W58"/>
    <mergeCell ref="E59:P59"/>
    <mergeCell ref="Q59:T59"/>
    <mergeCell ref="X61:AF71"/>
    <mergeCell ref="E62:P62"/>
    <mergeCell ref="Q62:T62"/>
    <mergeCell ref="U62:W62"/>
    <mergeCell ref="E63:P63"/>
    <mergeCell ref="Q63:T63"/>
    <mergeCell ref="U63:W63"/>
    <mergeCell ref="E64:P64"/>
    <mergeCell ref="Q64:T64"/>
    <mergeCell ref="U64:W64"/>
    <mergeCell ref="E65:P65"/>
    <mergeCell ref="E67:P67"/>
    <mergeCell ref="Q67:T67"/>
    <mergeCell ref="U67:W67"/>
    <mergeCell ref="E68:P68"/>
    <mergeCell ref="Q68:T68"/>
    <mergeCell ref="U68:W68"/>
    <mergeCell ref="Q65:T65"/>
    <mergeCell ref="U65:W65"/>
    <mergeCell ref="E66:P66"/>
    <mergeCell ref="Q66:T66"/>
    <mergeCell ref="U66:W66"/>
    <mergeCell ref="E71:P71"/>
    <mergeCell ref="Q71:T71"/>
    <mergeCell ref="U71:W71"/>
    <mergeCell ref="A72:D77"/>
    <mergeCell ref="E72:P72"/>
    <mergeCell ref="Q72:T72"/>
    <mergeCell ref="U72:W72"/>
    <mergeCell ref="E69:P69"/>
    <mergeCell ref="Q69:T69"/>
    <mergeCell ref="U69:W69"/>
    <mergeCell ref="E70:P70"/>
    <mergeCell ref="Q70:T70"/>
    <mergeCell ref="U70:W70"/>
    <mergeCell ref="A61:D71"/>
    <mergeCell ref="E61:P61"/>
    <mergeCell ref="Q61:T61"/>
    <mergeCell ref="U61:W61"/>
    <mergeCell ref="X72:AF77"/>
    <mergeCell ref="E73:P73"/>
    <mergeCell ref="Q73:T73"/>
    <mergeCell ref="U73:W73"/>
    <mergeCell ref="E74:P74"/>
    <mergeCell ref="Q74:T74"/>
    <mergeCell ref="U74:W74"/>
    <mergeCell ref="E75:P75"/>
    <mergeCell ref="Q75:T75"/>
    <mergeCell ref="U75:W75"/>
    <mergeCell ref="E76:P76"/>
    <mergeCell ref="Q76:T76"/>
    <mergeCell ref="U76:W76"/>
    <mergeCell ref="E77:P77"/>
    <mergeCell ref="Q77:T77"/>
    <mergeCell ref="U77:W77"/>
    <mergeCell ref="X78:AF88"/>
    <mergeCell ref="E79:P79"/>
    <mergeCell ref="Q79:T79"/>
    <mergeCell ref="U79:W79"/>
    <mergeCell ref="E80:P80"/>
    <mergeCell ref="Q80:T80"/>
    <mergeCell ref="U80:W80"/>
    <mergeCell ref="E81:P81"/>
    <mergeCell ref="Q81:T81"/>
    <mergeCell ref="U81:W81"/>
    <mergeCell ref="E82:P82"/>
    <mergeCell ref="Q82:T82"/>
    <mergeCell ref="E85:P85"/>
    <mergeCell ref="Q85:T85"/>
    <mergeCell ref="U85:W85"/>
    <mergeCell ref="E86:P86"/>
    <mergeCell ref="Q86:T86"/>
    <mergeCell ref="U86:W86"/>
    <mergeCell ref="U82:W82"/>
    <mergeCell ref="E83:P83"/>
    <mergeCell ref="Q93:T93"/>
    <mergeCell ref="E87:P87"/>
    <mergeCell ref="Q87:T87"/>
    <mergeCell ref="U87:W87"/>
    <mergeCell ref="E88:P88"/>
    <mergeCell ref="Q88:T88"/>
    <mergeCell ref="U88:W88"/>
    <mergeCell ref="A101:H101"/>
    <mergeCell ref="Q83:T83"/>
    <mergeCell ref="U83:W83"/>
    <mergeCell ref="E84:P84"/>
    <mergeCell ref="Q84:T84"/>
    <mergeCell ref="U84:W84"/>
    <mergeCell ref="E91:P91"/>
    <mergeCell ref="Q91:T91"/>
    <mergeCell ref="U91:W91"/>
    <mergeCell ref="E92:P92"/>
    <mergeCell ref="Q92:T92"/>
    <mergeCell ref="U92:W92"/>
    <mergeCell ref="A78:D88"/>
    <mergeCell ref="E78:P78"/>
    <mergeCell ref="Q78:T78"/>
    <mergeCell ref="U78:W78"/>
    <mergeCell ref="A102:H102"/>
    <mergeCell ref="I102:P102"/>
    <mergeCell ref="Q102:X102"/>
    <mergeCell ref="Y102:AF102"/>
    <mergeCell ref="X95:AF95"/>
    <mergeCell ref="A98:AF98"/>
    <mergeCell ref="A100:H100"/>
    <mergeCell ref="U93:W93"/>
    <mergeCell ref="E94:P94"/>
    <mergeCell ref="Q94:T94"/>
    <mergeCell ref="U94:W94"/>
    <mergeCell ref="A95:D95"/>
    <mergeCell ref="E95:P95"/>
    <mergeCell ref="Q95:T95"/>
    <mergeCell ref="U95:W95"/>
    <mergeCell ref="A89:D94"/>
    <mergeCell ref="E89:P89"/>
    <mergeCell ref="Q89:T89"/>
    <mergeCell ref="U89:W89"/>
    <mergeCell ref="X89:AF94"/>
    <mergeCell ref="E90:P90"/>
    <mergeCell ref="Q90:T90"/>
    <mergeCell ref="U90:W90"/>
    <mergeCell ref="E93:P93"/>
    <mergeCell ref="Q105:X105"/>
    <mergeCell ref="Y105:AF105"/>
    <mergeCell ref="A106:H106"/>
    <mergeCell ref="I106:P106"/>
    <mergeCell ref="Q106:X106"/>
    <mergeCell ref="Y106:AF106"/>
    <mergeCell ref="A103:H103"/>
    <mergeCell ref="I103:P103"/>
    <mergeCell ref="Q103:X103"/>
    <mergeCell ref="Y103:AF103"/>
    <mergeCell ref="A104:H104"/>
    <mergeCell ref="I104:P104"/>
    <mergeCell ref="Q104:X104"/>
    <mergeCell ref="Y104:AF104"/>
    <mergeCell ref="B114:AF114"/>
    <mergeCell ref="B115:AF115"/>
    <mergeCell ref="B116:AF116"/>
    <mergeCell ref="A3:AF3"/>
    <mergeCell ref="B5:AF5"/>
    <mergeCell ref="I100:P101"/>
    <mergeCell ref="Q100:X101"/>
    <mergeCell ref="Y100:AF101"/>
    <mergeCell ref="B113:AF113"/>
    <mergeCell ref="A109:H109"/>
    <mergeCell ref="I109:P109"/>
    <mergeCell ref="Q109:X109"/>
    <mergeCell ref="Y109:AF109"/>
    <mergeCell ref="A111:AF111"/>
    <mergeCell ref="A107:H107"/>
    <mergeCell ref="I107:P107"/>
    <mergeCell ref="Q107:X107"/>
    <mergeCell ref="Y107:AF107"/>
    <mergeCell ref="A108:H108"/>
    <mergeCell ref="I108:P108"/>
    <mergeCell ref="Q108:X108"/>
    <mergeCell ref="Y108:AF108"/>
    <mergeCell ref="A105:H105"/>
    <mergeCell ref="I105:P105"/>
  </mergeCells>
  <hyperlinks>
    <hyperlink ref="A2" location="TOC!A1" display="Return to TOC" xr:uid="{00000000-0004-0000-5F00-000000000000}"/>
  </hyperlinks>
  <pageMargins left="0.7" right="0.7" top="0.75" bottom="0.75" header="0.3" footer="0.3"/>
  <pageSetup orientation="portrait" r:id="rId1"/>
  <headerFooter differentFirst="1" scaleWithDoc="0">
    <oddHeader>&amp;C&amp;"Arial,Regular"&amp;09&amp;I&amp;K000000Leidos Proprietary</oddHeader>
    <oddFooter>&amp;LPY21 TRM V1.0&amp;RPage &amp;P-1  &amp;C&amp;"Calibri,Regular"&amp;10</oddFooter>
    <evenHeader>&amp;C&amp;"Arial,Regular"&amp;09&amp;I&amp;K000000Leidos Proprietary</evenHeader>
    <evenFooter>&amp;C&amp;"Calibri,Regular"&amp;11</evenFooter>
    <firstHeader>&amp;C&amp;"Arial,Regular"&amp;09&amp;I&amp;K000000Leidos Proprietary</firstHeader>
    <firstFooter>&amp;C&amp;"Arial,Regular"&amp;08&amp;I&amp;K000000The information in this document is proprietary to Leidos. 
It may not be used, reproduced, disclosed, or exported without the written approval of Leidos.</firstFooter>
  </headerFooter>
  <ignoredErrors>
    <ignoredError sqref="AF28:AF3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1 6 " ? > < D a t a M a s h u p   x m l n s = " h t t p : / / s c h e m a s . m i c r o s o f t . c o m / D a t a M a s h u p " > A A A A A B c D A A B Q S w M E F A A C A A g A A W g t T c 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A W g t 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o L U 0 o i k e 4 D g A A A B E A A A A T A B w A R m 9 y b X V s Y X M v U 2 V j d G l v b j E u b S C i G A A o o B Q A A A A A A A A A A A A A A A A A A A A A A A A A A A A r T k 0 u y c z P U w i G 0 I b W A F B L A Q I t A B Q A A g A I A A F o L U 3 G r a w E p w A A A P g A A A A S A A A A A A A A A A A A A A A A A A A A A A B D b 2 5 m a W c v U G F j a 2 F n Z S 5 4 b W x Q S w E C L Q A U A A I A C A A B a C 1 N D 8 r p q 6 Q A A A D p A A A A E w A A A A A A A A A A A A A A A A D z A A A A W 0 N v b n R l b n R f V H l w Z X N d L n h t b F B L A Q I t A B Q A A g A I A A F o L U 0 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C D C 7 D Q 1 S / S 7 C Q a 7 u k + d 7 O A A A A A A I A A A A A A A N m A A D A A A A A E A A A A B a o k T F D P 8 I M p 9 2 s + k i E R + k A A A A A B I A A A K A A A A A Q A A A A B Z b Z l w A C 3 W h p W L g p / K v 1 o F A A A A A v Z y G V r Q n G 3 I h V B p N M Q Z a q c / C g j 4 L H 7 x x B R / K b + F f U Q T a P P 8 7 4 6 A K W c V e a I D / r C Q g W R y s c j j 1 w E 5 9 N x 1 0 f H C y s I 5 d s y y i b r N x G q a k K Y m j M 2 h Q A A A C v K M I d 7 o h B F W L d p m 3 N w n F M R O 7 l s 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FB34C50A81DDA46822FD4A97CCFFA62" ma:contentTypeVersion="1" ma:contentTypeDescription="Create a new document." ma:contentTypeScope="" ma:versionID="635d88e31f1776af7682e62958237724">
  <xsd:schema xmlns:xsd="http://www.w3.org/2001/XMLSchema" xmlns:xs="http://www.w3.org/2001/XMLSchema" xmlns:p="http://schemas.microsoft.com/office/2006/metadata/properties" xmlns:ns1="http://schemas.microsoft.com/sharepoint/v3" targetNamespace="http://schemas.microsoft.com/office/2006/metadata/properties" ma:root="true" ma:fieldsID="ef2aa9ed40e72a78c3822fc753b43e8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c8d5760e-638a-47e8-9e2e-1226c2cb268d" origin="userSelected">
  <element uid="7a893e0f-79ce-4509-88ea-9dfe058c6690" value=""/>
</sisl>
</file>

<file path=customXml/item5.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dhODkzZTBmLTc5Y2UtNDUwOS04OGVhLTlkZmUwNThjNjY5MCIgdmFsdWU9IiIgeG1sbnM9Imh0dHA6Ly93d3cuYm9sZG9uamFtZXMuY29tLzIwMDgvMDEvc2llL2ludGVybmFsL2xhYmVsIiAvPjwvc2lzbD48VXNlck5hbWU+TEVJRE9TLUNPUlBcYXVyaWxpb2s8L1VzZXJOYW1lPjxEYXRlVGltZT42LzI2LzIwMTggOToyNzoxMCBBTTwvRGF0ZVRpbWU+PExhYmVsU3RyaW5nPkxlaWRvcyBQcm9wcmlldGFyeTwvTGFiZWxTdHJpbmc+PC9pdGVtPjwvbGFiZWxIaXN0b3J5Pg==</Value>
</WrappedLabelHistory>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38293F-61B8-4224-89D4-AE1B6F0F78B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A9B02D8-593B-4E8D-A2ED-B794919AA98D}">
  <ds:schemaRefs>
    <ds:schemaRef ds:uri="http://schemas.microsoft.com/DataMashup"/>
  </ds:schemaRefs>
</ds:datastoreItem>
</file>

<file path=customXml/itemProps3.xml><?xml version="1.0" encoding="utf-8"?>
<ds:datastoreItem xmlns:ds="http://schemas.openxmlformats.org/officeDocument/2006/customXml" ds:itemID="{BF93A644-9BBA-4E8A-9AB5-6AAAC4D9AE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4DA6E5B-B382-4C3F-9048-44DECDFFBDE6}">
  <ds:schemaRefs>
    <ds:schemaRef ds:uri="http://www.w3.org/2001/XMLSchema"/>
    <ds:schemaRef ds:uri="http://www.boldonjames.com/2008/01/sie/internal/label"/>
  </ds:schemaRefs>
</ds:datastoreItem>
</file>

<file path=customXml/itemProps5.xml><?xml version="1.0" encoding="utf-8"?>
<ds:datastoreItem xmlns:ds="http://schemas.openxmlformats.org/officeDocument/2006/customXml" ds:itemID="{27A1477A-BD63-4980-B0C6-BB78BE6A64B1}">
  <ds:schemaRefs>
    <ds:schemaRef ds:uri="http://www.w3.org/2001/XMLSchema"/>
    <ds:schemaRef ds:uri="http://www.boldonjames.com/2016/02/Classifier/internal/wrappedLabelHistory"/>
  </ds:schemaRefs>
</ds:datastoreItem>
</file>

<file path=customXml/itemProps6.xml><?xml version="1.0" encoding="utf-8"?>
<ds:datastoreItem xmlns:ds="http://schemas.openxmlformats.org/officeDocument/2006/customXml" ds:itemID="{CE6D8AF9-D6CE-4EF9-8BF3-10CE34F8C9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21</vt:i4>
      </vt:variant>
    </vt:vector>
  </HeadingPairs>
  <TitlesOfParts>
    <vt:vector size="125" baseType="lpstr">
      <vt:lpstr>Issues Log</vt:lpstr>
      <vt:lpstr>Cover Page</vt:lpstr>
      <vt:lpstr>TOC</vt:lpstr>
      <vt:lpstr>Changes from PY22</vt:lpstr>
      <vt:lpstr>Introduction</vt:lpstr>
      <vt:lpstr>Signatures</vt:lpstr>
      <vt:lpstr>Glossary</vt:lpstr>
      <vt:lpstr>C&amp;S Tracking</vt:lpstr>
      <vt:lpstr>Key Metrics</vt:lpstr>
      <vt:lpstr>Master EUL</vt:lpstr>
      <vt:lpstr>Savings Factors</vt:lpstr>
      <vt:lpstr>EFLH &amp; CF</vt:lpstr>
      <vt:lpstr>Custom</vt:lpstr>
      <vt:lpstr>---------------------------</vt:lpstr>
      <vt:lpstr>C_Appliance_Refrigerator</vt:lpstr>
      <vt:lpstr>C_BEnvelope_Cool Roof</vt:lpstr>
      <vt:lpstr>C_BEnvelope_Window Film</vt:lpstr>
      <vt:lpstr>C_Kitchen_Combination Oven</vt:lpstr>
      <vt:lpstr>C_Kitchen_Convection Oven</vt:lpstr>
      <vt:lpstr>C_Kitchen_DCV</vt:lpstr>
      <vt:lpstr>C_Kitchen_Electric Griddle</vt:lpstr>
      <vt:lpstr>C_Kitchen_Electric Steam Cooker</vt:lpstr>
      <vt:lpstr>C_Kitchen_Fryer</vt:lpstr>
      <vt:lpstr>C_Kitchen_HF Holding Cabinet</vt:lpstr>
      <vt:lpstr>C_Kitchen_Ice Machine</vt:lpstr>
      <vt:lpstr>C_Kitchen_LF Spray Nozzle</vt:lpstr>
      <vt:lpstr>C_Kitchen_Freezer</vt:lpstr>
      <vt:lpstr>C_Kitchen_Refrigerator</vt:lpstr>
      <vt:lpstr>C_Kitchen_Dishwasher</vt:lpstr>
      <vt:lpstr>C_ESG_Design Assistance</vt:lpstr>
      <vt:lpstr>C_ESG_Energy Study</vt:lpstr>
      <vt:lpstr>C_HVAC_Chiller</vt:lpstr>
      <vt:lpstr>C_HVAC_Chiller_WKST</vt:lpstr>
      <vt:lpstr>C_HVAC_AC &amp; Heat Pump</vt:lpstr>
      <vt:lpstr>C_HVAC_AC_HP_WKST</vt:lpstr>
      <vt:lpstr>C_HVAC_Window AC</vt:lpstr>
      <vt:lpstr>C_HVAC_WindowAC_WKST</vt:lpstr>
      <vt:lpstr>C_HVAC_VFD Water Pump</vt:lpstr>
      <vt:lpstr>C_HVAC_VFD Water Pump Reference</vt:lpstr>
      <vt:lpstr>C_HVAC_VRF</vt:lpstr>
      <vt:lpstr>C_HVAC_VRF_WKST</vt:lpstr>
      <vt:lpstr>C_HVAC_EMS</vt:lpstr>
      <vt:lpstr>C_Light_General</vt:lpstr>
      <vt:lpstr>C_Light_Downlight Retrofit</vt:lpstr>
      <vt:lpstr>C_Light_Exterior</vt:lpstr>
      <vt:lpstr>C_Light_Dimmable(Nonlinear LED)</vt:lpstr>
      <vt:lpstr>C_Lighting_Refrigerated Case</vt:lpstr>
      <vt:lpstr>C_Light_Occupancy Sensor</vt:lpstr>
      <vt:lpstr>C_Light_Stairwell Bi-Level</vt:lpstr>
      <vt:lpstr>C_Light_Energy Advantage</vt:lpstr>
      <vt:lpstr>C_PlugProcess_ASH Control</vt:lpstr>
      <vt:lpstr>C_PlugProcess_Vending Miser</vt:lpstr>
      <vt:lpstr>C_PlugProcess_Water Cooler Tmr</vt:lpstr>
      <vt:lpstr>C_PlugProcess_Case Night Cover</vt:lpstr>
      <vt:lpstr>C_PumpMotor_VFD Booster Pump</vt:lpstr>
      <vt:lpstr>C_PumpMotor_ECM</vt:lpstr>
      <vt:lpstr>C_PumpMotor_PE Motor</vt:lpstr>
      <vt:lpstr>C_PumpMotor_VFD Pool Pump</vt:lpstr>
      <vt:lpstr>C_Refrig_Evap Motor Control</vt:lpstr>
      <vt:lpstr>C_Refrig_Add Case Doors</vt:lpstr>
      <vt:lpstr>C_Refrig_FHP Control</vt:lpstr>
      <vt:lpstr>C_SubMeter_Condominium</vt:lpstr>
      <vt:lpstr>C_SubMeter_Small Business</vt:lpstr>
      <vt:lpstr>Dropdown</vt:lpstr>
      <vt:lpstr>C_WH_Solar</vt:lpstr>
      <vt:lpstr>C_WH_Heat Pump</vt:lpstr>
      <vt:lpstr>C_Other_Re|Retro-Commissioning</vt:lpstr>
      <vt:lpstr>-------------------------------</vt:lpstr>
      <vt:lpstr>R_Appliance_Clothes Washer</vt:lpstr>
      <vt:lpstr>R_Appliance_Heat Pump Dryer</vt:lpstr>
      <vt:lpstr>R_Appliance_Clothes Dryer</vt:lpstr>
      <vt:lpstr>R_Appliance_Refrigerator</vt:lpstr>
      <vt:lpstr>R_Appliance_Dishwasher</vt:lpstr>
      <vt:lpstr>R_Appliance_Air Purifier</vt:lpstr>
      <vt:lpstr>R_Appliance_Induction Cooktop</vt:lpstr>
      <vt:lpstr>R_BEnvelope_Cool Wall</vt:lpstr>
      <vt:lpstr>R_Electronics_Television</vt:lpstr>
      <vt:lpstr>R_Electronics_Soundbar</vt:lpstr>
      <vt:lpstr>R_HVAC_Window AC</vt:lpstr>
      <vt:lpstr>R_HVAC_Ductless</vt:lpstr>
      <vt:lpstr>R_HVAC_Central AC Retrofit</vt:lpstr>
      <vt:lpstr>R_HVAC_AC_WKST</vt:lpstr>
      <vt:lpstr>R_HVAC_Central AC Tune Up</vt:lpstr>
      <vt:lpstr>R_HVAC_Ceiling Fan</vt:lpstr>
      <vt:lpstr>R_HVAC_Smart Thermostat</vt:lpstr>
      <vt:lpstr>R_HVAC_Solar Attic Fan</vt:lpstr>
      <vt:lpstr>R_HVAC_Whole House Fan</vt:lpstr>
      <vt:lpstr>R_HVAC_Dehumidifier</vt:lpstr>
      <vt:lpstr>R_Light_LED</vt:lpstr>
      <vt:lpstr>R_Light_Occupancy Sensor</vt:lpstr>
      <vt:lpstr>R_Light_Linear LED</vt:lpstr>
      <vt:lpstr>R_Light_Security Light</vt:lpstr>
      <vt:lpstr>R_Light_Holiday String Light</vt:lpstr>
      <vt:lpstr>R_Light_Solar Tube</vt:lpstr>
      <vt:lpstr>R_PlugProcess_Adv Power Strip</vt:lpstr>
      <vt:lpstr>R_PlugProcess_Switch Plug</vt:lpstr>
      <vt:lpstr>R_PlugProcess_Switch_Plug_CALC</vt:lpstr>
      <vt:lpstr>R_PlugProcess_EV Charger</vt:lpstr>
      <vt:lpstr>R_PumpMotor_VFD Pool Pump</vt:lpstr>
      <vt:lpstr>R_WH_Heat Pump</vt:lpstr>
      <vt:lpstr>R_WH_SWH</vt:lpstr>
      <vt:lpstr>R_WH_SWH Tune Up</vt:lpstr>
      <vt:lpstr>R_WH_Faucet Aerator</vt:lpstr>
      <vt:lpstr>R_WH_LFShowerhead</vt:lpstr>
      <vt:lpstr>Custom!_Toc513412350</vt:lpstr>
      <vt:lpstr>Custom!_Toc513412351</vt:lpstr>
      <vt:lpstr>Custom!_Toc513412352</vt:lpstr>
      <vt:lpstr>Custom!_Toc513412354</vt:lpstr>
      <vt:lpstr>Custom!_Toc513412355</vt:lpstr>
      <vt:lpstr>'C&amp;S Tracking'!Print_Area</vt:lpstr>
      <vt:lpstr>C_HVAC_AC_HP_WKST!Print_Area</vt:lpstr>
      <vt:lpstr>C_HVAC_Chiller_WKST!Print_Area</vt:lpstr>
      <vt:lpstr>'C_HVAC_VFD Water Pump Reference'!Print_Area</vt:lpstr>
      <vt:lpstr>C_HVAC_VRF_WKST!Print_Area</vt:lpstr>
      <vt:lpstr>C_HVAC_WindowAC_WKST!Print_Area</vt:lpstr>
      <vt:lpstr>'C_Light_Dimmable(Nonlinear LED)'!Print_Area</vt:lpstr>
      <vt:lpstr>C_Light_Exterior!Print_Area</vt:lpstr>
      <vt:lpstr>C_Light_General!Print_Area</vt:lpstr>
      <vt:lpstr>'C_Refrig_Add Case Doors'!Print_Area</vt:lpstr>
      <vt:lpstr>'C_Refrig_Evap Motor Control'!Print_Area</vt:lpstr>
      <vt:lpstr>'C_Refrig_FHP Control'!Print_Area</vt:lpstr>
      <vt:lpstr>Custom!Print_Area</vt:lpstr>
      <vt:lpstr>Glossary!Print_Area</vt:lpstr>
      <vt:lpstr>'Key Metrics'!Print_Area</vt:lpstr>
      <vt:lpstr>R_PlugProcess_Switch_Plug_CALC!Print_Area</vt:lpstr>
    </vt:vector>
  </TitlesOfParts>
  <Company>Leidos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PY2018 TRM</dc:title>
  <dc:subject>Leidos Proprietary</dc:subject>
  <dc:creator>Ngo, Vinh-Phong N.</dc:creator>
  <cp:lastModifiedBy>Ngo, Vinh-Phong N. [US-US]</cp:lastModifiedBy>
  <cp:lastPrinted>2021-04-05T15:16:41Z</cp:lastPrinted>
  <dcterms:created xsi:type="dcterms:W3CDTF">2017-07-03T23:29:18Z</dcterms:created>
  <dcterms:modified xsi:type="dcterms:W3CDTF">2024-01-30T01:32:52Z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0x0101006FB34C50A81DDA46822FD4A97CCFFA62</vt:lpwstr>
  </property>
  <property fmtid="{D5CDD505-2E9C-101B-9397-08002B2CF9AE}" pid="3" name="docIndexRef">
    <vt:lpwstr>6abfd4d0-830e-4152-928b-545ccc4dd250</vt:lpwstr>
  </property>
  <property fmtid="{D5CDD505-2E9C-101B-9397-08002B2CF9AE}" pid="4" name="bjSaver">
    <vt:lpwstr>OVaOZaTUdQTt9U9lNpRa1GnloX0tslLW</vt:lpwstr>
  </property>
  <property fmtid="{D5CDD505-2E9C-101B-9397-08002B2CF9AE}" pid="5"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6" name="bjDocumentLabelXML-0">
    <vt:lpwstr>ames.com/2008/01/sie/internal/label"&gt;&lt;element uid="7a893e0f-79ce-4509-88ea-9dfe058c6690" value="" /&gt;&lt;/sisl&gt;</vt:lpwstr>
  </property>
  <property fmtid="{D5CDD505-2E9C-101B-9397-08002B2CF9AE}" pid="7" name="bjDocumentSecurityLabel">
    <vt:lpwstr>Leidos Proprietary</vt:lpwstr>
  </property>
  <property fmtid="{D5CDD505-2E9C-101B-9397-08002B2CF9AE}" pid="8" name="bjLabelHistoryID">
    <vt:lpwstr>{27A1477A-BD63-4980-B0C6-BB78BE6A64B1}</vt:lpwstr>
  </property>
  <property fmtid="{D5CDD505-2E9C-101B-9397-08002B2CF9AE}" pid="9" name="bjCentreHeaderLabel-first">
    <vt:lpwstr>&amp;"Arial,Regular"&amp;09&amp;I&amp;K000000Leidos Proprietary</vt:lpwstr>
  </property>
  <property fmtid="{D5CDD505-2E9C-101B-9397-08002B2CF9AE}" pid="10" name="bjCentreFooterLabel-first">
    <vt:lpwstr>&amp;"Arial,Regular"&amp;08&amp;I&amp;K000000The information in this document is proprietary to Leidos. 
It may not be used, reproduced, disclosed, or exported without the written approval of Leidos.</vt:lpwstr>
  </property>
  <property fmtid="{D5CDD505-2E9C-101B-9397-08002B2CF9AE}" pid="11" name="bjCentreHeaderLabel-even">
    <vt:lpwstr>&amp;"Arial,Regular"&amp;09&amp;I&amp;K000000Leidos Proprietary</vt:lpwstr>
  </property>
  <property fmtid="{D5CDD505-2E9C-101B-9397-08002B2CF9AE}" pid="12" name="bjCentreHeaderLabel">
    <vt:lpwstr>&amp;"Arial,Regular"&amp;09&amp;I&amp;K000000Leidos Proprietary</vt:lpwstr>
  </property>
  <property fmtid="{D5CDD505-2E9C-101B-9397-08002B2CF9AE}" pid="13" name="bjCentreFooterLabel-even">
    <vt:lpwstr>&amp;"Calibri,Regular"&amp;10</vt:lpwstr>
  </property>
  <property fmtid="{D5CDD505-2E9C-101B-9397-08002B2CF9AE}" pid="14" name="bjCentreFooterLabel">
    <vt:lpwstr>&amp;"Calibri,Regular"&amp;10</vt:lpwstr>
  </property>
  <property fmtid="{D5CDD505-2E9C-101B-9397-08002B2CF9AE}" pid="15" name="MSIP_Label_c968a81f-7ed4-4faa-9408-9652e001dd96_Enabled">
    <vt:lpwstr>true</vt:lpwstr>
  </property>
  <property fmtid="{D5CDD505-2E9C-101B-9397-08002B2CF9AE}" pid="16" name="MSIP_Label_c968a81f-7ed4-4faa-9408-9652e001dd96_SetDate">
    <vt:lpwstr>2024-01-30T01:32:00Z</vt:lpwstr>
  </property>
  <property fmtid="{D5CDD505-2E9C-101B-9397-08002B2CF9AE}" pid="17" name="MSIP_Label_c968a81f-7ed4-4faa-9408-9652e001dd96_Method">
    <vt:lpwstr>Privileged</vt:lpwstr>
  </property>
  <property fmtid="{D5CDD505-2E9C-101B-9397-08002B2CF9AE}" pid="18" name="MSIP_Label_c968a81f-7ed4-4faa-9408-9652e001dd96_Name">
    <vt:lpwstr>Unrestricted</vt:lpwstr>
  </property>
  <property fmtid="{D5CDD505-2E9C-101B-9397-08002B2CF9AE}" pid="19" name="MSIP_Label_c968a81f-7ed4-4faa-9408-9652e001dd96_SiteId">
    <vt:lpwstr>b64da4ac-e800-4cfc-8931-e607f720a1b8</vt:lpwstr>
  </property>
  <property fmtid="{D5CDD505-2E9C-101B-9397-08002B2CF9AE}" pid="20" name="MSIP_Label_c968a81f-7ed4-4faa-9408-9652e001dd96_ActionId">
    <vt:lpwstr>56bd543e-3406-411f-9f8f-d0b3d03543a8</vt:lpwstr>
  </property>
  <property fmtid="{D5CDD505-2E9C-101B-9397-08002B2CF9AE}" pid="21" name="MSIP_Label_c968a81f-7ed4-4faa-9408-9652e001dd96_ContentBits">
    <vt:lpwstr>0</vt:lpwstr>
  </property>
</Properties>
</file>